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6195" yWindow="983" windowWidth="20738" windowHeight="12877" tabRatio="600" firstSheet="0" activeTab="0" autoFilterDateGrouping="1"/>
  </bookViews>
  <sheets>
    <sheet name="tb1" sheetId="1" state="visible" r:id="rId1"/>
    <sheet name="Result_Author_Keyword" sheetId="2" state="visible" r:id="rId2"/>
    <sheet name="Result_Keyword_Plus" sheetId="3" state="visible" r:id="rId3"/>
  </sheets>
  <definedNames/>
  <calcPr calcId="191029" fullCalcOnLoad="1"/>
</workbook>
</file>

<file path=xl/styles.xml><?xml version="1.0" encoding="utf-8"?>
<styleSheet xmlns="http://schemas.openxmlformats.org/spreadsheetml/2006/main">
  <numFmts count="0"/>
  <fonts count="3">
    <font>
      <name val="Arial"/>
      <family val="2"/>
      <sz val="10"/>
    </font>
    <font>
      <name val="細明體"/>
      <charset val="136"/>
      <family val="3"/>
      <sz val="9"/>
    </font>
    <font>
      <name val="新細明體"/>
      <charset val="136"/>
      <family val="1"/>
      <color rgb="FF9C0006"/>
      <sz val="12"/>
      <scheme val="minor"/>
    </font>
  </fonts>
  <fills count="3">
    <fill>
      <patternFill/>
    </fill>
    <fill>
      <patternFill patternType="gray125"/>
    </fill>
    <fill>
      <patternFill patternType="solid">
        <fgColor rgb="FFFFC7CE"/>
      </patternFill>
    </fill>
  </fills>
  <borders count="1">
    <border>
      <left/>
      <right/>
      <top/>
      <bottom/>
      <diagonal/>
    </border>
  </borders>
  <cellStyleXfs count="2">
    <xf numFmtId="0" fontId="0" fillId="0" borderId="0"/>
    <xf numFmtId="0" fontId="2" fillId="2" borderId="0" applyAlignment="1">
      <alignment vertical="center"/>
    </xf>
  </cellStyleXfs>
  <cellXfs count="2">
    <xf numFmtId="0" fontId="0" fillId="0" borderId="0" pivotButton="0" quotePrefix="0" xfId="0"/>
    <xf numFmtId="0" fontId="2" fillId="2" borderId="0" pivotButton="0" quotePrefix="0" xfId="1"/>
  </cellXfs>
  <cellStyles count="2">
    <cellStyle name="一般" xfId="0" builtinId="0"/>
    <cellStyle name="壞" xfId="1" builtinId="27"/>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U2001"/>
  <sheetViews>
    <sheetView tabSelected="1" workbookViewId="0">
      <pane ySplit="1" topLeftCell="A2" activePane="bottomLeft" state="frozen"/>
      <selection pane="bottomLeft" activeCell="T1" sqref="T1:T65536"/>
    </sheetView>
  </sheetViews>
  <sheetFormatPr baseColWidth="8" defaultRowHeight="12.75" outlineLevelCol="0"/>
  <cols>
    <col width="14.19921875" customWidth="1" min="10" max="10"/>
    <col width="136.1328125" customWidth="1" min="20" max="20"/>
    <col width="50.6640625" customWidth="1" min="21" max="21"/>
    <col width="87.86328125" customWidth="1" min="22" max="22"/>
  </cols>
  <sheetData>
    <row r="1" ht="16.15" customHeight="1">
      <c r="A1" t="inlineStr">
        <is>
          <t>Publication Type</t>
        </is>
      </c>
      <c r="B1" t="inlineStr">
        <is>
          <t>Authors</t>
        </is>
      </c>
      <c r="C1" t="inlineStr">
        <is>
          <t>Book Authors</t>
        </is>
      </c>
      <c r="D1" t="inlineStr">
        <is>
          <t>Book Editors</t>
        </is>
      </c>
      <c r="E1" t="inlineStr">
        <is>
          <t>Book Group Authors</t>
        </is>
      </c>
      <c r="F1" t="inlineStr">
        <is>
          <t>Author Full Names</t>
        </is>
      </c>
      <c r="G1" t="inlineStr">
        <is>
          <t>Book Author Full Names</t>
        </is>
      </c>
      <c r="H1" t="inlineStr">
        <is>
          <t>Group Authors</t>
        </is>
      </c>
      <c r="J1" t="inlineStr">
        <is>
          <t>Source Title</t>
        </is>
      </c>
      <c r="K1" t="inlineStr">
        <is>
          <t>Book Series Title</t>
        </is>
      </c>
      <c r="L1" t="inlineStr">
        <is>
          <t>Book Series Subtitle</t>
        </is>
      </c>
      <c r="M1" t="inlineStr">
        <is>
          <t>Language</t>
        </is>
      </c>
      <c r="N1" t="inlineStr">
        <is>
          <t>Document Type</t>
        </is>
      </c>
      <c r="O1" t="inlineStr">
        <is>
          <t>Conference Title</t>
        </is>
      </c>
      <c r="P1" t="inlineStr">
        <is>
          <t>Conference Date</t>
        </is>
      </c>
      <c r="Q1" t="inlineStr">
        <is>
          <t>Conference Location</t>
        </is>
      </c>
      <c r="R1" t="inlineStr">
        <is>
          <t>Conference Sponsor</t>
        </is>
      </c>
      <c r="S1" t="inlineStr">
        <is>
          <t>Conference Host</t>
        </is>
      </c>
      <c r="T1" s="1" t="inlineStr">
        <is>
          <t>Article Title</t>
        </is>
      </c>
      <c r="U1" t="inlineStr">
        <is>
          <t>Author Keywords</t>
        </is>
      </c>
      <c r="V1" t="inlineStr">
        <is>
          <t>Keywords Plus</t>
        </is>
      </c>
      <c r="W1" t="inlineStr">
        <is>
          <t>Abstract</t>
        </is>
      </c>
      <c r="X1" t="inlineStr">
        <is>
          <t>Addresses</t>
        </is>
      </c>
      <c r="Y1" t="inlineStr">
        <is>
          <t>Affiliations</t>
        </is>
      </c>
      <c r="Z1" t="inlineStr">
        <is>
          <t>Reprint Addresses</t>
        </is>
      </c>
      <c r="AA1" t="inlineStr">
        <is>
          <t>Email Addresses</t>
        </is>
      </c>
      <c r="AB1" t="inlineStr">
        <is>
          <t>Researcher Ids</t>
        </is>
      </c>
      <c r="AC1" t="inlineStr">
        <is>
          <t>ORCIDs</t>
        </is>
      </c>
      <c r="AD1" t="inlineStr">
        <is>
          <t>Funding Orgs</t>
        </is>
      </c>
      <c r="AE1" t="inlineStr">
        <is>
          <t>Funding Name Preferred</t>
        </is>
      </c>
      <c r="AF1" t="inlineStr">
        <is>
          <t>Funding Text</t>
        </is>
      </c>
      <c r="AG1" t="inlineStr">
        <is>
          <t>Cited References</t>
        </is>
      </c>
      <c r="AH1" t="inlineStr">
        <is>
          <t>Cited Reference Count</t>
        </is>
      </c>
      <c r="AI1" t="inlineStr">
        <is>
          <t>Times Cited, WoS Core</t>
        </is>
      </c>
      <c r="AJ1" t="inlineStr">
        <is>
          <t>Times Cited, All Databases</t>
        </is>
      </c>
      <c r="AK1" t="inlineStr">
        <is>
          <t>180 Day Usage Count</t>
        </is>
      </c>
      <c r="AL1" t="inlineStr">
        <is>
          <t>Since 2013 Usage Count</t>
        </is>
      </c>
      <c r="AM1" t="inlineStr">
        <is>
          <t>Publisher</t>
        </is>
      </c>
      <c r="AN1" t="inlineStr">
        <is>
          <t>Publisher City</t>
        </is>
      </c>
      <c r="AO1" t="inlineStr">
        <is>
          <t>Publisher Address</t>
        </is>
      </c>
      <c r="AP1" t="inlineStr">
        <is>
          <t>ISSN</t>
        </is>
      </c>
      <c r="AQ1" t="inlineStr">
        <is>
          <t>eISSN</t>
        </is>
      </c>
      <c r="AR1" t="inlineStr">
        <is>
          <t>ISBN</t>
        </is>
      </c>
      <c r="AS1" t="inlineStr">
        <is>
          <t>Journal Abbreviation</t>
        </is>
      </c>
      <c r="AT1" t="inlineStr">
        <is>
          <t>Journal ISO Abbreviation</t>
        </is>
      </c>
      <c r="AU1" t="inlineStr">
        <is>
          <t>Publication Date</t>
        </is>
      </c>
      <c r="AV1" t="inlineStr">
        <is>
          <t>Publication Year</t>
        </is>
      </c>
      <c r="AW1" t="inlineStr">
        <is>
          <t>Volume</t>
        </is>
      </c>
      <c r="AX1" t="inlineStr">
        <is>
          <t>Issue</t>
        </is>
      </c>
      <c r="AY1" t="inlineStr">
        <is>
          <t>Part Number</t>
        </is>
      </c>
      <c r="AZ1" t="inlineStr">
        <is>
          <t>Supplement</t>
        </is>
      </c>
      <c r="BA1" t="inlineStr">
        <is>
          <t>Special Issue</t>
        </is>
      </c>
      <c r="BB1" t="inlineStr">
        <is>
          <t>Meeting Abstract</t>
        </is>
      </c>
      <c r="BC1" t="inlineStr">
        <is>
          <t>Start Page</t>
        </is>
      </c>
      <c r="BD1" t="inlineStr">
        <is>
          <t>End Page</t>
        </is>
      </c>
      <c r="BE1" t="inlineStr">
        <is>
          <t>Article Number</t>
        </is>
      </c>
      <c r="BF1" t="inlineStr">
        <is>
          <t>DOI</t>
        </is>
      </c>
      <c r="BG1" t="inlineStr">
        <is>
          <t>DOI Link</t>
        </is>
      </c>
      <c r="BH1" t="inlineStr">
        <is>
          <t>Book DOI</t>
        </is>
      </c>
      <c r="BI1" t="inlineStr">
        <is>
          <t>Early Access Date</t>
        </is>
      </c>
      <c r="BJ1" t="inlineStr">
        <is>
          <t>Number of Pages</t>
        </is>
      </c>
      <c r="BK1" t="inlineStr">
        <is>
          <t>WoS Categories</t>
        </is>
      </c>
      <c r="BL1" t="inlineStr">
        <is>
          <t>Web of Science Index</t>
        </is>
      </c>
      <c r="BM1" t="inlineStr">
        <is>
          <t>Research Areas</t>
        </is>
      </c>
      <c r="BN1" t="inlineStr">
        <is>
          <t>IDS Number</t>
        </is>
      </c>
      <c r="BO1" t="inlineStr">
        <is>
          <t>Pubmed Id</t>
        </is>
      </c>
      <c r="BP1" t="inlineStr">
        <is>
          <t>Open Access Designations</t>
        </is>
      </c>
      <c r="BQ1" t="inlineStr">
        <is>
          <t>Highly Cited Status</t>
        </is>
      </c>
      <c r="BR1" t="inlineStr">
        <is>
          <t>Hot Paper Status</t>
        </is>
      </c>
      <c r="BS1" t="inlineStr">
        <is>
          <t>Date of Export</t>
        </is>
      </c>
      <c r="BT1" t="inlineStr">
        <is>
          <t>UT (Unique WOS ID)</t>
        </is>
      </c>
      <c r="BU1" t="inlineStr">
        <is>
          <t>Web of Science Record</t>
        </is>
      </c>
    </row>
    <row r="2">
      <c r="A2" t="inlineStr">
        <is>
          <t>J</t>
        </is>
      </c>
      <c r="B2" t="inlineStr">
        <is>
          <t>Huang, NC; Kung, SF; Hu, SC</t>
        </is>
      </c>
      <c r="F2" t="inlineStr">
        <is>
          <t>Huang, Nuan-Ching; Kung, Shiann-Far; Hu, Susan C.</t>
        </is>
      </c>
      <c r="J2" t="inlineStr">
        <is>
          <t>INTERNATIONAL JOURNAL OF ENVIRONMENTAL RESEARCH AND PUBLIC HEALTH</t>
        </is>
      </c>
      <c r="M2" t="inlineStr">
        <is>
          <t>English</t>
        </is>
      </c>
      <c r="N2" t="inlineStr">
        <is>
          <t>Article</t>
        </is>
      </c>
      <c r="T2" t="inlineStr">
        <is>
          <t>The Relationship between Urbanization, the Built Environment, and Physical Activity among Older Adults in Taiwan</t>
        </is>
      </c>
      <c r="U2" t="inlineStr">
        <is>
          <t>urbanization; built environment; physical activity; older adults</t>
        </is>
      </c>
      <c r="V2" t="inlineStr">
        <is>
          <t>PERCEIVED NEIGHBORHOOD ENVIRONMENT; COMMUNITY DESIGN; RURAL-AREAS; GREEN SPACE; HEALTH; URBAN; WALKING; ASSOCIATION; POPULATION; PEOPLE</t>
        </is>
      </c>
      <c r="W2" t="inlineStr">
        <is>
          <t>Urbanization and ageing are global phenomena and offer unique challenges in different countries. A supportive environment plays a critical role in addressing the issue of behavioral change and health promotion among older adults. Many studies in the U.S., EU, and Australia have considered promoting physical activity in the community based on ecological models, whereas very few Asian studies have examined the relationships among urbanization, the built environment and physical activity in elderly at the ecological level, especially from a multi-level perspective. Due to the prevalence of post-war baby boomers and a very low birth-rate, the older population (aged 65 years old and older) in Taiwan has increased rapidly since 2011 and has exceeded the younger generation (0-14 years old) in 2017. Hence, the purpose of this study was first to examine the degree of urbanization in townships and the status of related built environments in Taiwan and then to investigate whether the built environment is associated with recommended amounts of physical activity among older adults. Three national datasets and a multi-level design were used in this research. Data at the individual level was obtained from the 2009 National Health Interview Survey (NHIS) which was taken from June 2009 to February 2010. Ecological data was obtained from the 2006 National Land Use Investigation of the National Geographic Information System and the 2010 Population and Housing Census. The analyses included a descriptive analysis, a bivariate analysis, a multiple logistic regression, and a multi-level analysis, utilizing a mostly hierarchical linear model (HLM). The results showed a significant relationship between factors at the environmental levels and physical activity in older adults. Urbanization, the built environment, and the median income of townships were positively correlated to the physical activity of the older adults. After controlling for individual-level factors, urbanization still exhibited this correlation. Parks and green spaces were associated with achieving the recommended amount of physical activity. However, there was no relationship after controlling for factors at the individual level. Detailed discussions were provided.</t>
        </is>
      </c>
      <c r="X2" t="inlineStr">
        <is>
          <t>[Huang, Nuan-Ching; Kung, Shiann-Far] Natl Cheng Kung Univ, Coll Planning &amp; Design, Dept Urban Planning, 1 Univ Rd, Tainan 701, Taiwan; [Hu, Susan C.] Natl Cheng Kung Univ, Coll Med, Dept Publ Hlth, 1 Univ Rd, Tainan 701, Taiwan</t>
        </is>
      </c>
      <c r="Y2" t="inlineStr">
        <is>
          <t>National Cheng Kung University; National Cheng Kung University</t>
        </is>
      </c>
      <c r="Z2" t="inlineStr">
        <is>
          <t>Hu, SC (corresponding author), Natl Cheng Kung Univ, Coll Med, Dept Publ Hlth, 1 Univ Rd, Tainan 701, Taiwan.</t>
        </is>
      </c>
      <c r="AA2" t="inlineStr">
        <is>
          <t>sunnynching@gmail.com; sfkung@mail.ncku.edu.tw; shuhu@mail.ncku.edu.tw</t>
        </is>
      </c>
      <c r="AB2" t="inlineStr">
        <is>
          <t>Hu, Susan C./AFU-5419-2022; NUAN-CHING, HUANG/HNO-9641-2023</t>
        </is>
      </c>
      <c r="AC2" t="inlineStr">
        <is>
          <t>Hu, Susan C./0000-0003-2437-5918; NUAN-CHING, HUANG/0000-0003-1535-0751</t>
        </is>
      </c>
      <c r="AD2" t="inlineStr">
        <is>
          <t>Health Promotion Administration, Ministry of Health and Welfare, Taiwan (R.O.C) [MOHW106-HPA-M-114134709]</t>
        </is>
      </c>
      <c r="AE2" t="inlineStr">
        <is>
          <t>Health Promotion Administration, Ministry of Health and Welfare, Taiwan (R.O.C)</t>
        </is>
      </c>
      <c r="AF2" t="inlineStr">
        <is>
          <t>We wish to acknowledge our appreciation for the suggestions of the research committee members and for the visit of Professor Cordia Chu from the Centre for Environment and Population Health, Griffith University. This work was funded by the Health Promotion Administration, Ministry of Health and Welfare, Taiwan (R.O.C), grant number: MOHW106-HPA-M-114134709. All procedures performed in the studies were in accordance with ethical standards. Human Study Approval (IRB No: I B-ER-1 04-087).</t>
        </is>
      </c>
      <c r="AH2" t="n">
        <v>97</v>
      </c>
      <c r="AI2" t="n">
        <v>38</v>
      </c>
      <c r="AJ2" t="n">
        <v>38</v>
      </c>
      <c r="AK2" t="n">
        <v>6</v>
      </c>
      <c r="AL2" t="n">
        <v>57</v>
      </c>
      <c r="AM2" t="inlineStr">
        <is>
          <t>MDPI</t>
        </is>
      </c>
      <c r="AN2" t="inlineStr">
        <is>
          <t>BASEL</t>
        </is>
      </c>
      <c r="AO2" t="inlineStr">
        <is>
          <t>ST ALBAN-ANLAGE 66, CH-4052 BASEL, SWITZERLAND</t>
        </is>
      </c>
      <c r="AQ2" t="inlineStr">
        <is>
          <t>1660-4601</t>
        </is>
      </c>
      <c r="AS2" t="inlineStr">
        <is>
          <t>INT J ENV RES PUB HE</t>
        </is>
      </c>
      <c r="AT2" t="inlineStr">
        <is>
          <t>Int. J. Environ. Res. Public Health</t>
        </is>
      </c>
      <c r="AU2" t="inlineStr">
        <is>
          <t>MAY</t>
        </is>
      </c>
      <c r="AV2" t="n">
        <v>2018</v>
      </c>
      <c r="AW2" t="n">
        <v>15</v>
      </c>
      <c r="AX2" t="n">
        <v>5</v>
      </c>
      <c r="BE2" t="n">
        <v>836</v>
      </c>
      <c r="BF2" t="inlineStr">
        <is>
          <t>10.3390/ijerph15050836</t>
        </is>
      </c>
      <c r="BG2">
        <f>HYPERLINK("http://dx.doi.org/10.3390/ijerph15050836","http://dx.doi.org/10.3390/ijerph15050836")</f>
        <v/>
      </c>
      <c r="BJ2" t="n">
        <v>20</v>
      </c>
      <c r="BK2" t="inlineStr">
        <is>
          <t>Environmental Sciences; Public, Environmental &amp; Occupational Health</t>
        </is>
      </c>
      <c r="BL2" t="inlineStr">
        <is>
          <t>Science Citation Index Expanded (SCI-EXPANDED); Social Science Citation Index (SSCI)</t>
        </is>
      </c>
      <c r="BM2" t="inlineStr">
        <is>
          <t>Environmental Sciences &amp; Ecology; Public, Environmental &amp; Occupational Health</t>
        </is>
      </c>
      <c r="BN2" t="inlineStr">
        <is>
          <t>GJ3LS</t>
        </is>
      </c>
      <c r="BO2" t="n">
        <v>29695078</v>
      </c>
      <c r="BP2" t="inlineStr">
        <is>
          <t>gold, Green Published, Green Submitted</t>
        </is>
      </c>
      <c r="BS2" t="inlineStr">
        <is>
          <t>2023-10-26</t>
        </is>
      </c>
      <c r="BT2" t="inlineStr">
        <is>
          <t>WOS:000435197300004</t>
        </is>
      </c>
      <c r="BU2">
        <f>HYPERLINK("https%3A%2F%2Fwww.webofscience.com%2Fwos%2Fwoscc%2Ffull-record%2FWOS:000435197300004","View Full Record in Web of Science")</f>
        <v/>
      </c>
    </row>
    <row r="3">
      <c r="A3" t="inlineStr">
        <is>
          <t>J</t>
        </is>
      </c>
      <c r="B3" t="inlineStr">
        <is>
          <t>Xu, LY; Han, HR; Yang, CF; Liu, QF</t>
        </is>
      </c>
      <c r="F3" t="inlineStr">
        <is>
          <t>Xu, Lingyi; Han, Huiran; Yang, Chengfeng; Liu, Qingfang</t>
        </is>
      </c>
      <c r="J3" t="inlineStr">
        <is>
          <t>SUSTAINABILITY</t>
        </is>
      </c>
      <c r="M3" t="inlineStr">
        <is>
          <t>English</t>
        </is>
      </c>
      <c r="N3" t="inlineStr">
        <is>
          <t>Article</t>
        </is>
      </c>
      <c r="T3" t="inlineStr">
        <is>
          <t>The Influence Mechanism of the Community Subjectively Built Environment on the Physical and Mental Health of Older Adults</t>
        </is>
      </c>
      <c r="U3" t="inlineStr">
        <is>
          <t>subjectively built environment; physical and mental health; mediating effect; residential self-selection; older adults</t>
        </is>
      </c>
      <c r="V3" t="inlineStr">
        <is>
          <t>SELF-RATED HEALTH; LOCAL ENVIRONMENT; URBAN FORM; RISK; TRANSPORTATION; PERCEPTIONS; LONELINESS; SELECTION</t>
        </is>
      </c>
      <c r="W3" t="inlineStr">
        <is>
          <t>In order to clarify the mechanism by which subjectively built environments impact the physical and mental health of older adults and promote the construction of healthy aging and healthy cities, this study develops a structural equation model based on questionnaire data from older adults in Hefei and constructs a mechanism of a community subjectively built environment-physical and mental health with leisure physical activities and social interaction activities as mediators. The results indicate that the specific combination of subjectively built environmental factors such as community safety and security, internal supportive living facilities, a green environment, a walking environment, and a degree of beautification significantly impacts the physical and mental health of older adults. Leisure physical activity and social interaction activities play different roles in mediation, forming two sets of action mechanisms: community-built environment-leisure physical activity-physical health and community-built environment-social interaction activity-physical and mental health.</t>
        </is>
      </c>
      <c r="X3" t="inlineStr">
        <is>
          <t>[Xu, Lingyi; Han, Huiran; Yang, Chengfeng] Anhui Normal Univ, Sch Geog &amp; Tourism, 189 Huajinnan St, Wuhu 241002, Peoples R China; [Liu, Qingfang] Beijing Normal Univ, Fac Geog Sci, Beijing 100875, Peoples R China</t>
        </is>
      </c>
      <c r="Y3" t="inlineStr">
        <is>
          <t>Anhui Normal University; Beijing Normal University</t>
        </is>
      </c>
      <c r="Z3" t="inlineStr">
        <is>
          <t>Han, HR (corresponding author), Anhui Normal Univ, Sch Geog &amp; Tourism, 189 Huajinnan St, Wuhu 241002, Peoples R China.</t>
        </is>
      </c>
      <c r="AA3" t="inlineStr">
        <is>
          <t>2121011444@ahnu.edu.cn; hanhuiran@163.com; phoenixycf@163.com; 13155029850@163.com</t>
        </is>
      </c>
      <c r="AD3" t="inlineStr">
        <is>
          <t>National Science Foundation of China [42271224, 41901193]; Anhui Province Excellent Youth Research Project in Universities [2022AH030019]</t>
        </is>
      </c>
      <c r="AE3" t="inlineStr">
        <is>
          <t>National Science Foundation of China(National Natural Science Foundation of China (NSFC)); Anhui Province Excellent Youth Research Project in Universities</t>
        </is>
      </c>
      <c r="AF3" t="inlineStr">
        <is>
          <t>This research was funded by the National Science Foundation of China (No. 42271224 and 41901193); Anhui Province Excellent Youth Research Project in Universities (No. 2022AH030019).</t>
        </is>
      </c>
      <c r="AH3" t="n">
        <v>66</v>
      </c>
      <c r="AI3" t="n">
        <v>0</v>
      </c>
      <c r="AJ3" t="n">
        <v>0</v>
      </c>
      <c r="AK3" t="n">
        <v>7</v>
      </c>
      <c r="AL3" t="n">
        <v>7</v>
      </c>
      <c r="AM3" t="inlineStr">
        <is>
          <t>MDPI</t>
        </is>
      </c>
      <c r="AN3" t="inlineStr">
        <is>
          <t>BASEL</t>
        </is>
      </c>
      <c r="AO3" t="inlineStr">
        <is>
          <t>ST ALBAN-ANLAGE 66, CH-4052 BASEL, SWITZERLAND</t>
        </is>
      </c>
      <c r="AQ3" t="inlineStr">
        <is>
          <t>2071-1050</t>
        </is>
      </c>
      <c r="AS3" t="inlineStr">
        <is>
          <t>SUSTAINABILITY-BASEL</t>
        </is>
      </c>
      <c r="AT3" t="inlineStr">
        <is>
          <t>Sustainability</t>
        </is>
      </c>
      <c r="AU3" t="inlineStr">
        <is>
          <t>SEP</t>
        </is>
      </c>
      <c r="AV3" t="n">
        <v>2023</v>
      </c>
      <c r="AW3" t="n">
        <v>15</v>
      </c>
      <c r="AX3" t="n">
        <v>17</v>
      </c>
      <c r="BE3" t="n">
        <v>13211</v>
      </c>
      <c r="BF3" t="inlineStr">
        <is>
          <t>10.3390/su151713211</t>
        </is>
      </c>
      <c r="BG3">
        <f>HYPERLINK("http://dx.doi.org/10.3390/su151713211","http://dx.doi.org/10.3390/su151713211")</f>
        <v/>
      </c>
      <c r="BJ3" t="n">
        <v>20</v>
      </c>
      <c r="BK3" t="inlineStr">
        <is>
          <t>Green &amp; Sustainable Science &amp; Technology; Environmental Sciences; Environmental Studies</t>
        </is>
      </c>
      <c r="BL3" t="inlineStr">
        <is>
          <t>Science Citation Index Expanded (SCI-EXPANDED); Social Science Citation Index (SSCI)</t>
        </is>
      </c>
      <c r="BM3" t="inlineStr">
        <is>
          <t>Science &amp; Technology - Other Topics; Environmental Sciences &amp; Ecology</t>
        </is>
      </c>
      <c r="BN3" t="inlineStr">
        <is>
          <t>R0DX2</t>
        </is>
      </c>
      <c r="BP3" t="inlineStr">
        <is>
          <t>gold</t>
        </is>
      </c>
      <c r="BS3" t="inlineStr">
        <is>
          <t>2023-10-26</t>
        </is>
      </c>
      <c r="BT3" t="inlineStr">
        <is>
          <t>WOS:001061141100001</t>
        </is>
      </c>
      <c r="BU3">
        <f>HYPERLINK("https%3A%2F%2Fwww.webofscience.com%2Fwos%2Fwoscc%2Ffull-record%2FWOS:001061141100001","View Full Record in Web of Science")</f>
        <v/>
      </c>
    </row>
    <row r="4">
      <c r="A4" t="inlineStr">
        <is>
          <t>J</t>
        </is>
      </c>
      <c r="B4" t="inlineStr">
        <is>
          <t>Zang, P; Qiu, HL; Xian, F; Yang, LC; Qiu, YA; Guo, HX</t>
        </is>
      </c>
      <c r="F4" t="inlineStr">
        <is>
          <t>Zang, Peng; Qiu, Hualong; Xian, Fei; Yang, Linchuan; Qiu, Yanan; Guo, Hongxu</t>
        </is>
      </c>
      <c r="J4" t="inlineStr">
        <is>
          <t>INTERNATIONAL JOURNAL OF ENVIRONMENTAL RESEARCH AND PUBLIC HEALTH</t>
        </is>
      </c>
      <c r="M4" t="inlineStr">
        <is>
          <t>English</t>
        </is>
      </c>
      <c r="N4" t="inlineStr">
        <is>
          <t>Article</t>
        </is>
      </c>
      <c r="T4" t="inlineStr">
        <is>
          <t>Nonlinear Effects of the Built Environment on Light Physical Activity among Older Adults: The Case of Lanzhou, China</t>
        </is>
      </c>
      <c r="U4" t="inlineStr">
        <is>
          <t>green visibility; built environment; light physical activity; random forest; older adults</t>
        </is>
      </c>
      <c r="V4" t="inlineStr">
        <is>
          <t>BOOSTING DECISION TREES; HONG-KONG; WALKING BEHAVIOR; TRAVEL BEHAVIOR; TRANSPORT; DESIGN; RIDERSHIP; DENSITY; ACCESS; CITY</t>
        </is>
      </c>
      <c r="W4" t="inlineStr">
        <is>
          <t>The aging of the population is increasing the load on the healthcare system, and enhancing light physical activity among older adults can alleviate this problem. This study used medical examination data from 1773 older adults in Lanzhou city (China) and adopted the random forest model to investigate the effect of the built environment on the duration of light physical activity of older adults. The results showed that streetscape greenery has the most significant impact on older adults' light physical activity; greenery can be assessed in a hierarchy of areas; population density and land-use mix only have a positive effect on older adults' light physical activity up to a certain point but a negative effect beyond that point; and a greater distance to the park within 1 km is associated with a longer time spent on light physical activity. Therefore, we conclude that the built environment's impact is only positive within a specific range. Changes in the intervention of environmental variables can be observed visually by calculating the relative importance of the nonlinearity of built environment elements with partial dependency plots. These results provide a reasonable reference indicator for age-friendly community planning.</t>
        </is>
      </c>
      <c r="X4" t="inlineStr">
        <is>
          <t>[Zang, Peng; Qiu, Hualong; Xian, Fei; Qiu, Yanan; Guo, Hongxu] Guangdong Univ Technol, Dept Architecture, Guangzhou 510006, Peoples R China; [Yang, Linchuan] Southwest Jiaotong Univ, Sch Architecture, Dept Urban &amp; Rural Planning, Chengdu 611756, Peoples R China</t>
        </is>
      </c>
      <c r="Y4" t="inlineStr">
        <is>
          <t>Guangdong University of Technology; Southwest Jiaotong University</t>
        </is>
      </c>
      <c r="Z4" t="inlineStr">
        <is>
          <t>Guo, HX (corresponding author), Guangdong Univ Technol, Dept Architecture, Guangzhou 510006, Peoples R China.</t>
        </is>
      </c>
      <c r="AA4" t="inlineStr">
        <is>
          <t>kenxin8989@163.com; bkj338@163.com; 18308463173@163.com; yanglc0125@swjtu.edu.cn; stewart87@sina.com; guohx@gdut.edu.cn</t>
        </is>
      </c>
      <c r="AB4" t="inlineStr">
        <is>
          <t>Yang, Linchuan/ABF-1874-2021; Qiu, HuaLong/GYV-4938-2022</t>
        </is>
      </c>
      <c r="AC4" t="inlineStr">
        <is>
          <t>Yang, Linchuan/0000-0001-6070-9044;</t>
        </is>
      </c>
      <c r="AD4" t="inlineStr">
        <is>
          <t>National Natural Science Foundation of China [51908135, 41501184]; Guangdong Office of Philosophy and Social Science [GD20CSH04]; Science and technology projects of Zhejiang Province [2022C03168]</t>
        </is>
      </c>
      <c r="AE4" t="inlineStr">
        <is>
          <t>National Natural Science Foundation of China(National Natural Science Foundation of China (NSFC)); Guangdong Office of Philosophy and Social Science; Science and technology projects of Zhejiang Province</t>
        </is>
      </c>
      <c r="AF4" t="inlineStr">
        <is>
          <t>This researchwas funded by the National Natural Science Foundation of China (No. 51908135 and No. 41501184), the Guangdong Office of Philosophy and Social Science (No. GD20CSH04), and the Science and technology projects of Zhejiang Province (No. 2022C03168).</t>
        </is>
      </c>
      <c r="AH4" t="n">
        <v>73</v>
      </c>
      <c r="AI4" t="n">
        <v>7</v>
      </c>
      <c r="AJ4" t="n">
        <v>7</v>
      </c>
      <c r="AK4" t="n">
        <v>24</v>
      </c>
      <c r="AL4" t="n">
        <v>75</v>
      </c>
      <c r="AM4" t="inlineStr">
        <is>
          <t>MDPI</t>
        </is>
      </c>
      <c r="AN4" t="inlineStr">
        <is>
          <t>BASEL</t>
        </is>
      </c>
      <c r="AO4" t="inlineStr">
        <is>
          <t>ST ALBAN-ANLAGE 66, CH-4052 BASEL, SWITZERLAND</t>
        </is>
      </c>
      <c r="AQ4" t="inlineStr">
        <is>
          <t>1660-4601</t>
        </is>
      </c>
      <c r="AS4" t="inlineStr">
        <is>
          <t>INT J ENV RES PUB HE</t>
        </is>
      </c>
      <c r="AT4" t="inlineStr">
        <is>
          <t>Int. J. Environ. Res. Public Health</t>
        </is>
      </c>
      <c r="AU4" t="inlineStr">
        <is>
          <t>JUL</t>
        </is>
      </c>
      <c r="AV4" t="n">
        <v>2022</v>
      </c>
      <c r="AW4" t="n">
        <v>19</v>
      </c>
      <c r="AX4" t="n">
        <v>14</v>
      </c>
      <c r="BE4" t="n">
        <v>8848</v>
      </c>
      <c r="BF4" t="inlineStr">
        <is>
          <t>10.3390/ijerph19148848</t>
        </is>
      </c>
      <c r="BG4">
        <f>HYPERLINK("http://dx.doi.org/10.3390/ijerph19148848","http://dx.doi.org/10.3390/ijerph19148848")</f>
        <v/>
      </c>
      <c r="BJ4" t="n">
        <v>15</v>
      </c>
      <c r="BK4" t="inlineStr">
        <is>
          <t>Environmental Sciences; Public, Environmental &amp; Occupational Health</t>
        </is>
      </c>
      <c r="BL4" t="inlineStr">
        <is>
          <t>Science Citation Index Expanded (SCI-EXPANDED); Social Science Citation Index (SSCI)</t>
        </is>
      </c>
      <c r="BM4" t="inlineStr">
        <is>
          <t>Environmental Sciences &amp; Ecology; Public, Environmental &amp; Occupational Health</t>
        </is>
      </c>
      <c r="BN4" t="inlineStr">
        <is>
          <t>3H5KX</t>
        </is>
      </c>
      <c r="BO4" t="n">
        <v>35886698</v>
      </c>
      <c r="BP4" t="inlineStr">
        <is>
          <t>gold, Green Published</t>
        </is>
      </c>
      <c r="BS4" t="inlineStr">
        <is>
          <t>2023-10-26</t>
        </is>
      </c>
      <c r="BT4" t="inlineStr">
        <is>
          <t>WOS:000832076300001</t>
        </is>
      </c>
      <c r="BU4">
        <f>HYPERLINK("https%3A%2F%2Fwww.webofscience.com%2Fwos%2Fwoscc%2Ffull-record%2FWOS:000832076300001","View Full Record in Web of Science")</f>
        <v/>
      </c>
    </row>
    <row r="5">
      <c r="A5" t="inlineStr">
        <is>
          <t>J</t>
        </is>
      </c>
      <c r="B5" t="inlineStr">
        <is>
          <t>Lu, Y; Chen, L; Yang, YY; Gou, ZH</t>
        </is>
      </c>
      <c r="F5" t="inlineStr">
        <is>
          <t>Lu, Yi; Chen, Long; Yang, Yiyang; Gou, Zhonghua</t>
        </is>
      </c>
      <c r="J5" t="inlineStr">
        <is>
          <t>INTERNATIONAL JOURNAL OF ENVIRONMENTAL RESEARCH AND PUBLIC HEALTH</t>
        </is>
      </c>
      <c r="M5" t="inlineStr">
        <is>
          <t>English</t>
        </is>
      </c>
      <c r="N5" t="inlineStr">
        <is>
          <t>Article</t>
        </is>
      </c>
      <c r="T5" t="inlineStr">
        <is>
          <t>The Association of Built Environment and Physical Activity in Older Adults: Using a Citywide Public Housing Scheme to Reduce Residential Self-Selection Bias</t>
        </is>
      </c>
      <c r="U5" t="inlineStr">
        <is>
          <t>physical activity; built environment; older adults; high-density; walking</t>
        </is>
      </c>
      <c r="V5" t="inlineStr">
        <is>
          <t>NEIGHBORHOOD WALKABILITY; TRAVEL BEHAVIOR; URBAN FORM; WALKING BEHAVIOR; LAND-USE; HEALTH; DENSITY; PERCEPTIONS; DIVERSITY; IMPACTS</t>
        </is>
      </c>
      <c r="W5" t="inlineStr">
        <is>
          <t>Previous studies have documented numerous health benefits of conducting regular physical activity among older adults. The built environment is believed to be a key factor that can hinder or facilitate daily physical activity, such as walking and exercising. However, most empirical studies focusing on environment-physical activity associations exhibited residential self-selection bias with cross-sectional research design, engendering doubts about the impact of built environment on physical activity. To reduce this bias, we assessed physical activity behaviors of 720 Hong Kong older adults (65 years) residing in 24 public housing estates. The Hong Kong public housing scheme currently provides affordable rental flats for 2.1 million people or approximate 30% of total population. The applicants were allocated to one of 179 housing estates largely by family size and flat availability. Built environment characteristics were measured following the 5Ds' principle: (street network) design, (land-use) diversity, density, distance to transit, and destination accessibility. Multilevel mixed models were used to explore the associations between the built environment and the different domains of physical activity (transportation walking, recreational walking, and recreational moderate-to-vigorous physical activity (MVPA) while controlling for potential estate-level socioeconomic and individual confounders. We found that transportation walking was positively associated with the number of bus stops and the presence of Mass Transit Railway (MTR) stations. Recreational MVPA was positively related to the number of recreational facilities. However, land-use mix was negatively related to transportation walking, recreational walking, and recreational MVPA. The findings of this study support a threshold effect in the environment-physical activity associations. Furthermore, large-scale public housing schemes involving random or semi-random residence assignment in many cities may provide opportunities to explore built environments and physical activity behavior, with the potential to overcome residential self-selection bias.</t>
        </is>
      </c>
      <c r="X5" t="inlineStr">
        <is>
          <t>[Lu, Yi; Yang, Yiyang] City Univ Hong Kong, Dept Architecture &amp; Civil Engn, Kowloon Tong, Hong Kong, Peoples R China; [Lu, Yi] City Univ Hong Kong, Shenzhen Res Inst, Shenzhen 518057, Peoples R China; [Chen, Long] Wuhan Univ, Sch Resources &amp; Environm Sci, Wuhan 430072, Hubei, Peoples R China; [Gou, Zhonghua] Griffith Univ, Sch Environm, Cities Res Inst, Gold Coast Campus, Gold Coast, Qld 4222, Australia</t>
        </is>
      </c>
      <c r="Y5" t="inlineStr">
        <is>
          <t>City University of Hong Kong; Shenzhen Research Institute, City University of Hong Kong; City University of Hong Kong; Wuhan University; Griffith University</t>
        </is>
      </c>
      <c r="Z5" t="inlineStr">
        <is>
          <t>Lu, Y (corresponding author), City Univ Hong Kong, Dept Architecture &amp; Civil Engn, Kowloon Tong, Hong Kong, Peoples R China.;Lu, Y (corresponding author), City Univ Hong Kong, Shenzhen Res Inst, Shenzhen 518057, Peoples R China.</t>
        </is>
      </c>
      <c r="AA5" t="inlineStr">
        <is>
          <t>yilu24@cityu.edu.hk; longchen_dona@163.com; yiyayang@cityu.edu.hk; z.gou@griffith.edu.au</t>
        </is>
      </c>
      <c r="AB5" t="inlineStr">
        <is>
          <t>Chen, Long/ABG-6218-2021; Yang, Yiyang/GZH-1168-2022; YANG, Yiyang/AAU-6715-2020; LU, Yi/AAD-7750-2020; Gou, Zhonghua/H-5621-2019</t>
        </is>
      </c>
      <c r="AC5" t="inlineStr">
        <is>
          <t>Chen, Long/0000-0001-6291-9950; YANG, Yiyang/0000-0003-2705-0238; LU, Yi/0000-0001-7614-6661; Gou, Zhonghua/0000-0001-9627-4724</t>
        </is>
      </c>
      <c r="AD5" t="inlineStr">
        <is>
          <t>Research Grants Council of the Hong Kong Special Administrative Region, China [CityU11612615, CityU11666716]; National Natural Science Foundation of China [51578474, 51778552]</t>
        </is>
      </c>
      <c r="AE5" t="inlineStr">
        <is>
          <t>Research Grants Council of the Hong Kong Special Administrative Region, China(Hong Kong Research Grants Council); National Natural Science Foundation of China(National Natural Science Foundation of China (NSFC))</t>
        </is>
      </c>
      <c r="AF5" t="inlineStr">
        <is>
          <t>The work described in this paper was fully supported by grants from the Research Grants Council of the Hong Kong Special Administrative Region, China (project no. CityU11612615 &amp; CityU11666716) and the National Natural Science Foundation of China (project no. 51578474 &amp; 51778552).</t>
        </is>
      </c>
      <c r="AH5" t="n">
        <v>54</v>
      </c>
      <c r="AI5" t="n">
        <v>38</v>
      </c>
      <c r="AJ5" t="n">
        <v>41</v>
      </c>
      <c r="AK5" t="n">
        <v>3</v>
      </c>
      <c r="AL5" t="n">
        <v>51</v>
      </c>
      <c r="AM5" t="inlineStr">
        <is>
          <t>MDPI</t>
        </is>
      </c>
      <c r="AN5" t="inlineStr">
        <is>
          <t>BASEL</t>
        </is>
      </c>
      <c r="AO5" t="inlineStr">
        <is>
          <t>ST ALBAN-ANLAGE 66, CH-4052 BASEL, SWITZERLAND</t>
        </is>
      </c>
      <c r="AQ5" t="inlineStr">
        <is>
          <t>1660-4601</t>
        </is>
      </c>
      <c r="AS5" t="inlineStr">
        <is>
          <t>INT J ENV RES PUB HE</t>
        </is>
      </c>
      <c r="AT5" t="inlineStr">
        <is>
          <t>Int. J. Environ. Res. Public Health</t>
        </is>
      </c>
      <c r="AU5" t="inlineStr">
        <is>
          <t>SEP</t>
        </is>
      </c>
      <c r="AV5" t="n">
        <v>2018</v>
      </c>
      <c r="AW5" t="n">
        <v>15</v>
      </c>
      <c r="AX5" t="n">
        <v>9</v>
      </c>
      <c r="BE5" t="n">
        <v>1973</v>
      </c>
      <c r="BF5" t="inlineStr">
        <is>
          <t>10.3390/ijerph15091973</t>
        </is>
      </c>
      <c r="BG5">
        <f>HYPERLINK("http://dx.doi.org/10.3390/ijerph15091973","http://dx.doi.org/10.3390/ijerph15091973")</f>
        <v/>
      </c>
      <c r="BJ5" t="n">
        <v>13</v>
      </c>
      <c r="BK5" t="inlineStr">
        <is>
          <t>Environmental Sciences; Public, Environmental &amp; Occupational Health</t>
        </is>
      </c>
      <c r="BL5" t="inlineStr">
        <is>
          <t>Science Citation Index Expanded (SCI-EXPANDED); Social Science Citation Index (SSCI)</t>
        </is>
      </c>
      <c r="BM5" t="inlineStr">
        <is>
          <t>Environmental Sciences &amp; Ecology; Public, Environmental &amp; Occupational Health</t>
        </is>
      </c>
      <c r="BN5" t="inlineStr">
        <is>
          <t>GV0PX</t>
        </is>
      </c>
      <c r="BO5" t="n">
        <v>30201927</v>
      </c>
      <c r="BP5" t="inlineStr">
        <is>
          <t>Green Published, gold, Green Submitted</t>
        </is>
      </c>
      <c r="BS5" t="inlineStr">
        <is>
          <t>2023-10-26</t>
        </is>
      </c>
      <c r="BT5" t="inlineStr">
        <is>
          <t>WOS:000445765600182</t>
        </is>
      </c>
      <c r="BU5">
        <f>HYPERLINK("https%3A%2F%2Fwww.webofscience.com%2Fwos%2Fwoscc%2Ffull-record%2FWOS:000445765600182","View Full Record in Web of Science")</f>
        <v/>
      </c>
    </row>
    <row r="6">
      <c r="A6" t="inlineStr">
        <is>
          <t>J</t>
        </is>
      </c>
      <c r="B6" t="inlineStr">
        <is>
          <t>Celadyn, M</t>
        </is>
      </c>
      <c r="F6" t="inlineStr">
        <is>
          <t>Celadyn, Magdalena</t>
        </is>
      </c>
      <c r="J6" t="inlineStr">
        <is>
          <t>SUSTAINABILITY</t>
        </is>
      </c>
      <c r="M6" t="inlineStr">
        <is>
          <t>English</t>
        </is>
      </c>
      <c r="N6" t="inlineStr">
        <is>
          <t>Article</t>
        </is>
      </c>
      <c r="T6" t="inlineStr">
        <is>
          <t>Integrative Design Classes for Environmental Sustainability of Interior Architectural Design</t>
        </is>
      </c>
      <c r="U6" t="inlineStr">
        <is>
          <t>interior architectural design; sustainable design; environmental contextualization; integrative workshops</t>
        </is>
      </c>
      <c r="W6" t="inlineStr">
        <is>
          <t>The paper considers the adjustments of the interior architectural design education model toward its compliance with the principles of sustainability, since the currently provided scheme does not effectively employ the sustainability multi-dimensional concept as a substantial determinant of interior architectural design. The conventional interior architectural design curriculum requires corrections, to provide students with systematized knowledge on sustainability issues, as well as appropriate abilities and skills to create buildings' interior spaces with high environmental performance. The modifications are considered using the example of a curriculum realized within the Faculty of Interior Design affiliated with the Academy of Fine Arts in Krakow. These improvements of the curriculum structure comprise the establishment of a compulsory course on environmentally sustainable interior architectural design, offering to the undergraduate students comprehensive theoretical knowledge on the multi-dimensional aspects of sustainability and the introduction of professional design tools, including simplified versions of multi-criterial environmental evaluation systems, as a supportive educational means, as well as learning tools comprising interdisciplinary environmental-responsibility-oriented design workshops or seminars led by green building consultants and professionals involved in practicing sustainable interior design. This paper discusses the innovative concept of integrative design classes (IDC), realized within the practical modules of courses on Building Construction and Environmentally Sustainable Architectural Design, both delivered to undergraduate interior design students. The paper analyses these integrative design classes as a supportive project-based learning technique to develop the students' ability to accomplish sustainable design strategies for resource efficiency, waste management effectiveness, optimization of indoor environment quality parameters as well as pro-environmental education. The results of the conducted integrative design classes proved that they are a driver for developing technically and formally innovative designs, allowing the students to establish a link between theoretical knowledge on sustainability in interior design and its practical implementation.</t>
        </is>
      </c>
      <c r="X6" t="inlineStr">
        <is>
          <t>[Celadyn, Magdalena] Acad Fine Arts Krakow, Fac Interior Design, Pl Matejki 13, PL-31157 Krakow, Poland</t>
        </is>
      </c>
      <c r="Z6" t="inlineStr">
        <is>
          <t>Celadyn, M (corresponding author), Acad Fine Arts Krakow, Fac Interior Design, Pl Matejki 13, PL-31157 Krakow, Poland.</t>
        </is>
      </c>
      <c r="AA6" t="inlineStr">
        <is>
          <t>mceladyn@asp.krakow.pl</t>
        </is>
      </c>
      <c r="AH6" t="n">
        <v>47</v>
      </c>
      <c r="AI6" t="n">
        <v>12</v>
      </c>
      <c r="AJ6" t="n">
        <v>12</v>
      </c>
      <c r="AK6" t="n">
        <v>9</v>
      </c>
      <c r="AL6" t="n">
        <v>39</v>
      </c>
      <c r="AM6" t="inlineStr">
        <is>
          <t>MDPI</t>
        </is>
      </c>
      <c r="AN6" t="inlineStr">
        <is>
          <t>BASEL</t>
        </is>
      </c>
      <c r="AO6" t="inlineStr">
        <is>
          <t>ST ALBAN-ANLAGE 66, CH-4052 BASEL, SWITZERLAND</t>
        </is>
      </c>
      <c r="AQ6" t="inlineStr">
        <is>
          <t>2071-1050</t>
        </is>
      </c>
      <c r="AS6" t="inlineStr">
        <is>
          <t>SUSTAINABILITY-BASEL</t>
        </is>
      </c>
      <c r="AT6" t="inlineStr">
        <is>
          <t>Sustainability</t>
        </is>
      </c>
      <c r="AU6" t="inlineStr">
        <is>
          <t>SEP</t>
        </is>
      </c>
      <c r="AV6" t="n">
        <v>2020</v>
      </c>
      <c r="AW6" t="n">
        <v>12</v>
      </c>
      <c r="AX6" t="n">
        <v>18</v>
      </c>
      <c r="BE6" t="n">
        <v>7383</v>
      </c>
      <c r="BF6" t="inlineStr">
        <is>
          <t>10.3390/su12187383</t>
        </is>
      </c>
      <c r="BG6">
        <f>HYPERLINK("http://dx.doi.org/10.3390/su12187383","http://dx.doi.org/10.3390/su12187383")</f>
        <v/>
      </c>
      <c r="BJ6" t="n">
        <v>18</v>
      </c>
      <c r="BK6" t="inlineStr">
        <is>
          <t>Green &amp; Sustainable Science &amp; Technology; Environmental Sciences; Environmental Studies</t>
        </is>
      </c>
      <c r="BL6" t="inlineStr">
        <is>
          <t>Science Citation Index Expanded (SCI-EXPANDED); Social Science Citation Index (SSCI)</t>
        </is>
      </c>
      <c r="BM6" t="inlineStr">
        <is>
          <t>Science &amp; Technology - Other Topics; Environmental Sciences &amp; Ecology</t>
        </is>
      </c>
      <c r="BN6" t="inlineStr">
        <is>
          <t>OJ9QH</t>
        </is>
      </c>
      <c r="BP6" t="inlineStr">
        <is>
          <t>gold, Green Published</t>
        </is>
      </c>
      <c r="BS6" t="inlineStr">
        <is>
          <t>2023-10-26</t>
        </is>
      </c>
      <c r="BT6" t="inlineStr">
        <is>
          <t>WOS:000584288400001</t>
        </is>
      </c>
      <c r="BU6">
        <f>HYPERLINK("https%3A%2F%2Fwww.webofscience.com%2Fwos%2Fwoscc%2Ffull-record%2FWOS:000584288400001","View Full Record in Web of Science")</f>
        <v/>
      </c>
    </row>
    <row r="7">
      <c r="A7" t="inlineStr">
        <is>
          <t>J</t>
        </is>
      </c>
      <c r="B7" t="inlineStr">
        <is>
          <t>Paydar, M; Fard, AK</t>
        </is>
      </c>
      <c r="F7" t="inlineStr">
        <is>
          <t>Paydar, Mohammad; Kamani Fard, Asal</t>
        </is>
      </c>
      <c r="J7" t="inlineStr">
        <is>
          <t>INTERNATIONAL JOURNAL OF ENVIRONMENTAL RESEARCH AND PUBLIC HEALTH</t>
        </is>
      </c>
      <c r="M7" t="inlineStr">
        <is>
          <t>English</t>
        </is>
      </c>
      <c r="N7" t="inlineStr">
        <is>
          <t>Article</t>
        </is>
      </c>
      <c r="T7" t="inlineStr">
        <is>
          <t>Walking Behavior of Older Adults in Temuco, Chile: The Contribution of the Built Environment and Socio-Demographic Factors</t>
        </is>
      </c>
      <c r="U7" t="inlineStr">
        <is>
          <t>walking behavior; older adults; socio-demographic factors; built environment</t>
        </is>
      </c>
      <c r="V7" t="inlineStr">
        <is>
          <t>PERCEIVED NEIGHBORHOOD ENVIRONMENT; PHYSICAL-ACTIVITY; UTILITARIAN WALKING; ASSOCIATIONS; WOMEN; TRANSPORTATION; WALKABILITY; PERCEPTIONS; PATTERNS; SANTIAGO</t>
        </is>
      </c>
      <c r="W7" t="inlineStr">
        <is>
          <t>The amount of walking for daily transport has decreased significantly over the last decades in Temuco, Chile. Moreover, the percentage of older adults (aged over 65) who did not meet the recommendations of at least 150 min of physical activity per week has increased during this time. In this regard, the present study examines the contribution of socio-demographic and built environment factors on the walking behavior of older adults in Temuco, Chile, with a view to improving their level of physical activity. A cross-sectional study was conducted among 463 older adults aged 60 years and over. Travel Diary Data taken from Encuesta Origin Destino (EOD) 2013, Geographic information systems (GIS), audits (PEDS with certain revisions) and finally, multiple regression analysis, were used to examine the objectives. Associations were found between the walking behavior of older adults and several socio-demographic factors, as well as several built environment factors including destination (the number of parks and the land use mix), functionality (street connectivity, length of street sections and off-street parking lots) and aesthetics (views of nature, building height, and articulation in building design). These findings should be considered by urban/transport policymakers to improve the walking behavior of older adults in this city.</t>
        </is>
      </c>
      <c r="X7" t="inlineStr">
        <is>
          <t>[Paydar, Mohammad] Univ Mayor, Fac Ciencias Sociales &amp; Artes, Escuela Arquitectura Temuco, Av Alemania 0281, Temuco 4780000, Chile; [Kamani Fard, Asal] Univ Catolica Maule, San Miguel 3605, Talca 3460000, Chile</t>
        </is>
      </c>
      <c r="Y7" t="inlineStr">
        <is>
          <t>Universidad Mayor; Universidad Catolica del Maule</t>
        </is>
      </c>
      <c r="Z7" t="inlineStr">
        <is>
          <t>Paydar, M (corresponding author), Univ Mayor, Fac Ciencias Sociales &amp; Artes, Escuela Arquitectura Temuco, Av Alemania 0281, Temuco 4780000, Chile.</t>
        </is>
      </c>
      <c r="AA7" t="inlineStr">
        <is>
          <t>mohammad.paydar@umayor.cl</t>
        </is>
      </c>
      <c r="AB7" t="inlineStr">
        <is>
          <t>Paydar, Mohammad/AAF-2666-2020</t>
        </is>
      </c>
      <c r="AC7" t="inlineStr">
        <is>
          <t>Kamani Fard, Asal/0000-0002-5741-5712; Paydar, Mohammad/0000-0002-8693-9750</t>
        </is>
      </c>
      <c r="AD7" t="inlineStr">
        <is>
          <t>School of Architecture, Temuco, Universidad Mayor</t>
        </is>
      </c>
      <c r="AE7" t="inlineStr">
        <is>
          <t>School of Architecture, Temuco, Universidad Mayor</t>
        </is>
      </c>
      <c r="AF7" t="inlineStr">
        <is>
          <t>We are grateful for the support from the School of Architecture, Temuco, Universidad Mayor. We would also like to thank Javier Arangua Calzado, School of Architecture, Temuco, Universidad Mayor, for his support in finalizing this article.</t>
        </is>
      </c>
      <c r="AH7" t="n">
        <v>87</v>
      </c>
      <c r="AI7" t="n">
        <v>2</v>
      </c>
      <c r="AJ7" t="n">
        <v>2</v>
      </c>
      <c r="AK7" t="n">
        <v>6</v>
      </c>
      <c r="AL7" t="n">
        <v>11</v>
      </c>
      <c r="AM7" t="inlineStr">
        <is>
          <t>MDPI</t>
        </is>
      </c>
      <c r="AN7" t="inlineStr">
        <is>
          <t>BASEL</t>
        </is>
      </c>
      <c r="AO7" t="inlineStr">
        <is>
          <t>ST ALBAN-ANLAGE 66, CH-4052 BASEL, SWITZERLAND</t>
        </is>
      </c>
      <c r="AQ7" t="inlineStr">
        <is>
          <t>1660-4601</t>
        </is>
      </c>
      <c r="AS7" t="inlineStr">
        <is>
          <t>INT J ENV RES PUB HE</t>
        </is>
      </c>
      <c r="AT7" t="inlineStr">
        <is>
          <t>Int. J. Environ. Res. Public Health</t>
        </is>
      </c>
      <c r="AU7" t="inlineStr">
        <is>
          <t>NOV</t>
        </is>
      </c>
      <c r="AV7" t="n">
        <v>2022</v>
      </c>
      <c r="AW7" t="n">
        <v>19</v>
      </c>
      <c r="AX7" t="n">
        <v>22</v>
      </c>
      <c r="BE7" t="n">
        <v>14625</v>
      </c>
      <c r="BF7" t="inlineStr">
        <is>
          <t>10.3390/ijerph192214625</t>
        </is>
      </c>
      <c r="BG7">
        <f>HYPERLINK("http://dx.doi.org/10.3390/ijerph192214625","http://dx.doi.org/10.3390/ijerph192214625")</f>
        <v/>
      </c>
      <c r="BJ7" t="n">
        <v>23</v>
      </c>
      <c r="BK7" t="inlineStr">
        <is>
          <t>Environmental Sciences; Public, Environmental &amp; Occupational Health</t>
        </is>
      </c>
      <c r="BL7" t="inlineStr">
        <is>
          <t>Science Citation Index Expanded (SCI-EXPANDED); Social Science Citation Index (SSCI)</t>
        </is>
      </c>
      <c r="BM7" t="inlineStr">
        <is>
          <t>Environmental Sciences &amp; Ecology; Public, Environmental &amp; Occupational Health</t>
        </is>
      </c>
      <c r="BN7" t="inlineStr">
        <is>
          <t>6K1AL</t>
        </is>
      </c>
      <c r="BO7" t="n">
        <v>36429346</v>
      </c>
      <c r="BP7" t="inlineStr">
        <is>
          <t>Green Published, gold</t>
        </is>
      </c>
      <c r="BS7" t="inlineStr">
        <is>
          <t>2023-10-26</t>
        </is>
      </c>
      <c r="BT7" t="inlineStr">
        <is>
          <t>WOS:000887244200001</t>
        </is>
      </c>
      <c r="BU7">
        <f>HYPERLINK("https%3A%2F%2Fwww.webofscience.com%2Fwos%2Fwoscc%2Ffull-record%2FWOS:000887244200001","View Full Record in Web of Science")</f>
        <v/>
      </c>
    </row>
    <row r="8">
      <c r="A8" t="inlineStr">
        <is>
          <t>J</t>
        </is>
      </c>
      <c r="B8" t="inlineStr">
        <is>
          <t>Tawil, N; Sztuka, IM; Pohlmann, K; Sudimac, S; Kuehn, S</t>
        </is>
      </c>
      <c r="F8" t="inlineStr">
        <is>
          <t>Tawil, Nour; Sztuka, Izabela Maria; Pohlmann, Kira; Sudimac, Sonja; Kuehn, Simone</t>
        </is>
      </c>
      <c r="J8" t="inlineStr">
        <is>
          <t>INTERNATIONAL JOURNAL OF ENVIRONMENTAL RESEARCH AND PUBLIC HEALTH</t>
        </is>
      </c>
      <c r="M8" t="inlineStr">
        <is>
          <t>English</t>
        </is>
      </c>
      <c r="N8" t="inlineStr">
        <is>
          <t>Article</t>
        </is>
      </c>
      <c r="T8" t="inlineStr">
        <is>
          <t>The Living Space: Psychological Well-Being and Mental Health in Response to Interiors Presented in Virtual Reality</t>
        </is>
      </c>
      <c r="U8" t="inlineStr">
        <is>
          <t>indoor architecture; interiors; contours; affect; behavior; cognition; spatial experience; virtual reality; well-being; mental health</t>
        </is>
      </c>
      <c r="V8" t="inlineStr">
        <is>
          <t>AESTHETIC EVALUATION; PREFERENCE; DESIGN; ARCHITECTURE; CURVATURE; ENVIRONMENTS; AMYGDALA; FORM</t>
        </is>
      </c>
      <c r="W8" t="inlineStr">
        <is>
          <t>There has been a recent interest in how architecture affects mental health and psychological well-being, motivated by the fact that we spend the majority of our waking time inside and interacting with built environments. Some studies have investigated the psychological responses to indoor design parameters; for instance, contours, and proposed that curved interiors, when compared to angular ones, were aesthetically preferred and induced higher positive emotions. The present study aimed to systematically examine this hypothesis and further explore the impact of contrasting contours on affect, behavior, and cognition. We exposed 42 participants to four well-matched indoor living rooms under a free-exploration photorealistic virtual reality paradigm. We included style as an explorative second-level variable. Out of the 33 outcome variables measured, and after correcting for false discoveries, only two eventually confirmed differences in the contours analysis, in favor of angular rooms. Analysis of style primarily validated the contrast of our stimulus set, and showed significance in one other dependent variable. Results of additional analysis using the Bayesian framework were in line with those of the frequentist approach. The present results provide evidence against the hypothesis that curvature is preferred, suggesting that the psychological response to contours in a close-to-reality architectural setting could be more complex. This study, therefore, helps to communicate a more complete scientific view on the experience of interior spaces and proposes directions for necessary future research.</t>
        </is>
      </c>
      <c r="X8" t="inlineStr">
        <is>
          <t>[Tawil, Nour; Sztuka, Izabela Maria; Sudimac, Sonja; Kuehn, Simone] Max Planck Inst Human Dev, Lise Meitner Grp Environm Neurosci, D-14195 Berlin, Germany; [Pohlmann, Kira; Kuehn, Simone] Univ Med Ctr Hamburg Eppendorf, Clin &amp; Policlin Psychiat &amp; Psychotherapy, D-20246 Hamburg, Germany</t>
        </is>
      </c>
      <c r="Y8" t="inlineStr">
        <is>
          <t>Max Planck Society; University of Hamburg; University Medical Center Hamburg-Eppendorf</t>
        </is>
      </c>
      <c r="Z8" t="inlineStr">
        <is>
          <t>Tawil, N; Kuehn, S (corresponding author), Max Planck Inst Human Dev, Lise Meitner Grp Environm Neurosci, D-14195 Berlin, Germany.;Kuehn, S (corresponding author), Univ Med Ctr Hamburg Eppendorf, Clin &amp; Policlin Psychiat &amp; Psychotherapy, D-20246 Hamburg, Germany.</t>
        </is>
      </c>
      <c r="AA8" t="inlineStr">
        <is>
          <t>tawil@mpib-berlin.mpg.de; sztuka@mpib-berlin.mpg.de; kira.pohlmann@studium.uni-hamburg.de; sudimac@mpib-berlin.mpg.de; kuehn@mpib-berlin.mpg.de</t>
        </is>
      </c>
      <c r="AB8" t="inlineStr">
        <is>
          <t>Kuehn, Simone/P-6145-2014</t>
        </is>
      </c>
      <c r="AC8" t="inlineStr">
        <is>
          <t>Kuehn, Simone/0000-0001-6823-7969; Sudimac, Sonja/0000-0003-2119-4759; Tawil, Nour/0000-0002-1346-0917</t>
        </is>
      </c>
      <c r="AH8" t="n">
        <v>85</v>
      </c>
      <c r="AI8" t="n">
        <v>5</v>
      </c>
      <c r="AJ8" t="n">
        <v>5</v>
      </c>
      <c r="AK8" t="n">
        <v>9</v>
      </c>
      <c r="AL8" t="n">
        <v>36</v>
      </c>
      <c r="AM8" t="inlineStr">
        <is>
          <t>MDPI</t>
        </is>
      </c>
      <c r="AN8" t="inlineStr">
        <is>
          <t>BASEL</t>
        </is>
      </c>
      <c r="AO8" t="inlineStr">
        <is>
          <t>ST ALBAN-ANLAGE 66, CH-4052 BASEL, SWITZERLAND</t>
        </is>
      </c>
      <c r="AQ8" t="inlineStr">
        <is>
          <t>1660-4601</t>
        </is>
      </c>
      <c r="AS8" t="inlineStr">
        <is>
          <t>INT J ENV RES PUB HE</t>
        </is>
      </c>
      <c r="AT8" t="inlineStr">
        <is>
          <t>Int. J. Environ. Res. Public Health</t>
        </is>
      </c>
      <c r="AU8" t="inlineStr">
        <is>
          <t>DEC</t>
        </is>
      </c>
      <c r="AV8" t="n">
        <v>2021</v>
      </c>
      <c r="AW8" t="n">
        <v>18</v>
      </c>
      <c r="AX8" t="n">
        <v>23</v>
      </c>
      <c r="BE8" t="n">
        <v>12510</v>
      </c>
      <c r="BF8" t="inlineStr">
        <is>
          <t>10.3390/ijerph182312510</t>
        </is>
      </c>
      <c r="BG8">
        <f>HYPERLINK("http://dx.doi.org/10.3390/ijerph182312510","http://dx.doi.org/10.3390/ijerph182312510")</f>
        <v/>
      </c>
      <c r="BJ8" t="n">
        <v>20</v>
      </c>
      <c r="BK8" t="inlineStr">
        <is>
          <t>Environmental Sciences; Public, Environmental &amp; Occupational Health</t>
        </is>
      </c>
      <c r="BL8" t="inlineStr">
        <is>
          <t>Science Citation Index Expanded (SCI-EXPANDED); Social Science Citation Index (SSCI)</t>
        </is>
      </c>
      <c r="BM8" t="inlineStr">
        <is>
          <t>Environmental Sciences &amp; Ecology; Public, Environmental &amp; Occupational Health</t>
        </is>
      </c>
      <c r="BN8" t="inlineStr">
        <is>
          <t>XV2XK</t>
        </is>
      </c>
      <c r="BO8" t="n">
        <v>34886236</v>
      </c>
      <c r="BP8" t="inlineStr">
        <is>
          <t>Green Published, gold</t>
        </is>
      </c>
      <c r="BS8" t="inlineStr">
        <is>
          <t>2023-10-26</t>
        </is>
      </c>
      <c r="BT8" t="inlineStr">
        <is>
          <t>WOS:000734811000001</t>
        </is>
      </c>
      <c r="BU8">
        <f>HYPERLINK("https%3A%2F%2Fwww.webofscience.com%2Fwos%2Fwoscc%2Ffull-record%2FWOS:000734811000001","View Full Record in Web of Science")</f>
        <v/>
      </c>
    </row>
    <row r="9">
      <c r="A9" t="inlineStr">
        <is>
          <t>J</t>
        </is>
      </c>
      <c r="B9" t="inlineStr">
        <is>
          <t>Wang, WX; Zhang, Y; Zhao, CL; Liu, XF; Chen, XM; Li, CY; Wang, T; Wu, JN; Wang, LJ</t>
        </is>
      </c>
      <c r="F9" t="inlineStr">
        <is>
          <t>Wang, Wenxiao; Zhang, Yi; Zhao, Chunli; Liu, Xiaofei; Chen, Xumei; Li, Chaoyang; Wang, Tao; Wu, Jiani; Wang, Lanjing</t>
        </is>
      </c>
      <c r="J9" t="inlineStr">
        <is>
          <t>INTERNATIONAL JOURNAL OF ENVIRONMENTAL RESEARCH AND PUBLIC HEALTH</t>
        </is>
      </c>
      <c r="M9" t="inlineStr">
        <is>
          <t>English</t>
        </is>
      </c>
      <c r="N9" t="inlineStr">
        <is>
          <t>Article</t>
        </is>
      </c>
      <c r="T9" t="inlineStr">
        <is>
          <t>Nonlinear Associations of the Built Environment with Cycling Frequency among Older Adults in Zhongshan, China</t>
        </is>
      </c>
      <c r="U9" t="inlineStr">
        <is>
          <t>nonlinear; built environment; cycling; older adults; XGBoost; threshold effect</t>
        </is>
      </c>
      <c r="V9" t="inlineStr">
        <is>
          <t>LAND-USE; WALKING; TRANSPORTATION; BICYCLE; HEALTH; TRIPS; PREFERENCES; MATTER; TRAVEL; INDEX</t>
        </is>
      </c>
      <c r="W9" t="inlineStr">
        <is>
          <t>The health and welfare of older adults have raised increasing attention due to global aging. Cycling is a physical activity and mode of transportation to enhance the mobility and quality of life among older adults. Nevertheless, the planning strategies to promote cycling among older adults are underutilized. Therefore, this paper describes the nonlinear associations of the built environment with cycling frequency among older adults. The data were collected from the Zhongshan Household Travel Survey (ZHTS) in 2012. The modeling approach was the eXtreme Gradient Boosting (XGBoost) model. The findings demonstrated that nonlinear relationships exist among all the selected built environment attributes. Within specific intervals, the population density, the land-use mixture, the distance from home to the nearest bus stop, and the distance from home to CBD are positively correlated to the cycling among older adults. Additionally, an inverse U-shaped relationship appears in the percentage of green space land use among all land uses. Moreover, the intersection density is inversely related to the cycling frequency among older adults. These findings provide nuanced and appropriate guidance for establishing age-friendly neighborhoods.</t>
        </is>
      </c>
      <c r="X9" t="inlineStr">
        <is>
          <t>[Wang, Wenxiao; Zhang, Yi; Li, Chaoyang; Wang, Tao; Wu, Jiani; Wang, Lanjing] Shanghai Jiao Tong Univ, China Inst Urban Governance, State Key Lab Ocean Engn, Shanghai 200240, Peoples R China; [Zhao, Chunli] Lund Univ, Dept Technol &amp; Soc, Transport &amp; Roads, Fac Engn, S-22100 Lund, Sweden; [Liu, Xiaofei; Chen, Xumei] China Acad Transportat Sci, Key Lab Adv Publ Transportat Sci, MOT, Beijing 100029, Peoples R China</t>
        </is>
      </c>
      <c r="Y9" t="inlineStr">
        <is>
          <t>Shanghai Jiao Tong University; Lund University; China Academy of Transportation Sciences</t>
        </is>
      </c>
      <c r="Z9" t="inlineStr">
        <is>
          <t>Zhang, Y (corresponding author), Shanghai Jiao Tong Univ, China Inst Urban Governance, State Key Lab Ocean Engn, Shanghai 200240, Peoples R China.</t>
        </is>
      </c>
      <c r="AA9" t="inlineStr">
        <is>
          <t>wangwenxiao@sjtu.edu.cn; darrenzhy@sjtu.edu.cn; Chunli.Zhao@tft.lth.se; liuxf@motcats.ac.cn; chenxm@motcats.ac.cn; cyljjf@sjtu.edu.cn; wangtao127@sjtu.edu.cn; JiaNiZi@sjtu.edu.cn; lanjing.wang@sjtu.edu.cn</t>
        </is>
      </c>
      <c r="AB9" t="inlineStr">
        <is>
          <t>Li, Chao/GSM-8117-2022; wang, tao/HLG-5649-2023</t>
        </is>
      </c>
      <c r="AC9" t="inlineStr">
        <is>
          <t>Li, Chao/0000-0001-6110-6210; Wang, Tao/0000-0001-7129-3451</t>
        </is>
      </c>
      <c r="AD9" t="inlineStr">
        <is>
          <t>National Social Science Foundation of China [18BSH143]</t>
        </is>
      </c>
      <c r="AE9" t="inlineStr">
        <is>
          <t>National Social Science Foundation of China(National Office of Philosophy and Social Sciences)</t>
        </is>
      </c>
      <c r="AF9" t="inlineStr">
        <is>
          <t>This research was funded by the National Social Science Foundation of China (Grant No. 18BSH143).</t>
        </is>
      </c>
      <c r="AH9" t="n">
        <v>69</v>
      </c>
      <c r="AI9" t="n">
        <v>9</v>
      </c>
      <c r="AJ9" t="n">
        <v>9</v>
      </c>
      <c r="AK9" t="n">
        <v>9</v>
      </c>
      <c r="AL9" t="n">
        <v>28</v>
      </c>
      <c r="AM9" t="inlineStr">
        <is>
          <t>MDPI</t>
        </is>
      </c>
      <c r="AN9" t="inlineStr">
        <is>
          <t>BASEL</t>
        </is>
      </c>
      <c r="AO9" t="inlineStr">
        <is>
          <t>ST ALBAN-ANLAGE 66, CH-4052 BASEL, SWITZERLAND</t>
        </is>
      </c>
      <c r="AQ9" t="inlineStr">
        <is>
          <t>1660-4601</t>
        </is>
      </c>
      <c r="AS9" t="inlineStr">
        <is>
          <t>INT J ENV RES PUB HE</t>
        </is>
      </c>
      <c r="AT9" t="inlineStr">
        <is>
          <t>Int. J. Environ. Res. Public Health</t>
        </is>
      </c>
      <c r="AU9" t="inlineStr">
        <is>
          <t>OCT</t>
        </is>
      </c>
      <c r="AV9" t="n">
        <v>2021</v>
      </c>
      <c r="AW9" t="n">
        <v>18</v>
      </c>
      <c r="AX9" t="n">
        <v>20</v>
      </c>
      <c r="BE9" t="n">
        <v>10723</v>
      </c>
      <c r="BF9" t="inlineStr">
        <is>
          <t>10.3390/ijerph182010723</t>
        </is>
      </c>
      <c r="BG9">
        <f>HYPERLINK("http://dx.doi.org/10.3390/ijerph182010723","http://dx.doi.org/10.3390/ijerph182010723")</f>
        <v/>
      </c>
      <c r="BJ9" t="n">
        <v>19</v>
      </c>
      <c r="BK9" t="inlineStr">
        <is>
          <t>Environmental Sciences; Public, Environmental &amp; Occupational Health</t>
        </is>
      </c>
      <c r="BL9" t="inlineStr">
        <is>
          <t>Science Citation Index Expanded (SCI-EXPANDED); Social Science Citation Index (SSCI)</t>
        </is>
      </c>
      <c r="BM9" t="inlineStr">
        <is>
          <t>Environmental Sciences &amp; Ecology; Public, Environmental &amp; Occupational Health</t>
        </is>
      </c>
      <c r="BN9" t="inlineStr">
        <is>
          <t>2I9TW</t>
        </is>
      </c>
      <c r="BO9" t="n">
        <v>34682469</v>
      </c>
      <c r="BP9" t="inlineStr">
        <is>
          <t>gold, Green Published</t>
        </is>
      </c>
      <c r="BS9" t="inlineStr">
        <is>
          <t>2023-10-26</t>
        </is>
      </c>
      <c r="BT9" t="inlineStr">
        <is>
          <t>WOS:000815314300001</t>
        </is>
      </c>
      <c r="BU9">
        <f>HYPERLINK("https%3A%2F%2Fwww.webofscience.com%2Fwos%2Fwoscc%2Ffull-record%2FWOS:000815314300001","View Full Record in Web of Science")</f>
        <v/>
      </c>
    </row>
    <row r="10">
      <c r="A10" t="inlineStr">
        <is>
          <t>J</t>
        </is>
      </c>
      <c r="B10" t="inlineStr">
        <is>
          <t>Ando, M; Kamide, N; Sakamoto, M; Shiba, Y; Sato, H; Kawamura, A; Watanabe, S</t>
        </is>
      </c>
      <c r="F10" t="inlineStr">
        <is>
          <t>Ando, Masataka; Kamide, Naoto; Sakamoto, Miki; Shiba, Yoshitaka; Sato, Haruhiko; Kawamura, Akie; Watanabe, Shuichiro</t>
        </is>
      </c>
      <c r="J10" t="inlineStr">
        <is>
          <t>INTERNATIONAL JOURNAL OF ENVIRONMENTAL RESEARCH AND PUBLIC HEALTH</t>
        </is>
      </c>
      <c r="M10" t="inlineStr">
        <is>
          <t>English</t>
        </is>
      </c>
      <c r="N10" t="inlineStr">
        <is>
          <t>Article</t>
        </is>
      </c>
      <c r="T10" t="inlineStr">
        <is>
          <t>The Effects of Neighborhood Physical and Social Environment on Physical Function among Japanese Community-Dwelling Older Adults: A One-Year Longitudinal Study</t>
        </is>
      </c>
      <c r="U10" t="inlineStr">
        <is>
          <t>community-dwelling older adults; neighborhood environment; physical function; longitudinal study</t>
        </is>
      </c>
      <c r="V10" t="inlineStr">
        <is>
          <t>INCIDENT DISABILITY; BUILT ENVIRONMENT; GAIT SPEED; MOBILITY; ASSOCIATION; POPULATION; GO; PROBABILITY; RELIABILITY; FRACTURES</t>
        </is>
      </c>
      <c r="W10" t="inlineStr">
        <is>
          <t>Previous studies have shown a relationship between physical and social aspects of the neighborhood environment (e.g., built environment, safety) and physical function in older adults. However, these associations are unclear in older Asian adults because longitudinal studies are lacking. This study examined the effects of neighborhood physical and social environment on longitudinal changes in physical function among Japanese older adults. We analyzed 299 Japanese community-dwelling adults aged &gt;= 65 years. Neighborhood environment was assessed using the International Physical Activity Questionnaire Environment Module. Physical function was assessed using handgrip strength, knee extension muscle strength, 5-m walking time, and a timed up-and-go test (TUG) in baseline and follow-up surveys. Changes in physical function over one year were calculated and classified into decline or maintenance groups based on minimal detectable changes. Multiple logistic regression analysis showed that even after adjusting for confounding factors, good access to recreational facilities affected the maintenance of 5-m walking time (odds ratio [OR] = 2.31, 95% confidence interval [CI]: 1.02-5.21) and good crime safety affected the maintenance of TUG (OR = 1.87, 95%CI: 1.06-3.33). Therefore, it is important to assess both physical and social environmental neighborhood resources in predicting decline in physical function among Japanese older adults.</t>
        </is>
      </c>
      <c r="X10" t="inlineStr">
        <is>
          <t>[Ando, Masataka; Kamide, Naoto; Sakamoto, Miki; Kawamura, Akie] Kitasato Univ, Sch Allied Hlth Sci, Minami Ku, 1-15-1 Kitazato, Sagamihara, Kanagawa 2520373, Japan; [Kamide, Naoto; Sakamoto, Miki] Kitasato Univ, Grad Sch Med Sci, Minami Ku, 1-15-1 Kitazato, Sagamihara, Kanagawa 2520373, Japan; [Shiba, Yoshitaka] Fukushima Med Univ, Sch Hlth Sci, 10-6 Sakae Machi, Fukushima 9608031, Japan; [Sato, Haruhiko] Kansai Med Univ, Fac Rehabil, 18-89 Uyama Higashi Machi, Hirakata, Osaka 5731136, Japan; [Watanabe, Shuichiro] JF Oberlin Univ, Int Grad Sch Adv Studies, 3758 Tokiwa Machi, Machida, Tokyo 1940294, Japan</t>
        </is>
      </c>
      <c r="Y10" t="inlineStr">
        <is>
          <t>Kitasato University; Kitasato University; Fukushima Medical University; Kansai Medical University</t>
        </is>
      </c>
      <c r="Z10" t="inlineStr">
        <is>
          <t>Ando, M (corresponding author), Kitasato Univ, Sch Allied Hlth Sci, Minami Ku, 1-15-1 Kitazato, Sagamihara, Kanagawa 2520373, Japan.</t>
        </is>
      </c>
      <c r="AA10" t="inlineStr">
        <is>
          <t>m.ando@kitasato-u.ac.jp; naokami@kitasato-u.ac.jp; mikis@kitasato-u.ac.jp; y-shiba@fmu.ac.jp; satohar@makino.kmu.ac.jp; akie.k@kitasato-u.ac.jp; swan@obirin.ac.jp</t>
        </is>
      </c>
      <c r="AC10" t="inlineStr">
        <is>
          <t>Kamide, Naoto/0000-0003-1566-1015; Ando, Masataka/0000-0003-3706-8183</t>
        </is>
      </c>
      <c r="AD10" t="inlineStr">
        <is>
          <t>Japan Society for the Promotion of Science KAKENHI [20K19406, 19K11394]</t>
        </is>
      </c>
      <c r="AE10" t="inlineStr">
        <is>
          <t>Japan Society for the Promotion of Science KAKENHI(Ministry of Education, Culture, Sports, Science and Technology, Japan (MEXT)Japan Society for the Promotion of ScienceGrants-in-Aid for Scientific Research (KAKENHI))</t>
        </is>
      </c>
      <c r="AF10" t="inlineStr">
        <is>
          <t>This study was funded by the Japan Society for the Promotion of Science KAKENHI (Grant Nos. 20K19406 and 19K11394).</t>
        </is>
      </c>
      <c r="AH10" t="n">
        <v>50</v>
      </c>
      <c r="AI10" t="n">
        <v>0</v>
      </c>
      <c r="AJ10" t="n">
        <v>0</v>
      </c>
      <c r="AK10" t="n">
        <v>3</v>
      </c>
      <c r="AL10" t="n">
        <v>10</v>
      </c>
      <c r="AM10" t="inlineStr">
        <is>
          <t>MDPI</t>
        </is>
      </c>
      <c r="AN10" t="inlineStr">
        <is>
          <t>BASEL</t>
        </is>
      </c>
      <c r="AO10" t="inlineStr">
        <is>
          <t>ST ALBAN-ANLAGE 66, CH-4052 BASEL, SWITZERLAND</t>
        </is>
      </c>
      <c r="AQ10" t="inlineStr">
        <is>
          <t>1660-4601</t>
        </is>
      </c>
      <c r="AS10" t="inlineStr">
        <is>
          <t>INT J ENV RES PUB HE</t>
        </is>
      </c>
      <c r="AT10" t="inlineStr">
        <is>
          <t>Int. J. Environ. Res. Public Health</t>
        </is>
      </c>
      <c r="AU10" t="inlineStr">
        <is>
          <t>JUL</t>
        </is>
      </c>
      <c r="AV10" t="n">
        <v>2022</v>
      </c>
      <c r="AW10" t="n">
        <v>19</v>
      </c>
      <c r="AX10" t="n">
        <v>13</v>
      </c>
      <c r="BE10" t="n">
        <v>7999</v>
      </c>
      <c r="BF10" t="inlineStr">
        <is>
          <t>10.3390/ijerph19137999</t>
        </is>
      </c>
      <c r="BG10">
        <f>HYPERLINK("http://dx.doi.org/10.3390/ijerph19137999","http://dx.doi.org/10.3390/ijerph19137999")</f>
        <v/>
      </c>
      <c r="BJ10" t="n">
        <v>10</v>
      </c>
      <c r="BK10" t="inlineStr">
        <is>
          <t>Environmental Sciences; Public, Environmental &amp; Occupational Health</t>
        </is>
      </c>
      <c r="BL10" t="inlineStr">
        <is>
          <t>Science Citation Index Expanded (SCI-EXPANDED); Social Science Citation Index (SSCI)</t>
        </is>
      </c>
      <c r="BM10" t="inlineStr">
        <is>
          <t>Environmental Sciences &amp; Ecology; Public, Environmental &amp; Occupational Health</t>
        </is>
      </c>
      <c r="BN10" t="inlineStr">
        <is>
          <t>2V6AV</t>
        </is>
      </c>
      <c r="BO10" t="n">
        <v>35805659</v>
      </c>
      <c r="BP10" t="inlineStr">
        <is>
          <t>Green Published, gold</t>
        </is>
      </c>
      <c r="BS10" t="inlineStr">
        <is>
          <t>2023-10-26</t>
        </is>
      </c>
      <c r="BT10" t="inlineStr">
        <is>
          <t>WOS:000823927400001</t>
        </is>
      </c>
      <c r="BU10">
        <f>HYPERLINK("https%3A%2F%2Fwww.webofscience.com%2Fwos%2Fwoscc%2Ffull-record%2FWOS:000823927400001","View Full Record in Web of Science")</f>
        <v/>
      </c>
    </row>
    <row r="11">
      <c r="A11" t="inlineStr">
        <is>
          <t>J</t>
        </is>
      </c>
      <c r="B11" t="inlineStr">
        <is>
          <t>Wang, LJ; Zhao, CL; Liu, XF; Chen, XM; Li, CY; Wang, T; Wu, JN; Zhang, Y</t>
        </is>
      </c>
      <c r="F11" t="inlineStr">
        <is>
          <t>Wang, Lanjing; Zhao, Chunli; Liu, Xiaofei; Chen, Xumei; Li, Chaoyang; Wang, Tao; Wu, Jiani; Zhang, Yi</t>
        </is>
      </c>
      <c r="J11" t="inlineStr">
        <is>
          <t>INTERNATIONAL JOURNAL OF ENVIRONMENTAL RESEARCH AND PUBLIC HEALTH</t>
        </is>
      </c>
      <c r="M11" t="inlineStr">
        <is>
          <t>English</t>
        </is>
      </c>
      <c r="N11" t="inlineStr">
        <is>
          <t>Article</t>
        </is>
      </c>
      <c r="T11" t="inlineStr">
        <is>
          <t>Non-Linear Effects of the Built Environment and Social Environment on Bus Use among Older Adults in China: An Application of the XGBoost Model</t>
        </is>
      </c>
      <c r="U11" t="inlineStr">
        <is>
          <t>non-linear; built environment; social environment; bus use; older adults; XGBoost model; threshold effect</t>
        </is>
      </c>
      <c r="V11" t="inlineStr">
        <is>
          <t>BOOSTING DECISION TREES; PHYSICAL-ACTIVITY; PUBLIC TRANSPORTATION; ACTIVE TRAVEL; CYCLING TRIPS; TRANSIT USE; WALKING; RIDERSHIP; MOBILITY; ATTRIBUTES</t>
        </is>
      </c>
      <c r="W11" t="inlineStr">
        <is>
          <t>Global aging has raised increasing concerns on the health and well-being of older adults. Public transport is a viable option to improve the mobility and quality of life among older adults. However, policies that promote the public transport use among older adults are rare. This study utilizes the eXtreme Gradient Boosting (XGBoost) decision tree to explore the non-linear associations of the built and social environment with bus use among older adults in China. The bus use of older adults was obtained from the Zhongshan Household Travel Survey (ZHTS) in 2012. Results show that non-linear relationships exist among all built environment and social environment characteristics. Within certain thresholds, the percentage of green space land use, land use mixture, bus-stop density, and dwelling unit density are positively related to bus use among older adults. Likewise, one social environment variable, the proportion of older adults in a neighborhood, is the key social environment variable. Furthermore, the dwelling unit density and proportion of older adults appear to have an inverse U-shaped relationship. Additionally, age, ownership of motorcycles, and distance from home to the nearest bus stop also show non-linearity. The findings presented in this paper facilitate effective planning interventions to promote bus use among older adults.</t>
        </is>
      </c>
      <c r="X11" t="inlineStr">
        <is>
          <t>[Wang, Lanjing; Li, Chaoyang; Wang, Tao; Wu, Jiani; Zhang, Yi] Shanghai Jiao Tong Univ, China Inst Urban Governance, State Key Lab Ocean Engn, Shanghai 200240, Peoples R China; [Zhao, Chunli] Lund Univ, Fac Engn, Dept Technol &amp; Soc, Transport &amp; Rd, S-22100 Lund, Sweden; [Liu, Xiaofei; Chen, Xumei] China Acad Transportat Sci, Key Lab Adv Publ Transportat Sci, MOT, Beijing 100029, Peoples R China</t>
        </is>
      </c>
      <c r="Y11" t="inlineStr">
        <is>
          <t>Shanghai Jiao Tong University; Lund University; China Academy of Transportation Sciences</t>
        </is>
      </c>
      <c r="Z11" t="inlineStr">
        <is>
          <t>Zhang, Y (corresponding author), Shanghai Jiao Tong Univ, China Inst Urban Governance, State Key Lab Ocean Engn, Shanghai 200240, Peoples R China.</t>
        </is>
      </c>
      <c r="AA11" t="inlineStr">
        <is>
          <t>lanjing.wang@sjtu.edu.cn; Chunli.Zhao@tft.lth.se; liuxf@motcats.ac.cn; chenxm@motcats.ac.cn; cyljjf@sjtu.edu.cn; wangtao127@sjtu.edu.cn; JiaNiZi@sjtu.edu.cn; darrenzhy@sjtu.edu.cn</t>
        </is>
      </c>
      <c r="AB11" t="inlineStr">
        <is>
          <t>Santana, Elaine/GNP-2710-2022; Li, Chao/GSM-8117-2022; wang, tao/HLG-5649-2023</t>
        </is>
      </c>
      <c r="AC11" t="inlineStr">
        <is>
          <t>Li, Chao/0000-0001-6110-6210; Wang, Tao/0000-0001-7129-3451</t>
        </is>
      </c>
      <c r="AD11" t="inlineStr">
        <is>
          <t>National Social Science Foundation of China [18BSH143]</t>
        </is>
      </c>
      <c r="AE11" t="inlineStr">
        <is>
          <t>National Social Science Foundation of China(National Office of Philosophy and Social Sciences)</t>
        </is>
      </c>
      <c r="AF11" t="inlineStr">
        <is>
          <t>This research was funded by the National Social Science Foundation of China (Grant No. 18BSH143).</t>
        </is>
      </c>
      <c r="AH11" t="n">
        <v>90</v>
      </c>
      <c r="AI11" t="n">
        <v>13</v>
      </c>
      <c r="AJ11" t="n">
        <v>13</v>
      </c>
      <c r="AK11" t="n">
        <v>19</v>
      </c>
      <c r="AL11" t="n">
        <v>67</v>
      </c>
      <c r="AM11" t="inlineStr">
        <is>
          <t>MDPI</t>
        </is>
      </c>
      <c r="AN11" t="inlineStr">
        <is>
          <t>BASEL</t>
        </is>
      </c>
      <c r="AO11" t="inlineStr">
        <is>
          <t>ST ALBAN-ANLAGE 66, CH-4052 BASEL, SWITZERLAND</t>
        </is>
      </c>
      <c r="AQ11" t="inlineStr">
        <is>
          <t>1660-4601</t>
        </is>
      </c>
      <c r="AS11" t="inlineStr">
        <is>
          <t>INT J ENV RES PUB HE</t>
        </is>
      </c>
      <c r="AT11" t="inlineStr">
        <is>
          <t>Int. J. Environ. Res. Public Health</t>
        </is>
      </c>
      <c r="AU11" t="inlineStr">
        <is>
          <t>SEP</t>
        </is>
      </c>
      <c r="AV11" t="n">
        <v>2021</v>
      </c>
      <c r="AW11" t="n">
        <v>18</v>
      </c>
      <c r="AX11" t="n">
        <v>18</v>
      </c>
      <c r="BE11" t="n">
        <v>9592</v>
      </c>
      <c r="BF11" t="inlineStr">
        <is>
          <t>10.3390/ijerph18189592</t>
        </is>
      </c>
      <c r="BG11">
        <f>HYPERLINK("http://dx.doi.org/10.3390/ijerph18189592","http://dx.doi.org/10.3390/ijerph18189592")</f>
        <v/>
      </c>
      <c r="BJ11" t="n">
        <v>22</v>
      </c>
      <c r="BK11" t="inlineStr">
        <is>
          <t>Environmental Sciences; Public, Environmental &amp; Occupational Health</t>
        </is>
      </c>
      <c r="BL11" t="inlineStr">
        <is>
          <t>Science Citation Index Expanded (SCI-EXPANDED); Social Science Citation Index (SSCI)</t>
        </is>
      </c>
      <c r="BM11" t="inlineStr">
        <is>
          <t>Environmental Sciences &amp; Ecology; Public, Environmental &amp; Occupational Health</t>
        </is>
      </c>
      <c r="BN11" t="inlineStr">
        <is>
          <t>UV6KD</t>
        </is>
      </c>
      <c r="BO11" t="n">
        <v>34574517</v>
      </c>
      <c r="BP11" t="inlineStr">
        <is>
          <t>gold, Green Published</t>
        </is>
      </c>
      <c r="BS11" t="inlineStr">
        <is>
          <t>2023-10-26</t>
        </is>
      </c>
      <c r="BT11" t="inlineStr">
        <is>
          <t>WOS:000699583800001</t>
        </is>
      </c>
      <c r="BU11">
        <f>HYPERLINK("https%3A%2F%2Fwww.webofscience.com%2Fwos%2Fwoscc%2Ffull-record%2FWOS:000699583800001","View Full Record in Web of Science")</f>
        <v/>
      </c>
    </row>
    <row r="12">
      <c r="A12" t="inlineStr">
        <is>
          <t>J</t>
        </is>
      </c>
      <c r="B12" t="inlineStr">
        <is>
          <t>Hou, FF; Han, X; Wang, Q; Zhou, S; Zhang, JY; Shen, GD; Zhang, Y</t>
        </is>
      </c>
      <c r="F12" t="inlineStr">
        <is>
          <t>Hou, Fangfang; Han, Xiao; Wang, Qiong; Zhou, Shuai; Zhang, Jingya; Shen, Guodong; Zhang, Yan</t>
        </is>
      </c>
      <c r="J12" t="inlineStr">
        <is>
          <t>INTERNATIONAL JOURNAL OF ENVIRONMENTAL RESEARCH AND PUBLIC HEALTH</t>
        </is>
      </c>
      <c r="M12" t="inlineStr">
        <is>
          <t>English</t>
        </is>
      </c>
      <c r="N12" t="inlineStr">
        <is>
          <t>Article</t>
        </is>
      </c>
      <c r="T12" t="inlineStr">
        <is>
          <t>Cross-Sectional Associations between Living and Built Environments and Depression Symptoms among Chinese Older Adults</t>
        </is>
      </c>
      <c r="U12" t="inlineStr">
        <is>
          <t>depression symptoms; environment; older adults</t>
        </is>
      </c>
      <c r="V12" t="inlineStr">
        <is>
          <t>LATE-LIFE DEPRESSION; SOCIAL-INTERACTION; PHYSICAL-EXERCISE; SEX-DIFFERENCES; STRESS; HEALTH; VALIDITY; ANXIETY; GENDER; IMPACT</t>
        </is>
      </c>
      <c r="W12" t="inlineStr">
        <is>
          <t>In this study, we explored the cross-sectional associations between living and built environments and depression among older Chinese adults. Data from 5822 participants were obtained. Depression symptoms were evaluated through the use of the Patient Health Questionnaire (PHQ-9), with a score higher than 4 categorized as having depression symptoms. The living environment was assessed by asking about dust in the environment and barrier-free facilities. We considered the presence of amenities within a 10 min walking distance and the proportion of green space within an 800 m distance from participants' dwellings to reflect the built environment. Data were analyzed by multilevel logistic regression. Participants living in a non-dusty environment with proximity to green space had a lower risk of depression (non-dusty environment: OR = 0.784, 95% CI = 0.642, 0.956; green space: OR = 0.834, 95% CI = 0.697, 0.998). However, having no access to barrier-free facilities and hospital proximity increased the depression risk (barrier-free facilities: OR = 1.253, 95% CI = 1.078, 1.457; hospital: OR = 1.318, 95% CI = 1.104, 1.574). Dusty environments, access to barrier-free facilities and proximity to hospitals and green spaces were associated with depression symptoms among older Chinese adults.</t>
        </is>
      </c>
      <c r="X12" t="inlineStr">
        <is>
          <t>[Hou, Fangfang; Han, Xiao; Wang, Qiong; Zhou, Shuai; Zhang, Jingya; Zhang, Yan] Anhui Med Univ, Sch Hlth Serv Management, Hefei 230032, Peoples R China; [Shen, Guodong] Univ Sci &amp; Technol China, Affiliated Hosp 1, Gerontol Inst Anhui Prov, Dept Geriatr,Div Life Sci &amp; Med, Hefei 230001, Peoples R China; [Shen, Guodong] Anhui Prov Key Lab Tumor Immunotherapy &amp; Nutr The, Hefei 230001, Peoples R China</t>
        </is>
      </c>
      <c r="Y12" t="inlineStr">
        <is>
          <t>Anhui Medical University; Chinese Academy of Sciences; University of Science &amp; Technology of China, CAS</t>
        </is>
      </c>
      <c r="Z12" t="inlineStr">
        <is>
          <t>Zhang, Y (corresponding author), Anhui Med Univ, Sch Hlth Serv Management, Hefei 230032, Peoples R China.;Shen, GD (corresponding author), Univ Sci &amp; Technol China, Affiliated Hosp 1, Gerontol Inst Anhui Prov, Dept Geriatr,Div Life Sci &amp; Med, Hefei 230001, Peoples R China.;Shen, GD (corresponding author), Anhui Prov Key Lab Tumor Immunotherapy &amp; Nutr The, Hefei 230001, Peoples R China.</t>
        </is>
      </c>
      <c r="AA12" t="inlineStr">
        <is>
          <t>2045010499@stu.ahmu.edu.cn; 2045010498@stu.ahmu.edu.cn; 2145010558@stu.ahmu.edu.cn; 2145010573@stu.ahmu.edu.cn; 1813044009@stu.ahmu.edu.cn; gdshen@ustc.edu.cn; zhangymail@ahmu.edu.cn</t>
        </is>
      </c>
      <c r="AB12" t="inlineStr">
        <is>
          <t>沈, 国栋/ABA-5925-2021</t>
        </is>
      </c>
      <c r="AC12" t="inlineStr">
        <is>
          <t>沈, 国栋/0000-0003-2521-8738; Zhang, Yan/0000-0003-3367-5832</t>
        </is>
      </c>
      <c r="AD12" t="inlineStr">
        <is>
          <t>National Natural Science Foundation of China [72004003]; Science and Technology of Anhui Province [202004b11020019]; Hefei Municipal Natural Science Foundation [2021005]</t>
        </is>
      </c>
      <c r="AE12" t="inlineStr">
        <is>
          <t>National Natural Science Foundation of China(National Natural Science Foundation of China (NSFC)); Science and Technology of Anhui Province; Hefei Municipal Natural Science Foundation</t>
        </is>
      </c>
      <c r="AF12" t="inlineStr">
        <is>
          <t>This research was funded by the National Natural Science Foundation of China, grant number 72004003 to Y.Z.; the Key Projects of Science and the Key Project of Science and Technology of Anhui Province, grant number 202004b11020019; and the Hefei Municipal Natural Science Foundation, grant number 2021005 to G.S. The APC was funded by Y.Z.</t>
        </is>
      </c>
      <c r="AH12" t="n">
        <v>71</v>
      </c>
      <c r="AI12" t="n">
        <v>4</v>
      </c>
      <c r="AJ12" t="n">
        <v>4</v>
      </c>
      <c r="AK12" t="n">
        <v>7</v>
      </c>
      <c r="AL12" t="n">
        <v>36</v>
      </c>
      <c r="AM12" t="inlineStr">
        <is>
          <t>MDPI</t>
        </is>
      </c>
      <c r="AN12" t="inlineStr">
        <is>
          <t>BASEL</t>
        </is>
      </c>
      <c r="AO12" t="inlineStr">
        <is>
          <t>ST ALBAN-ANLAGE 66, CH-4052 BASEL, SWITZERLAND</t>
        </is>
      </c>
      <c r="AQ12" t="inlineStr">
        <is>
          <t>1660-4601</t>
        </is>
      </c>
      <c r="AS12" t="inlineStr">
        <is>
          <t>INT J ENV RES PUB HE</t>
        </is>
      </c>
      <c r="AT12" t="inlineStr">
        <is>
          <t>Int. J. Environ. Res. Public Health</t>
        </is>
      </c>
      <c r="AU12" t="inlineStr">
        <is>
          <t>MAY</t>
        </is>
      </c>
      <c r="AV12" t="n">
        <v>2022</v>
      </c>
      <c r="AW12" t="n">
        <v>19</v>
      </c>
      <c r="AX12" t="n">
        <v>10</v>
      </c>
      <c r="BE12" t="n">
        <v>5819</v>
      </c>
      <c r="BF12" t="inlineStr">
        <is>
          <t>10.3390/ijerph19105819</t>
        </is>
      </c>
      <c r="BG12">
        <f>HYPERLINK("http://dx.doi.org/10.3390/ijerph19105819","http://dx.doi.org/10.3390/ijerph19105819")</f>
        <v/>
      </c>
      <c r="BJ12" t="n">
        <v>12</v>
      </c>
      <c r="BK12" t="inlineStr">
        <is>
          <t>Environmental Sciences; Public, Environmental &amp; Occupational Health</t>
        </is>
      </c>
      <c r="BL12" t="inlineStr">
        <is>
          <t>Science Citation Index Expanded (SCI-EXPANDED); Social Science Citation Index (SSCI)</t>
        </is>
      </c>
      <c r="BM12" t="inlineStr">
        <is>
          <t>Environmental Sciences &amp; Ecology; Public, Environmental &amp; Occupational Health</t>
        </is>
      </c>
      <c r="BN12" t="inlineStr">
        <is>
          <t>1Q2CW</t>
        </is>
      </c>
      <c r="BO12" t="n">
        <v>35627355</v>
      </c>
      <c r="BP12" t="inlineStr">
        <is>
          <t>gold, Green Published</t>
        </is>
      </c>
      <c r="BS12" t="inlineStr">
        <is>
          <t>2023-10-26</t>
        </is>
      </c>
      <c r="BT12" t="inlineStr">
        <is>
          <t>WOS:000802503400001</t>
        </is>
      </c>
      <c r="BU12">
        <f>HYPERLINK("https%3A%2F%2Fwww.webofscience.com%2Fwos%2Fwoscc%2Ffull-record%2FWOS:000802503400001","View Full Record in Web of Science")</f>
        <v/>
      </c>
    </row>
    <row r="13">
      <c r="A13" t="inlineStr">
        <is>
          <t>J</t>
        </is>
      </c>
      <c r="B13" t="inlineStr">
        <is>
          <t>López-Chao, V; Lorenzo, AA; Saorín, JL; De La Torre-Cantero, J; Melián-Díaz, D</t>
        </is>
      </c>
      <c r="F13" t="inlineStr">
        <is>
          <t>Lopez-Chao, Vicente; Amado Lorenzo, Antonio; Luis Saorin, Jose; De La Torre-Cantero, Jorge; Melian-Diaz, Dimari</t>
        </is>
      </c>
      <c r="J13" t="inlineStr">
        <is>
          <t>SUSTAINABILITY</t>
        </is>
      </c>
      <c r="M13" t="inlineStr">
        <is>
          <t>English</t>
        </is>
      </c>
      <c r="N13" t="inlineStr">
        <is>
          <t>Article</t>
        </is>
      </c>
      <c r="T13" t="inlineStr">
        <is>
          <t>Classroom Indoor Environment Assessment through Architectural Analysis for the Design of Efficient Schools</t>
        </is>
      </c>
      <c r="U13" t="inlineStr">
        <is>
          <t>acoustics; environmental quality; learning space; occupant comfort; sustainable architecture; sustainable building; visual comfort; thermal comfort; ventilation comfort</t>
        </is>
      </c>
      <c r="V13" t="inlineStr">
        <is>
          <t>SEATING LOCATION; CLASS SIZE; STUDENTS; PREFERENCES; IMPACT</t>
        </is>
      </c>
      <c r="W13" t="inlineStr">
        <is>
          <t>Optimization of environmental performance is one of the standards to be achieved towards designing sustainable buildings. Many researchers are focusing on zero emission building; however, it is essential that the indoor environment favors the performance of the building purpose. Empirical research has demonstrated the influence of architectural space variables on student performance, but they have not focused on holistic studies that compare how space influences different academic performance, such as Mathematics and Arts. This manuscript explores, under self-reported data, the relationship between learning space and the mathematics and art performance in 583 primary school students in Galicia (Spain). For this, the Indoor Physical Environment Perception scale has been adapted and validated and conducted in 27 classrooms. The results of the Exploratory Factor Analysis have evidenced that the learning space is structured in three categories: Workspace comfort, natural environment and building comfort. Multiple linear regression analyses have supported previous research and bring new findings concerning that the indoor environment variables do not influence in the same way different activities of school architecture.</t>
        </is>
      </c>
      <c r="X13" t="inlineStr">
        <is>
          <t>[Lopez-Chao, Vicente; Amado Lorenzo, Antonio] Univ A Coruna, Dept Architectural Graph, La Coruna 15008, Spain; [Luis Saorin, Jose; De La Torre-Cantero, Jorge; Melian-Diaz, Dimari] Univ La Laguna, Dept Tech &amp; Projects Engn &amp; Architecture, San Cristobal La Laguna 38204, Spain</t>
        </is>
      </c>
      <c r="Y13" t="inlineStr">
        <is>
          <t>Universidade da Coruna; Universidad de la Laguna</t>
        </is>
      </c>
      <c r="Z13" t="inlineStr">
        <is>
          <t>López-Chao, V (corresponding author), Univ A Coruna, Dept Architectural Graph, La Coruna 15008, Spain.</t>
        </is>
      </c>
      <c r="AA13" t="inlineStr">
        <is>
          <t>v.lchao@udc.es; antonio.amado@udc.es; jlsaorin@ull.edu.es; jcantero@ull.edu.es; dmeliand@ull.edu.es</t>
        </is>
      </c>
      <c r="AB13" t="inlineStr">
        <is>
          <t>Lopez-Chao, Vicente/AAO-6304-2020; de la Torre Cantero, Jorge/ABB-1986-2020</t>
        </is>
      </c>
      <c r="AC13" t="inlineStr">
        <is>
          <t>Lopez-Chao, Vicente/0000-0002-7369-0319; saorin, Jose Luis/0000-0003-3240-3317; de la Torre Cantero, Jorge/0000-0001-5516-0456; Amado, Antonio/0000-0002-4208-4463; Melian Diaz, Damari/0000-0002-7651-728X</t>
        </is>
      </c>
      <c r="AH13" t="n">
        <v>38</v>
      </c>
      <c r="AI13" t="n">
        <v>21</v>
      </c>
      <c r="AJ13" t="n">
        <v>21</v>
      </c>
      <c r="AK13" t="n">
        <v>12</v>
      </c>
      <c r="AL13" t="n">
        <v>51</v>
      </c>
      <c r="AM13" t="inlineStr">
        <is>
          <t>MDPI</t>
        </is>
      </c>
      <c r="AN13" t="inlineStr">
        <is>
          <t>BASEL</t>
        </is>
      </c>
      <c r="AO13" t="inlineStr">
        <is>
          <t>ST ALBAN-ANLAGE 66, CH-4052 BASEL, SWITZERLAND</t>
        </is>
      </c>
      <c r="AQ13" t="inlineStr">
        <is>
          <t>2071-1050</t>
        </is>
      </c>
      <c r="AS13" t="inlineStr">
        <is>
          <t>SUSTAINABILITY-BASEL</t>
        </is>
      </c>
      <c r="AT13" t="inlineStr">
        <is>
          <t>Sustainability</t>
        </is>
      </c>
      <c r="AU13" t="inlineStr">
        <is>
          <t>MAR 1</t>
        </is>
      </c>
      <c r="AV13" t="n">
        <v>2020</v>
      </c>
      <c r="AW13" t="n">
        <v>12</v>
      </c>
      <c r="AX13" t="n">
        <v>5</v>
      </c>
      <c r="BE13" t="n">
        <v>2020</v>
      </c>
      <c r="BF13" t="inlineStr">
        <is>
          <t>10.3390/su12052020</t>
        </is>
      </c>
      <c r="BG13">
        <f>HYPERLINK("http://dx.doi.org/10.3390/su12052020","http://dx.doi.org/10.3390/su12052020")</f>
        <v/>
      </c>
      <c r="BJ13" t="n">
        <v>12</v>
      </c>
      <c r="BK13" t="inlineStr">
        <is>
          <t>Green &amp; Sustainable Science &amp; Technology; Environmental Sciences; Environmental Studies</t>
        </is>
      </c>
      <c r="BL13" t="inlineStr">
        <is>
          <t>Science Citation Index Expanded (SCI-EXPANDED); Social Science Citation Index (SSCI)</t>
        </is>
      </c>
      <c r="BM13" t="inlineStr">
        <is>
          <t>Science &amp; Technology - Other Topics; Environmental Sciences &amp; Ecology</t>
        </is>
      </c>
      <c r="BN13" t="inlineStr">
        <is>
          <t>KY3KU</t>
        </is>
      </c>
      <c r="BP13" t="inlineStr">
        <is>
          <t>Green Published, gold</t>
        </is>
      </c>
      <c r="BS13" t="inlineStr">
        <is>
          <t>2023-10-26</t>
        </is>
      </c>
      <c r="BT13" t="inlineStr">
        <is>
          <t>WOS:000522470900321</t>
        </is>
      </c>
      <c r="BU13">
        <f>HYPERLINK("https%3A%2F%2Fwww.webofscience.com%2Fwos%2Fwoscc%2Ffull-record%2FWOS:000522470900321","View Full Record in Web of Science")</f>
        <v/>
      </c>
    </row>
    <row r="14">
      <c r="A14" t="inlineStr">
        <is>
          <t>J</t>
        </is>
      </c>
      <c r="B14" t="inlineStr">
        <is>
          <t>Tiraphat, S; Peltzer, K; Thamma-Aphiphol, K; Suthisukon, K</t>
        </is>
      </c>
      <c r="F14" t="inlineStr">
        <is>
          <t>Tiraphat, Sariyamon; Peltzer, Karl; Thamma-Aphiphol, Kriengsak; Suthisukon, Kawinarat</t>
        </is>
      </c>
      <c r="J14" t="inlineStr">
        <is>
          <t>INTERNATIONAL JOURNAL OF ENVIRONMENTAL RESEARCH AND PUBLIC HEALTH</t>
        </is>
      </c>
      <c r="M14" t="inlineStr">
        <is>
          <t>English</t>
        </is>
      </c>
      <c r="N14" t="inlineStr">
        <is>
          <t>Article</t>
        </is>
      </c>
      <c r="T14" t="inlineStr">
        <is>
          <t>The Role of Age-reFriendly Environments on Quality of Life among Thai Older Adults</t>
        </is>
      </c>
      <c r="U14" t="inlineStr">
        <is>
          <t>age-friendly environments; quality of life; physical environment; social environment; older adults; Thailand</t>
        </is>
      </c>
      <c r="V14" t="inlineStr">
        <is>
          <t>BUILT ENVIRONMENT; SOCIAL COHESION; HEALTH; NEIGHBORHOOD; HAPPINESS; PEOPLE; BOGOTA; CRIME</t>
        </is>
      </c>
      <c r="W14" t="inlineStr">
        <is>
          <t>Studies on the significance of age-friendly environments towards quality of life among older adults have been limited. This study aimed to examine the association between age-friendly environments and quality of life among Thai older adults. Cross-sectional interview survey data were collected from 4183 older adults (&gt;= 60 years) using multistage stratified systematic sampling from all four regions in Thailand. The outcome variable was the World Health Organization Quality of Life (WHOQOL-BREF) scale, while independent variables included sociodemographic factors, having a health problem, and neighbourhood age-friendly environment variables. In multivariable logistic regression, significant age-friendly environments predictors of quality of life included walkable neighbourhood, neighbourhood aesthetics, neighbourhood service accessibility, neighbourhood criminal safety, neighbourhood social trust, neighbourhood social support, and neighbourhood social cohesion. The present study confirms the important role of age-friendly neighbourhoods in terms of physical and social environments towards the quality of life of older adults.</t>
        </is>
      </c>
      <c r="X14" t="inlineStr">
        <is>
          <t>[Tiraphat, Sariyamon; Peltzer, Karl; Thamma-Aphiphol, Kriengsak; Suthisukon, Kawinarat] Mahidol Univ, ASEAN Inst Hlth Dev, Phutthamonthon 73170, Nakhon Pathom, Thailand; [Peltzer, Karl] Univ Free State, Dept Psychol, ZA-9300 Bloemfontein, South Africa; [Peltzer, Karl] Human Sci Res Council, HAST, ZA-0001 Pretoria, South Africa</t>
        </is>
      </c>
      <c r="Y14" t="inlineStr">
        <is>
          <t>Mahidol University; University of the Free State; Human Sciences Research Council-South Africa</t>
        </is>
      </c>
      <c r="Z14" t="inlineStr">
        <is>
          <t>Peltzer, K (corresponding author), Mahidol Univ, ASEAN Inst Hlth Dev, Phutthamonthon 73170, Nakhon Pathom, Thailand.;Peltzer, K (corresponding author), Univ Free State, Dept Psychol, ZA-9300 Bloemfontein, South Africa.;Peltzer, K (corresponding author), Human Sci Res Council, HAST, ZA-0001 Pretoria, South Africa.</t>
        </is>
      </c>
      <c r="AA14" t="inlineStr">
        <is>
          <t>sariyamon.tir@mahidol.ac.th; karl.pel@mahidol.ac.th; kriengsak.sue@mahidol.ac.th; kawinarat.sut@mahidol.ac.th</t>
        </is>
      </c>
      <c r="AB14" t="inlineStr">
        <is>
          <t>Peltzer, Karl/Q-7334-2019; Peltzer, Karl/D-1518-2019</t>
        </is>
      </c>
      <c r="AC14" t="inlineStr">
        <is>
          <t>Peltzer, Karl/0000-0002-5980-0876; Peltzer, Karl/0000-0002-5980-0876</t>
        </is>
      </c>
      <c r="AD14" t="inlineStr">
        <is>
          <t>Mahidol University; Hospice and Elderly Care: Research and Learning Center</t>
        </is>
      </c>
      <c r="AE14" t="inlineStr">
        <is>
          <t>Mahidol University; Hospice and Elderly Care: Research and Learning Center</t>
        </is>
      </c>
      <c r="AF14" t="inlineStr">
        <is>
          <t>This research project is supported by Mahidol University and Hospice and Elderly Care: Research and Learning Center. All participants in this project including staff, fieldworkers, respondents and local authorities are thanked for their kind sharing and efforts.</t>
        </is>
      </c>
      <c r="AH14" t="n">
        <v>35</v>
      </c>
      <c r="AI14" t="n">
        <v>38</v>
      </c>
      <c r="AJ14" t="n">
        <v>38</v>
      </c>
      <c r="AK14" t="n">
        <v>3</v>
      </c>
      <c r="AL14" t="n">
        <v>71</v>
      </c>
      <c r="AM14" t="inlineStr">
        <is>
          <t>MDPI</t>
        </is>
      </c>
      <c r="AN14" t="inlineStr">
        <is>
          <t>BASEL</t>
        </is>
      </c>
      <c r="AO14" t="inlineStr">
        <is>
          <t>ST ALBAN-ANLAGE 66, CH-4052 BASEL, SWITZERLAND</t>
        </is>
      </c>
      <c r="AQ14" t="inlineStr">
        <is>
          <t>1660-4601</t>
        </is>
      </c>
      <c r="AS14" t="inlineStr">
        <is>
          <t>INT J ENV RES PUB HE</t>
        </is>
      </c>
      <c r="AT14" t="inlineStr">
        <is>
          <t>Int. J. Environ. Res. Public Health</t>
        </is>
      </c>
      <c r="AU14" t="inlineStr">
        <is>
          <t>MAR</t>
        </is>
      </c>
      <c r="AV14" t="n">
        <v>2017</v>
      </c>
      <c r="AW14" t="n">
        <v>14</v>
      </c>
      <c r="AX14" t="n">
        <v>3</v>
      </c>
      <c r="BE14" t="n">
        <v>282</v>
      </c>
      <c r="BF14" t="inlineStr">
        <is>
          <t>10.3390/ijerph14030282</t>
        </is>
      </c>
      <c r="BG14">
        <f>HYPERLINK("http://dx.doi.org/10.3390/ijerph14030282","http://dx.doi.org/10.3390/ijerph14030282")</f>
        <v/>
      </c>
      <c r="BJ14" t="n">
        <v>13</v>
      </c>
      <c r="BK14" t="inlineStr">
        <is>
          <t>Environmental Sciences; Public, Environmental &amp; Occupational Health</t>
        </is>
      </c>
      <c r="BL14" t="inlineStr">
        <is>
          <t>Science Citation Index Expanded (SCI-EXPANDED); Social Science Citation Index (SSCI)</t>
        </is>
      </c>
      <c r="BM14" t="inlineStr">
        <is>
          <t>Environmental Sciences &amp; Ecology; Public, Environmental &amp; Occupational Health</t>
        </is>
      </c>
      <c r="BN14" t="inlineStr">
        <is>
          <t>ER1BN</t>
        </is>
      </c>
      <c r="BO14" t="n">
        <v>28282942</v>
      </c>
      <c r="BP14" t="inlineStr">
        <is>
          <t>Green Published, gold, Green Submitted</t>
        </is>
      </c>
      <c r="BS14" t="inlineStr">
        <is>
          <t>2023-10-26</t>
        </is>
      </c>
      <c r="BT14" t="inlineStr">
        <is>
          <t>WOS:000398524100065</t>
        </is>
      </c>
      <c r="BU14">
        <f>HYPERLINK("https%3A%2F%2Fwww.webofscience.com%2Fwos%2Fwoscc%2Ffull-record%2FWOS:000398524100065","View Full Record in Web of Science")</f>
        <v/>
      </c>
    </row>
    <row r="15">
      <c r="A15" t="inlineStr">
        <is>
          <t>J</t>
        </is>
      </c>
      <c r="B15" t="inlineStr">
        <is>
          <t>Salvo, G; Lashewicz, BM; Doyle-Baker, PK; McCormack, GR</t>
        </is>
      </c>
      <c r="F15" t="inlineStr">
        <is>
          <t>Salvo, Grazia; Lashewicz, Bonnie M.; Doyle-Baker, Patricia K.; McCormack, Gavin R.</t>
        </is>
      </c>
      <c r="J15" t="inlineStr">
        <is>
          <t>INTERNATIONAL JOURNAL OF ENVIRONMENTAL RESEARCH AND PUBLIC HEALTH</t>
        </is>
      </c>
      <c r="M15" t="inlineStr">
        <is>
          <t>English</t>
        </is>
      </c>
      <c r="N15" t="inlineStr">
        <is>
          <t>Review</t>
        </is>
      </c>
      <c r="T15" t="inlineStr">
        <is>
          <t>Neighbourhood Built Environment Influences on Physical Activity among Adults: A Systematized Review of Qualitative Evidence</t>
        </is>
      </c>
      <c r="U15" t="inlineStr">
        <is>
          <t>physical activity; built environment; qualitative; neighbourhood; walkability</t>
        </is>
      </c>
      <c r="V15" t="inlineStr">
        <is>
          <t>OLDER-ADULTS; FOCUS-GROUP; MIXED-METHODS; URBAN PARKS; WALKING; HEALTH; WOMEN; BARRIERS; PERCEPTIONS; COMMUNITY</t>
        </is>
      </c>
      <c r="W15" t="inlineStr">
        <is>
          <t>Qualitative studies can provide important information about how and why the built environment impacts physical activity decision-makinginformation that is important for informing local urban policies. We undertook a systematized literature review to synthesize findings from qualitative studies exploring how the built environment influences physical activity in adults. Our review included 36 peer-reviewed qualitative studies published from 1998 onwards. Our findings complemented existing quantitative evidence and provided additional insight into how functional, aesthetic, destination, and safety built characteristics influence physical activity decision-making. Sociodemographic characteristics (age, sex, ethnicity, and socioeconomic status) also impacted the BE's influence on physical activity. Our review findings reinforce the need for synergy between transportation planning, urban design, landscape architecture, road engineering, parks and recreation, bylaw enforcement, and public health to be involved in creating neighbourhood environments that support physical activity. Our findings support a need for local neighbourhood citizens and associations with representation from individuals and groups with different sociodemographic backgrounds to have input into neighbourhood environment planning process.</t>
        </is>
      </c>
      <c r="X15" t="inlineStr">
        <is>
          <t>[Salvo, Grazia; Lashewicz, Bonnie M.; McCormack, Gavin R.] Univ Calgary, Cumming Sch Med, Dept Community Hlth Sci, Calgary, AB T2N 4Z6, Canada; [Doyle-Baker, Patricia K.] Univ Calgary, Fac Kinesiol, Calgary, AB T2N 1N4, Canada; [Doyle-Baker, Patricia K.; McCormack, Gavin R.] Univ Calgary, Fac Environm Design, Calgary, AB T2N 1N4, Canada</t>
        </is>
      </c>
      <c r="Y15" t="inlineStr">
        <is>
          <t>University of Calgary; University of Calgary; University of Calgary</t>
        </is>
      </c>
      <c r="Z15" t="inlineStr">
        <is>
          <t>Salvo, G (corresponding author), Univ Calgary, Cumming Sch Med, Dept Community Hlth Sci, Calgary, AB T2N 4Z6, Canada.</t>
        </is>
      </c>
      <c r="AA15" t="inlineStr">
        <is>
          <t>grazia.salvo@ucalgary.ca; bmlashew@ucalgary.ca; pdoyleba@ucalgary.ca; gavin.mccormack@ucalgary.ca</t>
        </is>
      </c>
      <c r="AB15" t="inlineStr">
        <is>
          <t>Doyle-Baker, Patricia K./W-7523-2019; McCormack, Gavin/JHU-7490-2023; Doyle-Baker, Patricia Katherine/AFR-7689-2022</t>
        </is>
      </c>
      <c r="AC15" t="inlineStr">
        <is>
          <t>Doyle-Baker, Patricia K./0000-0001-9296-8921; Lashewicz, Bonnie/0000-0001-6476-8981</t>
        </is>
      </c>
      <c r="AD15" t="inlineStr">
        <is>
          <t>CIHR New Investigator Award [MSH-130162]</t>
        </is>
      </c>
      <c r="AE15" t="inlineStr">
        <is>
          <t>CIHR New Investigator Award(Canadian Institutes of Health Research (CIHR))</t>
        </is>
      </c>
      <c r="AF15" t="inlineStr">
        <is>
          <t>Gavin McCormack is supported by a CIHR New Investigator Award (MSH-130162).</t>
        </is>
      </c>
      <c r="AH15" t="n">
        <v>78</v>
      </c>
      <c r="AI15" t="n">
        <v>78</v>
      </c>
      <c r="AJ15" t="n">
        <v>79</v>
      </c>
      <c r="AK15" t="n">
        <v>10</v>
      </c>
      <c r="AL15" t="n">
        <v>89</v>
      </c>
      <c r="AM15" t="inlineStr">
        <is>
          <t>MDPI</t>
        </is>
      </c>
      <c r="AN15" t="inlineStr">
        <is>
          <t>BASEL</t>
        </is>
      </c>
      <c r="AO15" t="inlineStr">
        <is>
          <t>ST ALBAN-ANLAGE 66, CH-4052 BASEL, SWITZERLAND</t>
        </is>
      </c>
      <c r="AQ15" t="inlineStr">
        <is>
          <t>1660-4601</t>
        </is>
      </c>
      <c r="AS15" t="inlineStr">
        <is>
          <t>INT J ENV RES PUB HE</t>
        </is>
      </c>
      <c r="AT15" t="inlineStr">
        <is>
          <t>Int. J. Environ. Res. Public Health</t>
        </is>
      </c>
      <c r="AU15" t="inlineStr">
        <is>
          <t>MAY</t>
        </is>
      </c>
      <c r="AV15" t="n">
        <v>2018</v>
      </c>
      <c r="AW15" t="n">
        <v>15</v>
      </c>
      <c r="AX15" t="n">
        <v>5</v>
      </c>
      <c r="BE15" t="n">
        <v>897</v>
      </c>
      <c r="BF15" t="inlineStr">
        <is>
          <t>10.3390/ijerph15050897</t>
        </is>
      </c>
      <c r="BG15">
        <f>HYPERLINK("http://dx.doi.org/10.3390/ijerph15050897","http://dx.doi.org/10.3390/ijerph15050897")</f>
        <v/>
      </c>
      <c r="BJ15" t="n">
        <v>21</v>
      </c>
      <c r="BK15" t="inlineStr">
        <is>
          <t>Environmental Sciences; Public, Environmental &amp; Occupational Health</t>
        </is>
      </c>
      <c r="BL15" t="inlineStr">
        <is>
          <t>Science Citation Index Expanded (SCI-EXPANDED); Social Science Citation Index (SSCI)</t>
        </is>
      </c>
      <c r="BM15" t="inlineStr">
        <is>
          <t>Environmental Sciences &amp; Ecology; Public, Environmental &amp; Occupational Health</t>
        </is>
      </c>
      <c r="BN15" t="inlineStr">
        <is>
          <t>GJ3LS</t>
        </is>
      </c>
      <c r="BO15" t="n">
        <v>29724048</v>
      </c>
      <c r="BP15" t="inlineStr">
        <is>
          <t>Green Published, gold, Green Submitted</t>
        </is>
      </c>
      <c r="BS15" t="inlineStr">
        <is>
          <t>2023-10-26</t>
        </is>
      </c>
      <c r="BT15" t="inlineStr">
        <is>
          <t>WOS:000435197300065</t>
        </is>
      </c>
      <c r="BU15">
        <f>HYPERLINK("https%3A%2F%2Fwww.webofscience.com%2Fwos%2Fwoscc%2Ffull-record%2FWOS:000435197300065","View Full Record in Web of Science")</f>
        <v/>
      </c>
    </row>
    <row r="16">
      <c r="A16" t="inlineStr">
        <is>
          <t>J</t>
        </is>
      </c>
      <c r="B16" t="inlineStr">
        <is>
          <t>Hsu, HC; Bai, CH</t>
        </is>
      </c>
      <c r="F16" t="inlineStr">
        <is>
          <t>Hsu, Hui-Chuan; Bai, Chyi-Huey</t>
        </is>
      </c>
      <c r="J16" t="inlineStr">
        <is>
          <t>INTERNATIONAL JOURNAL OF ENVIRONMENTAL RESEARCH AND PUBLIC HEALTH</t>
        </is>
      </c>
      <c r="M16" t="inlineStr">
        <is>
          <t>English</t>
        </is>
      </c>
      <c r="N16" t="inlineStr">
        <is>
          <t>Article</t>
        </is>
      </c>
      <c r="T16" t="inlineStr">
        <is>
          <t>Social and Built Environments Related to Cognitive Function of Older Adults: A Multi-Level Analysis Study in Taiwan</t>
        </is>
      </c>
      <c r="U16" t="inlineStr">
        <is>
          <t>age friendly city; built environment; cognitive function; social environment; older adults</t>
        </is>
      </c>
      <c r="V16" t="inlineStr">
        <is>
          <t>NEIGHBORHOOD SOCIOECONOMIC-STATUS; DIETARY PATTERNS; AIR-POLLUTION; DECLINE; ASSOCIATIONS; POPULATION; DISABILITY; DEMENTIA; HEALTH</t>
        </is>
      </c>
      <c r="W16" t="inlineStr">
        <is>
          <t>The purpose of this study was to examine the associations between cognitive function, the city's social environment, and individual characteristics of older adults. The individual data of older people were from the Nutrition and Health Survey in Taiwan 2013-2016. The participants who were aged 65 and above were included in the analysis (n = 1356). City-level data were obtained for twenty cities in Taiwan. The data of city-level indicators were from governmental open data and Taiwan's Age Friendly Environment Monitor Study. A multilevel mixed-effect model was applied in the analysis. Population density, median income, safety in the community, barrier-free sidewalks, high education rate of the population, low-income population rate, household income inequality, and elderly abuse rate were related to cognitive function in the bivariate analysis. When controlling for individual factors, the city's low-income population rate was still significantly related to lower cognitive function. In addition, the participants who were at younger age, had a higher education level, had a better financial satisfaction, had worse self-rated health, had higher numbers of disease, and had better physical function had better cognitive function. Social and built environments associated with cognitive function highlight the importance of income security and the age friendliness of the city for older adults. Income security for older people and age-friendly city policies are suggested.</t>
        </is>
      </c>
      <c r="X16" t="inlineStr">
        <is>
          <t>[Hsu, Hui-Chuan; Bai, Chyi-Huey] Taipei Med Univ, Coll Publ Hlth, Sch Publ Hlth, Taipei 11031, Taiwan; [Hsu, Hui-Chuan; Bai, Chyi-Huey] Taipei Med Univ, Coll Publ Hlth, Res Ctr Hlth Equ, Taipei 11031, Taiwan; [Bai, Chyi-Huey] Taipei Med Univ, Coll Med, Dept Publ Hlth, Taipei 11031, Taiwan</t>
        </is>
      </c>
      <c r="Y16" t="inlineStr">
        <is>
          <t>Taipei Medical University; Taipei Medical University; Taipei Medical University</t>
        </is>
      </c>
      <c r="Z16" t="inlineStr">
        <is>
          <t>Hsu, HC (corresponding author), Taipei Med Univ, Coll Publ Hlth, Sch Publ Hlth, Taipei 11031, Taiwan.;Hsu, HC (corresponding author), Taipei Med Univ, Coll Publ Hlth, Res Ctr Hlth Equ, Taipei 11031, Taiwan.</t>
        </is>
      </c>
      <c r="AA16" t="inlineStr">
        <is>
          <t>gingerhsu@tmu.edu.tw; baich@tmu.edu.tw</t>
        </is>
      </c>
      <c r="AC16" t="inlineStr">
        <is>
          <t>Bai, Chyi-Huey/0000-0002-4658-1088; Hsu, Hui-Chuan/0000-0002-3830-2480</t>
        </is>
      </c>
      <c r="AD16" t="inlineStr">
        <is>
          <t>Ministry of Science and Technology [MOST 109-2410-H-038-004]</t>
        </is>
      </c>
      <c r="AE16" t="inlineStr">
        <is>
          <t>Ministry of Science and Technology(Spanish Government)</t>
        </is>
      </c>
      <c r="AF16" t="inlineStr">
        <is>
          <t>This research was funded by the Ministry of Science and Technology (MOST 109-2410-H-038-004), which has not role in this study.</t>
        </is>
      </c>
      <c r="AH16" t="n">
        <v>36</v>
      </c>
      <c r="AI16" t="n">
        <v>6</v>
      </c>
      <c r="AJ16" t="n">
        <v>6</v>
      </c>
      <c r="AK16" t="n">
        <v>6</v>
      </c>
      <c r="AL16" t="n">
        <v>39</v>
      </c>
      <c r="AM16" t="inlineStr">
        <is>
          <t>MDPI</t>
        </is>
      </c>
      <c r="AN16" t="inlineStr">
        <is>
          <t>BASEL</t>
        </is>
      </c>
      <c r="AO16" t="inlineStr">
        <is>
          <t>ST ALBAN-ANLAGE 66, CH-4052 BASEL, SWITZERLAND</t>
        </is>
      </c>
      <c r="AQ16" t="inlineStr">
        <is>
          <t>1660-4601</t>
        </is>
      </c>
      <c r="AS16" t="inlineStr">
        <is>
          <t>INT J ENV RES PUB HE</t>
        </is>
      </c>
      <c r="AT16" t="inlineStr">
        <is>
          <t>Int. J. Environ. Res. Public Health</t>
        </is>
      </c>
      <c r="AU16" t="inlineStr">
        <is>
          <t>MAR</t>
        </is>
      </c>
      <c r="AV16" t="n">
        <v>2021</v>
      </c>
      <c r="AW16" t="n">
        <v>18</v>
      </c>
      <c r="AX16" t="n">
        <v>6</v>
      </c>
      <c r="BE16" t="n">
        <v>2820</v>
      </c>
      <c r="BF16" t="inlineStr">
        <is>
          <t>10.3390/ijerph18062820</t>
        </is>
      </c>
      <c r="BG16">
        <f>HYPERLINK("http://dx.doi.org/10.3390/ijerph18062820","http://dx.doi.org/10.3390/ijerph18062820")</f>
        <v/>
      </c>
      <c r="BJ16" t="n">
        <v>13</v>
      </c>
      <c r="BK16" t="inlineStr">
        <is>
          <t>Environmental Sciences; Public, Environmental &amp; Occupational Health</t>
        </is>
      </c>
      <c r="BL16" t="inlineStr">
        <is>
          <t>Science Citation Index Expanded (SCI-EXPANDED); Social Science Citation Index (SSCI)</t>
        </is>
      </c>
      <c r="BM16" t="inlineStr">
        <is>
          <t>Environmental Sciences &amp; Ecology; Public, Environmental &amp; Occupational Health</t>
        </is>
      </c>
      <c r="BN16" t="inlineStr">
        <is>
          <t>RL7ZC</t>
        </is>
      </c>
      <c r="BO16" t="n">
        <v>33802087</v>
      </c>
      <c r="BP16" t="inlineStr">
        <is>
          <t>Green Published, gold</t>
        </is>
      </c>
      <c r="BS16" t="inlineStr">
        <is>
          <t>2023-10-26</t>
        </is>
      </c>
      <c r="BT16" t="inlineStr">
        <is>
          <t>WOS:000639185200001</t>
        </is>
      </c>
      <c r="BU16">
        <f>HYPERLINK("https%3A%2F%2Fwww.webofscience.com%2Fwos%2Fwoscc%2Ffull-record%2FWOS:000639185200001","View Full Record in Web of Science")</f>
        <v/>
      </c>
    </row>
    <row r="17">
      <c r="A17" t="inlineStr">
        <is>
          <t>J</t>
        </is>
      </c>
      <c r="B17" t="inlineStr">
        <is>
          <t>Bonaccorsi, G; Manzi, F; Del Riccio, M; Setola, N; Naldi, E; Milani, C; Giorgetti, D; Dellisanti, C; Lorini, C</t>
        </is>
      </c>
      <c r="F17" t="inlineStr">
        <is>
          <t>Bonaccorsi, Guglielmo; Manzi, Federico; Del Riccio, Marco; Setola, Nicoletta; Naldi, Eletta; Milani, Chiara; Giorgetti, Duccio; Dellisanti, Claudia; Lorini, Chiara</t>
        </is>
      </c>
      <c r="J17" t="inlineStr">
        <is>
          <t>INTERNATIONAL JOURNAL OF ENVIRONMENTAL RESEARCH AND PUBLIC HEALTH</t>
        </is>
      </c>
      <c r="M17" t="inlineStr">
        <is>
          <t>English</t>
        </is>
      </c>
      <c r="N17" t="inlineStr">
        <is>
          <t>Review</t>
        </is>
      </c>
      <c r="T17" t="inlineStr">
        <is>
          <t>Impact of the Built Environment and the Neighborhood in Promoting the Physical Activity and the Healthy Aging in Older People: An Umbrella Review</t>
        </is>
      </c>
      <c r="U17" t="inlineStr">
        <is>
          <t>built environment; neighborhood; healthy aging; physical activity; elderly; walkability; health promotion; older adults</t>
        </is>
      </c>
      <c r="V17" t="inlineStr">
        <is>
          <t>ADULTS</t>
        </is>
      </c>
      <c r="W17" t="inlineStr">
        <is>
          <t>(1) Background: The aim of this study is to establish which specific elements of the built environment can contribute to improving the physical activity of self-sufficient, noninstitutionalized and living in the city adults &gt; 65 years. (2) Methods: An extensive literature search was conducted in several database. Umbrella review methodology was used to include the reviews that presented a sufficient methodological quality. (3) Results: Eleven reviews were included. The elements positively associated with physical activity in older adults were: walkability; residential density/urbanization; street connectivity; land-use mix-destination diversity; overall access to facilities, destinations and services; pedestrian-friendly infrastructures; greenery and aesthetically pleasing scenery; high environmental quality; street lighting; crime-related safety; traffic-related safety. The elements that were negatively associated with physical activity were: poor pedestrian access to shopping centers; poor pedestrian-friendly infrastructure and footpath quality; barriers to walking/cycling; lack of aesthetically pleasing scenery; crime-related unsafety; unattended dogs; inadequate street lighting and upkeep; traffic; littering, vandalism, decay; pollution; noise. (4) Conclusions: Evidence shows that specific elements of the built environment can contribute to promoting older people's physical activity. The city restructuring plans should take into consideration these factors.</t>
        </is>
      </c>
      <c r="X17" t="inlineStr">
        <is>
          <t>[Bonaccorsi, Guglielmo; Lorini, Chiara] Univ Florence, Dept Hlth Sci, Viale GB Morgagni 48, I-50134 Florence, Italy; [Manzi, Federico; Del Riccio, Marco; Milani, Chiara; Giorgetti, Duccio] Univ Florence, Postgrad Sch Hyg &amp; Prevent Med, Viale GB Morgagni 48, I-50134 Florence, Italy; [Setola, Nicoletta; Naldi, Eletta] Univ Florence, Dept Architecture, Via Mattonaia 14, I-50121 Florence, Italy; [Dellisanti, Claudia] Reg Hlth Agcy Tuscany, Dept Epidemiol, Via P Dazzi 1, I-50141 Florence, Italy</t>
        </is>
      </c>
      <c r="Y17" t="inlineStr">
        <is>
          <t>University of Florence; University of Florence; University of Florence</t>
        </is>
      </c>
      <c r="Z17" t="inlineStr">
        <is>
          <t>Manzi, F (corresponding author), Univ Florence, Postgrad Sch Hyg &amp; Prevent Med, Viale GB Morgagni 48, I-50134 Florence, Italy.</t>
        </is>
      </c>
      <c r="AA17" t="inlineStr">
        <is>
          <t>guglielmo.bonaccorsi@unifi.it; federico.manzi@unifi.it; marco.delriccio@unifi.it; nicoletta.setola@unifi.it; eletta.naldi@unifi.it; chiara.milani@unifi.it; duccio.giorgetti@unifi.it; claudiadellisanti70@libero.it; chiara.lorini@unifi.it</t>
        </is>
      </c>
      <c r="AB17" t="inlineStr">
        <is>
          <t>DEL RICCIO, MARCO/ABB-3559-2020; Setola, Nicoletta/AAL-2931-2021</t>
        </is>
      </c>
      <c r="AC17" t="inlineStr">
        <is>
          <t>DEL RICCIO, MARCO/0000-0002-2742-0297; Setola, Nicoletta/0000-0002-0632-5354; Giorgetti, Duccio/0000-0001-9852-036X; Lorini, Chiara/0000-0003-3170-1857; bonaccorsi, guglielmo/0000-0002-5171-4308; Naldi, Eletta/0000-0001-5732-4776</t>
        </is>
      </c>
      <c r="AD17" t="inlineStr">
        <is>
          <t>Fondazione CR Firenze, project Smart Neighborhood for healthy Aging in our communities [17779]</t>
        </is>
      </c>
      <c r="AE17" t="inlineStr">
        <is>
          <t>Fondazione CR Firenze, project Smart Neighborhood for healthy Aging in our communities</t>
        </is>
      </c>
      <c r="AF17" t="inlineStr">
        <is>
          <t>This research was funded by Fondazione CR Firenze, project Smart Neighborhood for healthy Aging in our communities, grant number 17779.</t>
        </is>
      </c>
      <c r="AH17" t="n">
        <v>41</v>
      </c>
      <c r="AI17" t="n">
        <v>46</v>
      </c>
      <c r="AJ17" t="n">
        <v>48</v>
      </c>
      <c r="AK17" t="n">
        <v>30</v>
      </c>
      <c r="AL17" t="n">
        <v>149</v>
      </c>
      <c r="AM17" t="inlineStr">
        <is>
          <t>MDPI</t>
        </is>
      </c>
      <c r="AN17" t="inlineStr">
        <is>
          <t>BASEL</t>
        </is>
      </c>
      <c r="AO17" t="inlineStr">
        <is>
          <t>ST ALBAN-ANLAGE 66, CH-4052 BASEL, SWITZERLAND</t>
        </is>
      </c>
      <c r="AQ17" t="inlineStr">
        <is>
          <t>1660-4601</t>
        </is>
      </c>
      <c r="AS17" t="inlineStr">
        <is>
          <t>INT J ENV RES PUB HE</t>
        </is>
      </c>
      <c r="AT17" t="inlineStr">
        <is>
          <t>Int. J. Environ. Res. Public Health</t>
        </is>
      </c>
      <c r="AU17" t="inlineStr">
        <is>
          <t>SEP</t>
        </is>
      </c>
      <c r="AV17" t="n">
        <v>2020</v>
      </c>
      <c r="AW17" t="n">
        <v>17</v>
      </c>
      <c r="AX17" t="n">
        <v>17</v>
      </c>
      <c r="BE17" t="n">
        <v>6127</v>
      </c>
      <c r="BF17" t="inlineStr">
        <is>
          <t>10.3390/ijerph17176127</t>
        </is>
      </c>
      <c r="BG17">
        <f>HYPERLINK("http://dx.doi.org/10.3390/ijerph17176127","http://dx.doi.org/10.3390/ijerph17176127")</f>
        <v/>
      </c>
      <c r="BJ17" t="n">
        <v>27</v>
      </c>
      <c r="BK17" t="inlineStr">
        <is>
          <t>Environmental Sciences; Public, Environmental &amp; Occupational Health</t>
        </is>
      </c>
      <c r="BL17" t="inlineStr">
        <is>
          <t>Science Citation Index Expanded (SCI-EXPANDED); Social Science Citation Index (SSCI)</t>
        </is>
      </c>
      <c r="BM17" t="inlineStr">
        <is>
          <t>Environmental Sciences &amp; Ecology; Public, Environmental &amp; Occupational Health</t>
        </is>
      </c>
      <c r="BN17" t="inlineStr">
        <is>
          <t>NO6NM</t>
        </is>
      </c>
      <c r="BO17" t="n">
        <v>32842526</v>
      </c>
      <c r="BP17" t="inlineStr">
        <is>
          <t>Green Published, Green Submitted, gold</t>
        </is>
      </c>
      <c r="BS17" t="inlineStr">
        <is>
          <t>2023-10-26</t>
        </is>
      </c>
      <c r="BT17" t="inlineStr">
        <is>
          <t>WOS:000569606300001</t>
        </is>
      </c>
      <c r="BU17">
        <f>HYPERLINK("https%3A%2F%2Fwww.webofscience.com%2Fwos%2Fwoscc%2Ffull-record%2FWOS:000569606300001","View Full Record in Web of Science")</f>
        <v/>
      </c>
    </row>
    <row r="18">
      <c r="A18" t="inlineStr">
        <is>
          <t>J</t>
        </is>
      </c>
      <c r="B18" t="inlineStr">
        <is>
          <t>Guan, J; Hirsch, JA; Tabb, LP; Hillier, TA; Michael, YL</t>
        </is>
      </c>
      <c r="F18" t="inlineStr">
        <is>
          <t>Guan, Justin; Hirsch, Jana A.; Tabb, Loni Philip; Hillier, Teresa A.; Michael, Yvonne L.</t>
        </is>
      </c>
      <c r="J18" t="inlineStr">
        <is>
          <t>INTERNATIONAL JOURNAL OF ENVIRONMENTAL RESEARCH AND PUBLIC HEALTH</t>
        </is>
      </c>
      <c r="M18" t="inlineStr">
        <is>
          <t>English</t>
        </is>
      </c>
      <c r="N18" t="inlineStr">
        <is>
          <t>Article</t>
        </is>
      </c>
      <c r="T18" t="inlineStr">
        <is>
          <t>The Association between Changes in Built Environment and Changes in Walking among Older Women in Portland, Oregon</t>
        </is>
      </c>
      <c r="U18" t="inlineStr">
        <is>
          <t>older adults; walking; built environment; generalized estimating equations</t>
        </is>
      </c>
      <c r="V18" t="inlineStr">
        <is>
          <t>PHYSICAL-ACTIVITY; MISSING DATA; IMPUTATION; ADULTS; MICE</t>
        </is>
      </c>
      <c r="W18" t="inlineStr">
        <is>
          <t>Some cross-sectional evidence suggests that the objectively measured built environment can encourage walking among older adults. We examined the associations between objectively measured built environment with change in self-reported walking among older women by using data from the Study of Osteoporotic Fractures (SOF). We evaluated the longitudinal associations between built environment characteristics and walking among 1253 older women (median age = 71 years) in Portland, Oregon using generalized estimating equation models. Built environment characteristics included baseline values and longitudinal changes in distance to the closest bus stop, light rail station, commercial area, and park. A difference of 1 km in the baseline distance to the closest bus stop was associated with a 12% decrease in the total number of blocks walked per week during follow-up (e(beta) = 0.88, 95% CI: 0.78, 0.99). Our study provided limited support for an association between neighborhood transportation and changes in walking among older women. Future studies should consider examining both objective measures and perceptions of the built environment.</t>
        </is>
      </c>
      <c r="X18" t="inlineStr">
        <is>
          <t>[Guan, Justin; Hirsch, Jana A.; Tabb, Loni Philip; Michael, Yvonne L.] Drexel Univ, Dornsife Sch Publ Hlth, Dept Epidemiol &amp; Biostat, Philadelphia, PA 19104 USA; [Hirsch, Jana A.] Urban Hlth Collaborat, Philadelphia, PA 19104 USA; [Hillier, Teresa A.] Kaiser Permanente Northwest Ctr Hlth Res, Portland, OR 97227 USA</t>
        </is>
      </c>
      <c r="Y18" t="inlineStr">
        <is>
          <t>Drexel University; Kaiser Permanente</t>
        </is>
      </c>
      <c r="Z18" t="inlineStr">
        <is>
          <t>Guan, J (corresponding author), Drexel Univ, Dornsife Sch Publ Hlth, Dept Epidemiol &amp; Biostat, Philadelphia, PA 19104 USA.</t>
        </is>
      </c>
      <c r="AA18" t="inlineStr">
        <is>
          <t>guanj2@vcu.edu</t>
        </is>
      </c>
      <c r="AC18" t="inlineStr">
        <is>
          <t>Guan, Justin/0000-0002-9904-6601; Hirsch, Jana/0000-0003-3355-5558</t>
        </is>
      </c>
      <c r="AD18" t="inlineStr">
        <is>
          <t>Brian Lee and Brisa Sanchez of Drexel University Dornsife School of Public Health</t>
        </is>
      </c>
      <c r="AE18" t="inlineStr">
        <is>
          <t>Brian Lee and Brisa Sanchez of Drexel University Dornsife School of Public Health</t>
        </is>
      </c>
      <c r="AF18" t="inlineStr">
        <is>
          <t>We would like to thank Brian Lee and Brisa Sanchez of Drexel University Dornsife School of Public Health for their constant support and guidance throughout this analysis. Lee assisted with the code in R. Sanchez was invaluable during the analysis of our data. Finally, we would like to thank the SOF study investigators, staff, and participants.</t>
        </is>
      </c>
      <c r="AH18" t="n">
        <v>41</v>
      </c>
      <c r="AI18" t="n">
        <v>0</v>
      </c>
      <c r="AJ18" t="n">
        <v>0</v>
      </c>
      <c r="AK18" t="n">
        <v>3</v>
      </c>
      <c r="AL18" t="n">
        <v>9</v>
      </c>
      <c r="AM18" t="inlineStr">
        <is>
          <t>MDPI</t>
        </is>
      </c>
      <c r="AN18" t="inlineStr">
        <is>
          <t>BASEL</t>
        </is>
      </c>
      <c r="AO18" t="inlineStr">
        <is>
          <t>ST ALBAN-ANLAGE 66, CH-4052 BASEL, SWITZERLAND</t>
        </is>
      </c>
      <c r="AQ18" t="inlineStr">
        <is>
          <t>1660-4601</t>
        </is>
      </c>
      <c r="AS18" t="inlineStr">
        <is>
          <t>INT J ENV RES PUB HE</t>
        </is>
      </c>
      <c r="AT18" t="inlineStr">
        <is>
          <t>Int. J. Environ. Res. Public Health</t>
        </is>
      </c>
      <c r="AU18" t="inlineStr">
        <is>
          <t>NOV</t>
        </is>
      </c>
      <c r="AV18" t="n">
        <v>2022</v>
      </c>
      <c r="AW18" t="n">
        <v>19</v>
      </c>
      <c r="AX18" t="n">
        <v>21</v>
      </c>
      <c r="BE18" t="n">
        <v>14168</v>
      </c>
      <c r="BF18" t="inlineStr">
        <is>
          <t>10.3390/ijerph192114168</t>
        </is>
      </c>
      <c r="BG18">
        <f>HYPERLINK("http://dx.doi.org/10.3390/ijerph192114168","http://dx.doi.org/10.3390/ijerph192114168")</f>
        <v/>
      </c>
      <c r="BJ18" t="n">
        <v>18</v>
      </c>
      <c r="BK18" t="inlineStr">
        <is>
          <t>Environmental Sciences; Public, Environmental &amp; Occupational Health</t>
        </is>
      </c>
      <c r="BL18" t="inlineStr">
        <is>
          <t>Science Citation Index Expanded (SCI-EXPANDED); Social Science Citation Index (SSCI)</t>
        </is>
      </c>
      <c r="BM18" t="inlineStr">
        <is>
          <t>Environmental Sciences &amp; Ecology; Public, Environmental &amp; Occupational Health</t>
        </is>
      </c>
      <c r="BN18" t="inlineStr">
        <is>
          <t>6F4EU</t>
        </is>
      </c>
      <c r="BO18" t="n">
        <v>36361047</v>
      </c>
      <c r="BP18" t="inlineStr">
        <is>
          <t>Green Published, gold</t>
        </is>
      </c>
      <c r="BS18" t="inlineStr">
        <is>
          <t>2023-10-26</t>
        </is>
      </c>
      <c r="BT18" t="inlineStr">
        <is>
          <t>WOS:000884017100001</t>
        </is>
      </c>
      <c r="BU18">
        <f>HYPERLINK("https%3A%2F%2Fwww.webofscience.com%2Fwos%2Fwoscc%2Ffull-record%2FWOS:000884017100001","View Full Record in Web of Science")</f>
        <v/>
      </c>
    </row>
    <row r="19">
      <c r="A19" t="inlineStr">
        <is>
          <t>J</t>
        </is>
      </c>
      <c r="B19" t="inlineStr">
        <is>
          <t>Lara-Moreno, R; Lara, E; Godoy-Izquierdo, D</t>
        </is>
      </c>
      <c r="F19" t="inlineStr">
        <is>
          <t>Lara-Moreno, Raquel; Lara, Ester; Godoy-Izquierdo, Debora</t>
        </is>
      </c>
      <c r="J19" t="inlineStr">
        <is>
          <t>INTERNATIONAL JOURNAL OF ENVIRONMENTAL RESEARCH AND PUBLIC HEALTH</t>
        </is>
      </c>
      <c r="M19" t="inlineStr">
        <is>
          <t>English</t>
        </is>
      </c>
      <c r="N19" t="inlineStr">
        <is>
          <t>Article</t>
        </is>
      </c>
      <c r="T19" t="inlineStr">
        <is>
          <t>Exploring Intraindividual Profiles for Home Buildings Based on Architectural Compositional Elements and Psychological Health Factors: A Transdisciplinary Approach</t>
        </is>
      </c>
      <c r="U19" t="inlineStr">
        <is>
          <t>psycho-architectural profiles; compositional elements; regulatory parameters; transactional perspective; salutogenesis; cluster analysis</t>
        </is>
      </c>
      <c r="V19" t="inlineStr">
        <is>
          <t>MENTAL-HEALTH; PSYCHOSOCIAL PROFILES; SUBJECTIVE HAPPINESS; COLOR PREFERENCES; BUILT ENVIRONMENT; DESIGN; EMOTION; BLUE; ADULTS; PLACE</t>
        </is>
      </c>
      <c r="W19" t="inlineStr">
        <is>
          <t>Based on the transactional and salutogenic perspectives, we explored individual profiles that integrate psychosocial factors and compositional elements of the built home environment. Adults with different socio-demographic characteristics completed several self-report measures on psychological factors (personality traits, self-efficacy, mental health, and happiness) and architectural elements constituting the ideal home environment. Adopting an individual-centered perspective, three distinct intra-individual psycho-architectural (person-environment) profiles were found with different compositional preferences and psychosocial characteristics in terms of functioning, health, and well-being: endopathic (characterized by higher levels of psychosocial resources and well-being indicating a highly adapted and successful profile, and architectural preferences corresponding to their identities and experiences-expression through spaces), assimilative (characterized by average levels in all regulatory parameters indicating moderately adaptive individuals, and architectural preferences of spaces created in interactive processes-introjection of spaces), and additive individuals (characterized by a comparatively dysfunctional, poorer psychosocial profile, and architectural preferences in line with provoking a restorative effect-change with spaces). An awareness of the psychosocial features of the users for whom the homes are built can help in designing spaces to inhabit that are adapted to them for an enhancement of their overall well-being. Therefore, a better understanding of the interconnections between psychology and architecture will help in designing healthy spaces.</t>
        </is>
      </c>
      <c r="X19" t="inlineStr">
        <is>
          <t>[Lara-Moreno, Raquel] Univ Granada, Fac Psicol, Dept Psicol Social, Campus Univ Cartuja, Granada 18071, Spain; [Lara-Moreno, Raquel; Godoy-Izquierdo, Debora] Univ Granada, Grp Invest Psicol Salud &amp; Med Conductual CTS 267, Ctr Invest Mente Cerebro &amp; Comportamiento, Fac Psicol, Campus Univ Cartuja, Granada 18071, Spain; [Lara, Ester] Univ Granada, Escuela Tecn Super Arquitectura, Granada 18071, Spain; [Godoy-Izquierdo, Debora] Univ Granada, Fac Psicol, Dept Personalidad Evaluac &amp; Tratamiento Psicol, Campus Univ Cartuja, Granada 18071, Spain</t>
        </is>
      </c>
      <c r="Y19" t="inlineStr">
        <is>
          <t>University of Granada; University of Granada; University of Granada; University of Granada</t>
        </is>
      </c>
      <c r="Z19" t="inlineStr">
        <is>
          <t>Lara-Moreno, R (corresponding author), Univ Granada, Fac Psicol, Dept Psicol Social, Campus Univ Cartuja, Granada 18071, Spain.;Lara-Moreno, R; Godoy-Izquierdo, D (corresponding author), Univ Granada, Grp Invest Psicol Salud &amp; Med Conductual CTS 267, Ctr Invest Mente Cerebro &amp; Comportamiento, Fac Psicol, Campus Univ Cartuja, Granada 18071, Spain.;Godoy-Izquierdo, D (corresponding author), Univ Granada, Fac Psicol, Dept Personalidad Evaluac &amp; Tratamiento Psicol, Campus Univ Cartuja, Granada 18071, Spain.</t>
        </is>
      </c>
      <c r="AA19" t="inlineStr">
        <is>
          <t>rlaramoreno@ugr.es; esterlara.arquitectura@gmail.com; deborag@ugr.es</t>
        </is>
      </c>
      <c r="AB19" t="inlineStr">
        <is>
          <t>Godoy-Izquierdo, Débora/AAA-9646-2019; Santana, Elaine/GNP-2710-2022; Lara Moreno, Raquel/AAB-8357-2022</t>
        </is>
      </c>
      <c r="AC19" t="inlineStr">
        <is>
          <t>Godoy-Izquierdo, Débora/0000-0002-4294-4232; Lara Moreno, Raquel/0000-0001-5559-0915</t>
        </is>
      </c>
      <c r="AD19" t="inlineStr">
        <is>
          <t>Junta de Andalucia (Spain) [CTS-267]</t>
        </is>
      </c>
      <c r="AE19" t="inlineStr">
        <is>
          <t>Junta de Andalucia (Spain)(Junta de Andalucia)</t>
        </is>
      </c>
      <c r="AF19" t="inlineStr">
        <is>
          <t>This research was partially supported with the financial aid conceded to the Psicologia de la Salud/Medicina Conductual Research Group (CTS-267) by the Junta de Andalucia (Spain).</t>
        </is>
      </c>
      <c r="AH19" t="n">
        <v>120</v>
      </c>
      <c r="AI19" t="n">
        <v>1</v>
      </c>
      <c r="AJ19" t="n">
        <v>1</v>
      </c>
      <c r="AK19" t="n">
        <v>10</v>
      </c>
      <c r="AL19" t="n">
        <v>26</v>
      </c>
      <c r="AM19" t="inlineStr">
        <is>
          <t>MDPI</t>
        </is>
      </c>
      <c r="AN19" t="inlineStr">
        <is>
          <t>BASEL</t>
        </is>
      </c>
      <c r="AO19" t="inlineStr">
        <is>
          <t>ST ALBAN-ANLAGE 66, CH-4052 BASEL, SWITZERLAND</t>
        </is>
      </c>
      <c r="AQ19" t="inlineStr">
        <is>
          <t>1660-4601</t>
        </is>
      </c>
      <c r="AS19" t="inlineStr">
        <is>
          <t>INT J ENV RES PUB HE</t>
        </is>
      </c>
      <c r="AT19" t="inlineStr">
        <is>
          <t>Int. J. Environ. Res. Public Health</t>
        </is>
      </c>
      <c r="AU19" t="inlineStr">
        <is>
          <t>AUG</t>
        </is>
      </c>
      <c r="AV19" t="n">
        <v>2021</v>
      </c>
      <c r="AW19" t="n">
        <v>18</v>
      </c>
      <c r="AX19" t="n">
        <v>16</v>
      </c>
      <c r="BE19" t="n">
        <v>8308</v>
      </c>
      <c r="BF19" t="inlineStr">
        <is>
          <t>10.3390/ijerph18168308</t>
        </is>
      </c>
      <c r="BG19">
        <f>HYPERLINK("http://dx.doi.org/10.3390/ijerph18168308","http://dx.doi.org/10.3390/ijerph18168308")</f>
        <v/>
      </c>
      <c r="BJ19" t="n">
        <v>20</v>
      </c>
      <c r="BK19" t="inlineStr">
        <is>
          <t>Environmental Sciences; Public, Environmental &amp; Occupational Health</t>
        </is>
      </c>
      <c r="BL19" t="inlineStr">
        <is>
          <t>Science Citation Index Expanded (SCI-EXPANDED); Social Science Citation Index (SSCI)</t>
        </is>
      </c>
      <c r="BM19" t="inlineStr">
        <is>
          <t>Environmental Sciences &amp; Ecology; Public, Environmental &amp; Occupational Health</t>
        </is>
      </c>
      <c r="BN19" t="inlineStr">
        <is>
          <t>UG2GD</t>
        </is>
      </c>
      <c r="BO19" t="n">
        <v>34444057</v>
      </c>
      <c r="BP19" t="inlineStr">
        <is>
          <t>Green Published, gold</t>
        </is>
      </c>
      <c r="BS19" t="inlineStr">
        <is>
          <t>2023-10-26</t>
        </is>
      </c>
      <c r="BT19" t="inlineStr">
        <is>
          <t>WOS:000689076600001</t>
        </is>
      </c>
      <c r="BU19">
        <f>HYPERLINK("https%3A%2F%2Fwww.webofscience.com%2Fwos%2Fwoscc%2Ffull-record%2FWOS:000689076600001","View Full Record in Web of Science")</f>
        <v/>
      </c>
    </row>
    <row r="20">
      <c r="A20" t="inlineStr">
        <is>
          <t>J</t>
        </is>
      </c>
      <c r="B20" t="inlineStr">
        <is>
          <t>Lee, EY; Choi, J; Lee, S; Choi, BY</t>
        </is>
      </c>
      <c r="F20" t="inlineStr">
        <is>
          <t>Lee, Eun Young; Choi, Jungsoon; Lee, Sugie; Choi, Bo Youl</t>
        </is>
      </c>
      <c r="J20" t="inlineStr">
        <is>
          <t>INTERNATIONAL JOURNAL OF ENVIRONMENTAL RESEARCH AND PUBLIC HEALTH</t>
        </is>
      </c>
      <c r="M20" t="inlineStr">
        <is>
          <t>English</t>
        </is>
      </c>
      <c r="N20" t="inlineStr">
        <is>
          <t>Article</t>
        </is>
      </c>
      <c r="T20" t="inlineStr">
        <is>
          <t>Objectively Measured Built Environments and Cardiovascular Diseases in Middle-Aged and Older Korean Adults</t>
        </is>
      </c>
      <c r="U20" t="inlineStr">
        <is>
          <t>built environment; cardiovascular diseases; hypertension; diabetes; dyslipidemia; stroke; myocardial infarction; angina; middle-aged and older adults; Korea</t>
        </is>
      </c>
      <c r="V20" t="inlineStr">
        <is>
          <t>CARDIOMETABOLIC RISK-FACTORS; LAND-USE; ASSOCIATION; FOOD; WALKABILITY; MULTILEVEL; ACCESS</t>
        </is>
      </c>
      <c r="W20" t="inlineStr">
        <is>
          <t>This study assesses the association between the objectively measured built environment and cardiovascular diseases (CVDs) in 50,741 adults from the Korean Community Health Survey. The CVD outcomes of hypertension, diabetes, dyslipidemia, stroke, and myocardial infarction (MI) or angina were derived from self-reported histories of physician diagnoses. Using ArcGIS software and Korean government databases, this study measured the built environment variables for the 546 administrative areas of Gyeonggi province. A Bayesian spatial multilevel model was performed independently in two age groups (i.e., 40-59 years or &gt;= 60 years). After adjusting for statistical significant individual- and community-level factors with the spatial associations, living far from public transit was associated with an increase in the odds of MI or angina in middle-aged adults, while living in neighborhoods in which fast-food restaurants were concentrated was associated with a decrease in the odds of hypertension and stroke. For adults 60 or older, living farther from public physical-activity (PA) facilities was associated with a 15% increased odds for dyslipidemia, compared with living in neighborhoods nearer to PA facilities. These findings suggest that creating a built environment that provides more opportunities to engage in PA in everyday life should be considered a strategy to reduce the prevalence of CVD.</t>
        </is>
      </c>
      <c r="X20" t="inlineStr">
        <is>
          <t>[Lee, Eun Young] Kkottongnae Univ, Dept Nursing, Cheongju 28211, South Korea; [Choi, Jungsoon] Hanyang Univ, Dept Math, Seoul 04763, South Korea; [Choi, Jungsoon] Hanyang Univ, Res Inst Nat Sci, Seoul 04763, South Korea; [Lee, Sugie] Hanyang Univ, Dept Urban Planning &amp; Engn, Seoul 04763, South Korea; [Choi, Bo Youl] Hanyang Univ, Dept Prevent Med, Coll Med, Seoul 04763, South Korea</t>
        </is>
      </c>
      <c r="Y20" t="inlineStr">
        <is>
          <t>Hanyang University; Hanyang University; Hanyang University; Hanyang University</t>
        </is>
      </c>
      <c r="Z20" t="inlineStr">
        <is>
          <t>Choi, J (corresponding author), Hanyang Univ, Dept Math, Seoul 04763, South Korea.;Choi, J (corresponding author), Hanyang Univ, Res Inst Nat Sci, Seoul 04763, South Korea.</t>
        </is>
      </c>
      <c r="AA20" t="inlineStr">
        <is>
          <t>eylee@kkot.ac.kr; jungsoonchoi@hanyang.ac.kr; sugielee@hanyang.ac.kr; bychoi@hanyang.ac.kr</t>
        </is>
      </c>
      <c r="AB20" t="inlineStr">
        <is>
          <t>Choi, Jungsoon/L-1944-2016</t>
        </is>
      </c>
      <c r="AC20" t="inlineStr">
        <is>
          <t>Choi, Jungsoon/0000-0001-6815-1006; Lee, Sugie/0000-0002-0940-4488</t>
        </is>
      </c>
      <c r="AD20" t="inlineStr">
        <is>
          <t>National Research Foundation of Korea - Korean Government [2020R1A2C1014449]</t>
        </is>
      </c>
      <c r="AE20" t="inlineStr">
        <is>
          <t>National Research Foundation of Korea - Korean Government(National Research Foundation of KoreaKorean Government)</t>
        </is>
      </c>
      <c r="AF20" t="inlineStr">
        <is>
          <t>This work was supported by a National Research Foundation of Korea grant funded by the Korean Government (No. 2020R1A2C1014449).</t>
        </is>
      </c>
      <c r="AH20" t="n">
        <v>37</v>
      </c>
      <c r="AI20" t="n">
        <v>5</v>
      </c>
      <c r="AJ20" t="n">
        <v>5</v>
      </c>
      <c r="AK20" t="n">
        <v>5</v>
      </c>
      <c r="AL20" t="n">
        <v>20</v>
      </c>
      <c r="AM20" t="inlineStr">
        <is>
          <t>MDPI</t>
        </is>
      </c>
      <c r="AN20" t="inlineStr">
        <is>
          <t>BASEL</t>
        </is>
      </c>
      <c r="AO20" t="inlineStr">
        <is>
          <t>ST ALBAN-ANLAGE 66, CH-4052 BASEL, SWITZERLAND</t>
        </is>
      </c>
      <c r="AQ20" t="inlineStr">
        <is>
          <t>1660-4601</t>
        </is>
      </c>
      <c r="AS20" t="inlineStr">
        <is>
          <t>INT J ENV RES PUB HE</t>
        </is>
      </c>
      <c r="AT20" t="inlineStr">
        <is>
          <t>Int. J. Environ. Res. Public Health</t>
        </is>
      </c>
      <c r="AU20" t="inlineStr">
        <is>
          <t>FEB</t>
        </is>
      </c>
      <c r="AV20" t="n">
        <v>2021</v>
      </c>
      <c r="AW20" t="n">
        <v>18</v>
      </c>
      <c r="AX20" t="n">
        <v>4</v>
      </c>
      <c r="BE20" t="n">
        <v>1861</v>
      </c>
      <c r="BF20" t="inlineStr">
        <is>
          <t>10.3390/ijerph18041861</t>
        </is>
      </c>
      <c r="BG20">
        <f>HYPERLINK("http://dx.doi.org/10.3390/ijerph18041861","http://dx.doi.org/10.3390/ijerph18041861")</f>
        <v/>
      </c>
      <c r="BJ20" t="n">
        <v>17</v>
      </c>
      <c r="BK20" t="inlineStr">
        <is>
          <t>Environmental Sciences; Public, Environmental &amp; Occupational Health</t>
        </is>
      </c>
      <c r="BL20" t="inlineStr">
        <is>
          <t>Science Citation Index Expanded (SCI-EXPANDED); Social Science Citation Index (SSCI)</t>
        </is>
      </c>
      <c r="BM20" t="inlineStr">
        <is>
          <t>Environmental Sciences &amp; Ecology; Public, Environmental &amp; Occupational Health</t>
        </is>
      </c>
      <c r="BN20" t="inlineStr">
        <is>
          <t>QP0QJ</t>
        </is>
      </c>
      <c r="BO20" t="n">
        <v>33672927</v>
      </c>
      <c r="BP20" t="inlineStr">
        <is>
          <t>gold, Green Published</t>
        </is>
      </c>
      <c r="BS20" t="inlineStr">
        <is>
          <t>2023-10-26</t>
        </is>
      </c>
      <c r="BT20" t="inlineStr">
        <is>
          <t>WOS:000623542200001</t>
        </is>
      </c>
      <c r="BU20">
        <f>HYPERLINK("https%3A%2F%2Fwww.webofscience.com%2Fwos%2Fwoscc%2Ffull-record%2FWOS:000623542200001","View Full Record in Web of Science")</f>
        <v/>
      </c>
    </row>
    <row r="21">
      <c r="A21" t="inlineStr">
        <is>
          <t>J</t>
        </is>
      </c>
      <c r="B21" t="inlineStr">
        <is>
          <t>Tuckett, AG; Freeman, A; Hetherington, S; Gardiner, PA; King, AC</t>
        </is>
      </c>
      <c r="F21" t="inlineStr">
        <is>
          <t>Tuckett, Anthony G.; Freeman, Abbey; Hetherington, Sharon; Gardiner, Paul A.; King, Abby C.</t>
        </is>
      </c>
      <c r="H21" t="inlineStr">
        <is>
          <t>Burnie Brae Citizen Scientists</t>
        </is>
      </c>
      <c r="J21" t="inlineStr">
        <is>
          <t>INTERNATIONAL JOURNAL OF ENVIRONMENTAL RESEARCH AND PUBLIC HEALTH</t>
        </is>
      </c>
      <c r="M21" t="inlineStr">
        <is>
          <t>English</t>
        </is>
      </c>
      <c r="N21" t="inlineStr">
        <is>
          <t>Article</t>
        </is>
      </c>
      <c r="T21" t="inlineStr">
        <is>
          <t>Older Adults Using Our Voice Citizen Science to Create Change in Their Neighborhood Environment</t>
        </is>
      </c>
      <c r="U21" t="inlineStr">
        <is>
          <t>older adult; physical activity; social connectedness; physical environment; citizen science; Discovery Tool</t>
        </is>
      </c>
      <c r="V21" t="inlineStr">
        <is>
          <t>BUILT ENVIRONMENT; PHYSICAL-ACTIVITY; HEALTH; PHOTOVOICE; PERCEPTIONS; DISEASE; PEOPLE; LEVEL</t>
        </is>
      </c>
      <c r="W21" t="inlineStr">
        <is>
          <t>Physical activity, primarily comprised of walking in older adults, confers benefits for psychological health and mental well-being, functional status outcomes and social outcomes. In many communities, however, access to physical activity opportunities are limited, especially for older adults. This exploratory study engaged a small sample (N = 8) of adults aged 65 or older as citizen scientists to assess and then work to improve their communities. Using a uniquely designed mobile application (the Stanford Healthy Neighborhood Discovery Tool), participants recorded a total of 83 geocoded photos and audio narratives of physical environment features that served to help or hinder physical activity in and around their community center. In a facilitated process the citizen scientists then discussed, coded and synthesized their data. The citizen scientists then leveraged their findings to advocate with local decision-makers for specific community improvements to promote physical activity. These changes focused on: parks/playgrounds, footpaths, and traffic related safety/parking. Project results suggest that the Our Voice approach can be an effective strategy for the global goals of advancing rights and increasing self-determination among older adults.</t>
        </is>
      </c>
      <c r="X21" t="inlineStr">
        <is>
          <t>[Tuckett, Anthony G.] Univ Queensland, Postgrad Coursework Programs Nursing Midwifery, St Lucia, Qld 4072, Australia; [Tuckett, Anthony G.; Freeman, Abbey] Univ Queensland, Sch Nursing Midwifery &amp; Social Work, St Lucia, Qld 4072, Australia; [Hetherington, Sharon] Burnie Brae Ltd, Hlth Connect Exercise Clin, Chermside, Qld 4032, Australia; [Gardiner, Paul A.] Univ Queensland, Fac Med, Ctr Hlth Serv Res, St Lucia, Qld 4102, Australia; [King, Abby C.] Stanford Univ, Sch Med, Dept Hlth Res &amp; Policy &amp; Med, Stanford Prevent,Res Ctr, Stanford, CA 94305 USA; [Burnie Brae Citizen Scientists] Burnie Brae Ltd, Chermside, Qld 4032, Australia</t>
        </is>
      </c>
      <c r="Y21" t="inlineStr">
        <is>
          <t>University of Queensland; University of Queensland; University of Queensland; Stanford University</t>
        </is>
      </c>
      <c r="Z21" t="inlineStr">
        <is>
          <t>Tuckett, AG (corresponding author), Univ Queensland, Postgrad Coursework Programs Nursing Midwifery, St Lucia, Qld 4072, Australia.;Tuckett, AG (corresponding author), Univ Queensland, Sch Nursing Midwifery &amp; Social Work, St Lucia, Qld 4072, Australia.</t>
        </is>
      </c>
      <c r="AA21" t="inlineStr">
        <is>
          <t>a.tuckett@uq.edu.au; a.freeman@uq.net.au; Hetherington.s@burniebrae.org.au; p.gardiner@uq.edu.au; king@stanford.edu</t>
        </is>
      </c>
      <c r="AB21" t="inlineStr">
        <is>
          <t>Gardiner, Paul A/F-2751-2010; King, Abby/AAD-5257-2021; TUCKETT, Anthony/B-2229-2009</t>
        </is>
      </c>
      <c r="AC21" t="inlineStr">
        <is>
          <t>Gardiner, Paul A/0000-0002-8072-2673; King, Abby/0000-0002-7949-8811; TUCKETT, Anthony/0000-0002-7578-4271</t>
        </is>
      </c>
      <c r="AH21" t="n">
        <v>47</v>
      </c>
      <c r="AI21" t="n">
        <v>22</v>
      </c>
      <c r="AJ21" t="n">
        <v>23</v>
      </c>
      <c r="AK21" t="n">
        <v>3</v>
      </c>
      <c r="AL21" t="n">
        <v>21</v>
      </c>
      <c r="AM21" t="inlineStr">
        <is>
          <t>MDPI</t>
        </is>
      </c>
      <c r="AN21" t="inlineStr">
        <is>
          <t>BASEL</t>
        </is>
      </c>
      <c r="AO21" t="inlineStr">
        <is>
          <t>ST ALBAN-ANLAGE 66, CH-4052 BASEL, SWITZERLAND</t>
        </is>
      </c>
      <c r="AQ21" t="inlineStr">
        <is>
          <t>1660-4601</t>
        </is>
      </c>
      <c r="AS21" t="inlineStr">
        <is>
          <t>INT J ENV RES PUB HE</t>
        </is>
      </c>
      <c r="AT21" t="inlineStr">
        <is>
          <t>Int. J. Environ. Res. Public Health</t>
        </is>
      </c>
      <c r="AU21" t="inlineStr">
        <is>
          <t>DEC</t>
        </is>
      </c>
      <c r="AV21" t="n">
        <v>2018</v>
      </c>
      <c r="AW21" t="n">
        <v>15</v>
      </c>
      <c r="AX21" t="n">
        <v>12</v>
      </c>
      <c r="BE21" t="n">
        <v>2685</v>
      </c>
      <c r="BF21" t="inlineStr">
        <is>
          <t>10.3390/ijerph15122685</t>
        </is>
      </c>
      <c r="BG21">
        <f>HYPERLINK("http://dx.doi.org/10.3390/ijerph15122685","http://dx.doi.org/10.3390/ijerph15122685")</f>
        <v/>
      </c>
      <c r="BJ21" t="n">
        <v>17</v>
      </c>
      <c r="BK21" t="inlineStr">
        <is>
          <t>Environmental Sciences; Public, Environmental &amp; Occupational Health</t>
        </is>
      </c>
      <c r="BL21" t="inlineStr">
        <is>
          <t>Science Citation Index Expanded (SCI-EXPANDED); Social Science Citation Index (SSCI)</t>
        </is>
      </c>
      <c r="BM21" t="inlineStr">
        <is>
          <t>Environmental Sciences &amp; Ecology; Public, Environmental &amp; Occupational Health</t>
        </is>
      </c>
      <c r="BN21" t="inlineStr">
        <is>
          <t>HI5XH</t>
        </is>
      </c>
      <c r="BO21" t="n">
        <v>30487444</v>
      </c>
      <c r="BP21" t="inlineStr">
        <is>
          <t>Green Submitted, Green Published, gold</t>
        </is>
      </c>
      <c r="BS21" t="inlineStr">
        <is>
          <t>2023-10-26</t>
        </is>
      </c>
      <c r="BT21" t="inlineStr">
        <is>
          <t>WOS:000456527000076</t>
        </is>
      </c>
      <c r="BU21">
        <f>HYPERLINK("https%3A%2F%2Fwww.webofscience.com%2Fwos%2Fwoscc%2Ffull-record%2FWOS:000456527000076","View Full Record in Web of Science")</f>
        <v/>
      </c>
    </row>
    <row r="22">
      <c r="A22" t="inlineStr">
        <is>
          <t>J</t>
        </is>
      </c>
      <c r="B22" t="inlineStr">
        <is>
          <t>Brüchert, T; Hasselder, P; Quentin, P; Bolte, G</t>
        </is>
      </c>
      <c r="F22" t="inlineStr">
        <is>
          <t>Bruechert, Tanja; Hasselder, Pia; Quentin, Paula; Bolte, Gabriele</t>
        </is>
      </c>
      <c r="J22" t="inlineStr">
        <is>
          <t>INTERNATIONAL JOURNAL OF ENVIRONMENTAL RESEARCH AND PUBLIC HEALTH</t>
        </is>
      </c>
      <c r="M22" t="inlineStr">
        <is>
          <t>English</t>
        </is>
      </c>
      <c r="N22" t="inlineStr">
        <is>
          <t>Article</t>
        </is>
      </c>
      <c r="T22" t="inlineStr">
        <is>
          <t>Walking for Transport among Older Adults: A Cross-Sectional Study on the Role of the Built Environment in Less Densely Populated Areas in Northern Germany</t>
        </is>
      </c>
      <c r="U22" t="inlineStr">
        <is>
          <t>built environment; age-friendly environment; neighborhood; active mobility; walking for transport; older adults; active aging</t>
        </is>
      </c>
      <c r="V22" t="inlineStr">
        <is>
          <t>PHYSICAL-ACTIVITY; NEIGHBORHOOD ENVIRONMENT; SOCIAL-ISOLATION; PERCEPTIONS; LONELINESS; MOBILITY; DISEASE; HEALTH</t>
        </is>
      </c>
      <c r="W22" t="inlineStr">
        <is>
          <t>In the last decades, there has been rising interest in public health research in the importance of the built environment for a healthy and active life in old age, but little attention has been paid to less densely populated areas. This study aimed to explore the impact of the built environment on walking for transport in the context of an older population living in communities of &lt;100,000 inhabitants. Within the project AFOOT-Securing urban mobility of an aging population, a cross-sectional postal survey was carried out from May to September 2019 in older adults (&gt;= 65 years) in the Metropolitan Region Northwest, Germany. Self-reported data from 2189 study participants were analyzed. Logistic and linear regression models were used to examine the associations between the built environment and walking for transport. Any walking and frequent walking were positively associated with nearly all built environment attributes, even after adjustment for demographic and health covariates. The amount of walking in minutes per week was associated only with residential density. Moderating effects of gender, age, and use of walking aids were identified. Improving the built environment appears to be a promising opportunity to motivate and enable older adults to walk for transport.</t>
        </is>
      </c>
      <c r="X22" t="inlineStr">
        <is>
          <t>[Bruechert, Tanja; Hasselder, Pia; Bolte, Gabriele] Univ Bremen, Dept Social Epidemiol, Inst Publ Hlth &amp; Nursing Res, Grazer Str 4, D-28359 Bremen, Germany; [Bruechert, Tanja; Hasselder, Pia; Bolte, Gabriele] Univ Bremen, Hlth Sci Bremen, D-28359 Bremen, Germany; [Quentin, Paula] TU Dortmund Univ, Fac Spatial Planning, Dept European Planning Cultures, August Schmidt Str 10, D-44227 Dortmund, Germany</t>
        </is>
      </c>
      <c r="Y22" t="inlineStr">
        <is>
          <t>University of Bremen; University of Bremen; Dortmund University of Technology</t>
        </is>
      </c>
      <c r="Z22" t="inlineStr">
        <is>
          <t>Bolte, G (corresponding author), Univ Bremen, Dept Social Epidemiol, Inst Publ Hlth &amp; Nursing Res, Grazer Str 4, D-28359 Bremen, Germany.;Bolte, G (corresponding author), Univ Bremen, Hlth Sci Bremen, D-28359 Bremen, Germany.</t>
        </is>
      </c>
      <c r="AA22" t="inlineStr">
        <is>
          <t>t.bruechert@uni-bremen.de; pi_ha@uni-bremen.de; paula.quentin@tu-dortmund.de; gabriele.bolte@uni-bremen.de</t>
        </is>
      </c>
      <c r="AC22" t="inlineStr">
        <is>
          <t>Hasselder, Pia/0000-0002-0295-8277; Bolte, Gabriele/0000-0002-0269-5059; Quentin, Paula/0000-0002-5530-9991; Bruchert, Tanja/0000-0003-2315-8081</t>
        </is>
      </c>
      <c r="AD22" t="inlineStr">
        <is>
          <t>German Federal Ministry of Education and Research (BMBF) [01EL1822B, 01EL1822G]</t>
        </is>
      </c>
      <c r="AE22" t="inlineStr">
        <is>
          <t>German Federal Ministry of Education and Research (BMBF)(Federal Ministry of Education &amp; Research (BMBF))</t>
        </is>
      </c>
      <c r="AF22" t="inlineStr">
        <is>
          <t>This research, which is part of the AFOOT project, is funded by the German Federal Ministry of Education and Research (BMBF; funding number of University of Bremen: 01EL1822B, of TU Dortmund: 01EL1822G).</t>
        </is>
      </c>
      <c r="AH22" t="n">
        <v>63</v>
      </c>
      <c r="AI22" t="n">
        <v>13</v>
      </c>
      <c r="AJ22" t="n">
        <v>13</v>
      </c>
      <c r="AK22" t="n">
        <v>0</v>
      </c>
      <c r="AL22" t="n">
        <v>22</v>
      </c>
      <c r="AM22" t="inlineStr">
        <is>
          <t>MDPI</t>
        </is>
      </c>
      <c r="AN22" t="inlineStr">
        <is>
          <t>BASEL</t>
        </is>
      </c>
      <c r="AO22" t="inlineStr">
        <is>
          <t>ST ALBAN-ANLAGE 66, CH-4052 BASEL, SWITZERLAND</t>
        </is>
      </c>
      <c r="AQ22" t="inlineStr">
        <is>
          <t>1660-4601</t>
        </is>
      </c>
      <c r="AS22" t="inlineStr">
        <is>
          <t>INT J ENV RES PUB HE</t>
        </is>
      </c>
      <c r="AT22" t="inlineStr">
        <is>
          <t>Int. J. Environ. Res. Public Health</t>
        </is>
      </c>
      <c r="AU22" t="inlineStr">
        <is>
          <t>DEC</t>
        </is>
      </c>
      <c r="AV22" t="n">
        <v>2020</v>
      </c>
      <c r="AW22" t="n">
        <v>17</v>
      </c>
      <c r="AX22" t="n">
        <v>24</v>
      </c>
      <c r="BE22" t="n">
        <v>9479</v>
      </c>
      <c r="BF22" t="inlineStr">
        <is>
          <t>10.3390/ijerph17249479</t>
        </is>
      </c>
      <c r="BG22">
        <f>HYPERLINK("http://dx.doi.org/10.3390/ijerph17249479","http://dx.doi.org/10.3390/ijerph17249479")</f>
        <v/>
      </c>
      <c r="BJ22" t="n">
        <v>21</v>
      </c>
      <c r="BK22" t="inlineStr">
        <is>
          <t>Environmental Sciences; Public, Environmental &amp; Occupational Health</t>
        </is>
      </c>
      <c r="BL22" t="inlineStr">
        <is>
          <t>Science Citation Index Expanded (SCI-EXPANDED); Social Science Citation Index (SSCI)</t>
        </is>
      </c>
      <c r="BM22" t="inlineStr">
        <is>
          <t>Environmental Sciences &amp; Ecology; Public, Environmental &amp; Occupational Health</t>
        </is>
      </c>
      <c r="BN22" t="inlineStr">
        <is>
          <t>PL2QJ</t>
        </is>
      </c>
      <c r="BO22" t="n">
        <v>33348881</v>
      </c>
      <c r="BP22" t="inlineStr">
        <is>
          <t>Green Published, gold</t>
        </is>
      </c>
      <c r="BS22" t="inlineStr">
        <is>
          <t>2023-10-26</t>
        </is>
      </c>
      <c r="BT22" t="inlineStr">
        <is>
          <t>WOS:000602972600001</t>
        </is>
      </c>
      <c r="BU22">
        <f>HYPERLINK("https%3A%2F%2Fwww.webofscience.com%2Fwos%2Fwoscc%2Ffull-record%2FWOS:000602972600001","View Full Record in Web of Science")</f>
        <v/>
      </c>
    </row>
    <row r="23">
      <c r="A23" t="inlineStr">
        <is>
          <t>J</t>
        </is>
      </c>
      <c r="B23" t="inlineStr">
        <is>
          <t>Riva, A; Rebecchi, A; Capolongo, S; Gola, M</t>
        </is>
      </c>
      <c r="F23" t="inlineStr">
        <is>
          <t>Riva, Alessia; Rebecchi, Andrea; Capolongo, Stefano; Gola, Marco</t>
        </is>
      </c>
      <c r="J23" t="inlineStr">
        <is>
          <t>INTERNATIONAL JOURNAL OF ENVIRONMENTAL RESEARCH AND PUBLIC HEALTH</t>
        </is>
      </c>
      <c r="M23" t="inlineStr">
        <is>
          <t>English</t>
        </is>
      </c>
      <c r="N23" t="inlineStr">
        <is>
          <t>Review</t>
        </is>
      </c>
      <c r="T23" t="inlineStr">
        <is>
          <t>Can Homes Affect Well-Being? A Scoping Review among Housing Conditions, Indoor Environmental Quality, and Mental Health Outcomes</t>
        </is>
      </c>
      <c r="U23" t="inlineStr">
        <is>
          <t>architectural features; housing conditions; indoor environmental quality; mental health; design recommendations</t>
        </is>
      </c>
      <c r="V23" t="inlineStr">
        <is>
          <t>PSYCHOLOGICAL DISTRESS; COVID-19 LOCKDOWN; COMFORT; IMPACT; COMMUNITY; SOCIETY</t>
        </is>
      </c>
      <c r="W23" t="inlineStr">
        <is>
          <t>The purpose of the scoping review is to explore the relationship between housing conditions, indoor environmental quality (IEQ), and mental health implications on human well-being. In fact, time spent at home increased due to the recent COVID-19 lockdown period, and social-sanitary emergencies are expected to grow due to the urbanization phenomenon. Thus, the role of the physical environment in which we live, study, and work, has become of crucial importance, as the literature has recently highlighted. This scoping review, conducted on the electronic database Scopus, led to the identification of 366 articles. This, after the screening processes based on the inclusion criteria, led to the final inclusion of 31 papers related specifically to the OECD area. The review allowed the identification of five housing conditions [house type, age, and floor level; housing qualities; household composition; neighborhood; green spaces] that, by influencing the IEQ parameters, had impacts on the mental health outcomes addressed. By synthesizing the contributions of the review, a list of design recommendations has been provided. These will serve as a basis for future researchers, from which to develop measures to reduce inequalities in housing by making them healthier, more resilient, and salutogenic.</t>
        </is>
      </c>
      <c r="X23" t="inlineStr">
        <is>
          <t>[Riva, Alessia] Politecn Milan, Sch Architecture Urban Planning Construct Engn AU, I-20133 Milan, Italy; [Rebecchi, Andrea; Capolongo, Stefano; Gola, Marco] Politecn Milan, Dept Architecture Built Environm &amp; Construct Engn, Design &amp; Hlth Lab, I-20133 Milan, Italy</t>
        </is>
      </c>
      <c r="Y23" t="inlineStr">
        <is>
          <t>Polytechnic University of Milan; Polytechnic University of Milan</t>
        </is>
      </c>
      <c r="Z23" t="inlineStr">
        <is>
          <t>Rebecchi, A (corresponding author), Politecn Milan, Dept Architecture Built Environm &amp; Construct Engn, Design &amp; Hlth Lab, I-20133 Milan, Italy.</t>
        </is>
      </c>
      <c r="AA23" t="inlineStr">
        <is>
          <t>andrea.rebecchi@polimi.it</t>
        </is>
      </c>
      <c r="AC23" t="inlineStr">
        <is>
          <t>Gola, Marco/0000-0002-4855-7583</t>
        </is>
      </c>
      <c r="AH23" t="n">
        <v>94</v>
      </c>
      <c r="AI23" t="n">
        <v>3</v>
      </c>
      <c r="AJ23" t="n">
        <v>3</v>
      </c>
      <c r="AK23" t="n">
        <v>16</v>
      </c>
      <c r="AL23" t="n">
        <v>29</v>
      </c>
      <c r="AM23" t="inlineStr">
        <is>
          <t>MDPI</t>
        </is>
      </c>
      <c r="AN23" t="inlineStr">
        <is>
          <t>BASEL</t>
        </is>
      </c>
      <c r="AO23" t="inlineStr">
        <is>
          <t>ST ALBAN-ANLAGE 66, CH-4052 BASEL, SWITZERLAND</t>
        </is>
      </c>
      <c r="AQ23" t="inlineStr">
        <is>
          <t>1660-4601</t>
        </is>
      </c>
      <c r="AS23" t="inlineStr">
        <is>
          <t>INT J ENV RES PUB HE</t>
        </is>
      </c>
      <c r="AT23" t="inlineStr">
        <is>
          <t>Int. J. Environ. Res. Public Health</t>
        </is>
      </c>
      <c r="AU23" t="inlineStr">
        <is>
          <t>DEC</t>
        </is>
      </c>
      <c r="AV23" t="n">
        <v>2022</v>
      </c>
      <c r="AW23" t="n">
        <v>19</v>
      </c>
      <c r="AX23" t="n">
        <v>23</v>
      </c>
      <c r="BE23" t="n">
        <v>15975</v>
      </c>
      <c r="BF23" t="inlineStr">
        <is>
          <t>10.3390/ijerph192315975</t>
        </is>
      </c>
      <c r="BG23">
        <f>HYPERLINK("http://dx.doi.org/10.3390/ijerph192315975","http://dx.doi.org/10.3390/ijerph192315975")</f>
        <v/>
      </c>
      <c r="BJ23" t="n">
        <v>25</v>
      </c>
      <c r="BK23" t="inlineStr">
        <is>
          <t>Environmental Sciences; Public, Environmental &amp; Occupational Health</t>
        </is>
      </c>
      <c r="BL23" t="inlineStr">
        <is>
          <t>Science Citation Index Expanded (SCI-EXPANDED); Social Science Citation Index (SSCI)</t>
        </is>
      </c>
      <c r="BM23" t="inlineStr">
        <is>
          <t>Environmental Sciences &amp; Ecology; Public, Environmental &amp; Occupational Health</t>
        </is>
      </c>
      <c r="BN23" t="inlineStr">
        <is>
          <t>6X0RC</t>
        </is>
      </c>
      <c r="BO23" t="n">
        <v>36498051</v>
      </c>
      <c r="BP23" t="inlineStr">
        <is>
          <t>gold, Green Published</t>
        </is>
      </c>
      <c r="BS23" t="inlineStr">
        <is>
          <t>2023-10-26</t>
        </is>
      </c>
      <c r="BT23" t="inlineStr">
        <is>
          <t>WOS:000896129900001</t>
        </is>
      </c>
      <c r="BU23">
        <f>HYPERLINK("https%3A%2F%2Fwww.webofscience.com%2Fwos%2Fwoscc%2Ffull-record%2FWOS:000896129900001","View Full Record in Web of Science")</f>
        <v/>
      </c>
    </row>
    <row r="24">
      <c r="A24" t="inlineStr">
        <is>
          <t>J</t>
        </is>
      </c>
      <c r="B24" t="inlineStr">
        <is>
          <t>Ashour, M; Mahdiyar, A; Haron, SH</t>
        </is>
      </c>
      <c r="F24" t="inlineStr">
        <is>
          <t>Ashour, Mojtaba; Mahdiyar, Amir; Haron, Syarmila Hany</t>
        </is>
      </c>
      <c r="J24" t="inlineStr">
        <is>
          <t>SUSTAINABILITY</t>
        </is>
      </c>
      <c r="M24" t="inlineStr">
        <is>
          <t>English</t>
        </is>
      </c>
      <c r="N24" t="inlineStr">
        <is>
          <t>Review</t>
        </is>
      </c>
      <c r="T24" t="inlineStr">
        <is>
          <t>A Comprehensive Review of Deterrents to the Practice of Sustainable Interior Architecture and Design</t>
        </is>
      </c>
      <c r="U24" t="inlineStr">
        <is>
          <t>sustainability; interior design; barrier; architectural design; interior environment</t>
        </is>
      </c>
      <c r="V24" t="inlineStr">
        <is>
          <t>INDOOR ENVIRONMENTAL-QUALITY; STUDENTS; SATISFACTION; EDUCATION; SCOPUS</t>
        </is>
      </c>
      <c r="W24" t="inlineStr">
        <is>
          <t>The interior environment as the place where people spend nearly 95% of their time in, has recently received considerable attention within the domain of the built environment. The concept of Sustainable Interior Architecture and Design (SIAD) and its significance have been recognized given its potential for energy conservation, and its impacts on occupants' satisfaction, comfort, as well as their physical and psychological wellbeing. Although the adoption of SIAD is crucial in achieving the sustainable development goals, its practice is still hindered by numerous deterrents. A number of studies have reported on these deterrents; however, there is no comprehensive review of the literature on this topic. Thus, as a first step toward addressing the present gap, this article provides a two decade (2000-2021) systematic review of the relevant literature that investigates a total of 51 publications. Furthermore, a scientometric analysis was conducted, and the co-citation and co-occurrence of journals and keywords were analyzed to illustrate the scientific landscape. A comprehensive summary table is provided consisting of 61 deterrents to the practice of SIAD that are categorized into five main categories: (1) economic; (2) attitude, knowledge, and awareness; (3) market, information, and technology; (4) education and training; as well as (5) government and professional bodies. Finally, the findings are deliberated upon and directions for future research are discussed.</t>
        </is>
      </c>
      <c r="X24" t="inlineStr">
        <is>
          <t>[Ashour, Mojtaba; Mahdiyar, Amir; Haron, Syarmila Hany] Univ Sains Malaysia, Sch Housing Bldg &amp; Planning, Gelugor 11800, Penang, Malaysia</t>
        </is>
      </c>
      <c r="Y24" t="inlineStr">
        <is>
          <t>Universiti Sains Malaysia</t>
        </is>
      </c>
      <c r="Z24" t="inlineStr">
        <is>
          <t>Mahdiyar, A (corresponding author), Univ Sains Malaysia, Sch Housing Bldg &amp; Planning, Gelugor 11800, Penang, Malaysia.</t>
        </is>
      </c>
      <c r="AA24" t="inlineStr">
        <is>
          <t>moji.ashouri@gmail.com; amirmahdiyar@usm.my; syarmilahany@usm.my</t>
        </is>
      </c>
      <c r="AB24" t="inlineStr">
        <is>
          <t>Ashour, Mojtaba/ABD-3758-2021; Haron, Syarmila/IXW-7441-2023; Mahdiyar, Amir/N-8558-2016</t>
        </is>
      </c>
      <c r="AC24" t="inlineStr">
        <is>
          <t>Ashour, Mojtaba/0000-0002-6076-8375; Haron, Syarmila/0000-0002-9276-933X; Mahdiyar, Amir/0000-0002-8075-5918</t>
        </is>
      </c>
      <c r="AD24" t="inlineStr">
        <is>
          <t>Universiti Sains Malaysia</t>
        </is>
      </c>
      <c r="AE24" t="inlineStr">
        <is>
          <t>Universiti Sains Malaysia(Universiti Sains Malaysia)</t>
        </is>
      </c>
      <c r="AF24" t="inlineStr">
        <is>
          <t>This research was funded by Universiti Sains Malaysia under a short term grant: grant number 304/PPBGN/6315356. The APC was funded by Universiti Sains Malaysia.</t>
        </is>
      </c>
      <c r="AH24" t="n">
        <v>90</v>
      </c>
      <c r="AI24" t="n">
        <v>1</v>
      </c>
      <c r="AJ24" t="n">
        <v>1</v>
      </c>
      <c r="AK24" t="n">
        <v>3</v>
      </c>
      <c r="AL24" t="n">
        <v>32</v>
      </c>
      <c r="AM24" t="inlineStr">
        <is>
          <t>MDPI</t>
        </is>
      </c>
      <c r="AN24" t="inlineStr">
        <is>
          <t>BASEL</t>
        </is>
      </c>
      <c r="AO24" t="inlineStr">
        <is>
          <t>ST ALBAN-ANLAGE 66, CH-4052 BASEL, SWITZERLAND</t>
        </is>
      </c>
      <c r="AQ24" t="inlineStr">
        <is>
          <t>2071-1050</t>
        </is>
      </c>
      <c r="AS24" t="inlineStr">
        <is>
          <t>SUSTAINABILITY-BASEL</t>
        </is>
      </c>
      <c r="AT24" t="inlineStr">
        <is>
          <t>Sustainability</t>
        </is>
      </c>
      <c r="AU24" t="inlineStr">
        <is>
          <t>SEP</t>
        </is>
      </c>
      <c r="AV24" t="n">
        <v>2021</v>
      </c>
      <c r="AW24" t="n">
        <v>13</v>
      </c>
      <c r="AX24" t="n">
        <v>18</v>
      </c>
      <c r="BE24" t="n">
        <v>10403</v>
      </c>
      <c r="BF24" t="inlineStr">
        <is>
          <t>10.3390/su131810403</t>
        </is>
      </c>
      <c r="BG24">
        <f>HYPERLINK("http://dx.doi.org/10.3390/su131810403","http://dx.doi.org/10.3390/su131810403")</f>
        <v/>
      </c>
      <c r="BJ24" t="n">
        <v>19</v>
      </c>
      <c r="BK24" t="inlineStr">
        <is>
          <t>Green &amp; Sustainable Science &amp; Technology; Environmental Sciences; Environmental Studies</t>
        </is>
      </c>
      <c r="BL24" t="inlineStr">
        <is>
          <t>Science Citation Index Expanded (SCI-EXPANDED); Social Science Citation Index (SSCI)</t>
        </is>
      </c>
      <c r="BM24" t="inlineStr">
        <is>
          <t>Science &amp; Technology - Other Topics; Environmental Sciences &amp; Ecology</t>
        </is>
      </c>
      <c r="BN24" t="inlineStr">
        <is>
          <t>UY8NX</t>
        </is>
      </c>
      <c r="BP24" t="inlineStr">
        <is>
          <t>gold</t>
        </is>
      </c>
      <c r="BS24" t="inlineStr">
        <is>
          <t>2023-10-26</t>
        </is>
      </c>
      <c r="BT24" t="inlineStr">
        <is>
          <t>WOS:000701775200001</t>
        </is>
      </c>
      <c r="BU24">
        <f>HYPERLINK("https%3A%2F%2Fwww.webofscience.com%2Fwos%2Fwoscc%2Ffull-record%2FWOS:000701775200001","View Full Record in Web of Science")</f>
        <v/>
      </c>
    </row>
    <row r="25">
      <c r="A25" t="inlineStr">
        <is>
          <t>J</t>
        </is>
      </c>
      <c r="B25" t="inlineStr">
        <is>
          <t>Zhou, JJ; Kang, R; Bai, X</t>
        </is>
      </c>
      <c r="F25" t="inlineStr">
        <is>
          <t>Zhou, Jia-Jia; Kang, Rui; Bai, Xue</t>
        </is>
      </c>
      <c r="J25" t="inlineStr">
        <is>
          <t>INTERNATIONAL JOURNAL OF ENVIRONMENTAL RESEARCH AND PUBLIC HEALTH</t>
        </is>
      </c>
      <c r="M25" t="inlineStr">
        <is>
          <t>English</t>
        </is>
      </c>
      <c r="N25" t="inlineStr">
        <is>
          <t>Review</t>
        </is>
      </c>
      <c r="T25" t="inlineStr">
        <is>
          <t>A Meta-Analysis on the Influence of Age-Friendly Environments on Older Adults' Physical and Mental Well-Being</t>
        </is>
      </c>
      <c r="U25" t="inlineStr">
        <is>
          <t>age-friendly environments; meta-analysis; physical well-being; mental well-being; healthy ageing; older adults</t>
        </is>
      </c>
      <c r="V25" t="inlineStr">
        <is>
          <t>QUALITY-OF-LIFE; SELF-RATED HEALTH; BUILT ENVIRONMENT; NEIGHBORHOOD; PEOPLE; SENSE</t>
        </is>
      </c>
      <c r="W25" t="inlineStr">
        <is>
          <t>The importance of age-friendly environments (AFEs) for older adults has been empirically and theoretically highlighted by the extant literature. However, the strength of the association between environments and older adults' well-being has not been comprehensively quantified. Given the different attributes of the physical and mental dimensions, this meta-analysis aims to synthesise and quantify the association between AFEs and the physical and mental well-being of older adults. Fourteen eligible studies were included in this analysis: among which eight explored the link between AFEs and physical well-being, and eleven investigated AFEs in association with mental well-being. A random-effects model showed a small but significant correlation between AFEs and the mental well-being of older adults (r = 0.160, 95% CI [0.084, 0.224], p &lt; 0.001), and the correlation between AFEs and physical well-being was also significant (r = 0.072, 95% CI [0.026, 0.118], p &lt; 0.01). The number of environmental factors involved in AFEs moderated the association with physical well-being, from which the association was only significant among studies focusing on fewer environmental factors (n &lt; 6). Results of this meta-analysis indicated that AFEs may be more effective in promoting the emotions of older adults, compared to ameliorating their physical functioning. The limitations of current empirical studies and directions for future research in the field of environmental gerontology were also discussed.</t>
        </is>
      </c>
      <c r="X25" t="inlineStr">
        <is>
          <t>[Zhou, Jia-Jia; Kang, Rui; Bai, Xue] Hong Kong Polytech Univ, Dept Appl Social Sci, Hong Kong 999077, Peoples R China; [Bai, Xue] Hong Kong Polytech Univ, Inst Act Ageing, Res Ctr Gerontol &amp; Family Studies, Hong Kong 999077, Peoples R China</t>
        </is>
      </c>
      <c r="Y25" t="inlineStr">
        <is>
          <t>Hong Kong Polytechnic University; Hong Kong Polytechnic University</t>
        </is>
      </c>
      <c r="Z25" t="inlineStr">
        <is>
          <t>Bai, X (corresponding author), Hong Kong Polytech Univ, Dept Appl Social Sci, Hong Kong 999077, Peoples R China.;Bai, X (corresponding author), Hong Kong Polytech Univ, Inst Act Ageing, Res Ctr Gerontol &amp; Family Studies, Hong Kong 999077, Peoples R China.</t>
        </is>
      </c>
      <c r="AA25" t="inlineStr">
        <is>
          <t>xue.bai@polyu.edu.hk</t>
        </is>
      </c>
      <c r="AC25" t="inlineStr">
        <is>
          <t>ZHOU, Jiajia/0000-0001-5677-9015</t>
        </is>
      </c>
      <c r="AH25" t="n">
        <v>61</v>
      </c>
      <c r="AI25" t="n">
        <v>1</v>
      </c>
      <c r="AJ25" t="n">
        <v>1</v>
      </c>
      <c r="AK25" t="n">
        <v>9</v>
      </c>
      <c r="AL25" t="n">
        <v>24</v>
      </c>
      <c r="AM25" t="inlineStr">
        <is>
          <t>MDPI</t>
        </is>
      </c>
      <c r="AN25" t="inlineStr">
        <is>
          <t>BASEL</t>
        </is>
      </c>
      <c r="AO25" t="inlineStr">
        <is>
          <t>ST ALBAN-ANLAGE 66, CH-4052 BASEL, SWITZERLAND</t>
        </is>
      </c>
      <c r="AQ25" t="inlineStr">
        <is>
          <t>1660-4601</t>
        </is>
      </c>
      <c r="AS25" t="inlineStr">
        <is>
          <t>INT J ENV RES PUB HE</t>
        </is>
      </c>
      <c r="AT25" t="inlineStr">
        <is>
          <t>Int. J. Environ. Res. Public Health</t>
        </is>
      </c>
      <c r="AU25" t="inlineStr">
        <is>
          <t>NOV</t>
        </is>
      </c>
      <c r="AV25" t="n">
        <v>2022</v>
      </c>
      <c r="AW25" t="n">
        <v>19</v>
      </c>
      <c r="AX25" t="n">
        <v>21</v>
      </c>
      <c r="BE25" t="n">
        <v>13813</v>
      </c>
      <c r="BF25" t="inlineStr">
        <is>
          <t>10.3390/ijerph192113813</t>
        </is>
      </c>
      <c r="BG25">
        <f>HYPERLINK("http://dx.doi.org/10.3390/ijerph192113813","http://dx.doi.org/10.3390/ijerph192113813")</f>
        <v/>
      </c>
      <c r="BJ25" t="n">
        <v>16</v>
      </c>
      <c r="BK25" t="inlineStr">
        <is>
          <t>Environmental Sciences; Public, Environmental &amp; Occupational Health</t>
        </is>
      </c>
      <c r="BL25" t="inlineStr">
        <is>
          <t>Science Citation Index Expanded (SCI-EXPANDED); Social Science Citation Index (SSCI)</t>
        </is>
      </c>
      <c r="BM25" t="inlineStr">
        <is>
          <t>Environmental Sciences &amp; Ecology; Public, Environmental &amp; Occupational Health</t>
        </is>
      </c>
      <c r="BN25" t="inlineStr">
        <is>
          <t>6B4AH</t>
        </is>
      </c>
      <c r="BO25" t="n">
        <v>36360692</v>
      </c>
      <c r="BP25" t="inlineStr">
        <is>
          <t>gold, Green Published</t>
        </is>
      </c>
      <c r="BS25" t="inlineStr">
        <is>
          <t>2023-10-26</t>
        </is>
      </c>
      <c r="BT25" t="inlineStr">
        <is>
          <t>WOS:000881277200001</t>
        </is>
      </c>
      <c r="BU25">
        <f>HYPERLINK("https%3A%2F%2Fwww.webofscience.com%2Fwos%2Fwoscc%2Ffull-record%2FWOS:000881277200001","View Full Record in Web of Science")</f>
        <v/>
      </c>
    </row>
    <row r="26">
      <c r="A26" t="inlineStr">
        <is>
          <t>J</t>
        </is>
      </c>
      <c r="B26" t="inlineStr">
        <is>
          <t>Seyedahmadi, S</t>
        </is>
      </c>
      <c r="F26" t="inlineStr">
        <is>
          <t>Seyedahmadi, Seyedehhana</t>
        </is>
      </c>
      <c r="J26" t="inlineStr">
        <is>
          <t>EUROPEAN JOURNAL OF SUSTAINABLE DEVELOPMENT</t>
        </is>
      </c>
      <c r="M26" t="inlineStr">
        <is>
          <t>English</t>
        </is>
      </c>
      <c r="N26" t="inlineStr">
        <is>
          <t>Article</t>
        </is>
      </c>
      <c r="T26" t="inlineStr">
        <is>
          <t>Role of Natural Elements in Provision of Healing Environment: Sustainable Healthcare Building</t>
        </is>
      </c>
      <c r="U26" t="inlineStr">
        <is>
          <t>architecture; environment; hospital; sustainability</t>
        </is>
      </c>
      <c r="W26" t="inlineStr">
        <is>
          <t>In order to improve the functional layout of hospital environment and to cope with modem changes, this paper aimed at examining the current architectural conditions in a public hospitals, and clarifying the requirements of spatial planning from the architectural standpoint. Recently, the initiative by the Iranian government to reduce the energy consumption in public buildings including hospitals is seen as the notion for sustainability in the built environment. On the other hand, designing a hospital building is architecturally accepted as a complex task both functionally and psychologically. Therefore, creating a healing environment with functional physical spaces (for example daylight utilization) to achieve sustainable hospital seems relevant and in tandem with sustainability. Many previous studies suggest that adequate and appropriate exposure to natural elements and daylight can provide a positive impact on human health and well-being of patients and medical staff in a hospital environment. This paper reviewed the role of natural elements focusing on daylight utilization as one of the physical aspects in hospital design to create a healing environment, and the effects of physical aspects on patients' outcomes were investigated. Pilot studies on several public hospitals in different cities of Iran, was carried out to investigate the design and utilization of lighting (i.e. artificial and natural light) and its relationship to other environmental factors.</t>
        </is>
      </c>
      <c r="X26" t="inlineStr">
        <is>
          <t>[Seyedahmadi, Seyedehhana] Islamic Azad Univ, Dept Architecture, Ahar Branch, Ahar, Iran</t>
        </is>
      </c>
      <c r="Y26" t="inlineStr">
        <is>
          <t>Islamic Azad University</t>
        </is>
      </c>
      <c r="Z26" t="inlineStr">
        <is>
          <t>Seyedahmadi, S (corresponding author), Islamic Azad Univ, Dept Architecture, Ahar Branch, Ahar, Iran.</t>
        </is>
      </c>
      <c r="AB26" t="inlineStr">
        <is>
          <t>Santana, Elaine/GNP-2710-2022</t>
        </is>
      </c>
      <c r="AH26" t="n">
        <v>9</v>
      </c>
      <c r="AI26" t="n">
        <v>5</v>
      </c>
      <c r="AJ26" t="n">
        <v>5</v>
      </c>
      <c r="AK26" t="n">
        <v>1</v>
      </c>
      <c r="AL26" t="n">
        <v>29</v>
      </c>
      <c r="AM26" t="inlineStr">
        <is>
          <t>EUROPEAN CENTER SUSTAINABLE DEVELOPMENT</t>
        </is>
      </c>
      <c r="AN26" t="inlineStr">
        <is>
          <t>ROME</t>
        </is>
      </c>
      <c r="AO26" t="inlineStr">
        <is>
          <t>VIA DEI FIORI 34, ROME, 00172, ITALY</t>
        </is>
      </c>
      <c r="AP26" t="inlineStr">
        <is>
          <t>2239-5938</t>
        </is>
      </c>
      <c r="AQ26" t="inlineStr">
        <is>
          <t>2239-6101</t>
        </is>
      </c>
      <c r="AS26" t="inlineStr">
        <is>
          <t>EUR J SUSTAIN DEV</t>
        </is>
      </c>
      <c r="AT26" t="inlineStr">
        <is>
          <t>Eur. J. Sustain. Dev.</t>
        </is>
      </c>
      <c r="AV26" t="n">
        <v>2019</v>
      </c>
      <c r="AW26" t="n">
        <v>8</v>
      </c>
      <c r="AX26" t="n">
        <v>1</v>
      </c>
      <c r="BC26" t="n">
        <v>401</v>
      </c>
      <c r="BD26" t="n">
        <v>408</v>
      </c>
      <c r="BF26" t="inlineStr">
        <is>
          <t>10.14207/ejsd.2019.v8n1p401</t>
        </is>
      </c>
      <c r="BG26">
        <f>HYPERLINK("http://dx.doi.org/10.14207/ejsd.2019.v8n1p401","http://dx.doi.org/10.14207/ejsd.2019.v8n1p401")</f>
        <v/>
      </c>
      <c r="BJ26" t="n">
        <v>8</v>
      </c>
      <c r="BK26" t="inlineStr">
        <is>
          <t>Environmental Sciences</t>
        </is>
      </c>
      <c r="BL26" t="inlineStr">
        <is>
          <t>Emerging Sources Citation Index (ESCI)</t>
        </is>
      </c>
      <c r="BM26" t="inlineStr">
        <is>
          <t>Environmental Sciences &amp; Ecology</t>
        </is>
      </c>
      <c r="BN26" t="inlineStr">
        <is>
          <t>HJ9KM</t>
        </is>
      </c>
      <c r="BP26" t="inlineStr">
        <is>
          <t>gold</t>
        </is>
      </c>
      <c r="BS26" t="inlineStr">
        <is>
          <t>2023-10-26</t>
        </is>
      </c>
      <c r="BT26" t="inlineStr">
        <is>
          <t>WOS:000457518100026</t>
        </is>
      </c>
      <c r="BU26">
        <f>HYPERLINK("https%3A%2F%2Fwww.webofscience.com%2Fwos%2Fwoscc%2Ffull-record%2FWOS:000457518100026","View Full Record in Web of Science")</f>
        <v/>
      </c>
    </row>
    <row r="27">
      <c r="A27" t="inlineStr">
        <is>
          <t>J</t>
        </is>
      </c>
      <c r="B27" t="inlineStr">
        <is>
          <t>Zandieh, R; Martinez, J; Flacke, J; Jones, P; van Maarseveen, M</t>
        </is>
      </c>
      <c r="F27" t="inlineStr">
        <is>
          <t>Zandieh, Razieh; Martinez, Javier; Flacke, Johannes; Jones, Phil; van Maarseveen, Martin</t>
        </is>
      </c>
      <c r="J27" t="inlineStr">
        <is>
          <t>INTERNATIONAL JOURNAL OF ENVIRONMENTAL RESEARCH AND PUBLIC HEALTH</t>
        </is>
      </c>
      <c r="M27" t="inlineStr">
        <is>
          <t>English</t>
        </is>
      </c>
      <c r="N27" t="inlineStr">
        <is>
          <t>Article</t>
        </is>
      </c>
      <c r="T27" t="inlineStr">
        <is>
          <t>Older Adults' Outdoor Walking: Inequalities in Neighbourhood Safety, Pedestrian Infrastructure and Aesthetics</t>
        </is>
      </c>
      <c r="U27" t="inlineStr">
        <is>
          <t>physical activity; walking; deprivation; built environment; older adults; perception; inequalities; GPS</t>
        </is>
      </c>
      <c r="V27" t="inlineStr">
        <is>
          <t>PHYSICAL-ACTIVITY; BUILT ENVIRONMENT; COMMUNITY DESIGN; HEALTH; URBAN; GPS; TRANSPORTATION; ASSOCIATIONS; WALKABILITY; BEHAVIOR</t>
        </is>
      </c>
      <c r="W27" t="inlineStr">
        <is>
          <t>Older adults living in high-deprivation areas walk less than those living in low-deprivation areas. Previous research has shown that older adults' outdoor walking levels are related to the neighbourhood built environment. This study examines inequalities in perceived built environment attributes (i.e., safety, pedestrian infrastructure and aesthetics) and their possible influences on disparities in older adults' outdoor walking levels in low-and high-deprivation areas of Birmingham, United Kingdom. It applied a mixed-method approach, included 173 participants (65 years and over), used GPS technology to measure outdoor walking levels, used questionnaires (for all participants) and conducted walking interviews (with a sub-sample) to collect data on perceived neighbourhood built environment attributes. The results show inequalities in perceived neighbourhood safety, pedestrian infrastructure and aesthetics in high-versus low-deprivation areas and demonstrate that they may influence disparities in participants' outdoor walking levels. Improvements of perceived neighbourhood safety, pedestrian infrastructure and aesthetic in high-deprivation areas are encouraged.</t>
        </is>
      </c>
      <c r="X27" t="inlineStr">
        <is>
          <t>[Zandieh, Razieh; Martinez, Javier; Flacke, Johannes; van Maarseveen, Martin] Univ Twente, Fac Geoinformat Sci &amp; Earth Observat ITC, POB 217, NL-7500 AE Enschede, Netherlands; [Jones, Phil] Univ Birmingham, Sch Geog Earth &amp; Environm Sci, Birmingham B15 2TT, W Midlands, England</t>
        </is>
      </c>
      <c r="Y27" t="inlineStr">
        <is>
          <t>University of Twente; University of Birmingham</t>
        </is>
      </c>
      <c r="Z27" t="inlineStr">
        <is>
          <t>Zandieh, R (corresponding author), Univ Twente, Fac Geoinformat Sci &amp; Earth Observat ITC, POB 217, NL-7500 AE Enschede, Netherlands.</t>
        </is>
      </c>
      <c r="AA27" t="inlineStr">
        <is>
          <t>r.zandieh@utwente.nl; j.martinez@utwente.nl; j.flacke@utwente.nl; p.i.jones@bham.ac.uk; m.f.a.m.vanmaarseveen@utwente.nl</t>
        </is>
      </c>
      <c r="AB27" t="inlineStr">
        <is>
          <t>Flacke, Johannes/C-9941-2013; Martinez, Javier A/D-3834-2009; Jones, Phil I/D-9538-2011</t>
        </is>
      </c>
      <c r="AC27" t="inlineStr">
        <is>
          <t>Flacke, Johannes/0000-0001-8906-7719; Martinez, Javier A/0000-0001-9634-3849; Jones, Phil/0000-0001-6455-1184; Zandieh, Razieh/0000-0001-9228-3076</t>
        </is>
      </c>
      <c r="AD27" t="inlineStr">
        <is>
          <t>European Union</t>
        </is>
      </c>
      <c r="AE27" t="inlineStr">
        <is>
          <t>European Union(European Union (EU))</t>
        </is>
      </c>
      <c r="AF27" t="inlineStr">
        <is>
          <t>The authors would like to thank all the older adults who participated for donating their time and enthusiasm. The authors would also like to thank Marco Helbich at Utrecht University for his comments on statistical analysis. This research was financially supported by Erasmus Mundus scholarship supplied by the European Union.</t>
        </is>
      </c>
      <c r="AH27" t="n">
        <v>85</v>
      </c>
      <c r="AI27" t="n">
        <v>55</v>
      </c>
      <c r="AJ27" t="n">
        <v>56</v>
      </c>
      <c r="AK27" t="n">
        <v>1</v>
      </c>
      <c r="AL27" t="n">
        <v>45</v>
      </c>
      <c r="AM27" t="inlineStr">
        <is>
          <t>MDPI</t>
        </is>
      </c>
      <c r="AN27" t="inlineStr">
        <is>
          <t>BASEL</t>
        </is>
      </c>
      <c r="AO27" t="inlineStr">
        <is>
          <t>ST ALBAN-ANLAGE 66, CH-4052 BASEL, SWITZERLAND</t>
        </is>
      </c>
      <c r="AP27" t="inlineStr">
        <is>
          <t>1660-4601</t>
        </is>
      </c>
      <c r="AS27" t="inlineStr">
        <is>
          <t>INT J ENV RES PUB HE</t>
        </is>
      </c>
      <c r="AT27" t="inlineStr">
        <is>
          <t>Int. J. Environ. Res. Public Health</t>
        </is>
      </c>
      <c r="AU27" t="inlineStr">
        <is>
          <t>DEC</t>
        </is>
      </c>
      <c r="AV27" t="n">
        <v>2016</v>
      </c>
      <c r="AW27" t="n">
        <v>13</v>
      </c>
      <c r="AX27" t="n">
        <v>12</v>
      </c>
      <c r="BE27" t="n">
        <v>1179</v>
      </c>
      <c r="BF27" t="inlineStr">
        <is>
          <t>10.3390/ijerph13121179</t>
        </is>
      </c>
      <c r="BG27">
        <f>HYPERLINK("http://dx.doi.org/10.3390/ijerph13121179","http://dx.doi.org/10.3390/ijerph13121179")</f>
        <v/>
      </c>
      <c r="BJ27" t="n">
        <v>24</v>
      </c>
      <c r="BK27" t="inlineStr">
        <is>
          <t>Environmental Sciences; Public, Environmental &amp; Occupational Health</t>
        </is>
      </c>
      <c r="BL27" t="inlineStr">
        <is>
          <t>Science Citation Index Expanded (SCI-EXPANDED); Social Science Citation Index (SSCI)</t>
        </is>
      </c>
      <c r="BM27" t="inlineStr">
        <is>
          <t>Environmental Sciences &amp; Ecology; Public, Environmental &amp; Occupational Health</t>
        </is>
      </c>
      <c r="BN27" t="inlineStr">
        <is>
          <t>EE4KX</t>
        </is>
      </c>
      <c r="BO27" t="n">
        <v>27898023</v>
      </c>
      <c r="BP27" t="inlineStr">
        <is>
          <t>Green Published, Green Submitted, gold</t>
        </is>
      </c>
      <c r="BS27" t="inlineStr">
        <is>
          <t>2023-10-26</t>
        </is>
      </c>
      <c r="BT27" t="inlineStr">
        <is>
          <t>WOS:000389571900007</t>
        </is>
      </c>
      <c r="BU27">
        <f>HYPERLINK("https%3A%2F%2Fwww.webofscience.com%2Fwos%2Fwoscc%2Ffull-record%2FWOS:000389571900007","View Full Record in Web of Science")</f>
        <v/>
      </c>
    </row>
    <row r="28">
      <c r="A28" t="inlineStr">
        <is>
          <t>J</t>
        </is>
      </c>
      <c r="B28" t="inlineStr">
        <is>
          <t>Jia, QL; Zhang, T; Cheng, L; Cheng, G; Jin, MJ</t>
        </is>
      </c>
      <c r="F28" t="inlineStr">
        <is>
          <t>Jia, Qinglin; Zhang, Tao; Cheng, Long; Cheng, Gang; Jin, Minjie</t>
        </is>
      </c>
      <c r="J28" t="inlineStr">
        <is>
          <t>SUSTAINABILITY</t>
        </is>
      </c>
      <c r="M28" t="inlineStr">
        <is>
          <t>English</t>
        </is>
      </c>
      <c r="N28" t="inlineStr">
        <is>
          <t>Article</t>
        </is>
      </c>
      <c r="T28" t="inlineStr">
        <is>
          <t>The Impact of the Neighborhood Built Environment on the Walking Activity of Older Adults: A Multi-Scale Spatial Heterogeneity Analysis</t>
        </is>
      </c>
      <c r="U28" t="inlineStr">
        <is>
          <t>neighborhood built environment; older adults; walking activities; multi-scale analysis; influence intensity</t>
        </is>
      </c>
      <c r="V28" t="inlineStr">
        <is>
          <t>PHYSICAL-ACTIVITY; TRAVEL; PERCEPTION; ZHONGSHAN; LOCATION; PATTERNS; BEHAVIOR; SENIORS</t>
        </is>
      </c>
      <c r="W28" t="inlineStr">
        <is>
          <t>Walking, as a major mode of travel or activity among older adults, deserves more attention in research on travel behavior related to the neighborhood built environment. However, most previous research has examined global relationships or assumed that all spatial scales are identical rather than focusing on the intensity of spatial scale differences between explanatory variables and travel behavior. Therefore, this paper employs a multi-scale, geographically weighted regression model to analyze the effect of the neighborhood built environment on the walking activities of 863 older adults in Taiyuan, China, using survey data. The results indicate that the influence intensity of the explanatory variables is determined, in descending order, by the number of retail establishments, the number of pedestrian crossings, the number of restaurants, the residential density, the land use combination, the number of recreation facilities, and the location and the number of bus stops. Moreover, the spatial scales of the number of recreation and public service facilities are greater than those of the other explanatory variables. This research can contribute to a better understanding of the relationships between the built environment of a neighborhood and walking activities and provide case support for the sustainable development of age-friendly transportation services.</t>
        </is>
      </c>
      <c r="X28" t="inlineStr">
        <is>
          <t>[Jia, Qinglin; Zhang, Tao; Jin, Minjie] Taiyuan Univ Sci &amp; Technol, Sch Traff &amp; Logist Engn, Taiyuan 030024, Peoples R China; [Zhang, Tao; Cheng, Gang] Tibet Univ, Ctr Tibetan Studies Everest Res Inst, Lhasa 850001, Peoples R China; [Cheng, Long] Southeast Univ, Sch Transportat, Nanjing 211189, Peoples R China; [Cheng, Long] Univ Ghent, Dept Geog, B-9000 Ghent, Belgium</t>
        </is>
      </c>
      <c r="Y28" t="inlineStr">
        <is>
          <t>Taiyuan University of Science &amp; Technology; Tibet University; Southeast University - China; Ghent University</t>
        </is>
      </c>
      <c r="Z28" t="inlineStr">
        <is>
          <t>Zhang, T (corresponding author), Taiyuan Univ Sci &amp; Technol, Sch Traff &amp; Logist Engn, Taiyuan 030024, Peoples R China.;Zhang, T (corresponding author), Tibet Univ, Ctr Tibetan Studies Everest Res Inst, Lhasa 850001, Peoples R China.</t>
        </is>
      </c>
      <c r="AA28" t="inlineStr">
        <is>
          <t>taoerbuqi007@tyust.edu.cn</t>
        </is>
      </c>
      <c r="AB28" t="inlineStr">
        <is>
          <t>liu, xinyu/IWD-6630-2023</t>
        </is>
      </c>
      <c r="AC28" t="inlineStr">
        <is>
          <t>Zhang, Tao/0000-0001-9689-2135; Cheng, Gang/0000-0002-3369-7970</t>
        </is>
      </c>
      <c r="AD28" t="inlineStr">
        <is>
          <t>National Natural Science Foundation of China [51968063]; Fundamental Research Program of Shanxi Province [20210302124455, 202103021223301]; Shanxi Scholarship Council of China [2022-159]; Excellent Doctor Award Fund for Work in Shanxi [20202029, 20212057]; Scientific and Technological Innovation Programs of Higher Education Institutions in Shanxi [2020L0348, 2021L335]</t>
        </is>
      </c>
      <c r="AE28" t="inlineStr">
        <is>
          <t>National Natural Science Foundation of China(National Natural Science Foundation of China (NSFC)); Fundamental Research Program of Shanxi Province; Shanxi Scholarship Council of China; Excellent Doctor Award Fund for Work in Shanxi; Scientific and Technological Innovation Programs of Higher Education Institutions in Shanxi</t>
        </is>
      </c>
      <c r="AF28" t="inlineStr">
        <is>
          <t>This work was supported in part by the National Natural Science Foundation of China (grant No. 51968063), in part by the Fundamental Research Program of Shanxi Province (grant Nos. 20210302124455 and 202103021223301), in part by the research project supported by the Shanxi Scholarship Council of China (grant No. 2022-159), in part by the Excellent Doctor Award Fund for Work in Shanxi (grant Nos. 20202029 and 20212057), and in part by the Scientific and Technological Innovation Programs of Higher Education Institutions in Shanxi (grant Nos. 2020L0348 and 2021L335).</t>
        </is>
      </c>
      <c r="AH28" t="n">
        <v>60</v>
      </c>
      <c r="AI28" t="n">
        <v>1</v>
      </c>
      <c r="AJ28" t="n">
        <v>1</v>
      </c>
      <c r="AK28" t="n">
        <v>10</v>
      </c>
      <c r="AL28" t="n">
        <v>22</v>
      </c>
      <c r="AM28" t="inlineStr">
        <is>
          <t>MDPI</t>
        </is>
      </c>
      <c r="AN28" t="inlineStr">
        <is>
          <t>BASEL</t>
        </is>
      </c>
      <c r="AO28" t="inlineStr">
        <is>
          <t>ST ALBAN-ANLAGE 66, CH-4052 BASEL, SWITZERLAND</t>
        </is>
      </c>
      <c r="AQ28" t="inlineStr">
        <is>
          <t>2071-1050</t>
        </is>
      </c>
      <c r="AS28" t="inlineStr">
        <is>
          <t>SUSTAINABILITY-BASEL</t>
        </is>
      </c>
      <c r="AT28" t="inlineStr">
        <is>
          <t>Sustainability</t>
        </is>
      </c>
      <c r="AU28" t="inlineStr">
        <is>
          <t>NOV</t>
        </is>
      </c>
      <c r="AV28" t="n">
        <v>2022</v>
      </c>
      <c r="AW28" t="n">
        <v>14</v>
      </c>
      <c r="AX28" t="n">
        <v>21</v>
      </c>
      <c r="BE28" t="n">
        <v>13927</v>
      </c>
      <c r="BF28" t="inlineStr">
        <is>
          <t>10.3390/su142113927</t>
        </is>
      </c>
      <c r="BG28">
        <f>HYPERLINK("http://dx.doi.org/10.3390/su142113927","http://dx.doi.org/10.3390/su142113927")</f>
        <v/>
      </c>
      <c r="BJ28" t="n">
        <v>20</v>
      </c>
      <c r="BK28" t="inlineStr">
        <is>
          <t>Green &amp; Sustainable Science &amp; Technology; Environmental Sciences; Environmental Studies</t>
        </is>
      </c>
      <c r="BL28" t="inlineStr">
        <is>
          <t>Science Citation Index Expanded (SCI-EXPANDED); Social Science Citation Index (SSCI)</t>
        </is>
      </c>
      <c r="BM28" t="inlineStr">
        <is>
          <t>Science &amp; Technology - Other Topics; Environmental Sciences &amp; Ecology</t>
        </is>
      </c>
      <c r="BN28" t="inlineStr">
        <is>
          <t>6D4IA</t>
        </is>
      </c>
      <c r="BP28" t="inlineStr">
        <is>
          <t>gold</t>
        </is>
      </c>
      <c r="BS28" t="inlineStr">
        <is>
          <t>2023-10-26</t>
        </is>
      </c>
      <c r="BT28" t="inlineStr">
        <is>
          <t>WOS:000882655300001</t>
        </is>
      </c>
      <c r="BU28">
        <f>HYPERLINK("https%3A%2F%2Fwww.webofscience.com%2Fwos%2Fwoscc%2Ffull-record%2FWOS:000882655300001","View Full Record in Web of Science")</f>
        <v/>
      </c>
    </row>
    <row r="29">
      <c r="A29" t="inlineStr">
        <is>
          <t>J</t>
        </is>
      </c>
      <c r="B29" t="inlineStr">
        <is>
          <t>Namgung, M; Gonzalez, BEM; Park, S</t>
        </is>
      </c>
      <c r="F29" t="inlineStr">
        <is>
          <t>Namgung, Mi; Gonzalez, B. Elizabeth Mercado; Park, Seungwoo</t>
        </is>
      </c>
      <c r="J29" t="inlineStr">
        <is>
          <t>INTERNATIONAL JOURNAL OF ENVIRONMENTAL RESEARCH AND PUBLIC HEALTH</t>
        </is>
      </c>
      <c r="M29" t="inlineStr">
        <is>
          <t>English</t>
        </is>
      </c>
      <c r="N29" t="inlineStr">
        <is>
          <t>Article</t>
        </is>
      </c>
      <c r="T29" t="inlineStr">
        <is>
          <t>The Role of Built Environment on Health of Older Adults in Korea: Obesity and Gender Differences</t>
        </is>
      </c>
      <c r="U29" t="inlineStr">
        <is>
          <t>obesity; built environment; gender difference; spatial analysis; Korea</t>
        </is>
      </c>
      <c r="V29" t="inlineStr">
        <is>
          <t>BODY-MASS INDEX; NEIGHBORHOOD WALKING ACTIVITY; PHYSICAL-ACTIVITY; WAIST CIRCUMFERENCE; WEIGHT STATUS; FOOD; ASSOCIATIONS; ADIPOSITY</t>
        </is>
      </c>
      <c r="W29" t="inlineStr">
        <is>
          <t>This study examines the effect of the built environment on obesity in older adults, taking into consideration gender difference. In this regard, we ask two questions: (1) How does the built environment affect obesity in older adults? (2) Is there a gender difference in the effect of the built environment? To examine the research questions, this study uses the 2015 Korean National Health and Nutrition Survey and geographically weighted regression (GWR) analysis. The empirical analyses show that environmental factors have stronger effects on local obesity rates for older men than for older women, which indicates a gender difference in obesity. Based on these findings, we suggest that public health policies for obesity should consider the built environment as well as gender difference.</t>
        </is>
      </c>
      <c r="X29" t="inlineStr">
        <is>
          <t>[Namgung, Mi; Gonzalez, B. Elizabeth Mercado; Park, Seungwoo] Pusan Natl Univ, Dept Urban Engn, Busan 46241, South Korea</t>
        </is>
      </c>
      <c r="Y29" t="inlineStr">
        <is>
          <t>Pusan National University</t>
        </is>
      </c>
      <c r="Z29" t="inlineStr">
        <is>
          <t>Namgung, M (corresponding author), Pusan Natl Univ, Dept Urban Engn, Busan 46241, South Korea.</t>
        </is>
      </c>
      <c r="AA29" t="inlineStr">
        <is>
          <t>ngm1119@pusan.ac.kr; elyzmglez@gmail.com; tmddn26118@naver.com</t>
        </is>
      </c>
      <c r="AD29" t="inlineStr">
        <is>
          <t>National Research Foundation of Korea (NRF) - Korea government (MSIT) [NRF-2017R1C1B5014864]</t>
        </is>
      </c>
      <c r="AE29" t="inlineStr">
        <is>
          <t>National Research Foundation of Korea (NRF) - Korea government (MSIT)</t>
        </is>
      </c>
      <c r="AF29" t="inlineStr">
        <is>
          <t>This work was supported by the National Research Foundation of Korea (NRF) grant funded by the Korea government (MSIT) under Grant NRF-2017R1C1B5014864.</t>
        </is>
      </c>
      <c r="AH29" t="n">
        <v>68</v>
      </c>
      <c r="AI29" t="n">
        <v>2</v>
      </c>
      <c r="AJ29" t="n">
        <v>3</v>
      </c>
      <c r="AK29" t="n">
        <v>2</v>
      </c>
      <c r="AL29" t="n">
        <v>36</v>
      </c>
      <c r="AM29" t="inlineStr">
        <is>
          <t>MDPI</t>
        </is>
      </c>
      <c r="AN29" t="inlineStr">
        <is>
          <t>BASEL</t>
        </is>
      </c>
      <c r="AO29" t="inlineStr">
        <is>
          <t>ST ALBAN-ANLAGE 66, CH-4052 BASEL, SWITZERLAND</t>
        </is>
      </c>
      <c r="AQ29" t="inlineStr">
        <is>
          <t>1660-4601</t>
        </is>
      </c>
      <c r="AS29" t="inlineStr">
        <is>
          <t>INT J ENV RES PUB HE</t>
        </is>
      </c>
      <c r="AT29" t="inlineStr">
        <is>
          <t>Int. J. Environ. Res. Public Health</t>
        </is>
      </c>
      <c r="AU29" t="inlineStr">
        <is>
          <t>SEP 2</t>
        </is>
      </c>
      <c r="AV29" t="n">
        <v>2019</v>
      </c>
      <c r="AW29" t="n">
        <v>16</v>
      </c>
      <c r="AX29" t="n">
        <v>18</v>
      </c>
      <c r="BE29" t="n">
        <v>3486</v>
      </c>
      <c r="BF29" t="inlineStr">
        <is>
          <t>10.3390/ijerph16183486</t>
        </is>
      </c>
      <c r="BG29">
        <f>HYPERLINK("http://dx.doi.org/10.3390/ijerph16183486","http://dx.doi.org/10.3390/ijerph16183486")</f>
        <v/>
      </c>
      <c r="BJ29" t="n">
        <v>13</v>
      </c>
      <c r="BK29" t="inlineStr">
        <is>
          <t>Environmental Sciences; Public, Environmental &amp; Occupational Health</t>
        </is>
      </c>
      <c r="BL29" t="inlineStr">
        <is>
          <t>Science Citation Index Expanded (SCI-EXPANDED); Social Science Citation Index (SSCI)</t>
        </is>
      </c>
      <c r="BM29" t="inlineStr">
        <is>
          <t>Environmental Sciences &amp; Ecology; Public, Environmental &amp; Occupational Health</t>
        </is>
      </c>
      <c r="BN29" t="inlineStr">
        <is>
          <t>JC3KV</t>
        </is>
      </c>
      <c r="BO29" t="n">
        <v>31546780</v>
      </c>
      <c r="BP29" t="inlineStr">
        <is>
          <t>Green Published, gold</t>
        </is>
      </c>
      <c r="BS29" t="inlineStr">
        <is>
          <t>2023-10-26</t>
        </is>
      </c>
      <c r="BT29" t="inlineStr">
        <is>
          <t>WOS:000489178500260</t>
        </is>
      </c>
      <c r="BU29">
        <f>HYPERLINK("https%3A%2F%2Fwww.webofscience.com%2Fwos%2Fwoscc%2Ffull-record%2FWOS:000489178500260","View Full Record in Web of Science")</f>
        <v/>
      </c>
    </row>
    <row r="30">
      <c r="A30" t="inlineStr">
        <is>
          <t>J</t>
        </is>
      </c>
      <c r="B30" t="inlineStr">
        <is>
          <t>Curl, A; Fitt, H; Tomintz, M</t>
        </is>
      </c>
      <c r="F30" t="inlineStr">
        <is>
          <t>Curl, Angela; Fitt, Helen; Tomintz, Melanie</t>
        </is>
      </c>
      <c r="J30" t="inlineStr">
        <is>
          <t>INTERNATIONAL JOURNAL OF ENVIRONMENTAL RESEARCH AND PUBLIC HEALTH</t>
        </is>
      </c>
      <c r="M30" t="inlineStr">
        <is>
          <t>English</t>
        </is>
      </c>
      <c r="N30" t="inlineStr">
        <is>
          <t>Article</t>
        </is>
      </c>
      <c r="T30" t="inlineStr">
        <is>
          <t>Experiences of the Built Environment, Falls and Fear of Falling Outdoors among Older Adults: An Exploratory Study and Future Directions</t>
        </is>
      </c>
      <c r="U30" t="inlineStr">
        <is>
          <t>falls; ageing; built environment; fear of falling; mobility; wellbeing</t>
        </is>
      </c>
      <c r="V30" t="inlineStr">
        <is>
          <t>PHYSICAL-ACTIVITY; NEIGHBORHOOD ENVIRONMENT; HEALTH; WALKING; URBAN; RISK; PREVALENCE; STRATEGIES; EFFICACY; MOBILITY</t>
        </is>
      </c>
      <c r="W30" t="inlineStr">
        <is>
          <t>Falls can have serious impacts on the health, wellbeing and daily mobilities of older adults. Falls are a leading cause of injury and death amongst older adults and outdoor falls comprise a substantial proportion of pedestrian injuries. As well as physical injuries, the psychological impacts of experiencing a fall can result in older adults getting out of the house less often, resulting in lower levels of physical activity and social connection. Despite the known consequences of falls, relatively little research considers the impact of the urban built environment on falls among older adults. This research aimed to explore the experiences of older adults in the urban environment, falling and the fear of falling outdoors. We conducted an online survey with adults aged 50+ using a participatory mapping survey tool and a convenience sample. The study area was Greater Christchurch, New Zealand. Results suggest that both perceived accessibility and neighbourhood conditions are independently associated with fear of falling, after controlling for frequency of falling, gender and activities of daily living. Our findings demonstrate the need for much better understandings of the relationships between the urban environment, outdoor mobility, fear of falling and falling among older adults and we propose suggestions for future research.</t>
        </is>
      </c>
      <c r="X30" t="inlineStr">
        <is>
          <t>[Curl, Angela] Univ Otago Christchurch, Dept Populat Hlth, Christchurch 8013, New Zealand; [Fitt, Helen] Lincoln Univ, Ctr Excellence Sustainable Tourism, Lincoln 7647, New Zealand; [Tomintz, Melanie] Univ Canterbury, Geospatial Res Inst, Christchurch 8041, New Zealand</t>
        </is>
      </c>
      <c r="Y30" t="inlineStr">
        <is>
          <t>University of Otago; Lincoln University - New Zealand; University of Canterbury</t>
        </is>
      </c>
      <c r="Z30" t="inlineStr">
        <is>
          <t>Curl, A (corresponding author), Univ Otago Christchurch, Dept Populat Hlth, Christchurch 8013, New Zealand.</t>
        </is>
      </c>
      <c r="AA30" t="inlineStr">
        <is>
          <t>angela.curl@otago.ac.nz; helen.fitt@lincoln.ac.nz; melanie.tomintz@canterbury.ac.nz</t>
        </is>
      </c>
      <c r="AB30" t="inlineStr">
        <is>
          <t>Curl, Angela/J-5879-2019; Fitt, Helen/J-4355-2014</t>
        </is>
      </c>
      <c r="AC30" t="inlineStr">
        <is>
          <t>Curl, Angela/0000-0002-8325-190X; Fitt, Helen/0000-0002-8741-0701</t>
        </is>
      </c>
      <c r="AD30" t="inlineStr">
        <is>
          <t>University of Canterbury Geospatial Research Institute</t>
        </is>
      </c>
      <c r="AE30" t="inlineStr">
        <is>
          <t>University of Canterbury Geospatial Research Institute</t>
        </is>
      </c>
      <c r="AF30" t="inlineStr">
        <is>
          <t>This research was funded by a seed-funding grant from the University of Canterbury Geospatial Research Institute. The APC was waived.</t>
        </is>
      </c>
      <c r="AH30" t="n">
        <v>49</v>
      </c>
      <c r="AI30" t="n">
        <v>27</v>
      </c>
      <c r="AJ30" t="n">
        <v>27</v>
      </c>
      <c r="AK30" t="n">
        <v>2</v>
      </c>
      <c r="AL30" t="n">
        <v>17</v>
      </c>
      <c r="AM30" t="inlineStr">
        <is>
          <t>MDPI</t>
        </is>
      </c>
      <c r="AN30" t="inlineStr">
        <is>
          <t>BASEL</t>
        </is>
      </c>
      <c r="AO30" t="inlineStr">
        <is>
          <t>ST ALBAN-ANLAGE 66, CH-4052 BASEL, SWITZERLAND</t>
        </is>
      </c>
      <c r="AQ30" t="inlineStr">
        <is>
          <t>1660-4601</t>
        </is>
      </c>
      <c r="AS30" t="inlineStr">
        <is>
          <t>INT J ENV RES PUB HE</t>
        </is>
      </c>
      <c r="AT30" t="inlineStr">
        <is>
          <t>Int. J. Environ. Res. Public Health</t>
        </is>
      </c>
      <c r="AU30" t="inlineStr">
        <is>
          <t>FEB</t>
        </is>
      </c>
      <c r="AV30" t="n">
        <v>2020</v>
      </c>
      <c r="AW30" t="n">
        <v>17</v>
      </c>
      <c r="AX30" t="n">
        <v>4</v>
      </c>
      <c r="BE30" t="n">
        <v>1224</v>
      </c>
      <c r="BF30" t="inlineStr">
        <is>
          <t>10.3390/ijerph17041224</t>
        </is>
      </c>
      <c r="BG30">
        <f>HYPERLINK("http://dx.doi.org/10.3390/ijerph17041224","http://dx.doi.org/10.3390/ijerph17041224")</f>
        <v/>
      </c>
      <c r="BJ30" t="n">
        <v>15</v>
      </c>
      <c r="BK30" t="inlineStr">
        <is>
          <t>Environmental Sciences; Public, Environmental &amp; Occupational Health</t>
        </is>
      </c>
      <c r="BL30" t="inlineStr">
        <is>
          <t>Science Citation Index Expanded (SCI-EXPANDED); Social Science Citation Index (SSCI)</t>
        </is>
      </c>
      <c r="BM30" t="inlineStr">
        <is>
          <t>Environmental Sciences &amp; Ecology; Public, Environmental &amp; Occupational Health</t>
        </is>
      </c>
      <c r="BN30" t="inlineStr">
        <is>
          <t>KY2GF</t>
        </is>
      </c>
      <c r="BO30" t="n">
        <v>32074960</v>
      </c>
      <c r="BP30" t="inlineStr">
        <is>
          <t>Green Published, gold</t>
        </is>
      </c>
      <c r="BS30" t="inlineStr">
        <is>
          <t>2023-10-26</t>
        </is>
      </c>
      <c r="BT30" t="inlineStr">
        <is>
          <t>WOS:000522388500100</t>
        </is>
      </c>
      <c r="BU30">
        <f>HYPERLINK("https%3A%2F%2Fwww.webofscience.com%2Fwos%2Fwoscc%2Ffull-record%2FWOS:000522388500100","View Full Record in Web of Science")</f>
        <v/>
      </c>
    </row>
    <row r="31">
      <c r="A31" t="inlineStr">
        <is>
          <t>J</t>
        </is>
      </c>
      <c r="B31" t="inlineStr">
        <is>
          <t>Nordin, N; Nakamura, H</t>
        </is>
      </c>
      <c r="F31" t="inlineStr">
        <is>
          <t>Nordin, Nadhirah; Nakamura, Hitoshi</t>
        </is>
      </c>
      <c r="J31" t="inlineStr">
        <is>
          <t>SUSTAINABILITY</t>
        </is>
      </c>
      <c r="M31" t="inlineStr">
        <is>
          <t>English</t>
        </is>
      </c>
      <c r="N31" t="inlineStr">
        <is>
          <t>Article</t>
        </is>
      </c>
      <c r="T31" t="inlineStr">
        <is>
          <t>The Influence of the Objective and Subjective Physical Neighbourhood Environment on the Physical Activity of Older Adults: A Case Study in the Malaysian Neighbourhoods of Johor Bahru</t>
        </is>
      </c>
      <c r="U31" t="inlineStr">
        <is>
          <t>active ageing; physical activity; physical neighbourhood environment; objective neighbourhood environment; subjective neighbourhood environment; GIS</t>
        </is>
      </c>
      <c r="V31" t="inlineStr">
        <is>
          <t>BUILT ENVIRONMENT; HEALTH</t>
        </is>
      </c>
      <c r="W31" t="inlineStr">
        <is>
          <t>Physical neighbourhood environments (PNE) can affect the active ageing and physical wellbeing of older residents. This paper examined the PNE objective (PNEO): land use mix entropy, population density, traffic intersection density and distance to facilities; and PNE subjective (PNES): the Neighbourhood EnvironmentWalkability Scale-Abbreviated (NEWS-A): and their relationship with the physical activity (PA) levels of older residents. The PA was measured using an IPAQ questionnaire on 280 older residents in neighbourhoods in the city of Johor Bahru, Johor, Malaysia. Cross-tabulations and correlation analyses were conducted to analyse the significant relationships. It was found that PNEO and PNES in the different housing environments influenced the PA levels of the late middle-aged and young-old adults, that the distance to facilities such as mosques and recreation areas should be less than 200 metres, and that high population density areas in Malaysian neighbourhoods are unsuitable for active ageing lifestyles because of the construction of physical barriers. This research identified the PNEO and PNES indicators for the promotion of an active ageing lifestyle in older residents, which could assist in improving existing housing policies and guidelines on active ageing in Malaysian neighbourhoods.</t>
        </is>
      </c>
      <c r="X31" t="inlineStr">
        <is>
          <t>[Nordin, Nadhirah] Shibaura Inst Technol, Grad Sch Engn &amp; Sci, Reg Environm Syst, Saitama 3378570, Japan; [Nakamura, Hitoshi] Shibaura Inst Technol, Coll Syst Engn &amp; Sci, Dept Planning Architecture &amp; Environm Syst, Saitama 3378570, Japan</t>
        </is>
      </c>
      <c r="Y31" t="inlineStr">
        <is>
          <t>Shibaura Institute of Technology; Shibaura Institute of Technology</t>
        </is>
      </c>
      <c r="Z31" t="inlineStr">
        <is>
          <t>Nordin, N (corresponding author), Shibaura Inst Technol, Grad Sch Engn &amp; Sci, Reg Environm Syst, Saitama 3378570, Japan.</t>
        </is>
      </c>
      <c r="AA31" t="inlineStr">
        <is>
          <t>na17507@shibaura-it.ac.jp; nakamu-h@shibaura-it.ac.jp</t>
        </is>
      </c>
      <c r="AC31" t="inlineStr">
        <is>
          <t>Nordin, Nadhirah/0000-0002-7766-1160</t>
        </is>
      </c>
      <c r="AH31" t="n">
        <v>56</v>
      </c>
      <c r="AI31" t="n">
        <v>1</v>
      </c>
      <c r="AJ31" t="n">
        <v>1</v>
      </c>
      <c r="AK31" t="n">
        <v>2</v>
      </c>
      <c r="AL31" t="n">
        <v>19</v>
      </c>
      <c r="AM31" t="inlineStr">
        <is>
          <t>MDPI</t>
        </is>
      </c>
      <c r="AN31" t="inlineStr">
        <is>
          <t>BASEL</t>
        </is>
      </c>
      <c r="AO31" t="inlineStr">
        <is>
          <t>ST ALBAN-ANLAGE 66, CH-4052 BASEL, SWITZERLAND</t>
        </is>
      </c>
      <c r="AQ31" t="inlineStr">
        <is>
          <t>2071-1050</t>
        </is>
      </c>
      <c r="AS31" t="inlineStr">
        <is>
          <t>SUSTAINABILITY-BASEL</t>
        </is>
      </c>
      <c r="AT31" t="inlineStr">
        <is>
          <t>Sustainability</t>
        </is>
      </c>
      <c r="AU31" t="inlineStr">
        <is>
          <t>MAR 1</t>
        </is>
      </c>
      <c r="AV31" t="n">
        <v>2020</v>
      </c>
      <c r="AW31" t="n">
        <v>12</v>
      </c>
      <c r="AX31" t="n">
        <v>5</v>
      </c>
      <c r="BE31" t="n">
        <v>1760</v>
      </c>
      <c r="BF31" t="inlineStr">
        <is>
          <t>10.3390/su12051760</t>
        </is>
      </c>
      <c r="BG31">
        <f>HYPERLINK("http://dx.doi.org/10.3390/su12051760","http://dx.doi.org/10.3390/su12051760")</f>
        <v/>
      </c>
      <c r="BJ31" t="n">
        <v>26</v>
      </c>
      <c r="BK31" t="inlineStr">
        <is>
          <t>Green &amp; Sustainable Science &amp; Technology; Environmental Sciences; Environmental Studies</t>
        </is>
      </c>
      <c r="BL31" t="inlineStr">
        <is>
          <t>Science Citation Index Expanded (SCI-EXPANDED); Social Science Citation Index (SSCI)</t>
        </is>
      </c>
      <c r="BM31" t="inlineStr">
        <is>
          <t>Science &amp; Technology - Other Topics; Environmental Sciences &amp; Ecology</t>
        </is>
      </c>
      <c r="BN31" t="inlineStr">
        <is>
          <t>KY3KU</t>
        </is>
      </c>
      <c r="BP31" t="inlineStr">
        <is>
          <t>gold, Green Submitted</t>
        </is>
      </c>
      <c r="BS31" t="inlineStr">
        <is>
          <t>2023-10-26</t>
        </is>
      </c>
      <c r="BT31" t="inlineStr">
        <is>
          <t>WOS:000522470900061</t>
        </is>
      </c>
      <c r="BU31">
        <f>HYPERLINK("https%3A%2F%2Fwww.webofscience.com%2Fwos%2Fwoscc%2Ffull-record%2FWOS:000522470900061","View Full Record in Web of Science")</f>
        <v/>
      </c>
    </row>
    <row r="32">
      <c r="A32" t="inlineStr">
        <is>
          <t>J</t>
        </is>
      </c>
      <c r="B32" t="inlineStr">
        <is>
          <t>Lindemann, U; Stotz, A; Beyer, N; Oksa, J; Skelton, DA; Becker, C; Rapp, K; Klenk, J</t>
        </is>
      </c>
      <c r="F32" t="inlineStr">
        <is>
          <t>Lindemann, Ulrich; Stotz, Anja; Beyer, Nina; Oksa, Juha; Skelton, Dawn A.; Becker, Clemens; Rapp, Kilian; Klenk, Jochen</t>
        </is>
      </c>
      <c r="J32" t="inlineStr">
        <is>
          <t>INTERNATIONAL JOURNAL OF ENVIRONMENTAL RESEARCH AND PUBLIC HEALTH</t>
        </is>
      </c>
      <c r="M32" t="inlineStr">
        <is>
          <t>English</t>
        </is>
      </c>
      <c r="N32" t="inlineStr">
        <is>
          <t>Article</t>
        </is>
      </c>
      <c r="T32" t="inlineStr">
        <is>
          <t>Effect of Indoor Temperature on Physical Performance in Older Adults during Days with Normal Temperature and Heat Waves</t>
        </is>
      </c>
      <c r="U32" t="inlineStr">
        <is>
          <t>adaptation; older adults; physical performance; indoor temperature</t>
        </is>
      </c>
      <c r="V32" t="inlineStr">
        <is>
          <t>MORTALITY; EXERCISE; ADAPTATION; FRAILTY; WALKING; SPEED; FALLS; RISK</t>
        </is>
      </c>
      <c r="W32" t="inlineStr">
        <is>
          <t>Indoor temperature is relevant with regard to mortality and heat-related self-perceived health problems. The aim of this study was to describe the association between indoor temperature and physical performance in older adults. Eighty-one older adults (84% women, mean age 80.9 years, standard deviation 6.53) were visited every four weeks from May to October 2015 and additionally during two heat waves in July and August 2015. Indoor temperature, habitual gait speed, chair-rise performance and balance were assessed. Baseline assessment of gait speed was used to create two subgroups (lower versus higher gait speed) based on frailty criteria. The strongest effect of increasing temperature on habitual gait speed was observed in the subgroup of adults with higher gait speed (-0.087 m/s per increase of 10 degrees C; 95% confidence interval (CI): -0.136; -0.038). The strongest effects on timed chair-rise and balance performance were observed in the subgroup of adults with lower gait speed (2.03 s per increase of 10 degrees C (95% CI: 0.79; 3.28) and -3.92 s per increase of 10 degrees C (95% CI: -7.31; -0.52), respectively). Comparing results of physical performance in absentia of a heat wave and during a heat wave, habitual gait speed was negatively affected by heat in the total group and subgroup of adults with higher gait speed, chair-rise performance was negatively affected in all groups and balance was not affected. The study provides arguments for exercise interventions in general for older adults, because a better physical fitness might alleviate impediments of physical capacity and might provide resources for adequate adaptation in older adults during heat stress.</t>
        </is>
      </c>
      <c r="X32" t="inlineStr">
        <is>
          <t>[Lindemann, Ulrich; Stotz, Anja; Becker, Clemens; Rapp, Kilian; Klenk, Jochen] Robert Bosch Krankenhaus, Dept Clin Gerontol &amp; Rehabil, D-70376 Stuttgart, Germany; [Beyer, Nina] Univ Copenhagen, Bispebjerg Hosp, Musculoskeletal Rehabil Res Unit, DK-2400 Copenhagen NV, Denmark; [Beyer, Nina] Univ Copenhagen, Frederiksberg Hosp, Musculoskeletal Rehabil Res Unit, DK-2400 Copenhagen NV, Denmark; [Oksa, Juha] Finnish Inst Occupat Hlth, Oulu 90220, Finland; [Skelton, Dawn A.] Glasgow Caledonian Univ, Inst Appl Hlth Res, Glasgow G4 0BA, Lanark, Scotland; [Rapp, Kilian; Klenk, Jochen] Univ Ulm, Inst Epidemiol &amp; Med Biometry, D-89081 Ulm, Germany</t>
        </is>
      </c>
      <c r="Y32" t="inlineStr">
        <is>
          <t>Bosch; Robert Bosch Krankenhaus; University of Copenhagen; Bispebjerg Hospital; University of Copenhagen; Finnish Institute of Occupational Health; Glasgow Caledonian University; Ulm University</t>
        </is>
      </c>
      <c r="Z32" t="inlineStr">
        <is>
          <t>Lindemann, U (corresponding author), Robert Bosch Krankenhaus, Dept Clin Gerontol &amp; Rehabil, D-70376 Stuttgart, Germany.</t>
        </is>
      </c>
      <c r="AA32" t="inlineStr">
        <is>
          <t>Ulrich.lindemann@rbk.de; anja.stotz@gmx.de; ninabeyer.privat@gmail.com; juha.oksa@ttl.fi; dawn.skelton@gcu.ac.uk; clemens.becker@rbk.de; kilian.rapp@rbk.de; jochen.klenk@rbk.de</t>
        </is>
      </c>
      <c r="AB32" t="inlineStr">
        <is>
          <t>Becker, Clemens/ABI-5405-2020; Klenk, Jochen/C-2164-2012; Rapp, Kilian/AAJ-3370-2020; Klenk, Jochen/R-3614-2019; Skelton, Dawn/B-7552-2013</t>
        </is>
      </c>
      <c r="AC32" t="inlineStr">
        <is>
          <t>Rapp, Kilian/0000-0003-1625-2571; Klenk, Jochen/0000-0002-5987-447X; Skelton, Dawn/0000-0001-6223-9840</t>
        </is>
      </c>
      <c r="AD32" t="inlineStr">
        <is>
          <t>German Ministry of the Environment, Climate Protection and Energy Sector Baden-Wurttemberg [KLIMOPASS 4500412311/23]; Fritz and Hildegard Berg Stiftung [T133/23924/2013]</t>
        </is>
      </c>
      <c r="AE32" t="inlineStr">
        <is>
          <t>German Ministry of the Environment, Climate Protection and Energy Sector Baden-Wurttemberg; Fritz and Hildegard Berg Stiftung</t>
        </is>
      </c>
      <c r="AF32" t="inlineStr">
        <is>
          <t>This work was supported by the German Ministry of the Environment, Climate Protection and Energy Sector Baden-Wurttemberg (KLIMOPASS 4500412311/23). Anja Stotz was supported by Fritz and Hildegard Berg Stiftung (T133/23924/2013).</t>
        </is>
      </c>
      <c r="AH32" t="n">
        <v>27</v>
      </c>
      <c r="AI32" t="n">
        <v>9</v>
      </c>
      <c r="AJ32" t="n">
        <v>10</v>
      </c>
      <c r="AK32" t="n">
        <v>4</v>
      </c>
      <c r="AL32" t="n">
        <v>18</v>
      </c>
      <c r="AM32" t="inlineStr">
        <is>
          <t>MDPI</t>
        </is>
      </c>
      <c r="AN32" t="inlineStr">
        <is>
          <t>BASEL</t>
        </is>
      </c>
      <c r="AO32" t="inlineStr">
        <is>
          <t>ST ALBAN-ANLAGE 66, CH-4052 BASEL, SWITZERLAND</t>
        </is>
      </c>
      <c r="AP32" t="inlineStr">
        <is>
          <t>1661-7827</t>
        </is>
      </c>
      <c r="AQ32" t="inlineStr">
        <is>
          <t>1660-4601</t>
        </is>
      </c>
      <c r="AS32" t="inlineStr">
        <is>
          <t>INT J ENV RES PUB HE</t>
        </is>
      </c>
      <c r="AT32" t="inlineStr">
        <is>
          <t>Int. J. Environ. Res. Public Health</t>
        </is>
      </c>
      <c r="AU32" t="inlineStr">
        <is>
          <t>FEB</t>
        </is>
      </c>
      <c r="AV32" t="n">
        <v>2017</v>
      </c>
      <c r="AW32" t="n">
        <v>14</v>
      </c>
      <c r="AX32" t="n">
        <v>2</v>
      </c>
      <c r="BE32" t="n">
        <v>186</v>
      </c>
      <c r="BF32" t="inlineStr">
        <is>
          <t>10.3390/ijerph14020186</t>
        </is>
      </c>
      <c r="BG32">
        <f>HYPERLINK("http://dx.doi.org/10.3390/ijerph14020186","http://dx.doi.org/10.3390/ijerph14020186")</f>
        <v/>
      </c>
      <c r="BJ32" t="n">
        <v>9</v>
      </c>
      <c r="BK32" t="inlineStr">
        <is>
          <t>Environmental Sciences; Public, Environmental &amp; Occupational Health</t>
        </is>
      </c>
      <c r="BL32" t="inlineStr">
        <is>
          <t>Science Citation Index Expanded (SCI-EXPANDED); Social Science Citation Index (SSCI)</t>
        </is>
      </c>
      <c r="BM32" t="inlineStr">
        <is>
          <t>Environmental Sciences &amp; Ecology; Public, Environmental &amp; Occupational Health</t>
        </is>
      </c>
      <c r="BN32" t="inlineStr">
        <is>
          <t>EM7CA</t>
        </is>
      </c>
      <c r="BO32" t="n">
        <v>28216585</v>
      </c>
      <c r="BP32" t="inlineStr">
        <is>
          <t>Green Published, gold, Green Submitted</t>
        </is>
      </c>
      <c r="BS32" t="inlineStr">
        <is>
          <t>2023-10-26</t>
        </is>
      </c>
      <c r="BT32" t="inlineStr">
        <is>
          <t>WOS:000395467900078</t>
        </is>
      </c>
      <c r="BU32">
        <f>HYPERLINK("https%3A%2F%2Fwww.webofscience.com%2Fwos%2Fwoscc%2Ffull-record%2FWOS:000395467900078","View Full Record in Web of Science")</f>
        <v/>
      </c>
    </row>
    <row r="33">
      <c r="A33" t="inlineStr">
        <is>
          <t>J</t>
        </is>
      </c>
      <c r="B33" t="inlineStr">
        <is>
          <t>Yun, HY</t>
        </is>
      </c>
      <c r="F33" t="inlineStr">
        <is>
          <t>Yun, Hae Young</t>
        </is>
      </c>
      <c r="J33" t="inlineStr">
        <is>
          <t>SUSTAINABILITY</t>
        </is>
      </c>
      <c r="M33" t="inlineStr">
        <is>
          <t>English</t>
        </is>
      </c>
      <c r="N33" t="inlineStr">
        <is>
          <t>Article</t>
        </is>
      </c>
      <c r="T33" t="inlineStr">
        <is>
          <t>Neighborhood Built Environments, Walking, and Self-Rated Health among Low-Income Older Adults in St. Paul, Minnesota</t>
        </is>
      </c>
      <c r="U33" t="inlineStr">
        <is>
          <t>perception of neighborhood built environments; Walk Score; traffic accidents; sustainable neighborhood walking behaviors; self-rated health; low-income older adults</t>
        </is>
      </c>
      <c r="V33" t="inlineStr">
        <is>
          <t>PEDESTRIAN CRASH FREQUENCY; PHYSICAL-ACTIVITY; SOCIOECONOMIC-STATUS; SOCIAL COHESION; WALKABILITY; ASSOCIATIONS; MOBILITY; SCORE(TM); BEHAVIOR; SAFETY</t>
        </is>
      </c>
      <c r="W33" t="inlineStr">
        <is>
          <t>There have been few studies exploring the relationship between objective and perceived neighborhood built environments, sustainable neighborhood walking behaviors, and the self-rated health of older, low-income adults. This study examined the association between objective neighborhood environments (i.e., neighborhood heterogeneity categorized by Walk Scores or levels of traffic accidents within a 400 or 800 m radius buffer measured by geographic information systems) and perceived neighborhood environments, through two conceptual frameworks (i.e., an ecological model of health behavior/aging) for walking outcomes (walking choice, walking 3+ days, and walking 150+ min a week) and the self-rated health of older adults living in subsidized housing (N = 130, M-age = 74.9 +/- 8.3) in St. Paul, Minnesota. The primary analysis is composed of logistic regression models. Key findings indicated that highly walkable neighborhoods also had a higher level of traffic accidents. Thus, the neighborhoods with higher Walk Scores or a higher level of traffic accidents in separate models became negative predictors for all three walking outcomes, with statistical significance. However, other associations with perceived neighborhood environments resulted in different walking outcomes: accessibility to destinations (+) for walking 3+ days a week and 150+ min a week; safety, comfort, and convenience (+) for walking choice and walking 150+ minutes a week; and physical and social disorder (-) for walking 150+ min a week. Self-rated health had no relationship to objective measures but positive relationships to perceptions of safety, comfort and convenience of neighborhood environments, and every walking outcome in each model. The results of this study should be confirmed in a longitudinal study with a larger sample size covering a wider geographical area.</t>
        </is>
      </c>
      <c r="X33" t="inlineStr">
        <is>
          <t>[Yun, Hae Young] Natl Univ Singapore, Asia Res Inst, Singapore 119260, Singapore</t>
        </is>
      </c>
      <c r="Y33" t="inlineStr">
        <is>
          <t>National University of Singapore</t>
        </is>
      </c>
      <c r="Z33" t="inlineStr">
        <is>
          <t>Yun, HY (corresponding author), Natl Univ Singapore, Asia Res Inst, Singapore 119260, Singapore.</t>
        </is>
      </c>
      <c r="AA33" t="inlineStr">
        <is>
          <t>yunxx051@umn.edu</t>
        </is>
      </c>
      <c r="AD33" t="inlineStr">
        <is>
          <t>Asia Research Institute, National University of Singapore</t>
        </is>
      </c>
      <c r="AE33" t="inlineStr">
        <is>
          <t>Asia Research Institute, National University of Singapore(National University of Singapore)</t>
        </is>
      </c>
      <c r="AF33" t="inlineStr">
        <is>
          <t>The author thanks the six housing managers in Section 202 housing in St. Paul, Minnesota, for their cooperation in the data collection. The author is also thankful to the reviewers for their valuable comments. This research was partially supported through a Research Fellowship from the Asia Research Institute, National University of Singapore.</t>
        </is>
      </c>
      <c r="AH33" t="n">
        <v>92</v>
      </c>
      <c r="AI33" t="n">
        <v>4</v>
      </c>
      <c r="AJ33" t="n">
        <v>4</v>
      </c>
      <c r="AK33" t="n">
        <v>4</v>
      </c>
      <c r="AL33" t="n">
        <v>27</v>
      </c>
      <c r="AM33" t="inlineStr">
        <is>
          <t>MDPI</t>
        </is>
      </c>
      <c r="AN33" t="inlineStr">
        <is>
          <t>BASEL</t>
        </is>
      </c>
      <c r="AO33" t="inlineStr">
        <is>
          <t>ST ALBAN-ANLAGE 66, CH-4052 BASEL, SWITZERLAND</t>
        </is>
      </c>
      <c r="AQ33" t="inlineStr">
        <is>
          <t>2071-1050</t>
        </is>
      </c>
      <c r="AS33" t="inlineStr">
        <is>
          <t>SUSTAINABILITY-BASEL</t>
        </is>
      </c>
      <c r="AT33" t="inlineStr">
        <is>
          <t>Sustainability</t>
        </is>
      </c>
      <c r="AU33" t="inlineStr">
        <is>
          <t>MAR</t>
        </is>
      </c>
      <c r="AV33" t="n">
        <v>2021</v>
      </c>
      <c r="AW33" t="n">
        <v>13</v>
      </c>
      <c r="AX33" t="n">
        <v>6</v>
      </c>
      <c r="BE33" t="n">
        <v>3501</v>
      </c>
      <c r="BF33" t="inlineStr">
        <is>
          <t>10.3390/su13063501</t>
        </is>
      </c>
      <c r="BG33">
        <f>HYPERLINK("http://dx.doi.org/10.3390/su13063501","http://dx.doi.org/10.3390/su13063501")</f>
        <v/>
      </c>
      <c r="BJ33" t="n">
        <v>26</v>
      </c>
      <c r="BK33" t="inlineStr">
        <is>
          <t>Green &amp; Sustainable Science &amp; Technology; Environmental Sciences; Environmental Studies</t>
        </is>
      </c>
      <c r="BL33" t="inlineStr">
        <is>
          <t>Science Citation Index Expanded (SCI-EXPANDED); Social Science Citation Index (SSCI)</t>
        </is>
      </c>
      <c r="BM33" t="inlineStr">
        <is>
          <t>Science &amp; Technology - Other Topics; Environmental Sciences &amp; Ecology</t>
        </is>
      </c>
      <c r="BN33" t="inlineStr">
        <is>
          <t>RV4BX</t>
        </is>
      </c>
      <c r="BP33" t="inlineStr">
        <is>
          <t>gold, Green Published</t>
        </is>
      </c>
      <c r="BS33" t="inlineStr">
        <is>
          <t>2023-10-26</t>
        </is>
      </c>
      <c r="BT33" t="inlineStr">
        <is>
          <t>WOS:000645781400001</t>
        </is>
      </c>
      <c r="BU33">
        <f>HYPERLINK("https%3A%2F%2Fwww.webofscience.com%2Fwos%2Fwoscc%2Ffull-record%2FWOS:000645781400001","View Full Record in Web of Science")</f>
        <v/>
      </c>
    </row>
    <row r="34">
      <c r="A34" t="inlineStr">
        <is>
          <t>J</t>
        </is>
      </c>
      <c r="B34" t="inlineStr">
        <is>
          <t>Yu, JB; Yang, C; Zhang, S; Zhai, DK; Wang, AW; Li, JS</t>
        </is>
      </c>
      <c r="F34" t="inlineStr">
        <is>
          <t>Yu, Jiabin; Yang, Chen; Zhang, Shen; Zhai, Diankai; Wang, Aiwen; Li, Jianshe</t>
        </is>
      </c>
      <c r="J34" t="inlineStr">
        <is>
          <t>INTERNATIONAL JOURNAL OF ENVIRONMENTAL RESEARCH AND PUBLIC HEALTH</t>
        </is>
      </c>
      <c r="M34" t="inlineStr">
        <is>
          <t>English</t>
        </is>
      </c>
      <c r="N34" t="inlineStr">
        <is>
          <t>Article</t>
        </is>
      </c>
      <c r="T34" t="inlineStr">
        <is>
          <t>The Effect of the Built Environment on Older Men′s and Women′s Leisure-Time Physical Activity in the Mid-Scale City of Jinhua, China</t>
        </is>
      </c>
      <c r="U34" t="inlineStr">
        <is>
          <t>built environment elements; walkability; aging over 60 years old; gender difference; recreational physical activity</t>
        </is>
      </c>
      <c r="V34" t="inlineStr">
        <is>
          <t>GENERAL ADULT-POPULATION; QUALITY-OF-LIFE; ACTIVITY LEVEL; HEALTH; ATTRIBUTES; ASSOCIATION; WALKING; ADOLESCENTS; AUSTRALIA; BARRIERS</t>
        </is>
      </c>
      <c r="W34" t="inlineStr">
        <is>
          <t>Physical activity has been suggested to be beneficial in preventing disease and improving body function in older people. Older people's leisure-time physical activity (LTPA) is affected by various factors, especially environmental factors. However, the differences in the association between older people's LTPA and the built environment in different sex groups remain unclear. Perceived built environment scores and older people's LTPA were collected for 240 older people in Jinhua using the Neighborhood Environment Walkability Scale and International Physical Activity Questionnaire, respectively. A linear regression method was used to analyze the associations between older people's LTPA and the built environment in men, women, and all participants. The results showed that land use mix diversity was associated with LTPA in older people for both sexes. In men, LTPA was also associated with access to services. However, in women, LTPA was associated with residential density, street connectivity, and crime safety. The relationship varied when demographic variables were incorporated into the regression analysis. Those results indicated that a shorter perceived distance from home to destination would motivate older people to engage more in LTPA. Older people's LTPA was affected by various built environment factors according to different sex groups. Women's LTPA was generally more sensitive to the built environment. More studies are needed to confirm the association between LTPA in older people and the built environment in men and women in mid- or small-sized Chinese cities in the future.</t>
        </is>
      </c>
      <c r="X34" t="inlineStr">
        <is>
          <t>[Yu, Jiabin; Zhang, Shen; Zhai, Diankai; Wang, Aiwen; Li, Jianshe] Ningbo Univ, Res Acad Grand Hlth, Fac Sport Sci, Ningbo 315211, Peoples R China; [Yang, Chen] McGill Univ, Dept Kinesiol &amp; Phys Educ, Montreal, PQ H2W 1S4, Canada</t>
        </is>
      </c>
      <c r="Y34" t="inlineStr">
        <is>
          <t>Ningbo University; McGill University</t>
        </is>
      </c>
      <c r="Z34" t="inlineStr">
        <is>
          <t>Yu, JB (corresponding author), Ningbo Univ, Res Acad Grand Hlth, Fac Sport Sci, Ningbo 315211, Peoples R China.</t>
        </is>
      </c>
      <c r="AA34" t="inlineStr">
        <is>
          <t>yujiabin@nbu.edu.cn; chen.yang4@mail.mcgill.ca; nbuzhangshen@outlook.com; zdk5780245@outlook.com; wangaiwen@nbu.edu.cn; lijianshe@nbu.edu.cn</t>
        </is>
      </c>
      <c r="AB34" t="inlineStr">
        <is>
          <t>; Wang, Aiwen/G-9017-2018</t>
        </is>
      </c>
      <c r="AC34" t="inlineStr">
        <is>
          <t>Yang, Chen/0000-0002-9945-7435; Wang, Aiwen/0000-0002-8121-9332</t>
        </is>
      </c>
      <c r="AD34" t="inlineStr">
        <is>
          <t>MOE (Ministry of Education in China) Project of Humanities and Social Sciences [17YJC890040]</t>
        </is>
      </c>
      <c r="AE34" t="inlineStr">
        <is>
          <t>MOE (Ministry of Education in China) Project of Humanities and Social Sciences</t>
        </is>
      </c>
      <c r="AF34" t="inlineStr">
        <is>
          <t>This study was supported by the MOE (Ministry of Education in China) Project of Humanities and Social Sciences (Project No. 17YJC890040).</t>
        </is>
      </c>
      <c r="AH34" t="n">
        <v>56</v>
      </c>
      <c r="AI34" t="n">
        <v>10</v>
      </c>
      <c r="AJ34" t="n">
        <v>10</v>
      </c>
      <c r="AK34" t="n">
        <v>15</v>
      </c>
      <c r="AL34" t="n">
        <v>73</v>
      </c>
      <c r="AM34" t="inlineStr">
        <is>
          <t>MDPI</t>
        </is>
      </c>
      <c r="AN34" t="inlineStr">
        <is>
          <t>BASEL</t>
        </is>
      </c>
      <c r="AO34" t="inlineStr">
        <is>
          <t>ST ALBAN-ANLAGE 66, CH-4052 BASEL, SWITZERLAND</t>
        </is>
      </c>
      <c r="AQ34" t="inlineStr">
        <is>
          <t>1660-4601</t>
        </is>
      </c>
      <c r="AS34" t="inlineStr">
        <is>
          <t>INT J ENV RES PUB HE</t>
        </is>
      </c>
      <c r="AT34" t="inlineStr">
        <is>
          <t>Int. J. Environ. Res. Public Health</t>
        </is>
      </c>
      <c r="AU34" t="inlineStr">
        <is>
          <t>FEB</t>
        </is>
      </c>
      <c r="AV34" t="n">
        <v>2021</v>
      </c>
      <c r="AW34" t="n">
        <v>18</v>
      </c>
      <c r="AX34" t="n">
        <v>3</v>
      </c>
      <c r="BE34" t="n">
        <v>1039</v>
      </c>
      <c r="BF34" t="inlineStr">
        <is>
          <t>10.3390/ijerph18031039</t>
        </is>
      </c>
      <c r="BG34">
        <f>HYPERLINK("http://dx.doi.org/10.3390/ijerph18031039","http://dx.doi.org/10.3390/ijerph18031039")</f>
        <v/>
      </c>
      <c r="BJ34" t="n">
        <v>12</v>
      </c>
      <c r="BK34" t="inlineStr">
        <is>
          <t>Environmental Sciences; Public, Environmental &amp; Occupational Health</t>
        </is>
      </c>
      <c r="BL34" t="inlineStr">
        <is>
          <t>Science Citation Index Expanded (SCI-EXPANDED); Social Science Citation Index (SSCI)</t>
        </is>
      </c>
      <c r="BM34" t="inlineStr">
        <is>
          <t>Environmental Sciences &amp; Ecology; Public, Environmental &amp; Occupational Health</t>
        </is>
      </c>
      <c r="BN34" t="inlineStr">
        <is>
          <t>QD0CY</t>
        </is>
      </c>
      <c r="BO34" t="n">
        <v>33503914</v>
      </c>
      <c r="BP34" t="inlineStr">
        <is>
          <t>gold, Green Published</t>
        </is>
      </c>
      <c r="BS34" t="inlineStr">
        <is>
          <t>2023-10-26</t>
        </is>
      </c>
      <c r="BT34" t="inlineStr">
        <is>
          <t>WOS:000615197400001</t>
        </is>
      </c>
      <c r="BU34">
        <f>HYPERLINK("https%3A%2F%2Fwww.webofscience.com%2Fwos%2Fwoscc%2Ffull-record%2FWOS:000615197400001","View Full Record in Web of Science")</f>
        <v/>
      </c>
    </row>
    <row r="35">
      <c r="A35" t="inlineStr">
        <is>
          <t>J</t>
        </is>
      </c>
      <c r="B35" t="inlineStr">
        <is>
          <t>Li, S; Yang, ZY; Hu, D; Cao, L; He, Q</t>
        </is>
      </c>
      <c r="F35" t="inlineStr">
        <is>
          <t>Li, Shuai; Yang, Zhiyao; Hu, Da; Cao, Liu; He, Qiang</t>
        </is>
      </c>
      <c r="J35" t="inlineStr">
        <is>
          <t>FRONTIERS OF ENVIRONMENTAL SCIENCE &amp; ENGINEERING</t>
        </is>
      </c>
      <c r="M35" t="inlineStr">
        <is>
          <t>English</t>
        </is>
      </c>
      <c r="N35" t="inlineStr">
        <is>
          <t>Review</t>
        </is>
      </c>
      <c r="T35" t="inlineStr">
        <is>
          <t>Understanding building-occupant-microbiome interactions toward healthy built environments: A review</t>
        </is>
      </c>
      <c r="U35" t="inlineStr">
        <is>
          <t>Microbiome; Built Environment; Occupant; Health</t>
        </is>
      </c>
      <c r="V35" t="inlineStr">
        <is>
          <t>INDOOR AIR-QUALITY; CLOSTRIDIUM-DIFFICILE; RELATIVE-HUMIDITY; WATER-SYSTEMS; LEGIONELLA-PNEUMOPHILA; PSEUDOMONAS-AERUGINOSA; BACTERIAL COMMUNITIES; MOISTURE REQUIREMENTS; ARCHITECTURAL DESIGN; MYCOBACTERIUM-AVIUM</t>
        </is>
      </c>
      <c r="W35" t="inlineStr">
        <is>
          <t>Built environments, occupants, and microbiomes constitute a system of ecosystems with extensive interactions that impact one another. Understanding the interactions between these systems is essential to develop strategies for effective management of the built environment and its inhabitants to enhance public health and well-being. Numerous studies have been conducted to characterize the microbiomes of the built environment. This review summarizes current progress in understanding the interactions between attributes of built environments and occupant behaviors that shape the structure and dynamics of indoor microbial communities. In addition, this review also discusses the challenges and future research needs in the field of microbiomes of the built environment that necessitate research beyond the basic characterization of microbiomes in order to gain an understanding of the causal mechanisms between the built environment, occupants, and microbiomes, which will provide a knowledge base for the development of transformative intervention strategies toward healthy built environments. The pressing need to control the transmission of SARS-CoV-2 in indoor environments highlights the urgency and significance of understanding the complex interactions between the built environment, occupants, and microbiomes, which is the focus of this review. (c) Higher Education Press 2020</t>
        </is>
      </c>
      <c r="X35" t="inlineStr">
        <is>
          <t>[Li, Shuai; Hu, Da; Cao, Liu; He, Qiang] Univ Tennessee, Dept Civil &amp; Environm Engn, Knoxville, TN 37996 USA; [He, Qiang] Univ Tennessee, Inst Secure &amp; Sustainable Environm, Knoxville, TN 37996 USA; [Yang, Zhiyao] Purdue Univ, Lyles Sch Civil Engn, W Lafayette, IN 47907 USA</t>
        </is>
      </c>
      <c r="Y35" t="inlineStr">
        <is>
          <t>University of Tennessee System; University of Tennessee Knoxville; University of Tennessee System; University of Tennessee Knoxville; Purdue University System; Purdue University; Purdue University West Lafayette Campus</t>
        </is>
      </c>
      <c r="Z35" t="inlineStr">
        <is>
          <t>He, Q (corresponding author), Univ Tennessee, Dept Civil &amp; Environm Engn, Knoxville, TN 37996 USA.;He, Q (corresponding author), Univ Tennessee, Inst Secure &amp; Sustainable Environm, Knoxville, TN 37996 USA.</t>
        </is>
      </c>
      <c r="AA35" t="inlineStr">
        <is>
          <t>qianghe@utk.edu</t>
        </is>
      </c>
      <c r="AB35" t="inlineStr">
        <is>
          <t>Santana, Elaine/GNP-2710-2022; Liu, Hai-Ying/P-5557-2014; Hu, Da/HZH-2567-2023; He, Qiang/G-9061-2011; Cao, Liu/HJI-9290-2023</t>
        </is>
      </c>
      <c r="AC35" t="inlineStr">
        <is>
          <t>Liu, Hai-Ying/0000-0001-8667-3465; Hu, Da/0000-0001-5291-3598; He, Qiang/0000-0002-7155-6474; Cao, Liu/0000-0002-6560-154X</t>
        </is>
      </c>
      <c r="AD35" t="inlineStr">
        <is>
          <t>US National Science Foundation [1952140, 2026719]; Direct For Computer &amp; Info Scie &amp; Enginr; Division Of Computer and Network Systems [1952140] Funding Source: National Science Foundation; Directorate For Engineering; Div Of Civil, Mechanical, &amp; Manufact Inn [2026719] Funding Source: National Science Foundation</t>
        </is>
      </c>
      <c r="AE35" t="inlineStr">
        <is>
          <t>US National Science Foundation(National Science Foundation (NSF)); Direct For Computer &amp; Info Scie &amp; Enginr; Division Of Computer and Network Systems(National Science Foundation (NSF)NSF - Directorate for Computer &amp; Information Science &amp; Engineering (CISE)); Directorate For Engineering; Div Of Civil, Mechanical, &amp; Manufact Inn(National Science Foundation (NSF)NSF - Directorate for Engineering (ENG))</t>
        </is>
      </c>
      <c r="AF35" t="inlineStr">
        <is>
          <t>This work is partly supported by US National Science Foundation (Award No. 1952140 and 2026719). Any opinions, findings recommendations, and conclusions in this paper are those of the authors, and do not necessarily reflect the views of US National Science Foundation.</t>
        </is>
      </c>
      <c r="AH35" t="n">
        <v>204</v>
      </c>
      <c r="AI35" t="n">
        <v>22</v>
      </c>
      <c r="AJ35" t="n">
        <v>22</v>
      </c>
      <c r="AK35" t="n">
        <v>27</v>
      </c>
      <c r="AL35" t="n">
        <v>172</v>
      </c>
      <c r="AM35" t="inlineStr">
        <is>
          <t>HIGHER EDUCATION PRESS</t>
        </is>
      </c>
      <c r="AN35" t="inlineStr">
        <is>
          <t>BEIJING</t>
        </is>
      </c>
      <c r="AO35" t="inlineStr">
        <is>
          <t>CHAOYANG DIST, 4, HUIXINDONGJIE, FUSHENG BLDG, BEIJING 100029, PEOPLES R CHINA</t>
        </is>
      </c>
      <c r="AP35" t="inlineStr">
        <is>
          <t>2095-2201</t>
        </is>
      </c>
      <c r="AQ35" t="inlineStr">
        <is>
          <t>2095-221X</t>
        </is>
      </c>
      <c r="AS35" t="inlineStr">
        <is>
          <t>FRONT ENV SCI ENG</t>
        </is>
      </c>
      <c r="AT35" t="inlineStr">
        <is>
          <t>Front. Env. Sci. Eng.</t>
        </is>
      </c>
      <c r="AU35" t="inlineStr">
        <is>
          <t>AUG</t>
        </is>
      </c>
      <c r="AV35" t="n">
        <v>2021</v>
      </c>
      <c r="AW35" t="n">
        <v>15</v>
      </c>
      <c r="AX35" t="n">
        <v>4</v>
      </c>
      <c r="BE35" t="n">
        <v>65</v>
      </c>
      <c r="BF35" t="inlineStr">
        <is>
          <t>10.1007/s11783-020-1357-3</t>
        </is>
      </c>
      <c r="BG35">
        <f>HYPERLINK("http://dx.doi.org/10.1007/s11783-020-1357-3","http://dx.doi.org/10.1007/s11783-020-1357-3")</f>
        <v/>
      </c>
      <c r="BJ35" t="n">
        <v>18</v>
      </c>
      <c r="BK35" t="inlineStr">
        <is>
          <t>Engineering, Environmental; Environmental Sciences</t>
        </is>
      </c>
      <c r="BL35" t="inlineStr">
        <is>
          <t>Science Citation Index Expanded (SCI-EXPANDED)</t>
        </is>
      </c>
      <c r="BM35" t="inlineStr">
        <is>
          <t>Engineering; Environmental Sciences &amp; Ecology</t>
        </is>
      </c>
      <c r="BN35" t="inlineStr">
        <is>
          <t>OP4TN</t>
        </is>
      </c>
      <c r="BO35" t="n">
        <v>33145119</v>
      </c>
      <c r="BP35" t="inlineStr">
        <is>
          <t>Green Published, Bronze</t>
        </is>
      </c>
      <c r="BS35" t="inlineStr">
        <is>
          <t>2023-10-26</t>
        </is>
      </c>
      <c r="BT35" t="inlineStr">
        <is>
          <t>WOS:000588075900001</t>
        </is>
      </c>
      <c r="BU35">
        <f>HYPERLINK("https%3A%2F%2Fwww.webofscience.com%2Fwos%2Fwoscc%2Ffull-record%2FWOS:000588075900001","View Full Record in Web of Science")</f>
        <v/>
      </c>
    </row>
    <row r="36">
      <c r="A36" t="inlineStr">
        <is>
          <t>J</t>
        </is>
      </c>
      <c r="B36" t="inlineStr">
        <is>
          <t>Brookfield, K; Tilley, S</t>
        </is>
      </c>
      <c r="F36" t="inlineStr">
        <is>
          <t>Brookfield, Katherine; Tilley, Sara</t>
        </is>
      </c>
      <c r="J36" t="inlineStr">
        <is>
          <t>INTERNATIONAL JOURNAL OF ENVIRONMENTAL RESEARCH AND PUBLIC HEALTH</t>
        </is>
      </c>
      <c r="M36" t="inlineStr">
        <is>
          <t>English</t>
        </is>
      </c>
      <c r="N36" t="inlineStr">
        <is>
          <t>Article</t>
        </is>
      </c>
      <c r="T36" t="inlineStr">
        <is>
          <t>Using Virtual Street Audits to Understand the Walkability of Older Adults' Route Choices by Gender and Age</t>
        </is>
      </c>
      <c r="U36" t="inlineStr">
        <is>
          <t>older adults; built environment; physical activity</t>
        </is>
      </c>
      <c r="V36" t="inlineStr">
        <is>
          <t>PHYSICAL-ACTIVITY; NEIGHBORHOOD ENVIRONMENT; MULTILEVEL ANALYSIS; OBJECTIVE MEASURES; BUILT ENVIRONMENT; WALKING; VIEW; RESIDENTS; PERCEPTIONS; PEOPLE</t>
        </is>
      </c>
      <c r="W36" t="inlineStr">
        <is>
          <t>Walking for physical activity can bring important health benefits to older adults. In this population, walking has been related to various urban design features and street characteristics. To gain new insights into the microscale environmental details that might influence seniors' walking, details which might be more amenable to change than neighbourhood level factors, we employed a reliable streetscape audit tool, in combination with Google Street View T, to evaluate the 'walkability' of where older adults choose to walk. Analysis of the routes selected by a purposive sample of independently mobile adults aged 65 years and over living in Edinburgh, UK, revealed a preference to walk in more walkable environments, alongside a willingness to walk in less supportive settings. At times, factors commonly considered important for walking, including wayfinding and legibility, user conflict, kerb paving quality, and lighting appeared to have little impact on older adults' decisions about where to walk. The implications for policy, practice, and the emerging technique of virtual auditing are considered.</t>
        </is>
      </c>
      <c r="X36" t="inlineStr">
        <is>
          <t>[Brookfield, Katherine; Tilley, Sara] Univ Edinburgh, Edinburgh EH3 9DF, Midlothian, Scotland</t>
        </is>
      </c>
      <c r="Y36" t="inlineStr">
        <is>
          <t>University of Edinburgh</t>
        </is>
      </c>
      <c r="Z36" t="inlineStr">
        <is>
          <t>Tilley, S (corresponding author), Univ Edinburgh, Edinburgh EH3 9DF, Midlothian, Scotland.</t>
        </is>
      </c>
      <c r="AA36" t="inlineStr">
        <is>
          <t>katherine.brookfield@ed.ac.uk; sara.tilley@ed.ac.uk</t>
        </is>
      </c>
      <c r="AD36" t="inlineStr">
        <is>
          <t>Research Councils UK as part of the Lifelong Health and Wellbeing Cross-Council Programme [EP/K037404/1]; EPSRC [EP/K037404/1] Funding Source: UKRI</t>
        </is>
      </c>
      <c r="AE36" t="inlineStr">
        <is>
          <t>Research Councils UK as part of the Lifelong Health and Wellbeing Cross-Council Programme; EPSRC(UK Research &amp; Innovation (UKRI)Engineering &amp; Physical Sciences Research Council (EPSRC))</t>
        </is>
      </c>
      <c r="AF36" t="inlineStr">
        <is>
          <t>This work was undertaken under the Mobility, Mood and Place (MMP) three-year research project (2013-2016), supported by Research Councils UK as part of the Lifelong Health and Wellbeing Cross-Council Programme (grant reference number EP/K037404/1) under Principal Investigator Catharine Ward Thompson and part of a work package led by Co-Investigators Richard Coyne, Jenny Roe and Neil Thin. The authors thank the participants and the reviewers.</t>
        </is>
      </c>
      <c r="AH36" t="n">
        <v>50</v>
      </c>
      <c r="AI36" t="n">
        <v>22</v>
      </c>
      <c r="AJ36" t="n">
        <v>22</v>
      </c>
      <c r="AK36" t="n">
        <v>7</v>
      </c>
      <c r="AL36" t="n">
        <v>46</v>
      </c>
      <c r="AM36" t="inlineStr">
        <is>
          <t>MDPI AG</t>
        </is>
      </c>
      <c r="AN36" t="inlineStr">
        <is>
          <t>BASEL</t>
        </is>
      </c>
      <c r="AO36" t="inlineStr">
        <is>
          <t>ST ALBAN-ANLAGE 66, CH-4052 BASEL, SWITZERLAND</t>
        </is>
      </c>
      <c r="AP36" t="inlineStr">
        <is>
          <t>1660-4601</t>
        </is>
      </c>
      <c r="AS36" t="inlineStr">
        <is>
          <t>INT J ENV RES PUB HE</t>
        </is>
      </c>
      <c r="AT36" t="inlineStr">
        <is>
          <t>Int. J. Environ. Res. Public Health</t>
        </is>
      </c>
      <c r="AU36" t="inlineStr">
        <is>
          <t>NOV</t>
        </is>
      </c>
      <c r="AV36" t="n">
        <v>2016</v>
      </c>
      <c r="AW36" t="n">
        <v>13</v>
      </c>
      <c r="AX36" t="n">
        <v>11</v>
      </c>
      <c r="BE36" t="n">
        <v>1061</v>
      </c>
      <c r="BF36" t="inlineStr">
        <is>
          <t>10.3390/ijerph13111061</t>
        </is>
      </c>
      <c r="BG36">
        <f>HYPERLINK("http://dx.doi.org/10.3390/ijerph13111061","http://dx.doi.org/10.3390/ijerph13111061")</f>
        <v/>
      </c>
      <c r="BJ36" t="n">
        <v>12</v>
      </c>
      <c r="BK36" t="inlineStr">
        <is>
          <t>Environmental Sciences; Public, Environmental &amp; Occupational Health</t>
        </is>
      </c>
      <c r="BL36" t="inlineStr">
        <is>
          <t>Science Citation Index Expanded (SCI-EXPANDED); Social Science Citation Index (SSCI)</t>
        </is>
      </c>
      <c r="BM36" t="inlineStr">
        <is>
          <t>Environmental Sciences &amp; Ecology; Public, Environmental &amp; Occupational Health</t>
        </is>
      </c>
      <c r="BN36" t="inlineStr">
        <is>
          <t>EE4KR</t>
        </is>
      </c>
      <c r="BO36" t="n">
        <v>27801860</v>
      </c>
      <c r="BP36" t="inlineStr">
        <is>
          <t>gold, Green Published, Green Accepted</t>
        </is>
      </c>
      <c r="BS36" t="inlineStr">
        <is>
          <t>2023-10-26</t>
        </is>
      </c>
      <c r="BT36" t="inlineStr">
        <is>
          <t>WOS:000389571300020</t>
        </is>
      </c>
      <c r="BU36">
        <f>HYPERLINK("https%3A%2F%2Fwww.webofscience.com%2Fwos%2Fwoscc%2Ffull-record%2FWOS:000389571300020","View Full Record in Web of Science")</f>
        <v/>
      </c>
    </row>
    <row r="37">
      <c r="A37" t="inlineStr">
        <is>
          <t>J</t>
        </is>
      </c>
      <c r="B37" t="inlineStr">
        <is>
          <t>Mavoa, S; Bagheri, N; Koohsari, MJ; Kaczynski, AT; Lamb, KE; Oka, K; O'Sullivan, D; Witten, K</t>
        </is>
      </c>
      <c r="F37" t="inlineStr">
        <is>
          <t>Mavoa, Suzanne; Bagheri, Nasser; Koohsari, Mohammad Javad; Kaczynski, Andrew T.; Lamb, Karen E.; Oka, Koichiro; O'Sullivan, David; Witten, Karen</t>
        </is>
      </c>
      <c r="J37" t="inlineStr">
        <is>
          <t>INTERNATIONAL JOURNAL OF ENVIRONMENTAL RESEARCH AND PUBLIC HEALTH</t>
        </is>
      </c>
      <c r="M37" t="inlineStr">
        <is>
          <t>English</t>
        </is>
      </c>
      <c r="N37" t="inlineStr">
        <is>
          <t>Article</t>
        </is>
      </c>
      <c r="T37" t="inlineStr">
        <is>
          <t>How Do Neighbourhood Definitions Influence the Associations between Built Environment and Physical Activity?</t>
        </is>
      </c>
      <c r="U37" t="inlineStr">
        <is>
          <t>neighbourhood; scale; built environment; physical activity; walking</t>
        </is>
      </c>
      <c r="V37" t="inlineStr">
        <is>
          <t>WALKING BEHAVIOR; WALKABILITY; HEALTH; ACCESSIBILITY; EXPOSURE; IMPACT; UNIT; ACCELEROMETER; TRANSPORT; SUPPORT</t>
        </is>
      </c>
      <c r="W37" t="inlineStr">
        <is>
          <t>Researchers investigating relationships between the neighbourhood environment and health first need to decide on the spatial extent of the neighbourhood they are interested in. This decision is an important and ongoing methodological challenge since different methods of defining and delineating neighbourhood boundaries can produce different results. This paper explores this issue in the context of a New Zealand-based study of the relationship between the built environment and multiple measures of physical activity. Geographic information systems were used to measure three built environment attributes-dwelling density, street connectivity, and neighbourhood destination accessibility-using seven different neighbourhood definitions (three administrative unit boundaries, and 500, 800, 1000- and 1500-m road network buffers). The associations between the three built environment measures and five measures of physical activity (mean accelerometer counts per hour, percentage time in moderate-vigorous physical activity, self-reported walking for transport, self-reported walking for recreation and self-reported walking for all purposes) were modelled for each neighbourhood definition. The combination of the choice of neighbourhood definition, built environment measure, and physical activity measure determined whether evidence of an association was detected or not. Results demonstrated that, while there was no single ideal neighbourhood definition, the built environment was most consistently associated with a range of physical activity measures when the 800-m and 1000-m road network buffers were used. For the street connectivity and destination accessibility measures, associations with physical activity were less likely to be detected at smaller scales (less than 800 m). In line with some previous research, this study demonstrated that the choice of neighbourhood definition can influence whether or not an association between the built environment and adults' physical activity is detected or not. This study additionally highlighted the importance of the choice of built environment attribute and physical activity measures. While we identified the 800-m and 1000-m road network buffers as the neighbourhood definitions most consistently associated with a range of physical activity measures, it is important that researchers carefully consider the most appropriate type of neighbourhood definition and scale for the particular aim and participants, especially at smaller scales.</t>
        </is>
      </c>
      <c r="X37" t="inlineStr">
        <is>
          <t>[Mavoa, Suzanne; Witten, Karen] Massey Univ, Sch Publ Hlth, SHORE, POB 6137, Auckland 1141, New Zealand; [Mavoa, Suzanne; Witten, Karen] Massey Univ, Sch Publ Hlth, Whariki Res Ctr, POB 6137, Auckland 1141, New Zealand; [Mavoa, Suzanne] Univ Melbourne, Melbourne Sch Populat &amp; Global Hlth, Melbourne, Vic 3010, Australia; [Bagheri, Nasser] Australian Natl Univ, Coll Hlth &amp; Med, Visualisat &amp; Decis Analyt VIDEA Lab, Ctr Mental Hlth Res,Res Sch Populat Hlth, Canberra, ACT 2601, Australia; [Koohsari, Mohammad Javad; Oka, Koichiro] Waseda Univ, Fac Sport Sci, Saitama 3591192, Japan; [Koohsari, Mohammad Javad] Baker IDI Heart &amp; Diabet Inst, Behav Epidemiol Lab, Melbourne, Vic 3004, Australia; [Kaczynski, Andrew T.] Univ South Carolina, Arnold Sch Publ Hlth, Prevent Res Ctr, Columbia, SC 29208 USA; [Lamb, Karen E.] Murdoch Childrens Res Inst, Melbourne, Vic 3052, Australia; [O'Sullivan, David] Victoria Univ, Sch Geog Environm &amp; Earth Sci, Wellington 6012, New Zealand</t>
        </is>
      </c>
      <c r="Y37" t="inlineStr">
        <is>
          <t>Massey University; Massey University; University of Melbourne; Australian National University; Waseda University; Baker Heart and Diabetes Institute; University of South Carolina System; University of South Carolina Columbia; Murdoch Children's Research Institute; Victoria University Wellington</t>
        </is>
      </c>
      <c r="Z37" t="inlineStr">
        <is>
          <t>Mavoa, S (corresponding author), Massey Univ, Sch Publ Hlth, SHORE, POB 6137, Auckland 1141, New Zealand.;Mavoa, S (corresponding author), Massey Univ, Sch Publ Hlth, Whariki Res Ctr, POB 6137, Auckland 1141, New Zealand.;Mavoa, S (corresponding author), Univ Melbourne, Melbourne Sch Populat &amp; Global Hlth, Melbourne, Vic 3010, Australia.</t>
        </is>
      </c>
      <c r="AA37" t="inlineStr">
        <is>
          <t>suzanne.mavoa@unimelb.edu.au; nasser.bagheri@anu.edu.au; Javad.Koohsari@baker.edu.au; ATKACZYN@mailbox.sc.edu; karen.lamb@mcri.edu.au; koka@waseda.jp; david.osullivan@vuw.ac.nz; K.Witten@massey.ac.nz</t>
        </is>
      </c>
      <c r="AB37" t="inlineStr">
        <is>
          <t>Lamb, Karen/P-4988-2016; Koohsari, Javad/A-4613-2009; bagheri, nasser/Z-3094-2019</t>
        </is>
      </c>
      <c r="AC37" t="inlineStr">
        <is>
          <t>Lamb, Karen/0000-0001-9782-8450; Koohsari, Javad/0000-0001-9384-5456; bagheri, nasser/0000-0003-1097-2797; Oka, Koichiro/0000-0001-5571-042X; Mavoa, Suzanne/0000-0002-6071-2988; Witten, Karen/0000-0003-2637-8565</t>
        </is>
      </c>
      <c r="AD37" t="inlineStr">
        <is>
          <t>Health Research Council of New Zealand [07/356]; Australian National Health and Medical Research Council Early Career Fellowship [1121035]; JSPS Postdoctoral Fellowship for Research in Japan from the Japan Society for the Promotion of Science [17716]; MEXT-Supported Program for the Strategic Research Foundation at Private Universities, 2015-2019 the Japan Ministry of Education, Culture, Sports, Science and Technology [S1511017]</t>
        </is>
      </c>
      <c r="AE37" t="inlineStr">
        <is>
          <t>Health Research Council of New Zealand(Health Research Council of New Zealand); Australian National Health and Medical Research Council Early Career Fellowship(National Health and Medical Research Council (NHMRC) of Australia); JSPS Postdoctoral Fellowship for Research in Japan from the Japan Society for the Promotion of Science; MEXT-Supported Program for the Strategic Research Foundation at Private Universities, 2015-2019 the Japan Ministry of Education, Culture, Sports, Science and Technology</t>
        </is>
      </c>
      <c r="AF37" t="inlineStr">
        <is>
          <t>The Understanding Relationships Between Neighbourhoods and Physical Activity (URBAN) study was funded by the Health Research Council of New Zealand (grant: 07/356). The authors thank the URBAN study team, the participants who completed the study, the research assistants who collected the data and the territorial authorities for providing the GIS datasets. S.M. is supported by an Australian National Health and Medical Research Council Early Career Fellowship (#1121035). M.J.K. was supported by a JSPS Postdoctoral Fellowship for Research in Japan (#17716) from the Japan Society for the Promotion of Science. K.O. is supported by the MEXT-Supported Program for the Strategic Research Foundation at Private Universities, 2015-2019 the Japan Ministry of Education, Culture, Sports, Science and Technology (S1511017).</t>
        </is>
      </c>
      <c r="AH37" t="n">
        <v>67</v>
      </c>
      <c r="AI37" t="n">
        <v>38</v>
      </c>
      <c r="AJ37" t="n">
        <v>38</v>
      </c>
      <c r="AK37" t="n">
        <v>6</v>
      </c>
      <c r="AL37" t="n">
        <v>29</v>
      </c>
      <c r="AM37" t="inlineStr">
        <is>
          <t>MDPI</t>
        </is>
      </c>
      <c r="AN37" t="inlineStr">
        <is>
          <t>BASEL</t>
        </is>
      </c>
      <c r="AO37" t="inlineStr">
        <is>
          <t>ST ALBAN-ANLAGE 66, CH-4052 BASEL, SWITZERLAND</t>
        </is>
      </c>
      <c r="AQ37" t="inlineStr">
        <is>
          <t>1660-4601</t>
        </is>
      </c>
      <c r="AS37" t="inlineStr">
        <is>
          <t>INT J ENV RES PUB HE</t>
        </is>
      </c>
      <c r="AT37" t="inlineStr">
        <is>
          <t>Int. J. Environ. Res. Public Health</t>
        </is>
      </c>
      <c r="AU37" t="inlineStr">
        <is>
          <t>MAY 1</t>
        </is>
      </c>
      <c r="AV37" t="n">
        <v>2019</v>
      </c>
      <c r="AW37" t="n">
        <v>16</v>
      </c>
      <c r="AX37" t="n">
        <v>9</v>
      </c>
      <c r="BE37" t="n">
        <v>1501</v>
      </c>
      <c r="BF37" t="inlineStr">
        <is>
          <t>10.3390/ijerph16091501</t>
        </is>
      </c>
      <c r="BG37">
        <f>HYPERLINK("http://dx.doi.org/10.3390/ijerph16091501","http://dx.doi.org/10.3390/ijerph16091501")</f>
        <v/>
      </c>
      <c r="BJ37" t="n">
        <v>16</v>
      </c>
      <c r="BK37" t="inlineStr">
        <is>
          <t>Environmental Sciences; Public, Environmental &amp; Occupational Health</t>
        </is>
      </c>
      <c r="BL37" t="inlineStr">
        <is>
          <t>Science Citation Index Expanded (SCI-EXPANDED); Social Science Citation Index (SSCI)</t>
        </is>
      </c>
      <c r="BM37" t="inlineStr">
        <is>
          <t>Environmental Sciences &amp; Ecology; Public, Environmental &amp; Occupational Health</t>
        </is>
      </c>
      <c r="BN37" t="inlineStr">
        <is>
          <t>IA4ER</t>
        </is>
      </c>
      <c r="BO37" t="n">
        <v>31035336</v>
      </c>
      <c r="BP37" t="inlineStr">
        <is>
          <t>gold, Green Published</t>
        </is>
      </c>
      <c r="BS37" t="inlineStr">
        <is>
          <t>2023-10-26</t>
        </is>
      </c>
      <c r="BT37" t="inlineStr">
        <is>
          <t>WOS:000469517300026</t>
        </is>
      </c>
      <c r="BU37">
        <f>HYPERLINK("https%3A%2F%2Fwww.webofscience.com%2Fwos%2Fwoscc%2Ffull-record%2FWOS:000469517300026","View Full Record in Web of Science")</f>
        <v/>
      </c>
    </row>
    <row r="38">
      <c r="A38" t="inlineStr">
        <is>
          <t>J</t>
        </is>
      </c>
      <c r="B38" t="inlineStr">
        <is>
          <t>Jia, XJ; Yu, Y; Xia, WN; Masri, S; Sami, M; Hu, ZX; Yu, ZX; Wu, J</t>
        </is>
      </c>
      <c r="F38" t="inlineStr">
        <is>
          <t>Jia, Xianjie; Yu, Ying; Xia, Wanning; Masri, Shahir; Sami, Mojgan; Hu, Zhixiong; Yu, Zhaoxia; Wu, Jun</t>
        </is>
      </c>
      <c r="J38" t="inlineStr">
        <is>
          <t>ENVIRONMENTAL RESEARCH</t>
        </is>
      </c>
      <c r="M38" t="inlineStr">
        <is>
          <t>English</t>
        </is>
      </c>
      <c r="N38" t="inlineStr">
        <is>
          <t>Article</t>
        </is>
      </c>
      <c r="T38" t="inlineStr">
        <is>
          <t>Cardiovascular diseases in middle aged and older adults in China: the joint effects and mediation of different types of physical exercise and neighborhood greenness and walkability</t>
        </is>
      </c>
      <c r="U38" t="inlineStr">
        <is>
          <t>Cardiovascular diseases; Physical exercise; Older adults; Built environment; Greenness; Walkability</t>
        </is>
      </c>
      <c r="V38" t="inlineStr">
        <is>
          <t>CARDIOMETABOLIC RISK-FACTORS; BUILT ENVIRONMENT; MENTAL-HEALTH; NONCOMMUNICABLE DISEASES; COMMUNITY DESIGN; ASSOCIATIONS; GREENSPACE; OBESITY; HYPERTENSION; PATHWAYS</t>
        </is>
      </c>
      <c r="W38" t="inlineStr">
        <is>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Methods: Data were collected from a community-based cross-sectional study (n = 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is>
      </c>
      <c r="X38" t="inlineStr">
        <is>
          <t>[Jia, Xianjie; Xia, Wanning] Bengbu Med Coll, Dept Epidemiol &amp; Biostat, Bengbu, Peoples R China; [Yu, Ying] Bengbu Med Coll, Dept Physiol, Bengbu, Peoples R China; [Masri, Shahir; Sami, Mojgan; Wu, Jun] Univ Calif Irvine, Susan &amp; Henry Samueli Coll Hlth Sci, Program Publ Hlth, Irvine, CA 92717 USA; [Hu, Zhixiong; Yu, Zhaoxia] Univ Calif Irvine, Dept Stat, Irvine, CA USA</t>
        </is>
      </c>
      <c r="Y38" t="inlineStr">
        <is>
          <t>Bengbu Medical College; Bengbu Medical College; University of California System; University of California Irvine; University of California System; University of California Irvine</t>
        </is>
      </c>
      <c r="Z38" t="inlineStr">
        <is>
          <t>Wu, J (corresponding author), Univ Calif Irvine, Susan &amp; Henry Samueli Coll Hlth Sci, Program Publ Hlth, Irvine, CA 92717 USA.</t>
        </is>
      </c>
      <c r="AA38" t="inlineStr">
        <is>
          <t>junwu@uci.edu</t>
        </is>
      </c>
      <c r="AB38" t="inlineStr">
        <is>
          <t>wanning, Xia/IXD-9842-2023; Hu, Zhixiong/ITU-5508-2023</t>
        </is>
      </c>
      <c r="AC38" t="inlineStr">
        <is>
          <t>wanning, Xia/0000-0001-5783-459X; Hu, Zhixiong/0000-0002-8024-6195; Ying, Yu/0000-0003-0925-0148</t>
        </is>
      </c>
      <c r="AD38" t="inlineStr">
        <is>
          <t>Natural Science Foundation of Anhui Province [1508085QH150]; Natural Science of the Education Department of Anhui Province, China [KJ2017A217]</t>
        </is>
      </c>
      <c r="AE38" t="inlineStr">
        <is>
          <t>Natural Science Foundation of Anhui Province(Natural Science Foundation of Anhui Province); Natural Science of the Education Department of Anhui Province, China</t>
        </is>
      </c>
      <c r="AF38" t="inlineStr">
        <is>
          <t>This work was supported by the Natural Science Foundation of Anhui Province (1508085QH150), and the Natural Science of the Education Department of Anhui Province (KJ2017A217), China.</t>
        </is>
      </c>
      <c r="AH38" t="n">
        <v>86</v>
      </c>
      <c r="AI38" t="n">
        <v>89</v>
      </c>
      <c r="AJ38" t="n">
        <v>93</v>
      </c>
      <c r="AK38" t="n">
        <v>15</v>
      </c>
      <c r="AL38" t="n">
        <v>156</v>
      </c>
      <c r="AM38" t="inlineStr">
        <is>
          <t>ACADEMIC PRESS INC ELSEVIER SCIENCE</t>
        </is>
      </c>
      <c r="AN38" t="inlineStr">
        <is>
          <t>SAN DIEGO</t>
        </is>
      </c>
      <c r="AO38" t="inlineStr">
        <is>
          <t>525 B ST, STE 1900, SAN DIEGO, CA 92101-4495 USA</t>
        </is>
      </c>
      <c r="AP38" t="inlineStr">
        <is>
          <t>0013-9351</t>
        </is>
      </c>
      <c r="AQ38" t="inlineStr">
        <is>
          <t>1096-0953</t>
        </is>
      </c>
      <c r="AS38" t="inlineStr">
        <is>
          <t>ENVIRON RES</t>
        </is>
      </c>
      <c r="AT38" t="inlineStr">
        <is>
          <t>Environ. Res.</t>
        </is>
      </c>
      <c r="AU38" t="inlineStr">
        <is>
          <t>NOV</t>
        </is>
      </c>
      <c r="AV38" t="n">
        <v>2018</v>
      </c>
      <c r="AW38" t="n">
        <v>167</v>
      </c>
      <c r="BC38" t="n">
        <v>175</v>
      </c>
      <c r="BD38" t="n">
        <v>183</v>
      </c>
      <c r="BF38" t="inlineStr">
        <is>
          <t>10.1016/j.envres.2018.07.003</t>
        </is>
      </c>
      <c r="BG38">
        <f>HYPERLINK("http://dx.doi.org/10.1016/j.envres.2018.07.003","http://dx.doi.org/10.1016/j.envres.2018.07.003")</f>
        <v/>
      </c>
      <c r="BJ38" t="n">
        <v>9</v>
      </c>
      <c r="BK38" t="inlineStr">
        <is>
          <t>Environmental Sciences; Public, Environmental &amp; Occupational Health</t>
        </is>
      </c>
      <c r="BL38" t="inlineStr">
        <is>
          <t>Science Citation Index Expanded (SCI-EXPANDED); Social Science Citation Index (SSCI)</t>
        </is>
      </c>
      <c r="BM38" t="inlineStr">
        <is>
          <t>Environmental Sciences &amp; Ecology; Public, Environmental &amp; Occupational Health</t>
        </is>
      </c>
      <c r="BN38" t="inlineStr">
        <is>
          <t>GW8RP</t>
        </is>
      </c>
      <c r="BO38" t="n">
        <v>30029039</v>
      </c>
      <c r="BS38" t="inlineStr">
        <is>
          <t>2023-10-26</t>
        </is>
      </c>
      <c r="BT38" t="inlineStr">
        <is>
          <t>WOS:000447247500018</t>
        </is>
      </c>
      <c r="BU38">
        <f>HYPERLINK("https%3A%2F%2Fwww.webofscience.com%2Fwos%2Fwoscc%2Ffull-record%2FWOS:000447247500018","View Full Record in Web of Science")</f>
        <v/>
      </c>
    </row>
    <row r="39">
      <c r="A39" t="inlineStr">
        <is>
          <t>J</t>
        </is>
      </c>
      <c r="B39" t="inlineStr">
        <is>
          <t>Zumelzu, A; Estrada, M; Moya, M; Troppa, J</t>
        </is>
      </c>
      <c r="F39" t="inlineStr">
        <is>
          <t>Zumelzu, Antonio; Estrada, Mariana; Moya, Marta; Troppa, Jairo</t>
        </is>
      </c>
      <c r="J39" t="inlineStr">
        <is>
          <t>INTERNATIONAL JOURNAL OF ENVIRONMENTAL RESEARCH AND PUBLIC HEALTH</t>
        </is>
      </c>
      <c r="M39" t="inlineStr">
        <is>
          <t>English</t>
        </is>
      </c>
      <c r="N39" t="inlineStr">
        <is>
          <t>Article</t>
        </is>
      </c>
      <c r="T39" t="inlineStr">
        <is>
          <t>Experiencing Public Spaces in Southern Chile: Analysing the Effects of the Built Environment on Walking Perceptions</t>
        </is>
      </c>
      <c r="U39" t="inlineStr">
        <is>
          <t>walking perceptions; urban experience; built environment; urban design; well-being; Latin America</t>
        </is>
      </c>
      <c r="V39" t="inlineStr">
        <is>
          <t>WALKABILITY SCALE; PEDESTRIAN ACCESSIBILITY; GENDER-DIFFERENCES; PHYSICAL-ACTIVITY; URBAN DESIGN; NEIGHBORHOODS; SAFETY; SANTIAGO; MOBILITY; IMPACT</t>
        </is>
      </c>
      <c r="W39" t="inlineStr">
        <is>
          <t>In Latin American cities, the built environment is facing crucial challenges in the 21st century, not only in terms of the redesign of the physical environment, but also how to remodel public spaces as healthier places for walking and social interaction. The objective of this article is to evaluate the effects of the built environment on walking perceptions in a central neighbourhood in the intermediate city of Valdivia, Chile. The methodology integrates quantitative and qualitative methods to explore which elements of the physical built environment ease and hinder walkability. Depthmap software and Simpson's Diversity Index are used to evaluate connectivity and diversity of land uses at street level. Additionally, the People Following method and 26 walking interviews are conducted using the Natural Go-Along technique to analyse pedestrians' perceptions about their mobility environment. The results show that the factors that promote walkability mainly include streets with high connectivity values, wide pavements, diversity of greening, and facade characteristics of buildings with architectural heritage causing tranquillity, longing, and happiness. On the contrary, factors that inhibit walkability are related to poor-quality and narrow sidewalks, cars parked on sidewalks, dirty streets, and motorized traffic and vehicular noise causing negative emotions in walking perceptions such as tiredness, anger, disgust, discomfort, and insecurity, with negative effects on the well-being of residents that vary according to age and gender. Finally, recommendations are oriented to improve public spaces in central areas in southern Chile, to address moving towards more liveable and inclusive environments and support well-being through urban design in these types of context.</t>
        </is>
      </c>
      <c r="X39" t="inlineStr">
        <is>
          <t>[Zumelzu, Antonio; Estrada, Mariana; Moya, Marta; Troppa, Jairo] Univ Austral Chile, Inst Arquitectura &amp; Urbanismo, Nucleo Invest Riesgos Nat &amp; Antropogen, Valdivia 5091000, Chile</t>
        </is>
      </c>
      <c r="Y39" t="inlineStr">
        <is>
          <t>Universidad Austral de Chile</t>
        </is>
      </c>
      <c r="Z39" t="inlineStr">
        <is>
          <t>Zumelzu, A (corresponding author), Univ Austral Chile, Inst Arquitectura &amp; Urbanismo, Nucleo Invest Riesgos Nat &amp; Antropogen, Valdivia 5091000, Chile.</t>
        </is>
      </c>
      <c r="AA39" t="inlineStr">
        <is>
          <t>antonio.zumelzu@uach.cl</t>
        </is>
      </c>
      <c r="AC39" t="inlineStr">
        <is>
          <t>Zumelzu, Antonio/0000-0003-0257-1766</t>
        </is>
      </c>
      <c r="AD39" t="inlineStr">
        <is>
          <t>United Nations Development Program [CHL/SDP/095/2020]; Ministerio de las Culturas, las Artes y el Patrimonio [624186]</t>
        </is>
      </c>
      <c r="AE39" t="inlineStr">
        <is>
          <t>United Nations Development Program; Ministerio de las Culturas, las Artes y el Patrimonio</t>
        </is>
      </c>
      <c r="AF39" t="inlineStr">
        <is>
          <t>This research was funded by the United Nations Development Program under the project number CHL/SDP/095/2020, and by Ministerio de las Culturas, las Artes y el Patrimonio under the project FONDART NACIONAL number 624186.</t>
        </is>
      </c>
      <c r="AH39" t="n">
        <v>91</v>
      </c>
      <c r="AI39" t="n">
        <v>2</v>
      </c>
      <c r="AJ39" t="n">
        <v>2</v>
      </c>
      <c r="AK39" t="n">
        <v>16</v>
      </c>
      <c r="AL39" t="n">
        <v>32</v>
      </c>
      <c r="AM39" t="inlineStr">
        <is>
          <t>MDPI</t>
        </is>
      </c>
      <c r="AN39" t="inlineStr">
        <is>
          <t>BASEL</t>
        </is>
      </c>
      <c r="AO39" t="inlineStr">
        <is>
          <t>ST ALBAN-ANLAGE 66, CH-4052 BASEL, SWITZERLAND</t>
        </is>
      </c>
      <c r="AQ39" t="inlineStr">
        <is>
          <t>1660-4601</t>
        </is>
      </c>
      <c r="AS39" t="inlineStr">
        <is>
          <t>INT J ENV RES PUB HE</t>
        </is>
      </c>
      <c r="AT39" t="inlineStr">
        <is>
          <t>Int. J. Environ. Res. Public Health</t>
        </is>
      </c>
      <c r="AU39" t="inlineStr">
        <is>
          <t>OCT</t>
        </is>
      </c>
      <c r="AV39" t="n">
        <v>2022</v>
      </c>
      <c r="AW39" t="n">
        <v>19</v>
      </c>
      <c r="AX39" t="n">
        <v>19</v>
      </c>
      <c r="BE39" t="n">
        <v>12577</v>
      </c>
      <c r="BF39" t="inlineStr">
        <is>
          <t>10.3390/ijerph191912577</t>
        </is>
      </c>
      <c r="BG39">
        <f>HYPERLINK("http://dx.doi.org/10.3390/ijerph191912577","http://dx.doi.org/10.3390/ijerph191912577")</f>
        <v/>
      </c>
      <c r="BJ39" t="n">
        <v>20</v>
      </c>
      <c r="BK39" t="inlineStr">
        <is>
          <t>Environmental Sciences; Public, Environmental &amp; Occupational Health</t>
        </is>
      </c>
      <c r="BL39" t="inlineStr">
        <is>
          <t>Science Citation Index Expanded (SCI-EXPANDED); Social Science Citation Index (SSCI)</t>
        </is>
      </c>
      <c r="BM39" t="inlineStr">
        <is>
          <t>Environmental Sciences &amp; Ecology; Public, Environmental &amp; Occupational Health</t>
        </is>
      </c>
      <c r="BN39" t="inlineStr">
        <is>
          <t>5G1CN</t>
        </is>
      </c>
      <c r="BO39" t="n">
        <v>36231877</v>
      </c>
      <c r="BP39" t="inlineStr">
        <is>
          <t>gold, Green Published</t>
        </is>
      </c>
      <c r="BS39" t="inlineStr">
        <is>
          <t>2023-10-26</t>
        </is>
      </c>
      <c r="BT39" t="inlineStr">
        <is>
          <t>WOS:000866744100001</t>
        </is>
      </c>
      <c r="BU39">
        <f>HYPERLINK("https%3A%2F%2Fwww.webofscience.com%2Fwos%2Fwoscc%2Ffull-record%2FWOS:000866744100001","View Full Record in Web of Science")</f>
        <v/>
      </c>
    </row>
    <row r="40">
      <c r="A40" t="inlineStr">
        <is>
          <t>J</t>
        </is>
      </c>
      <c r="B40" t="inlineStr">
        <is>
          <t>Saadeh, R; Obaidat, A; Allouh, MZ</t>
        </is>
      </c>
      <c r="F40" t="inlineStr">
        <is>
          <t>Saadeh, Rami; Obaidat, Ahmed; Allouh, Mohammed Z. Z.</t>
        </is>
      </c>
      <c r="J40" t="inlineStr">
        <is>
          <t>FRONTIERS IN SUSTAINABLE CITIES</t>
        </is>
      </c>
      <c r="M40" t="inlineStr">
        <is>
          <t>English</t>
        </is>
      </c>
      <c r="N40" t="inlineStr">
        <is>
          <t>Article</t>
        </is>
      </c>
      <c r="T40" t="inlineStr">
        <is>
          <t>The perceived built environment and general physical activity: An exploratory study in Jordan</t>
        </is>
      </c>
      <c r="U40" t="inlineStr">
        <is>
          <t>physical activity; built environment; adults; Jordan; perception</t>
        </is>
      </c>
      <c r="V40" t="inlineStr">
        <is>
          <t>HEALTH; OBESITY; ASSOCIATION; BEHAVIORS</t>
        </is>
      </c>
      <c r="W40" t="inlineStr">
        <is>
          <t>Introduction:The built environment affects the health and wellbeing of the population. The main purpose of this study was to explore the association between the perceived built environment and general physical activity among Jordanians. MethodsThis cross-sectional study was conducted in Jordan between August and November of 2019 using an online self-administered questionnaire distributed to Facebook groups that are commonly used among the Jordanian population. Descriptive statistics using chi-square test of independence was used to examine the relationship between demographic information and the perceived built environment with physical activity. Results and discussionA total of 1,124 participants were involved in the study with the majority being middle-aged (91.5%), females (67.7%), undergraduates (68.1%), and living in urban areas (71.2%). Most study participants (68.2%) were neither physically active 'at least two times per week' nor using parks for routine physical activity (82.5%). Regarding the association of demographic information with physical activity, gender was significantly associated with weekly physical activity, whereas age and monthly income were significantly associated with routine walking or biking. Further, on the one hand, gender, residency, and monthly income were significantly associated with physical activity at the park (p &lt;= 0.05). On the other hand, the availability of specific biking paths, having good and accessible places for physical activity, was among the built environment factors that were significantly associated with weekly physical activity (p &lt;= 0.05). Some characteristics of the perceived built environment were associated with physical activity. Therefore, enhancing the built environment is considered a cornerstone in any national health behavior plan that includes physical activity as one of its components.</t>
        </is>
      </c>
      <c r="X40" t="inlineStr">
        <is>
          <t>[Saadeh, Rami] Jordan Univ Sci &amp; Technol, Fac Med, Dept Publ Hlth, Irbid, Jordan; [Obaidat, Ahmed] Minist Hlth, Amman, Jordan; [Allouh, Mohammed Z. Z.] United Arab Emirates Univ, Coll Med &amp; Hlth Sci, Dept Anat, Al Ain, U Arab Emirates</t>
        </is>
      </c>
      <c r="Y40" t="inlineStr">
        <is>
          <t>Jordan University of Science &amp; Technology; United Arab Emirates University</t>
        </is>
      </c>
      <c r="Z40" t="inlineStr">
        <is>
          <t>Allouh, MZ (corresponding author), United Arab Emirates Univ, Coll Med &amp; Hlth Sci, Dept Anat, Al Ain, U Arab Emirates.</t>
        </is>
      </c>
      <c r="AA40" t="inlineStr">
        <is>
          <t>m_allouh@uaeu.ac.ae</t>
        </is>
      </c>
      <c r="AD40" t="inlineStr">
        <is>
          <t>United Arab Emirates University [G00003632]</t>
        </is>
      </c>
      <c r="AE40" t="inlineStr">
        <is>
          <t>United Arab Emirates University</t>
        </is>
      </c>
      <c r="AF40" t="inlineStr">
        <is>
          <t>The publication charges of this manuscript are provided by a grant to MA from the United Arab Emirates University grant # G00003632.</t>
        </is>
      </c>
      <c r="AH40" t="n">
        <v>30</v>
      </c>
      <c r="AI40" t="n">
        <v>0</v>
      </c>
      <c r="AJ40" t="n">
        <v>0</v>
      </c>
      <c r="AK40" t="n">
        <v>4</v>
      </c>
      <c r="AL40" t="n">
        <v>6</v>
      </c>
      <c r="AM40" t="inlineStr">
        <is>
          <t>FRONTIERS MEDIA SA</t>
        </is>
      </c>
      <c r="AN40" t="inlineStr">
        <is>
          <t>LAUSANNE</t>
        </is>
      </c>
      <c r="AO40" t="inlineStr">
        <is>
          <t>AVENUE DU TRIBUNAL FEDERAL 34, LAUSANNE, CH-1015, SWITZERLAND</t>
        </is>
      </c>
      <c r="AQ40" t="inlineStr">
        <is>
          <t>2624-9634</t>
        </is>
      </c>
      <c r="AS40" t="inlineStr">
        <is>
          <t>FRONT SUSTAIN CITIES</t>
        </is>
      </c>
      <c r="AT40" t="inlineStr">
        <is>
          <t>Front. Sustain. Cities</t>
        </is>
      </c>
      <c r="AU40" t="inlineStr">
        <is>
          <t>NOV 24</t>
        </is>
      </c>
      <c r="AV40" t="n">
        <v>2022</v>
      </c>
      <c r="AW40" t="n">
        <v>4</v>
      </c>
      <c r="BE40" t="n">
        <v>962919</v>
      </c>
      <c r="BF40" t="inlineStr">
        <is>
          <t>10.3389/frsc.2022.962919</t>
        </is>
      </c>
      <c r="BG40">
        <f>HYPERLINK("http://dx.doi.org/10.3389/frsc.2022.962919","http://dx.doi.org/10.3389/frsc.2022.962919")</f>
        <v/>
      </c>
      <c r="BJ40" t="n">
        <v>11</v>
      </c>
      <c r="BK40" t="inlineStr">
        <is>
          <t>Green &amp; Sustainable Science &amp; Technology; Environmental Sciences; Environmental Studies; Urban Studies</t>
        </is>
      </c>
      <c r="BL40" t="inlineStr">
        <is>
          <t>Emerging Sources Citation Index (ESCI)</t>
        </is>
      </c>
      <c r="BM40" t="inlineStr">
        <is>
          <t>Science &amp; Technology - Other Topics; Environmental Sciences &amp; Ecology; Urban Studies</t>
        </is>
      </c>
      <c r="BN40" t="inlineStr">
        <is>
          <t>7V8JM</t>
        </is>
      </c>
      <c r="BP40" t="inlineStr">
        <is>
          <t>gold</t>
        </is>
      </c>
      <c r="BS40" t="inlineStr">
        <is>
          <t>2023-10-26</t>
        </is>
      </c>
      <c r="BT40" t="inlineStr">
        <is>
          <t>WOS:000913058800001</t>
        </is>
      </c>
      <c r="BU40">
        <f>HYPERLINK("https%3A%2F%2Fwww.webofscience.com%2Fwos%2Fwoscc%2Ffull-record%2FWOS:000913058800001","View Full Record in Web of Science")</f>
        <v/>
      </c>
    </row>
    <row r="41">
      <c r="A41" t="inlineStr">
        <is>
          <t>J</t>
        </is>
      </c>
      <c r="B41" t="inlineStr">
        <is>
          <t>Celadyn, M</t>
        </is>
      </c>
      <c r="F41" t="inlineStr">
        <is>
          <t>Celadyn, Magdalena</t>
        </is>
      </c>
      <c r="J41" t="inlineStr">
        <is>
          <t>SUSTAINABILITY</t>
        </is>
      </c>
      <c r="M41" t="inlineStr">
        <is>
          <t>English</t>
        </is>
      </c>
      <c r="N41" t="inlineStr">
        <is>
          <t>Article</t>
        </is>
      </c>
      <c r="T41" t="inlineStr">
        <is>
          <t>Environmental Activation of Inner Space Components in Sustainable Interior Design</t>
        </is>
      </c>
      <c r="U41" t="inlineStr">
        <is>
          <t>environmentally responsible interior design; sustainable interior design; environmental activation of interior elements; indoor environment quality</t>
        </is>
      </c>
      <c r="W41" t="inlineStr">
        <is>
          <t>Implementation of environmental responsibility issues into the interior design methodology considers many aspects of the design process, but analyzes them separately. These include building materials' and products' specifications based on the assessment of their parameters impact on the users of indoor environments, or resource management within an ecological efficiency context. This concept paper concentrates on the analysis of an environmental activation of inner space components, identified by the author as the holistic and systemic design model, which is to empower the foundation of a contemporary sustainable interior design model. The proposed design scheme is supposed to assure the environmental effectiveness of interiors and their structure, as well as complementing functional components. The contributions of interiors completed in accordance with this concept can refer to the enhancement of the performance of building mechanical systems and the improvement in the indoor environment quality parameters. They can be achieved with the appropriate environmental activation-oriented structural, technical, and material solutions, applied to the selected inner space components. The theoretical scheme presented should become the basis for further investigations and studies to establish the comprehensive methodology design framework assuring the integrative role of interior design in the creation of a sustainable near environment.</t>
        </is>
      </c>
      <c r="X41" t="inlineStr">
        <is>
          <t>[Celadyn, Magdalena] Acad Fine Arts Krakow, Fac Interior Design, Pl Matejki 13, PL-31157 Krakow, Poland</t>
        </is>
      </c>
      <c r="Z41" t="inlineStr">
        <is>
          <t>Celadyn, M (corresponding author), Acad Fine Arts Krakow, Fac Interior Design, Pl Matejki 13, PL-31157 Krakow, Poland.</t>
        </is>
      </c>
      <c r="AA41" t="inlineStr">
        <is>
          <t>mceladyn@asp.krakow.pl</t>
        </is>
      </c>
      <c r="AB41" t="inlineStr">
        <is>
          <t>Celadyn, Magdalena/AAS-7936-2020</t>
        </is>
      </c>
      <c r="AC41" t="inlineStr">
        <is>
          <t>Celadyn, Magdalena/0000-0003-0876-2280</t>
        </is>
      </c>
      <c r="AH41" t="n">
        <v>30</v>
      </c>
      <c r="AI41" t="n">
        <v>8</v>
      </c>
      <c r="AJ41" t="n">
        <v>8</v>
      </c>
      <c r="AK41" t="n">
        <v>6</v>
      </c>
      <c r="AL41" t="n">
        <v>49</v>
      </c>
      <c r="AM41" t="inlineStr">
        <is>
          <t>MDPI</t>
        </is>
      </c>
      <c r="AN41" t="inlineStr">
        <is>
          <t>BASEL</t>
        </is>
      </c>
      <c r="AO41" t="inlineStr">
        <is>
          <t>ST ALBAN-ANLAGE 66, CH-4052 BASEL, SWITZERLAND</t>
        </is>
      </c>
      <c r="AP41" t="inlineStr">
        <is>
          <t>2071-1050</t>
        </is>
      </c>
      <c r="AS41" t="inlineStr">
        <is>
          <t>SUSTAINABILITY-BASEL</t>
        </is>
      </c>
      <c r="AT41" t="inlineStr">
        <is>
          <t>Sustainability</t>
        </is>
      </c>
      <c r="AU41" t="inlineStr">
        <is>
          <t>JUN</t>
        </is>
      </c>
      <c r="AV41" t="n">
        <v>2018</v>
      </c>
      <c r="AW41" t="n">
        <v>10</v>
      </c>
      <c r="AX41" t="n">
        <v>6</v>
      </c>
      <c r="BE41" t="n">
        <v>1945</v>
      </c>
      <c r="BF41" t="inlineStr">
        <is>
          <t>10.3390/su10061945</t>
        </is>
      </c>
      <c r="BG41">
        <f>HYPERLINK("http://dx.doi.org/10.3390/su10061945","http://dx.doi.org/10.3390/su10061945")</f>
        <v/>
      </c>
      <c r="BJ41" t="n">
        <v>12</v>
      </c>
      <c r="BK41" t="inlineStr">
        <is>
          <t>Green &amp; Sustainable Science &amp; Technology; Environmental Sciences; Environmental Studies</t>
        </is>
      </c>
      <c r="BL41" t="inlineStr">
        <is>
          <t>Science Citation Index Expanded (SCI-EXPANDED); Social Science Citation Index (SSCI)</t>
        </is>
      </c>
      <c r="BM41" t="inlineStr">
        <is>
          <t>Science &amp; Technology - Other Topics; Environmental Sciences &amp; Ecology</t>
        </is>
      </c>
      <c r="BN41" t="inlineStr">
        <is>
          <t>GK9LE</t>
        </is>
      </c>
      <c r="BP41" t="inlineStr">
        <is>
          <t>gold</t>
        </is>
      </c>
      <c r="BS41" t="inlineStr">
        <is>
          <t>2023-10-26</t>
        </is>
      </c>
      <c r="BT41" t="inlineStr">
        <is>
          <t>WOS:000436570100257</t>
        </is>
      </c>
      <c r="BU41">
        <f>HYPERLINK("https%3A%2F%2Fwww.webofscience.com%2Fwos%2Fwoscc%2Ffull-record%2FWOS:000436570100257","View Full Record in Web of Science")</f>
        <v/>
      </c>
    </row>
    <row r="42">
      <c r="A42" t="inlineStr">
        <is>
          <t>J</t>
        </is>
      </c>
      <c r="B42" t="inlineStr">
        <is>
          <t>Zhang, FP; Shi, L; Liu, SM; Shi, JQ; Ma, Q; Zhang, JY</t>
        </is>
      </c>
      <c r="F42" t="inlineStr">
        <is>
          <t>Zhang, Fupeng; Shi, Lei; Liu, Simian; Shi, Jiaqi; Ma, Qian; Zhang, Jinyue</t>
        </is>
      </c>
      <c r="J42" t="inlineStr">
        <is>
          <t>SUSTAINABILITY</t>
        </is>
      </c>
      <c r="M42" t="inlineStr">
        <is>
          <t>English</t>
        </is>
      </c>
      <c r="N42" t="inlineStr">
        <is>
          <t>Article</t>
        </is>
      </c>
      <c r="T42" t="inlineStr">
        <is>
          <t>Climate Adaptability Based on Indoor Physical Environment of Traditional Dwelling in North Dong Areas, China</t>
        </is>
      </c>
      <c r="U42" t="inlineStr">
        <is>
          <t>North Dong areas; traditional dwelling; indoor physical environment; climate adaptability; monitoring and simulation</t>
        </is>
      </c>
      <c r="V42" t="inlineStr">
        <is>
          <t>THERMAL COMFORT; ANCIENT VILLAGE; CAVE DWELLINGS; PERFORMANCE; COLD; BUILDINGS; EVOLUTION; WINTER; HOUSE</t>
        </is>
      </c>
      <c r="W42" t="inlineStr">
        <is>
          <t>In this study, climate-responsive solutions used in traditional dwellings in the North Dong region of China were identified, and the impact of these solutions on the indoor physical environment and energy consumption was analysed. First, over the course of a year, sample dwellings and short-term on-site indoor physical environment measurements were selected from the local climate. Then, three building materials, namely, brick, wood, and rammed earth, and different structural forms were selected to simulate the indoor thermal environment, ventilation conditions, and energy consumption of traditional dwellings. The study also summarised the advantages and disadvantages of the physical environment of traditional dwellings in response to climate characteristics. The results showed that the fluctuation in indoor temperature and humidity of typical dwellings in the North Dong region is approximately 5 degrees C, which is 14% lower than that outdoors. Traditional Dong dwellings have good indoor conditioning abilities. Traditional wood structure dwellings can save 26% and 39% of energy per year compared with those of raw earth and brick wood, respectively. Traditional dwellings in the Dong region are well adapted to the local climate in terms of form, materials, and structure and contribute to climate-responsive buildings in the harsh climatic conditions of the region. The solutions used in these dwellings can also be used to design new climate-responsive buildings; however, the indoor thermal comfort is not entirely satisfactory. We proposed an effective adaptation strategy for Dong traditional dwellings.</t>
        </is>
      </c>
      <c r="X42" t="inlineStr">
        <is>
          <t>[Zhang, Fupeng; Shi, Lei; Liu, Simian; Shi, Jiaqi; Ma, Qian; Zhang, Jinyue] Cent South Univ, Sch Architecture &amp; Art, Changsha 410075, Peoples R China; [Zhang, Fupeng; Shi, Lei; Liu, Simian; Shi, Jiaqi; Ma, Qian; Zhang, Jinyue] Cent South Univ, Hlth Bldg Res Ctr, Changsha 410075, Peoples R China</t>
        </is>
      </c>
      <c r="Y42" t="inlineStr">
        <is>
          <t>Central South University; Central South University</t>
        </is>
      </c>
      <c r="Z42" t="inlineStr">
        <is>
          <t>Liu, SM (corresponding author), Cent South Univ, Sch Architecture &amp; Art, Changsha 410075, Peoples R China.;Liu, SM (corresponding author), Cent South Univ, Hlth Bldg Res Ctr, Changsha 410075, Peoples R China.</t>
        </is>
      </c>
      <c r="AA42" t="inlineStr">
        <is>
          <t>201301004@csu.edu.cn; shilei@csu.edu.cn; 217034@csu.edu.cn; 181301013@csu.edu.cn; 201311004@csu.edu.cn; 151301005@csu.edu.cn</t>
        </is>
      </c>
      <c r="AH42" t="n">
        <v>40</v>
      </c>
      <c r="AI42" t="n">
        <v>7</v>
      </c>
      <c r="AJ42" t="n">
        <v>7</v>
      </c>
      <c r="AK42" t="n">
        <v>17</v>
      </c>
      <c r="AL42" t="n">
        <v>87</v>
      </c>
      <c r="AM42" t="inlineStr">
        <is>
          <t>MDPI</t>
        </is>
      </c>
      <c r="AN42" t="inlineStr">
        <is>
          <t>BASEL</t>
        </is>
      </c>
      <c r="AO42" t="inlineStr">
        <is>
          <t>ST ALBAN-ANLAGE 66, CH-4052 BASEL, SWITZERLAND</t>
        </is>
      </c>
      <c r="AQ42" t="inlineStr">
        <is>
          <t>2071-1050</t>
        </is>
      </c>
      <c r="AS42" t="inlineStr">
        <is>
          <t>SUSTAINABILITY-BASEL</t>
        </is>
      </c>
      <c r="AT42" t="inlineStr">
        <is>
          <t>Sustainability</t>
        </is>
      </c>
      <c r="AU42" t="inlineStr">
        <is>
          <t>JAN</t>
        </is>
      </c>
      <c r="AV42" t="n">
        <v>2022</v>
      </c>
      <c r="AW42" t="n">
        <v>14</v>
      </c>
      <c r="AX42" t="n">
        <v>2</v>
      </c>
      <c r="BE42" t="n">
        <v>850</v>
      </c>
      <c r="BF42" t="inlineStr">
        <is>
          <t>10.3390/su14020850</t>
        </is>
      </c>
      <c r="BG42">
        <f>HYPERLINK("http://dx.doi.org/10.3390/su14020850","http://dx.doi.org/10.3390/su14020850")</f>
        <v/>
      </c>
      <c r="BJ42" t="n">
        <v>19</v>
      </c>
      <c r="BK42" t="inlineStr">
        <is>
          <t>Green &amp; Sustainable Science &amp; Technology; Environmental Sciences; Environmental Studies</t>
        </is>
      </c>
      <c r="BL42" t="inlineStr">
        <is>
          <t>Science Citation Index Expanded (SCI-EXPANDED); Social Science Citation Index (SSCI)</t>
        </is>
      </c>
      <c r="BM42" t="inlineStr">
        <is>
          <t>Science &amp; Technology - Other Topics; Environmental Sciences &amp; Ecology</t>
        </is>
      </c>
      <c r="BN42" t="inlineStr">
        <is>
          <t>ZB5XB</t>
        </is>
      </c>
      <c r="BP42" t="inlineStr">
        <is>
          <t>gold</t>
        </is>
      </c>
      <c r="BS42" t="inlineStr">
        <is>
          <t>2023-10-26</t>
        </is>
      </c>
      <c r="BT42" t="inlineStr">
        <is>
          <t>WOS:000756913700001</t>
        </is>
      </c>
      <c r="BU42">
        <f>HYPERLINK("https%3A%2F%2Fwww.webofscience.com%2Fwos%2Fwoscc%2Ffull-record%2FWOS:000756913700001","View Full Record in Web of Science")</f>
        <v/>
      </c>
    </row>
    <row r="43">
      <c r="A43" t="inlineStr">
        <is>
          <t>J</t>
        </is>
      </c>
      <c r="B43" t="inlineStr">
        <is>
          <t>Li, YY; Yatsuya, H; Hanibuchi, T; Ota, A; Naito, H; Otsuka, R; Murata, C; Hirakawa, Y; Chiang, CF; Uemura, M; Tamakoshi, K; Aoyama, A</t>
        </is>
      </c>
      <c r="F43" t="inlineStr">
        <is>
          <t>Li, Yuanying; Yatsuya, Hiroshi; Hanibuchi, Tomoya; Ota, Atsuhiko; Naito, Hisao; Otsuka, Rei; Murata, Chiyoe; Hirakawa, Yoshihisa; Chiang, Chifa; Uemura, Mayu; Tamakoshi, Koji; Aoyama, Atsuko</t>
        </is>
      </c>
      <c r="J43" t="inlineStr">
        <is>
          <t>INTERNATIONAL JOURNAL OF ENVIRONMENTAL RESEARCH AND PUBLIC HEALTH</t>
        </is>
      </c>
      <c r="M43" t="inlineStr">
        <is>
          <t>English</t>
        </is>
      </c>
      <c r="N43" t="inlineStr">
        <is>
          <t>Article</t>
        </is>
      </c>
      <c r="T43" t="inlineStr">
        <is>
          <t>Positive Association of Physical Activity with Both Objective and Perceived Measures of the Neighborhood Environment among Older Adults: The Aichi Workers' Cohort Study</t>
        </is>
      </c>
      <c r="U43" t="inlineStr">
        <is>
          <t>built environment; geographic information systems; perception; physical activity; older adults; observational study</t>
        </is>
      </c>
      <c r="V43" t="inlineStr">
        <is>
          <t>WALKING; PERCEPTIONS; WALKABILITY; RECREATION; RESOURCES; TIME</t>
        </is>
      </c>
      <c r="W43" t="inlineStr">
        <is>
          <t>We examined the association between objective and perceived neighborhood characteristics and self-reported leisure-time physical activity (PA) in older Japanese residents living in areas ranging from metropolitan to rural in 2016. Objective measures used were walkability and the numbers of parks/green spaces and sports facilities within 500 or 1000 m of subjects' homes, calculated using geographic information systems. Subjective measures were the subjects' perceptions of their neighborhoods, assessed using a structured questionnaire. All variables were divided into three groups, and the lowest tertile was used as the reference. We assessed the location and frequency of strolling or brisk walking, moderate-intensity PA, and vigorous-intensity PA (sports) using a self-reported questionnaire and defined as performing a certain type of PA 3-4 times/week as a habit. Living in a neighborhood in the highest tertile for walkability and number of parks/green spaces as well as perception of having good access to recreational facilities, observing others exercising and the presence of walkable sidewalks was associated with walking and sports habits (multivariable odds ratios (ORs): 1.33-2.46, all p &lt; 0.05). Interestingly, objective measures of PA-friendly environmental features were inversely associated with moderate-intensity PA habits, potentially because moderate-intensity PA consisted predominantly of gardening. In conclusion, living in an environment supportive of PA, whether objectively or subjectively measured, is related to leisure-time PA habits among older Japanese adults.</t>
        </is>
      </c>
      <c r="X43" t="inlineStr">
        <is>
          <t>[Li, Yuanying; Yatsuya, Hiroshi; Ota, Atsuhiko; Naito, Hisao] Fujita Hlth Univ, Dept Publ Hlth, Sch Med, Toyoake, Aichi 4701192, Japan; [Yatsuya, Hiroshi; Hirakawa, Yoshihisa; Chiang, Chifa; Uemura, Mayu; Aoyama, Atsuko] Nagoya Univ, Dept Publ Hlth &amp; Hlth Syst, Grad Sch Med, Nagoya, Aichi 4668550, Japan; [Hanibuchi, Tomoya] Tohoku Univ, Grad Sch Environm Studies, Sendai, Miyagi 9808572, Japan; [Otsuka, Rei] Natl Ctr Geriatr &amp; Gerontol, Sect NILS LSA, Obu, Aichi 4748511, Japan; [Murata, Chiyoe] Natl Ctr Geriatr &amp; Gerontol, Dept Social Sci, Obu, Aichi 4748511, Japan; [Murata, Chiyoe] Tokai Gakuen Univ, Dept Nutr, Miyoshi, Aichi 4688514, Japan; [Tamakoshi, Koji] Nagoya Univ, Dept Nursing, Sch Hlth Sci, Nagoya, Aichi 4618673, Japan; [Aoyama, Atsuko] Nagoya Univ Arts &amp; Sci, Nagoya, Aichi 4818503, Japan</t>
        </is>
      </c>
      <c r="Y43" t="inlineStr">
        <is>
          <t>Fujita Health University; Nagoya University; Tohoku University; National Center for Geriatrics &amp; Gerontology; National Center for Geriatrics &amp; Gerontology; Nagoya University</t>
        </is>
      </c>
      <c r="Z43" t="inlineStr">
        <is>
          <t>Li, YY (corresponding author), Fujita Hlth Univ, Dept Publ Hlth, Sch Med, Toyoake, Aichi 4701192, Japan.</t>
        </is>
      </c>
      <c r="AA43" t="inlineStr">
        <is>
          <t>rienei2006@gmail.com; yatsuya@fujita-hu.ac.jp; hanibuchi@gmail.com; ohtaa@fujita-hu.ac.jp; naitoh@fujita-hu.ac.jp; otsuka@ncgg.go.jp; cmurata@ncgg.go.jp; y.hirakawa@med.nagoya-u.ac.jp; keihatsu@med.nagoya-u.ac.jp; mayu-u@med.nagoya-u.ac.jp; tamako@met.nagoya-u.ac.jp; aaoyama@nuas.ac.jp</t>
        </is>
      </c>
      <c r="AB43" t="inlineStr">
        <is>
          <t>Aoyama, Atsuko/M-4826-2014; HIRAKAWA, Yoshihisa/E-4452-2015</t>
        </is>
      </c>
      <c r="AC43" t="inlineStr">
        <is>
          <t>Aoyama, Atsuko/0000-0003-2717-4919; HIRAKAWA, Yoshihisa/0000-0001-8483-5053; Ota, Atsuhiko/0000-0001-6452-1823; Hanibuchi, Tomoya/0000-0002-0447-7645; Otsuka, Rei/0000-0001-6184-570X; Li, yuanying/0000-0002-4059-6406</t>
        </is>
      </c>
      <c r="AD43" t="inlineStr">
        <is>
          <t>MEXT/JSPS KAKENHI [13470087, 17390185, 17790384, 22390133, 23659346, 26293153 18H03057, 16590499, 18590594, 20590641, 23590787, 15K08802, 17H00947, 25893088, 16K19278]; Health and Labor Sciences research grants for Comprehensive Research on Cardiovascular and Life-Style Related Diseases from the Ministry of Health Labor and Welfare [H26-Junkankitou [Seisaku]-Ippan-001, H29-Junkankitou [Seishuu]-Ippan-003, 20FA1002]; Japan Atherosclerosis Prevention Fund; Aichi Health Promotion Foundation; Uehara Memorial Fund; Grants-in-Aid for Scientific Research [20590641, 16K19278, 23590787, 15K08802, 25893088, 23659346, 17H00947] Funding Source: KAKEN</t>
        </is>
      </c>
      <c r="AE43" t="inlineStr">
        <is>
          <t>MEXT/JSPS KAKENHI(Ministry of Education, Culture, Sports, Science and Technology, Japan (MEXT)Japan Society for the Promotion of ScienceGrants-in-Aid for Scientific Research (KAKENHI)); Health and Labor Sciences research grants for Comprehensive Research on Cardiovascular and Life-Style Related Diseases from the Ministry of Health Labor and Welfare; Japan Atherosclerosis Prevention Fund(Japan Atherosclerosis Prevention Fund); Aichi Health Promotion Foundation; Uehara Memorial Fund; Grants-in-Aid for Scientific Research(Ministry of Education, Culture, Sports, Science and Technology, Japan (MEXT)Japan Society for the Promotion of ScienceGrants-in-Aid for Scientific Research (KAKENHI))</t>
        </is>
      </c>
      <c r="AF43" t="inlineStr">
        <is>
          <t>This research was funded in part by MEXT/JSPS KAKENHI (Grant Numbers 13470087 and 17390185 to H.T., 17790384, 22390133, 23659346 and 26293153 18H03057 to H.Y., 16590499, 18590594, 20590641 and 23590787, 15K08802 to K.T., 17H00947 to T.H., and 25893088 and 16K19278 to Y.L.), Health and Labor Sciences research grants for Comprehensive Research on Cardiovascular and Life-Style Related Diseases: (H26-Junkankitou [Seisaku]-Ippan-001, H29-Junkankitou [Seishuu]-Ippan-003 and 20FA1002) from the Ministry of Health Labor and Welfare, and research grants from the Japan Atherosclerosis Prevention Fund (to H.Y.), the Aichi Health Promotion Foundation (to H.Y.), and the Uehara Memorial Fund (to H.Y.). Study sponsors do not have any involvement in study design; collection, analysis and interpretation of data; the writing of the manuscript; or the decision to submit the manuscript for publication.</t>
        </is>
      </c>
      <c r="AH43" t="n">
        <v>44</v>
      </c>
      <c r="AI43" t="n">
        <v>4</v>
      </c>
      <c r="AJ43" t="n">
        <v>4</v>
      </c>
      <c r="AK43" t="n">
        <v>5</v>
      </c>
      <c r="AL43" t="n">
        <v>40</v>
      </c>
      <c r="AM43" t="inlineStr">
        <is>
          <t>MDPI</t>
        </is>
      </c>
      <c r="AN43" t="inlineStr">
        <is>
          <t>BASEL</t>
        </is>
      </c>
      <c r="AO43" t="inlineStr">
        <is>
          <t>ST ALBAN-ANLAGE 66, CH-4052 BASEL, SWITZERLAND</t>
        </is>
      </c>
      <c r="AQ43" t="inlineStr">
        <is>
          <t>1660-4601</t>
        </is>
      </c>
      <c r="AS43" t="inlineStr">
        <is>
          <t>INT J ENV RES PUB HE</t>
        </is>
      </c>
      <c r="AT43" t="inlineStr">
        <is>
          <t>Int. J. Environ. Res. Public Health</t>
        </is>
      </c>
      <c r="AU43" t="inlineStr">
        <is>
          <t>NOV</t>
        </is>
      </c>
      <c r="AV43" t="n">
        <v>2020</v>
      </c>
      <c r="AW43" t="n">
        <v>17</v>
      </c>
      <c r="AX43" t="n">
        <v>21</v>
      </c>
      <c r="BE43" t="n">
        <v>7971</v>
      </c>
      <c r="BF43" t="inlineStr">
        <is>
          <t>10.3390/ijerph17217971</t>
        </is>
      </c>
      <c r="BG43">
        <f>HYPERLINK("http://dx.doi.org/10.3390/ijerph17217971","http://dx.doi.org/10.3390/ijerph17217971")</f>
        <v/>
      </c>
      <c r="BJ43" t="n">
        <v>14</v>
      </c>
      <c r="BK43" t="inlineStr">
        <is>
          <t>Environmental Sciences; Public, Environmental &amp; Occupational Health</t>
        </is>
      </c>
      <c r="BL43" t="inlineStr">
        <is>
          <t>Science Citation Index Expanded (SCI-EXPANDED); Social Science Citation Index (SSCI)</t>
        </is>
      </c>
      <c r="BM43" t="inlineStr">
        <is>
          <t>Environmental Sciences &amp; Ecology; Public, Environmental &amp; Occupational Health</t>
        </is>
      </c>
      <c r="BN43" t="inlineStr">
        <is>
          <t>OR0AG</t>
        </is>
      </c>
      <c r="BO43" t="n">
        <v>33138333</v>
      </c>
      <c r="BP43" t="inlineStr">
        <is>
          <t>Green Published, gold</t>
        </is>
      </c>
      <c r="BS43" t="inlineStr">
        <is>
          <t>2023-10-26</t>
        </is>
      </c>
      <c r="BT43" t="inlineStr">
        <is>
          <t>WOS:000589137300001</t>
        </is>
      </c>
      <c r="BU43">
        <f>HYPERLINK("https%3A%2F%2Fwww.webofscience.com%2Fwos%2Fwoscc%2Ffull-record%2FWOS:000589137300001","View Full Record in Web of Science")</f>
        <v/>
      </c>
    </row>
    <row r="44">
      <c r="A44" t="inlineStr">
        <is>
          <t>J</t>
        </is>
      </c>
      <c r="B44" t="inlineStr">
        <is>
          <t>Wierzbicka, A; Pedersen, E; Persson, R; Nordquist, B; Stålne, K; Gao, CS; Harderup, LE; Borell, J; Caltenco, H; Ness, B; Stroh, E; Li, YJ; Dahlblom, M; Lundgren-Kownacki, K; Isaxon, C; Gudmundsson, A; Wargocki, P</t>
        </is>
      </c>
      <c r="F44" t="inlineStr">
        <is>
          <t>Wierzbicka, Aneta; Pedersen, Eja; Persson, Roger; Nordquist, Birgitta; Stalne, Kristian; Gao, Chuansi; Harderup, Lars-Erik; Borell, Jonas; Caltenco, Hector; Ness, Barry; Stroh, Emilie; Li, Yujing; Dahlblom, Mats; Lundgren-Kownacki, Karin; Isaxon, Christina; Gudmundsson, Anders; Wargocki, Pawel</t>
        </is>
      </c>
      <c r="J44" t="inlineStr">
        <is>
          <t>INTERNATIONAL JOURNAL OF ENVIRONMENTAL RESEARCH AND PUBLIC HEALTH</t>
        </is>
      </c>
      <c r="M44" t="inlineStr">
        <is>
          <t>English</t>
        </is>
      </c>
      <c r="N44" t="inlineStr">
        <is>
          <t>Article</t>
        </is>
      </c>
      <c r="T44" t="inlineStr">
        <is>
          <t>Healthy Indoor Environments: The Need for a Holistic Approach</t>
        </is>
      </c>
      <c r="U44" t="inlineStr">
        <is>
          <t>healthy indoor environment; holistic approach; transdisciplinary studies; multidisciplinary studies; indoor environment quality</t>
        </is>
      </c>
      <c r="V44" t="inlineStr">
        <is>
          <t>PHASE-CHANGE MATERIALS; THERMAL COMFORT; CLIMATE-CHANGE; HEAT EXPOSURE; AMBIENT-TEMPERATURE; RADIANT TEMPERATURE; OCCUPANT BEHAVIOR; PUBLIC-HEALTH; AIR; HOMES</t>
        </is>
      </c>
      <c r="W44" t="inlineStr">
        <is>
          <t>Indoor environments have a large impact on health and well-being, so it is important to understand what makes them healthy and sustainable. There is substantial knowledge on individual factors and their effects, though understanding how factors interact and what role occupants play in these interactions (both causative and receptive) is lacking. We aimed to: (i) explore interactions between factors and potential risks if these are not considered from holistic perspective; and (ii) identify components needed to advance research on indoor environments. The paper is based on collaboration between researchers from disciplines covering technical, behavioural, and medical perspectives. Outcomes were identified through literature reviews, discussions and workshops with invited experts and representatives from various stakeholder groups. Four themes emerged and were discussed with an emphasis on occupant health: (a) the bio-psycho-social aspects of health; (b) interaction between occupants, buildings and indoor environment; (c) climate change and its impact on indoor environment quality, thermal comfort and health; and (d) energy efficiency measures and indoor environment. To advance the relevant research, the indoor environment must be considered a dynamic and complex system with multiple interactions. This calls for a transdisciplinary and holistic approach and effective collaboration with various stakeholders.</t>
        </is>
      </c>
      <c r="X44" t="inlineStr">
        <is>
          <t>[Wierzbicka, Aneta; Gao, Chuansi; Borell, Jonas; Lundgren-Kownacki, Karin; Isaxon, Christina; Gudmundsson, Anders] Lund Univ, Ergon &amp; Aerosol Technol, POB 118, S-22100 Lund, Sweden; [Pedersen, Eja] Lund Univ, Dept Architecture &amp; Built Environm, Environm Psychol, POB 118, S-22100 Lund, Sweden; [Persson, Roger] Lund Univ, Dept Psychol, POB 213, S-22100 Lund, Sweden; [Nordquist, Birgitta; Dahlblom, Mats] Lund Univ, Bldg Serv, POB 118, S-22100 Lund, Sweden; [Stalne, Kristian; Li, Yujing] Malmo Univ, Mat Sci &amp; Appl Math, SE-20506 Malmo, Sweden; [Harderup, Lars-Erik] Lund Univ, Bldg Phys, POB 118, S-22100 Lund, Sweden; [Caltenco, Hector] Lund Univ, Certec, POB 118, S-22100 Lund, Sweden; [Ness, Barry] Lund Univ, Ctr Sustainabil Studies LUCSUS, POB 170, S-22100 Lund, Sweden; [Stroh, Emilie] Lund Univ, Occupat &amp; Environm Med, Scheelevagen 2, S-22363 Lund, Sweden; [Wargocki, Pawel] Danish Univ Technol, Ctr Indoor Environm &amp; Energy CIEE, DK-2800 Lyngby, Denmark</t>
        </is>
      </c>
      <c r="Y44" t="inlineStr">
        <is>
          <t>Lund University; Lund University; Lund University; Lund University; Malmo University; Lund University; Lund University; Lund University; Lund University; Technical University of Denmark</t>
        </is>
      </c>
      <c r="Z44" t="inlineStr">
        <is>
          <t>Wierzbicka, A (corresponding author), Lund Univ, Ergon &amp; Aerosol Technol, POB 118, S-22100 Lund, Sweden.</t>
        </is>
      </c>
      <c r="AA44" t="inlineStr">
        <is>
          <t>aneta.wierzbicka@design.lth.se; eja.pedersen@arkitektur.lth.se; roger.persson@psy.lu.se; birgitta.nordquist@hvac.lth.se; kristian.stalne@mau.se; chuansi.gao@design.lth.se; lars-erik.harderup@byggtek.lth.se; jonas.borell@design.lth.se; hector.caltenco@certec.lth.se; barry.ness@lucsus.lu.se; emilie.stroh@med.lu.se; yujing.li@mau.se; mats.dahlblom@hvac.lth.se; karin.lundgren_kownacki@design.lth.se; christina.isaxon@design.lth.se; anders.gudmundsson@design.lth.se; paw@byg.dtu.dk</t>
        </is>
      </c>
      <c r="AB44" t="inlineStr">
        <is>
          <t>Caltenco, Hector/AAE-3763-2021; Wargocki, Pawel/AAZ-9496-2021; Persson, Roger/AAE-3195-2021; Wierzbicka, Aneta/AAD-1860-2019; Li, yujing/GQA-4109-2022; Gao, Chuansi/AAD-5270-2019; li, yu/HGL-9518-2022; Gao, Chuansi/C-6904-2011; Ness, Barry/AAF-6557-2020; Stalne, Kristian/D-4467-2017; Li, Yujing/D-4280-2017; Persson, Roger/P-5539-2014</t>
        </is>
      </c>
      <c r="AC44" t="inlineStr">
        <is>
          <t>Wargocki, Pawel/0000-0003-3865-3560; Wierzbicka, Aneta/0000-0002-0678-7161; Gao, Chuansi/0000-0001-7386-692X; Gao, Chuansi/0000-0001-7386-692X; Stalne, Kristian/0000-0002-6271-5947; Stroh, Emilie/0000-0001-8724-3897; Li, Yujing/0000-0002-0516-9070; Persson, Roger/0000-0002-7208-2944; Borell, Jonas/0000-0001-5399-3315</t>
        </is>
      </c>
      <c r="AD44" t="inlineStr">
        <is>
          <t>Pufendorf Institute for Advanced Studies at Lund University in Sweden; Faculty of Engineering at Lund University, Sweden</t>
        </is>
      </c>
      <c r="AE44" t="inlineStr">
        <is>
          <t>Pufendorf Institute for Advanced Studies at Lund University in Sweden; Faculty of Engineering at Lund University, Sweden</t>
        </is>
      </c>
      <c r="AF44" t="inlineStr">
        <is>
          <t>This research was funded by the Pufendorf Institute for Advanced Studies at Lund University in Sweden and the Faculty of Engineering at Lund University, Sweden.</t>
        </is>
      </c>
      <c r="AH44" t="n">
        <v>90</v>
      </c>
      <c r="AI44" t="n">
        <v>27</v>
      </c>
      <c r="AJ44" t="n">
        <v>29</v>
      </c>
      <c r="AK44" t="n">
        <v>8</v>
      </c>
      <c r="AL44" t="n">
        <v>42</v>
      </c>
      <c r="AM44" t="inlineStr">
        <is>
          <t>MDPI</t>
        </is>
      </c>
      <c r="AN44" t="inlineStr">
        <is>
          <t>BASEL</t>
        </is>
      </c>
      <c r="AO44" t="inlineStr">
        <is>
          <t>ST ALBAN-ANLAGE 66, CH-4052 BASEL, SWITZERLAND</t>
        </is>
      </c>
      <c r="AQ44" t="inlineStr">
        <is>
          <t>1660-4601</t>
        </is>
      </c>
      <c r="AS44" t="inlineStr">
        <is>
          <t>INT J ENV RES PUB HE</t>
        </is>
      </c>
      <c r="AT44" t="inlineStr">
        <is>
          <t>Int. J. Environ. Res. Public Health</t>
        </is>
      </c>
      <c r="AU44" t="inlineStr">
        <is>
          <t>SEP</t>
        </is>
      </c>
      <c r="AV44" t="n">
        <v>2018</v>
      </c>
      <c r="AW44" t="n">
        <v>15</v>
      </c>
      <c r="AX44" t="n">
        <v>9</v>
      </c>
      <c r="BE44" t="n">
        <v>1874</v>
      </c>
      <c r="BF44" t="inlineStr">
        <is>
          <t>10.3390/ijerph15091874</t>
        </is>
      </c>
      <c r="BG44">
        <f>HYPERLINK("http://dx.doi.org/10.3390/ijerph15091874","http://dx.doi.org/10.3390/ijerph15091874")</f>
        <v/>
      </c>
      <c r="BJ44" t="n">
        <v>13</v>
      </c>
      <c r="BK44" t="inlineStr">
        <is>
          <t>Environmental Sciences; Public, Environmental &amp; Occupational Health</t>
        </is>
      </c>
      <c r="BL44" t="inlineStr">
        <is>
          <t>Science Citation Index Expanded (SCI-EXPANDED); Social Science Citation Index (SSCI)</t>
        </is>
      </c>
      <c r="BM44" t="inlineStr">
        <is>
          <t>Environmental Sciences &amp; Ecology; Public, Environmental &amp; Occupational Health</t>
        </is>
      </c>
      <c r="BN44" t="inlineStr">
        <is>
          <t>GV0PX</t>
        </is>
      </c>
      <c r="BO44" t="n">
        <v>30200196</v>
      </c>
      <c r="BP44" t="inlineStr">
        <is>
          <t>gold, Green Published, Green Submitted</t>
        </is>
      </c>
      <c r="BS44" t="inlineStr">
        <is>
          <t>2023-10-26</t>
        </is>
      </c>
      <c r="BT44" t="inlineStr">
        <is>
          <t>WOS:000445765600083</t>
        </is>
      </c>
      <c r="BU44">
        <f>HYPERLINK("https%3A%2F%2Fwww.webofscience.com%2Fwos%2Fwoscc%2Ffull-record%2FWOS:000445765600083","View Full Record in Web of Science")</f>
        <v/>
      </c>
    </row>
    <row r="45">
      <c r="A45" t="inlineStr">
        <is>
          <t>J</t>
        </is>
      </c>
      <c r="B45" t="inlineStr">
        <is>
          <t>Zhang, F; Li, DZ</t>
        </is>
      </c>
      <c r="F45" t="inlineStr">
        <is>
          <t>Zhang, Fan; Li, Dezhi</t>
        </is>
      </c>
      <c r="J45" t="inlineStr">
        <is>
          <t>SUSTAINABILITY</t>
        </is>
      </c>
      <c r="M45" t="inlineStr">
        <is>
          <t>English</t>
        </is>
      </c>
      <c r="N45" t="inlineStr">
        <is>
          <t>Article</t>
        </is>
      </c>
      <c r="T45" t="inlineStr">
        <is>
          <t>How the Urban Neighborhood Environment Influences the Quality of Life of Chinese Community-Dwelling Older Adults: An Influence Model of NE-QoL</t>
        </is>
      </c>
      <c r="U45" t="inlineStr">
        <is>
          <t>Urban neighborhood environment; quality of life; community-dwelling older adults; mediation effects</t>
        </is>
      </c>
      <c r="V45" t="inlineStr">
        <is>
          <t>BUILT ENVIRONMENT; PHYSICAL-ACTIVITY; HEALTH; MANAGEMENT; FACILITIES; SERVICES; SENIORS</t>
        </is>
      </c>
      <c r="W45" t="inlineStr">
        <is>
          <t>Due to functional impairment and low mobility, the sphere of activities of older adults often shrinks and they rely on their living environment more. Especially for urban community-dwelling older adults who are aging in place, the urban neighborhood environment affects their quality of life (QoL) heavily. This study aims to explore how the urban neighborhood environment affects QoL of community-dwelling older adults and develop a mediation model called Neighborhood Environment-Quality of Life (NE-QoL) for community-dwelling older adults. The reliability test is applied to test and modify the questionnaire based on cross-sectional data collected from the survey, the multiple regression analysis is used to identify significant influence relations between variables of neighborhood environment and dimensions of the QoL, mediation effects are assumed and tested by the mediation analysis in SPSS, and then the NE-QoL is developed to reveal the detailed influence path between the urban neighborhood environment and QoL of community-dwelling older adults. The NE-QoL model reveals seven variables of the urban neighborhood environment, which influences the QoL of community-dwelling older adults significantly, and three mediation effects exist in the influence path, making clear the understanding about the relationship between neighborhood environment and the QoL of community-dwelling older adults. It provides valuable retrofit guidelines of the neighborhood environment for improving QoL of community-dwelling older adults.</t>
        </is>
      </c>
      <c r="X45" t="inlineStr">
        <is>
          <t>[Zhang, Fan; Li, Dezhi] Southeast Univ, Sch Civil Engn, Dept Construct &amp; Real Estate, Nanjing 211189, Jiangsu, Peoples R China; [Li, Dezhi] Southeast Univ, Engn Res Ctr Bldg Equipment Energy &amp; Environm, Nanjing 211189, Jiangsu, Peoples R China</t>
        </is>
      </c>
      <c r="Y45" t="inlineStr">
        <is>
          <t>Southeast University - China; Southeast University - China</t>
        </is>
      </c>
      <c r="Z45" t="inlineStr">
        <is>
          <t>Li, DZ (corresponding author), Southeast Univ, Sch Civil Engn, Dept Construct &amp; Real Estate, Nanjing 211189, Jiangsu, Peoples R China.;Li, DZ (corresponding author), Southeast Univ, Engn Res Ctr Bldg Equipment Energy &amp; Environm, Nanjing 211189, Jiangsu, Peoples R China.</t>
        </is>
      </c>
      <c r="AA45" t="inlineStr">
        <is>
          <t>230159075@seu.edu.cn; njldz@seu.edu.cn</t>
        </is>
      </c>
      <c r="AB45" t="inlineStr">
        <is>
          <t>Zhang, Fan/ITT-8451-2023</t>
        </is>
      </c>
      <c r="AC45" t="inlineStr">
        <is>
          <t>Zhang, Fan/0000-0003-4340-5967</t>
        </is>
      </c>
      <c r="AD45" t="inlineStr">
        <is>
          <t>National Key Research and Development Program [2018YFD1100202-05]; MOE (Ministry of Education in China) Project of Humanities and Social Sciences [17YJAZH038]; Fundamental Research Funds for the Central Universities [2242019K40063]; Social Science Project of Jiangsu Province [18GLB002]; Foundation of Outstanding Doctoral Dissertation and Innovative Talents from School of Civil Engineering, Southeast University [CE02-1/2-15]</t>
        </is>
      </c>
      <c r="AE45" t="inlineStr">
        <is>
          <t>National Key Research and Development Program; MOE (Ministry of Education in China) Project of Humanities and Social Sciences; Fundamental Research Funds for the Central Universities(Fundamental Research Funds for the Central Universities); Social Science Project of Jiangsu Province; Foundation of Outstanding Doctoral Dissertation and Innovative Talents from School of Civil Engineering, Southeast University</t>
        </is>
      </c>
      <c r="AF45" t="inlineStr">
        <is>
          <t>This research was funded by the National Key Research and Development Program, grant number 2018YFD1100202-05; the MOE (Ministry of Education in China) Project of Humanities and Social Sciences, grant number 17YJAZH038; the Fundamental Research Funds for the Central Universities, grant number 2242019K40063; the Social Science Project of Jiangsu Province, grant number 18GLB002 and Foundation of Outstanding Doctoral Dissertation and Innovative Talents from School of Civil Engineering, Southeast University, grant number CE02-1/2-15.</t>
        </is>
      </c>
      <c r="AH45" t="n">
        <v>49</v>
      </c>
      <c r="AI45" t="n">
        <v>9</v>
      </c>
      <c r="AJ45" t="n">
        <v>9</v>
      </c>
      <c r="AK45" t="n">
        <v>5</v>
      </c>
      <c r="AL45" t="n">
        <v>46</v>
      </c>
      <c r="AM45" t="inlineStr">
        <is>
          <t>MDPI</t>
        </is>
      </c>
      <c r="AN45" t="inlineStr">
        <is>
          <t>BASEL</t>
        </is>
      </c>
      <c r="AO45" t="inlineStr">
        <is>
          <t>ST ALBAN-ANLAGE 66, CH-4052 BASEL, SWITZERLAND</t>
        </is>
      </c>
      <c r="AQ45" t="inlineStr">
        <is>
          <t>2071-1050</t>
        </is>
      </c>
      <c r="AS45" t="inlineStr">
        <is>
          <t>SUSTAINABILITY-BASEL</t>
        </is>
      </c>
      <c r="AT45" t="inlineStr">
        <is>
          <t>Sustainability</t>
        </is>
      </c>
      <c r="AU45" t="inlineStr">
        <is>
          <t>OCT 2</t>
        </is>
      </c>
      <c r="AV45" t="n">
        <v>2019</v>
      </c>
      <c r="AW45" t="n">
        <v>11</v>
      </c>
      <c r="AX45" t="n">
        <v>20</v>
      </c>
      <c r="BE45" t="n">
        <v>5739</v>
      </c>
      <c r="BF45" t="inlineStr">
        <is>
          <t>10.3390/su11205739</t>
        </is>
      </c>
      <c r="BG45">
        <f>HYPERLINK("http://dx.doi.org/10.3390/su11205739","http://dx.doi.org/10.3390/su11205739")</f>
        <v/>
      </c>
      <c r="BJ45" t="n">
        <v>22</v>
      </c>
      <c r="BK45" t="inlineStr">
        <is>
          <t>Green &amp; Sustainable Science &amp; Technology; Environmental Sciences; Environmental Studies</t>
        </is>
      </c>
      <c r="BL45" t="inlineStr">
        <is>
          <t>Science Citation Index Expanded (SCI-EXPANDED); Social Science Citation Index (SSCI)</t>
        </is>
      </c>
      <c r="BM45" t="inlineStr">
        <is>
          <t>Science &amp; Technology - Other Topics; Environmental Sciences &amp; Ecology</t>
        </is>
      </c>
      <c r="BN45" t="inlineStr">
        <is>
          <t>JP6US</t>
        </is>
      </c>
      <c r="BP45" t="inlineStr">
        <is>
          <t>Green Published, gold</t>
        </is>
      </c>
      <c r="BS45" t="inlineStr">
        <is>
          <t>2023-10-26</t>
        </is>
      </c>
      <c r="BT45" t="inlineStr">
        <is>
          <t>WOS:000498398900196</t>
        </is>
      </c>
      <c r="BU45">
        <f>HYPERLINK("https%3A%2F%2Fwww.webofscience.com%2Fwos%2Fwoscc%2Ffull-record%2FWOS:000498398900196","View Full Record in Web of Science")</f>
        <v/>
      </c>
    </row>
    <row r="46">
      <c r="A46" t="inlineStr">
        <is>
          <t>J</t>
        </is>
      </c>
      <c r="B46" t="inlineStr">
        <is>
          <t>Sun, PJ; Lu, W; Song, Y; Gu, ZC</t>
        </is>
      </c>
      <c r="F46" t="inlineStr">
        <is>
          <t>Sun, Peijin; Lu, Wei; Song, Yan; Gu, Zongchao</t>
        </is>
      </c>
      <c r="J46" t="inlineStr">
        <is>
          <t>INTERNATIONAL JOURNAL OF ENVIRONMENTAL RESEARCH AND PUBLIC HEALTH</t>
        </is>
      </c>
      <c r="M46" t="inlineStr">
        <is>
          <t>English</t>
        </is>
      </c>
      <c r="N46" t="inlineStr">
        <is>
          <t>Article</t>
        </is>
      </c>
      <c r="T46" t="inlineStr">
        <is>
          <t>Influences of Built Environment with Hilly Terrain on Physical Activity in Dalian, China: An Analysis of Mediation by Perceptions and Moderation by Social Environment</t>
        </is>
      </c>
      <c r="U46" t="inlineStr">
        <is>
          <t>built environment; physical activity; perceived environment; social environment; sense of community; BMI; mediation effect; geographic information systems</t>
        </is>
      </c>
      <c r="V46" t="inlineStr">
        <is>
          <t>PERCEIVED NEIGHBORHOOD ENVIRONMENT; QUALITY-OF-LIFE; HEALTH; ASSOCIATIONS; ATTRIBUTES; WALKING; ADULTS; OBESITY; POPULATION; DESIGN</t>
        </is>
      </c>
      <c r="W46" t="inlineStr">
        <is>
          <t>Neighborhood built environment may influence residents' physical activity, but evidence of non-major Chinese cities is lacking. We investigated the impact of five socio-demographic characteristics, 10 objectively assessed environment characteristics, eight perceived neighborhood attributes, and social environment on physical activity and health outcomes (sense of community, body mass index, as well as self-reported health status). We also examined (1) five conceptually comparable perceived neighborhood attributes as mediators of the relationship between objective environment attributes and physical activity; (2) other perceived indicators and social environment as moderators of those relationships, using the mediation analysis in regression. Objectively assessed residential density, land use mix, street connectivity, and accessibility were curvilinearly and/or linearly related to physical activity. The slope of terrain was inversely associated with body mass index (BMI). None of the perceived attributes were found as mediators probably due to the weak associations between subjective and objective environments. High density facilitated physical activity but hindered the sense of community. Further, the perceived aesthetic and safety were associated with physical activity. Additionally, social environment moderated the positive associations of all perceived environments (except for slope) and sense of community. The present study demonstrated that both physical and social environment attributes significantly correlated with physical activity in Dalian.</t>
        </is>
      </c>
      <c r="X46" t="inlineStr">
        <is>
          <t>[Sun, Peijin; Lu, Wei; Gu, Zongchao] Dalian Univ Technol, Sch Architecture &amp; Fine Art, Res Sect Environm Design, Dalian 116023, Peoples R China; [Song, Yan] Univ N Carolina, Dept City &amp; Reg Planning, Chapel Hill, NC 27514 USA</t>
        </is>
      </c>
      <c r="Y46" t="inlineStr">
        <is>
          <t>Dalian University of Technology; University of North Carolina; University of North Carolina Chapel Hill</t>
        </is>
      </c>
      <c r="Z46" t="inlineStr">
        <is>
          <t>Lu, W (corresponding author), Dalian Univ Technol, Sch Architecture &amp; Fine Art, Res Sect Environm Design, Dalian 116023, Peoples R China.</t>
        </is>
      </c>
      <c r="AA46" t="inlineStr">
        <is>
          <t>peijinsun@mail.dlut.edu.cn; luweieds@dlut.edu.cn; ys@email.unc.edu; gzc1001@dlut.edu.cn</t>
        </is>
      </c>
      <c r="AD46" t="inlineStr">
        <is>
          <t>CHINA SCHOLARSHIP COUNCIL [201706060147]; National Natural Science Foundation of China [51728802, 51808094]</t>
        </is>
      </c>
      <c r="AE46" t="inlineStr">
        <is>
          <t>CHINA SCHOLARSHIP COUNCIL(China Scholarship Council); National Natural Science Foundation of China(National Natural Science Foundation of China (NSFC))</t>
        </is>
      </c>
      <c r="AF46" t="inlineStr">
        <is>
          <t>This research was funded by CHINA SCHOLARSHIP COUNCIL, grant number 201706060147, and National Natural Science Foundation of China, grant number 51728802 and 51808094.</t>
        </is>
      </c>
      <c r="AH46" t="n">
        <v>54</v>
      </c>
      <c r="AI46" t="n">
        <v>11</v>
      </c>
      <c r="AJ46" t="n">
        <v>12</v>
      </c>
      <c r="AK46" t="n">
        <v>11</v>
      </c>
      <c r="AL46" t="n">
        <v>51</v>
      </c>
      <c r="AM46" t="inlineStr">
        <is>
          <t>MDPI</t>
        </is>
      </c>
      <c r="AN46" t="inlineStr">
        <is>
          <t>BASEL</t>
        </is>
      </c>
      <c r="AO46" t="inlineStr">
        <is>
          <t>ST ALBAN-ANLAGE 66, CH-4052 BASEL, SWITZERLAND</t>
        </is>
      </c>
      <c r="AP46" t="inlineStr">
        <is>
          <t>1661-7827</t>
        </is>
      </c>
      <c r="AQ46" t="inlineStr">
        <is>
          <t>1660-4601</t>
        </is>
      </c>
      <c r="AS46" t="inlineStr">
        <is>
          <t>INT J ENV RES PUB HE</t>
        </is>
      </c>
      <c r="AT46" t="inlineStr">
        <is>
          <t>Int. J. Environ. Res. Public Health</t>
        </is>
      </c>
      <c r="AU46" t="inlineStr">
        <is>
          <t>DEC 2</t>
        </is>
      </c>
      <c r="AV46" t="n">
        <v>2019</v>
      </c>
      <c r="AW46" t="n">
        <v>16</v>
      </c>
      <c r="AX46" t="n">
        <v>24</v>
      </c>
      <c r="BE46" t="n">
        <v>4900</v>
      </c>
      <c r="BF46" t="inlineStr">
        <is>
          <t>10.3390/ijerph16244900</t>
        </is>
      </c>
      <c r="BG46">
        <f>HYPERLINK("http://dx.doi.org/10.3390/ijerph16244900","http://dx.doi.org/10.3390/ijerph16244900")</f>
        <v/>
      </c>
      <c r="BJ46" t="n">
        <v>17</v>
      </c>
      <c r="BK46" t="inlineStr">
        <is>
          <t>Environmental Sciences; Public, Environmental &amp; Occupational Health</t>
        </is>
      </c>
      <c r="BL46" t="inlineStr">
        <is>
          <t>Science Citation Index Expanded (SCI-EXPANDED); Social Science Citation Index (SSCI)</t>
        </is>
      </c>
      <c r="BM46" t="inlineStr">
        <is>
          <t>Environmental Sciences &amp; Ecology; Public, Environmental &amp; Occupational Health</t>
        </is>
      </c>
      <c r="BN46" t="inlineStr">
        <is>
          <t>KC6VK</t>
        </is>
      </c>
      <c r="BO46" t="n">
        <v>31817285</v>
      </c>
      <c r="BP46" t="inlineStr">
        <is>
          <t>Green Published, gold</t>
        </is>
      </c>
      <c r="BS46" t="inlineStr">
        <is>
          <t>2023-10-26</t>
        </is>
      </c>
      <c r="BT46" t="inlineStr">
        <is>
          <t>WOS:000507312700022</t>
        </is>
      </c>
      <c r="BU46">
        <f>HYPERLINK("https%3A%2F%2Fwww.webofscience.com%2Fwos%2Fwoscc%2Ffull-record%2FWOS:000507312700022","View Full Record in Web of Science")</f>
        <v/>
      </c>
    </row>
    <row r="47">
      <c r="A47" t="inlineStr">
        <is>
          <t>J</t>
        </is>
      </c>
      <c r="B47" t="inlineStr">
        <is>
          <t>Masoumi, HE</t>
        </is>
      </c>
      <c r="F47" t="inlineStr">
        <is>
          <t>Masoumi, Houshmand E.</t>
        </is>
      </c>
      <c r="J47" t="inlineStr">
        <is>
          <t>REVIEWS ON ENVIRONMENTAL HEALTH</t>
        </is>
      </c>
      <c r="M47" t="inlineStr">
        <is>
          <t>English</t>
        </is>
      </c>
      <c r="N47" t="inlineStr">
        <is>
          <t>Review</t>
        </is>
      </c>
      <c r="T47" t="inlineStr">
        <is>
          <t>Associations of built environment and children's physical activity: a narrative review</t>
        </is>
      </c>
      <c r="U47" t="inlineStr">
        <is>
          <t>active transport to school; built environment; child health; childhood obesity; physical activity</t>
        </is>
      </c>
      <c r="V47" t="inlineStr">
        <is>
          <t>PROMOTING SAFE WALKING; ELEMENTARY-SCHOOL; TRAVEL MODE; URBAN FORM; CARDIOVASCULAR FITNESS; CARDIOMETABOLIC RISK; INDEPENDENT MOBILITY; AUSTRALIAN CHILDREN; LOCAL NEIGHBORHOOD; PRESCHOOL-CHILDREN</t>
        </is>
      </c>
      <c r="W47" t="inlineStr">
        <is>
          <t>Problem: Childhood obesity has been an epidemic particularly in high-income countries. There is a considerable volume of data and studies depicting the rising number of obese children and adolescents in different countries. As suggested by the literature, physical inactivity is one the main drivers of childhood obesity. This paper addresses the associations of the built environment with physical activity of children in order to find to theoretically facilitate intervention and prevention measures. Literature: There is a large body of literature describing the overall determinants of children's physical activity. The built environment is one of the influential factors that have been partially examined. Among the physical environment indicators, distance to school has been repeatedly reported to be negatively associated with active travels to school; thus, it indirectly affects physical activity of children. Apart from distance to school, some other built environment indicators have also been less researched, such as population and construction densities, distance to the city center, land use mix, and type of urban fabric (urban, suburban, etc.). Objective: The purpose of this review was to shed light on some of the less-studied areas of the existing literature related to the relationship between the built environment and physical activity of children aged between 3 and 12 years. Method: The English-language publications, majority of which were peer-reviewed journal papers published in recent years, were collected and descriptively analyzed. Two large categories were the backbone of this narrative review: (1) non-school outdoor activities of children that take place in the residential neighborhood and (2) commuting to school and the related interventions such as safe routes to school. Results: Seven areas were synthesized by this review of the literature. Differences in associations of the built environment and physical activity in (1) different types of urban forms and land uses such as urban, suburban, high-density, etc.; (2) different city sizes such as small towns, mid-sized cities, large cities and megacities; (3) different cultures, subcultures and ethnicities in the same city of country, e.g. the Asian minority of London or the Turkish minority of Germany; (4) between perceptions of parents and children and associations with children's physical activity, e.g. how they perceive safety and security of the neighborhood; (5) associations of the built environment with children's physical activity in less-studied contexts, e.g. many developing and under-developed countries or eastern European countries; (6) differences in built environment -physical activity associations in different regions of the world, e.g. continents; and finally (7) associations between mobility patterns of parents and their children's physical activity, for instance, the frequencies of taking public transport or walk as a commute mode. Conclusion: Researchers are recommended to focus their less-researched subtopics mentioned under the Results section in accordance with local conditions observed in less-researched contexts so that measures and interventions are accordingly planned.</t>
        </is>
      </c>
      <c r="X47" t="inlineStr">
        <is>
          <t>[Masoumi, Houshmand E.] Tech Univ Berlin, Ctr Technol &amp; Soc, Hardenbergstr 16-18, D-10623 Berlin, Germany</t>
        </is>
      </c>
      <c r="Y47" t="inlineStr">
        <is>
          <t>Technical University of Berlin</t>
        </is>
      </c>
      <c r="Z47" t="inlineStr">
        <is>
          <t>Masoumi, HE (corresponding author), Tech Univ Berlin, Ctr Technol &amp; Soc, Hardenbergstr 16-18, D-10623 Berlin, Germany.</t>
        </is>
      </c>
      <c r="AA47" t="inlineStr">
        <is>
          <t>masoumi@ztg.tu-berlin.de</t>
        </is>
      </c>
      <c r="AC47" t="inlineStr">
        <is>
          <t>Masoumi, Houshmand/0000-0003-2843-4890</t>
        </is>
      </c>
      <c r="AD47" t="inlineStr">
        <is>
          <t>ERASMUS+ program of the European Commission [567236-EPP-1-2015-2-IT-SPO-SCP]</t>
        </is>
      </c>
      <c r="AE47" t="inlineStr">
        <is>
          <t>ERASMUS+ program of the European Commission</t>
        </is>
      </c>
      <c r="AF47" t="inlineStr">
        <is>
          <t>This study has been conducted as a part of the project Multisport Against Physical Sedentary-M.A.P.S. (project number 567236-EPP-1-2015-2-IT-SPO-SCP) funded by the ERASMUS+ program of the European Commission. The funders had no role in undertaking this review. The paper is a rearrangement of a part of a report submitted to the European Commission.</t>
        </is>
      </c>
      <c r="AH47" t="n">
        <v>116</v>
      </c>
      <c r="AI47" t="n">
        <v>36</v>
      </c>
      <c r="AJ47" t="n">
        <v>39</v>
      </c>
      <c r="AK47" t="n">
        <v>7</v>
      </c>
      <c r="AL47" t="n">
        <v>133</v>
      </c>
      <c r="AM47" t="inlineStr">
        <is>
          <t>WALTER DE GRUYTER GMBH</t>
        </is>
      </c>
      <c r="AN47" t="inlineStr">
        <is>
          <t>BERLIN</t>
        </is>
      </c>
      <c r="AO47" t="inlineStr">
        <is>
          <t>GENTHINER STRASSE 13, D-10785 BERLIN, GERMANY</t>
        </is>
      </c>
      <c r="AP47" t="inlineStr">
        <is>
          <t>0048-7554</t>
        </is>
      </c>
      <c r="AQ47" t="inlineStr">
        <is>
          <t>2191-0308</t>
        </is>
      </c>
      <c r="AS47" t="inlineStr">
        <is>
          <t>REV ENVIRON HEALTH</t>
        </is>
      </c>
      <c r="AT47" t="inlineStr">
        <is>
          <t>Rev. Environ. Health</t>
        </is>
      </c>
      <c r="AU47" t="inlineStr">
        <is>
          <t>DEC</t>
        </is>
      </c>
      <c r="AV47" t="n">
        <v>2017</v>
      </c>
      <c r="AW47" t="n">
        <v>32</v>
      </c>
      <c r="AX47" t="n">
        <v>4</v>
      </c>
      <c r="BC47" t="n">
        <v>315</v>
      </c>
      <c r="BD47" t="n">
        <v>331</v>
      </c>
      <c r="BF47" t="inlineStr">
        <is>
          <t>10.1515/reveh-2016-0046</t>
        </is>
      </c>
      <c r="BG47">
        <f>HYPERLINK("http://dx.doi.org/10.1515/reveh-2016-0046","http://dx.doi.org/10.1515/reveh-2016-0046")</f>
        <v/>
      </c>
      <c r="BJ47" t="n">
        <v>17</v>
      </c>
      <c r="BK47" t="inlineStr">
        <is>
          <t>Environmental Sciences; Public, Environmental &amp; Occupational Health</t>
        </is>
      </c>
      <c r="BL47" t="inlineStr">
        <is>
          <t>Science Citation Index Expanded (SCI-EXPANDED); Social Science Citation Index (SSCI)</t>
        </is>
      </c>
      <c r="BM47" t="inlineStr">
        <is>
          <t>Environmental Sciences &amp; Ecology; Public, Environmental &amp; Occupational Health</t>
        </is>
      </c>
      <c r="BN47" t="inlineStr">
        <is>
          <t>FO7JT</t>
        </is>
      </c>
      <c r="BO47" t="n">
        <v>28809754</v>
      </c>
      <c r="BS47" t="inlineStr">
        <is>
          <t>2023-10-26</t>
        </is>
      </c>
      <c r="BT47" t="inlineStr">
        <is>
          <t>WOS:000417050600003</t>
        </is>
      </c>
      <c r="BU47">
        <f>HYPERLINK("https%3A%2F%2Fwww.webofscience.com%2Fwos%2Fwoscc%2Ffull-record%2FWOS:000417050600003","View Full Record in Web of Science")</f>
        <v/>
      </c>
    </row>
    <row r="48">
      <c r="A48" t="inlineStr">
        <is>
          <t>J</t>
        </is>
      </c>
      <c r="B48" t="inlineStr">
        <is>
          <t>Zhang, RR; Liu, S; Li, M; He, X; Zhou, CS</t>
        </is>
      </c>
      <c r="F48" t="inlineStr">
        <is>
          <t>Zhang, Rongrong; Liu, Song; Li, Ming; He, Xiong; Zhou, Chunshan</t>
        </is>
      </c>
      <c r="J48" t="inlineStr">
        <is>
          <t>INTERNATIONAL JOURNAL OF ENVIRONMENTAL RESEARCH AND PUBLIC HEALTH</t>
        </is>
      </c>
      <c r="M48" t="inlineStr">
        <is>
          <t>English</t>
        </is>
      </c>
      <c r="N48" t="inlineStr">
        <is>
          <t>Article</t>
        </is>
      </c>
      <c r="T48" t="inlineStr">
        <is>
          <t>The Effect of High-Density Built Environments on Elderly Individuals' Physical Health: A Cross-Sectional Study in Guangzhou, China</t>
        </is>
      </c>
      <c r="U48" t="inlineStr">
        <is>
          <t>built environment; the elderly; physical health; physical activity; social interaction activity</t>
        </is>
      </c>
      <c r="V48" t="inlineStr">
        <is>
          <t>BODY-MASS INDEX; NEIGHBORHOOD ENVIRONMENT; OLDER-ADULTS; COMMUNITY DESIGN; CONCEPTUAL-FRAMEWORK; SOCIAL SUPPORT; MENTAL-HEALTH; URBAN SPRAWL; GREEN SPACES; OBESITY</t>
        </is>
      </c>
      <c r="W48" t="inlineStr">
        <is>
          <t>The built environment refers to the objective material environment built by humans in cities for living and production activities. Existing studies have proven that the built environment plays a significant role in human health, but little attention is paid to the elderly in this regard. At the same time, existing studies are mainly concentrated in Western developed countries, and there are few empirical studies in developing countries such as China. Based on POI (point of interest) data and 882 questionnaires collected from 20 neighborhoods in Guangzhou, we employ multilevel linear regression modeling, mediating effect modeling, to explore the path and mechanism of the impact of the built environment on elderly individuals' physical health, especially the mediating effects of physical and social interaction activity. The results show that the number of POIs, the distance to the nearest park and square, and the number of parks and squares are significantly positively correlated with the physical health of the elderly, while the number of bus and subway stations and the distance to the nearest station are significantly negatively correlated. Secondly, physical activity and social networks play a separate role in mediating the effect of the built environment on elderly individuals' physical health. The results enrich the research on the built environment and elderly individuals' health in the context of high-density cities in China and provide some reference basis for actively promoting spatial intervention and cultivating a healthy aging society.</t>
        </is>
      </c>
      <c r="X48" t="inlineStr">
        <is>
          <t>[Zhang, Rongrong; Liu, Song; Li, Ming; He, Xiong; Zhou, Chunshan] Sun Yat Sen Univ, Sch Geog &amp; Planning, Guangzhou 510275, Peoples R China</t>
        </is>
      </c>
      <c r="Y48" t="inlineStr">
        <is>
          <t>Sun Yat Sen University</t>
        </is>
      </c>
      <c r="Z48" t="inlineStr">
        <is>
          <t>Zhou, CS (corresponding author), Sun Yat Sen Univ, Sch Geog &amp; Planning, Guangzhou 510275, Peoples R China.</t>
        </is>
      </c>
      <c r="AA48" t="inlineStr">
        <is>
          <t>zhangrr5@mail2.sysu.edu.cn; liusong6@mail2.sysu.edu.cn; liming57@mail2.sysu.edu.cn; hexiong6@mail2.sysu.edu.cn; zhoucs@mail.sysu.edu.cn</t>
        </is>
      </c>
      <c r="AB48" t="inlineStr">
        <is>
          <t>Zhou, Chunshan/ABF-8461-2020</t>
        </is>
      </c>
      <c r="AC48" t="inlineStr">
        <is>
          <t>Zhou, Chunshan/0000-0002-0621-3563; Liu, Song/0000-0003-2827-6319; He, Xiong/0000-0002-6848-8327</t>
        </is>
      </c>
      <c r="AD48" t="inlineStr">
        <is>
          <t>National Social Science Foundation of China [17BRK010]</t>
        </is>
      </c>
      <c r="AE48" t="inlineStr">
        <is>
          <t>National Social Science Foundation of China(National Office of Philosophy and Social Sciences)</t>
        </is>
      </c>
      <c r="AF48" t="inlineStr">
        <is>
          <t>FundingThis research was funded by the National Social Science Foundation of China (17BRK010).</t>
        </is>
      </c>
      <c r="AH48" t="n">
        <v>114</v>
      </c>
      <c r="AI48" t="n">
        <v>9</v>
      </c>
      <c r="AJ48" t="n">
        <v>10</v>
      </c>
      <c r="AK48" t="n">
        <v>34</v>
      </c>
      <c r="AL48" t="n">
        <v>149</v>
      </c>
      <c r="AM48" t="inlineStr">
        <is>
          <t>MDPI</t>
        </is>
      </c>
      <c r="AN48" t="inlineStr">
        <is>
          <t>BASEL</t>
        </is>
      </c>
      <c r="AO48" t="inlineStr">
        <is>
          <t>ST ALBAN-ANLAGE 66, CH-4052 BASEL, SWITZERLAND</t>
        </is>
      </c>
      <c r="AQ48" t="inlineStr">
        <is>
          <t>1660-4601</t>
        </is>
      </c>
      <c r="AS48" t="inlineStr">
        <is>
          <t>INT J ENV RES PUB HE</t>
        </is>
      </c>
      <c r="AT48" t="inlineStr">
        <is>
          <t>Int. J. Environ. Res. Public Health</t>
        </is>
      </c>
      <c r="AU48" t="inlineStr">
        <is>
          <t>OCT</t>
        </is>
      </c>
      <c r="AV48" t="n">
        <v>2021</v>
      </c>
      <c r="AW48" t="n">
        <v>18</v>
      </c>
      <c r="AX48" t="n">
        <v>19</v>
      </c>
      <c r="BE48" t="n">
        <v>10250</v>
      </c>
      <c r="BF48" t="inlineStr">
        <is>
          <t>10.3390/ijerph181910250</t>
        </is>
      </c>
      <c r="BG48">
        <f>HYPERLINK("http://dx.doi.org/10.3390/ijerph181910250","http://dx.doi.org/10.3390/ijerph181910250")</f>
        <v/>
      </c>
      <c r="BJ48" t="n">
        <v>22</v>
      </c>
      <c r="BK48" t="inlineStr">
        <is>
          <t>Environmental Sciences; Public, Environmental &amp; Occupational Health</t>
        </is>
      </c>
      <c r="BL48" t="inlineStr">
        <is>
          <t>Science Citation Index Expanded (SCI-EXPANDED); Social Science Citation Index (SSCI)</t>
        </is>
      </c>
      <c r="BM48" t="inlineStr">
        <is>
          <t>Environmental Sciences &amp; Ecology; Public, Environmental &amp; Occupational Health</t>
        </is>
      </c>
      <c r="BN48" t="inlineStr">
        <is>
          <t>XI6XT</t>
        </is>
      </c>
      <c r="BO48" t="n">
        <v>34639550</v>
      </c>
      <c r="BP48" t="inlineStr">
        <is>
          <t>Green Published, gold</t>
        </is>
      </c>
      <c r="BS48" t="inlineStr">
        <is>
          <t>2023-10-26</t>
        </is>
      </c>
      <c r="BT48" t="inlineStr">
        <is>
          <t>WOS:000726252400001</t>
        </is>
      </c>
      <c r="BU48">
        <f>HYPERLINK("https%3A%2F%2Fwww.webofscience.com%2Fwos%2Fwoscc%2Ffull-record%2FWOS:000726252400001","View Full Record in Web of Science")</f>
        <v/>
      </c>
    </row>
    <row r="49">
      <c r="A49" t="inlineStr">
        <is>
          <t>J</t>
        </is>
      </c>
      <c r="B49" t="inlineStr">
        <is>
          <t>Lu, ZJ; Li, ZG; Mao, CG; Tan, YY; Zhang, XY; Zhang, L; Zhu, WF; Sun, YL</t>
        </is>
      </c>
      <c r="F49" t="inlineStr">
        <is>
          <t>Lu, Zijun; Li, Zhengao; Mao, Chuangui; Tan, Yuanyuan; Zhang, Xingyue; Zhang, Ling; Zhu, Wenfei; Sun, Yuliang</t>
        </is>
      </c>
      <c r="J49" t="inlineStr">
        <is>
          <t>INTERNATIONAL JOURNAL OF ENVIRONMENTAL RESEARCH AND PUBLIC HEALTH</t>
        </is>
      </c>
      <c r="M49" t="inlineStr">
        <is>
          <t>English</t>
        </is>
      </c>
      <c r="N49" t="inlineStr">
        <is>
          <t>Article</t>
        </is>
      </c>
      <c r="T49" t="inlineStr">
        <is>
          <t>Correlation between Campus-Built Environment and Physical Fitness in College Students in Xi'an-A GIS Approach</t>
        </is>
      </c>
      <c r="U49" t="inlineStr">
        <is>
          <t>built environment; physical fitness; GIS</t>
        </is>
      </c>
      <c r="V49" t="inlineStr">
        <is>
          <t>SELF-SELECTION; GRIP STRENGTH; GREEN SPACE; NEIGHBORHOOD; HEALTH; TRAVEL; BEHAVIOR; WALKING; EPIDEMIOLOGY; ASSOCIATIONS</t>
        </is>
      </c>
      <c r="W49" t="inlineStr">
        <is>
          <t>Background: This research aimed to investigate the correlation between students' physical fitness and campus-built environment, which could put forward some suggestions for the construction of a campus environment. Method: Four colleges in Xi'an were regarded as special semi-closed spaces. Combined with ArcGIS and SPSS, the correlation between the built environment of colleges and the students' physical fitness test results in 2019 was analyzed (n = 1498). Results: regarding the men questioned in this research, there was a significant correlation between street connectivity and vital capacity, grip strength, 50 m running, 1000 m running, a significant correlation between land use mix and vital capacity, sit-and-reach, pull-up, grip strength, a significant correlation between green space per capita and vital capacity, grip strength, 50 m running, and a significant correlation between walk score and vital capacity, pull-up, grip strength, and 50 m running. Regarding the women questioned in this research, there was a significant correlation between street connectivity and vital capacity, grip strength, 50 m running, 800 m running, curl-up, a significant correlation between land use mix and vital capacity, sit-and-reach, curl-up, grip strength, 800 m running, a significant correlation between green space per capita and vital capacity, grip strength, curl-up, sit-and-reach, and a significant correlation between walk score and vital capacity, curl-up, grip strength, and 800 m running. Conclusion: the built environment on campus can indirectly affect the physical fitness of college students. Increasing the number of intersections and short connections of campus streets, ensuring that the green space of the campus meets the standards, and reasonably arranging the site selection of buildings are conducive to improving the physical fitness of students.</t>
        </is>
      </c>
      <c r="X49" t="inlineStr">
        <is>
          <t>[Lu, Zijun; Li, Zhengao; Mao, Chuangui; Tan, Yuanyuan; Zhang, Xingyue; Zhang, Ling; Zhu, Wenfei; Sun, Yuliang] Shaanxi Normal Univ, Sch Phys Educ, Dept Exercise Sci, Xian 710119, Peoples R China</t>
        </is>
      </c>
      <c r="Y49" t="inlineStr">
        <is>
          <t>Shaanxi Normal University</t>
        </is>
      </c>
      <c r="Z49" t="inlineStr">
        <is>
          <t>Zhu, WF; Sun, YL (corresponding author), Shaanxi Normal Univ, Sch Phys Educ, Dept Exercise Sci, Xian 710119, Peoples R China.</t>
        </is>
      </c>
      <c r="AA49" t="inlineStr">
        <is>
          <t>luzijun@snnu.edu.cn; lizhengao@snnu.edu.cn; maocg117@snnu.edu.cn; tanyy98@yeah.net; zhangxingyue@snnu.edu.cn; zhanglingl@snnu.edu.cn; wzhu@snnu.edu.cn; ysun@snnu.edu.cn</t>
        </is>
      </c>
      <c r="AB49" t="inlineStr">
        <is>
          <t>Zhu, Wenfei/AAT-5342-2020</t>
        </is>
      </c>
      <c r="AD49" t="inlineStr">
        <is>
          <t>MOE (Ministry of Education in China) Project of Humanities and Social Sciences [16XJC890001]</t>
        </is>
      </c>
      <c r="AE49" t="inlineStr">
        <is>
          <t>MOE (Ministry of Education in China) Project of Humanities and Social Sciences</t>
        </is>
      </c>
      <c r="AF49" t="inlineStr">
        <is>
          <t>This research was funded by the MOE (Ministry of Education in China) Project of Humanities and Social Sciences (Project No. 16XJC890001).</t>
        </is>
      </c>
      <c r="AH49" t="n">
        <v>48</v>
      </c>
      <c r="AI49" t="n">
        <v>3</v>
      </c>
      <c r="AJ49" t="n">
        <v>3</v>
      </c>
      <c r="AK49" t="n">
        <v>8</v>
      </c>
      <c r="AL49" t="n">
        <v>37</v>
      </c>
      <c r="AM49" t="inlineStr">
        <is>
          <t>MDPI</t>
        </is>
      </c>
      <c r="AN49" t="inlineStr">
        <is>
          <t>BASEL</t>
        </is>
      </c>
      <c r="AO49" t="inlineStr">
        <is>
          <t>ST ALBAN-ANLAGE 66, CH-4052 BASEL, SWITZERLAND</t>
        </is>
      </c>
      <c r="AQ49" t="inlineStr">
        <is>
          <t>1660-4601</t>
        </is>
      </c>
      <c r="AS49" t="inlineStr">
        <is>
          <t>INT J ENV RES PUB HE</t>
        </is>
      </c>
      <c r="AT49" t="inlineStr">
        <is>
          <t>Int. J. Environ. Res. Public Health</t>
        </is>
      </c>
      <c r="AU49" t="inlineStr">
        <is>
          <t>JUL</t>
        </is>
      </c>
      <c r="AV49" t="n">
        <v>2022</v>
      </c>
      <c r="AW49" t="n">
        <v>19</v>
      </c>
      <c r="AX49" t="n">
        <v>13</v>
      </c>
      <c r="BE49" t="n">
        <v>7948</v>
      </c>
      <c r="BF49" t="inlineStr">
        <is>
          <t>10.3390/ijerph19137948</t>
        </is>
      </c>
      <c r="BG49">
        <f>HYPERLINK("http://dx.doi.org/10.3390/ijerph19137948","http://dx.doi.org/10.3390/ijerph19137948")</f>
        <v/>
      </c>
      <c r="BJ49" t="n">
        <v>14</v>
      </c>
      <c r="BK49" t="inlineStr">
        <is>
          <t>Environmental Sciences; Public, Environmental &amp; Occupational Health</t>
        </is>
      </c>
      <c r="BL49" t="inlineStr">
        <is>
          <t>Science Citation Index Expanded (SCI-EXPANDED); Social Science Citation Index (SSCI)</t>
        </is>
      </c>
      <c r="BM49" t="inlineStr">
        <is>
          <t>Environmental Sciences &amp; Ecology; Public, Environmental &amp; Occupational Health</t>
        </is>
      </c>
      <c r="BN49" t="inlineStr">
        <is>
          <t>2U9PY</t>
        </is>
      </c>
      <c r="BO49" t="n">
        <v>35805608</v>
      </c>
      <c r="BP49" t="inlineStr">
        <is>
          <t>Green Published, gold</t>
        </is>
      </c>
      <c r="BS49" t="inlineStr">
        <is>
          <t>2023-10-26</t>
        </is>
      </c>
      <c r="BT49" t="inlineStr">
        <is>
          <t>WOS:000823486900001</t>
        </is>
      </c>
      <c r="BU49">
        <f>HYPERLINK("https%3A%2F%2Fwww.webofscience.com%2Fwos%2Fwoscc%2Ffull-record%2FWOS:000823486900001","View Full Record in Web of Science")</f>
        <v/>
      </c>
    </row>
    <row r="50">
      <c r="A50" t="inlineStr">
        <is>
          <t>J</t>
        </is>
      </c>
      <c r="B50" t="inlineStr">
        <is>
          <t>McIntosh, J; Marques, B; Jenkin, G</t>
        </is>
      </c>
      <c r="F50" t="inlineStr">
        <is>
          <t>McIntosh, Jacqueline; Marques, Bruno; Jenkin, Gabrielle</t>
        </is>
      </c>
      <c r="J50" t="inlineStr">
        <is>
          <t>INTERNATIONAL JOURNAL OF ENVIRONMENTAL RESEARCH AND PUBLIC HEALTH</t>
        </is>
      </c>
      <c r="M50" t="inlineStr">
        <is>
          <t>English</t>
        </is>
      </c>
      <c r="N50" t="inlineStr">
        <is>
          <t>Article</t>
        </is>
      </c>
      <c r="T50" t="inlineStr">
        <is>
          <t>The Role of Courtyards within Acute Mental Health Wards: Designing with Recovery in Mind</t>
        </is>
      </c>
      <c r="U50" t="inlineStr">
        <is>
          <t>courtyard design; acute mental health; therapeutic environments; confinement; incarceration; mental health and wellbeing</t>
        </is>
      </c>
      <c r="V50" t="inlineStr">
        <is>
          <t>GREEN SPACE; OUTDOOR ENVIRONMENTS; PHYSICAL-ENVIRONMENT; MEANINGFUL ACTIVITY; CONNECTEDNESS; EXPOSURE; LIFE; CARE; ASSOCIATIONS; NEIGHBORHOOD</t>
        </is>
      </c>
      <c r="W50" t="inlineStr">
        <is>
          <t>The role of courtyards and other outdoor spaces in the recovery of acute mental healthcare users has been gaining international appreciation and recognition. However, the physical properties and conditions necessary for therapeutic and rehabilitative engagement remain to be clearly established. This paper contributes to that knowledge by triangulating evidence from the literature, exemplar case studies of good practice and first-hand accounts of the experiences of staff and service users from four acute mental health facilities. The findings are then aligned with a well-established recovery framework (CHIMES) in light of existing landscape architecture knowledge. Within the complexity of varied mental health environments, this work establishes landscape architectural design requirements and qualities essential for recovery. Rather than adopting a prescriptive quantitative approach setting out areas, numbers of elements, etc., the proposed framework recommends a performance-based model and the creation of a cohesive network of microspaces that mesh into a design of outdoor areas. In this way, design details, materials, vegetation and the variety of spaces can be modified to suit service user population demographics and site-specific needs.</t>
        </is>
      </c>
      <c r="X50" t="inlineStr">
        <is>
          <t>[McIntosh, Jacqueline; Marques, Bruno] Victoria Univ Wellington, Wellington Sch Architecture, POB 600, Wellington 6140, New Zealand; [Jenkin, Gabrielle] Univ Otago, Dept Psychol Med, Wellington 23a Mein St, Wellington 6021, New Zealand</t>
        </is>
      </c>
      <c r="Y50" t="inlineStr">
        <is>
          <t>Victoria University Wellington; University of Otago</t>
        </is>
      </c>
      <c r="Z50" t="inlineStr">
        <is>
          <t>McIntosh, J (corresponding author), Victoria Univ Wellington, Wellington Sch Architecture, POB 600, Wellington 6140, New Zealand.</t>
        </is>
      </c>
      <c r="AA50" t="inlineStr">
        <is>
          <t>jacqueline.mcintosh@vuw.ac.nz</t>
        </is>
      </c>
      <c r="AC50" t="inlineStr">
        <is>
          <t>jenkin, gabrielle/0000-0001-7901-8876; McIntosh, Jacqueline/0000-0001-7896-5089</t>
        </is>
      </c>
      <c r="AD50" t="inlineStr">
        <is>
          <t>Royal Society of New Zealand [UOO1623]</t>
        </is>
      </c>
      <c r="AE50" t="inlineStr">
        <is>
          <t>Royal Society of New Zealand(Royal Society of New Zealand)</t>
        </is>
      </c>
      <c r="AF50" t="inlineStr">
        <is>
          <t>This research was funded by a Marsden Fast Start grant from the Royal Society of New Zealand (contract UOO1623).</t>
        </is>
      </c>
      <c r="AH50" t="n">
        <v>76</v>
      </c>
      <c r="AI50" t="n">
        <v>1</v>
      </c>
      <c r="AJ50" t="n">
        <v>1</v>
      </c>
      <c r="AK50" t="n">
        <v>4</v>
      </c>
      <c r="AL50" t="n">
        <v>5</v>
      </c>
      <c r="AM50" t="inlineStr">
        <is>
          <t>MDPI</t>
        </is>
      </c>
      <c r="AN50" t="inlineStr">
        <is>
          <t>BASEL</t>
        </is>
      </c>
      <c r="AO50" t="inlineStr">
        <is>
          <t>ST ALBAN-ANLAGE 66, CH-4052 BASEL, SWITZERLAND</t>
        </is>
      </c>
      <c r="AQ50" t="inlineStr">
        <is>
          <t>1660-4601</t>
        </is>
      </c>
      <c r="AS50" t="inlineStr">
        <is>
          <t>INT J ENV RES PUB HE</t>
        </is>
      </c>
      <c r="AT50" t="inlineStr">
        <is>
          <t>Int. J. Environ. Res. Public Health</t>
        </is>
      </c>
      <c r="AU50" t="inlineStr">
        <is>
          <t>SEP</t>
        </is>
      </c>
      <c r="AV50" t="n">
        <v>2022</v>
      </c>
      <c r="AW50" t="n">
        <v>19</v>
      </c>
      <c r="AX50" t="n">
        <v>18</v>
      </c>
      <c r="BE50" t="n">
        <v>11414</v>
      </c>
      <c r="BF50" t="inlineStr">
        <is>
          <t>10.3390/ijerph191811414</t>
        </is>
      </c>
      <c r="BG50">
        <f>HYPERLINK("http://dx.doi.org/10.3390/ijerph191811414","http://dx.doi.org/10.3390/ijerph191811414")</f>
        <v/>
      </c>
      <c r="BJ50" t="n">
        <v>21</v>
      </c>
      <c r="BK50" t="inlineStr">
        <is>
          <t>Environmental Sciences; Public, Environmental &amp; Occupational Health</t>
        </is>
      </c>
      <c r="BL50" t="inlineStr">
        <is>
          <t>Science Citation Index Expanded (SCI-EXPANDED); Social Science Citation Index (SSCI)</t>
        </is>
      </c>
      <c r="BM50" t="inlineStr">
        <is>
          <t>Environmental Sciences &amp; Ecology; Public, Environmental &amp; Occupational Health</t>
        </is>
      </c>
      <c r="BN50" t="inlineStr">
        <is>
          <t>4W0QX</t>
        </is>
      </c>
      <c r="BO50" t="n">
        <v>36141687</v>
      </c>
      <c r="BP50" t="inlineStr">
        <is>
          <t>Green Published, gold</t>
        </is>
      </c>
      <c r="BS50" t="inlineStr">
        <is>
          <t>2023-10-26</t>
        </is>
      </c>
      <c r="BT50" t="inlineStr">
        <is>
          <t>WOS:000859873400001</t>
        </is>
      </c>
      <c r="BU50">
        <f>HYPERLINK("https%3A%2F%2Fwww.webofscience.com%2Fwos%2Fwoscc%2Ffull-record%2FWOS:000859873400001","View Full Record in Web of Science")</f>
        <v/>
      </c>
    </row>
    <row r="51">
      <c r="A51" t="inlineStr">
        <is>
          <t>J</t>
        </is>
      </c>
      <c r="B51" t="inlineStr">
        <is>
          <t>Zheng, ZH; Yang, L</t>
        </is>
      </c>
      <c r="F51" t="inlineStr">
        <is>
          <t>Zheng, Zhenhua; Yang, Liu (Lydia)</t>
        </is>
      </c>
      <c r="J51" t="inlineStr">
        <is>
          <t>SUSTAINABILITY</t>
        </is>
      </c>
      <c r="M51" t="inlineStr">
        <is>
          <t>English</t>
        </is>
      </c>
      <c r="N51" t="inlineStr">
        <is>
          <t>Article</t>
        </is>
      </c>
      <c r="T51" t="inlineStr">
        <is>
          <t>Neighborhood Environment, Lifestyle, and Health of Older Adults: Comparison of Age Groups Based on Ecological Model of Aging</t>
        </is>
      </c>
      <c r="U51" t="inlineStr">
        <is>
          <t>health of older adults; neighborhood environment; age group; social participation; outdoors activity; mediating role</t>
        </is>
      </c>
      <c r="V51" t="inlineStr">
        <is>
          <t>SELF-RATED HEALTH; QUALITY-OF-LIFE; PHYSICAL-ACTIVITY; SOCIAL-PARTICIPATION; FRIENDLY COMMUNITIES; BUILT ENVIRONMENT; WALKABILITY; WALKING; URBAN; OBESITY</t>
        </is>
      </c>
      <c r="W51" t="inlineStr">
        <is>
          <t>Worldwide population aging is currently in acceleration, which is especially true for China. Echoing the advocacy of active aging and age-friendly communities, governments and researchers across the world are paying more attention to the impact of neighborhoods on the health of older adults. Using the Ecological Model of Aging, this study aimed to discuss the relationships between neighborhood environment, lifestyle, and health of older adults, and to compare the differences among older adults of different age groups. The results showed that landscape environment has a direct effect on the health of older adults, while leisure environment has an indirect effect through lifestyle. Both leisure environment and landscape environment directly encourage older adults to take part in outdoor activity, in which the former mainly promotes the social participation of the high-aged (aged 80+) group, while the latter merely promotes that of the middle-aged (aged 70-79) group. The positive effect of social participation on health is gradually strengthened with the increase of age. Meanwhile, outdoor activity has its greatest effect on the middle-aged (aged 70-79) group, but not the low-aged (aged 60-69) group. To effectively boost the health of older adults and promote active aging, adequate considerations should also be given to the differentiated demands of older adults of different age groups, optimization of neighborhood environment, as well as cultivation of an amicable atmosphere.</t>
        </is>
      </c>
      <c r="X51" t="inlineStr">
        <is>
          <t>[Zheng, Zhenhua; Yang, Liu (Lydia)] Fudan Univ, Ctr Populat &amp; Dev Policy Studies, 220 Handan Rd, Shanghai 200433, Peoples R China</t>
        </is>
      </c>
      <c r="Y51" t="inlineStr">
        <is>
          <t>Fudan University</t>
        </is>
      </c>
      <c r="Z51" t="inlineStr">
        <is>
          <t>Yang, L (corresponding author), Fudan Univ, Ctr Populat &amp; Dev Policy Studies, 220 Handan Rd, Shanghai 200433, Peoples R China.</t>
        </is>
      </c>
      <c r="AA51" t="inlineStr">
        <is>
          <t>zhengzhenhua@fudan.edu.cn; liu.yang@fudan.edu.cn</t>
        </is>
      </c>
      <c r="AB51" t="inlineStr">
        <is>
          <t>ZHENG, Zhenhua/Z-4747-2019; YANG, Liu/ABC-5923-2021</t>
        </is>
      </c>
      <c r="AC51" t="inlineStr">
        <is>
          <t>ZHENG, Zhenhua/0000-0002-5587-5387; YANG, Liu/0000-0001-9296-5296</t>
        </is>
      </c>
      <c r="AD51" t="inlineStr">
        <is>
          <t>Major Project of the National Natural Science Foundation of China [71490735]; Youth Project of Humanities and Social Sciences Foundation of Ministry of Education of China [14YJCZH179]</t>
        </is>
      </c>
      <c r="AE51" t="inlineStr">
        <is>
          <t>Major Project of the National Natural Science Foundation of China(National Natural Science Foundation of China (NSFC)); Youth Project of Humanities and Social Sciences Foundation of Ministry of Education of China</t>
        </is>
      </c>
      <c r="AF51" t="inlineStr">
        <is>
          <t>This research was funded by the Major Project of the National Natural Science Foundation of China (Grant No. 71490735), and the Youth Project of Humanities and Social Sciences Foundation of Ministry of Education of China (Grant No. 14YJCZH179).</t>
        </is>
      </c>
      <c r="AH51" t="n">
        <v>60</v>
      </c>
      <c r="AI51" t="n">
        <v>19</v>
      </c>
      <c r="AJ51" t="n">
        <v>19</v>
      </c>
      <c r="AK51" t="n">
        <v>9</v>
      </c>
      <c r="AL51" t="n">
        <v>55</v>
      </c>
      <c r="AM51" t="inlineStr">
        <is>
          <t>MDPI</t>
        </is>
      </c>
      <c r="AN51" t="inlineStr">
        <is>
          <t>BASEL</t>
        </is>
      </c>
      <c r="AO51" t="inlineStr">
        <is>
          <t>ST ALBAN-ANLAGE 66, CH-4052 BASEL, SWITZERLAND</t>
        </is>
      </c>
      <c r="AQ51" t="inlineStr">
        <is>
          <t>2071-1050</t>
        </is>
      </c>
      <c r="AS51" t="inlineStr">
        <is>
          <t>SUSTAINABILITY-BASEL</t>
        </is>
      </c>
      <c r="AT51" t="inlineStr">
        <is>
          <t>Sustainability</t>
        </is>
      </c>
      <c r="AU51" t="inlineStr">
        <is>
          <t>APR 1</t>
        </is>
      </c>
      <c r="AV51" t="n">
        <v>2019</v>
      </c>
      <c r="AW51" t="n">
        <v>11</v>
      </c>
      <c r="AX51" t="n">
        <v>7</v>
      </c>
      <c r="BE51" t="n">
        <v>2077</v>
      </c>
      <c r="BF51" t="inlineStr">
        <is>
          <t>10.3390/su11072077</t>
        </is>
      </c>
      <c r="BG51">
        <f>HYPERLINK("http://dx.doi.org/10.3390/su11072077","http://dx.doi.org/10.3390/su11072077")</f>
        <v/>
      </c>
      <c r="BJ51" t="n">
        <v>16</v>
      </c>
      <c r="BK51" t="inlineStr">
        <is>
          <t>Green &amp; Sustainable Science &amp; Technology; Environmental Sciences; Environmental Studies</t>
        </is>
      </c>
      <c r="BL51" t="inlineStr">
        <is>
          <t>Science Citation Index Expanded (SCI-EXPANDED); Social Science Citation Index (SSCI)</t>
        </is>
      </c>
      <c r="BM51" t="inlineStr">
        <is>
          <t>Science &amp; Technology - Other Topics; Environmental Sciences &amp; Ecology</t>
        </is>
      </c>
      <c r="BN51" t="inlineStr">
        <is>
          <t>HW2WV</t>
        </is>
      </c>
      <c r="BP51" t="inlineStr">
        <is>
          <t>gold, Green Published, Green Submitted</t>
        </is>
      </c>
      <c r="BS51" t="inlineStr">
        <is>
          <t>2023-10-26</t>
        </is>
      </c>
      <c r="BT51" t="inlineStr">
        <is>
          <t>WOS:000466551600254</t>
        </is>
      </c>
      <c r="BU51">
        <f>HYPERLINK("https%3A%2F%2Fwww.webofscience.com%2Fwos%2Fwoscc%2Ffull-record%2FWOS:000466551600254","View Full Record in Web of Science")</f>
        <v/>
      </c>
    </row>
    <row r="52">
      <c r="A52" t="inlineStr">
        <is>
          <t>J</t>
        </is>
      </c>
      <c r="B52" t="inlineStr">
        <is>
          <t>Tilley, S; Neale, C; Patuano, A; Cinderby, S</t>
        </is>
      </c>
      <c r="F52" t="inlineStr">
        <is>
          <t>Tilley, Sara; Neale, Chris; Patuano, Agnes; Cinderby, Steve</t>
        </is>
      </c>
      <c r="J52" t="inlineStr">
        <is>
          <t>INTERNATIONAL JOURNAL OF ENVIRONMENTAL RESEARCH AND PUBLIC HEALTH</t>
        </is>
      </c>
      <c r="M52" t="inlineStr">
        <is>
          <t>English</t>
        </is>
      </c>
      <c r="N52" t="inlineStr">
        <is>
          <t>Article</t>
        </is>
      </c>
      <c r="T52" t="inlineStr">
        <is>
          <t>Older People's Experiences of Mobility and Mood in an Urban Environment: A Mixed Methods Approach Using Electroencephalography (EEG) and Interviews</t>
        </is>
      </c>
      <c r="U52" t="inlineStr">
        <is>
          <t>older adults; mobility; mood; built environment; mixed methods; qualitative; electroencephalography (EEG)</t>
        </is>
      </c>
      <c r="V52" t="inlineStr">
        <is>
          <t>PSYCHOPHYSIOLOGICAL RESPONSES; WALKING; BENEFITS; FAMILIARITY; PICTURES; ADULTS</t>
        </is>
      </c>
      <c r="W52" t="inlineStr">
        <is>
          <t>There are concerns about mental wellbeing in later life in older people as the global population becomes older and more urbanised. Mobility in the built environment has a role to play in improving quality of life and wellbeing, as it facilitates independence and social interaction. Recent studies using neuroimaging methods in environmental psychology research have shown that different types of urban environments may be associated with distinctive patterns of brain activity, suggesting that we interact differently with varying environments. This paper reports on research that explores older people's responses to urban places and their mobility in and around the built environment. The project aim was to understand how older people experience different urban environments using a mixed methods approach including electroencephalography (EEG), self-reported measures, and interview results. We found that older participants experience changing levels of excitement, engagement and frustration (as interpreted by proprietary EEG software) whilst walking between a busy built urban environment and an urban green space environment. These changes were further reflected in the qualitative themes that emerged from transcribed interviews undertaken one week post-walk. There has been no research to date that has directly assessed neural responses to an urban environment combined with qualitative interview analysis. A synergy of methods offers a deeper understanding of the changing moods of older people across time whilst walking in city settings.</t>
        </is>
      </c>
      <c r="X52" t="inlineStr">
        <is>
          <t>[Tilley, Sara; Patuano, Agnes] Univ Edinburgh, OPENspace, Edinburgh Coll Art, Edinburgh EH3 9DF, Midlothian, Scotland; [Neale, Chris; Cinderby, Steve] Univ York, Stockholm Environm Inst, Dept Environm, York YO10 5DD, N Yorkshire, England</t>
        </is>
      </c>
      <c r="Y52" t="inlineStr">
        <is>
          <t>Edinburgh College of Art; University of Edinburgh; University of York - UK</t>
        </is>
      </c>
      <c r="Z52" t="inlineStr">
        <is>
          <t>Tilley, S (corresponding author), Univ Edinburgh, OPENspace, Edinburgh Coll Art, Edinburgh EH3 9DF, Midlothian, Scotland.</t>
        </is>
      </c>
      <c r="AA52" t="inlineStr">
        <is>
          <t>sara.tilley@ed.ac.uk; chris.neale@york.ac.uk; A.Patuano@ed.ac.uk; steve.cinderby@york.ac.uk</t>
        </is>
      </c>
      <c r="AB52" t="inlineStr">
        <is>
          <t>Patuano, Agnès/AAX-7270-2020; Neale, Christopher/O-3525-2018</t>
        </is>
      </c>
      <c r="AC52" t="inlineStr">
        <is>
          <t>Patuano, Agnès/0000-0002-1888-855X; Neale, Christopher/0000-0003-0478-3500</t>
        </is>
      </c>
      <c r="AD52" t="inlineStr">
        <is>
          <t>Research Councils UK under the Lifelong Health and Wellbeing Cross-Council Programme [EP/K037404/1]; EPSRC [EP/K037404/1] Funding Source: UKRI; Engineering and Physical Sciences Research Council [EP/K037404/1] Funding Source: researchfish</t>
        </is>
      </c>
      <c r="AE52" t="inlineStr">
        <is>
          <t>Research Councils UK under the Lifelong Health and Wellbeing Cross-Council Programme; EPSRC(UK Research &amp; Innovation (UKRI)Engineering &amp; Physical Sciences Research Council (EPSRC)); Engineering and Physical Sciences Research Council(UK Research &amp; Innovation (UKRI)Engineering &amp; Physical Sciences Research Council (EPSRC))</t>
        </is>
      </c>
      <c r="AF52" t="inlineStr">
        <is>
          <t>This work is part of the Mobility, Mood, and Place (MMP) three-year research project (2013-2016), which was supported by Research Councils UK under the Lifelong Health and Wellbeing Cross-Council Programme (grant reference number EP/K037404/1). The authors would like to thank the wider Mobility, Mood, and Place research team based at the University of Edinburgh, Heriot Watt University, University of York, the University of Virginia, and Singapore-ETH (Swiss Federal Institute of Technology) Centre, particularly Jenny Roe, Peter Aspinall, Richard Coyne, Neil Thin, Panos Mavros, and Catharine Ward Thompson. The authors would also like thank all the older participants who took part in the project.</t>
        </is>
      </c>
      <c r="AH52" t="n">
        <v>45</v>
      </c>
      <c r="AI52" t="n">
        <v>86</v>
      </c>
      <c r="AJ52" t="n">
        <v>90</v>
      </c>
      <c r="AK52" t="n">
        <v>12</v>
      </c>
      <c r="AL52" t="n">
        <v>96</v>
      </c>
      <c r="AM52" t="inlineStr">
        <is>
          <t>MDPI</t>
        </is>
      </c>
      <c r="AN52" t="inlineStr">
        <is>
          <t>BASEL</t>
        </is>
      </c>
      <c r="AO52" t="inlineStr">
        <is>
          <t>ST ALBAN-ANLAGE 66, CH-4052 BASEL, SWITZERLAND</t>
        </is>
      </c>
      <c r="AP52" t="inlineStr">
        <is>
          <t>1661-7827</t>
        </is>
      </c>
      <c r="AQ52" t="inlineStr">
        <is>
          <t>1660-4601</t>
        </is>
      </c>
      <c r="AS52" t="inlineStr">
        <is>
          <t>INT J ENV RES PUB HE</t>
        </is>
      </c>
      <c r="AT52" t="inlineStr">
        <is>
          <t>Int. J. Environ. Res. Public Health</t>
        </is>
      </c>
      <c r="AU52" t="inlineStr">
        <is>
          <t>FEB</t>
        </is>
      </c>
      <c r="AV52" t="n">
        <v>2017</v>
      </c>
      <c r="AW52" t="n">
        <v>14</v>
      </c>
      <c r="AX52" t="n">
        <v>2</v>
      </c>
      <c r="BE52" t="n">
        <v>151</v>
      </c>
      <c r="BF52" t="inlineStr">
        <is>
          <t>10.3390/ijerph14020151</t>
        </is>
      </c>
      <c r="BG52">
        <f>HYPERLINK("http://dx.doi.org/10.3390/ijerph14020151","http://dx.doi.org/10.3390/ijerph14020151")</f>
        <v/>
      </c>
      <c r="BJ52" t="n">
        <v>20</v>
      </c>
      <c r="BK52" t="inlineStr">
        <is>
          <t>Environmental Sciences; Public, Environmental &amp; Occupational Health</t>
        </is>
      </c>
      <c r="BL52" t="inlineStr">
        <is>
          <t>Science Citation Index Expanded (SCI-EXPANDED); Social Science Citation Index (SSCI)</t>
        </is>
      </c>
      <c r="BM52" t="inlineStr">
        <is>
          <t>Environmental Sciences &amp; Ecology; Public, Environmental &amp; Occupational Health</t>
        </is>
      </c>
      <c r="BN52" t="inlineStr">
        <is>
          <t>EM7CA</t>
        </is>
      </c>
      <c r="BO52" t="n">
        <v>28165409</v>
      </c>
      <c r="BP52" t="inlineStr">
        <is>
          <t>Green Published, gold, Green Accepted, Green Submitted</t>
        </is>
      </c>
      <c r="BS52" t="inlineStr">
        <is>
          <t>2023-10-26</t>
        </is>
      </c>
      <c r="BT52" t="inlineStr">
        <is>
          <t>WOS:000395467900043</t>
        </is>
      </c>
      <c r="BU52">
        <f>HYPERLINK("https%3A%2F%2Fwww.webofscience.com%2Fwos%2Fwoscc%2Ffull-record%2FWOS:000395467900043","View Full Record in Web of Science")</f>
        <v/>
      </c>
    </row>
    <row r="53">
      <c r="A53" t="inlineStr">
        <is>
          <t>J</t>
        </is>
      </c>
      <c r="B53" t="inlineStr">
        <is>
          <t>Guo, ZM; Xu, YT; Li, SM; Qi, CZ</t>
        </is>
      </c>
      <c r="F53" t="inlineStr">
        <is>
          <t>Guo, Zhengmao; Xu, Yatao; Li, Shouming; Qi, Changzhu</t>
        </is>
      </c>
      <c r="J53" t="inlineStr">
        <is>
          <t>INTERNATIONAL JOURNAL OF ENVIRONMENTAL RESEARCH AND PUBLIC HEALTH</t>
        </is>
      </c>
      <c r="M53" t="inlineStr">
        <is>
          <t>English</t>
        </is>
      </c>
      <c r="N53" t="inlineStr">
        <is>
          <t>Article</t>
        </is>
      </c>
      <c r="T53" t="inlineStr">
        <is>
          <t>Association between Urban Built Environments and Moderate-to-Vigorous Physical Activity of Adolescents: A Cross-Lagged Study in Shanghai, China</t>
        </is>
      </c>
      <c r="U53" t="inlineStr">
        <is>
          <t>built environment; moderate-to-vigorous physical activity; cross-lagged; adolescents</t>
        </is>
      </c>
      <c r="V53" t="inlineStr">
        <is>
          <t>NEIGHBORHOOD ENVIRONMENTS; OBESITY</t>
        </is>
      </c>
      <c r="W53" t="inlineStr">
        <is>
          <t>The aim of this study was to determine the relationship between the built environment and moderate-to-vigorous physical activity (MVPA) among adolescents aged 14-16 years. This study used a cross-lagged panel analysis to investigate the relationship between the urban built environment and adolescents' MVPA in Shanghai, China. A total of 517 adolescents (275 boys and 242 girls) aged 14-17 years were recruited in Shanghai, China. Geographic information system technology was used to collect data on the built environment variables of the residential areas assessed. ActiGraphGT3X+ was used to monitor the physical activity of the adolescents at two time points (T1 and T2) spanning 2 years. The correlations between the T1 and T2 built environment variables were significant (r = 0.54-0.65, p &lt; 0.05), and the T2 built environment was significantly better than the T1 built environment. The correlation between the T1 and T2 MVPA was significant (r = 0.28-0.56, p &lt; 0.05), and the T2 weekend MVPA was higher than the T1 weekend MVPA. The T1 built environment could not predict the T2 weekday MVPA (beta = 0.17, p &gt; 0.05), but it positively predicted the T2 weekend MVPA (beta = 0.24, p &lt; 0.05). In conclusion, the urban built environment significantly affected weekend MVPA among adolescents.</t>
        </is>
      </c>
      <c r="X53" t="inlineStr">
        <is>
          <t>[Guo, Zhengmao; Qi, Changzhu] Wuhan Sports Univ, Postdoctoral Mobile Stn Phys Educ, Wuhan 430079, Peoples R China; [Guo, Zhengmao; Li, Shouming] Shanghai Normal Univ, Sch Phys Educ, Shanghai 200234, Peoples R China; [Guo, Zhengmao] East China Normal Univ, Coll Phys Educ &amp; Hlth, Shanghai 200241, Peoples R China; [Xu, Yatao] Nanjing Univ Finance &amp; Econ, Dept Phys Educ &amp; Hlth, Nanjing 210046, Peoples R China</t>
        </is>
      </c>
      <c r="Y53" t="inlineStr">
        <is>
          <t>Wuhan Sports University; Shanghai Normal University; East China Normal University; Nanjing University of Finance &amp; Economics</t>
        </is>
      </c>
      <c r="Z53" t="inlineStr">
        <is>
          <t>Guo, ZM (corresponding author), Wuhan Sports Univ, Postdoctoral Mobile Stn Phys Educ, Wuhan 430079, Peoples R China.;Guo, ZM (corresponding author), Shanghai Normal Univ, Sch Phys Educ, Shanghai 200234, Peoples R China.;Guo, ZM (corresponding author), East China Normal Univ, Coll Phys Educ &amp; Hlth, Shanghai 200241, Peoples R China.</t>
        </is>
      </c>
      <c r="AA53" t="inlineStr">
        <is>
          <t>zmguo@shnu.edu.cm; xytao921@163.com; 1000513268@smail.shnu.edu.cn; qichangzhu@whsu.edu.cn</t>
        </is>
      </c>
      <c r="AD53" t="inlineStr">
        <is>
          <t>Fellowship of China Postdoctoral Science Foundation [2021M702543]; Planning Project of Shanghai Philosophy and Social Science [2020ETY001]; Research Project of Shanghai Education Sciences [C2021024]; Scientific Research Foundation of Young Teachers in Wuhan Sports University [L2021666]</t>
        </is>
      </c>
      <c r="AE53" t="inlineStr">
        <is>
          <t>Fellowship of China Postdoctoral Science Foundation(China Postdoctoral Science Foundation); Planning Project of Shanghai Philosophy and Social Science; Research Project of Shanghai Education Sciences; Scientific Research Foundation of Young Teachers in Wuhan Sports University</t>
        </is>
      </c>
      <c r="AF53" t="inlineStr">
        <is>
          <t>This research was funded by the Fellowship of China Postdoctoral Science Foundation (Grant No. 2021M702543), the Planning Project of Shanghai Philosophy and Social Science (Grant No. 2020ETY001), the Research Project of Shanghai Education Sciences (Grant No. C2021024), and the Scientific Research Foundation of Young Teachers in Wuhan Sports University (Grant No. L2021666).</t>
        </is>
      </c>
      <c r="AH53" t="n">
        <v>36</v>
      </c>
      <c r="AI53" t="n">
        <v>2</v>
      </c>
      <c r="AJ53" t="n">
        <v>2</v>
      </c>
      <c r="AK53" t="n">
        <v>18</v>
      </c>
      <c r="AL53" t="n">
        <v>39</v>
      </c>
      <c r="AM53" t="inlineStr">
        <is>
          <t>MDPI</t>
        </is>
      </c>
      <c r="AN53" t="inlineStr">
        <is>
          <t>BASEL</t>
        </is>
      </c>
      <c r="AO53" t="inlineStr">
        <is>
          <t>ST ALBAN-ANLAGE 66, CH-4052 BASEL, SWITZERLAND</t>
        </is>
      </c>
      <c r="AQ53" t="inlineStr">
        <is>
          <t>1660-4601</t>
        </is>
      </c>
      <c r="AS53" t="inlineStr">
        <is>
          <t>INT J ENV RES PUB HE</t>
        </is>
      </c>
      <c r="AT53" t="inlineStr">
        <is>
          <t>Int. J. Environ. Res. Public Health</t>
        </is>
      </c>
      <c r="AU53" t="inlineStr">
        <is>
          <t>AUG</t>
        </is>
      </c>
      <c r="AV53" t="n">
        <v>2022</v>
      </c>
      <c r="AW53" t="n">
        <v>19</v>
      </c>
      <c r="AX53" t="n">
        <v>15</v>
      </c>
      <c r="BE53" t="n">
        <v>8938</v>
      </c>
      <c r="BF53" t="inlineStr">
        <is>
          <t>10.3390/ijerph19158938</t>
        </is>
      </c>
      <c r="BG53">
        <f>HYPERLINK("http://dx.doi.org/10.3390/ijerph19158938","http://dx.doi.org/10.3390/ijerph19158938")</f>
        <v/>
      </c>
      <c r="BJ53" t="n">
        <v>10</v>
      </c>
      <c r="BK53" t="inlineStr">
        <is>
          <t>Environmental Sciences; Public, Environmental &amp; Occupational Health</t>
        </is>
      </c>
      <c r="BL53" t="inlineStr">
        <is>
          <t>Science Citation Index Expanded (SCI-EXPANDED); Social Science Citation Index (SSCI)</t>
        </is>
      </c>
      <c r="BM53" t="inlineStr">
        <is>
          <t>Environmental Sciences &amp; Ecology; Public, Environmental &amp; Occupational Health</t>
        </is>
      </c>
      <c r="BN53" t="inlineStr">
        <is>
          <t>3R9TO</t>
        </is>
      </c>
      <c r="BO53" t="n">
        <v>35897313</v>
      </c>
      <c r="BP53" t="inlineStr">
        <is>
          <t>gold, Green Published</t>
        </is>
      </c>
      <c r="BS53" t="inlineStr">
        <is>
          <t>2023-10-26</t>
        </is>
      </c>
      <c r="BT53" t="inlineStr">
        <is>
          <t>WOS:000839247400001</t>
        </is>
      </c>
      <c r="BU53">
        <f>HYPERLINK("https%3A%2F%2Fwww.webofscience.com%2Fwos%2Fwoscc%2Ffull-record%2FWOS:000839247400001","View Full Record in Web of Science")</f>
        <v/>
      </c>
    </row>
    <row r="54">
      <c r="A54" t="inlineStr">
        <is>
          <t>J</t>
        </is>
      </c>
      <c r="B54" t="inlineStr">
        <is>
          <t>Okuyama, K; Abe, T; Li, XJ; Toyama, Y; Sundquist, K; Nabika, T</t>
        </is>
      </c>
      <c r="F54" t="inlineStr">
        <is>
          <t>Okuyama, Kenta; Abe, Takafumi; Li, Xinjun; Toyama, Yuta; Sundquist, Kristina; Nabika, Toru</t>
        </is>
      </c>
      <c r="J54" t="inlineStr">
        <is>
          <t>INTERNATIONAL JOURNAL OF ENVIRONMENTAL RESEARCH AND PUBLIC HEALTH</t>
        </is>
      </c>
      <c r="M54" t="inlineStr">
        <is>
          <t>English</t>
        </is>
      </c>
      <c r="N54" t="inlineStr">
        <is>
          <t>Article</t>
        </is>
      </c>
      <c r="T54" t="inlineStr">
        <is>
          <t>Neighborhood Environmental Factors and Physical Activity Status among Rural Older Adults in Japan</t>
        </is>
      </c>
      <c r="U54" t="inlineStr">
        <is>
          <t>community center; hilliness; neighborhood environment; older adults; physical activity</t>
        </is>
      </c>
      <c r="V54" t="inlineStr">
        <is>
          <t>BUILT ENVIRONMENT; WALKING; HEALTH; ASSOCIATIONS; ATTRIBUTES; URBAN</t>
        </is>
      </c>
      <c r="W54" t="inlineStr">
        <is>
          <t>(1) Background: Although several neighborhood environmental factors have been identified to be associated with older adults' physical activity, little research has been done in rural areas where the population is aging. This study aimed to investigate neighborhood environmental factors and the longitudinal change of physical activity status among rural older adults in Japan. (2) Methods: The study included 2211 older adults, aged over 60 years, residing in three municipalities in Shimane prefecture and participating at least twice in annual health checkups between 2010 and 2019. Physical activity was identified based on self-report. Hilliness, bus stop density, intersection density, residential density, and distance to a community center were calculated for each subject. Hazard ratios for the incidence of physical inactivity were estimated using Cox proportional hazards models. (3) Results: We found that 994 (45%) of the study subjects became physically inactive during the follow-up. Those living far from a community center had a lower risk of becoming physically inactive compared to those living close to a community center. When the analysis was stratified by residential municipality, this association remained in Ohnan town. Those living in hilly areas had a higher risk of becoming physically inactive in Okinoshima town. (4) Conclusions: The impact of neighborhood environmental factors on older adults' physical activity status might differ by region possibly due to different terrain and local lifestyles.</t>
        </is>
      </c>
      <c r="X54" t="inlineStr">
        <is>
          <t>[Okuyama, Kenta; Li, Xinjun; Sundquist, Kristina] Lund Univ, Dept Clin Sci Malmo, Ctr Primary Hlth Care Res, Jan Waldenstroms Gata 35, S-20502 Malmo, Sweden; [Okuyama, Kenta; Abe, Takafumi; Toyama, Yuta; Sundquist, Kristina; Nabika, Toru] Shimane Univ, Org Res &amp; Acad Informat, Ctr Community Based Hlthcare Res &amp; Educ CoHRE, 223-8 Enya Cho, Izumo, Shimane 6938501, Japan; [Sundquist, Kristina] Icahn Sch Med Mt Sinai, Dept Populat Hlth Sci &amp; Policy, Dept Family Med &amp; Community Hlth, 1 Gustave L Levy Pl, New York, NY 10029 USA; [Nabika, Toru] Shimane Univ, Fac Med, Dept Funct Pathol, 89-1 Enya Cho, Izumo, Shimane 6938501, Japan</t>
        </is>
      </c>
      <c r="Y54" t="inlineStr">
        <is>
          <t>Lund University; Shimane University; Icahn School of Medicine at Mount Sinai; Shimane University</t>
        </is>
      </c>
      <c r="Z54" t="inlineStr">
        <is>
          <t>Okuyama, K (corresponding author), Lund Univ, Dept Clin Sci Malmo, Ctr Primary Hlth Care Res, Jan Waldenstroms Gata 35, S-20502 Malmo, Sweden.;Okuyama, K (corresponding author), Shimane Univ, Org Res &amp; Acad Informat, Ctr Community Based Hlthcare Res &amp; Educ CoHRE, 223-8 Enya Cho, Izumo, Shimane 6938501, Japan.</t>
        </is>
      </c>
      <c r="AA54" t="inlineStr">
        <is>
          <t>kenta.okuyama@med.lu.se; t-abe@med.shimane-u.ac.jp; xinjun.li@med.lu.se; yt-ars@med.shimane-u.ac.jp; kristina.sundquist@med.lu.se; nabika@med.shimane-u.ac.jp</t>
        </is>
      </c>
      <c r="AC54" t="inlineStr">
        <is>
          <t>Toyama, Yuta/0000-0003-3214-9646</t>
        </is>
      </c>
      <c r="AD54" t="inlineStr">
        <is>
          <t>Sasakawa Sports Foundation [190B3-009]; Japan Society for the Promotion of Science KAKENHI [19H03996]; Lund University; Grants-in-Aid for Scientific Research [19H03996] Funding Source: KAKEN</t>
        </is>
      </c>
      <c r="AE54" t="inlineStr">
        <is>
          <t>Sasakawa Sports Foundation; Japan Society for the Promotion of Science KAKENHI(Ministry of Education, Culture, Sports, Science and Technology, Japan (MEXT)Japan Society for the Promotion of ScienceGrants-in-Aid for Scientific Research (KAKENHI)); Lund University; Grants-in-Aid for Scientific Research(Ministry of Education, Culture, Sports, Science and Technology, Japan (MEXT)Japan Society for the Promotion of ScienceGrants-in-Aid for Scientific Research (KAKENHI))</t>
        </is>
      </c>
      <c r="AF54" t="inlineStr">
        <is>
          <t>This research was funded by Sasakawa Sports Foundation, grant number 190B3-009, the Japan Society for the Promotion of Science KAKENHI grant numbers 19H03996, and The APC was funded by Lund University.</t>
        </is>
      </c>
      <c r="AH54" t="n">
        <v>60</v>
      </c>
      <c r="AI54" t="n">
        <v>1</v>
      </c>
      <c r="AJ54" t="n">
        <v>1</v>
      </c>
      <c r="AK54" t="n">
        <v>3</v>
      </c>
      <c r="AL54" t="n">
        <v>9</v>
      </c>
      <c r="AM54" t="inlineStr">
        <is>
          <t>MDPI</t>
        </is>
      </c>
      <c r="AN54" t="inlineStr">
        <is>
          <t>BASEL</t>
        </is>
      </c>
      <c r="AO54" t="inlineStr">
        <is>
          <t>ST ALBAN-ANLAGE 66, CH-4052 BASEL, SWITZERLAND</t>
        </is>
      </c>
      <c r="AQ54" t="inlineStr">
        <is>
          <t>1660-4601</t>
        </is>
      </c>
      <c r="AS54" t="inlineStr">
        <is>
          <t>INT J ENV RES PUB HE</t>
        </is>
      </c>
      <c r="AT54" t="inlineStr">
        <is>
          <t>Int. J. Environ. Res. Public Health</t>
        </is>
      </c>
      <c r="AU54" t="inlineStr">
        <is>
          <t>FEB</t>
        </is>
      </c>
      <c r="AV54" t="n">
        <v>2021</v>
      </c>
      <c r="AW54" t="n">
        <v>18</v>
      </c>
      <c r="AX54" t="n">
        <v>4</v>
      </c>
      <c r="BE54" t="n">
        <v>1450</v>
      </c>
      <c r="BF54" t="inlineStr">
        <is>
          <t>10.3390/ijerph18041450</t>
        </is>
      </c>
      <c r="BG54">
        <f>HYPERLINK("http://dx.doi.org/10.3390/ijerph18041450","http://dx.doi.org/10.3390/ijerph18041450")</f>
        <v/>
      </c>
      <c r="BJ54" t="n">
        <v>13</v>
      </c>
      <c r="BK54" t="inlineStr">
        <is>
          <t>Environmental Sciences; Public, Environmental &amp; Occupational Health</t>
        </is>
      </c>
      <c r="BL54" t="inlineStr">
        <is>
          <t>Science Citation Index Expanded (SCI-EXPANDED); Social Science Citation Index (SSCI)</t>
        </is>
      </c>
      <c r="BM54" t="inlineStr">
        <is>
          <t>Environmental Sciences &amp; Ecology; Public, Environmental &amp; Occupational Health</t>
        </is>
      </c>
      <c r="BN54" t="inlineStr">
        <is>
          <t>QP0MO</t>
        </is>
      </c>
      <c r="BO54" t="n">
        <v>33557194</v>
      </c>
      <c r="BP54" t="inlineStr">
        <is>
          <t>Green Published, gold</t>
        </is>
      </c>
      <c r="BS54" t="inlineStr">
        <is>
          <t>2023-10-26</t>
        </is>
      </c>
      <c r="BT54" t="inlineStr">
        <is>
          <t>WOS:000623531900001</t>
        </is>
      </c>
      <c r="BU54">
        <f>HYPERLINK("https%3A%2F%2Fwww.webofscience.com%2Fwos%2Fwoscc%2Ffull-record%2FWOS:000623531900001","View Full Record in Web of Science")</f>
        <v/>
      </c>
    </row>
    <row r="55">
      <c r="A55" t="inlineStr">
        <is>
          <t>J</t>
        </is>
      </c>
      <c r="B55" t="inlineStr">
        <is>
          <t>Xiao, ZG; Yang, HR</t>
        </is>
      </c>
      <c r="F55" t="inlineStr">
        <is>
          <t>Xiao, Zhigao; Yang, Haoran</t>
        </is>
      </c>
      <c r="J55" t="inlineStr">
        <is>
          <t>JOURNAL OF ENVIRONMENTAL PROTECTION AND ECOLOGY</t>
        </is>
      </c>
      <c r="M55" t="inlineStr">
        <is>
          <t>English</t>
        </is>
      </c>
      <c r="N55" t="inlineStr">
        <is>
          <t>Article</t>
        </is>
      </c>
      <c r="T55" t="inlineStr">
        <is>
          <t>EVALUATION OF GREEN BUILDING INDEXES AND INVESTIGATION OF IMPACTS OF INTERIOR ENVIRONMENT OVER PHYSICAL AND MENTAL HEALTH</t>
        </is>
      </c>
      <c r="U55" t="inlineStr">
        <is>
          <t>green building; assessment index; indoor environment; physical and mental health</t>
        </is>
      </c>
      <c r="V55" t="inlineStr">
        <is>
          <t>TECHNOLOGIES ADOPTION; BARRIERS; SYSTEM</t>
        </is>
      </c>
      <c r="W55" t="inlineStr">
        <is>
          <t>Green building policy is now widely taken across the world as an effective measure for energy-saving and carbon-emission reduction. Besides the green materials initiative, some countries have built up several display projects fit for residence or business purposes, gaining favourable economic returns-making the most of used materials, using as much as possible the products made from recyclable materials. By using products made from recyclable materials, it will reduce the production of solid wastes and save energy consumption and natural resources in the production process which is also a very environmental-friendly practice, and is getting more and more popular in the world. The samples in this research were taken among residents of green buildings in Changsha city, China. The distribution and collection of questionnaires were via e-mails. Amid it, 416 effective questionnaires were collected, accounting for 69% of the total. The result shows that: (1) Sound environment is closely correlated to physical and mental health; (2) Lights environment is closely correlated to physical and mental health; (3) Ventilation condition is closely correlated to physical and mental health, and (4) Building materials and decoration are closely correlated to physical and mental health. Accordingly, from this research, concrete suggestions are made towards the aim of making more attractive buildings, and by means of sustainable environmental strategy, green technologies, and ecological engineering methods, making natural and organic and modern residential units.</t>
        </is>
      </c>
      <c r="X55" t="inlineStr">
        <is>
          <t>[Xiao, Zhigao; Yang, Haoran] Changsha Univ Sci &amp; Technol, Changsha, Peoples R China</t>
        </is>
      </c>
      <c r="Y55" t="inlineStr">
        <is>
          <t>Changsha University of Science &amp; Technology</t>
        </is>
      </c>
      <c r="Z55" t="inlineStr">
        <is>
          <t>Xiao, ZG (corresponding author), Changsha Univ Sci &amp; Technol, Changsha, Peoples R China.</t>
        </is>
      </c>
      <c r="AA55" t="inlineStr">
        <is>
          <t>21974242@qq.com</t>
        </is>
      </c>
      <c r="AH55" t="n">
        <v>17</v>
      </c>
      <c r="AI55" t="n">
        <v>1</v>
      </c>
      <c r="AJ55" t="n">
        <v>1</v>
      </c>
      <c r="AK55" t="n">
        <v>1</v>
      </c>
      <c r="AL55" t="n">
        <v>17</v>
      </c>
      <c r="AM55" t="inlineStr">
        <is>
          <t>SCIBULCOM LTD</t>
        </is>
      </c>
      <c r="AN55" t="inlineStr">
        <is>
          <t>SOFIA</t>
        </is>
      </c>
      <c r="AO55" t="inlineStr">
        <is>
          <t>PO BOX 249, 1113 SOFIA, BULGARIA</t>
        </is>
      </c>
      <c r="AP55" t="inlineStr">
        <is>
          <t>1311-5065</t>
        </is>
      </c>
      <c r="AS55" t="inlineStr">
        <is>
          <t>J ENVIRON PROT ECOL</t>
        </is>
      </c>
      <c r="AT55" t="inlineStr">
        <is>
          <t>J. Environ. Prot. Ecol.</t>
        </is>
      </c>
      <c r="AV55" t="n">
        <v>2020</v>
      </c>
      <c r="AW55" t="n">
        <v>21</v>
      </c>
      <c r="AX55" t="n">
        <v>4</v>
      </c>
      <c r="BC55" t="n">
        <v>1510</v>
      </c>
      <c r="BD55" t="n">
        <v>1516</v>
      </c>
      <c r="BJ55" t="n">
        <v>7</v>
      </c>
      <c r="BK55" t="inlineStr">
        <is>
          <t>Environmental Sciences</t>
        </is>
      </c>
      <c r="BL55" t="inlineStr">
        <is>
          <t>Science Citation Index Expanded (SCI-EXPANDED)</t>
        </is>
      </c>
      <c r="BM55" t="inlineStr">
        <is>
          <t>Environmental Sciences &amp; Ecology</t>
        </is>
      </c>
      <c r="BN55" t="inlineStr">
        <is>
          <t>OQ4NX</t>
        </is>
      </c>
      <c r="BS55" t="inlineStr">
        <is>
          <t>2023-10-26</t>
        </is>
      </c>
      <c r="BT55" t="inlineStr">
        <is>
          <t>WOS:000588763300037</t>
        </is>
      </c>
      <c r="BU55">
        <f>HYPERLINK("https%3A%2F%2Fwww.webofscience.com%2Fwos%2Fwoscc%2Ffull-record%2FWOS:000588763300037","View Full Record in Web of Science")</f>
        <v/>
      </c>
    </row>
    <row r="56">
      <c r="A56" t="inlineStr">
        <is>
          <t>J</t>
        </is>
      </c>
      <c r="B56" t="inlineStr">
        <is>
          <t>Loh, VHY; Veitch, J; Salmon, J; Cerin, E; Mavoa, S; Villanueva, K; Timperio, A</t>
        </is>
      </c>
      <c r="F56" t="inlineStr">
        <is>
          <t>Loh, Venurs H. Y.; Veitch, Jenny; Salmon, Jo; Cerin, Ester; Mavoa, Suzanne; Villanueva, Karen; Timperio, Anna</t>
        </is>
      </c>
      <c r="J56" t="inlineStr">
        <is>
          <t>INTERNATIONAL JOURNAL OF ENVIRONMENTAL RESEARCH AND PUBLIC HEALTH</t>
        </is>
      </c>
      <c r="M56" t="inlineStr">
        <is>
          <t>English</t>
        </is>
      </c>
      <c r="N56" t="inlineStr">
        <is>
          <t>Article</t>
        </is>
      </c>
      <c r="T56" t="inlineStr">
        <is>
          <t>Environmental Mismatch: Do Associations between the Built Environment and Physical Activity among Youth Depend on Concordance with Perceptions?</t>
        </is>
      </c>
      <c r="U56" t="inlineStr">
        <is>
          <t>built environment; MVPA; perception; neighborhood; adolescent</t>
        </is>
      </c>
      <c r="V56" t="inlineStr">
        <is>
          <t>NEIGHBORHOOD ENVIRONMENT</t>
        </is>
      </c>
      <c r="W56" t="inlineStr">
        <is>
          <t>Without accurate awareness of features within the built environment, the availability of a supportive built environment alone may not be sufficient to influence physical activity levels. We examined the moderating effects of concordance/discordance between selected objective and perceived built environment features in the relationship between objective built environment features and physical activity. Cross-sectional data from 465 youth aged 12-20 years from 18 schools in Melbourne, Australia were used. The relationship between trails and physical activity differed by concordance/discordance. There were positive relationships among those with concordant perceptions, but no significant differences for those with discordant perceptions. At least for trails, environmental interventions designed to enhance physical activity may be less effective if efforts are not made to enhance individuals' awareness of their environment.</t>
        </is>
      </c>
      <c r="X56" t="inlineStr">
        <is>
          <t>[Loh, Venurs H. Y.; Veitch, Jenny; Salmon, Jo; Timperio, Anna] Deakin Univ, IPAN, Sch Exercise &amp; Nutr Sci, Geelong, Vic 3220, Australia; [Cerin, Ester] Australian Catholic Univ, Mary MacKillop Inst Hlth Res, Melbourne, Vic 3000, Australia; [Mavoa, Suzanne] Univ Melbourne, Melbourne Sch Populat &amp; Global Hlth, Carlton, Vic 3010, Australia; [Villanueva, Karen] RMIT Univ, Ctr Urban Res, Melbourne, Vic 3000, Australia</t>
        </is>
      </c>
      <c r="Y56" t="inlineStr">
        <is>
          <t>Deakin University; Australian Catholic University; University of Melbourne; Royal Melbourne Institute of Technology (RMIT)</t>
        </is>
      </c>
      <c r="Z56" t="inlineStr">
        <is>
          <t>Loh, VHY (corresponding author), Deakin Univ, IPAN, Sch Exercise &amp; Nutr Sci, Geelong, Vic 3220, Australia.</t>
        </is>
      </c>
      <c r="AA56" t="inlineStr">
        <is>
          <t>venurs.loh@deakin.edu.au; jenny.veitch@deakin.edu.au; jo.salmon@deakin.edu.au; ester.cerin@acu.edu.au; suzanne.mavoa@unimelb.edu.au; karen.villanueva@rmit.edu.au; anna.timperio@deakin.edu.au</t>
        </is>
      </c>
      <c r="AB56" t="inlineStr">
        <is>
          <t>Cerin, Ester/L-1271-2015; Salmon, Jo/C-1226-2009; Loh, Venurs/AAS-9017-2020; Timperio, Anna F/A-3086-2013; Veitch, Jenny/I-5934-2014</t>
        </is>
      </c>
      <c r="AC56" t="inlineStr">
        <is>
          <t>Cerin, Ester/0000-0002-7599-165X; Salmon, Jo/0000-0002-4734-6354; Loh, Venurs/0000-0003-1821-1087; Timperio, Anna F/0000-0002-8773-5012; Veitch, Jenny/0000-0001-8962-0887; Mavoa, Suzanne/0000-0002-6071-2988</t>
        </is>
      </c>
      <c r="AD56" t="inlineStr">
        <is>
          <t>National Institutes of Health (NIH) [R01 HL111378]; Australian National Heart Foundation Future Leader Fellowship [101928]; National Health and Medical Research Council (NHMRC) Principal Research Fellowship [APP1026216]; Australian Research Council Future Fellowship [FT14010085]; Australian NHMRC Early Career Fellowship [1121035]; National Heart Foundation Future Leader Fellowship [100046]; National Health and Medical Research Council of Australia [1121035] Funding Source: NHMRC</t>
        </is>
      </c>
      <c r="AE56" t="inlineStr">
        <is>
          <t>National Institutes of Health (NIH)(United States Department of Health &amp; Human ServicesNational Institutes of Health (NIH) - USA); Australian National Heart Foundation Future Leader Fellowship; National Health and Medical Research Council (NHMRC) Principal Research Fellowship(National Health and Medical Research Council (NHMRC) of Australia); Australian Research Council Future Fellowship(Australian Research Council); Australian NHMRC Early Career Fellowship(National Health and Medical Research Council (NHMRC) of Australia); National Heart Foundation Future Leader Fellowship(National Heart Foundation of Australia); National Health and Medical Research Council of Australia(National Health and Medical Research Council (NHMRC) of Australia)</t>
        </is>
      </c>
      <c r="AF56" t="inlineStr">
        <is>
          <t>This study received funding from the National Institutes of Health (NIH) R01 HL111378. JV is supported by an Australian National Heart Foundation Future Leader Fellowship (ID 101928). JS was supported by a National Health and Medical Research Council (NHMRC) Principal Research Fellowship (APP1026216) during this study. EC is supported by an Australian Research Council Future Fellowship (FT14010085). SM is supported by an Australian NHMRC Early Career Fellowship (#1121035). AT was supported by a National Heart Foundation Future Leader Fellowship (Award 100046) during the study.</t>
        </is>
      </c>
      <c r="AH56" t="n">
        <v>32</v>
      </c>
      <c r="AI56" t="n">
        <v>8</v>
      </c>
      <c r="AJ56" t="n">
        <v>8</v>
      </c>
      <c r="AK56" t="n">
        <v>2</v>
      </c>
      <c r="AL56" t="n">
        <v>18</v>
      </c>
      <c r="AM56" t="inlineStr">
        <is>
          <t>MDPI</t>
        </is>
      </c>
      <c r="AN56" t="inlineStr">
        <is>
          <t>BASEL</t>
        </is>
      </c>
      <c r="AO56" t="inlineStr">
        <is>
          <t>ST ALBAN-ANLAGE 66, CH-4052 BASEL, SWITZERLAND</t>
        </is>
      </c>
      <c r="AQ56" t="inlineStr">
        <is>
          <t>1660-4601</t>
        </is>
      </c>
      <c r="AS56" t="inlineStr">
        <is>
          <t>INT J ENV RES PUB HE</t>
        </is>
      </c>
      <c r="AT56" t="inlineStr">
        <is>
          <t>Int. J. Environ. Res. Public Health</t>
        </is>
      </c>
      <c r="AU56" t="inlineStr">
        <is>
          <t>FEB</t>
        </is>
      </c>
      <c r="AV56" t="n">
        <v>2020</v>
      </c>
      <c r="AW56" t="n">
        <v>17</v>
      </c>
      <c r="AX56" t="n">
        <v>4</v>
      </c>
      <c r="BE56" t="n">
        <v>1309</v>
      </c>
      <c r="BF56" t="inlineStr">
        <is>
          <t>10.3390/ijerph17041309</t>
        </is>
      </c>
      <c r="BG56">
        <f>HYPERLINK("http://dx.doi.org/10.3390/ijerph17041309","http://dx.doi.org/10.3390/ijerph17041309")</f>
        <v/>
      </c>
      <c r="BJ56" t="n">
        <v>9</v>
      </c>
      <c r="BK56" t="inlineStr">
        <is>
          <t>Environmental Sciences; Public, Environmental &amp; Occupational Health</t>
        </is>
      </c>
      <c r="BL56" t="inlineStr">
        <is>
          <t>Science Citation Index Expanded (SCI-EXPANDED); Social Science Citation Index (SSCI)</t>
        </is>
      </c>
      <c r="BM56" t="inlineStr">
        <is>
          <t>Environmental Sciences &amp; Ecology; Public, Environmental &amp; Occupational Health</t>
        </is>
      </c>
      <c r="BN56" t="inlineStr">
        <is>
          <t>KY2GF</t>
        </is>
      </c>
      <c r="BO56" t="n">
        <v>32085524</v>
      </c>
      <c r="BP56" t="inlineStr">
        <is>
          <t>Green Published, gold</t>
        </is>
      </c>
      <c r="BS56" t="inlineStr">
        <is>
          <t>2023-10-26</t>
        </is>
      </c>
      <c r="BT56" t="inlineStr">
        <is>
          <t>WOS:000522388500185</t>
        </is>
      </c>
      <c r="BU56">
        <f>HYPERLINK("https%3A%2F%2Fwww.webofscience.com%2Fwos%2Fwoscc%2Ffull-record%2FWOS:000522388500185","View Full Record in Web of Science")</f>
        <v/>
      </c>
    </row>
    <row r="57">
      <c r="A57" t="inlineStr">
        <is>
          <t>J</t>
        </is>
      </c>
      <c r="B57" t="inlineStr">
        <is>
          <t>Zheng, ZH; Chen, H; Yang, L</t>
        </is>
      </c>
      <c r="F57" t="inlineStr">
        <is>
          <t>Zheng, Zhenhua; Chen, Hong; Yang, Liu</t>
        </is>
      </c>
      <c r="J57" t="inlineStr">
        <is>
          <t>INTERNATIONAL JOURNAL OF ENVIRONMENTAL RESEARCH AND PUBLIC HEALTH</t>
        </is>
      </c>
      <c r="M57" t="inlineStr">
        <is>
          <t>English</t>
        </is>
      </c>
      <c r="N57" t="inlineStr">
        <is>
          <t>Article</t>
        </is>
      </c>
      <c r="T57" t="inlineStr">
        <is>
          <t>Transfer of Promotion Effects on Elderly Health with Age: From Physical Environment to Interpersonal Environment and Social Participation</t>
        </is>
      </c>
      <c r="U57" t="inlineStr">
        <is>
          <t>elderly health; physical environment; interpersonal environment; social participation; age differences</t>
        </is>
      </c>
      <c r="V57" t="inlineStr">
        <is>
          <t>SELF-RATED HEALTH; AGING-FRIENDLY COMMUNITIES; DWELLING OLDER-ADULTS; QUALITY-OF-LIFE; NEIGHBORHOOD ENVIRONMENT; BUILT ENVIRONMENT; URBAN; COHESION; GERONTOLOGY; POPULATION</t>
        </is>
      </c>
      <c r="W57" t="inlineStr">
        <is>
          <t>An important goal of building age-friendly communities is to help the elderly to access more opportunities for social participation and better health. However, little is known about the complex relationships between neighborhood environment, social participation, and elderly health. This study examined the mediating role of social participation in the area of neighborhood environment affecting elderly health and explored the discrepancy among different age groups in 43 neighborhoods of Shanghai. Both neighborhood environment and social participation had significant positive effects on elderly health in all the samples. Meanwhile, social participation served as a mediator of the relationship between interpersonal environment and elderly health. Furthermore, remarkably, health promotion effects transferred from the physical environment to interpersonal environment and social participation with age; the influence of physical environment on elderly health decreased with the increase of age, while the influence of interpersonal environment and social participation on the health of the elderly increased with the increase of age. This study found that physical environment, interpersonal environment, and social participation had different effects on elderly health of different ages. Different policies should be applied toward improving the interpersonal environment, optimizing of physical environment, and guiding the community activities.</t>
        </is>
      </c>
      <c r="X57" t="inlineStr">
        <is>
          <t>[Zheng, Zhenhua] Tongji Univ, Coll Architecture &amp; Urban Planning, 1239 Siping Rd, Shanghai 200092, Peoples R China; [Chen, Hong] Sichuan Univ, Coll Architecture &amp; Environm, 24 First South Sect First Ring Rd, Chengdu 610065, Sichuan, Peoples R China; [Yang, Liu] Yangtze Normal Univ, Inst Local Governance, 16 Juxian Ave, Chongqing 408100, Peoples R China; [Yang, Liu] Fudan Univ, Ctr Populat &amp; Dev Policy Studies, 220 Handan Rd, Shanghai 200433, Peoples R China</t>
        </is>
      </c>
      <c r="Y57" t="inlineStr">
        <is>
          <t>Tongji University; Sichuan University; Yangtze Normal University; Fudan University</t>
        </is>
      </c>
      <c r="Z57" t="inlineStr">
        <is>
          <t>Chen, H (corresponding author), Sichuan Univ, Coll Architecture &amp; Environm, 24 First South Sect First Ring Rd, Chengdu 610065, Sichuan, Peoples R China.;Yang, L (corresponding author), Yangtze Normal Univ, Inst Local Governance, 16 Juxian Ave, Chongqing 408100, Peoples R China.;Yang, L (corresponding author), Fudan Univ, Ctr Populat &amp; Dev Policy Studies, 220 Handan Rd, Shanghai 200433, Peoples R China.</t>
        </is>
      </c>
      <c r="AA57" t="inlineStr">
        <is>
          <t>ch_jhxy@scu.edu.cn; liu.yang@fudan.edu.cn</t>
        </is>
      </c>
      <c r="AB57" t="inlineStr">
        <is>
          <t>YANG, Liu/ABC-5923-2021; ZHENG, Zhenhua/Z-4747-2019</t>
        </is>
      </c>
      <c r="AC57" t="inlineStr">
        <is>
          <t>YANG, Liu/0000-0001-9296-5296; ZHENG, Zhenhua/0000-0002-5587-5387; Chen, Hong/0000-0002-6874-2348</t>
        </is>
      </c>
      <c r="AD57" t="inlineStr">
        <is>
          <t>Major Project of the National Natural Science Foundation of China [71490735]; Youth Project of Humanities and Social Sciences Foundation of Ministry of Education of China [14YJCZH179]</t>
        </is>
      </c>
      <c r="AE57" t="inlineStr">
        <is>
          <t>Major Project of the National Natural Science Foundation of China(National Natural Science Foundation of China (NSFC)); Youth Project of Humanities and Social Sciences Foundation of Ministry of Education of China</t>
        </is>
      </c>
      <c r="AF57" t="inlineStr">
        <is>
          <t>This research was funded by the Major Project of the National Natural Science Foundation of China (Grant No. 71490735), and the Youth Project of Humanities and Social Sciences Foundation of Ministry of Education of China (Grant No. 14YJCZH179).</t>
        </is>
      </c>
      <c r="AH57" t="n">
        <v>63</v>
      </c>
      <c r="AI57" t="n">
        <v>23</v>
      </c>
      <c r="AJ57" t="n">
        <v>23</v>
      </c>
      <c r="AK57" t="n">
        <v>23</v>
      </c>
      <c r="AL57" t="n">
        <v>155</v>
      </c>
      <c r="AM57" t="inlineStr">
        <is>
          <t>MDPI</t>
        </is>
      </c>
      <c r="AN57" t="inlineStr">
        <is>
          <t>BASEL</t>
        </is>
      </c>
      <c r="AO57" t="inlineStr">
        <is>
          <t>ST ALBAN-ANLAGE 66, CH-4052 BASEL, SWITZERLAND</t>
        </is>
      </c>
      <c r="AQ57" t="inlineStr">
        <is>
          <t>1660-4601</t>
        </is>
      </c>
      <c r="AS57" t="inlineStr">
        <is>
          <t>INT J ENV RES PUB HE</t>
        </is>
      </c>
      <c r="AT57" t="inlineStr">
        <is>
          <t>Int. J. Environ. Res. Public Health</t>
        </is>
      </c>
      <c r="AU57" t="inlineStr">
        <is>
          <t>AUG 1</t>
        </is>
      </c>
      <c r="AV57" t="n">
        <v>2019</v>
      </c>
      <c r="AW57" t="n">
        <v>16</v>
      </c>
      <c r="AX57" t="n">
        <v>15</v>
      </c>
      <c r="BE57" t="n">
        <v>2794</v>
      </c>
      <c r="BF57" t="inlineStr">
        <is>
          <t>10.3390/ijerph16152794</t>
        </is>
      </c>
      <c r="BG57">
        <f>HYPERLINK("http://dx.doi.org/10.3390/ijerph16152794","http://dx.doi.org/10.3390/ijerph16152794")</f>
        <v/>
      </c>
      <c r="BJ57" t="n">
        <v>15</v>
      </c>
      <c r="BK57" t="inlineStr">
        <is>
          <t>Environmental Sciences; Public, Environmental &amp; Occupational Health</t>
        </is>
      </c>
      <c r="BL57" t="inlineStr">
        <is>
          <t>Science Citation Index Expanded (SCI-EXPANDED); Social Science Citation Index (SSCI)</t>
        </is>
      </c>
      <c r="BM57" t="inlineStr">
        <is>
          <t>Environmental Sciences &amp; Ecology; Public, Environmental &amp; Occupational Health</t>
        </is>
      </c>
      <c r="BN57" t="inlineStr">
        <is>
          <t>IS4MU</t>
        </is>
      </c>
      <c r="BO57" t="n">
        <v>31387307</v>
      </c>
      <c r="BP57" t="inlineStr">
        <is>
          <t>Green Published, Green Submitted, gold</t>
        </is>
      </c>
      <c r="BS57" t="inlineStr">
        <is>
          <t>2023-10-26</t>
        </is>
      </c>
      <c r="BT57" t="inlineStr">
        <is>
          <t>WOS:000482128400163</t>
        </is>
      </c>
      <c r="BU57">
        <f>HYPERLINK("https%3A%2F%2Fwww.webofscience.com%2Fwos%2Fwoscc%2Ffull-record%2FWOS:000482128400163","View Full Record in Web of Science")</f>
        <v/>
      </c>
    </row>
    <row r="58">
      <c r="A58" t="inlineStr">
        <is>
          <t>J</t>
        </is>
      </c>
      <c r="B58" t="inlineStr">
        <is>
          <t>Mitchell, CA; Clark, AF; Gilliland, JA</t>
        </is>
      </c>
      <c r="F58" t="inlineStr">
        <is>
          <t>Mitchell, Christine A.; Clark, Andrew F.; Gilliland, Jason A.</t>
        </is>
      </c>
      <c r="J58" t="inlineStr">
        <is>
          <t>INTERNATIONAL JOURNAL OF ENVIRONMENTAL RESEARCH AND PUBLIC HEALTH</t>
        </is>
      </c>
      <c r="M58" t="inlineStr">
        <is>
          <t>English</t>
        </is>
      </c>
      <c r="N58" t="inlineStr">
        <is>
          <t>Article</t>
        </is>
      </c>
      <c r="T58" t="inlineStr">
        <is>
          <t>Built Environment Influences of Children's Physical Activity: Examining Differences by Neighbourhood Size and Sex</t>
        </is>
      </c>
      <c r="U58" t="inlineStr">
        <is>
          <t>built environment; accelerometer; GIS; physical activity; neighbourhood; child</t>
        </is>
      </c>
      <c r="V58" t="inlineStr">
        <is>
          <t>GENDER-DIFFERENCES; YOUTH; SCHOOL; HOME; ASSOCIATIONS; OBESITY; HEALTH; TRAVEL; ACCELEROMETERS; FACILITIES</t>
        </is>
      </c>
      <c r="W58" t="inlineStr">
        <is>
          <t>Neighbourhoods can facilitate or constrain moderate-to-vigorous physical activity (MVPA) among children by providing or restricting opportunities for MVPA. However, there is no consensus on how to define a child's neighbourhood. This study examines the influence of the neighbourhood built environment on objectively measured MVPA among 435 children (aged 9-14 years) in London (ON, Canada). As there is no consensus on how to delineate a child's neighbourhood, a geographic information system was used to generate measures of the neighbourhood built environment at two buffer sizes (500 m and 800 m) around each child's home. Linear regression models with robust standard errors (cluster) were used to analyze the relationship between built environment characteristics and average daily MVPA during non-school hours on weekdays. Sex-stratified models assessed sex-specific relationships. When accounting for individual and neighbourhood socio-demographic variables, park space and multi-use path space were found to influence children's MVPA. Sex-stratified models found significant associations between MVPA and park space, with the 800 m buffer best explaining boys' MVPA and the 500 m buffer best explaining girls' MVPA. Findings emphasize that, when designing built environments, programs, and policies to facilitate physical activity, it is important to consider that the size of the neighbourhood influencing a child's physical activity may differ according to sex.</t>
        </is>
      </c>
      <c r="X58" t="inlineStr">
        <is>
          <t>[Mitchell, Christine A.; Clark, Andrew F.; Gilliland, Jason A.] Univ Western Ontario, Dept Geog, 1151 Richmond St, London, ON N6A 5C2, Canada</t>
        </is>
      </c>
      <c r="Y58" t="inlineStr">
        <is>
          <t>Western University (University of Western Ontario)</t>
        </is>
      </c>
      <c r="Z58" t="inlineStr">
        <is>
          <t>Gilliland, JA (corresponding author), Univ Western Ontario, Dept Geog, 1151 Richmond St, London, ON N6A 5C2, Canada.</t>
        </is>
      </c>
      <c r="AA58" t="inlineStr">
        <is>
          <t>cmitch57@uwo.ca; aclark2@uwo.ca; jgillila@uwo.ca</t>
        </is>
      </c>
      <c r="AB58" t="inlineStr">
        <is>
          <t>Gilliland, Jason/E-3393-2019; University, HEAL Western/T-1323-2019; El-Bagdady, Moe/S-8621-2019</t>
        </is>
      </c>
      <c r="AC58" t="inlineStr">
        <is>
          <t>Gilliland, Jason/0000-0002-2909-2178; Clark, Andrew/0000-0002-3080-5833</t>
        </is>
      </c>
      <c r="AD58" t="inlineStr">
        <is>
          <t>Canadian Institutes of Health Research; Heart and Stroke Foundation of Canada; Social Sciences and Humanities Research Council of Canada; Children's Health Research Institute; Children's Health Foundation</t>
        </is>
      </c>
      <c r="AE58" t="inlineStr">
        <is>
          <t>Canadian Institutes of Health Research(Canadian Institutes of Health Research (CIHR)); Heart and Stroke Foundation of Canada(Heart &amp; Stroke Foundation of Canada); Social Sciences and Humanities Research Council of Canada(Social Sciences and Humanities Research Council of Canada (SSHRC)); Children's Health Research Institute; Children's Health Foundation</t>
        </is>
      </c>
      <c r="AF58" t="inlineStr">
        <is>
          <t>The STEAM study was jointly-funded by Canadian Institutes of Health Research and the Heart and Stroke Foundation of Canada, with seed funding from the Social Sciences and Humanities Research Council of Canada. Additional support was provided by the Children's Health Research Institute and the Children's Health Foundation. We thank the students, parents, teachers, principals, and research boards from the Thames Valley District School Board, the London District Catholic School Board, Conseil scolaire catholique Providence, and the Conseil scolaire Viamonde. We would also like to acknowledge the dozens of research assistants from the Human Environments Analysis Lab who helped with the STEAM project, especially Joannah Campbell, Steve Fitzpatrick, Martin Healy, Sandra Kulon, Rajiv Lalla, Janet Loebach, Sarah McCans, Leanne McIntosh, Catherine McLean, Claudia Rangel, Lucie Richard, Doug Rivet, Richard Sadler, Sabrina Sater, and Emily (Hill) Van Kesteren.</t>
        </is>
      </c>
      <c r="AH58" t="n">
        <v>57</v>
      </c>
      <c r="AI58" t="n">
        <v>63</v>
      </c>
      <c r="AJ58" t="n">
        <v>63</v>
      </c>
      <c r="AK58" t="n">
        <v>1</v>
      </c>
      <c r="AL58" t="n">
        <v>36</v>
      </c>
      <c r="AM58" t="inlineStr">
        <is>
          <t>MDPI</t>
        </is>
      </c>
      <c r="AN58" t="inlineStr">
        <is>
          <t>BASEL</t>
        </is>
      </c>
      <c r="AO58" t="inlineStr">
        <is>
          <t>ST ALBAN-ANLAGE 66, CH-4052 BASEL, SWITZERLAND</t>
        </is>
      </c>
      <c r="AQ58" t="inlineStr">
        <is>
          <t>1660-4601</t>
        </is>
      </c>
      <c r="AS58" t="inlineStr">
        <is>
          <t>INT J ENV RES PUB HE</t>
        </is>
      </c>
      <c r="AT58" t="inlineStr">
        <is>
          <t>Int. J. Environ. Res. Public Health</t>
        </is>
      </c>
      <c r="AU58" t="inlineStr">
        <is>
          <t>JAN</t>
        </is>
      </c>
      <c r="AV58" t="n">
        <v>2016</v>
      </c>
      <c r="AW58" t="n">
        <v>13</v>
      </c>
      <c r="AX58" t="n">
        <v>1</v>
      </c>
      <c r="BE58" t="n">
        <v>130</v>
      </c>
      <c r="BF58" t="inlineStr">
        <is>
          <t>10.3390/ijerph13010130</t>
        </is>
      </c>
      <c r="BG58">
        <f>HYPERLINK("http://dx.doi.org/10.3390/ijerph13010130","http://dx.doi.org/10.3390/ijerph13010130")</f>
        <v/>
      </c>
      <c r="BJ58" t="n">
        <v>14</v>
      </c>
      <c r="BK58" t="inlineStr">
        <is>
          <t>Environmental Sciences; Public, Environmental &amp; Occupational Health</t>
        </is>
      </c>
      <c r="BL58" t="inlineStr">
        <is>
          <t>Science Citation Index Expanded (SCI-EXPANDED); Social Science Citation Index (SSCI)</t>
        </is>
      </c>
      <c r="BM58" t="inlineStr">
        <is>
          <t>Environmental Sciences &amp; Ecology; Public, Environmental &amp; Occupational Health</t>
        </is>
      </c>
      <c r="BN58" t="inlineStr">
        <is>
          <t>DJ4OO</t>
        </is>
      </c>
      <c r="BO58" t="n">
        <v>26784212</v>
      </c>
      <c r="BP58" t="inlineStr">
        <is>
          <t>gold, Green Published, Green Submitted</t>
        </is>
      </c>
      <c r="BS58" t="inlineStr">
        <is>
          <t>2023-10-26</t>
        </is>
      </c>
      <c r="BT58" t="inlineStr">
        <is>
          <t>WOS:000374186100113</t>
        </is>
      </c>
      <c r="BU58">
        <f>HYPERLINK("https%3A%2F%2Fwww.webofscience.com%2Fwos%2Fwoscc%2Ffull-record%2FWOS:000374186100113","View Full Record in Web of Science")</f>
        <v/>
      </c>
    </row>
    <row r="59">
      <c r="A59" t="inlineStr">
        <is>
          <t>J</t>
        </is>
      </c>
      <c r="B59" t="inlineStr">
        <is>
          <t>Besser, LM; Chang, LC; Hirsch, JA; Rodriguez, DA; Renne, J; Rapp, SR; Fitzpatrick, AL; Heckbert, SR; Kaufman, JD; Hughes, TM</t>
        </is>
      </c>
      <c r="F59" t="inlineStr">
        <is>
          <t>Besser, Lilah M.; Chang, Lun-Ching; Hirsch, Jana A.; Rodriguez, Daniel A.; Renne, John; Rapp, Stephen R.; Fitzpatrick, Annette L.; Heckbert, Susan R.; Kaufman, Joel D.; Hughes, Timothy M.</t>
        </is>
      </c>
      <c r="J59" t="inlineStr">
        <is>
          <t>INTERNATIONAL JOURNAL OF ENVIRONMENTAL RESEARCH AND PUBLIC HEALTH</t>
        </is>
      </c>
      <c r="M59" t="inlineStr">
        <is>
          <t>English</t>
        </is>
      </c>
      <c r="N59" t="inlineStr">
        <is>
          <t>Article</t>
        </is>
      </c>
      <c r="T59" t="inlineStr">
        <is>
          <t>Longitudinal Associations between the Neighborhood Built Environment and Cognition in US Older Adults: The Multi-Ethnic Study of Atherosclerosis</t>
        </is>
      </c>
      <c r="U59" t="inlineStr">
        <is>
          <t>built environment; residence characteristics; city planning; cognition; Alzheimer disease; preventive medicine; public health; walking destination; land use; older adult</t>
        </is>
      </c>
      <c r="V59" t="inlineStr">
        <is>
          <t>PHYSICAL-ACTIVITY; DEMENTIA; BRAIN; IMPAIRMENT; IMPACT</t>
        </is>
      </c>
      <c r="W59" t="inlineStr">
        <is>
          <t>Few studies have examined associations between neighborhood built environments (BE) and longitudinally measured cognition. We examined whether four BE characteristics were associated with six-year change in global cognition and processing speed. We obtained data on 1816 participants without dementia from the Multi-Ethnic Study of Atherosclerosis. BE measures included social destination density, walking destination density, proportion of land dedicated to retail, and network ratio (street connectivity). Global cognition was measured with the Cognitive Abilities Screening Instrument (CASI) and processing speed with the Digit Symbol Coding test (DSC). Multivariable random intercept logistic models tested associations between neighborhood BE at 2010-2012 and maintained/improved cognition (versus decline) from 2010-2018, and mediation by minutes of physical activity (PA)/week. The sample was an average of 67 years old (standard deviation = 8.2) (first cognitive measurement) and racially/ethnically diverse (29% African American, 11% Chinese, 17% Hispanic, 44% White). Compared to individuals with no walking destinations in the 1-mile surrounding their residence, those with 716 walking destinations (maximum observed) were 1.24 times more likely to have maintain/improved DSC score (Odds ratio: 1.24; 95% confidence interval: 1.03-1.45). No other associations were observed between BE and cognition, and PA minutes/week did not mediate the association between walking destination density and DSC change. This study provides limited evidence for an association between greater neighborhood walking destinations and maintained/improved processing speed in older age and no evidence for associations between the other BE characteristics and cognition. Future studies with finer grained BE and cognitive measures and longer-term follow up may be required.</t>
        </is>
      </c>
      <c r="X59" t="inlineStr">
        <is>
          <t>[Besser, Lilah M.; Renne, John] Florida Atlantic Univ, Dept Urban &amp; Reg Planning, Boca Raton, FL 33431 USA; [Besser, Lilah M.] Florida Atlantic Univ, Inst Human Hlth &amp; Dis Intervent, Boca Raton, FL 33431 USA; [Chang, Lun-Ching] Florida Atlantic Univ, Dept Math Sci, Boca Raton, FL 33431 USA; [Hirsch, Jana A.] Drexel Univ, Dornsife Sch Publ Hlth, Urban Hlth Collaborat, Philadelphia, PA 19104 USA; [Hirsch, Jana A.] Drexel Univ, Dornsife Sch Publ Hlth, Dept Epidemiol &amp; Biostat, Philadelphia, PA 19104 USA; [Rodriguez, Daniel A.] Univ Calif Berkeley, Inst Transportat Studies, Dept City &amp; Reg Planning, Berkeley, CA 94720 USA; [Rapp, Stephen R.] Wake Forest Sch Med, Dept Psychiat &amp; Behav Med, Winston Salem, NC 27109 USA; [Fitzpatrick, Annette L.] Univ Washington, Dept Family Med Epidemiol Global Hlth, Seattle, WA 98105 USA; [Heckbert, Susan R.] Univ Washington, Dept Epidemiol, Cardiovasc Hlth Res Unit, Seattle, WA 98105 USA; [Kaufman, Joel D.] Univ Washington, Dept Environm &amp; Occupat Hlth Sci Med Epidemiol, Seattle, WA 98105 USA; [Hughes, Timothy M.] Wake Forest Sch Med, Dept Internal Med, Dept Epidemiol &amp; Prevent, Winston Salem, NC 27109 USA</t>
        </is>
      </c>
      <c r="Y59" t="inlineStr">
        <is>
          <t>State University System of Florida; Florida Atlantic University; State University System of Florida; Florida Atlantic University; State University System of Florida; Florida Atlantic University; Drexel University; Drexel University; University of California System; University of California Berkeley; Wake Forest University; University of Washington; University of Washington Seattle; University of Washington; University of Washington Seattle; University of Washington; University of Washington Seattle; Wake Forest University</t>
        </is>
      </c>
      <c r="Z59" t="inlineStr">
        <is>
          <t>Besser, LM (corresponding author), Florida Atlantic Univ, Dept Urban &amp; Reg Planning, Boca Raton, FL 33431 USA.;Besser, LM (corresponding author), Florida Atlantic Univ, Inst Human Hlth &amp; Dis Intervent, Boca Raton, FL 33431 USA.</t>
        </is>
      </c>
      <c r="AA59" t="inlineStr">
        <is>
          <t>lbesser@fau.edu; changl@fau.edu; jah474@drexel.edu; danrod@berkeley.edu; jrenne@fau.edu; srapp@wakehealth.edu; fitzpal@uw.edu; heckbert@uw.edu; joelk@uw.edu; tmhughes@wakehealth.edu</t>
        </is>
      </c>
      <c r="AB59" t="inlineStr">
        <is>
          <t>Kaufman, Joel D/B-5761-2008; Rapp, Stephen R/J-3367-2016; RODRIGUEZ, Daniel/GWC-3563-2022</t>
        </is>
      </c>
      <c r="AC59" t="inlineStr">
        <is>
          <t>Kaufman, Joel D/0000-0003-4174-9037; Besser, Lilah/0000-0001-9945-0877; Chang, Lun-Ching/0000-0002-8039-5350; Hughes, Timothy/0000-0002-2919-7199; Hirsch, Jana/0000-0003-3355-5558</t>
        </is>
      </c>
      <c r="AD59" t="inlineStr">
        <is>
          <t>NIH/NIA [K01AG063895, P30AG049638, R01HL131610, R01AG054069, R01AG053938, R01AG054491, R01AG058969, RF1NS110043, R03AG064569, U01HL096812, HHSN271-2011-00004C, HHSN268201600004C, AG055606, AG050657, HL133684, R01AG058571, 1U19AG065188, U10CA, R01 HL127659, R01AG072634]; NIH [R01 HL127659, R01NS101483, RF1AG057033, P30ES007033]; U.S Environmental Protection Agency [RD831697, RD-83830001]; NIH/NHLBI [R01HL131610]</t>
        </is>
      </c>
      <c r="AE59" t="inlineStr">
        <is>
          <t>NIH/NIA(United States Department of Health &amp; Human ServicesNational Institutes of Health (NIH) - USANIH National Institute on Aging (NIA)); NIH(United States Department of Health &amp; Human ServicesNational Institutes of Health (NIH) - USA); U.S Environmental Protection Agency(United States Environmental Protection Agency); NIH/NHLBI(United States Department of Health &amp; Human ServicesNational Institutes of Health (NIH) - USANIH National Heart Lung &amp; Blood Institute (NHLBI))</t>
        </is>
      </c>
      <c r="AF59" t="inlineStr">
        <is>
          <t>Besser is supported by NIH/NIA award K01AG063895. Chang is supported by NIH award R01NS101483. Hughes is supported by NIH/NIA awards: P30AG049638, R01AG054069, R01AG053938, R01AG054491, R01AG058969, RF1NS110043, R03AG064569, U01HL096812. Rapp is supported by NIH/NIA contract and grants HHSN271-2011-00004C, HHSN268201600004C, AG055606, AG050657, P30AG049638, HL133684, R01AG058969, R01AG058571, 1U19AG065188, U10CA, R01 HL127659 supported MESA data collection for this project. Fitzpatrick has no funding to report. Heckbert is supported by NIH R01 HL127659. Renne has no funding to report. Rodriguez is supported by NIH/NIA award R01HL131610. Kaufman's work was supported by grants RD831697 (MESA Air) and RD-83830001 (MESA Air Next Stage), awarded by the U.S Environmental Protection Agency, and RF1AG057033 and P30ES007033 from the NIH. Hirsch is supported by NIH/NIA award R01AG072634 and work on MESA was supported by NIH/NHLBI R01HL131610. The funders had no role in the design of the study; in the collection, analyses, or interpretation of data; in the writing of the manuscript, or in the decision to publish the results.</t>
        </is>
      </c>
      <c r="AH59" t="n">
        <v>43</v>
      </c>
      <c r="AI59" t="n">
        <v>7</v>
      </c>
      <c r="AJ59" t="n">
        <v>7</v>
      </c>
      <c r="AK59" t="n">
        <v>3</v>
      </c>
      <c r="AL59" t="n">
        <v>10</v>
      </c>
      <c r="AM59" t="inlineStr">
        <is>
          <t>MDPI</t>
        </is>
      </c>
      <c r="AN59" t="inlineStr">
        <is>
          <t>BASEL</t>
        </is>
      </c>
      <c r="AO59" t="inlineStr">
        <is>
          <t>ST ALBAN-ANLAGE 66, CH-4052 BASEL, SWITZERLAND</t>
        </is>
      </c>
      <c r="AQ59" t="inlineStr">
        <is>
          <t>1660-4601</t>
        </is>
      </c>
      <c r="AS59" t="inlineStr">
        <is>
          <t>INT J ENV RES PUB HE</t>
        </is>
      </c>
      <c r="AT59" t="inlineStr">
        <is>
          <t>Int. J. Environ. Res. Public Health</t>
        </is>
      </c>
      <c r="AU59" t="inlineStr">
        <is>
          <t>AUG</t>
        </is>
      </c>
      <c r="AV59" t="n">
        <v>2021</v>
      </c>
      <c r="AW59" t="n">
        <v>18</v>
      </c>
      <c r="AX59" t="n">
        <v>15</v>
      </c>
      <c r="BE59" t="n">
        <v>7973</v>
      </c>
      <c r="BF59" t="inlineStr">
        <is>
          <t>10.3390/ijerph18157973</t>
        </is>
      </c>
      <c r="BG59">
        <f>HYPERLINK("http://dx.doi.org/10.3390/ijerph18157973","http://dx.doi.org/10.3390/ijerph18157973")</f>
        <v/>
      </c>
      <c r="BJ59" t="n">
        <v>12</v>
      </c>
      <c r="BK59" t="inlineStr">
        <is>
          <t>Environmental Sciences; Public, Environmental &amp; Occupational Health</t>
        </is>
      </c>
      <c r="BL59" t="inlineStr">
        <is>
          <t>Science Citation Index Expanded (SCI-EXPANDED); Social Science Citation Index (SSCI)</t>
        </is>
      </c>
      <c r="BM59" t="inlineStr">
        <is>
          <t>Environmental Sciences &amp; Ecology; Public, Environmental &amp; Occupational Health</t>
        </is>
      </c>
      <c r="BN59" t="inlineStr">
        <is>
          <t>TV6YG</t>
        </is>
      </c>
      <c r="BO59" t="n">
        <v>34360264</v>
      </c>
      <c r="BP59" t="inlineStr">
        <is>
          <t>gold, Green Published</t>
        </is>
      </c>
      <c r="BS59" t="inlineStr">
        <is>
          <t>2023-10-26</t>
        </is>
      </c>
      <c r="BT59" t="inlineStr">
        <is>
          <t>WOS:000681865900001</t>
        </is>
      </c>
      <c r="BU59">
        <f>HYPERLINK("https%3A%2F%2Fwww.webofscience.com%2Fwos%2Fwoscc%2Ffull-record%2FWOS:000681865900001","View Full Record in Web of Science")</f>
        <v/>
      </c>
    </row>
    <row r="60">
      <c r="A60" t="inlineStr">
        <is>
          <t>J</t>
        </is>
      </c>
      <c r="B60" t="inlineStr">
        <is>
          <t>Zhang, YF; van Dijk, T; Wagenaar, C</t>
        </is>
      </c>
      <c r="F60" t="inlineStr">
        <is>
          <t>Zhang, Yufang; van Dijk, Terry; Wagenaar, Cor</t>
        </is>
      </c>
      <c r="J60" t="inlineStr">
        <is>
          <t>INTERNATIONAL JOURNAL OF ENVIRONMENTAL RESEARCH AND PUBLIC HEALTH</t>
        </is>
      </c>
      <c r="M60" t="inlineStr">
        <is>
          <t>English</t>
        </is>
      </c>
      <c r="N60" t="inlineStr">
        <is>
          <t>Article</t>
        </is>
      </c>
      <c r="T60" t="inlineStr">
        <is>
          <t>How the Built Environment Promotes Residents' Physical Activity: The Importance of a Holistic People-Centered Perspective</t>
        </is>
      </c>
      <c r="U60" t="inlineStr">
        <is>
          <t>built environment; physical activity; urban analysis; walking and cycling; neighborhood design; China</t>
        </is>
      </c>
      <c r="V60" t="inlineStr">
        <is>
          <t>NEIGHBORHOOD; WALKING; OBESITY; HEALTH; TRAVEL; AUDIT</t>
        </is>
      </c>
      <c r="W60" t="inlineStr">
        <is>
          <t>Promoting adequate physical activity (PA) such as walking and cycling is essential to cope with the global health challenge of non-communicable diseases (NCDs). Much research has been conducted to analyze how the built environment can promote PA, but the results are not consistent. Some scholars found that certain built environments such as green spaces generated positive impacts on PA, while some other studies showed no correlations. We suspected that the built environment should be measured in a deeply holistic nuanced way in order to properly reflect its impact on PA. Therefore, our research adopted an integral urban-analysis comparing three typical neighborhoods in Beijing, China. Our data show that the highest PA occurs in the neighborhood with the lowest density, amount of green space and street connectivity, apparently compensated by its low-rise housing type and high appreciation of the quality of sidewalks and street safety. This indicates that dimensions impacting PA have to be considered in context, and the peoples' perception of the built environment matters.</t>
        </is>
      </c>
      <c r="X60" t="inlineStr">
        <is>
          <t>[Zhang, Yufang] Univ Groningen, Fac Arts, Dept Hist Architecture &amp; Urbanism, POB 716, NL-9700 AS Groningen, Netherlands; [Zhang, Yufang] Univ Groningen, Expertise Ctr Architecture Urbanism &amp; Hlth, Fac Arts, POB 716, NL-9700 AS Groningen, Netherlands; [van Dijk, Terry] Univ Groningen, Fac Spatial Sci, Dept Spatial Planning &amp; Environm, POB 800, NL-9700 AV Groningen, Netherlands; [Wagenaar, Cor] Delft Univ Technol, Fac Architecture &amp; Built Environm, POB 5, NL-2600 AA Delft, Netherlands</t>
        </is>
      </c>
      <c r="Y60" t="inlineStr">
        <is>
          <t>University of Groningen; University of Groningen; University of Groningen; Delft University of Technology</t>
        </is>
      </c>
      <c r="Z60" t="inlineStr">
        <is>
          <t>Wagenaar, C (corresponding author), Delft Univ Technol, Fac Architecture &amp; Built Environm, POB 5, NL-2600 AA Delft, Netherlands.</t>
        </is>
      </c>
      <c r="AA60" t="inlineStr">
        <is>
          <t>yufang.zhang@rug.nl; t.van.dijk@rug.nl; c.wagenaar@tudelft.nl</t>
        </is>
      </c>
      <c r="AC60" t="inlineStr">
        <is>
          <t>Zhang, Yufang/0000-0003-1056-788X</t>
        </is>
      </c>
      <c r="AD60" t="inlineStr">
        <is>
          <t>China Scholarship Council</t>
        </is>
      </c>
      <c r="AE60" t="inlineStr">
        <is>
          <t>China Scholarship Council(China Scholarship Council)</t>
        </is>
      </c>
      <c r="AF60" t="inlineStr">
        <is>
          <t>This work was supported by the China Scholarship Council.</t>
        </is>
      </c>
      <c r="AH60" t="n">
        <v>46</v>
      </c>
      <c r="AI60" t="n">
        <v>8</v>
      </c>
      <c r="AJ60" t="n">
        <v>8</v>
      </c>
      <c r="AK60" t="n">
        <v>4</v>
      </c>
      <c r="AL60" t="n">
        <v>26</v>
      </c>
      <c r="AM60" t="inlineStr">
        <is>
          <t>MDPI</t>
        </is>
      </c>
      <c r="AN60" t="inlineStr">
        <is>
          <t>BASEL</t>
        </is>
      </c>
      <c r="AO60" t="inlineStr">
        <is>
          <t>ST ALBAN-ANLAGE 66, CH-4052 BASEL, SWITZERLAND</t>
        </is>
      </c>
      <c r="AQ60" t="inlineStr">
        <is>
          <t>1660-4601</t>
        </is>
      </c>
      <c r="AS60" t="inlineStr">
        <is>
          <t>INT J ENV RES PUB HE</t>
        </is>
      </c>
      <c r="AT60" t="inlineStr">
        <is>
          <t>Int. J. Environ. Res. Public Health</t>
        </is>
      </c>
      <c r="AU60" t="inlineStr">
        <is>
          <t>MAY</t>
        </is>
      </c>
      <c r="AV60" t="n">
        <v>2022</v>
      </c>
      <c r="AW60" t="n">
        <v>19</v>
      </c>
      <c r="AX60" t="n">
        <v>9</v>
      </c>
      <c r="BE60" t="n">
        <v>5595</v>
      </c>
      <c r="BF60" t="inlineStr">
        <is>
          <t>10.3390/ijerph19095595</t>
        </is>
      </c>
      <c r="BG60">
        <f>HYPERLINK("http://dx.doi.org/10.3390/ijerph19095595","http://dx.doi.org/10.3390/ijerph19095595")</f>
        <v/>
      </c>
      <c r="BJ60" t="n">
        <v>19</v>
      </c>
      <c r="BK60" t="inlineStr">
        <is>
          <t>Environmental Sciences; Public, Environmental &amp; Occupational Health</t>
        </is>
      </c>
      <c r="BL60" t="inlineStr">
        <is>
          <t>Science Citation Index Expanded (SCI-EXPANDED); Social Science Citation Index (SSCI)</t>
        </is>
      </c>
      <c r="BM60" t="inlineStr">
        <is>
          <t>Environmental Sciences &amp; Ecology; Public, Environmental &amp; Occupational Health</t>
        </is>
      </c>
      <c r="BN60" t="inlineStr">
        <is>
          <t>1N6CX</t>
        </is>
      </c>
      <c r="BO60" t="n">
        <v>35564990</v>
      </c>
      <c r="BP60" t="inlineStr">
        <is>
          <t>Green Published, gold</t>
        </is>
      </c>
      <c r="BS60" t="inlineStr">
        <is>
          <t>2023-10-26</t>
        </is>
      </c>
      <c r="BT60" t="inlineStr">
        <is>
          <t>WOS:000800742500001</t>
        </is>
      </c>
      <c r="BU60">
        <f>HYPERLINK("https%3A%2F%2Fwww.webofscience.com%2Fwos%2Fwoscc%2Ffull-record%2FWOS:000800742500001","View Full Record in Web of Science")</f>
        <v/>
      </c>
    </row>
    <row r="61">
      <c r="A61" t="inlineStr">
        <is>
          <t>J</t>
        </is>
      </c>
      <c r="B61" t="inlineStr">
        <is>
          <t>MacMillan, F; George, ES; Feng, XQ; Merom, D; Bennie, A; Cook, A; Sanders, T; Dwyer, G; Pang, B; Guagliano, JM; Kolt, GS; Astell-Burt, T</t>
        </is>
      </c>
      <c r="F61" t="inlineStr">
        <is>
          <t>MacMillan, Freya; George, Emma S.; Feng, Xiaoqi; Merom, Dafna; Bennie, Andrew; Cook, Amelia; Sanders, Taren; Dwyer, Genevieve; Pang, Bonnie; Guagliano, Justin M.; Kolt, Gregory S.; Astell-Burt, Thomas</t>
        </is>
      </c>
      <c r="J61" t="inlineStr">
        <is>
          <t>INTERNATIONAL JOURNAL OF ENVIRONMENTAL RESEARCH AND PUBLIC HEALTH</t>
        </is>
      </c>
      <c r="M61" t="inlineStr">
        <is>
          <t>English</t>
        </is>
      </c>
      <c r="N61" t="inlineStr">
        <is>
          <t>Review</t>
        </is>
      </c>
      <c r="T61" t="inlineStr">
        <is>
          <t>Do Natural Experiments of Changes in Neighborhood Built Environment Impact Physical Activity and Diet? A Systematic Review</t>
        </is>
      </c>
      <c r="U61" t="inlineStr">
        <is>
          <t>natural experiment; built environment; neighborhood; physical activity; diet; longitudinal</t>
        </is>
      </c>
      <c r="V61" t="inlineStr">
        <is>
          <t>LIGHT RAIL TRANSIT; BODY-MASS INDEX; POPULATION HEALTH; RETAIL ACCESS; WALKING; INTERVENTIONS; TRANSPORT; FRUIT</t>
        </is>
      </c>
      <c r="W61" t="inlineStr">
        <is>
          <t>Physical activity and diet are major modifiable risk factors for chronic disease and have been shown to be associated with neighborhood built environment. Systematic review evidence from longitudinal studies on the impact of changing the built environment on physical activity and diet is currently lacking. A systematic review of natural experiments of neighborhood built environment was conducted. The aims of this systematic review were to summarize study characteristics, study quality, and impact of changes in neighborhood built environment on physical activity and diet outcomes among residents. Natural experiments of neighborhood built environment change, exploring longitudinal impacts on physical activity and/or diet in residents, were included. From five electronic databases, 2084 references were identified. A narrative synthesis was conducted, considering results in relation to study quality. Nineteen papers, reporting on 15 different exposures met inclusion criteria. Four studies included a comparison group and 11 were pre-post/longitudinal studies without a comparison group. Studies reported on the impact of redeveloping or introducing cycle and/or walking trails (n = 5), rail stops/lines (n = 4), supermarkets and farmers' markets (n = 4) and park and green space (n = 2). Eight/15 studies reported at least one beneficial change in physical activity, diet or another associated health outcome. Due to limitations in study design and reporting, as well as the wide array of outcome measures reported, drawing conclusions to inform policy was challenging. Future research should consider a consistent approach to measure the same outcomes (e.g., using measurement methods that collect comparable physical activity and diet outcome data), to allow for pooled analyses. Additionally, including comparison groups wherever possible and ensuring high quality reporting is essential.</t>
        </is>
      </c>
      <c r="X61" t="inlineStr">
        <is>
          <t>[MacMillan, Freya; George, Emma S.; Merom, Dafna; Bennie, Andrew; Cook, Amelia; Dwyer, Genevieve; Pang, Bonnie; Guagliano, Justin M.; Kolt, Gregory S.] Western Sydney Univ, Sch Sci &amp; Hlth, Sydney, NSW 2751, Australia; [MacMillan, Freya] Western Sydney Univ, Translat Hlth Res Inst, Sydney, NSW 2751, Australia; [Feng, Xiaoqi; Astell-Burt, Thomas] Univ Wollongong, Fac Social Sci, Populat Wellbeing &amp; Environm Res Lab PowerLab, Wollongong, NSW 2522, Australia; [Feng, Xiaoqi; Astell-Burt, Thomas] Univ Sydney, Menzies Ctr Hlth Policy, Sydney, NSW 2006, Australia; [Sanders, Taren] Australian Catholic Univ, Inst Posit Psychol &amp; Educ, Sydney, NSW 2060, Australia</t>
        </is>
      </c>
      <c r="Y61" t="inlineStr">
        <is>
          <t>Western Sydney University; Western Sydney University; University of Wollongong; University of Sydney; Australian Catholic University</t>
        </is>
      </c>
      <c r="Z61" t="inlineStr">
        <is>
          <t>MacMillan, F (corresponding author), Western Sydney Univ, Sch Sci &amp; Hlth, Sydney, NSW 2751, Australia.;MacMillan, F (corresponding author), Western Sydney Univ, Translat Hlth Res Inst, Sydney, NSW 2751, Australia.</t>
        </is>
      </c>
      <c r="AA61" t="inlineStr">
        <is>
          <t>f.macmillan@westernsydney.edu.au; e.george@westernsydney.edu.au; xfeng@uow.edu.au; d.merom@westernsydney.edu.au; a.bennie@westernsydney.edu.au; amelia.cook@westernsydney.edu.au; taren.sanders@acu.edu.au; g.dwyer@westernsydney.edu.au; b.pang@westernsydney.edu.au; jmg221@medschl.cam.ac.uk; g.kolt@westernsydney.edu.au; thomasab@uow.edu.au</t>
        </is>
      </c>
      <c r="AB61" t="inlineStr">
        <is>
          <t>Bennie, Andrew/V-2369-2019; George, Emma/AAU-4754-2021; Feng, Xiaoqi/AAM-9592-2021; Sanders, Taren/N-9511-2018; Kolt, Gregory/W-1342-2019; Merom, Dafna/AAW-5357-2021; Astell-Burt, Thomas/B-9341-2018; Macmillan, Freya/AAT-2472-2021</t>
        </is>
      </c>
      <c r="AC61" t="inlineStr">
        <is>
          <t>Bennie, Andrew/0000-0001-9151-4821; George, Emma/0000-0001-9936-1911; Sanders, Taren/0000-0002-4504-6008; Kolt, Gregory/0000-0002-9223-3324; Merom, Dafna/0000-0001-6459-8628; Astell-Burt, Thomas/0000-0002-1498-4851; Macmillan, Freya/0000-0003-3176-2465; /0000-0003-2763-4321; Cook, Amelia/0000-0002-9443-3821; Guagliano, Justin/0000-0002-4450-5700; Feng, Xiaoqi/0000-0002-3421-220X</t>
        </is>
      </c>
      <c r="AD61" t="inlineStr">
        <is>
          <t>National Health and Medical Research Council (NHMRC) Boosting Dementia Research Leadership Fellowship [1140317]; National Heart Foundation of Australia Fellowship [100948]; NHMRC Project Grant [1101065]; Hort Innovation Limited; University of Wollongong (UOW) Faculty of Social Sciences [GC15005]; UOW Global Challenges initiative [GC15005]; Australian Government [GC15005]; National Health and Medical Research Council of Australia [1101065] Funding Source: NHMRC</t>
        </is>
      </c>
      <c r="AE61" t="inlineStr">
        <is>
          <t>National Health and Medical Research Council (NHMRC) Boosting Dementia Research Leadership Fellowship(National Health and Medical Research Council (NHMRC) of Australia); National Heart Foundation of Australia Fellowship(National Heart Foundation of Australia); NHMRC Project Grant(National Health and Medical Research Council (NHMRC) of Australia); Hort Innovation Limited; University of Wollongong (UOW) Faculty of Social Sciences; UOW Global Challenges initiative; Australian Government(Australian Government); National Health and Medical Research Council of Australia(National Health and Medical Research Council (NHMRC) of Australia)</t>
        </is>
      </c>
      <c r="AF61" t="inlineStr">
        <is>
          <t>We thank Andrew Page, Brendon Hyndman, Mel Dunshea and Fran Moran for providing assistance with the initial screening of a sub-set of titles and abstracts and/or rating of risk of bias in a sub-set of included studies. Thomas Astell-Burt is supported by a National Health and Medical Research Council (NHMRC) Boosting Dementia Research Leadership Fellowship (#1140317). Xiaoqi Feng is supported by a National Heart Foundation of Australia Fellowship (#100948). Thomas Astell-Burt and Xiaoqi Feng are also jointly supported by an NHMRC Project Grant (#1101065) and Hort Innovation Limited with co-investment from the University of Wollongong (UOW) Faculty of Social Sciences, the UOW Global Challenges initiative and the Australian Government (project number #GC15005).</t>
        </is>
      </c>
      <c r="AH61" t="n">
        <v>61</v>
      </c>
      <c r="AI61" t="n">
        <v>45</v>
      </c>
      <c r="AJ61" t="n">
        <v>45</v>
      </c>
      <c r="AK61" t="n">
        <v>6</v>
      </c>
      <c r="AL61" t="n">
        <v>34</v>
      </c>
      <c r="AM61" t="inlineStr">
        <is>
          <t>MDPI</t>
        </is>
      </c>
      <c r="AN61" t="inlineStr">
        <is>
          <t>BASEL</t>
        </is>
      </c>
      <c r="AO61" t="inlineStr">
        <is>
          <t>ST ALBAN-ANLAGE 66, CH-4052 BASEL, SWITZERLAND</t>
        </is>
      </c>
      <c r="AQ61" t="inlineStr">
        <is>
          <t>1660-4601</t>
        </is>
      </c>
      <c r="AS61" t="inlineStr">
        <is>
          <t>INT J ENV RES PUB HE</t>
        </is>
      </c>
      <c r="AT61" t="inlineStr">
        <is>
          <t>Int. J. Environ. Res. Public Health</t>
        </is>
      </c>
      <c r="AU61" t="inlineStr">
        <is>
          <t>FEB</t>
        </is>
      </c>
      <c r="AV61" t="n">
        <v>2018</v>
      </c>
      <c r="AW61" t="n">
        <v>15</v>
      </c>
      <c r="AX61" t="n">
        <v>2</v>
      </c>
      <c r="BE61" t="n">
        <v>217</v>
      </c>
      <c r="BF61" t="inlineStr">
        <is>
          <t>10.3390/ijerph15020217</t>
        </is>
      </c>
      <c r="BG61">
        <f>HYPERLINK("http://dx.doi.org/10.3390/ijerph15020217","http://dx.doi.org/10.3390/ijerph15020217")</f>
        <v/>
      </c>
      <c r="BJ61" t="n">
        <v>29</v>
      </c>
      <c r="BK61" t="inlineStr">
        <is>
          <t>Environmental Sciences; Public, Environmental &amp; Occupational Health</t>
        </is>
      </c>
      <c r="BL61" t="inlineStr">
        <is>
          <t>Science Citation Index Expanded (SCI-EXPANDED); Social Science Citation Index (SSCI)</t>
        </is>
      </c>
      <c r="BM61" t="inlineStr">
        <is>
          <t>Environmental Sciences &amp; Ecology; Public, Environmental &amp; Occupational Health</t>
        </is>
      </c>
      <c r="BN61" t="inlineStr">
        <is>
          <t>FY3LM</t>
        </is>
      </c>
      <c r="BO61" t="n">
        <v>29373567</v>
      </c>
      <c r="BP61" t="inlineStr">
        <is>
          <t>Green Submitted, gold, Green Published, Green Accepted</t>
        </is>
      </c>
      <c r="BS61" t="inlineStr">
        <is>
          <t>2023-10-26</t>
        </is>
      </c>
      <c r="BT61" t="inlineStr">
        <is>
          <t>WOS:000426721400042</t>
        </is>
      </c>
      <c r="BU61">
        <f>HYPERLINK("https%3A%2F%2Fwww.webofscience.com%2Fwos%2Fwoscc%2Ffull-record%2FWOS:000426721400042","View Full Record in Web of Science")</f>
        <v/>
      </c>
    </row>
    <row r="62">
      <c r="A62" t="inlineStr">
        <is>
          <t>J</t>
        </is>
      </c>
      <c r="B62" t="inlineStr">
        <is>
          <t>Gao, H; Xu, ZK; Chen, Y; Lu, YT; Lin, J</t>
        </is>
      </c>
      <c r="F62" t="inlineStr">
        <is>
          <t>Gao, Hei; Xu, Zike; Chen, Yu; Lu, Yutian; Lin, Jian</t>
        </is>
      </c>
      <c r="J62" t="inlineStr">
        <is>
          <t>INTERNATIONAL JOURNAL OF ENVIRONMENTAL RESEARCH AND PUBLIC HEALTH</t>
        </is>
      </c>
      <c r="M62" t="inlineStr">
        <is>
          <t>English</t>
        </is>
      </c>
      <c r="N62" t="inlineStr">
        <is>
          <t>Article</t>
        </is>
      </c>
      <c r="T62" t="inlineStr">
        <is>
          <t>Walking Environment and Obesity: A Gender-Specific Association Study in Shanghai</t>
        </is>
      </c>
      <c r="U62" t="inlineStr">
        <is>
          <t>obesity; BMI index; walking environment; gender</t>
        </is>
      </c>
      <c r="V62" t="inlineStr">
        <is>
          <t>BODY-MASS INDEX; PHYSICAL-ACTIVITY; BUILT ENVIRONMENTS; NEIGHBORHOOD WALKABILITY; HEART-DISEASE; HEALTH; OVERWEIGHT; RISK; MORTALITY; PATHWAYS</t>
        </is>
      </c>
      <c r="W62" t="inlineStr">
        <is>
          <t>Walking environment is commonly cited as an element that reduces the risk of obesity. Many literatures have shown that the impact of walking environment on the incidence rate of obesity may vary across gender, but few studies have conducted in-depth investigations. The present study aimed to provide empirical evidence for a cross-sectional association between the built community environment and the incidence of obesity among male and female residents. Thus, we collected height and weight level of 1355 residents and constructed seven walking environment indicators around 54 communities. Also, BMI was calculated and categorized to define overweight and obesity. We used generalized estimation equation to evaluate the gender-specific association between walking environment on obesity based on a diverse population sample. The study showed that female residents who lived in neighborhoods with higher road sky view index (p = 0.033; OR = 0.002 [95% CI = 0.001-0.619]) and increased intersection density (p = 0.009; OR = 0.979 [95% CI = 0.963-0.995]) showed lower risk of increased BMI, but the advantage does not successfully radiate significant obesity consequences. In addition, the increased density of bus stops can also reduce the risk of obesity in women groups (p = 0.035; OR = 0.910 [95% CI = 0.836-0.990]). These findings suggest that women were more sensitive and were more likely to make different behavioral choices and physiological responses due to distinct walking environments. This provides useful evidence for future obesity prevention and urban planning.</t>
        </is>
      </c>
      <c r="X62" t="inlineStr">
        <is>
          <t>[Gao, Hei; Chen, Yu] Zhejiang Univ, Zhejiang Univ Co Ltd, Architectural Design &amp; Res Inst, Hangzhou 310028, Peoples R China; [Gao, Hei] Zhejiang Univ, Ctr Balanced Architecture, Zijingang Campus, Hangzhou 310058, Peoples R China; [Xu, Zike] Zhejiang Univ, Coll Agr &amp; Biotechnol, Hangzhou 310058, Peoples R China; [Lu, Yutian] Zhejiang Univ, Coll Comp Sci &amp; Technol, Hangzhou 310058, Peoples R China; [Lin, Jian] Peking Univ, Coll Urban &amp; Environm Sci, Dept Urban &amp; Reg Planning, Beijing 100871, Peoples R China</t>
        </is>
      </c>
      <c r="Y62" t="inlineStr">
        <is>
          <t>Zhejiang University; Zhejiang University; Zhejiang University; Zhejiang University; Peking University</t>
        </is>
      </c>
      <c r="Z62" t="inlineStr">
        <is>
          <t>Lin, J (corresponding author), Peking Univ, Coll Urban &amp; Environm Sci, Dept Urban &amp; Reg Planning, Beijing 100871, Peoples R China.</t>
        </is>
      </c>
      <c r="AA62" t="inlineStr">
        <is>
          <t>gh1@zuadr.com; 22016271@zju.edu.cn; cyzuadr@126.com; yutianlu@zju.edu.cn; linjianpku@163.com</t>
        </is>
      </c>
      <c r="AB62" t="inlineStr">
        <is>
          <t>wang, qiang/IZW-1751-2023; Lu, Jianhong/IYT-3322-2023; zhang, shuai/IVU-7877-2023</t>
        </is>
      </c>
      <c r="AC62" t="inlineStr">
        <is>
          <t>Lu, Yutian/0000-0003-3060-7914</t>
        </is>
      </c>
      <c r="AD62" t="inlineStr">
        <is>
          <t>Natural Science Fund of Zhejiang Province [LY22E080013]; Centre for Balance Architecture, Zhejiang University [2021-KYY-669000-0014]</t>
        </is>
      </c>
      <c r="AE62" t="inlineStr">
        <is>
          <t>Natural Science Fund of Zhejiang Province(Natural Science Foundation of Zhejiang Province); Centre for Balance Architecture, Zhejiang University</t>
        </is>
      </c>
      <c r="AF62" t="inlineStr">
        <is>
          <t>FundingThis work was supported by the Natural Science Fund of Zhejiang Province (LY22E080013), and Centre for Balance Architecture, Zhejiang University (2021-KYY-669000-0014).</t>
        </is>
      </c>
      <c r="AH62" t="n">
        <v>56</v>
      </c>
      <c r="AI62" t="n">
        <v>1</v>
      </c>
      <c r="AJ62" t="n">
        <v>1</v>
      </c>
      <c r="AK62" t="n">
        <v>8</v>
      </c>
      <c r="AL62" t="n">
        <v>19</v>
      </c>
      <c r="AM62" t="inlineStr">
        <is>
          <t>MDPI</t>
        </is>
      </c>
      <c r="AN62" t="inlineStr">
        <is>
          <t>BASEL</t>
        </is>
      </c>
      <c r="AO62" t="inlineStr">
        <is>
          <t>ST ALBAN-ANLAGE 66, CH-4052 BASEL, SWITZERLAND</t>
        </is>
      </c>
      <c r="AQ62" t="inlineStr">
        <is>
          <t>1660-4601</t>
        </is>
      </c>
      <c r="AS62" t="inlineStr">
        <is>
          <t>INT J ENV RES PUB HE</t>
        </is>
      </c>
      <c r="AT62" t="inlineStr">
        <is>
          <t>Int. J. Environ. Res. Public Health</t>
        </is>
      </c>
      <c r="AU62" t="inlineStr">
        <is>
          <t>FEB</t>
        </is>
      </c>
      <c r="AV62" t="n">
        <v>2022</v>
      </c>
      <c r="AW62" t="n">
        <v>19</v>
      </c>
      <c r="AX62" t="n">
        <v>4</v>
      </c>
      <c r="BE62" t="n">
        <v>2056</v>
      </c>
      <c r="BF62" t="inlineStr">
        <is>
          <t>10.3390/ijerph19042056</t>
        </is>
      </c>
      <c r="BG62">
        <f>HYPERLINK("http://dx.doi.org/10.3390/ijerph19042056","http://dx.doi.org/10.3390/ijerph19042056")</f>
        <v/>
      </c>
      <c r="BJ62" t="n">
        <v>16</v>
      </c>
      <c r="BK62" t="inlineStr">
        <is>
          <t>Environmental Sciences; Public, Environmental &amp; Occupational Health</t>
        </is>
      </c>
      <c r="BL62" t="inlineStr">
        <is>
          <t>Science Citation Index Expanded (SCI-EXPANDED); Social Science Citation Index (SSCI)</t>
        </is>
      </c>
      <c r="BM62" t="inlineStr">
        <is>
          <t>Environmental Sciences &amp; Ecology; Public, Environmental &amp; Occupational Health</t>
        </is>
      </c>
      <c r="BN62" t="inlineStr">
        <is>
          <t>ZK6HI</t>
        </is>
      </c>
      <c r="BO62" t="n">
        <v>35206245</v>
      </c>
      <c r="BP62" t="inlineStr">
        <is>
          <t>gold, Green Published</t>
        </is>
      </c>
      <c r="BS62" t="inlineStr">
        <is>
          <t>2023-10-26</t>
        </is>
      </c>
      <c r="BT62" t="inlineStr">
        <is>
          <t>WOS:000763087400001</t>
        </is>
      </c>
      <c r="BU62">
        <f>HYPERLINK("https%3A%2F%2Fwww.webofscience.com%2Fwos%2Fwoscc%2Ffull-record%2FWOS:000763087400001","View Full Record in Web of Science")</f>
        <v/>
      </c>
    </row>
    <row r="63">
      <c r="A63" t="inlineStr">
        <is>
          <t>J</t>
        </is>
      </c>
      <c r="B63" t="inlineStr">
        <is>
          <t>de Keijzer, C; Tonne, C; Sabia, S; Basagaña, X; Valentín, A; Singh-Manoux, A; Antó, JM; Alonso, J; Nieuwenhuijsen, MJ; Sunyer, J; Dadvand, P</t>
        </is>
      </c>
      <c r="F63" t="inlineStr">
        <is>
          <t>de Keijzer, Carmen; Tonne, Cathryn; Sabia, Severine; Basagana, Xavier; Valentin, Antonia; Singh-Manoux, Archana; Maria Anto, Josep; Alonso, Jordi; Nieuwenhuijsen, Mark J.; Sunyer, Jordi; Dadvand, Payam</t>
        </is>
      </c>
      <c r="J63" t="inlineStr">
        <is>
          <t>ENVIRONMENT INTERNATIONAL</t>
        </is>
      </c>
      <c r="M63" t="inlineStr">
        <is>
          <t>English</t>
        </is>
      </c>
      <c r="N63" t="inlineStr">
        <is>
          <t>Article</t>
        </is>
      </c>
      <c r="T63" t="inlineStr">
        <is>
          <t>Green and blue spaces and physical functioning in older adults: Longitudinal analyses of the Whitehall II study</t>
        </is>
      </c>
      <c r="U63" t="inlineStr">
        <is>
          <t>Physical capability; Functional status; Sea; NDVI; Built environment; Ageing</t>
        </is>
      </c>
      <c r="V63" t="inlineStr">
        <is>
          <t>NATURAL OUTDOOR ENVIRONMENTS; LIFE-COURSE APPROACH; RESIDENTIAL GREEN; AIR-POLLUTION; NEIGHBORHOOD ENVIRONMENT; GRIP STRENGTH; HEALTH; EXPOSURE; ASSOCIATION; DISABILITY</t>
        </is>
      </c>
      <c r="W63" t="inlineStr">
        <is>
          <t>There is increasing evidence of the health benefits of exposure to natural environments, including green and blue spaces. The association with physical functioning and its decline at older age remains to be explored. The aim of the present study was to investigate the longitudinal association between the natural environment and the decline in physical functioning in older adults. We based our analyses on three follow-ups (2002-2013) of the Whitehall II study, including 5759 participants (aged 50 to 74 years at baseline) in the UK. Exposure to natural environments was assessed at each follow-up as (1) residential surrounding greenness across buffers of 500 and 1000 m around the participants' address using satellite-based indices of greenness (Enhanced Vegetation Index (EVI) and Normalized Difference Vegetation Index (NDVI)) and (2) the distance from home to the nearest natural environment, separately for green and blue spaces, using a land cover map. Physical functioning was characterized by walking speed, measured three times, and grip strength, measured twice. Linear mixed effects models were used to quantify the impact of green and blue space on physical functioning trajectories, controlled for relevant covariates. We found higher residential surrounding greenness (EVI and NDVI) to be associated with slower 10-year decline in walking speed. Furthermore, proximity to natural environments (green and blue spaces combined) was associated with slower decline in walking speed and grip strength. We observed stronger associations between distance to natural environments and decline in physical functioning in areas with higher compared to lower area-level deprivation. However, no association was observed with distance to green or blue spaces separately. The associations with decline in physical functioning were partially mediated by social functioning and mental health. Our results suggest that higher residential surrounding greenness and living closer to natural environments contribute to better physical functioning at older ages.</t>
        </is>
      </c>
      <c r="X63" t="inlineStr">
        <is>
          <t>[de Keijzer, Carmen; Tonne, Cathryn; Basagana, Xavier; Valentin, Antonia; Maria Anto, Josep; Nieuwenhuijsen, Mark J.; Sunyer, Jordi; Dadvand, Payam] ISGlobal, Barcelona, Catalonia, Spain; [de Keijzer, Carmen; Tonne, Cathryn; Basagana, Xavier; Valentin, Antonia; Maria Anto, Josep; Alonso, Jordi; Nieuwenhuijsen, Mark J.; Sunyer, Jordi; Dadvand, Payam] UPF, Barcelona, Catalonia, Spain; [de Keijzer, Carmen; Tonne, Cathryn; Basagana, Xavier; Valentin, Antonia; Maria Anto, Josep; Alonso, Jordi; Nieuwenhuijsen, Mark J.; Sunyer, Jordi; Dadvand, Payam] CIBERESP, Madrid, Spain; [Sabia, Severine; Singh-Manoux, Archana] INSERM, U1153, Epidemiol Ageing &amp; Neurodegenerat Dis, Paris, France; [Sabia, Severine; Singh-Manoux, Archana] UCL, Dept Epidemiol &amp; Publ Hlth, London, England; [Alonso, Jordi] IMIM Parc Salut Mar, Barcelona, Catalonia, Spain</t>
        </is>
      </c>
      <c r="Y63" t="inlineStr">
        <is>
          <t>ISGlobal; Pompeu Fabra University; CIBER - Centro de Investigacion Biomedica en Red; CIBERESP; UDICE-French Research Universities; Universite Paris Cite; Institut National de la Sante et de la Recherche Medicale (Inserm); University of London; University College London; Hospital del Mar Research Institute</t>
        </is>
      </c>
      <c r="Z63" t="inlineStr">
        <is>
          <t>Dadvand, P (corresponding author), C Doctor Aiguader 88, Barcelona 08003, Spain.</t>
        </is>
      </c>
      <c r="AA63" t="inlineStr">
        <is>
          <t>payam.dadvand@isglobal.org</t>
        </is>
      </c>
      <c r="AB63" t="inlineStr">
        <is>
          <t>Alonso, Jordi/A-5514-2010; Sabia, Séverine/G-2966-2017; Dadvand, Payam/O-8053-2018; Tonne, Cathryn/F-5020-2017; Anto, J M/H-2676-2014; Sunyer, Jordi/G-6909-2014; Nieuwenhuijsen, Mark J/C-3914-2017; Singh-Manoux, Archana/F-6804-2013; Basagaña, Xavier/C-3901-2017</t>
        </is>
      </c>
      <c r="AC63" t="inlineStr">
        <is>
          <t>Alonso, Jordi/0000-0001-8627-9636; Sabia, Séverine/0000-0003-3109-9720; Dadvand, Payam/0000-0002-2325-1027; Tonne, Cathryn/0000-0003-3919-8264; Anto, J M/0000-0002-4736-8529; Sunyer, Jordi/0000-0002-2602-4110; Nieuwenhuijsen, Mark J/0000-0001-9461-7981; Singh-Manoux, Archana/0000-0002-1244-5037; Basagaña, Xavier/0000-0002-8457-1489</t>
        </is>
      </c>
      <c r="AD63" t="inlineStr">
        <is>
          <t>UK Medical Research Council [MRC MR/R024227/1]; British Heart Foundation [RG/13/2/30098]; US National Institute on Ageing [R01AG013196, R01AG034454, R01AG056477]; Ramon y Cajal fellowships - Spanish Ministry of Economy and Competitiveness [RYC-2012-10995, RYC-2015-17402]; MRC [MR/K013351/1, MR/R024227/1] Funding Source: UKRI; Medical Research Council [MR/R024227/1] Funding Source: researchfish</t>
        </is>
      </c>
      <c r="AE63" t="inlineStr">
        <is>
          <t>UK Medical Research Council(UK Research &amp; Innovation (UKRI)Medical Research Council UK (MRC)); British Heart Foundation(British Heart Foundation); US National Institute on Ageing(United States Department of Health &amp; Human ServicesNational Institutes of Health (NIH) - USANIH National Institute on Aging (NIA)); Ramon y Cajal fellowships - Spanish Ministry of Economy and Competitiveness; MRC(UK Research &amp; Innovation (UKRI)Medical Research Council UK (MRC)); Medical Research Council(UK Research &amp; Innovation (UKRI)Medical Research Council UK (MRC))</t>
        </is>
      </c>
      <c r="AF63" t="inlineStr">
        <is>
          <t>The UK Medical Research Council (MRC MR/R024227/1), British Heart Foundation (RG/13/2/30098), and the US National Institute on Ageing (R01AG013196; R01AG034454; R01AG056477) have supported collection of data in the Whitehall II Study. Payam Dadvand [RYC-2012-10995] and Cathryn Tonne [RYC-2015-17402] are funded by Ramon y Cajal fellowships awarded by the Spanish Ministry of Economy and Competitiveness. The funders have not been involved in any part of the study design or reporting.</t>
        </is>
      </c>
      <c r="AH63" t="n">
        <v>75</v>
      </c>
      <c r="AI63" t="n">
        <v>58</v>
      </c>
      <c r="AJ63" t="n">
        <v>61</v>
      </c>
      <c r="AK63" t="n">
        <v>9</v>
      </c>
      <c r="AL63" t="n">
        <v>68</v>
      </c>
      <c r="AM63" t="inlineStr">
        <is>
          <t>PERGAMON-ELSEVIER SCIENCE LTD</t>
        </is>
      </c>
      <c r="AN63" t="inlineStr">
        <is>
          <t>OXFORD</t>
        </is>
      </c>
      <c r="AO63" t="inlineStr">
        <is>
          <t>THE BOULEVARD, LANGFORD LANE, KIDLINGTON, OXFORD OX5 1GB, ENGLAND</t>
        </is>
      </c>
      <c r="AP63" t="inlineStr">
        <is>
          <t>0160-4120</t>
        </is>
      </c>
      <c r="AQ63" t="inlineStr">
        <is>
          <t>1873-6750</t>
        </is>
      </c>
      <c r="AS63" t="inlineStr">
        <is>
          <t>ENVIRON INT</t>
        </is>
      </c>
      <c r="AT63" t="inlineStr">
        <is>
          <t>Environ. Int.</t>
        </is>
      </c>
      <c r="AU63" t="inlineStr">
        <is>
          <t>JAN</t>
        </is>
      </c>
      <c r="AV63" t="n">
        <v>2019</v>
      </c>
      <c r="AW63" t="n">
        <v>122</v>
      </c>
      <c r="BC63" t="n">
        <v>346</v>
      </c>
      <c r="BD63" t="n">
        <v>356</v>
      </c>
      <c r="BF63" t="inlineStr">
        <is>
          <t>10.1016/j.envint.2018.11.046</t>
        </is>
      </c>
      <c r="BG63">
        <f>HYPERLINK("http://dx.doi.org/10.1016/j.envint.2018.11.046","http://dx.doi.org/10.1016/j.envint.2018.11.046")</f>
        <v/>
      </c>
      <c r="BJ63" t="n">
        <v>11</v>
      </c>
      <c r="BK63" t="inlineStr">
        <is>
          <t>Environmental Sciences</t>
        </is>
      </c>
      <c r="BL63" t="inlineStr">
        <is>
          <t>Science Citation Index Expanded (SCI-EXPANDED); Social Science Citation Index (SSCI)</t>
        </is>
      </c>
      <c r="BM63" t="inlineStr">
        <is>
          <t>Environmental Sciences &amp; Ecology</t>
        </is>
      </c>
      <c r="BN63" t="inlineStr">
        <is>
          <t>HF6OB</t>
        </is>
      </c>
      <c r="BO63" t="n">
        <v>30503316</v>
      </c>
      <c r="BP63" t="inlineStr">
        <is>
          <t>Green Published, Green Accepted, gold</t>
        </is>
      </c>
      <c r="BS63" t="inlineStr">
        <is>
          <t>2023-10-26</t>
        </is>
      </c>
      <c r="BT63" t="inlineStr">
        <is>
          <t>WOS:000454356400035</t>
        </is>
      </c>
      <c r="BU63">
        <f>HYPERLINK("https%3A%2F%2Fwww.webofscience.com%2Fwos%2Fwoscc%2Ffull-record%2FWOS:000454356400035","View Full Record in Web of Science")</f>
        <v/>
      </c>
    </row>
    <row r="64">
      <c r="A64" t="inlineStr">
        <is>
          <t>J</t>
        </is>
      </c>
      <c r="B64" t="inlineStr">
        <is>
          <t>Santi, G; Leporelli, E; Di Sivo, M</t>
        </is>
      </c>
      <c r="F64" t="inlineStr">
        <is>
          <t>Santi, Giovanni; Leporelli, Emanuele; Di Sivo, Michele</t>
        </is>
      </c>
      <c r="J64" t="inlineStr">
        <is>
          <t>SUSTAINABILITY</t>
        </is>
      </c>
      <c r="M64" t="inlineStr">
        <is>
          <t>English</t>
        </is>
      </c>
      <c r="N64" t="inlineStr">
        <is>
          <t>Article</t>
        </is>
      </c>
      <c r="T64" t="inlineStr">
        <is>
          <t>Improving Sustainability in Architectural Research: Biopsychosocial Requirements in the Design of Urban Spaces</t>
        </is>
      </c>
      <c r="U64" t="inlineStr">
        <is>
          <t>urban design; healthy city; psychology of sustainability and sustainable development; sustainability technologies; urban environment; urban health</t>
        </is>
      </c>
      <c r="V64" t="inlineStr">
        <is>
          <t>REGENERATION</t>
        </is>
      </c>
      <c r="W64" t="inlineStr">
        <is>
          <t>There is an ever increasing interest in identifying the links between architecture and public health and in how urban design can positively influence the latter. The psychology of sustainability and sustainable development represents an innovative research area as a recent contribution to sustainability science and its trans-disciplinary configuration. The research topic deals with the importance and the centrality of the user-centered approach in the observation of the relationships among mankind, technological systems, and built environments, for projects that guarantee the conditions of physical, mental, and social well-being. Starting from the plurality of different disciplinary sectors, from anthropometry and sociology to psychology, human experience and user's expectations are explored, understood, and systematized. The analysis of the relationship between health and urban design has allowed researchers to identify design strategies to improve the level of urban livability. The city of Pisa is the case study; mobility within the city is redefined through various levels of the use of space so that paths and areas of inclusion and socialization are re-valued, while new scenarios for some urban spaces open up. In this perspective, the design strategies synthetically follow two main directions: the re-appropriation of these places by the citizens and, at the same time, the promotion of their well-being from both a physical and psychological point of view.</t>
        </is>
      </c>
      <c r="X64" t="inlineStr">
        <is>
          <t>[Santi, Giovanni; Leporelli, Emanuele; Di Sivo, Michele] Univ Pisa, Dept Energy Syst Terr &amp; Construct Engn, I-56122 Pisa, Italy</t>
        </is>
      </c>
      <c r="Y64" t="inlineStr">
        <is>
          <t>University of Pisa</t>
        </is>
      </c>
      <c r="Z64" t="inlineStr">
        <is>
          <t>Santi, G (corresponding author), Univ Pisa, Dept Energy Syst Terr &amp; Construct Engn, I-56122 Pisa, Italy.</t>
        </is>
      </c>
      <c r="AA64" t="inlineStr">
        <is>
          <t>giovanni.santi@unipi.it; emanuele.leporelli@ing.unipi.it; michele.disivo@unipi.it</t>
        </is>
      </c>
      <c r="AB64" t="inlineStr">
        <is>
          <t>Leporelli, Emanuele/AAT-9328-2021; Santi, Giovanni/U-6532-2018</t>
        </is>
      </c>
      <c r="AC64" t="inlineStr">
        <is>
          <t>Leporelli, Emanuele/0000-0002-8112-2266; Santi, Giovanni/0000-0001-7410-4900</t>
        </is>
      </c>
      <c r="AH64" t="n">
        <v>58</v>
      </c>
      <c r="AI64" t="n">
        <v>7</v>
      </c>
      <c r="AJ64" t="n">
        <v>7</v>
      </c>
      <c r="AK64" t="n">
        <v>3</v>
      </c>
      <c r="AL64" t="n">
        <v>20</v>
      </c>
      <c r="AM64" t="inlineStr">
        <is>
          <t>MDPI</t>
        </is>
      </c>
      <c r="AN64" t="inlineStr">
        <is>
          <t>BASEL</t>
        </is>
      </c>
      <c r="AO64" t="inlineStr">
        <is>
          <t>ST ALBAN-ANLAGE 66, CH-4052 BASEL, SWITZERLAND</t>
        </is>
      </c>
      <c r="AQ64" t="inlineStr">
        <is>
          <t>2071-1050</t>
        </is>
      </c>
      <c r="AS64" t="inlineStr">
        <is>
          <t>SUSTAINABILITY-BASEL</t>
        </is>
      </c>
      <c r="AT64" t="inlineStr">
        <is>
          <t>Sustainability</t>
        </is>
      </c>
      <c r="AU64" t="inlineStr">
        <is>
          <t>MAR 2</t>
        </is>
      </c>
      <c r="AV64" t="n">
        <v>2019</v>
      </c>
      <c r="AW64" t="n">
        <v>11</v>
      </c>
      <c r="AX64" t="n">
        <v>6</v>
      </c>
      <c r="BE64" t="n">
        <v>1585</v>
      </c>
      <c r="BF64" t="inlineStr">
        <is>
          <t>10.3390/su11061585</t>
        </is>
      </c>
      <c r="BG64">
        <f>HYPERLINK("http://dx.doi.org/10.3390/su11061585","http://dx.doi.org/10.3390/su11061585")</f>
        <v/>
      </c>
      <c r="BJ64" t="n">
        <v>14</v>
      </c>
      <c r="BK64" t="inlineStr">
        <is>
          <t>Green &amp; Sustainable Science &amp; Technology; Environmental Sciences; Environmental Studies</t>
        </is>
      </c>
      <c r="BL64" t="inlineStr">
        <is>
          <t>Science Citation Index Expanded (SCI-EXPANDED); Social Science Citation Index (SSCI)</t>
        </is>
      </c>
      <c r="BM64" t="inlineStr">
        <is>
          <t>Science &amp; Technology - Other Topics; Environmental Sciences &amp; Ecology</t>
        </is>
      </c>
      <c r="BN64" t="inlineStr">
        <is>
          <t>HU9KJ</t>
        </is>
      </c>
      <c r="BP64" t="inlineStr">
        <is>
          <t>gold, Green Published, Green Submitted</t>
        </is>
      </c>
      <c r="BS64" t="inlineStr">
        <is>
          <t>2023-10-26</t>
        </is>
      </c>
      <c r="BT64" t="inlineStr">
        <is>
          <t>WOS:000465613000080</t>
        </is>
      </c>
      <c r="BU64">
        <f>HYPERLINK("https%3A%2F%2Fwww.webofscience.com%2Fwos%2Fwoscc%2Ffull-record%2FWOS:000465613000080","View Full Record in Web of Science")</f>
        <v/>
      </c>
    </row>
    <row r="65">
      <c r="A65" t="inlineStr">
        <is>
          <t>J</t>
        </is>
      </c>
      <c r="B65" t="inlineStr">
        <is>
          <t>Wang, Y; Ao, YB; Zhang, YT; Liu, Y; Zhao, L; Chen, YF</t>
        </is>
      </c>
      <c r="F65" t="inlineStr">
        <is>
          <t>Wang, Yan; Ao, Yibin; Zhang, Yuting; Liu, Yan; Zhao, Lei; Chen, Yunfeng</t>
        </is>
      </c>
      <c r="J65" t="inlineStr">
        <is>
          <t>SUSTAINABILITY</t>
        </is>
      </c>
      <c r="M65" t="inlineStr">
        <is>
          <t>English</t>
        </is>
      </c>
      <c r="N65" t="inlineStr">
        <is>
          <t>Article</t>
        </is>
      </c>
      <c r="T65" t="inlineStr">
        <is>
          <t>Impact of the Built Environment and Bicycling Psychological Factors on the Acceptable Bicycling Distance of Rural Residents</t>
        </is>
      </c>
      <c r="U65" t="inlineStr">
        <is>
          <t>rural built environment; bicycling distance; bicycling psychological factors; bicycling behavior; multiple linear regression model</t>
        </is>
      </c>
      <c r="V65" t="inlineStr">
        <is>
          <t>PHYSICAL-ACTIVITY; ROUTE CHOICE; ACTIVE TRANSPORTATION; URBAN DESIGN; ASSOCIATION; PREFERENCE; SAFETY; TRAVEL; WORK; INFRASTRUCTURE</t>
        </is>
      </c>
      <c r="W65" t="inlineStr">
        <is>
          <t>The ability to understand bicycling behavior in China's rural areas is critical in constructing an improved, sustainable, countryside amid the rapid urbanization in the country. This study analyzes the influence of individual bicycling psychology, objective, and perceived built environment on the acceptable bicycling distance of rural residents. This research is conducted by controlling for the socio-demographic characteristics of the residents on the bases of a face-to-face questionnaire survey and an on-site measurement. Exploratory factor analysis shows three attitudinal common factors on bicycling infrastructure, namely, bicycling ancillary facilities, bicycle lane conditions, and safety, and two bicycling motivation factors, namely, convenience and other motivations. Multiple linear regression was estimated and results of the models were consistent. Individual bicycling psychology and built environment factors significantly influence the acceptable bicycling distance of rural residents. The socio-demographic variables insignificantly influence the acceptable bicycling distance, which is inconsistent with the existing literature. The research results provide a broad empirical base for the complex relationships among individual bicycling psychological factors, objective and perceived built environment, and bicycling behavior. This study presents the first research on bicycling in Chinese rural areas and provides guidance for the development of effective countermeasures in constructing ecovillages.</t>
        </is>
      </c>
      <c r="X65" t="inlineStr">
        <is>
          <t>[Wang, Yan] Sichuan Coll Architectural Technol, Dept Engn Management, Deyang 618000, Peoples R China; [Ao, Yibin; Zhang, Yuting; Zhao, Lei] Chengdu Univ Technol, Coll Environm &amp; Civil Engn, Chengdu 610059, Sichuan, Peoples R China; [Liu, Yan] Univ Elect Sci &amp; Technol China, Sch Publ Affairs &amp; Adm, Chengdu 611731, Sichuan, Peoples R China; [Chen, Yunfeng] Purdue Univ, Sch Construct Management Technol, Purdue Polytech Inst, W Lafayette, IN 47907 USA</t>
        </is>
      </c>
      <c r="Y65" t="inlineStr">
        <is>
          <t>Chengdu University of Technology; University of Electronic Science &amp; Technology of China; Purdue University System; Purdue University; Purdue University West Lafayette Campus</t>
        </is>
      </c>
      <c r="Z65" t="inlineStr">
        <is>
          <t>Ao, YB (corresponding author), Chengdu Univ Technol, Coll Environm &amp; Civil Engn, Chengdu 610059, Sichuan, Peoples R China.</t>
        </is>
      </c>
      <c r="AA65" t="inlineStr">
        <is>
          <t>aoyibin10@mail.cdut.edu.cn</t>
        </is>
      </c>
      <c r="AB65" t="inlineStr">
        <is>
          <t>ZHANG, YUTING/HOH-4131-2023</t>
        </is>
      </c>
      <c r="AC65" t="inlineStr">
        <is>
          <t>Ao, Yibin/0000-0001-7288-638X; Chen, Yunfeng/0000-0002-0108-8484</t>
        </is>
      </c>
      <c r="AD65" t="inlineStr">
        <is>
          <t>Natural Science Key Project from the Sichuan Provincial Department of Education [18ZA0048]; Sichuan Rural Community Governance Research Center [SQZL2019C01]; Sichuan Xinnong Village Wind Civilization Construction Research Center [SCXN2019-004]; Development Research Center of Oil and Gas, Sichuan [CYQK-SKB17-04]</t>
        </is>
      </c>
      <c r="AE65" t="inlineStr">
        <is>
          <t>Natural Science Key Project from the Sichuan Provincial Department of Education; Sichuan Rural Community Governance Research Center; Sichuan Xinnong Village Wind Civilization Construction Research Center; Development Research Center of Oil and Gas, Sichuan</t>
        </is>
      </c>
      <c r="AF65" t="inlineStr">
        <is>
          <t>The authors appreciate financial support from the Natural Science Key Project from the Sichuan Provincial Department of Education (18ZA0048), Sichuan Rural Community Governance Research Center funding (SQZL2019C01), Sichuan Xinnong Village Wind Civilization Construction Research Center funding (SCXN2019-004), and the Development Research Center of Oil and Gas, Sichuan (CYQK-SKB17-04).</t>
        </is>
      </c>
      <c r="AH65" t="n">
        <v>65</v>
      </c>
      <c r="AI65" t="n">
        <v>3</v>
      </c>
      <c r="AJ65" t="n">
        <v>3</v>
      </c>
      <c r="AK65" t="n">
        <v>3</v>
      </c>
      <c r="AL65" t="n">
        <v>33</v>
      </c>
      <c r="AM65" t="inlineStr">
        <is>
          <t>MDPI</t>
        </is>
      </c>
      <c r="AN65" t="inlineStr">
        <is>
          <t>BASEL</t>
        </is>
      </c>
      <c r="AO65" t="inlineStr">
        <is>
          <t>ST ALBAN-ANLAGE 66, CH-4052 BASEL, SWITZERLAND</t>
        </is>
      </c>
      <c r="AQ65" t="inlineStr">
        <is>
          <t>2071-1050</t>
        </is>
      </c>
      <c r="AS65" t="inlineStr">
        <is>
          <t>SUSTAINABILITY-BASEL</t>
        </is>
      </c>
      <c r="AT65" t="inlineStr">
        <is>
          <t>Sustainability</t>
        </is>
      </c>
      <c r="AU65" t="inlineStr">
        <is>
          <t>AUG</t>
        </is>
      </c>
      <c r="AV65" t="n">
        <v>2019</v>
      </c>
      <c r="AW65" t="n">
        <v>11</v>
      </c>
      <c r="AX65" t="n">
        <v>16</v>
      </c>
      <c r="BE65" t="n">
        <v>4404</v>
      </c>
      <c r="BF65" t="inlineStr">
        <is>
          <t>10.3390/su11164404</t>
        </is>
      </c>
      <c r="BG65">
        <f>HYPERLINK("http://dx.doi.org/10.3390/su11164404","http://dx.doi.org/10.3390/su11164404")</f>
        <v/>
      </c>
      <c r="BJ65" t="n">
        <v>19</v>
      </c>
      <c r="BK65" t="inlineStr">
        <is>
          <t>Green &amp; Sustainable Science &amp; Technology; Environmental Sciences; Environmental Studies</t>
        </is>
      </c>
      <c r="BL65" t="inlineStr">
        <is>
          <t>Science Citation Index Expanded (SCI-EXPANDED); Social Science Citation Index (SSCI)</t>
        </is>
      </c>
      <c r="BM65" t="inlineStr">
        <is>
          <t>Science &amp; Technology - Other Topics; Environmental Sciences &amp; Ecology</t>
        </is>
      </c>
      <c r="BN65" t="inlineStr">
        <is>
          <t>IV7UO</t>
        </is>
      </c>
      <c r="BP65" t="inlineStr">
        <is>
          <t>gold, Green Published</t>
        </is>
      </c>
      <c r="BS65" t="inlineStr">
        <is>
          <t>2023-10-26</t>
        </is>
      </c>
      <c r="BT65" t="inlineStr">
        <is>
          <t>WOS:000484472500148</t>
        </is>
      </c>
      <c r="BU65">
        <f>HYPERLINK("https%3A%2F%2Fwww.webofscience.com%2Fwos%2Fwoscc%2Ffull-record%2FWOS:000484472500148","View Full Record in Web of Science")</f>
        <v/>
      </c>
    </row>
    <row r="66">
      <c r="A66" t="inlineStr">
        <is>
          <t>J</t>
        </is>
      </c>
      <c r="B66" t="inlineStr">
        <is>
          <t>Zang, P; Xian, F; Qiu, HL; Ma, SF; Guo, HX; Wang, MR; Yang, LC</t>
        </is>
      </c>
      <c r="F66" t="inlineStr">
        <is>
          <t>Zang, Peng; Xian, Fei; Qiu, Hualong; Ma, Shifa; Guo, Hongxu; Wang, Mengrui; Yang, Linchuan</t>
        </is>
      </c>
      <c r="J66" t="inlineStr">
        <is>
          <t>INTERNATIONAL JOURNAL OF ENVIRONMENTAL RESEARCH AND PUBLIC HEALTH</t>
        </is>
      </c>
      <c r="M66" t="inlineStr">
        <is>
          <t>English</t>
        </is>
      </c>
      <c r="N66" t="inlineStr">
        <is>
          <t>Article</t>
        </is>
      </c>
      <c r="T66" t="inlineStr">
        <is>
          <t>Differences in the Correlation between the Built Environment and Walking, Moderate, and Vigorous Physical Activity among the Elderly in Low- and High-Income Areas</t>
        </is>
      </c>
      <c r="U66" t="inlineStr">
        <is>
          <t>physical activity; built environment; physical environment; the elderly; Guangzhou</t>
        </is>
      </c>
      <c r="V66" t="inlineStr">
        <is>
          <t>OLDER-ADULTS; NEIGHBORHOOD ENVIRONMENTS; ASSOCIATIONS; WALKABILITY; INTENSITY; EXERCISE; BEHAVIOR; FITNESS; OBESITY; PEOPLE</t>
        </is>
      </c>
      <c r="W66" t="inlineStr">
        <is>
          <t>Studies have proved that activity and fitness behaviors are closely related to the quality of life and health status of the elderly. However, different intensities of physical activity (PA)-walking, moderate PA, and vigorous PA-have different correlations with the built environment (BE). This study combines the high and low socioeconomic status (SES) of Guangzhou to establish two types of BE models. The physical activity time of 600 elderly people was collected from questionnaires. Through ArcGIS software, 300 m, 500 m, 800 m, and 1000 m buffer zones were identified, and the land use diversity, street design, population density, distance to destination, distance to public transportation-the five Ds of the BE-were measured. SPSS software was adopted to analyze the correlation between the BE and PA. Results: The PA of people living in low-SES areas was more dependent on the BE, whereas the correlation may be limited in high SES areas. Moreover, in low SES areas, walking was negatively correlated with street connectivity; moderate PA was positively correlated with street connectivity and the shortest distance to the subway station, but negatively correlated with the density of entertainment points of interest (POIs). Studying the relevant factors of the environment can propose better strategies to improve the initiative of the elderly to engage in PA.</t>
        </is>
      </c>
      <c r="X66" t="inlineStr">
        <is>
          <t>[Zang, Peng; Xian, Fei; Qiu, Hualong; Ma, Shifa; Guo, Hongxu; Wang, Mengrui] Guangdong Univ Technol, Dept Architecture &amp; Urban Planning, 729 Dongfeng Rd, Guangzhou 510006, Peoples R China; [Yang, Linchuan] Southwest Jiaotong Univ, Sch Architecture, Dept Urban &amp; Rural Planning, Chengdu 611756, Peoples R China</t>
        </is>
      </c>
      <c r="Y66" t="inlineStr">
        <is>
          <t>Guangdong University of Technology; Southwest Jiaotong University</t>
        </is>
      </c>
      <c r="Z66" t="inlineStr">
        <is>
          <t>Ma, SF (corresponding author), Guangdong Univ Technol, Dept Architecture &amp; Urban Planning, 729 Dongfeng Rd, Guangzhou 510006, Peoples R China.</t>
        </is>
      </c>
      <c r="AA66" t="inlineStr">
        <is>
          <t>kenxin8989@163.com; 18308463173@163.com; bkj338@163.com; mashf@gdut.edu.cn; guohx@163.com; dream.pistil@163.com; yanglc0125@swjtu.edu.cn</t>
        </is>
      </c>
      <c r="AB66" t="inlineStr">
        <is>
          <t>Yang, Linchuan/ABF-1874-2021; Qiu, HuaLong/GYV-4938-2022</t>
        </is>
      </c>
      <c r="AC66" t="inlineStr">
        <is>
          <t>Yang, Linchuan/0000-0001-6070-9044; Ma, Shifa/0000-0002-3575-2371</t>
        </is>
      </c>
      <c r="AD66" t="inlineStr">
        <is>
          <t>National Natural Science Foundation of China [51908135]; Guangdong Office of Philosophy and Social Science [GD20CSH04]</t>
        </is>
      </c>
      <c r="AE66" t="inlineStr">
        <is>
          <t>National Natural Science Foundation of China(National Natural Science Foundation of China (NSFC)); Guangdong Office of Philosophy and Social Science</t>
        </is>
      </c>
      <c r="AF66" t="inlineStr">
        <is>
          <t>FundingThis research was funded by the National Natural Science Foundation of China (grant number 51908135) and the Guangdong Office of Philosophy and Social Science (grant number GD20CSH04).</t>
        </is>
      </c>
      <c r="AH66" t="n">
        <v>69</v>
      </c>
      <c r="AI66" t="n">
        <v>3</v>
      </c>
      <c r="AJ66" t="n">
        <v>3</v>
      </c>
      <c r="AK66" t="n">
        <v>20</v>
      </c>
      <c r="AL66" t="n">
        <v>75</v>
      </c>
      <c r="AM66" t="inlineStr">
        <is>
          <t>MDPI</t>
        </is>
      </c>
      <c r="AN66" t="inlineStr">
        <is>
          <t>BASEL</t>
        </is>
      </c>
      <c r="AO66" t="inlineStr">
        <is>
          <t>ST ALBAN-ANLAGE 66, CH-4052 BASEL, SWITZERLAND</t>
        </is>
      </c>
      <c r="AQ66" t="inlineStr">
        <is>
          <t>1660-4601</t>
        </is>
      </c>
      <c r="AS66" t="inlineStr">
        <is>
          <t>INT J ENV RES PUB HE</t>
        </is>
      </c>
      <c r="AT66" t="inlineStr">
        <is>
          <t>Int. J. Environ. Res. Public Health</t>
        </is>
      </c>
      <c r="AU66" t="inlineStr">
        <is>
          <t>FEB</t>
        </is>
      </c>
      <c r="AV66" t="n">
        <v>2022</v>
      </c>
      <c r="AW66" t="n">
        <v>19</v>
      </c>
      <c r="AX66" t="n">
        <v>3</v>
      </c>
      <c r="BE66" t="n">
        <v>1894</v>
      </c>
      <c r="BF66" t="inlineStr">
        <is>
          <t>10.3390/ijerph19031894</t>
        </is>
      </c>
      <c r="BG66">
        <f>HYPERLINK("http://dx.doi.org/10.3390/ijerph19031894","http://dx.doi.org/10.3390/ijerph19031894")</f>
        <v/>
      </c>
      <c r="BJ66" t="n">
        <v>15</v>
      </c>
      <c r="BK66" t="inlineStr">
        <is>
          <t>Environmental Sciences; Public, Environmental &amp; Occupational Health</t>
        </is>
      </c>
      <c r="BL66" t="inlineStr">
        <is>
          <t>Science Citation Index Expanded (SCI-EXPANDED); Social Science Citation Index (SSCI)</t>
        </is>
      </c>
      <c r="BM66" t="inlineStr">
        <is>
          <t>Environmental Sciences &amp; Ecology; Public, Environmental &amp; Occupational Health</t>
        </is>
      </c>
      <c r="BN66" t="inlineStr">
        <is>
          <t>YZ2LL</t>
        </is>
      </c>
      <c r="BO66" t="n">
        <v>35162915</v>
      </c>
      <c r="BP66" t="inlineStr">
        <is>
          <t>gold, Green Published</t>
        </is>
      </c>
      <c r="BS66" t="inlineStr">
        <is>
          <t>2023-10-26</t>
        </is>
      </c>
      <c r="BT66" t="inlineStr">
        <is>
          <t>WOS:000755312700001</t>
        </is>
      </c>
      <c r="BU66">
        <f>HYPERLINK("https%3A%2F%2Fwww.webofscience.com%2Fwos%2Fwoscc%2Ffull-record%2FWOS:000755312700001","View Full Record in Web of Science")</f>
        <v/>
      </c>
    </row>
    <row r="67">
      <c r="A67" t="inlineStr">
        <is>
          <t>J</t>
        </is>
      </c>
      <c r="B67" t="inlineStr">
        <is>
          <t>Sun, YL; He, CZ; Zhang, XX; Zhu, WF</t>
        </is>
      </c>
      <c r="F67" t="inlineStr">
        <is>
          <t>Sun, Yuliang; He, Chunzhen; Zhang, Xinxin; Zhu, Wenfei</t>
        </is>
      </c>
      <c r="J67" t="inlineStr">
        <is>
          <t>INTERNATIONAL JOURNAL OF ENVIRONMENTAL RESEARCH AND PUBLIC HEALTH</t>
        </is>
      </c>
      <c r="M67" t="inlineStr">
        <is>
          <t>English</t>
        </is>
      </c>
      <c r="N67" t="inlineStr">
        <is>
          <t>Article</t>
        </is>
      </c>
      <c r="T67" t="inlineStr">
        <is>
          <t>Association of Built Environment with Physical Activity and Physical Fitness in Men and Women Living inside the City Wall of Xi'an, China</t>
        </is>
      </c>
      <c r="U67" t="inlineStr">
        <is>
          <t>built environments; physical activity; physical fitness</t>
        </is>
      </c>
      <c r="V67" t="inlineStr">
        <is>
          <t>SEDENTARY BEHAVIOR; OBJECTIVE MEASURES; LEISURE-TIME; ADULTS; OBESITY; WALKING; HEALTH; ATTRIBUTES; URBAN; TRANSPORTATION</t>
        </is>
      </c>
      <c r="W67" t="inlineStr">
        <is>
          <t>This study was to investigate the association of built environment (BE) with physical activity (PA) and physical fitness of residents inside the city wall of Xi'an, one of the most historic cities in China. The cross-sectional study was conducted among 728 adults in this area. BE and PA were measured by Neighborhood Environment Walkability Scale and International Physical Activity Questionnaire, respectively. Body mass index (BMI), body fat percentage, blood pressure (BP), lung capacity, curl up, sit and reach, reaction time, balance, and grip strength were also measured. The results showed, for men, aesthetics was positively associated with total and leisure-time PA, and curl-up tests, respectively. Walking/cycling facilities were positively associated with leisure-time PA. Street connectivity was negatively associated with leisure-time PA and BMI. Residential density was positively correlated with BMI. Access to service was positively associated with lung capacity. Crime safety was negatively correlated with reaction time. For women, residential density was negatively associated with transportation PA and BP. Street connectivity was positively associated with curl-up test. The results suggest some BE attributes are positively related to PA and physical fitness in this population. Creating more PA-supportive BEs is recommended in this historic area along with urban conservation.</t>
        </is>
      </c>
      <c r="X67" t="inlineStr">
        <is>
          <t>[Sun, Yuliang; Zhang, Xinxin; Zhu, Wenfei] Shaanxi Normal Univ, Sch Phys Educ, Dept Exercise Sci, Xian 710119, Peoples R China; [He, Chunzhen] Shanghai Ganxiang Sch, Dept Phys Educ, Shanghai 201515, Peoples R China</t>
        </is>
      </c>
      <c r="Y67" t="inlineStr">
        <is>
          <t>Shaanxi Normal University</t>
        </is>
      </c>
      <c r="Z67" t="inlineStr">
        <is>
          <t>Zhu, WF (corresponding author), Shaanxi Normal Univ, Sch Phys Educ, Dept Exercise Sci, Xian 710119, Peoples R China.</t>
        </is>
      </c>
      <c r="AA67" t="inlineStr">
        <is>
          <t>ysun@snnu.edu.cn; xiaochunchun@snnu.edu.cn; zhangxx9606@snnu.edu.cn; wzhu@snnu.edu.cn</t>
        </is>
      </c>
      <c r="AB67" t="inlineStr">
        <is>
          <t>xinxin, zhang/IYS-4515-2023; Zhu, Wenfei/AAT-5342-2020</t>
        </is>
      </c>
      <c r="AC67" t="inlineStr">
        <is>
          <t>xinxin, zhang/0000-0003-1730-8573;</t>
        </is>
      </c>
      <c r="AD67" t="inlineStr">
        <is>
          <t>MOE (Ministry of Education in China) Project of Humanities and Social Sciences [16XJC890001, 20YJC890053]; Fundamental Research Funds for the Central Universities [GK201803094, GK201803095]</t>
        </is>
      </c>
      <c r="AE67" t="inlineStr">
        <is>
          <t>MOE (Ministry of Education in China) Project of Humanities and Social Sciences; Fundamental Research Funds for the Central Universities(Fundamental Research Funds for the Central Universities)</t>
        </is>
      </c>
      <c r="AF67" t="inlineStr">
        <is>
          <t>This study was supported by the MOE (Ministry of Education in China) Project of Humanities and Social Sciences (Project No. 16XJC890001, 20YJC890053), and the Fundamental Research Funds for the Central Universities (Project No. GK201803094, GK201803095).</t>
        </is>
      </c>
      <c r="AH67" t="n">
        <v>53</v>
      </c>
      <c r="AI67" t="n">
        <v>13</v>
      </c>
      <c r="AJ67" t="n">
        <v>13</v>
      </c>
      <c r="AK67" t="n">
        <v>6</v>
      </c>
      <c r="AL67" t="n">
        <v>31</v>
      </c>
      <c r="AM67" t="inlineStr">
        <is>
          <t>MDPI</t>
        </is>
      </c>
      <c r="AN67" t="inlineStr">
        <is>
          <t>BASEL</t>
        </is>
      </c>
      <c r="AO67" t="inlineStr">
        <is>
          <t>ST ALBAN-ANLAGE 66, CH-4052 BASEL, SWITZERLAND</t>
        </is>
      </c>
      <c r="AQ67" t="inlineStr">
        <is>
          <t>1660-4601</t>
        </is>
      </c>
      <c r="AS67" t="inlineStr">
        <is>
          <t>INT J ENV RES PUB HE</t>
        </is>
      </c>
      <c r="AT67" t="inlineStr">
        <is>
          <t>Int. J. Environ. Res. Public Health</t>
        </is>
      </c>
      <c r="AU67" t="inlineStr">
        <is>
          <t>JUL</t>
        </is>
      </c>
      <c r="AV67" t="n">
        <v>2020</v>
      </c>
      <c r="AW67" t="n">
        <v>17</v>
      </c>
      <c r="AX67" t="n">
        <v>14</v>
      </c>
      <c r="BE67" t="n">
        <v>4940</v>
      </c>
      <c r="BF67" t="inlineStr">
        <is>
          <t>10.3390/ijerph17144940</t>
        </is>
      </c>
      <c r="BG67">
        <f>HYPERLINK("http://dx.doi.org/10.3390/ijerph17144940","http://dx.doi.org/10.3390/ijerph17144940")</f>
        <v/>
      </c>
      <c r="BJ67" t="n">
        <v>13</v>
      </c>
      <c r="BK67" t="inlineStr">
        <is>
          <t>Environmental Sciences; Public, Environmental &amp; Occupational Health</t>
        </is>
      </c>
      <c r="BL67" t="inlineStr">
        <is>
          <t>Science Citation Index Expanded (SCI-EXPANDED); Social Science Citation Index (SSCI)</t>
        </is>
      </c>
      <c r="BM67" t="inlineStr">
        <is>
          <t>Environmental Sciences &amp; Ecology; Public, Environmental &amp; Occupational Health</t>
        </is>
      </c>
      <c r="BN67" t="inlineStr">
        <is>
          <t>MX7RG</t>
        </is>
      </c>
      <c r="BO67" t="n">
        <v>32659921</v>
      </c>
      <c r="BP67" t="inlineStr">
        <is>
          <t>Green Published, gold</t>
        </is>
      </c>
      <c r="BS67" t="inlineStr">
        <is>
          <t>2023-10-26</t>
        </is>
      </c>
      <c r="BT67" t="inlineStr">
        <is>
          <t>WOS:000557917800001</t>
        </is>
      </c>
      <c r="BU67">
        <f>HYPERLINK("https%3A%2F%2Fwww.webofscience.com%2Fwos%2Fwoscc%2Ffull-record%2FWOS:000557917800001","View Full Record in Web of Science")</f>
        <v/>
      </c>
    </row>
    <row r="68">
      <c r="A68" t="inlineStr">
        <is>
          <t>J</t>
        </is>
      </c>
      <c r="B68" t="inlineStr">
        <is>
          <t>Molina-Garcia, P; Medrano, M; Pelclová, J; Zajac-Gawlak, I; Tlucáková, L; Pridalová, M</t>
        </is>
      </c>
      <c r="F68" t="inlineStr">
        <is>
          <t>Molina-Garcia, Pablo; Medrano, Maria; Pelclova, Jana; Zajac-Gawlak, Izabela; Tlucakova, Lenka; Pridalova, Miroslava</t>
        </is>
      </c>
      <c r="J68" t="inlineStr">
        <is>
          <t>INTERNATIONAL JOURNAL OF ENVIRONMENTAL RESEARCH AND PUBLIC HEALTH</t>
        </is>
      </c>
      <c r="M68" t="inlineStr">
        <is>
          <t>English</t>
        </is>
      </c>
      <c r="N68" t="inlineStr">
        <is>
          <t>Article</t>
        </is>
      </c>
      <c r="T68" t="inlineStr">
        <is>
          <t>Device-Measured Physical Activity, Sedentary Behaviors, Built Environment, and Adiposity Gain in Older Women: A Seven-Year Prospective Study</t>
        </is>
      </c>
      <c r="U68" t="inlineStr">
        <is>
          <t>accelerometer; fat mass; body mass index; neighborhood environment walkability scale</t>
        </is>
      </c>
      <c r="V68" t="inlineStr">
        <is>
          <t>WEIGHT-GAIN; BODY-COMPOSITION; ACTIVITY GUIDELINES; SITTING TIME; HEALTH; OBESITY; ADULTS; OUTCOMES; SCIENCE</t>
        </is>
      </c>
      <c r="W68" t="inlineStr">
        <is>
          <t>The search for determinants of adiposity gain in older women has become vitally important. This study aimed to (1) analyze the adiposity gain based on the participants' age and (2) determine the prospective associations of baseline intrapersonal, built environment, physical activity, and sedentary behavior variables with the adiposity gain in older women. This was a seven-year prospective study (baseline: 2009 to 2012; follow-up: 2016 to 2019) in older women (n = 178, baseline age = 62.8 +/- 4.1 years). Baseline and follow-up adiposity (bioelectrical impedance) and baseline physical activity, sedentary behavior (accelerometers), and intrapersonal and built environment (Neighborhood Environment Walkability Scale questionnaire) variables were included. The body mass index (BMI) increment tended to be inversely associated with the women's age (p = 0.062). At follow-up, 48, 57, and 54% of the women had a relevant increase (d-Cohen &gt; 0.2) in their BMI, percentage of body fat, and fat mass index, respectively. The women that spent &gt;= 8 h/day being sedentary were 2.2 times (1.159 to 4.327 CI95%, p &lt; 0.02) more likely to increase BMI (0.82 to 0.85 kg/m(2)) than non-sedentary women. No built environment variables were associated with seven-year adiposity gain (all ps &gt; 0.05). A reduction in sedentary time should be promoted for adiposity gain prevention and health preservation in older women.</t>
        </is>
      </c>
      <c r="X68" t="inlineStr">
        <is>
          <t>[Molina-Garcia, Pablo; Medrano, Maria; Pelclova, Jana; Pridalova, Miroslava] Palacky Univ Olomouc, Fac Phys Culture, Olomouc 77900, Czech Republic; [Zajac-Gawlak, Izabela] Jerzy Kukuczka Acad Phys Educ, PL-40065 Katowice, Poland; [Tlucakova, Lenka] Univ Presov, Fac Sports, Presov 08001, Slovakia</t>
        </is>
      </c>
      <c r="Y68" t="inlineStr">
        <is>
          <t>Palacky University Olomouc; Akademia Wychowania Fizycznego im. Jerzego Kukuczki w Katowicach; University of Presov</t>
        </is>
      </c>
      <c r="Z68" t="inlineStr">
        <is>
          <t>Pelclová, J (corresponding author), Palacky Univ Olomouc, Fac Phys Culture, Olomouc 77900, Czech Republic.</t>
        </is>
      </c>
      <c r="AA68" t="inlineStr">
        <is>
          <t>pablomolinag5@gmail.com; maria.medrano.echeverria@gmail.com; jana.pelclova@upol.cz; i.zajac-gawlak@awf.katowice.pl; lenka.tlucakova@unipo.sk; miroslava.pridalova@upol.cz</t>
        </is>
      </c>
      <c r="AB68" t="inlineStr">
        <is>
          <t>Pelclova, Jana/J-7439-2017; Medrano, Maria/F-2492-2016</t>
        </is>
      </c>
      <c r="AC68" t="inlineStr">
        <is>
          <t>Pelclova, Jana/0000-0001-8104-001X; Medrano, Maria/0000-0001-7048-642X; Tlucakova, Lenka/0000-0002-6028-2738</t>
        </is>
      </c>
      <c r="AD68" t="inlineStr">
        <is>
          <t>CZECH SCIENCE FOUNDATION [18-16423S]</t>
        </is>
      </c>
      <c r="AE68" t="inlineStr">
        <is>
          <t>CZECH SCIENCE FOUNDATION(Grant Agency of the Czech Republic)</t>
        </is>
      </c>
      <c r="AF68" t="inlineStr">
        <is>
          <t>This research was funded by CZECH SCIENCE FOUNDATION, grant number 18-16423S.</t>
        </is>
      </c>
      <c r="AH68" t="n">
        <v>52</v>
      </c>
      <c r="AI68" t="n">
        <v>0</v>
      </c>
      <c r="AJ68" t="n">
        <v>0</v>
      </c>
      <c r="AK68" t="n">
        <v>3</v>
      </c>
      <c r="AL68" t="n">
        <v>17</v>
      </c>
      <c r="AM68" t="inlineStr">
        <is>
          <t>MDPI</t>
        </is>
      </c>
      <c r="AN68" t="inlineStr">
        <is>
          <t>BASEL</t>
        </is>
      </c>
      <c r="AO68" t="inlineStr">
        <is>
          <t>ST ALBAN-ANLAGE 66, CH-4052 BASEL, SWITZERLAND</t>
        </is>
      </c>
      <c r="AQ68" t="inlineStr">
        <is>
          <t>1660-4601</t>
        </is>
      </c>
      <c r="AS68" t="inlineStr">
        <is>
          <t>INT J ENV RES PUB HE</t>
        </is>
      </c>
      <c r="AT68" t="inlineStr">
        <is>
          <t>Int. J. Environ. Res. Public Health</t>
        </is>
      </c>
      <c r="AU68" t="inlineStr">
        <is>
          <t>MAR</t>
        </is>
      </c>
      <c r="AV68" t="n">
        <v>2021</v>
      </c>
      <c r="AW68" t="n">
        <v>18</v>
      </c>
      <c r="AX68" t="n">
        <v>6</v>
      </c>
      <c r="BE68" t="n">
        <v>3074</v>
      </c>
      <c r="BF68" t="inlineStr">
        <is>
          <t>10.3390/ijerph18063074</t>
        </is>
      </c>
      <c r="BG68">
        <f>HYPERLINK("http://dx.doi.org/10.3390/ijerph18063074","http://dx.doi.org/10.3390/ijerph18063074")</f>
        <v/>
      </c>
      <c r="BJ68" t="n">
        <v>12</v>
      </c>
      <c r="BK68" t="inlineStr">
        <is>
          <t>Environmental Sciences; Public, Environmental &amp; Occupational Health</t>
        </is>
      </c>
      <c r="BL68" t="inlineStr">
        <is>
          <t>Science Citation Index Expanded (SCI-EXPANDED); Social Science Citation Index (SSCI)</t>
        </is>
      </c>
      <c r="BM68" t="inlineStr">
        <is>
          <t>Environmental Sciences &amp; Ecology; Public, Environmental &amp; Occupational Health</t>
        </is>
      </c>
      <c r="BN68" t="inlineStr">
        <is>
          <t>RL7ZE</t>
        </is>
      </c>
      <c r="BO68" t="n">
        <v>33802679</v>
      </c>
      <c r="BP68" t="inlineStr">
        <is>
          <t>Green Published, gold</t>
        </is>
      </c>
      <c r="BS68" t="inlineStr">
        <is>
          <t>2023-10-26</t>
        </is>
      </c>
      <c r="BT68" t="inlineStr">
        <is>
          <t>WOS:000639185400001</t>
        </is>
      </c>
      <c r="BU68">
        <f>HYPERLINK("https%3A%2F%2Fwww.webofscience.com%2Fwos%2Fwoscc%2Ffull-record%2FWOS:000639185400001","View Full Record in Web of Science")</f>
        <v/>
      </c>
    </row>
    <row r="69">
      <c r="A69" t="inlineStr">
        <is>
          <t>J</t>
        </is>
      </c>
      <c r="B69" t="inlineStr">
        <is>
          <t>Yu, JB; Yang, C; Zhang, S; Zhai, DK; Li, JS</t>
        </is>
      </c>
      <c r="F69" t="inlineStr">
        <is>
          <t>Yu, Jiabin; Yang, Chen; Zhang, Shen; Zhai, Diankai; Li, Jianshe</t>
        </is>
      </c>
      <c r="J69" t="inlineStr">
        <is>
          <t>INTERNATIONAL JOURNAL OF ENVIRONMENTAL RESEARCH AND PUBLIC HEALTH</t>
        </is>
      </c>
      <c r="M69" t="inlineStr">
        <is>
          <t>English</t>
        </is>
      </c>
      <c r="N69" t="inlineStr">
        <is>
          <t>Article</t>
        </is>
      </c>
      <c r="T69" t="inlineStr">
        <is>
          <t>Comparison Study of Perceived Neighborhood-Built Environment and Elderly Leisure-Time Physical Activity between Hangzhou and Wenzhou, China</t>
        </is>
      </c>
      <c r="U69" t="inlineStr">
        <is>
          <t>built environment elements; aging over 60 years; recreational physical activity; empirical study</t>
        </is>
      </c>
      <c r="V69" t="inlineStr">
        <is>
          <t>GENERAL ADULT-POPULATION; QUALITY-OF-LIFE; HEALTH-BENEFITS; ACTIVITY LEVEL; OLDER-ADULTS; WALKING; ATTRIBUTES; ASSOCIATION; AUSTRALIA; BARRIERS</t>
        </is>
      </c>
      <c r="W69" t="inlineStr">
        <is>
          <t>Physical activity and health are of significant importance for the rapid aging population in China. Built environment has been suggested to be associated with elderly physical activity and health. However, the association differences between cities remain unclear. Perceived built environment scores and elderly leisure-time physical activity (LTPA) of 308 elderly in Hangzhou and 304 elderly in Wenzhou were collected using Neighborhood Environment Walkability Scale and International Physical Activity Questionnaire, respectively. A multivariate linear regression method and T-test were used to analyze of the associations between elderly LTPA and built environment and the differences between the two cities, respectively. The results showed that LTPA was positively associated with walking/cycling facilities and crime safety in both cities. LTPA was positively correlated with residential density, aesthetics, pedestrian/traffic safety in Wenzhou and negatively correlated with access to services in Hangzhou. The perceived scores of aesthetics (2.71 vs. 2.45) and pedestrian/traffic safety (2.11 vs. 1.71) in Hangzhou were significantly higher than those in Wenzhou. The results suggested that built environment elements like higher walking/cycling facilities and crime safety may motivate elderly engaging LTPA in both cities. However, LTPA was affected by different factors in these two cities. In the urban redevelopment, survey conducted in its own city would provide meaningful information and cannot be neglected.</t>
        </is>
      </c>
      <c r="X69" t="inlineStr">
        <is>
          <t>[Yu, Jiabin; Zhang, Shen; Zhai, Diankai; Li, Jianshe] Ningbo Univ, Res Acad Grand Hlth, Fac Sport Sci, Ningbo 315211, Peoples R China; [Yang, Chen] McGill Univ, Dept Kinesiol &amp; Phys Educ, Montreal, PQ H2W 1S4, Canada</t>
        </is>
      </c>
      <c r="Y69" t="inlineStr">
        <is>
          <t>Ningbo University; McGill University</t>
        </is>
      </c>
      <c r="Z69" t="inlineStr">
        <is>
          <t>Yu, JB (corresponding author), Ningbo Univ, Res Acad Grand Hlth, Fac Sport Sci, Ningbo 315211, Peoples R China.</t>
        </is>
      </c>
      <c r="AA69" t="inlineStr">
        <is>
          <t>yujiabin@nbu.edu.cn; chen.yang4@mail.mcgill.ca; nbuzhangshen@outlook.com; zdk5780245@outlook.com; lijianshe@nbu.edu.cn</t>
        </is>
      </c>
      <c r="AC69" t="inlineStr">
        <is>
          <t>Yang, Chen/0000-0002-9945-7435</t>
        </is>
      </c>
      <c r="AD69" t="inlineStr">
        <is>
          <t>MOE (Ministry of Education in China) Project of Humanities and Social Sciences [17YJC890040]; Education department of Zhejiang Province Project of Humanities and Social Sciences [Y201737426]; K. C. Wong Magna Fund in Ningbo University</t>
        </is>
      </c>
      <c r="AE69" t="inlineStr">
        <is>
          <t>MOE (Ministry of Education in China) Project of Humanities and Social Sciences; Education department of Zhejiang Province Project of Humanities and Social Sciences; K. C. Wong Magna Fund in Ningbo University</t>
        </is>
      </c>
      <c r="AF69" t="inlineStr">
        <is>
          <t>This study was supported by the MOE (Ministry of Education in China) Project of Humanities and Social Sciences (Project No. 17YJC890040), Education department of Zhejiang Province Project of Humanities and Social Sciences (Project No. Y201737426), and K. C. Wong Magna Fund in Ningbo University.</t>
        </is>
      </c>
      <c r="AH69" t="n">
        <v>49</v>
      </c>
      <c r="AI69" t="n">
        <v>11</v>
      </c>
      <c r="AJ69" t="n">
        <v>11</v>
      </c>
      <c r="AK69" t="n">
        <v>9</v>
      </c>
      <c r="AL69" t="n">
        <v>61</v>
      </c>
      <c r="AM69" t="inlineStr">
        <is>
          <t>MDPI</t>
        </is>
      </c>
      <c r="AN69" t="inlineStr">
        <is>
          <t>BASEL</t>
        </is>
      </c>
      <c r="AO69" t="inlineStr">
        <is>
          <t>ST ALBAN-ANLAGE 66, CH-4052 BASEL, SWITZERLAND</t>
        </is>
      </c>
      <c r="AQ69" t="inlineStr">
        <is>
          <t>1660-4601</t>
        </is>
      </c>
      <c r="AS69" t="inlineStr">
        <is>
          <t>INT J ENV RES PUB HE</t>
        </is>
      </c>
      <c r="AT69" t="inlineStr">
        <is>
          <t>Int. J. Environ. Res. Public Health</t>
        </is>
      </c>
      <c r="AU69" t="inlineStr">
        <is>
          <t>DEC</t>
        </is>
      </c>
      <c r="AV69" t="n">
        <v>2020</v>
      </c>
      <c r="AW69" t="n">
        <v>17</v>
      </c>
      <c r="AX69" t="n">
        <v>24</v>
      </c>
      <c r="BE69" t="n">
        <v>9284</v>
      </c>
      <c r="BF69" t="inlineStr">
        <is>
          <t>10.3390/ijerph17249284</t>
        </is>
      </c>
      <c r="BG69">
        <f>HYPERLINK("http://dx.doi.org/10.3390/ijerph17249284","http://dx.doi.org/10.3390/ijerph17249284")</f>
        <v/>
      </c>
      <c r="BJ69" t="n">
        <v>12</v>
      </c>
      <c r="BK69" t="inlineStr">
        <is>
          <t>Environmental Sciences; Public, Environmental &amp; Occupational Health</t>
        </is>
      </c>
      <c r="BL69" t="inlineStr">
        <is>
          <t>Science Citation Index Expanded (SCI-EXPANDED); Social Science Citation Index (SSCI)</t>
        </is>
      </c>
      <c r="BM69" t="inlineStr">
        <is>
          <t>Environmental Sciences &amp; Ecology; Public, Environmental &amp; Occupational Health</t>
        </is>
      </c>
      <c r="BN69" t="inlineStr">
        <is>
          <t>PL0HB</t>
        </is>
      </c>
      <c r="BO69" t="n">
        <v>33322483</v>
      </c>
      <c r="BP69" t="inlineStr">
        <is>
          <t>Green Published, gold</t>
        </is>
      </c>
      <c r="BS69" t="inlineStr">
        <is>
          <t>2023-10-26</t>
        </is>
      </c>
      <c r="BT69" t="inlineStr">
        <is>
          <t>WOS:000602813100001</t>
        </is>
      </c>
      <c r="BU69">
        <f>HYPERLINK("https%3A%2F%2Fwww.webofscience.com%2Fwos%2Fwoscc%2Ffull-record%2FWOS:000602813100001","View Full Record in Web of Science")</f>
        <v/>
      </c>
    </row>
    <row r="70">
      <c r="A70" t="inlineStr">
        <is>
          <t>J</t>
        </is>
      </c>
      <c r="B70" t="inlineStr">
        <is>
          <t>Schopflocher, D; VanSpronsen, E; Nykiforuk, CIJ</t>
        </is>
      </c>
      <c r="F70" t="inlineStr">
        <is>
          <t>Schopflocher, Donald; VanSpronsen, Eric; Nykiforuk, Candace I. J.</t>
        </is>
      </c>
      <c r="J70" t="inlineStr">
        <is>
          <t>INTERNATIONAL JOURNAL OF ENVIRONMENTAL RESEARCH AND PUBLIC HEALTH</t>
        </is>
      </c>
      <c r="M70" t="inlineStr">
        <is>
          <t>English</t>
        </is>
      </c>
      <c r="N70" t="inlineStr">
        <is>
          <t>Article</t>
        </is>
      </c>
      <c r="T70" t="inlineStr">
        <is>
          <t>Relating Built Environment to Physical Activity: Two Failures to Validate</t>
        </is>
      </c>
      <c r="U70" t="inlineStr">
        <is>
          <t>built environment; health; Irvine Minnesota Inventory; scales; replication; reliability</t>
        </is>
      </c>
      <c r="V70" t="inlineStr">
        <is>
          <t>CHRONIC DISEASE PREVENTION; NEIGHBORHOOD; OBESITY; AUDIT; WALKABILITY; HEALTH</t>
        </is>
      </c>
      <c r="W70" t="inlineStr">
        <is>
          <t>The Irvine-Minnesota Inventory (IMI) is an audit tool used to record properties of built environments. It was designed to explore the relationships between environmental features and physical activity. As published, the IMI does not provide scoring to support this use. Two papers have since been published recommending methods to form scales from IMI items. This study examined these scoring procedures in new settings. IMI data were collected in two urban settings in Alberta in 2008. Scale scores were calculated using the methods presented in previous papers and used to test whether the relationships between IMI scales and walking behaviors were consistent with previously reported results. The scales from previous work did not show expected relationships with walking behavior. The scale construction techniques from previous work were repeated but scales formed in this way showed little similarity to previous scales. The IMI has great potential to contribute to understanding relationships between built environment and physical activity. However, constructing reliable and valid scales from IMI items will require further research.</t>
        </is>
      </c>
      <c r="X70" t="inlineStr">
        <is>
          <t>[Schopflocher, Donald] Univ Alberta, Fac Nursing, Edmonton, AB T6G 1C9, Canada; [Schopflocher, Donald; VanSpronsen, Eric; Nykiforuk, Candace I. J.] Univ Alberta, Sch Publ Hlth, Ctr Hlth Promot Studies, Edmonton, AB T6G 1C9, Canada</t>
        </is>
      </c>
      <c r="Y70" t="inlineStr">
        <is>
          <t>University of Alberta; University of Alberta</t>
        </is>
      </c>
      <c r="Z70" t="inlineStr">
        <is>
          <t>Nykiforuk, CIJ (corresponding author), Univ Alberta, Sch Publ Hlth, Ctr Hlth Promot Studies, 11405-87 Ave, Edmonton, AB T6G 1C9, Canada.</t>
        </is>
      </c>
      <c r="AA70" t="inlineStr">
        <is>
          <t>donald.schopflocher@ualberta.ca; eric.vanspronsen@ualberta.ca; candace.nykiforuk@ualberta.ca</t>
        </is>
      </c>
      <c r="AD70" t="inlineStr">
        <is>
          <t>Canadian Institutes of Health Research [TOO 105435]</t>
        </is>
      </c>
      <c r="AE70" t="inlineStr">
        <is>
          <t>Canadian Institutes of Health Research(Canadian Institutes of Health Research (CIHR))</t>
        </is>
      </c>
      <c r="AF70" t="inlineStr">
        <is>
          <t>Funding for this project was provided by a grant from the Canadian Institutes of Health Research (award reference # TOO 105435) to Candace I. J. Nykiforuk and Donald Schopflocher. Additional appreciation is extended to the Healthy Alberta Communities project for making their data available for use in this project.</t>
        </is>
      </c>
      <c r="AH70" t="n">
        <v>42</v>
      </c>
      <c r="AI70" t="n">
        <v>9</v>
      </c>
      <c r="AJ70" t="n">
        <v>9</v>
      </c>
      <c r="AK70" t="n">
        <v>1</v>
      </c>
      <c r="AL70" t="n">
        <v>8</v>
      </c>
      <c r="AM70" t="inlineStr">
        <is>
          <t>MDPI</t>
        </is>
      </c>
      <c r="AN70" t="inlineStr">
        <is>
          <t>BASEL</t>
        </is>
      </c>
      <c r="AO70" t="inlineStr">
        <is>
          <t>ST ALBAN-ANLAGE 66, CH-4052 BASEL, SWITZERLAND</t>
        </is>
      </c>
      <c r="AQ70" t="inlineStr">
        <is>
          <t>1660-4601</t>
        </is>
      </c>
      <c r="AS70" t="inlineStr">
        <is>
          <t>INT J ENV RES PUB HE</t>
        </is>
      </c>
      <c r="AT70" t="inlineStr">
        <is>
          <t>Int. J. Environ. Res. Public Health</t>
        </is>
      </c>
      <c r="AU70" t="inlineStr">
        <is>
          <t>FEB</t>
        </is>
      </c>
      <c r="AV70" t="n">
        <v>2014</v>
      </c>
      <c r="AW70" t="n">
        <v>11</v>
      </c>
      <c r="AX70" t="n">
        <v>2</v>
      </c>
      <c r="BC70" t="n">
        <v>1233</v>
      </c>
      <c r="BD70" t="n">
        <v>1249</v>
      </c>
      <c r="BF70" t="inlineStr">
        <is>
          <t>10.3390/ijerph110201233</t>
        </is>
      </c>
      <c r="BG70">
        <f>HYPERLINK("http://dx.doi.org/10.3390/ijerph110201233","http://dx.doi.org/10.3390/ijerph110201233")</f>
        <v/>
      </c>
      <c r="BJ70" t="n">
        <v>17</v>
      </c>
      <c r="BK70" t="inlineStr">
        <is>
          <t>Environmental Sciences; Public, Environmental &amp; Occupational Health</t>
        </is>
      </c>
      <c r="BL70" t="inlineStr">
        <is>
          <t>Science Citation Index Expanded (SCI-EXPANDED); Social Science Citation Index (SSCI)</t>
        </is>
      </c>
      <c r="BM70" t="inlineStr">
        <is>
          <t>Environmental Sciences &amp; Ecology; Public, Environmental &amp; Occupational Health</t>
        </is>
      </c>
      <c r="BN70" t="inlineStr">
        <is>
          <t>AF0WZ</t>
        </is>
      </c>
      <c r="BO70" t="n">
        <v>24464234</v>
      </c>
      <c r="BP70" t="inlineStr">
        <is>
          <t>Green Published, gold</t>
        </is>
      </c>
      <c r="BS70" t="inlineStr">
        <is>
          <t>2023-10-26</t>
        </is>
      </c>
      <c r="BT70" t="inlineStr">
        <is>
          <t>WOS:000334436600003</t>
        </is>
      </c>
      <c r="BU70">
        <f>HYPERLINK("https%3A%2F%2Fwww.webofscience.com%2Fwos%2Fwoscc%2Ffull-record%2FWOS:000334436600003","View Full Record in Web of Science")</f>
        <v/>
      </c>
    </row>
    <row r="71">
      <c r="A71" t="inlineStr">
        <is>
          <t>J</t>
        </is>
      </c>
      <c r="B71" t="inlineStr">
        <is>
          <t>Xiong, LL; Huang, X; Li, J; Mao, P; Wang, X; Wang, RB; Tang, M</t>
        </is>
      </c>
      <c r="F71" t="inlineStr">
        <is>
          <t>Xiong, Lilin; Huang, Xiao; Li, Jie; Mao, Peng; Wang, Xiang; Wang, Rubing; Tang, Meng</t>
        </is>
      </c>
      <c r="J71" t="inlineStr">
        <is>
          <t>INTERNATIONAL JOURNAL OF ENVIRONMENTAL RESEARCH AND PUBLIC HEALTH</t>
        </is>
      </c>
      <c r="M71" t="inlineStr">
        <is>
          <t>English</t>
        </is>
      </c>
      <c r="N71" t="inlineStr">
        <is>
          <t>Article</t>
        </is>
      </c>
      <c r="T71" t="inlineStr">
        <is>
          <t>Impact of Indoor Physical Environment on Learning Efficiency in Different Types of Tasks: A 3 x 4 x 3 Full Factorial Design Analysis</t>
        </is>
      </c>
      <c r="U71" t="inlineStr">
        <is>
          <t>learning efficiency; task type; indoor physical environment; environmental factor; full factorial design</t>
        </is>
      </c>
      <c r="V71" t="inlineStr">
        <is>
          <t>PERCEIVED AIR-QUALITY; SYNDROME SBS SYMPTOMS; COGNITIVE PERFORMANCE; IRRELEVANT SPEECH; OFFICE NOISE; SUPPLY RATE; PRODUCTIVITY; HEAT; TEMPERATURE; COMFORT</t>
        </is>
      </c>
      <c r="W71" t="inlineStr">
        <is>
          <t>Indoor physical environments appear to influence learning efficiency nowadays. For improvement in learning efficiency, environmental scenarios need to be designed when occupants engage in different learning tasks. However, how learning efficiency is affected by indoor physical environment based on task types are still not well understood. The present study aims to explore the impacts of three physical environmental factors (i.e., temperature, noise, and illuminance) on learning efficiency according to different types of tasks, including perception, memory, problem-solving, and attention-oriented tasks. A 3 x 4 x 3 full factorial design experiment was employed in a university classroom with 10 subjects recruited. Environmental scenarios were generated based on different levels of temperature (17 degrees C, 22 degrees C, and 27 degrees C), noise (40 dB(A), 50 dB(A), 60 dB(A), and 70 dB(A)) and illuminance (60 lx, 300 lx, and 2200 lx). Accuracy rate (AC), reaction time (RT), and the final performance indicator (PI) were used to quantify learning efficiency. The results showed ambient temperature, noise, and illuminance exerted significant main effect on learning efficiency based on four task types. Significant concurrent effects of the three factors on final learning efficiency was found in all tasks except problem-solving-oriented task. The optimal environmental scenarios for top learning efficiency were further identified under different environmental interactions. The highest learning efficiency came in thermoneutral, relatively quiet, and bright conditions in perception-oriented task. Subjects performed best under warm, relatively quiet, and moderately light exposure when recalling images in the memory-oriented task. Learning efficiency peaked to maxima in thermoneutral, fairly quiet, and moderately light environment in problem-solving process while in cool, fairly quiet and bright environment with regard to attention-oriented task. The study provides guidance for building users to conduct effective environmental intervention with simultaneous controls of ambient temperature, noise, and illuminance. It contributes to creating the most suitable indoor physical environment for improving occupants learning efficiency according to different task types. The findings could further supplement the present indoor environment-related standards or norms with providing empirical reference on environmental interactions.</t>
        </is>
      </c>
      <c r="X71" t="inlineStr">
        <is>
          <t>[Xiong, Lilin; Tang, Meng] Southeast Univ, Sch Publ Hlth, Nanjing 210003, Jiangsu, Peoples R China; [Xiong, Lilin] Nanjing Municipal Ctr Dis Control &amp; Prevent, Dept Environm Hlth, Nanjing 210003, Jiangsu, Peoples R China; [Huang, Xiao] Xiangnan Univ, Sch Publ Hlth, Dept Hyg, Chenzhou 423000, Peoples R China; [Li, Jie] Shenzhen Univ, Sch Civil Engn, Shenzhen 518060, Peoples R China; [Mao, Peng; Wang, Xiang; Wang, Rubing] Nanjing Forestry Univ, Sch Civil Engn, Dept Construct Management, Nanjing 210037, Jiangsu, Peoples R China; [Tang, Meng] Southeast Univ, Jiangsu Key Lab Biomat &amp; Devices, Nanjing 210009, Jiangsu, Peoples R China</t>
        </is>
      </c>
      <c r="Y71" t="inlineStr">
        <is>
          <t>Southeast University - China; Xiangnan University; Shenzhen University; Nanjing Forestry University; Southeast University - China</t>
        </is>
      </c>
      <c r="Z71" t="inlineStr">
        <is>
          <t>Tang, M (corresponding author), Southeast Univ, Sch Publ Hlth, Nanjing 210003, Jiangsu, Peoples R China.;Tang, M (corresponding author), Southeast Univ, Jiangsu Key Lab Biomat &amp; Devices, Nanjing 210009, Jiangsu, Peoples R China.</t>
        </is>
      </c>
      <c r="AA71" t="inlineStr">
        <is>
          <t>hzxionglilin@163.com; huangxiao1998@163.com; 15250986656@163.com; shadowsmyth@163.com; yzwx97@163.com; wangrubinghappy@163.com; tm@seu.edu.cn</t>
        </is>
      </c>
      <c r="AB71" t="inlineStr">
        <is>
          <t>Li, Jie/A-1479-2019; Mao, Peng/C-6128-2017</t>
        </is>
      </c>
      <c r="AC71" t="inlineStr">
        <is>
          <t>Li, Jie/0000-0003-4722-4434; Mao, Peng/0000-0002-8985-1500</t>
        </is>
      </c>
      <c r="AD71" t="inlineStr">
        <is>
          <t>National Natural Science Foundation of China [31671034, 81473003, 81673218, 81573186, 81302461, 81502783]; National Important Project on Scientific Research of China [2011CB933404]; Medical Technology Development Program Foundation of Nanjing [ZKX16068]; Fundamental Research Funds for the Central Universities &amp; Research and Innovation Program for Graduate Students in Universities of Jiangsu Province [SJZZ16_0033]</t>
        </is>
      </c>
      <c r="AE71" t="inlineStr">
        <is>
          <t>National Natural Science Foundation of China(National Natural Science Foundation of China (NSFC)); National Important Project on Scientific Research of China; Medical Technology Development Program Foundation of Nanjing; Fundamental Research Funds for the Central Universities &amp; Research and Innovation Program for Graduate Students in Universities of Jiangsu Province</t>
        </is>
      </c>
      <c r="AF71" t="inlineStr">
        <is>
          <t>This work was supported by the National Natural Science Foundation of China (Grant No. 31671034, 81473003, 81673218, 81573186, 81302461, 81502783), the National Important Project on Scientific Research of China (Project Code: 2011CB933404), the Medical Technology Development Program Foundation of Nanjing (Project Code: ZKX16068), and Fundamental Research Funds for the Central Universities &amp; Research and Innovation Program for Graduate Students in Universities of Jiangsu Province (SJZZ16_0033). Special thanks to all the volunteers for their participation and cooperation in the research.</t>
        </is>
      </c>
      <c r="AH71" t="n">
        <v>65</v>
      </c>
      <c r="AI71" t="n">
        <v>22</v>
      </c>
      <c r="AJ71" t="n">
        <v>22</v>
      </c>
      <c r="AK71" t="n">
        <v>5</v>
      </c>
      <c r="AL71" t="n">
        <v>69</v>
      </c>
      <c r="AM71" t="inlineStr">
        <is>
          <t>MDPI</t>
        </is>
      </c>
      <c r="AN71" t="inlineStr">
        <is>
          <t>BASEL</t>
        </is>
      </c>
      <c r="AO71" t="inlineStr">
        <is>
          <t>ST ALBAN-ANLAGE 66, CH-4052 BASEL, SWITZERLAND</t>
        </is>
      </c>
      <c r="AP71" t="inlineStr">
        <is>
          <t>1660-4601</t>
        </is>
      </c>
      <c r="AS71" t="inlineStr">
        <is>
          <t>INT J ENV RES PUB HE</t>
        </is>
      </c>
      <c r="AT71" t="inlineStr">
        <is>
          <t>Int. J. Environ. Res. Public Health</t>
        </is>
      </c>
      <c r="AU71" t="inlineStr">
        <is>
          <t>JUN</t>
        </is>
      </c>
      <c r="AV71" t="n">
        <v>2018</v>
      </c>
      <c r="AW71" t="n">
        <v>15</v>
      </c>
      <c r="AX71" t="n">
        <v>6</v>
      </c>
      <c r="BE71" t="n">
        <v>1256</v>
      </c>
      <c r="BF71" t="inlineStr">
        <is>
          <t>10.3390/ijerph15061256</t>
        </is>
      </c>
      <c r="BG71">
        <f>HYPERLINK("http://dx.doi.org/10.3390/ijerph15061256","http://dx.doi.org/10.3390/ijerph15061256")</f>
        <v/>
      </c>
      <c r="BJ71" t="n">
        <v>16</v>
      </c>
      <c r="BK71" t="inlineStr">
        <is>
          <t>Environmental Sciences; Public, Environmental &amp; Occupational Health</t>
        </is>
      </c>
      <c r="BL71" t="inlineStr">
        <is>
          <t>Science Citation Index Expanded (SCI-EXPANDED); Social Science Citation Index (SSCI)</t>
        </is>
      </c>
      <c r="BM71" t="inlineStr">
        <is>
          <t>Environmental Sciences &amp; Ecology; Public, Environmental &amp; Occupational Health</t>
        </is>
      </c>
      <c r="BN71" t="inlineStr">
        <is>
          <t>GK8SE</t>
        </is>
      </c>
      <c r="BO71" t="n">
        <v>29899260</v>
      </c>
      <c r="BP71" t="inlineStr">
        <is>
          <t>gold, Green Published, Green Submitted</t>
        </is>
      </c>
      <c r="BS71" t="inlineStr">
        <is>
          <t>2023-10-26</t>
        </is>
      </c>
      <c r="BT71" t="inlineStr">
        <is>
          <t>WOS:000436496900207</t>
        </is>
      </c>
      <c r="BU71">
        <f>HYPERLINK("https%3A%2F%2Fwww.webofscience.com%2Fwos%2Fwoscc%2Ffull-record%2FWOS:000436496900207","View Full Record in Web of Science")</f>
        <v/>
      </c>
    </row>
    <row r="72">
      <c r="A72" t="inlineStr">
        <is>
          <t>J</t>
        </is>
      </c>
      <c r="B72" t="inlineStr">
        <is>
          <t>Zhang, R; Duan, YP; Brehm, W; Wagner, P</t>
        </is>
      </c>
      <c r="F72" t="inlineStr">
        <is>
          <t>Zhang, Ru; Duan, Yanping; Brehm, Walter; Wagner, Petra</t>
        </is>
      </c>
      <c r="J72" t="inlineStr">
        <is>
          <t>INTERNATIONAL JOURNAL OF ENVIRONMENTAL RESEARCH AND PUBLIC HEALTH</t>
        </is>
      </c>
      <c r="M72" t="inlineStr">
        <is>
          <t>English</t>
        </is>
      </c>
      <c r="N72" t="inlineStr">
        <is>
          <t>Article</t>
        </is>
      </c>
      <c r="T72" t="inlineStr">
        <is>
          <t>Socioecological Correlates of Park-based Physical Activity in Older Adults: A Comparison of Hong Kong and Leipzig Parks</t>
        </is>
      </c>
      <c r="U72" t="inlineStr">
        <is>
          <t>park-based physical activity; older adults; socioecological model; urban parks; active living; perceived park environment</t>
        </is>
      </c>
      <c r="V72" t="inlineStr">
        <is>
          <t>BUILT ENVIRONMENT; SELF-EFFICACY; NEIGHBORHOOD; INTERVENTIONS; ASSOCIATIONS; WALKING; IMPACT; SPACE</t>
        </is>
      </c>
      <c r="W72" t="inlineStr">
        <is>
          <t>Aims: The present study aimed to examine and compare the socioecological correlates of park-based physical activity (PA) among Hong Kong and Leipzig older adults in terms of types of activity areas, perceived park environment, psychosocial factors, and the interactions between the perceived park environmental and psychosocial factors. Methods: Based on the SOPARC, systematic observations were conducted in six randomly selected urban parks in each city. A total of 317 Hong Kong (M-age = 69.96; SD = 6.81) and 311 Leipzig (M-age = 72.06; SD = 6.78) older adults from these six parks completed an interviewer-delivered survey measuring their perceived park environment, psychosocial variables, and park-based PA. Results: In both cities, the types of activity areas were positively associated with the number of older adults observed being active in parks. Psychosocial factors, especially self-efficacy and perceived barriers, had larger associations with park-based PA compared with the perceived park environment. The interaction between perceived park features and self-efficacy in the association with park-based PA was found in Leipzig, but not in Hong Kong. Conclusion: Findings of the current study contribute to the cross-cultural understanding of the socioecological correlates of park-based PA among older adults.</t>
        </is>
      </c>
      <c r="X72" t="inlineStr">
        <is>
          <t>[Zhang, Ru] Chinese Univ Hong Kong, Dept Sports Sci &amp; Phys Educ, Fac Educ, Hong Kong 999077, Peoples R China; [Duan, Yanping] Hong Kong Baptist Univ, Fac Social Sci, Dept Sport &amp; Phys Educ, Hong Kong 999077, Peoples R China; [Brehm, Walter] Univ Bayreuth, Inst Sport Sci, Fac Humanities &amp; Social Sci, D-95447 Bayreuth, Germany; [Wagner, Petra] Univ Leipzig, Inst Exercise &amp; Publ Hlth, Fac Sport Sci, D-04103 Leipzig, Germany</t>
        </is>
      </c>
      <c r="Y72" t="inlineStr">
        <is>
          <t>Chinese University of Hong Kong; Hong Kong Baptist University; University of Bayreuth; Leipzig University</t>
        </is>
      </c>
      <c r="Z72" t="inlineStr">
        <is>
          <t>Zhang, R (corresponding author), Chinese Univ Hong Kong, Dept Sports Sci &amp; Phys Educ, Fac Educ, Hong Kong 999077, Peoples R China.</t>
        </is>
      </c>
      <c r="AA72" t="inlineStr">
        <is>
          <t>ruzhang@cuhk.edu.hk</t>
        </is>
      </c>
      <c r="AB72" t="inlineStr">
        <is>
          <t>Zhang, Ru/AAL-5902-2020; ZHANG, Ru/AAA-4650-2020</t>
        </is>
      </c>
      <c r="AC72" t="inlineStr">
        <is>
          <t>ZHANG, Ru/0000-0001-8744-4525; Duan, Yanping/0000-0002-6432-7542</t>
        </is>
      </c>
      <c r="AD72" t="inlineStr">
        <is>
          <t>Germany/Hong Kong Joint Research Scheme 2015/16 under Hong Kong SAR Governments' RGC Grant [G-HKBU202/15]; Faculty Research Grant, Hong Kong Baptist University, Hong Kong [FRG2/13-14/065]</t>
        </is>
      </c>
      <c r="AE72" t="inlineStr">
        <is>
          <t>Germany/Hong Kong Joint Research Scheme 2015/16 under Hong Kong SAR Governments' RGC Grant; Faculty Research Grant, Hong Kong Baptist University, Hong Kong</t>
        </is>
      </c>
      <c r="AF72" t="inlineStr">
        <is>
          <t>This work was supported by the Germany/Hong Kong Joint Research Scheme 2015/16 under Hong Kong SAR Governments' RGC Grant (No. G-HKBU202/15) and the Faculty Research Grant, Hong Kong Baptist University, Hong Kong (No. FRG2/13-14/065).</t>
        </is>
      </c>
      <c r="AH72" t="n">
        <v>40</v>
      </c>
      <c r="AI72" t="n">
        <v>7</v>
      </c>
      <c r="AJ72" t="n">
        <v>7</v>
      </c>
      <c r="AK72" t="n">
        <v>7</v>
      </c>
      <c r="AL72" t="n">
        <v>28</v>
      </c>
      <c r="AM72" t="inlineStr">
        <is>
          <t>MDPI</t>
        </is>
      </c>
      <c r="AN72" t="inlineStr">
        <is>
          <t>BASEL</t>
        </is>
      </c>
      <c r="AO72" t="inlineStr">
        <is>
          <t>ST ALBAN-ANLAGE 66, CH-4052 BASEL, SWITZERLAND</t>
        </is>
      </c>
      <c r="AQ72" t="inlineStr">
        <is>
          <t>1660-4601</t>
        </is>
      </c>
      <c r="AS72" t="inlineStr">
        <is>
          <t>INT J ENV RES PUB HE</t>
        </is>
      </c>
      <c r="AT72" t="inlineStr">
        <is>
          <t>Int. J. Environ. Res. Public Health</t>
        </is>
      </c>
      <c r="AU72" t="inlineStr">
        <is>
          <t>SEP 1</t>
        </is>
      </c>
      <c r="AV72" t="n">
        <v>2019</v>
      </c>
      <c r="AW72" t="n">
        <v>16</v>
      </c>
      <c r="AX72" t="n">
        <v>17</v>
      </c>
      <c r="BE72" t="n">
        <v>3048</v>
      </c>
      <c r="BF72" t="inlineStr">
        <is>
          <t>10.3390/ijerph16173048</t>
        </is>
      </c>
      <c r="BG72">
        <f>HYPERLINK("http://dx.doi.org/10.3390/ijerph16173048","http://dx.doi.org/10.3390/ijerph16173048")</f>
        <v/>
      </c>
      <c r="BJ72" t="n">
        <v>14</v>
      </c>
      <c r="BK72" t="inlineStr">
        <is>
          <t>Environmental Sciences; Public, Environmental &amp; Occupational Health</t>
        </is>
      </c>
      <c r="BL72" t="inlineStr">
        <is>
          <t>Science Citation Index Expanded (SCI-EXPANDED); Social Science Citation Index (SSCI)</t>
        </is>
      </c>
      <c r="BM72" t="inlineStr">
        <is>
          <t>Environmental Sciences &amp; Ecology; Public, Environmental &amp; Occupational Health</t>
        </is>
      </c>
      <c r="BN72" t="inlineStr">
        <is>
          <t>IZ4EQ</t>
        </is>
      </c>
      <c r="BO72" t="n">
        <v>31443443</v>
      </c>
      <c r="BP72" t="inlineStr">
        <is>
          <t>Green Published, gold, Green Submitted</t>
        </is>
      </c>
      <c r="BS72" t="inlineStr">
        <is>
          <t>2023-10-26</t>
        </is>
      </c>
      <c r="BT72" t="inlineStr">
        <is>
          <t>WOS:000487037500043</t>
        </is>
      </c>
      <c r="BU72">
        <f>HYPERLINK("https%3A%2F%2Fwww.webofscience.com%2Fwos%2Fwoscc%2Ffull-record%2FWOS:000487037500043","View Full Record in Web of Science")</f>
        <v/>
      </c>
    </row>
    <row r="73">
      <c r="A73" t="inlineStr">
        <is>
          <t>J</t>
        </is>
      </c>
      <c r="B73" t="inlineStr">
        <is>
          <t>Mitás, J; Sas-Nowosielski, K; Groffik, D; Frömel, K</t>
        </is>
      </c>
      <c r="F73" t="inlineStr">
        <is>
          <t>Mitas, Josef; Sas-Nowosielski, Krzysztof; Groffik, Dorota; Fromel, Karel</t>
        </is>
      </c>
      <c r="J73" t="inlineStr">
        <is>
          <t>INTERNATIONAL JOURNAL OF ENVIRONMENTAL RESEARCH AND PUBLIC HEALTH</t>
        </is>
      </c>
      <c r="M73" t="inlineStr">
        <is>
          <t>English</t>
        </is>
      </c>
      <c r="N73" t="inlineStr">
        <is>
          <t>Article</t>
        </is>
      </c>
      <c r="T73" t="inlineStr">
        <is>
          <t>The Safety of the Neighborhood Environment and Physical Activity in Czech and Polish Adolescents</t>
        </is>
      </c>
      <c r="U73" t="inlineStr">
        <is>
          <t>built environment; IPAQ-long form; recommendation; steps</t>
        </is>
      </c>
      <c r="V73" t="inlineStr">
        <is>
          <t>WALKABILITY SCALE; BUILT ENVIRONMENT; TRANSPORTATION MODE; SCHOOL; CHILDREN; YOUTH; RELIABILITY; PERCEPTIONS; PARKS; ATTRIBUTES</t>
        </is>
      </c>
      <c r="W73" t="inlineStr">
        <is>
          <t>(1) Background: An increase in or at least the sustainment of walking activities across a wide section of the population is a crucial health-related task for Central and East European countries. The aim of this study was to assess the associations between adolescents' walking activities and various levels of perceived safety of the built environment in differing socio-demographic backgrounds of Poland and the Czech Republic. Furthermore, we aimed to determine major moderators affecting the walking habits of adolescents in areas with different levels of walkability. (2) Methods: The surveys were conducted during the 2008-2009 and 2013-2014 school years in 24 Polish and 35 Czech secondary schools, with a sample of 2001 adolescents. All participants completed the International Physical Activity Questionnaire-Long Form and the NEWS-Abbreviated. Selected students took part in objective weekly monitoring of physical activity (PA). (3) Results: Boys and girls who perceived their neighborhood environment as the safest were significantly more likely to meet the recommendations for leisure-time walking. Adolescents from the safest environment achieved 11,024 steps/day on average, while those from the least safe environment achieved 9686 steps/day. (4) Conclusions: A safe neighborhood environment significantly predicts walking activities among girls. Environmental safety improvement can support the active transport and better use of leisure time PA.</t>
        </is>
      </c>
      <c r="X73" t="inlineStr">
        <is>
          <t>[Mitas, Josef; Fromel, Karel] Palacky Univ, Fac Phys Culture, Inst Act Lifestyle, Olomouc 77111, Czech Republic; [Sas-Nowosielski, Krzysztof; Groffik, Dorota; Fromel, Karel] Acad Phys Educ, Dept Phys Educ, PL-40065 Katowice, Poland</t>
        </is>
      </c>
      <c r="Y73" t="inlineStr">
        <is>
          <t>Palacky University Olomouc</t>
        </is>
      </c>
      <c r="Z73" t="inlineStr">
        <is>
          <t>Mitás, J (corresponding author), Palacky Univ, Fac Phys Culture, Inst Act Lifestyle, Olomouc 77111, Czech Republic.</t>
        </is>
      </c>
      <c r="AA73" t="inlineStr">
        <is>
          <t>josef.mitas@upol.cz; k.sas-nowosielski@awf.katowice.pl; d.groffik@awf.katowice.pl; karel.fromel@upol.cz</t>
        </is>
      </c>
      <c r="AB73" t="inlineStr">
        <is>
          <t>Frömel, Karel/AAU-2222-2020; Mitáš, Josef/K-1760-2015; Frömel, Karel/L-9865-2017; Sas-Nowosielski, Krzysztof/W-2764-2018</t>
        </is>
      </c>
      <c r="AC73" t="inlineStr">
        <is>
          <t>Frömel, Karel/0000-0001-7848-3418; Mitáš, Josef/0000-0001-7219-931X; Frömel, Karel/0000-0001-7848-3418; Sas-Nowosielski, Krzysztof/0000-0002-9569-5954; Groffik, Dorota/0000-0002-2266-2457</t>
        </is>
      </c>
      <c r="AD73" t="inlineStr">
        <is>
          <t>Czech Science Foundation [GA 14-26896S]</t>
        </is>
      </c>
      <c r="AE73" t="inlineStr">
        <is>
          <t>Czech Science Foundation(Grant Agency of the Czech Republic)</t>
        </is>
      </c>
      <c r="AF73" t="inlineStr">
        <is>
          <t>The work was supported by the Czech Science Foundation under grant Multifactorial research of built environment, active lifestyle, and physical fitness of Czech youth (No. GA 14-26896S).</t>
        </is>
      </c>
      <c r="AH73" t="n">
        <v>53</v>
      </c>
      <c r="AI73" t="n">
        <v>22</v>
      </c>
      <c r="AJ73" t="n">
        <v>23</v>
      </c>
      <c r="AK73" t="n">
        <v>1</v>
      </c>
      <c r="AL73" t="n">
        <v>10</v>
      </c>
      <c r="AM73" t="inlineStr">
        <is>
          <t>MDPI</t>
        </is>
      </c>
      <c r="AN73" t="inlineStr">
        <is>
          <t>BASEL</t>
        </is>
      </c>
      <c r="AO73" t="inlineStr">
        <is>
          <t>ST ALBAN-ANLAGE 66, CH-4052 BASEL, SWITZERLAND</t>
        </is>
      </c>
      <c r="AQ73" t="inlineStr">
        <is>
          <t>1660-4601</t>
        </is>
      </c>
      <c r="AS73" t="inlineStr">
        <is>
          <t>INT J ENV RES PUB HE</t>
        </is>
      </c>
      <c r="AT73" t="inlineStr">
        <is>
          <t>Int. J. Environ. Res. Public Health</t>
        </is>
      </c>
      <c r="AU73" t="inlineStr">
        <is>
          <t>JAN</t>
        </is>
      </c>
      <c r="AV73" t="n">
        <v>2018</v>
      </c>
      <c r="AW73" t="n">
        <v>15</v>
      </c>
      <c r="AX73" t="n">
        <v>1</v>
      </c>
      <c r="BE73" t="n">
        <v>126</v>
      </c>
      <c r="BF73" t="inlineStr">
        <is>
          <t>10.3390/ijerph15010126</t>
        </is>
      </c>
      <c r="BG73">
        <f>HYPERLINK("http://dx.doi.org/10.3390/ijerph15010126","http://dx.doi.org/10.3390/ijerph15010126")</f>
        <v/>
      </c>
      <c r="BJ73" t="n">
        <v>11</v>
      </c>
      <c r="BK73" t="inlineStr">
        <is>
          <t>Environmental Sciences; Public, Environmental &amp; Occupational Health</t>
        </is>
      </c>
      <c r="BL73" t="inlineStr">
        <is>
          <t>Science Citation Index Expanded (SCI-EXPANDED); Social Science Citation Index (SSCI)</t>
        </is>
      </c>
      <c r="BM73" t="inlineStr">
        <is>
          <t>Environmental Sciences &amp; Ecology; Public, Environmental &amp; Occupational Health</t>
        </is>
      </c>
      <c r="BN73" t="inlineStr">
        <is>
          <t>FU8QZ</t>
        </is>
      </c>
      <c r="BP73" t="inlineStr">
        <is>
          <t>Green Published, gold, Green Submitted</t>
        </is>
      </c>
      <c r="BS73" t="inlineStr">
        <is>
          <t>2023-10-26</t>
        </is>
      </c>
      <c r="BT73" t="inlineStr">
        <is>
          <t>WOS:000424121200125</t>
        </is>
      </c>
      <c r="BU73">
        <f>HYPERLINK("https%3A%2F%2Fwww.webofscience.com%2Fwos%2Fwoscc%2Ffull-record%2FWOS:000424121200125","View Full Record in Web of Science")</f>
        <v/>
      </c>
    </row>
    <row r="74">
      <c r="A74" t="inlineStr">
        <is>
          <t>J</t>
        </is>
      </c>
      <c r="B74" t="inlineStr">
        <is>
          <t>Liu, ZY; Huang, WL; Lu, Y; Peng, Y</t>
        </is>
      </c>
      <c r="F74" t="inlineStr">
        <is>
          <t>Liu, Zhengying; Huang, Wenli; Lu, Yuan; Peng, You</t>
        </is>
      </c>
      <c r="J74" t="inlineStr">
        <is>
          <t>INTERNATIONAL JOURNAL OF ENVIRONMENTAL RESEARCH AND PUBLIC HEALTH</t>
        </is>
      </c>
      <c r="M74" t="inlineStr">
        <is>
          <t>English</t>
        </is>
      </c>
      <c r="N74" t="inlineStr">
        <is>
          <t>Article</t>
        </is>
      </c>
      <c r="T74" t="inlineStr">
        <is>
          <t>Older Adults' Choice of Patterns of Outdoor Physical Activity Duration: A Mixed Multinomial Logit Model</t>
        </is>
      </c>
      <c r="U74" t="inlineStr">
        <is>
          <t>older adults; physical activity; duration patterns; mixed logit</t>
        </is>
      </c>
      <c r="V74" t="inlineStr">
        <is>
          <t>BUILT ENVIRONMENT; WALKING; TIME; ASSOCIATIONS; CONVENIENCE; AMERICAN; MEDICINE; EXERCISE; DISEASE; DESIGN</t>
        </is>
      </c>
      <c r="W74" t="inlineStr">
        <is>
          <t>Outdoor physical activity duration is a key component of outdoor physical activity behavior of older adults, and therefore, an important determinant of their total physical activity levels. In order to develop a successful outdoor physical activity program, it is important to identify any heterogeneity in preferences for outdoor physical activity duration patterns among older adults. In addition, more insight is needed in the influence of environmental characteristics on duration choice for creating supportive neighborhood environments matching individuals' preferences. To this end, a mixed multinomial logit model is estimated based on one-week data collected among 336 respondents aged 60 or over in 2017 in Dalian, China. The present model formulation accounts for heterogeneity in individuals' preferences and allows for the analysis of substitution and complementary relationships between the different patterns of outdoor physical activity duration. Results indicate that older adults vary significantly in their preferences for each outdoor physical activity duration pattern. Moreover, short walking duration, short exercise duration and medium exercise duration are substitutes for medium walking duration while short walking duration and short exercise duration are complements for medium exercise duration in terms of individuals' outdoor physical activity duration preferences. In addition, we find that distance to the nearest park, footpath conditions and neighborhood aesthetics are associated with older adults' outdoor physical activity duration choice.</t>
        </is>
      </c>
      <c r="X74" t="inlineStr">
        <is>
          <t>[Liu, Zhengying] Peking Univ, Sch Urban Planning &amp; Design, Shenzhen Grad Sch, Shenzhen 518055, Peoples R China; [Huang, Wenli; Lu, Yuan] Eindhoven Univ Technol, Dept Ind Design, Syst Change, POB 513, NL-5600 MB Eindhoven, Netherlands; [Huang, Wenli] Hubei Engn Univ, Coll Art &amp; Design, Dept Prod Design, 272 Jiaotong Rd, Xiaogan 432000, Peoples R China; [Peng, You] Eindhoven Univ Technol, Dept Built Environm, Urban Planning &amp; Transportat, POB 513, NL-5600 MB Eindhoven, Netherlands</t>
        </is>
      </c>
      <c r="Y74" t="inlineStr">
        <is>
          <t>Peking University; Eindhoven University of Technology; Hubei Engineering University; Eindhoven University of Technology</t>
        </is>
      </c>
      <c r="Z74" t="inlineStr">
        <is>
          <t>Huang, WL (corresponding author), Eindhoven Univ Technol, Dept Ind Design, Syst Change, POB 513, NL-5600 MB Eindhoven, Netherlands.;Huang, WL (corresponding author), Hubei Engn Univ, Coll Art &amp; Design, Dept Prod Design, 272 Jiaotong Rd, Xiaogan 432000, Peoples R China.;Peng, Y (corresponding author), Eindhoven Univ Technol, Dept Built Environm, Urban Planning &amp; Transportat, POB 513, NL-5600 MB Eindhoven, Netherlands.</t>
        </is>
      </c>
      <c r="AA74" t="inlineStr">
        <is>
          <t>z.liu@pku.edu.cn; w.huang1@tue.nl; y.lu@tue.nl; y.peng@tue.nl</t>
        </is>
      </c>
      <c r="AB74" t="inlineStr">
        <is>
          <t>Liu, Zhengying/HPB-6128-2023; Lu, Yuan/GSM-7398-2022; Peng, You/AAE-1501-2020</t>
        </is>
      </c>
      <c r="AC74" t="inlineStr">
        <is>
          <t>Peng, You/0000-0002-3721-3216; Liu, Zhengying/0000-0002-3576-6810</t>
        </is>
      </c>
      <c r="AD74" t="inlineStr">
        <is>
          <t>Department of Industrial Design, Eindhoven University of Technology [10023806]; Key Research Base of Humanities and Social Sciences of Hubei Province; Project of the Hubei Provincial Department of Education [19Q168]; Research Center for Culture @ Scitech Integration Innovation of Hubei University</t>
        </is>
      </c>
      <c r="AE74" t="inlineStr">
        <is>
          <t>Department of Industrial Design, Eindhoven University of Technology; Key Research Base of Humanities and Social Sciences of Hubei Province; Project of the Hubei Provincial Department of Education; Research Center for Culture @ Scitech Integration Innovation of Hubei University</t>
        </is>
      </c>
      <c r="AF74" t="inlineStr">
        <is>
          <t>This research was funded by Department of Industrial Design, Eindhoven University of Technology, project number 10023806, Research Center for Culture @ Scitech Integration Innovation of Hubei University, Key Research Base of Humanities and Social Sciences of Hubei Province, and Project of the Hubei Provincial Department of Education, grant number 19Q168.</t>
        </is>
      </c>
      <c r="AH74" t="n">
        <v>47</v>
      </c>
      <c r="AI74" t="n">
        <v>4</v>
      </c>
      <c r="AJ74" t="n">
        <v>5</v>
      </c>
      <c r="AK74" t="n">
        <v>5</v>
      </c>
      <c r="AL74" t="n">
        <v>44</v>
      </c>
      <c r="AM74" t="inlineStr">
        <is>
          <t>MDPI</t>
        </is>
      </c>
      <c r="AN74" t="inlineStr">
        <is>
          <t>BASEL</t>
        </is>
      </c>
      <c r="AO74" t="inlineStr">
        <is>
          <t>ST ALBAN-ANLAGE 66, CH-4052 BASEL, SWITZERLAND</t>
        </is>
      </c>
      <c r="AQ74" t="inlineStr">
        <is>
          <t>1660-4601</t>
        </is>
      </c>
      <c r="AS74" t="inlineStr">
        <is>
          <t>INT J ENV RES PUB HE</t>
        </is>
      </c>
      <c r="AT74" t="inlineStr">
        <is>
          <t>Int. J. Environ. Res. Public Health</t>
        </is>
      </c>
      <c r="AU74" t="inlineStr">
        <is>
          <t>AUG</t>
        </is>
      </c>
      <c r="AV74" t="n">
        <v>2021</v>
      </c>
      <c r="AW74" t="n">
        <v>18</v>
      </c>
      <c r="AX74" t="n">
        <v>15</v>
      </c>
      <c r="BE74" t="n">
        <v>8199</v>
      </c>
      <c r="BF74" t="inlineStr">
        <is>
          <t>10.3390/ijerph18158199</t>
        </is>
      </c>
      <c r="BG74">
        <f>HYPERLINK("http://dx.doi.org/10.3390/ijerph18158199","http://dx.doi.org/10.3390/ijerph18158199")</f>
        <v/>
      </c>
      <c r="BJ74" t="n">
        <v>13</v>
      </c>
      <c r="BK74" t="inlineStr">
        <is>
          <t>Environmental Sciences; Public, Environmental &amp; Occupational Health</t>
        </is>
      </c>
      <c r="BL74" t="inlineStr">
        <is>
          <t>Science Citation Index Expanded (SCI-EXPANDED); Social Science Citation Index (SSCI)</t>
        </is>
      </c>
      <c r="BM74" t="inlineStr">
        <is>
          <t>Environmental Sciences &amp; Ecology; Public, Environmental &amp; Occupational Health</t>
        </is>
      </c>
      <c r="BN74" t="inlineStr">
        <is>
          <t>TV8LK</t>
        </is>
      </c>
      <c r="BO74" t="n">
        <v>34360492</v>
      </c>
      <c r="BP74" t="inlineStr">
        <is>
          <t>Green Published, gold</t>
        </is>
      </c>
      <c r="BS74" t="inlineStr">
        <is>
          <t>2023-10-26</t>
        </is>
      </c>
      <c r="BT74" t="inlineStr">
        <is>
          <t>WOS:000681967700001</t>
        </is>
      </c>
      <c r="BU74">
        <f>HYPERLINK("https%3A%2F%2Fwww.webofscience.com%2Fwos%2Fwoscc%2Ffull-record%2FWOS:000681967700001","View Full Record in Web of Science")</f>
        <v/>
      </c>
    </row>
    <row r="75">
      <c r="A75" t="inlineStr">
        <is>
          <t>J</t>
        </is>
      </c>
      <c r="B75" t="inlineStr">
        <is>
          <t>Fang, HH; Ji, X; Chu, Y; Nie, LF; Wang, JY</t>
        </is>
      </c>
      <c r="F75" t="inlineStr">
        <is>
          <t>Fang, Huanhuan; Ji, Xiang; Chu, Yun; Nie, Lufeng; Wang, Jianyuan</t>
        </is>
      </c>
      <c r="J75" t="inlineStr">
        <is>
          <t>SUSTAINABILITY</t>
        </is>
      </c>
      <c r="M75" t="inlineStr">
        <is>
          <t>English</t>
        </is>
      </c>
      <c r="N75" t="inlineStr">
        <is>
          <t>Article</t>
        </is>
      </c>
      <c r="T75" t="inlineStr">
        <is>
          <t>Study on Skywell Shape in Huizhou Traditional Architecture Based on Outdoor Wind Environment Simulation</t>
        </is>
      </c>
      <c r="U75" t="inlineStr">
        <is>
          <t>Huizhou region; traditional architecture; PHOENICS; outdoor wind environment</t>
        </is>
      </c>
      <c r="V75" t="inlineStr">
        <is>
          <t>NATURAL VENTILATION PERFORMANCE; RESIDENTIAL BUILDING MODEL; HUMID REGIONS; COOLING LOAD; HOT; COURTYARD; CLIMATE; CFD</t>
        </is>
      </c>
      <c r="W75" t="inlineStr">
        <is>
          <t>This study was conducted in the context of the latest Chinese policy on double carbon. First, we obtained building skywell and meteorological data parameters through a site survey and measurements. We applied the PHOENICS software to simulate and analyze the wind environment of a traditional building skywell. Secondly, the outdoor wind environment of typical building skywells could be simulated and evaluated one by one. Finally, using the method of controlling the variables and by combining typical buildings and skywell-scale layouts, the study summarized and compared the wind environment of the skywell under different scale combinations from three aspects: building skywell shape, skywell scale ratio, and skywell door opening. The following conclusions were drawn: (1) Among the four skywell shapes, the wind environment inside of the skywell was best in the HUI shape. (2) The wind environment inside of the skywell was best in the simulated skywell width-to-height ratio D/H values of 0.2-0.6; the AO shape D/H value was equal to 0.3; and the best wind environment in the skywell occurred when the D/H value of the HUI shape was equal to 0.4. (3) The wind environment in the skywell was best in the range of 1-1.5 for the aspect ratio W/L in the HUI-shaped building skywell (when the width-to-height D/H ratio was 0.4). (4) The opening of the door of the residential building had a great impact on the wind environment of the skywell.</t>
        </is>
      </c>
      <c r="X75" t="inlineStr">
        <is>
          <t>[Fang, Huanhuan; Ji, Xiang; Nie, Lufeng] China Univ Min &amp; Technol, Sch Mech &amp; Civil Engn, Xuzhou 221000, Peoples R China; [Ji, Xiang] Jiangsu Vocat Inst Architectural Technol, Jiangsu Collaborat Innovat Ctr Bldg Energy Saving, Xuzhou 221000, Peoples R China; [Chu, Yun; Wang, Jianyuan] China Univ Min &amp; Technol, Sch Architecture &amp; Design, Xuzhou 221000, Peoples R China</t>
        </is>
      </c>
      <c r="Y75" t="inlineStr">
        <is>
          <t>China University of Mining &amp; Technology; China University of Mining &amp; Technology</t>
        </is>
      </c>
      <c r="Z75" t="inlineStr">
        <is>
          <t>Ji, X (corresponding author), China Univ Min &amp; Technol, Sch Mech &amp; Civil Engn, Xuzhou 221000, Peoples R China.;Ji, X (corresponding author), Jiangsu Vocat Inst Architectural Technol, Jiangsu Collaborat Innovat Ctr Bldg Energy Saving, Xuzhou 221000, Peoples R China.</t>
        </is>
      </c>
      <c r="AA75" t="inlineStr">
        <is>
          <t>tb20030012b4@cumt.edu.cn; jixiang0615@yeah.net; ts20190002a31@cumt.edu.cn; nielufeng@cumt.edu.com; ts20190039P31@cumt.edu.cn</t>
        </is>
      </c>
      <c r="AD75" t="inlineStr">
        <is>
          <t>National Key Research and Development Program of China [SJXTBZ2101]; [2018YFD1100203]</t>
        </is>
      </c>
      <c r="AE75" t="inlineStr">
        <is>
          <t>National Key Research and Development Program of China;</t>
        </is>
      </c>
      <c r="AF75" t="inlineStr">
        <is>
          <t>This research was funded by the study on the optimal design of village external environment in cold area of Jiangsu Province based on physical performance analysis, grant number SJXTBZ2101, and the National Key Research and Development Program of China, grant number 2018YFD1100203.</t>
        </is>
      </c>
      <c r="AH75" t="n">
        <v>46</v>
      </c>
      <c r="AI75" t="n">
        <v>0</v>
      </c>
      <c r="AJ75" t="n">
        <v>0</v>
      </c>
      <c r="AK75" t="n">
        <v>5</v>
      </c>
      <c r="AL75" t="n">
        <v>5</v>
      </c>
      <c r="AM75" t="inlineStr">
        <is>
          <t>MDPI</t>
        </is>
      </c>
      <c r="AN75" t="inlineStr">
        <is>
          <t>BASEL</t>
        </is>
      </c>
      <c r="AO75" t="inlineStr">
        <is>
          <t>ST ALBAN-ANLAGE 66, CH-4052 BASEL, SWITZERLAND</t>
        </is>
      </c>
      <c r="AQ75" t="inlineStr">
        <is>
          <t>2071-1050</t>
        </is>
      </c>
      <c r="AS75" t="inlineStr">
        <is>
          <t>SUSTAINABILITY-BASEL</t>
        </is>
      </c>
      <c r="AT75" t="inlineStr">
        <is>
          <t>Sustainability</t>
        </is>
      </c>
      <c r="AU75" t="inlineStr">
        <is>
          <t>MAY 18</t>
        </is>
      </c>
      <c r="AV75" t="n">
        <v>2023</v>
      </c>
      <c r="AW75" t="n">
        <v>15</v>
      </c>
      <c r="AX75" t="n">
        <v>10</v>
      </c>
      <c r="BE75" t="n">
        <v>8270</v>
      </c>
      <c r="BF75" t="inlineStr">
        <is>
          <t>10.3390/su15108270</t>
        </is>
      </c>
      <c r="BG75">
        <f>HYPERLINK("http://dx.doi.org/10.3390/su15108270","http://dx.doi.org/10.3390/su15108270")</f>
        <v/>
      </c>
      <c r="BJ75" t="n">
        <v>27</v>
      </c>
      <c r="BK75" t="inlineStr">
        <is>
          <t>Green &amp; Sustainable Science &amp; Technology; Environmental Sciences; Environmental Studies</t>
        </is>
      </c>
      <c r="BL75" t="inlineStr">
        <is>
          <t>Science Citation Index Expanded (SCI-EXPANDED); Social Science Citation Index (SSCI)</t>
        </is>
      </c>
      <c r="BM75" t="inlineStr">
        <is>
          <t>Science &amp; Technology - Other Topics; Environmental Sciences &amp; Ecology</t>
        </is>
      </c>
      <c r="BN75" t="inlineStr">
        <is>
          <t>H5XY2</t>
        </is>
      </c>
      <c r="BP75" t="inlineStr">
        <is>
          <t>gold</t>
        </is>
      </c>
      <c r="BS75" t="inlineStr">
        <is>
          <t>2023-10-26</t>
        </is>
      </c>
      <c r="BT75" t="inlineStr">
        <is>
          <t>WOS:000996702600001</t>
        </is>
      </c>
      <c r="BU75">
        <f>HYPERLINK("https%3A%2F%2Fwww.webofscience.com%2Fwos%2Fwoscc%2Ffull-record%2FWOS:000996702600001","View Full Record in Web of Science")</f>
        <v/>
      </c>
    </row>
    <row r="76">
      <c r="A76" t="inlineStr">
        <is>
          <t>J</t>
        </is>
      </c>
      <c r="B76" t="inlineStr">
        <is>
          <t>Liu, F; Luo, ZW; Li, YG; Zheng, XH; Zhang, CY; Qian, H</t>
        </is>
      </c>
      <c r="F76" t="inlineStr">
        <is>
          <t>Liu, Fan; Luo, Zhiwen; Li, Yuguo; Zheng, Xiaohong; Zhang, Chongyang; Qian, Hua</t>
        </is>
      </c>
      <c r="J76" t="inlineStr">
        <is>
          <t>ENVIRONMENT INTERNATIONAL</t>
        </is>
      </c>
      <c r="M76" t="inlineStr">
        <is>
          <t>English</t>
        </is>
      </c>
      <c r="N76" t="inlineStr">
        <is>
          <t>Article</t>
        </is>
      </c>
      <c r="T76" t="inlineStr">
        <is>
          <t>Revisiting physical distancing threshold in indoor environment using infection-risk-based modeling</t>
        </is>
      </c>
      <c r="U76" t="inlineStr">
        <is>
          <t>Physical distancing; Infection risk; Speaking; Thermal stratification</t>
        </is>
      </c>
      <c r="V76" t="inlineStr">
        <is>
          <t>AIRBORNE TRANSMISSION; EXPIRATORY DROPLETS; SARS; EVAPORATION; DISPERSION; EXPOSURE; AIR</t>
        </is>
      </c>
      <c r="W76" t="inlineStr">
        <is>
          <t>Physical distancing has been an important policy to mitigate the spread of the novel coronavirus disease 2019 (COVID-19) in public settings. However, the current 1-2 m physical distancing rule is based on the physics of droplet transport and could not directly translate into infection risk. We therefore revisit the 2-m physical distancing rule by developing an infection-risk-based model for human speaking. The key modeling framework components include viral load, droplets dispersion and evaporation, deposition efficiency, viral dose-response rate and infection risk. The results suggest that the one-size-fits-all 2-m physical distancing rule derived from the pure droplet-physics-based model is not applicable under some realistic indoor settings, and may rather increase transmission probability of diseases. Especially, in thermally stratified environments, the infection risk could exhibit multiple peaks for a long distance beyond 2 m. With Sobol's sensitivity analysis, most variance of the risk is found to be significantly attributable to the variability in temperature gradient, exposure time and breathing height difference. Our study suggests there is no such magic 2 m physical distancing rule for all environments, but it needs to be used alongside other strategies, such as using face cover, reducing exposure time, and controlling the thermal stratification of indoor environment.</t>
        </is>
      </c>
      <c r="X76" t="inlineStr">
        <is>
          <t>[Liu, Fan; Zheng, Xiaohong; Zhang, Chongyang; Qian, Hua] Southeast Univ, Sch Energy &amp; Environm, 2 Sipailou, Nanjing 210096, Peoples R China; [Liu, Fan; Luo, Zhiwen] Univ Reading, Sch Built Environm, Reading, Berks, England; [Li, Yuguo] Univ Hong Kong, Dept Mech Engn, Hong Kong, Peoples R China; [Zheng, Xiaohong] Southeast Univ, Sch Energy &amp; Environm, Jiangsu Prov Key Lab Solar Energy Sci &amp; Technol, Nanjing, Peoples R China; [Zhang, Chongyang] Shanghai Res Inst Bldg Sci Grp Co Ltd, Shanghai, Peoples R China</t>
        </is>
      </c>
      <c r="Y76" t="inlineStr">
        <is>
          <t>Southeast University - China; University of Reading; University of Hong Kong; Southeast University - China</t>
        </is>
      </c>
      <c r="Z76" t="inlineStr">
        <is>
          <t>Luo, ZW; Qian, H (corresponding author), Southeast Univ, Sch Energy &amp; Environm, 2 Sipailou, Nanjing 210096, Peoples R China.</t>
        </is>
      </c>
      <c r="AA76" t="inlineStr">
        <is>
          <t>z.luo@reading.ac.uk; qianh@seu.edu.cn</t>
        </is>
      </c>
      <c r="AB76" t="inlineStr">
        <is>
          <t>QIAN, Hua/A-1410-2009</t>
        </is>
      </c>
      <c r="AC76" t="inlineStr">
        <is>
          <t>QIAN, Hua/0000-0002-7237-7806; Luo, Zhiwen/0000-0002-2082-3958</t>
        </is>
      </c>
      <c r="AD76" t="inlineStr">
        <is>
          <t>UK GCRF Rapid Response Grant; National Natural Science Foundation of China [51778128]; Scientific Research Foundation of Graduate School of Southeast University [YBJJ1806]; China Scholarship Council (CSC)</t>
        </is>
      </c>
      <c r="AE76" t="inlineStr">
        <is>
          <t>UK GCRF Rapid Response Grant; National Natural Science Foundation of China(National Natural Science Foundation of China (NSFC)); Scientific Research Foundation of Graduate School of Southeast University; China Scholarship Council (CSC)(China Scholarship Council)</t>
        </is>
      </c>
      <c r="AF76" t="inlineStr">
        <is>
          <t>This work was supported by UK GCRF Rapid Response Grant (ZL) , National Natural Science Foundation of China (grant number 51778128) , Scientific Research Foundation of Graduate School of Southeast University (grant number YBJJ1806) (HQ) and China Scholarship Council (CSC) (FL) .</t>
        </is>
      </c>
      <c r="AH76" t="n">
        <v>53</v>
      </c>
      <c r="AI76" t="n">
        <v>20</v>
      </c>
      <c r="AJ76" t="n">
        <v>21</v>
      </c>
      <c r="AK76" t="n">
        <v>5</v>
      </c>
      <c r="AL76" t="n">
        <v>56</v>
      </c>
      <c r="AM76" t="inlineStr">
        <is>
          <t>PERGAMON-ELSEVIER SCIENCE LTD</t>
        </is>
      </c>
      <c r="AN76" t="inlineStr">
        <is>
          <t>OXFORD</t>
        </is>
      </c>
      <c r="AO76" t="inlineStr">
        <is>
          <t>THE BOULEVARD, LANGFORD LANE, KIDLINGTON, OXFORD OX5 1GB, ENGLAND</t>
        </is>
      </c>
      <c r="AP76" t="inlineStr">
        <is>
          <t>0160-4120</t>
        </is>
      </c>
      <c r="AQ76" t="inlineStr">
        <is>
          <t>1873-6750</t>
        </is>
      </c>
      <c r="AS76" t="inlineStr">
        <is>
          <t>ENVIRON INT</t>
        </is>
      </c>
      <c r="AT76" t="inlineStr">
        <is>
          <t>Environ. Int.</t>
        </is>
      </c>
      <c r="AU76" t="inlineStr">
        <is>
          <t>AUG</t>
        </is>
      </c>
      <c r="AV76" t="n">
        <v>2021</v>
      </c>
      <c r="AW76" t="n">
        <v>153</v>
      </c>
      <c r="BE76" t="n">
        <v>106542</v>
      </c>
      <c r="BF76" t="inlineStr">
        <is>
          <t>10.1016/j.envint.2021.106542</t>
        </is>
      </c>
      <c r="BG76">
        <f>HYPERLINK("http://dx.doi.org/10.1016/j.envint.2021.106542","http://dx.doi.org/10.1016/j.envint.2021.106542")</f>
        <v/>
      </c>
      <c r="BI76" t="inlineStr">
        <is>
          <t>APR 2021</t>
        </is>
      </c>
      <c r="BJ76" t="n">
        <v>9</v>
      </c>
      <c r="BK76" t="inlineStr">
        <is>
          <t>Environmental Sciences</t>
        </is>
      </c>
      <c r="BL76" t="inlineStr">
        <is>
          <t>Science Citation Index Expanded (SCI-EXPANDED); Social Science Citation Index (SSCI)</t>
        </is>
      </c>
      <c r="BM76" t="inlineStr">
        <is>
          <t>Environmental Sciences &amp; Ecology</t>
        </is>
      </c>
      <c r="BN76" t="inlineStr">
        <is>
          <t>SU7GZ</t>
        </is>
      </c>
      <c r="BO76" t="n">
        <v>33819720</v>
      </c>
      <c r="BP76" t="inlineStr">
        <is>
          <t>Green Published, gold, Green Accepted</t>
        </is>
      </c>
      <c r="BS76" t="inlineStr">
        <is>
          <t>2023-10-26</t>
        </is>
      </c>
      <c r="BT76" t="inlineStr">
        <is>
          <t>WOS:000663302300004</t>
        </is>
      </c>
      <c r="BU76">
        <f>HYPERLINK("https%3A%2F%2Fwww.webofscience.com%2Fwos%2Fwoscc%2Ffull-record%2FWOS:000663302300004","View Full Record in Web of Science")</f>
        <v/>
      </c>
    </row>
    <row r="77">
      <c r="A77" t="inlineStr">
        <is>
          <t>J</t>
        </is>
      </c>
      <c r="B77" t="inlineStr">
        <is>
          <t>Zhang, F; Li, DZ</t>
        </is>
      </c>
      <c r="F77" t="inlineStr">
        <is>
          <t>Zhang, Fan; Li, Dezhi</t>
        </is>
      </c>
      <c r="J77" t="inlineStr">
        <is>
          <t>INTERNATIONAL JOURNAL OF ENVIRONMENTAL RESEARCH AND PUBLIC HEALTH</t>
        </is>
      </c>
      <c r="M77" t="inlineStr">
        <is>
          <t>English</t>
        </is>
      </c>
      <c r="N77" t="inlineStr">
        <is>
          <t>Article</t>
        </is>
      </c>
      <c r="T77" t="inlineStr">
        <is>
          <t>Multiple Linear Regression-Structural Equation Modeling Based Development of the Integrated Model of Perceived Neighborhood Environment and Quality of Life of Community-Dwelling Older Adults: A Cross-Sectional Study in Nanjing, China</t>
        </is>
      </c>
      <c r="U77" t="inlineStr">
        <is>
          <t>perceived neighborhood environment; quality of life; community-dwelling older adults; multiple linear regression; structural equation modeling</t>
        </is>
      </c>
      <c r="V77" t="inlineStr">
        <is>
          <t>BUILT ENVIRONMENT; PHYSICAL-ACTIVITY; HEALTH; ACCESSIBILITY; ATTRIBUTES; MANAGEMENT; SERVICES; SENIORS; CARE</t>
        </is>
      </c>
      <c r="W77" t="inlineStr">
        <is>
          <t>Due to the poor functioning in daily living activities, community-dwelling older adults spend more time in their neighborhood environment. The perceived neighborhood environment is crucial to their quality of life (QoL). To explore the complex influences of perceived neighborhood environment on QoL, a questionnaire was designed to measure their perception of each factor of neighborhood environment and each domain of QoL. Based on collected data, the reliability test was applied to revise the questionnaire. Multiple linear regression (MLR) and structural equation modeling (SEM) were adopted to hypothesize and test the integrated model for community-dwelling older adults. The results show that community-dwelling older adults' perceptions of neighbor support, facilities related to physical exercise and recreation, and accessibility to facilities impact their overall QoL with diverse coefficients of 0.437, 0.312, and 0.295, respectively; neighbor support (0.207) on physical health; sidewalk condition (0.134), natural environment (0.260), and facilities related to daily life (0.165) on psychological health; and neighbor support (0.298), facilities related to daily life (0.206), and design-related safety (0.225) on social relationship. This revealed that perceptions of neighborhood environment have diverse impacts on their QoL. This study can provide targeted retrofit strategies for communities to enhance QoL of community-dwelling older adults efficiently.</t>
        </is>
      </c>
      <c r="X77" t="inlineStr">
        <is>
          <t>[Zhang, Fan] Southeast Univ, Sch Civil Engn, Dept Construct &amp; Real Estate, Nanjing 211189, Jiangsu, Peoples R China; [Li, Dezhi] Southeast Univ, Engn Res Ctr Bldg Equipment Energy &amp; Environm, Nanjing 211189, Jiangsu, Peoples R China</t>
        </is>
      </c>
      <c r="Y77" t="inlineStr">
        <is>
          <t>Southeast University - China; Southeast University - China</t>
        </is>
      </c>
      <c r="Z77" t="inlineStr">
        <is>
          <t>Zhang, F (corresponding author), Southeast Univ, Sch Civil Engn, Dept Construct &amp; Real Estate, Nanjing 211189, Jiangsu, Peoples R China.;Li, DZ (corresponding author), Southeast Univ, Engn Res Ctr Bldg Equipment Energy &amp; Environm, Nanjing 211189, Jiangsu, Peoples R China.</t>
        </is>
      </c>
      <c r="AA77" t="inlineStr">
        <is>
          <t>230159075@seu.edu.cn; njldz@seu.edu.cn</t>
        </is>
      </c>
      <c r="AB77" t="inlineStr">
        <is>
          <t>Zhang, Fan/ITT-8451-2023</t>
        </is>
      </c>
      <c r="AC77" t="inlineStr">
        <is>
          <t>Zhang, Fan/0000-0003-4340-5967</t>
        </is>
      </c>
      <c r="AD77" t="inlineStr">
        <is>
          <t>National Key Research and Development Program [2018YFD1100202-05]; MOE (Ministry of Education in China) Project of Humanities and Social Sciences [17YJAZH038]; Foundation of Outstanding Doctoral Dissertation and Innovative Talents from School of Civil Engineering, Southeast University [CE02-1/2-15]</t>
        </is>
      </c>
      <c r="AE77" t="inlineStr">
        <is>
          <t>National Key Research and Development Program; MOE (Ministry of Education in China) Project of Humanities and Social Sciences; Foundation of Outstanding Doctoral Dissertation and Innovative Talents from School of Civil Engineering, Southeast University</t>
        </is>
      </c>
      <c r="AF77" t="inlineStr">
        <is>
          <t>This research was funded by the National Key Research and Development Program, grant number 2018YFD1100202-05; the MOE (Ministry of Education in China) Project of Humanities and Social Sciences, grant number 17YJAZH038; and Foundation of Outstanding Doctoral Dissertation and Innovative Talents from School of Civil Engineering, Southeast University, grant number CE02-1/2-15.</t>
        </is>
      </c>
      <c r="AH77" t="n">
        <v>44</v>
      </c>
      <c r="AI77" t="n">
        <v>15</v>
      </c>
      <c r="AJ77" t="n">
        <v>15</v>
      </c>
      <c r="AK77" t="n">
        <v>9</v>
      </c>
      <c r="AL77" t="n">
        <v>55</v>
      </c>
      <c r="AM77" t="inlineStr">
        <is>
          <t>MDPI</t>
        </is>
      </c>
      <c r="AN77" t="inlineStr">
        <is>
          <t>BASEL</t>
        </is>
      </c>
      <c r="AO77" t="inlineStr">
        <is>
          <t>ST ALBAN-ANLAGE 66, CH-4052 BASEL, SWITZERLAND</t>
        </is>
      </c>
      <c r="AQ77" t="inlineStr">
        <is>
          <t>1660-4601</t>
        </is>
      </c>
      <c r="AS77" t="inlineStr">
        <is>
          <t>INT J ENV RES PUB HE</t>
        </is>
      </c>
      <c r="AT77" t="inlineStr">
        <is>
          <t>Int. J. Environ. Res. Public Health</t>
        </is>
      </c>
      <c r="AU77" t="inlineStr">
        <is>
          <t>DEC 2</t>
        </is>
      </c>
      <c r="AV77" t="n">
        <v>2019</v>
      </c>
      <c r="AW77" t="n">
        <v>16</v>
      </c>
      <c r="AX77" t="n">
        <v>24</v>
      </c>
      <c r="BE77" t="n">
        <v>4933</v>
      </c>
      <c r="BF77" t="inlineStr">
        <is>
          <t>10.3390/ijerph16244933</t>
        </is>
      </c>
      <c r="BG77">
        <f>HYPERLINK("http://dx.doi.org/10.3390/ijerph16244933","http://dx.doi.org/10.3390/ijerph16244933")</f>
        <v/>
      </c>
      <c r="BJ77" t="n">
        <v>15</v>
      </c>
      <c r="BK77" t="inlineStr">
        <is>
          <t>Environmental Sciences; Public, Environmental &amp; Occupational Health</t>
        </is>
      </c>
      <c r="BL77" t="inlineStr">
        <is>
          <t>Science Citation Index Expanded (SCI-EXPANDED); Social Science Citation Index (SSCI)</t>
        </is>
      </c>
      <c r="BM77" t="inlineStr">
        <is>
          <t>Environmental Sciences &amp; Ecology; Public, Environmental &amp; Occupational Health</t>
        </is>
      </c>
      <c r="BN77" t="inlineStr">
        <is>
          <t>KC6VK</t>
        </is>
      </c>
      <c r="BO77" t="n">
        <v>31817493</v>
      </c>
      <c r="BP77" t="inlineStr">
        <is>
          <t>gold, Green Published</t>
        </is>
      </c>
      <c r="BS77" t="inlineStr">
        <is>
          <t>2023-10-26</t>
        </is>
      </c>
      <c r="BT77" t="inlineStr">
        <is>
          <t>WOS:000507312700054</t>
        </is>
      </c>
      <c r="BU77">
        <f>HYPERLINK("https%3A%2F%2Fwww.webofscience.com%2Fwos%2Fwoscc%2Ffull-record%2FWOS:000507312700054","View Full Record in Web of Science")</f>
        <v/>
      </c>
    </row>
    <row r="78">
      <c r="A78" t="inlineStr">
        <is>
          <t>J</t>
        </is>
      </c>
      <c r="B78" t="inlineStr">
        <is>
          <t>Li, B; Guo, WH; Liu, X; Zhang, YQ; Russell, PJ; Schnabel, MA</t>
        </is>
      </c>
      <c r="F78" t="inlineStr">
        <is>
          <t>Li, Bin; Guo, Weihong; Liu, Xiao; Zhang, Yuqing; Russell, Peter John; Schnabel, Marc Aurel</t>
        </is>
      </c>
      <c r="J78" t="inlineStr">
        <is>
          <t>SUSTAINABILITY</t>
        </is>
      </c>
      <c r="M78" t="inlineStr">
        <is>
          <t>English</t>
        </is>
      </c>
      <c r="N78" t="inlineStr">
        <is>
          <t>Article</t>
        </is>
      </c>
      <c r="T78" t="inlineStr">
        <is>
          <t>Sustainable Passive Design for Building Performance of Healthy Built Environment in the Lingnan Area</t>
        </is>
      </c>
      <c r="U78" t="inlineStr">
        <is>
          <t>sustainability; healthy built environment; passive design; thermal; light; acoustic; residential building; Lingnan area; building performance</t>
        </is>
      </c>
      <c r="V78" t="inlineStr">
        <is>
          <t>ENERGY; CONSERVATION; SYSTEMS; IMPACT; CARBON</t>
        </is>
      </c>
      <c r="W78" t="inlineStr">
        <is>
          <t>Having a healthy built environment becomes increasingly important, especially under the effects of COVID-19. This paper intends to combine sustainable goals based on climate change with passive design principles to achieve a healthy built environment regarding the building performance of residential buildings. The Yuedao Residential Community in the Lingnan area was taken as an example for the research. Based on relevant standards of healthy buildings, the thermal, light, and acoustic environment requirements were determined. The methods of building performance simulation and on-site measurement were used to quantify the research object environments. Then, the outcomes were obtained based on these standards. As observed, the thermal environment's adaptive thermal comfort level was level III. It was hot indoors, but the light and acoustic environments met the requirements. Building designs based on a built environment optimized by external shading systems aim to solve problems through building performance simulation and qualitative analysis. After optimization, the thermal environment improved. According to the literature review, this research focused on a healthy built environment with a sustainable passive design in terms of building performance. A research workflow was established that could be used for more practical research, with abundant research methods. The problems were solved to varying degrees, and the Lingnan architectural culture was preserved. Moreover, this research filled the gap in interactive research on healthy built environments with sustainable passive design regarding building performance.</t>
        </is>
      </c>
      <c r="X78" t="inlineStr">
        <is>
          <t>[Li, Bin; Guo, Weihong; Liu, Xiao; Zhang, Yuqing] South China Univ Technol, Sch Architecture, Guangzhou 510641, Peoples R China; [Li, Bin; Russell, Peter John] Delft Univ Technol, Fac Architecture &amp; Built Environm, NL-2628 CD Delft, Netherlands; [Guo, Weihong; Liu, Xiao] South China Univ Technol, Architectural Design &amp; Res Inst Co Ltd, Guangzhou 510641, Peoples R China; [Guo, Weihong; Liu, Xiao; Zhang, Yuqing] South China Univ Technol, State Key Lab Subtrop Bldg Sci, Guangzhou 510641, Peoples R China; [Liu, Xiao] Univ Hong Kong, Fac Architecture, Dept Urban Planning &amp; Design, Hong Kong 999077, Peoples R China; [Russell, Peter John] Tsinghua Univ, Tsinghua Shenzhen Int Grad Sch, Shenzhen 518055, Peoples R China; [Schnabel, Marc Aurel] Victoria Univ Wellington, Wellington Fac Architecture &amp; Design Innovat, Wellington 6140, New Zealand</t>
        </is>
      </c>
      <c r="Y78" t="inlineStr">
        <is>
          <t>South China University of Technology; Delft University of Technology; South China University of Technology; South China University of Technology; University of Hong Kong; Tsinghua University; Victoria University Wellington</t>
        </is>
      </c>
      <c r="Z78" t="inlineStr">
        <is>
          <t>Liu, X (corresponding author), South China Univ Technol, Sch Architecture, Guangzhou 510641, Peoples R China.;Liu, X (corresponding author), South China Univ Technol, Architectural Design &amp; Res Inst Co Ltd, Guangzhou 510641, Peoples R China.;Liu, X (corresponding author), South China Univ Technol, State Key Lab Subtrop Bldg Sci, Guangzhou 510641, Peoples R China.;Liu, X (corresponding author), Univ Hong Kong, Fac Architecture, Dept Urban Planning &amp; Design, Hong Kong 999077, Peoples R China.</t>
        </is>
      </c>
      <c r="AA78" t="inlineStr">
        <is>
          <t>201810100800@mail.scut.edu.cn; whguo@scut.edu.cn; xiaoliu@scut.edu.cn; 202010100982@mail.scut.edu.cn; p.j.russell@tudelft.nl; marcaurel.schnabel@vuw.ac.nz</t>
        </is>
      </c>
      <c r="AB78" t="inlineStr">
        <is>
          <t>Liu, Xiao/ADB-9961-2022; Schnabel, Marc Aurel/O-3283-2013</t>
        </is>
      </c>
      <c r="AC78" t="inlineStr">
        <is>
          <t>Liu, Xiao/0000-0002-4813-1814; Schnabel, Marc Aurel/0000-0002-2923-1609; zhang, yuqing/0000-0001-7596-4486; li, bin/0000-0002-2374-581X</t>
        </is>
      </c>
      <c r="AD78" t="inlineStr">
        <is>
          <t>Science and Technology Program of Guangzhou, China [202102020302]; State Key Laboratory of Subtropical Building Science, South China University of Technology [2021ZB16]; Key R&amp;D and Achievement Transformation Program of Qinghai Province [2020-SF-137]; National Key R&amp;D Program of China [2020YFE0200300, 2017YFC0702505]; General Program of the National Natural Science Foundation of China [51938006]; Transverse Scientific Research Projects of South China University of Technology [x2jzD8197240, x2jzD8205910]</t>
        </is>
      </c>
      <c r="AE78" t="inlineStr">
        <is>
          <t>Science and Technology Program of Guangzhou, China; State Key Laboratory of Subtropical Building Science, South China University of Technology; Key R&amp;D and Achievement Transformation Program of Qinghai Province; National Key R&amp;D Program of China; General Program of the National Natural Science Foundation of China(National Natural Science Foundation of China (NSFC)); Transverse Scientific Research Projects of South China University of Technology</t>
        </is>
      </c>
      <c r="AF78" t="inlineStr">
        <is>
          <t>This research is funded by theNational Key R&amp;D Program of China (GrantNo. 2017YFC0702505); Science and Technology Program of Guangzhou, China (Grant No. 202102020302); State Key Laboratory of Subtropical Building Science, South China University of Technology (Grant No. 2021ZB16); the Key R&amp;D and Achievement Transformation Program of Qinghai Province (Grant No. 2020-SF-137); National Key R&amp;D Program of China (Grant No. 2020YFE0200300); General Program of the National Natural Science Foundation of China (Grant No. 51938006); Transverse Scientific Research Projects of South China University of Technology (Grant No. x2jzD8197240 and Grant No. x2jzD8205910).</t>
        </is>
      </c>
      <c r="AH78" t="n">
        <v>71</v>
      </c>
      <c r="AI78" t="n">
        <v>13</v>
      </c>
      <c r="AJ78" t="n">
        <v>13</v>
      </c>
      <c r="AK78" t="n">
        <v>13</v>
      </c>
      <c r="AL78" t="n">
        <v>101</v>
      </c>
      <c r="AM78" t="inlineStr">
        <is>
          <t>MDPI</t>
        </is>
      </c>
      <c r="AN78" t="inlineStr">
        <is>
          <t>BASEL</t>
        </is>
      </c>
      <c r="AO78" t="inlineStr">
        <is>
          <t>ST ALBAN-ANLAGE 66, CH-4052 BASEL, SWITZERLAND</t>
        </is>
      </c>
      <c r="AQ78" t="inlineStr">
        <is>
          <t>2071-1050</t>
        </is>
      </c>
      <c r="AS78" t="inlineStr">
        <is>
          <t>SUSTAINABILITY-BASEL</t>
        </is>
      </c>
      <c r="AT78" t="inlineStr">
        <is>
          <t>Sustainability</t>
        </is>
      </c>
      <c r="AU78" t="inlineStr">
        <is>
          <t>AUG</t>
        </is>
      </c>
      <c r="AV78" t="n">
        <v>2021</v>
      </c>
      <c r="AW78" t="n">
        <v>13</v>
      </c>
      <c r="AX78" t="n">
        <v>16</v>
      </c>
      <c r="BE78" t="n">
        <v>9115</v>
      </c>
      <c r="BF78" t="inlineStr">
        <is>
          <t>10.3390/su13169115</t>
        </is>
      </c>
      <c r="BG78">
        <f>HYPERLINK("http://dx.doi.org/10.3390/su13169115","http://dx.doi.org/10.3390/su13169115")</f>
        <v/>
      </c>
      <c r="BJ78" t="n">
        <v>23</v>
      </c>
      <c r="BK78" t="inlineStr">
        <is>
          <t>Green &amp; Sustainable Science &amp; Technology; Environmental Sciences; Environmental Studies</t>
        </is>
      </c>
      <c r="BL78" t="inlineStr">
        <is>
          <t>Science Citation Index Expanded (SCI-EXPANDED); Social Science Citation Index (SSCI)</t>
        </is>
      </c>
      <c r="BM78" t="inlineStr">
        <is>
          <t>Science &amp; Technology - Other Topics; Environmental Sciences &amp; Ecology</t>
        </is>
      </c>
      <c r="BN78" t="inlineStr">
        <is>
          <t>UH7RK</t>
        </is>
      </c>
      <c r="BP78" t="inlineStr">
        <is>
          <t>Green Published, gold</t>
        </is>
      </c>
      <c r="BS78" t="inlineStr">
        <is>
          <t>2023-10-26</t>
        </is>
      </c>
      <c r="BT78" t="inlineStr">
        <is>
          <t>WOS:000690122800001</t>
        </is>
      </c>
      <c r="BU78">
        <f>HYPERLINK("https%3A%2F%2Fwww.webofscience.com%2Fwos%2Fwoscc%2Ffull-record%2FWOS:000690122800001","View Full Record in Web of Science")</f>
        <v/>
      </c>
    </row>
    <row r="79">
      <c r="A79" t="inlineStr">
        <is>
          <t>J</t>
        </is>
      </c>
      <c r="B79" t="inlineStr">
        <is>
          <t>Tang, J; Chen, NQ; Liang, HL; Gao, X</t>
        </is>
      </c>
      <c r="F79" t="inlineStr">
        <is>
          <t>Tang, Jie; Chen, Nanqian; Liang, Hailun; Gao, Xu</t>
        </is>
      </c>
      <c r="J79" t="inlineStr">
        <is>
          <t>INTERNATIONAL JOURNAL OF ENVIRONMENTAL RESEARCH AND PUBLIC HEALTH</t>
        </is>
      </c>
      <c r="M79" t="inlineStr">
        <is>
          <t>English</t>
        </is>
      </c>
      <c r="N79" t="inlineStr">
        <is>
          <t>Article</t>
        </is>
      </c>
      <c r="T79" t="inlineStr">
        <is>
          <t>The Effect of Built Environment on Physical Health and Mental Health of Adults: A Nationwide Cross-Sectional Study in China</t>
        </is>
      </c>
      <c r="U79" t="inlineStr">
        <is>
          <t>housing condition; neighborhood environment; social-ecologic theory; Chinese residents</t>
        </is>
      </c>
      <c r="V79" t="inlineStr">
        <is>
          <t>PUBLIC-HEALTH; CHILD HEALTH; OLDER-ADULTS; PEOPLE; NEIGHBORHOODS; POLLUTION; BURDEN; IMPACT; TENURE</t>
        </is>
      </c>
      <c r="W79" t="inlineStr">
        <is>
          <t>At present, there is a lack of research examining the relationships between the built environment and health status from a social epidemiological perspective. With this in mind, the present study aimed to explore the construct validity of housing/neighborhood conditions and evaluate the associations between the built environment and self-rated health among Chinese residents. To conduct the analysis, data from 4906 participants were derived from the 2016 China Labor-force Dynamics Survey (CLDS). Specifically, we used exploratory factor analysis to identify construct of housing/neighborhood factors and performed principal component regression (PCR) to assess the relationship between the built environment and both self-rated physical health and mental health. This process identified five common factors that corresponded to the built environment, including housing affordability, housing quality, neighborhood services, neighborhood physical environment, and perceived environment. The regression results suggested that housing affordability was negatively related to health status. Meanwhile, the services, physical environment, and perceived environment of neighborhoods were related to positive health outcomes. The influence of housing on health exhibits group heterogeneity: respondents in the 41 to 65 age group were most vulnerable to poor built environments. Whilst the results indicated that housing factors and neighborhood conditions were related to health outcomes, their influence varied across different age groups. Future interventions should be intentionally designed to target housing affordability and neighborhood factors, which may include the provision of housing assistance programs and planning layouts.</t>
        </is>
      </c>
      <c r="X79" t="inlineStr">
        <is>
          <t>[Tang, Jie; Chen, Nanqian; Liang, Hailun] Renmin Univ China, Sch Publ Adm &amp; Policy, Beijing 100872, Peoples R China; [Gao, Xu] Peking Univ, Sch Publ Hlth, Dept Occupat &amp; Environm Hlth Sci, Beijing 100871, Peoples R China</t>
        </is>
      </c>
      <c r="Y79" t="inlineStr">
        <is>
          <t>Renmin University of China; Peking University</t>
        </is>
      </c>
      <c r="Z79" t="inlineStr">
        <is>
          <t>Liang, HL (corresponding author), Renmin Univ China, Sch Publ Adm &amp; Policy, Beijing 100872, Peoples R China.;Gao, X (corresponding author), Peking Univ, Sch Publ Hlth, Dept Occupat &amp; Environm Hlth Sci, Beijing 100871, Peoples R China.</t>
        </is>
      </c>
      <c r="AA79" t="inlineStr">
        <is>
          <t>cc@ruc.edu.cn; nanqian_chen5097@ruc.edu.cn; hliang@ruc.edu.cn; xu.gao@pku.edu.cn</t>
        </is>
      </c>
      <c r="AB79" t="inlineStr">
        <is>
          <t>Gao, Xu/I-3348-2019</t>
        </is>
      </c>
      <c r="AC79" t="inlineStr">
        <is>
          <t>Gao, Xu/0000-0001-6506-6084; Liang, Hailun/0000-0002-9917-411X; TANG, JIE/0000-0001-6189-4982</t>
        </is>
      </c>
      <c r="AD79" t="inlineStr">
        <is>
          <t>National Natural Science Foundation of China [71804183]</t>
        </is>
      </c>
      <c r="AE79" t="inlineStr">
        <is>
          <t>National Natural Science Foundation of China(National Natural Science Foundation of China (NSFC))</t>
        </is>
      </c>
      <c r="AF79" t="inlineStr">
        <is>
          <t>This work was supported by National Natural Science Foundation of China (Grant Number: 71804183).</t>
        </is>
      </c>
      <c r="AH79" t="n">
        <v>64</v>
      </c>
      <c r="AI79" t="n">
        <v>2</v>
      </c>
      <c r="AJ79" t="n">
        <v>2</v>
      </c>
      <c r="AK79" t="n">
        <v>11</v>
      </c>
      <c r="AL79" t="n">
        <v>33</v>
      </c>
      <c r="AM79" t="inlineStr">
        <is>
          <t>MDPI</t>
        </is>
      </c>
      <c r="AN79" t="inlineStr">
        <is>
          <t>BASEL</t>
        </is>
      </c>
      <c r="AO79" t="inlineStr">
        <is>
          <t>ST ALBAN-ANLAGE 66, CH-4052 BASEL, SWITZERLAND</t>
        </is>
      </c>
      <c r="AQ79" t="inlineStr">
        <is>
          <t>1660-4601</t>
        </is>
      </c>
      <c r="AS79" t="inlineStr">
        <is>
          <t>INT J ENV RES PUB HE</t>
        </is>
      </c>
      <c r="AT79" t="inlineStr">
        <is>
          <t>Int. J. Environ. Res. Public Health</t>
        </is>
      </c>
      <c r="AU79" t="inlineStr">
        <is>
          <t>JUN</t>
        </is>
      </c>
      <c r="AV79" t="n">
        <v>2022</v>
      </c>
      <c r="AW79" t="n">
        <v>19</v>
      </c>
      <c r="AX79" t="n">
        <v>11</v>
      </c>
      <c r="BE79" t="n">
        <v>6492</v>
      </c>
      <c r="BF79" t="inlineStr">
        <is>
          <t>10.3390/ijerph19116492</t>
        </is>
      </c>
      <c r="BG79">
        <f>HYPERLINK("http://dx.doi.org/10.3390/ijerph19116492","http://dx.doi.org/10.3390/ijerph19116492")</f>
        <v/>
      </c>
      <c r="BJ79" t="n">
        <v>21</v>
      </c>
      <c r="BK79" t="inlineStr">
        <is>
          <t>Environmental Sciences; Public, Environmental &amp; Occupational Health</t>
        </is>
      </c>
      <c r="BL79" t="inlineStr">
        <is>
          <t>Science Citation Index Expanded (SCI-EXPANDED); Social Science Citation Index (SSCI)</t>
        </is>
      </c>
      <c r="BM79" t="inlineStr">
        <is>
          <t>Environmental Sciences &amp; Ecology; Public, Environmental &amp; Occupational Health</t>
        </is>
      </c>
      <c r="BN79" t="inlineStr">
        <is>
          <t>2B2EV</t>
        </is>
      </c>
      <c r="BO79" t="n">
        <v>35682074</v>
      </c>
      <c r="BP79" t="inlineStr">
        <is>
          <t>gold, Green Published</t>
        </is>
      </c>
      <c r="BS79" t="inlineStr">
        <is>
          <t>2023-10-26</t>
        </is>
      </c>
      <c r="BT79" t="inlineStr">
        <is>
          <t>WOS:000810006500001</t>
        </is>
      </c>
      <c r="BU79">
        <f>HYPERLINK("https%3A%2F%2Fwww.webofscience.com%2Fwos%2Fwoscc%2Ffull-record%2FWOS:000810006500001","View Full Record in Web of Science")</f>
        <v/>
      </c>
    </row>
    <row r="80">
      <c r="A80" t="inlineStr">
        <is>
          <t>J</t>
        </is>
      </c>
      <c r="B80" t="inlineStr">
        <is>
          <t>Zheng, ZH; Zhang, P; Yuan, FZ; Bo, YQ</t>
        </is>
      </c>
      <c r="F80" t="inlineStr">
        <is>
          <t>Zheng, Zhonghui; Zhang, Ping; Yuan, Fangzheng; Bo, Yunque</t>
        </is>
      </c>
      <c r="J80" t="inlineStr">
        <is>
          <t>INTERNATIONAL JOURNAL OF ENVIRONMENTAL RESEARCH AND PUBLIC HEALTH</t>
        </is>
      </c>
      <c r="M80" t="inlineStr">
        <is>
          <t>English</t>
        </is>
      </c>
      <c r="N80" t="inlineStr">
        <is>
          <t>Article</t>
        </is>
      </c>
      <c r="T80" t="inlineStr">
        <is>
          <t>Scientometric Analysis of The Relationship between a Built Environment and Cardiovascular Disease</t>
        </is>
      </c>
      <c r="U80" t="inlineStr">
        <is>
          <t>built environment; cardiovascular disease; scientometric analysis; walkability; physical activity; food environment</t>
        </is>
      </c>
      <c r="V80" t="inlineStr">
        <is>
          <t>URBAN GREEN SPACE; BODY-MASS INDEX; PHYSICAL-ACTIVITY; NEIGHBORHOOD WALKABILITY; HEALTH-BENEFITS; AIR-POLLUTION; GLOBAL BURDEN; RISK-FACTORS; OBESITY; ASSOCIATION</t>
        </is>
      </c>
      <c r="W80" t="inlineStr">
        <is>
          <t>The prevention and treatment of cardiovascular disease (CVD) are necessary to improve patient quality of life and to reduce the burden of medical and other social problems. Reducing the impact of CVD through environmental intervention was hailed as the most economical approach and research into such interventions is becoming key. The purpose of this article is to summarize the research topics and developments in the field of the built environment and CVD between 2000 and 2021 using scientometric analysis. In total, 1304 records retrieved from the Web of Science core database were analyzed using CiteSpace software, and the results were displayed using knowledge mapping. The number of publications and conferences relating to the built environment and CVD showed an upward trend over the study period, with the United States taking the lead. Physical activity and the food environment were used as mediators and entry points to map the relationship between the built environment and CVD. Walkability, residence characteristics, the food environment, and greenness were key research topics. Research shifted over the period to incorporate quantitative analyses of subjective feelings while focusing on decreasing sedentary behavior. Understanding the variability in the built environment is critical to improving the generalizability of the findings presented in the individual studies. Inter-disciplinary and multi-disciplinary research is conducive to innovation and ensuring the integration of real environmental elements. This study provides an overview and valuable guidance for researchers relating to how the built environment impacts CVD.</t>
        </is>
      </c>
      <c r="X80" t="inlineStr">
        <is>
          <t>[Zheng, Zhonghui; Zhang, Ping; Yuan, Fangzheng] Hebei Univ Technol, Sch Architecture &amp; Art Design, Tianjin 300132, Peoples R China; [Bo, Yunque] Tianjin Med Informat Ctr, Policy Res Dept, Tianjin 300041, Peoples R China</t>
        </is>
      </c>
      <c r="Y80" t="inlineStr">
        <is>
          <t>Hebei University of Technology; Tianjin Medical University</t>
        </is>
      </c>
      <c r="Z80" t="inlineStr">
        <is>
          <t>Zhang, P (corresponding author), Hebei Univ Technol, Sch Architecture &amp; Art Design, Tianjin 300132, Peoples R China.</t>
        </is>
      </c>
      <c r="AA80" t="inlineStr">
        <is>
          <t>201922301004@stu.hebut.edu.cn; zhangping-a@hebut.edu.cn; a17302220763@163.com; puyixibo@163.com</t>
        </is>
      </c>
      <c r="AB80" t="inlineStr">
        <is>
          <t>zhang, ping/GPX-0149-2022</t>
        </is>
      </c>
      <c r="AC80" t="inlineStr">
        <is>
          <t>zheng, zhong hui/0000-0001-6903-6499</t>
        </is>
      </c>
      <c r="AD80" t="inlineStr">
        <is>
          <t>National Natural Science Foundation of China [51508151]</t>
        </is>
      </c>
      <c r="AE80" t="inlineStr">
        <is>
          <t>National Natural Science Foundation of China(National Natural Science Foundation of China (NSFC))</t>
        </is>
      </c>
      <c r="AF80" t="inlineStr">
        <is>
          <t>This research was funded by the National Natural Science Foundation of China, grant number 51508151.</t>
        </is>
      </c>
      <c r="AH80" t="n">
        <v>83</v>
      </c>
      <c r="AI80" t="n">
        <v>2</v>
      </c>
      <c r="AJ80" t="n">
        <v>2</v>
      </c>
      <c r="AK80" t="n">
        <v>8</v>
      </c>
      <c r="AL80" t="n">
        <v>27</v>
      </c>
      <c r="AM80" t="inlineStr">
        <is>
          <t>MDPI</t>
        </is>
      </c>
      <c r="AN80" t="inlineStr">
        <is>
          <t>BASEL</t>
        </is>
      </c>
      <c r="AO80" t="inlineStr">
        <is>
          <t>ST ALBAN-ANLAGE 66, CH-4052 BASEL, SWITZERLAND</t>
        </is>
      </c>
      <c r="AQ80" t="inlineStr">
        <is>
          <t>1660-4601</t>
        </is>
      </c>
      <c r="AS80" t="inlineStr">
        <is>
          <t>INT J ENV RES PUB HE</t>
        </is>
      </c>
      <c r="AT80" t="inlineStr">
        <is>
          <t>Int. J. Environ. Res. Public Health</t>
        </is>
      </c>
      <c r="AU80" t="inlineStr">
        <is>
          <t>MAY</t>
        </is>
      </c>
      <c r="AV80" t="n">
        <v>2022</v>
      </c>
      <c r="AW80" t="n">
        <v>19</v>
      </c>
      <c r="AX80" t="n">
        <v>9</v>
      </c>
      <c r="BE80" t="n">
        <v>5625</v>
      </c>
      <c r="BF80" t="inlineStr">
        <is>
          <t>10.3390/ijerph19095625</t>
        </is>
      </c>
      <c r="BG80">
        <f>HYPERLINK("http://dx.doi.org/10.3390/ijerph19095625","http://dx.doi.org/10.3390/ijerph19095625")</f>
        <v/>
      </c>
      <c r="BJ80" t="n">
        <v>18</v>
      </c>
      <c r="BK80" t="inlineStr">
        <is>
          <t>Environmental Sciences; Public, Environmental &amp; Occupational Health</t>
        </is>
      </c>
      <c r="BL80" t="inlineStr">
        <is>
          <t>Science Citation Index Expanded (SCI-EXPANDED); Social Science Citation Index (SSCI)</t>
        </is>
      </c>
      <c r="BM80" t="inlineStr">
        <is>
          <t>Environmental Sciences &amp; Ecology; Public, Environmental &amp; Occupational Health</t>
        </is>
      </c>
      <c r="BN80" t="inlineStr">
        <is>
          <t>1G9AE</t>
        </is>
      </c>
      <c r="BO80" t="n">
        <v>35565017</v>
      </c>
      <c r="BP80" t="inlineStr">
        <is>
          <t>gold, Green Published</t>
        </is>
      </c>
      <c r="BS80" t="inlineStr">
        <is>
          <t>2023-10-26</t>
        </is>
      </c>
      <c r="BT80" t="inlineStr">
        <is>
          <t>WOS:000796139700001</t>
        </is>
      </c>
      <c r="BU80">
        <f>HYPERLINK("https%3A%2F%2Fwww.webofscience.com%2Fwos%2Fwoscc%2Ffull-record%2FWOS:000796139700001","View Full Record in Web of Science")</f>
        <v/>
      </c>
    </row>
    <row r="81">
      <c r="A81" t="inlineStr">
        <is>
          <t>J</t>
        </is>
      </c>
      <c r="B81" t="inlineStr">
        <is>
          <t>Qu, T</t>
        </is>
      </c>
      <c r="F81" t="inlineStr">
        <is>
          <t>Qu, Ting</t>
        </is>
      </c>
      <c r="J81" t="inlineStr">
        <is>
          <t>FRESENIUS ENVIRONMENTAL BULLETIN</t>
        </is>
      </c>
      <c r="M81" t="inlineStr">
        <is>
          <t>English</t>
        </is>
      </c>
      <c r="N81" t="inlineStr">
        <is>
          <t>Article</t>
        </is>
      </c>
      <c r="T81" t="inlineStr">
        <is>
          <t>APPLICATION OF BIONIC DESIGN CONCEPT IN INDOOR ENVIRONMENT DESIGN OF GREEN ECOLOGICAL RESIDENCE</t>
        </is>
      </c>
      <c r="U81" t="inlineStr">
        <is>
          <t>Bionic design concept; Green ecological residence; Indoor environment design; Heat consumption; Lighting and ventilation</t>
        </is>
      </c>
      <c r="V81" t="inlineStr">
        <is>
          <t>HOUSE</t>
        </is>
      </c>
      <c r="W81" t="inlineStr">
        <is>
          <t>Affected by insufficient lighting and ventilation, the indoor thermal environment design of the ecological residence is irrational, and there is a problem of large energy consumption in the range of 102-132 square meters in the indoor area. Therefore, based on the bionic design concept, this paper proposes a green ecological house indoor environment design method. The design content includes space design, thermal environment design, lighting design and furnishings design. Among them, the space design includes functional space layout and indoor area utilization. It uses energy-saving bionic design to realize the thermal environment design to ensure good lighting and ventilation in the room. Bionic intelligent lighting products are used to reduce the energy consumption of indoor lighting. At the same time, low-carbon furniture is used for interior design of green ecological residences. Experiments show that this design method consumes less energy in buildings with an indoor area of 102-132 square meters. In the range of 102-117 square meters, the contrast difference of the annual heat consumption can be up to 50%. The contrast difference of the annual cooling consumption within the range of 102-117 square meters can be up to 58%. The difference in annual heat consumption between 117-132 square meters and 117-132 square meters can reach 61% and 44%. In this method, the overall energy consumption of the whole building is lower, and the indoor environment design of green ecological residence is realized.</t>
        </is>
      </c>
      <c r="X81" t="inlineStr">
        <is>
          <t>[Qu, Ting] Southeast Univ, Sch Architecture, Nanjing 210096, Jiangsu, Peoples R China</t>
        </is>
      </c>
      <c r="Y81" t="inlineStr">
        <is>
          <t>Southeast University - China</t>
        </is>
      </c>
      <c r="Z81" t="inlineStr">
        <is>
          <t>Qu, T (corresponding author), Southeast Univ, Sch Architecture, Nanjing 210096, Jiangsu, Peoples R China.</t>
        </is>
      </c>
      <c r="AA81" t="inlineStr">
        <is>
          <t>2006qtingqting@163.com</t>
        </is>
      </c>
      <c r="AH81" t="n">
        <v>20</v>
      </c>
      <c r="AI81" t="n">
        <v>2</v>
      </c>
      <c r="AJ81" t="n">
        <v>2</v>
      </c>
      <c r="AK81" t="n">
        <v>2</v>
      </c>
      <c r="AL81" t="n">
        <v>27</v>
      </c>
      <c r="AM81" t="inlineStr">
        <is>
          <t>PARLAR SCIENTIFIC PUBLICATIONS (P S P)</t>
        </is>
      </c>
      <c r="AN81" t="inlineStr">
        <is>
          <t>FREISING</t>
        </is>
      </c>
      <c r="AO81" t="inlineStr">
        <is>
          <t>ANGERSTR. 12, 85354 FREISING, GERMANY</t>
        </is>
      </c>
      <c r="AP81" t="inlineStr">
        <is>
          <t>1018-4619</t>
        </is>
      </c>
      <c r="AQ81" t="inlineStr">
        <is>
          <t>1610-2304</t>
        </is>
      </c>
      <c r="AS81" t="inlineStr">
        <is>
          <t>FRESEN ENVIRON BULL</t>
        </is>
      </c>
      <c r="AT81" t="inlineStr">
        <is>
          <t>Fresenius Environ. Bull.</t>
        </is>
      </c>
      <c r="AV81" t="n">
        <v>2020</v>
      </c>
      <c r="AW81" t="n">
        <v>29</v>
      </c>
      <c r="AX81" t="n">
        <v>11</v>
      </c>
      <c r="BC81" t="n">
        <v>10164</v>
      </c>
      <c r="BD81" t="n">
        <v>10171</v>
      </c>
      <c r="BJ81" t="n">
        <v>8</v>
      </c>
      <c r="BK81" t="inlineStr">
        <is>
          <t>Environmental Sciences</t>
        </is>
      </c>
      <c r="BL81" t="inlineStr">
        <is>
          <t>Science Citation Index Expanded (SCI-EXPANDED)</t>
        </is>
      </c>
      <c r="BM81" t="inlineStr">
        <is>
          <t>Environmental Sciences &amp; Ecology</t>
        </is>
      </c>
      <c r="BN81" t="inlineStr">
        <is>
          <t>PB0SS</t>
        </is>
      </c>
      <c r="BS81" t="inlineStr">
        <is>
          <t>2023-10-26</t>
        </is>
      </c>
      <c r="BT81" t="inlineStr">
        <is>
          <t>WOS:000596038700070</t>
        </is>
      </c>
      <c r="BU81">
        <f>HYPERLINK("https%3A%2F%2Fwww.webofscience.com%2Fwos%2Fwoscc%2Ffull-record%2FWOS:000596038700070","View Full Record in Web of Science")</f>
        <v/>
      </c>
    </row>
    <row r="82">
      <c r="A82" t="inlineStr">
        <is>
          <t>J</t>
        </is>
      </c>
      <c r="B82" t="inlineStr">
        <is>
          <t>Hu, M; Roberts, JD</t>
        </is>
      </c>
      <c r="F82" t="inlineStr">
        <is>
          <t>Hu, Ming; Roberts, Jennifer D.</t>
        </is>
      </c>
      <c r="J82" t="inlineStr">
        <is>
          <t>URBAN SCIENCE</t>
        </is>
      </c>
      <c r="M82" t="inlineStr">
        <is>
          <t>English</t>
        </is>
      </c>
      <c r="N82" t="inlineStr">
        <is>
          <t>Review</t>
        </is>
      </c>
      <c r="T82" t="inlineStr">
        <is>
          <t>Connections and Divergence between Public Health and Built Environment-A Scoping Review</t>
        </is>
      </c>
      <c r="U82" t="inlineStr">
        <is>
          <t>public health; built environment; connection; divergence</t>
        </is>
      </c>
      <c r="V82" t="inlineStr">
        <is>
          <t>SICK BUILDING SYNDROME; INDOOR AIR-QUALITY; URBAN DESIGN; POPULATION HEALTH; PHYSICAL-ACTIVITY; EPIDEMIOLOGY; EXPOSURE; FALLS; MOLD; CHALLENGES</t>
        </is>
      </c>
      <c r="W82" t="inlineStr">
        <is>
          <t>Public health and built environment design have a long-intertwined history of promoting a healthy quality of life. They emerged with the common goal of preventing infectious disease outbreaks in urban areas and improving occupants' living conditions. In recent years, however, the two disciplines have become less engaged and with each developing a distinct focus. To respond to this disconnection, a systematic review was conducted to identify the connection and divergence between public health and built environment design and planning. This paper aims to establish a context for understanding the connections, synergies, and divergence between public health and built environment design disciplines. Further, the four main health factors in the built environment are identified and explained: physical, physiological, biological, and psychological factors. Finally, future trends to reconnect public health with build environment design are then outlined.</t>
        </is>
      </c>
      <c r="X82" t="inlineStr">
        <is>
          <t>[Hu, Ming] Univ Maryland, Sch Architecture Planning &amp; Preservat, College Pk, MD 20742 USA; [Roberts, Jennifer D.] Univ Maryland, Sch Publ Hlth, College Pk, MD 20742 USA</t>
        </is>
      </c>
      <c r="Y82" t="inlineStr">
        <is>
          <t>University System of Maryland; University of Maryland College Park; University System of Maryland; University of Maryland College Park</t>
        </is>
      </c>
      <c r="Z82" t="inlineStr">
        <is>
          <t>Hu, M (corresponding author), Univ Maryland, Sch Architecture Planning &amp; Preservat, College Pk, MD 20742 USA.</t>
        </is>
      </c>
      <c r="AA82" t="inlineStr">
        <is>
          <t>mhu2008@umd.edu; jenrob@umd.edu</t>
        </is>
      </c>
      <c r="AB82" t="inlineStr">
        <is>
          <t>Hu, Ming/GLR-6191-2022; Hu, Ming/I-4311-2019</t>
        </is>
      </c>
      <c r="AC82" t="inlineStr">
        <is>
          <t>Hu, Ming/0000-0003-2583-1161; Hu, Ming/0000-0003-2583-1161; Roberts, Jennifer D./0000-0002-1850-4341</t>
        </is>
      </c>
      <c r="AD82" t="inlineStr">
        <is>
          <t>University of Maryland, Tier 1 research fund</t>
        </is>
      </c>
      <c r="AE82" t="inlineStr">
        <is>
          <t>University of Maryland, Tier 1 research fund</t>
        </is>
      </c>
      <c r="AF82" t="inlineStr">
        <is>
          <t>This research was funded by University of Maryland, Tier 1 research fund.</t>
        </is>
      </c>
      <c r="AH82" t="n">
        <v>99</v>
      </c>
      <c r="AI82" t="n">
        <v>2</v>
      </c>
      <c r="AJ82" t="n">
        <v>2</v>
      </c>
      <c r="AK82" t="n">
        <v>5</v>
      </c>
      <c r="AL82" t="n">
        <v>42</v>
      </c>
      <c r="AM82" t="inlineStr">
        <is>
          <t>MDPI</t>
        </is>
      </c>
      <c r="AN82" t="inlineStr">
        <is>
          <t>BASEL</t>
        </is>
      </c>
      <c r="AO82" t="inlineStr">
        <is>
          <t>ST ALBAN-ANLAGE 66, CH-4052 BASEL, SWITZERLAND</t>
        </is>
      </c>
      <c r="AQ82" t="inlineStr">
        <is>
          <t>2413-8851</t>
        </is>
      </c>
      <c r="AS82" t="inlineStr">
        <is>
          <t>URBAN SCI</t>
        </is>
      </c>
      <c r="AT82" t="inlineStr">
        <is>
          <t>Urban Sci.</t>
        </is>
      </c>
      <c r="AU82" t="inlineStr">
        <is>
          <t>MAR</t>
        </is>
      </c>
      <c r="AV82" t="n">
        <v>2020</v>
      </c>
      <c r="AW82" t="n">
        <v>4</v>
      </c>
      <c r="AX82" t="n">
        <v>1</v>
      </c>
      <c r="BE82" t="n">
        <v>12</v>
      </c>
      <c r="BF82" t="inlineStr">
        <is>
          <t>10.3390/urbansci4010012</t>
        </is>
      </c>
      <c r="BG82">
        <f>HYPERLINK("http://dx.doi.org/10.3390/urbansci4010012","http://dx.doi.org/10.3390/urbansci4010012")</f>
        <v/>
      </c>
      <c r="BJ82" t="n">
        <v>15</v>
      </c>
      <c r="BK82" t="inlineStr">
        <is>
          <t>Environmental Sciences; Environmental Studies; Geography; Regional &amp; Urban Planning; Urban Studies</t>
        </is>
      </c>
      <c r="BL82" t="inlineStr">
        <is>
          <t>Emerging Sources Citation Index (ESCI)</t>
        </is>
      </c>
      <c r="BM82" t="inlineStr">
        <is>
          <t>Environmental Sciences &amp; Ecology; Geography; Public Administration; Urban Studies</t>
        </is>
      </c>
      <c r="BN82" t="inlineStr">
        <is>
          <t>QL2QY</t>
        </is>
      </c>
      <c r="BP82" t="inlineStr">
        <is>
          <t>gold</t>
        </is>
      </c>
      <c r="BS82" t="inlineStr">
        <is>
          <t>2023-10-26</t>
        </is>
      </c>
      <c r="BT82" t="inlineStr">
        <is>
          <t>WOS:000620927300011</t>
        </is>
      </c>
      <c r="BU82">
        <f>HYPERLINK("https%3A%2F%2Fwww.webofscience.com%2Fwos%2Fwoscc%2Ffull-record%2FWOS:000620927300011","View Full Record in Web of Science")</f>
        <v/>
      </c>
    </row>
    <row r="83">
      <c r="A83" t="inlineStr">
        <is>
          <t>J</t>
        </is>
      </c>
      <c r="B83" t="inlineStr">
        <is>
          <t>Morawska, L; Ayoko, GA; Bae, GN; Buonanno, G; Chao, CYH; Clifford, S; Fu, SC; Hänninen, O; He, C; Isaxon, C; Mazaheri, M; Salthammer, T; Waring, MS; Wierzbicka, A</t>
        </is>
      </c>
      <c r="F83" t="inlineStr">
        <is>
          <t>Morawska, L.; Ayoko, G. A.; Bae, G. N.; Buonanno, G.; Chao, C. Y. H.; Clifford, S.; Fu, S. C.; Hanninen, O.; He, C.; Isaxon, C.; Mazaheri, M.; Salthammer, T.; Waring, M. S.; Wierzbicka, A.</t>
        </is>
      </c>
      <c r="J83" t="inlineStr">
        <is>
          <t>ENVIRONMENT INTERNATIONAL</t>
        </is>
      </c>
      <c r="M83" t="inlineStr">
        <is>
          <t>English</t>
        </is>
      </c>
      <c r="N83" t="inlineStr">
        <is>
          <t>Review</t>
        </is>
      </c>
      <c r="T83" t="inlineStr">
        <is>
          <t>Airborne particles in indoor environment of homes, schools, offices and aged care facilities: The main routes of exposure</t>
        </is>
      </c>
      <c r="U83" t="inlineStr">
        <is>
          <t>Indoor particulate matter; Indoor aerosols; Indoor ultrafine particles; Home indoor particles; School indoor particles; Office indoor particles; Child care indoor particles; Aged care indoor particles</t>
        </is>
      </c>
      <c r="V83" t="inlineStr">
        <is>
          <t>AIR EXCHANGE-RATES; SECONDARY ORGANIC AEROSOL; ULTRAFINE PARTICLES; PARTICULATE MATTER; VENTILATION STRATEGIES; SOURCE APPORTIONMENT; SIZE DISTRIBUTIONS; DEPOSITION RATES; AMBIENT; OUTDOOR</t>
        </is>
      </c>
      <c r="W83" t="inlineStr">
        <is>
          <t>It has been shown that the exposure to airborne particulate matter is one of the most significant environmental risks people face. Since indoor environment is where people spend the majority of time, in order to protect against this risk, the origin of the particles needs to be understood: do they come from indoor, outdoor sources or both? Further, this question needs to be answered separately for each of the PM mass/number size fractions, as they originate from different sources. Numerous studies have been conducted for specific indoor environments or under specific setting. Here our aim was to go beyond the specifics of individual studies, and to explore, based on pooled data from the literature, whether there are generalizable trends in routes of exposure at homes, schools and day cares, offices and aged care facilities. To do this, we quantified the overall 24 h and occupancy weighted means of PM10, PM2.5 and PN -particle number concentration. Based on this, we developed a summary of the indoor versus outdoor origin of indoor particles and compared the means to the WHO guidelines (for PM10 and PM2.5) and to the typical levels reported for urban environments (PN). We showed that the main origins of particle metrics differ from one type of indoor environment to another. For homes, outdoor air is the main origin of PM10 and PM2.5 but PN originate from indoor sources; for schools and day cares, outdoor air is the source of PN while PM10 and PM2.5 have indoor sources; and for offices, outdoor air is the source of all three particle size fractions. While each individual building is different, leading to differences in exposure and ideally necessitating its own assessment (which is very rarely done), our findings point to the existence of generalizable trends for the main types of indoor environments where people spend time, and therefore to the type of prevention measures which need to be considered in general for these environments.</t>
        </is>
      </c>
      <c r="X83" t="inlineStr">
        <is>
          <t>[Morawska, L.; Ayoko, G. A.; Buonanno, G.; Clifford, S.; He, C.; Mazaheri, M.; Salthammer, T.] Queensland Univ Technol, Int Lab Air Qual &amp; Hlth, GPO Box 2434, Brisbane, Qld 4001, Australia; [Morawska, L.; Ayoko, G. A.; Clifford, S.; He, C.; Mazaheri, M.] Queensland Univ Technol, Inst Hlth &amp; Biomed Innovat, GPO Box 2434, Brisbane, Qld 4001, Australia; [Bae, G. N.] Korea Inst Sci &amp; Technol, Ctr Environm Hlth &amp; Welf Res, Seoul 02792, South Korea; [Buonanno, G.] Univ Naples Parthenope, Dept Engn, Isola Ctr Direz C4, Naples, Italy; [Chao, C. Y. H.; Fu, S. C.] Hong Kong Univ Sci &amp; Technol, Dept Mech &amp; Aerosp Engn, Kowloon, Hong Kong, Peoples R China; [Clifford, S.] Queensland Univ Technol, ARC Ctr Excellence Math &amp; Stat Frontiers, Brisbane, Qld 4000, Australia; [Hanninen, O.] Natl Inst Hlth &amp; Welf, Dept Environm Hlth, POB 95,Neulaniementie 4, FI-70701 Kuopio, Finland; [Isaxon, C.; Wierzbicka, A.] Lund Univ, Div Ergon &amp; Aerosol Technol, Box 118, SE-22100 Lund, Sweden; [Salthammer, T.] Fraunhofer WKI, Dept Mat Anal &amp; Indoor Chem, Bienroder Weg 54 E, D-38108 Braunschweig, Germany; [Waring, M. S.] Drexel Univ, Dept Civil Architectural &amp; Environm Engn, 3141 Chestnut St, Philadelphia, PA 19104 USA; [Buonanno, G.] Univ Cassino &amp; Southern Lazio, Dept Civil &amp; Mech Engn, Via Biasio 43, Cassino, FR, Italy</t>
        </is>
      </c>
      <c r="Y83" t="inlineStr">
        <is>
          <t>Queensland University of Technology (QUT); Queensland University of Technology (QUT); Korea Institute of Science &amp; Technology (KIST); Parthenope University Naples; Hong Kong University of Science &amp; Technology; Queensland University of Technology (QUT); Finland National Institute for Health &amp; Welfare; Lund University; Drexel University; University of Cassino</t>
        </is>
      </c>
      <c r="Z83" t="inlineStr">
        <is>
          <t>Morawska, L (corresponding author), Queensland Univ Technol, Int Lab Air Qual &amp; Hlth, GPO Box 2434, Brisbane, Qld 4001, Australia.</t>
        </is>
      </c>
      <c r="AA83" t="inlineStr">
        <is>
          <t>l.morawska@qut.edu.au</t>
        </is>
      </c>
      <c r="AB83" t="inlineStr">
        <is>
          <t>Wierzbicka, Aneta/AAD-1860-2019; Clifford, Samuel/AAE-7344-2021; Mazaheri, Mandana/K-6835-2019; Ayoko, Godwin A/I-9836-2012; Chao, Yu Hang Christopher/AAX-3279-2021; Hänninen, Otto/C-7951-2012; Salthammer, Tunga/F-6638-2013; Morawska, Lidia/B-4140-2011</t>
        </is>
      </c>
      <c r="AC83" t="inlineStr">
        <is>
          <t>Wierzbicka, Aneta/0000-0002-0678-7161; Clifford, Samuel/0000-0002-3774-3882; Mazaheri, Mandana/0000-0003-0592-9727; Chao, Yu Hang Christopher/0000-0002-2974-0403; Hänninen, Otto/0000-0002-4868-4822; Salthammer, Tunga/0000-0002-2370-8664; Morawska, Lidia/0000-0002-0594-9683; BUONANNO, Giorgio/0000-0003-0525-0781; FU, Sau Chung/0000-0003-2861-7582; Ayoko, Godwin/0000-0001-8160-4209</t>
        </is>
      </c>
      <c r="AD83" t="inlineStr">
        <is>
          <t>German Federal Ministry for the Environment, Nature Conservation, Building and Nuclear Safety (BMUB) [BMUB IG II2-0303/0]</t>
        </is>
      </c>
      <c r="AE83" t="inlineStr">
        <is>
          <t>German Federal Ministry for the Environment, Nature Conservation, Building and Nuclear Safety (BMUB)</t>
        </is>
      </c>
      <c r="AF83" t="inlineStr">
        <is>
          <t>This work was financially supported by funds from the German Federal Ministry for the Environment, Nature Conservation, Building and Nuclear Safety (BMUB). Reference number: BMUB IG II2-0303/0, project title: Smart Homes - How Intelligent Building Management Technologies Contribute to the Improvement of Indoor Air Quality. The authors wish to thank Dr. Birgit Wolz, Jens Kullmer and Dorothee Klose (all BMUB) for their continuous encouragement. We are also grateful to Chantal Labbe (QUT) for the editorial work.</t>
        </is>
      </c>
      <c r="AH83" t="n">
        <v>71</v>
      </c>
      <c r="AI83" t="n">
        <v>205</v>
      </c>
      <c r="AJ83" t="n">
        <v>207</v>
      </c>
      <c r="AK83" t="n">
        <v>4</v>
      </c>
      <c r="AL83" t="n">
        <v>116</v>
      </c>
      <c r="AM83" t="inlineStr">
        <is>
          <t>PERGAMON-ELSEVIER SCIENCE LTD</t>
        </is>
      </c>
      <c r="AN83" t="inlineStr">
        <is>
          <t>OXFORD</t>
        </is>
      </c>
      <c r="AO83" t="inlineStr">
        <is>
          <t>THE BOULEVARD, LANGFORD LANE, KIDLINGTON, OXFORD OX5 1GB, ENGLAND</t>
        </is>
      </c>
      <c r="AP83" t="inlineStr">
        <is>
          <t>0160-4120</t>
        </is>
      </c>
      <c r="AQ83" t="inlineStr">
        <is>
          <t>1873-6750</t>
        </is>
      </c>
      <c r="AS83" t="inlineStr">
        <is>
          <t>ENVIRON INT</t>
        </is>
      </c>
      <c r="AT83" t="inlineStr">
        <is>
          <t>Environ. Int.</t>
        </is>
      </c>
      <c r="AU83" t="inlineStr">
        <is>
          <t>NOV</t>
        </is>
      </c>
      <c r="AV83" t="n">
        <v>2017</v>
      </c>
      <c r="AW83" t="n">
        <v>108</v>
      </c>
      <c r="BC83" t="n">
        <v>75</v>
      </c>
      <c r="BD83" t="n">
        <v>83</v>
      </c>
      <c r="BF83" t="inlineStr">
        <is>
          <t>10.1016/j.envint.2017.07.025</t>
        </is>
      </c>
      <c r="BG83">
        <f>HYPERLINK("http://dx.doi.org/10.1016/j.envint.2017.07.025","http://dx.doi.org/10.1016/j.envint.2017.07.025")</f>
        <v/>
      </c>
      <c r="BJ83" t="n">
        <v>9</v>
      </c>
      <c r="BK83" t="inlineStr">
        <is>
          <t>Environmental Sciences</t>
        </is>
      </c>
      <c r="BL83" t="inlineStr">
        <is>
          <t>Science Citation Index Expanded (SCI-EXPANDED)</t>
        </is>
      </c>
      <c r="BM83" t="inlineStr">
        <is>
          <t>Environmental Sciences &amp; Ecology</t>
        </is>
      </c>
      <c r="BN83" t="inlineStr">
        <is>
          <t>FI0HI</t>
        </is>
      </c>
      <c r="BO83" t="n">
        <v>28802170</v>
      </c>
      <c r="BP83" t="inlineStr">
        <is>
          <t>Green Published, hybrid</t>
        </is>
      </c>
      <c r="BS83" t="inlineStr">
        <is>
          <t>2023-10-26</t>
        </is>
      </c>
      <c r="BT83" t="inlineStr">
        <is>
          <t>WOS:000411604400008</t>
        </is>
      </c>
      <c r="BU83">
        <f>HYPERLINK("https%3A%2F%2Fwww.webofscience.com%2Fwos%2Fwoscc%2Ffull-record%2FWOS:000411604400008","View Full Record in Web of Science")</f>
        <v/>
      </c>
    </row>
    <row r="84">
      <c r="A84" t="inlineStr">
        <is>
          <t>J</t>
        </is>
      </c>
      <c r="B84" t="inlineStr">
        <is>
          <t>HaGani, N; Moran, MR; Caspi, O; Plaut, P; Endevelt, R; Baron-Epel, O</t>
        </is>
      </c>
      <c r="F84" t="inlineStr">
        <is>
          <t>HaGani, Neta; Moran, Mika R.; Caspi, Or; Plaut, Pnina; Endevelt, Ronit; Baron-Epel, Orna</t>
        </is>
      </c>
      <c r="J84" t="inlineStr">
        <is>
          <t>INTERNATIONAL JOURNAL OF ENVIRONMENTAL RESEARCH AND PUBLIC HEALTH</t>
        </is>
      </c>
      <c r="M84" t="inlineStr">
        <is>
          <t>English</t>
        </is>
      </c>
      <c r="N84" t="inlineStr">
        <is>
          <t>Article</t>
        </is>
      </c>
      <c r="T84" t="inlineStr">
        <is>
          <t>The Relationships between Adolescents' Obesity and the Built Environment: Are They City Dependent?</t>
        </is>
      </c>
      <c r="U84" t="inlineStr">
        <is>
          <t>walkability; adolescents' obesity; built environment; physical activity; nutritional environment; sedentary behaviors</t>
        </is>
      </c>
      <c r="V84" t="inlineStr">
        <is>
          <t>BODY-MASS INDEX; PHYSICAL-ACTIVITY; SOCIOECONOMIC-STATUS; SEDENTARY BEHAVIOR; CHILDHOOD OBESITY; WEIGHT STATUS; CHILDREN; HEALTH; OVERWEIGHT; DETERMINANTS</t>
        </is>
      </c>
      <c r="W84" t="inlineStr">
        <is>
          <t>There is evidence that the built environment can promote unhealthy habits which may increase the risk for obesity among adolescents. However, the majority of evidence is from North America, Europe and Australia, and less is known about other world regions. The purpose of this study was to examine how the number of overweight and obese adolescents may vary in relation to the built environment, area socioeconomic status (SES), physical activity (PA) and nutritional home environment. We performed a telephone survey of 904 adolescents ages 15-18 from three different cities in Israel. The questionnaire included: reported PA, sedentary behaviors and nutritional home environment. Body Mass Index (BMI) was attained from records of Maccabi Healthcare Services (MHS). The built environment measures were calculated by Geographic Information System (GIS). Multivariable logistic regression analysis was performed to identify variables associated with adolescents' overweight and obesity. The highest level of overweight and obese adolescents was in Beer Sheva (29.2%). The three cities did not differ in built environment characteristics, PA and sedentary behaviors. In Haifa, a more positive nutritional home environment was reported (p = 0.001). Boys, in all three cities presented higher rates of overweight and obesity (29%). After adjusting for covariates, adolescents' overweight and obesity was associated with built environment measures only in a low SES peripheral city (OR = 0.72; 95% CI: 0.56-0.92), and positively associated with higher level of sedentary behavior in the total sample (OR = 1.23; 95% CI:1.03-1.47). This may imply a much more complex causal pathway between the built environment, SES and obesity than suggested in previous literature.</t>
        </is>
      </c>
      <c r="X84" t="inlineStr">
        <is>
          <t>[HaGani, Neta; Moran, Mika R.; Endevelt, Ronit; Baron-Epel, Orna] Univ Haifa, Sch Publ Hlth, IL-3498838 Haifa, Israel; [Caspi, Or; Plaut, Pnina] Technion Israel Inst Technol, Fac Architecture &amp; Town Planning, IL-3200003 Haifa, Israel</t>
        </is>
      </c>
      <c r="Y84" t="inlineStr">
        <is>
          <t>University of Haifa; Technion Israel Institute of Technology</t>
        </is>
      </c>
      <c r="Z84" t="inlineStr">
        <is>
          <t>HaGani, N (corresponding author), Univ Haifa, Sch Publ Hlth, IL-3498838 Haifa, Israel.</t>
        </is>
      </c>
      <c r="AA84" t="inlineStr">
        <is>
          <t>netahagani@gmail.com; moran.mika@gmail.com; orcaspi@gmail.com; pninatech@gmail.com; ronit.endevelt@moh.gov.il; orna.epel@gmail.com</t>
        </is>
      </c>
      <c r="AB84" t="inlineStr">
        <is>
          <t>Hagani, neta/AAD-3569-2021</t>
        </is>
      </c>
      <c r="AC84" t="inlineStr">
        <is>
          <t>Moran, Mika/0000-0002-4225-0388; Caspi, Or/0000-0002-7639-3600; Endevelt, Ronit/0000-0002-0866-523X; Baron-Epel, Orna/0000-0003-3447-2594</t>
        </is>
      </c>
      <c r="AD84" t="inlineStr">
        <is>
          <t>Israel Science Foundation-ISF [916/12]</t>
        </is>
      </c>
      <c r="AE84" t="inlineStr">
        <is>
          <t>Israel Science Foundation-ISF(Israel Science Foundation)</t>
        </is>
      </c>
      <c r="AF84" t="inlineStr">
        <is>
          <t>This work was supported by a grant from the Israel Science Foundation-ISF [Grant no. 916/12]. Albert Einstein Square, 43 Jabotinsky Street. PO Box 4040, Jerusalem Israel 9104001. Phone: +972-2-5885400; Fax: +972-2-5635782; Email: israkeren@isf.org.ilWebsite:www.isf.org.il.</t>
        </is>
      </c>
      <c r="AH84" t="n">
        <v>68</v>
      </c>
      <c r="AI84" t="n">
        <v>7</v>
      </c>
      <c r="AJ84" t="n">
        <v>7</v>
      </c>
      <c r="AK84" t="n">
        <v>0</v>
      </c>
      <c r="AL84" t="n">
        <v>16</v>
      </c>
      <c r="AM84" t="inlineStr">
        <is>
          <t>MDPI</t>
        </is>
      </c>
      <c r="AN84" t="inlineStr">
        <is>
          <t>BASEL</t>
        </is>
      </c>
      <c r="AO84" t="inlineStr">
        <is>
          <t>ST ALBAN-ANLAGE 66, CH-4052 BASEL, SWITZERLAND</t>
        </is>
      </c>
      <c r="AQ84" t="inlineStr">
        <is>
          <t>1660-4601</t>
        </is>
      </c>
      <c r="AS84" t="inlineStr">
        <is>
          <t>INT J ENV RES PUB HE</t>
        </is>
      </c>
      <c r="AT84" t="inlineStr">
        <is>
          <t>Int. J. Environ. Res. Public Health</t>
        </is>
      </c>
      <c r="AU84" t="inlineStr">
        <is>
          <t>MAY 1</t>
        </is>
      </c>
      <c r="AV84" t="n">
        <v>2019</v>
      </c>
      <c r="AW84" t="n">
        <v>16</v>
      </c>
      <c r="AX84" t="n">
        <v>9</v>
      </c>
      <c r="BE84" t="n">
        <v>1579</v>
      </c>
      <c r="BF84" t="inlineStr">
        <is>
          <t>10.3390/ijerph16091579</t>
        </is>
      </c>
      <c r="BG84">
        <f>HYPERLINK("http://dx.doi.org/10.3390/ijerph16091579","http://dx.doi.org/10.3390/ijerph16091579")</f>
        <v/>
      </c>
      <c r="BJ84" t="n">
        <v>14</v>
      </c>
      <c r="BK84" t="inlineStr">
        <is>
          <t>Environmental Sciences; Public, Environmental &amp; Occupational Health</t>
        </is>
      </c>
      <c r="BL84" t="inlineStr">
        <is>
          <t>Science Citation Index Expanded (SCI-EXPANDED); Social Science Citation Index (SSCI)</t>
        </is>
      </c>
      <c r="BM84" t="inlineStr">
        <is>
          <t>Environmental Sciences &amp; Ecology; Public, Environmental &amp; Occupational Health</t>
        </is>
      </c>
      <c r="BN84" t="inlineStr">
        <is>
          <t>IA4ER</t>
        </is>
      </c>
      <c r="BO84" t="n">
        <v>31064107</v>
      </c>
      <c r="BP84" t="inlineStr">
        <is>
          <t>Green Published, gold</t>
        </is>
      </c>
      <c r="BS84" t="inlineStr">
        <is>
          <t>2023-10-26</t>
        </is>
      </c>
      <c r="BT84" t="inlineStr">
        <is>
          <t>WOS:000469517300104</t>
        </is>
      </c>
      <c r="BU84">
        <f>HYPERLINK("https%3A%2F%2Fwww.webofscience.com%2Fwos%2Fwoscc%2Ffull-record%2FWOS:000469517300104","View Full Record in Web of Science")</f>
        <v/>
      </c>
    </row>
    <row r="85">
      <c r="A85" t="inlineStr">
        <is>
          <t>J</t>
        </is>
      </c>
      <c r="B85" t="inlineStr">
        <is>
          <t>Yang, YB; Zhang, XZ; Lu, X; Hu, J; Pan, X; Zhu, Q; Su, WZ</t>
        </is>
      </c>
      <c r="F85" t="inlineStr">
        <is>
          <t>Yang, Yingbao; Zhang, Xize; Lu, Xi; Hu, Jia; Pan, Xin; Zhu, Qin; Su, Weizhong</t>
        </is>
      </c>
      <c r="J85" t="inlineStr">
        <is>
          <t>SUSTAINABILITY</t>
        </is>
      </c>
      <c r="M85" t="inlineStr">
        <is>
          <t>English</t>
        </is>
      </c>
      <c r="N85" t="inlineStr">
        <is>
          <t>Article</t>
        </is>
      </c>
      <c r="T85" t="inlineStr">
        <is>
          <t>Effects of Building Design Elements on Residential Thermal Environment</t>
        </is>
      </c>
      <c r="U85" t="inlineStr">
        <is>
          <t>residential thermal environment; green ratio; building height; building density</t>
        </is>
      </c>
      <c r="V85" t="inlineStr">
        <is>
          <t>URBAN HEAT-ISLAND; OUTDOOR TEMPERATURE; ENERGY-CONSUMPTION; CLIMATE-CHANGE; IMPACT; VEGETATION; AIR; COMFORT; CITY; SURFACE</t>
        </is>
      </c>
      <c r="W85" t="inlineStr">
        <is>
          <t>Residential thermal environment affects the life of residents in terms of their physical and mental health. Many studies have shown that building design elements affect the urban thermal environment. In this study, Nanjing City was used as the study area. A three-dimensional microclimate model was used to simulate and analyze the effects of four main factors, namely, building height, density, layout and green ratio, on thermal environment in residential areas. Results showed that 25% building density obtained a low average air temperature (ATa) and average predicted mean vote (APMV) during 24 h. Thus, a higher building height indicates a lower ATa and APMV and better outdoor comfort level. In addition, peripheral layout had the lowest ATa and APMV, followed by the determinant and point group layouts. The green ratio increased from 0% to 50% with a 10% step and the ATa and APMV decreased gradually. However, when the green ratio increased from 30% to 40%, ATa and APMV decreased most. The effects of building height, density and green ratio on the thermal environment in residential areas were interactive. The effects of building density, green ratio and layout on hourly air temperature and hourly predicted mean vote in daytime varied from these indicators during night time. How the four building design elements interact with thermal environment were probed from two aspects of air temperature and thermal comfort based on the validated ENVI-met, which is the element of novelty in this study. However, thermal comfort has rarely been considered in the past studies about urban outdoor thermal environment.</t>
        </is>
      </c>
      <c r="X85" t="inlineStr">
        <is>
          <t>[Yang, Yingbao; Zhang, Xize; Lu, Xi; Hu, Jia; Pan, Xin; Zhu, Qin] Hohai Univ, Sch Earth Sci &amp; Engn, Nanjing 211100, Jiangsu, Peoples R China; [Su, Weizhong] Chinese Acad Sci, Nanjing Inst Geog &amp; Limnol, State Key Lab Lake Sci &amp; Environm, Nanjing 210008, Jiangsu, Peoples R China</t>
        </is>
      </c>
      <c r="Y85" t="inlineStr">
        <is>
          <t>Hohai University; Chinese Academy of Sciences; Nanjing Institute of Geography &amp; Limnology, CAS</t>
        </is>
      </c>
      <c r="Z85" t="inlineStr">
        <is>
          <t>Su, WZ (corresponding author), Chinese Acad Sci, Nanjing Inst Geog &amp; Limnol, State Key Lab Lake Sci &amp; Environm, Nanjing 210008, Jiangsu, Peoples R China.</t>
        </is>
      </c>
      <c r="AA85" t="inlineStr">
        <is>
          <t>yyb@hhu.edu.cn; 15850607350@163.com; 18112900205@163.com; hujia198jj@163.com; px1013@163.com; 15705187210@163.com; wzsu@niglas.ac.cn</t>
        </is>
      </c>
      <c r="AD85" t="inlineStr">
        <is>
          <t>National Nature Science Foundation of China [41271538]; Fundamental Research Funds for the Central Universities of China [2016B05614, 2017B781X14]; Fundamental Research Funds for the Central Universities [2017B781X14]; Postgraduate Research &amp; Practice Innovation Program of Jiangsu Province [SJCX17_0155]</t>
        </is>
      </c>
      <c r="AE85" t="inlineStr">
        <is>
          <t>National Nature Science Foundation of China(National Natural Science Foundation of China (NSFC)); Fundamental Research Funds for the Central Universities of China(Fundamental Research Funds for the Central Universities); Fundamental Research Funds for the Central Universities(Fundamental Research Funds for the Central Universities); Postgraduate Research &amp; Practice Innovation Program of Jiangsu Province</t>
        </is>
      </c>
      <c r="AF85" t="inlineStr">
        <is>
          <t>This study is supported by the National Nature Science Foundation of China (41271538), y the Fundamental Research Funds for the Central Universities of China (2016B05614), by the Fundamental Research Funds for the Central Universities of China (2016B05614 and 2017B781X14), by the Fundamental Research Funds for the Central Universities (2017B781X14) and by Postgraduate Research &amp; Practice Innovation Program of Jiangsu Province (SJCX17_0155).</t>
        </is>
      </c>
      <c r="AH85" t="n">
        <v>50</v>
      </c>
      <c r="AI85" t="n">
        <v>23</v>
      </c>
      <c r="AJ85" t="n">
        <v>24</v>
      </c>
      <c r="AK85" t="n">
        <v>17</v>
      </c>
      <c r="AL85" t="n">
        <v>78</v>
      </c>
      <c r="AM85" t="inlineStr">
        <is>
          <t>MDPI</t>
        </is>
      </c>
      <c r="AN85" t="inlineStr">
        <is>
          <t>BASEL</t>
        </is>
      </c>
      <c r="AO85" t="inlineStr">
        <is>
          <t>ST ALBAN-ANLAGE 66, CH-4052 BASEL, SWITZERLAND</t>
        </is>
      </c>
      <c r="AQ85" t="inlineStr">
        <is>
          <t>2071-1050</t>
        </is>
      </c>
      <c r="AS85" t="inlineStr">
        <is>
          <t>SUSTAINABILITY-BASEL</t>
        </is>
      </c>
      <c r="AT85" t="inlineStr">
        <is>
          <t>Sustainability</t>
        </is>
      </c>
      <c r="AU85" t="inlineStr">
        <is>
          <t>JAN</t>
        </is>
      </c>
      <c r="AV85" t="n">
        <v>2018</v>
      </c>
      <c r="AW85" t="n">
        <v>10</v>
      </c>
      <c r="AX85" t="n">
        <v>1</v>
      </c>
      <c r="BE85" t="n">
        <v>57</v>
      </c>
      <c r="BF85" t="inlineStr">
        <is>
          <t>10.3390/su10010057</t>
        </is>
      </c>
      <c r="BG85">
        <f>HYPERLINK("http://dx.doi.org/10.3390/su10010057","http://dx.doi.org/10.3390/su10010057")</f>
        <v/>
      </c>
      <c r="BJ85" t="n">
        <v>15</v>
      </c>
      <c r="BK85" t="inlineStr">
        <is>
          <t>Green &amp; Sustainable Science &amp; Technology; Environmental Sciences; Environmental Studies</t>
        </is>
      </c>
      <c r="BL85" t="inlineStr">
        <is>
          <t>Science Citation Index Expanded (SCI-EXPANDED); Social Science Citation Index (SSCI)</t>
        </is>
      </c>
      <c r="BM85" t="inlineStr">
        <is>
          <t>Science &amp; Technology - Other Topics; Environmental Sciences &amp; Ecology</t>
        </is>
      </c>
      <c r="BN85" t="inlineStr">
        <is>
          <t>FW1TN</t>
        </is>
      </c>
      <c r="BP85" t="inlineStr">
        <is>
          <t>gold</t>
        </is>
      </c>
      <c r="BS85" t="inlineStr">
        <is>
          <t>2023-10-26</t>
        </is>
      </c>
      <c r="BT85" t="inlineStr">
        <is>
          <t>WOS:000425082600056</t>
        </is>
      </c>
      <c r="BU85">
        <f>HYPERLINK("https%3A%2F%2Fwww.webofscience.com%2Fwos%2Fwoscc%2Ffull-record%2FWOS:000425082600056","View Full Record in Web of Science")</f>
        <v/>
      </c>
    </row>
    <row r="86">
      <c r="A86" t="inlineStr">
        <is>
          <t>J</t>
        </is>
      </c>
      <c r="B86" t="inlineStr">
        <is>
          <t>Adlakha, D; Hipp, JA; Brownson, RC</t>
        </is>
      </c>
      <c r="F86" t="inlineStr">
        <is>
          <t>Adlakha, Deepti; Hipp, J. Aaron; Brownson, Ross C.</t>
        </is>
      </c>
      <c r="J86" t="inlineStr">
        <is>
          <t>INTERNATIONAL JOURNAL OF ENVIRONMENTAL RESEARCH AND PUBLIC HEALTH</t>
        </is>
      </c>
      <c r="M86" t="inlineStr">
        <is>
          <t>English</t>
        </is>
      </c>
      <c r="N86" t="inlineStr">
        <is>
          <t>Article</t>
        </is>
      </c>
      <c r="T86" t="inlineStr">
        <is>
          <t>Adaptation and Evaluation of the Neighborhood Environment Walkability Scale in India (NEWS-India)</t>
        </is>
      </c>
      <c r="U86" t="inlineStr">
        <is>
          <t>India; walkability; built environment; physical activity; measurement</t>
        </is>
      </c>
      <c r="V86" t="inlineStr">
        <is>
          <t>PHYSICAL-ACTIVITY PATTERNS; BUILT ENVIRONMENT; CHRONIC DISEASES; NONCOMMUNICABLE DISEASE; ECOLOGICAL APPROACH; DIABETES-MELLITUS; PUBLIC PARKS; OLDER-ADULTS; HEALTH; OBESITY</t>
        </is>
      </c>
      <c r="W86" t="inlineStr">
        <is>
          <t>Physical inactivity is the fourth leading risk factor for global mortality, with most of these deaths occurring in low and middle-income countries (LMICs) like India. Research from developed countries has consistently demonstrated associations between built environment features and physical activity levels of populations. The development of culturally sensitive and reliable measures of the built environment is a necessary first step for accurate analysis of environmental correlates of physical activity in LMICs. This study systematically adapted the Neighborhood Environment Walkability Scale (NEWS) for India and evaluated aspects of test-retest reliability of the adapted version among Indian adults. Cultural adaptation of the NEWS was conducted by Indian and international experts. Semi-structured interviews were conducted with local residents and key informants in the city of Chennai, India. At baseline, participants (N = 370; female = 47.2%) from Chennai completed the adapted NEWS-India surveys on perceived residential density, land use mix-diversity, land use mix-access, street connectivity, infrastructure and safety for walking and cycling, aesthetics, traffic safety, and safety from crime. NEWS-India was administered for a second time to consenting participants (N = 62; female = 53.2%) with a gap of 2-3 weeks between successive administrations. Qualitative findings demonstrated that built environment barriers and constraints to active commuting and physical activity behaviors intersected with social ecological systems. The adapted NEWS subscales had moderate to high test-retest reliability (ICC range 0.48-0.99). The NEWS-India demonstrated acceptable measurement properties among Indian adults and may be a useful tool for evaluation of built environment attributes in India. Further adaptation and evaluation in rural and suburban settings in India is essential to create a version that could be used throughout India.</t>
        </is>
      </c>
      <c r="X86" t="inlineStr">
        <is>
          <t>[Adlakha, Deepti] Queens Univ Belfast, Sch Med Dent &amp; Biomed Sci, Ctr Publ Hlth, Belfast BT7 1NN, Antrim, North Ireland; [Hipp, J. Aaron] N Carolina State Univ, Coll Nat Resources, Dept Pk Recreat &amp; Tourism Management, Raleigh, NC 27695 USA; [Hipp, J. Aaron] N Carolina State Univ, Coll Nat Resources, Ctr Geospatial Analyt, Raleigh, NC 27695 USA; [Brownson, Ross C.] Washington Univ, Sch Med, Div Publ Hlth Sci, Prevent Res Ctr,Brown Sch, St Louis, MO 63130 USA; [Brownson, Ross C.] Washington Univ, Sch Med, Siteman Canc Ctr, St Louis, MO 63130 USA</t>
        </is>
      </c>
      <c r="Y86" t="inlineStr">
        <is>
          <t>Queens University Belfast; North Carolina State University; North Carolina State University; Washington University (WUSTL); Washington University (WUSTL); Siteman Cancer Center</t>
        </is>
      </c>
      <c r="Z86" t="inlineStr">
        <is>
          <t>Adlakha, D (corresponding author), Queens Univ Belfast, Sch Med Dent &amp; Biomed Sci, Ctr Publ Hlth, Belfast BT7 1NN, Antrim, North Ireland.</t>
        </is>
      </c>
      <c r="AA86" t="inlineStr">
        <is>
          <t>d.adlakha@qub.ac.uk; jahipp@ncsu.edu; rbrownson@wustl.edu</t>
        </is>
      </c>
      <c r="AB86" t="inlineStr">
        <is>
          <t>heying, li/AAU-8317-2021; Hipp, J. Aaron/AAF-9869-2021</t>
        </is>
      </c>
      <c r="AC86" t="inlineStr">
        <is>
          <t>Hipp, J. Aaron/0000-0002-2394-7112; Adlakha, Deepti/0000-0002-1720-6780</t>
        </is>
      </c>
      <c r="AD86" t="inlineStr">
        <is>
          <t>International Field Dissertation Research Award at the Brown School, Washington University in St. Louis</t>
        </is>
      </c>
      <c r="AE86" t="inlineStr">
        <is>
          <t>International Field Dissertation Research Award at the Brown School, Washington University in St. Louis</t>
        </is>
      </c>
      <c r="AF86" t="inlineStr">
        <is>
          <t>Deepti Adlakha was funded by the International Field Dissertation Research Award at the Brown School, Washington University in St. Louis. The authors would like to thank James F. Sallis, Rodrigo S. Reis, and members of the IPEN Coordinating Center at University of California, San Diego, for their assistance with study protocols and adaptation of NEWS-India. The authors wish to acknowledge the following research assistants' support in translation and data collection: Priyadarshini Chidambaram, Avinash Ramu, S. Gayathri, R. Dhivya, Gomathi Srinivasan, V. Sridevi, and K. Shanthi.</t>
        </is>
      </c>
      <c r="AH86" t="n">
        <v>135</v>
      </c>
      <c r="AI86" t="n">
        <v>36</v>
      </c>
      <c r="AJ86" t="n">
        <v>37</v>
      </c>
      <c r="AK86" t="n">
        <v>5</v>
      </c>
      <c r="AL86" t="n">
        <v>48</v>
      </c>
      <c r="AM86" t="inlineStr">
        <is>
          <t>MDPI</t>
        </is>
      </c>
      <c r="AN86" t="inlineStr">
        <is>
          <t>BASEL</t>
        </is>
      </c>
      <c r="AO86" t="inlineStr">
        <is>
          <t>ST ALBAN-ANLAGE 66, CH-4052 BASEL, SWITZERLAND</t>
        </is>
      </c>
      <c r="AQ86" t="inlineStr">
        <is>
          <t>1660-4601</t>
        </is>
      </c>
      <c r="AS86" t="inlineStr">
        <is>
          <t>INT J ENV RES PUB HE</t>
        </is>
      </c>
      <c r="AT86" t="inlineStr">
        <is>
          <t>Int. J. Environ. Res. Public Health</t>
        </is>
      </c>
      <c r="AU86" t="inlineStr">
        <is>
          <t>APR</t>
        </is>
      </c>
      <c r="AV86" t="n">
        <v>2016</v>
      </c>
      <c r="AW86" t="n">
        <v>13</v>
      </c>
      <c r="AX86" t="n">
        <v>4</v>
      </c>
      <c r="BE86" t="n">
        <v>401</v>
      </c>
      <c r="BF86" t="inlineStr">
        <is>
          <t>10.3390/ijerph13040401</t>
        </is>
      </c>
      <c r="BG86">
        <f>HYPERLINK("http://dx.doi.org/10.3390/ijerph13040401","http://dx.doi.org/10.3390/ijerph13040401")</f>
        <v/>
      </c>
      <c r="BJ86" t="n">
        <v>24</v>
      </c>
      <c r="BK86" t="inlineStr">
        <is>
          <t>Environmental Sciences; Public, Environmental &amp; Occupational Health</t>
        </is>
      </c>
      <c r="BL86" t="inlineStr">
        <is>
          <t>Science Citation Index Expanded (SCI-EXPANDED); Social Science Citation Index (SSCI)</t>
        </is>
      </c>
      <c r="BM86" t="inlineStr">
        <is>
          <t>Environmental Sciences &amp; Ecology; Public, Environmental &amp; Occupational Health</t>
        </is>
      </c>
      <c r="BN86" t="inlineStr">
        <is>
          <t>DK9DR</t>
        </is>
      </c>
      <c r="BO86" t="n">
        <v>27049394</v>
      </c>
      <c r="BP86" t="inlineStr">
        <is>
          <t>Green Published, Green Submitted, gold</t>
        </is>
      </c>
      <c r="BS86" t="inlineStr">
        <is>
          <t>2023-10-26</t>
        </is>
      </c>
      <c r="BT86" t="inlineStr">
        <is>
          <t>WOS:000375231300049</t>
        </is>
      </c>
      <c r="BU86">
        <f>HYPERLINK("https%3A%2F%2Fwww.webofscience.com%2Fwos%2Fwoscc%2Ffull-record%2FWOS:000375231300049","View Full Record in Web of Science")</f>
        <v/>
      </c>
    </row>
    <row r="87">
      <c r="A87" t="inlineStr">
        <is>
          <t>J</t>
        </is>
      </c>
      <c r="B87" t="inlineStr">
        <is>
          <t>Batsumber, Z; He, J</t>
        </is>
      </c>
      <c r="F87" t="inlineStr">
        <is>
          <t>Batsumber, Zolsaikhan; He, Jiang</t>
        </is>
      </c>
      <c r="J87" t="inlineStr">
        <is>
          <t>SUSTAINABILITY</t>
        </is>
      </c>
      <c r="M87" t="inlineStr">
        <is>
          <t>English</t>
        </is>
      </c>
      <c r="N87" t="inlineStr">
        <is>
          <t>Article</t>
        </is>
      </c>
      <c r="T87" t="inlineStr">
        <is>
          <t>Measurement of Indoor Thermal Environment and Analysis of Heating Energy Saving in Residential Buildings in Ulaanbaatar, Mongolia</t>
        </is>
      </c>
      <c r="U87" t="inlineStr">
        <is>
          <t>apartment building; heat loss; indoor thermal environment; field measurement</t>
        </is>
      </c>
      <c r="W87" t="inlineStr">
        <is>
          <t>Owing to the unique climate of Mongolia, the heat supply of residential buildings is a pressing social and economic problem. In Mongolia, the heat loss indicators for numerous residential buildings still exceed the standard. There is an urgent need to update and improve the architectural structure of residential buildings for energy saving. Few studies focused on energy consumption and the indoor environment in residential buildings in Mongolia. To provide effective and practical energy-saving measures, we conducted field surveys and measurements to clarify the energy consumption and indoor environment in residential buildings. A questionnaire was used to collect data from 100 households in Ulaanbaatar (the capital city of Mongolia), and five representative buildings were selected as the study objects to investigate the indoor thermal environment. The measurement result shows that the average indoor air temperature and relative humidity in the living rooms and bedrooms were 25.4 &amp; DEG;C and 26.3%, 24.0 &amp; DEG;C and 33.2%, respectively. The indoor air temperature was higher, and the air humidity was lower than the national standards. The average ventilation rate lies between a maximum of 71 m(3)/h and a minimum of 46 m(3)/h. The breakdown of the total heat loss shows that the ventilation heat loss of two objects is high. The total heat loss for the study objects was between 1.202-1.694 W/(m(2)K). The analysis result reveals that there exist great potential and effective measures to save heating energy.</t>
        </is>
      </c>
      <c r="X87" t="inlineStr">
        <is>
          <t>[Batsumber, Zolsaikhan; He, Jiang] Guangxi Univ, Coll Civil Engn &amp; Architecture, Nanning 530004, Peoples R China</t>
        </is>
      </c>
      <c r="Y87" t="inlineStr">
        <is>
          <t>Guangxi University</t>
        </is>
      </c>
      <c r="Z87" t="inlineStr">
        <is>
          <t>He, J (corresponding author), Guangxi Univ, Coll Civil Engn &amp; Architecture, Nanning 530004, Peoples R China.</t>
        </is>
      </c>
      <c r="AA87" t="inlineStr">
        <is>
          <t>zkozoloo@gmail.com; kakohejiang@gxu.edu.cn</t>
        </is>
      </c>
      <c r="AC87" t="inlineStr">
        <is>
          <t>He, Jiang/0000-0003-1267-5518</t>
        </is>
      </c>
      <c r="AH87" t="n">
        <v>24</v>
      </c>
      <c r="AI87" t="n">
        <v>0</v>
      </c>
      <c r="AJ87" t="n">
        <v>0</v>
      </c>
      <c r="AK87" t="n">
        <v>0</v>
      </c>
      <c r="AL87" t="n">
        <v>0</v>
      </c>
      <c r="AM87" t="inlineStr">
        <is>
          <t>MDPI</t>
        </is>
      </c>
      <c r="AN87" t="inlineStr">
        <is>
          <t>BASEL</t>
        </is>
      </c>
      <c r="AO87" t="inlineStr">
        <is>
          <t>ST ALBAN-ANLAGE 66, CH-4052 BASEL, SWITZERLAND</t>
        </is>
      </c>
      <c r="AQ87" t="inlineStr">
        <is>
          <t>2071-1050</t>
        </is>
      </c>
      <c r="AS87" t="inlineStr">
        <is>
          <t>SUSTAINABILITY-BASEL</t>
        </is>
      </c>
      <c r="AT87" t="inlineStr">
        <is>
          <t>Sustainability</t>
        </is>
      </c>
      <c r="AU87" t="inlineStr">
        <is>
          <t>JUL</t>
        </is>
      </c>
      <c r="AV87" t="n">
        <v>2023</v>
      </c>
      <c r="AW87" t="n">
        <v>15</v>
      </c>
      <c r="AX87" t="n">
        <v>13</v>
      </c>
      <c r="BE87" t="n">
        <v>10598</v>
      </c>
      <c r="BF87" t="inlineStr">
        <is>
          <t>10.3390/su151310598</t>
        </is>
      </c>
      <c r="BG87">
        <f>HYPERLINK("http://dx.doi.org/10.3390/su151310598","http://dx.doi.org/10.3390/su151310598")</f>
        <v/>
      </c>
      <c r="BJ87" t="n">
        <v>17</v>
      </c>
      <c r="BK87" t="inlineStr">
        <is>
          <t>Green &amp; Sustainable Science &amp; Technology; Environmental Sciences; Environmental Studies</t>
        </is>
      </c>
      <c r="BL87" t="inlineStr">
        <is>
          <t>Science Citation Index Expanded (SCI-EXPANDED); Social Science Citation Index (SSCI)</t>
        </is>
      </c>
      <c r="BM87" t="inlineStr">
        <is>
          <t>Science &amp; Technology - Other Topics; Environmental Sciences &amp; Ecology</t>
        </is>
      </c>
      <c r="BN87" t="inlineStr">
        <is>
          <t>M2JQ3</t>
        </is>
      </c>
      <c r="BP87" t="inlineStr">
        <is>
          <t>gold</t>
        </is>
      </c>
      <c r="BS87" t="inlineStr">
        <is>
          <t>2023-10-26</t>
        </is>
      </c>
      <c r="BT87" t="inlineStr">
        <is>
          <t>WOS:001028499800001</t>
        </is>
      </c>
      <c r="BU87">
        <f>HYPERLINK("https%3A%2F%2Fwww.webofscience.com%2Fwos%2Fwoscc%2Ffull-record%2FWOS:001028499800001","View Full Record in Web of Science")</f>
        <v/>
      </c>
    </row>
    <row r="88">
      <c r="A88" t="inlineStr">
        <is>
          <t>J</t>
        </is>
      </c>
      <c r="B88" t="inlineStr">
        <is>
          <t>Kim, JH; Han, SH</t>
        </is>
      </c>
      <c r="F88" t="inlineStr">
        <is>
          <t>Kim, Jae-Hyang; Han, Seung-Hoon</t>
        </is>
      </c>
      <c r="J88" t="inlineStr">
        <is>
          <t>SUSTAINABILITY</t>
        </is>
      </c>
      <c r="M88" t="inlineStr">
        <is>
          <t>English</t>
        </is>
      </c>
      <c r="N88" t="inlineStr">
        <is>
          <t>Article</t>
        </is>
      </c>
      <c r="T88" t="inlineStr">
        <is>
          <t>A Quantification Procedure for Interior Performance of Architectural Openings Associated with Dye-Sensitized Solar Cells</t>
        </is>
      </c>
      <c r="U88" t="inlineStr">
        <is>
          <t>dye-sensitized solar cells; architectural window; indoor environment; color environment; shape recognition; color gamut overage</t>
        </is>
      </c>
      <c r="V88" t="inlineStr">
        <is>
          <t>COLOR-GAMUT; LANDOLT C; DISPLAYS; LIGHT; GLASS; TOOL</t>
        </is>
      </c>
      <c r="W88" t="inlineStr">
        <is>
          <t>Windows with various colors are important design elements used widely ranging from traditional architecture to contemporary buildings to express the architectural facade, the interior atmosphere, and so on. Recently, there is a possibility that solar cells can be used to replace windows with various colors. In particular, attempts to manufacture windows using Dye-Sensitized Solar Cells (DSSCs) are actively underway. Accordingly, there is a need to determine physical and environmental performances of DSSCs. This study attempted a methodological approach to evaluate indoor environmental performance of windows and DSSCs. The concept of color gamut overage normally used in the field of displays was utilized to evaluate color expressions. In addition, a standard visual inspection table suggested by the International Ophthalmological Society was used to evaluate the recognition of shapes. This study compared performances between RGB color windows and DSSCs using the two above previous concepts. Measurement data showed that most DSSCs performed poorly in comparison with architectural color windows. However, some DSSCs showed good enough performances that could be used as alternatives of architectural color windows. Green DSSCs with VLT 18% had a color gamut similar to clear glasses. Blue DSSCs with VLT 18% were found to have similar or better shape recognition than current architectural color windows. Based on these results, limitations of DSSCs as alternatives of architectural color windows and their future development directions are suggested.</t>
        </is>
      </c>
      <c r="X88" t="inlineStr">
        <is>
          <t>[Kim, Jae-Hyang] Chonnam Natl Univ, Grad Sch, Gwangju 61186, South Korea; [Han, Seung-Hoon] Chonnam Natl Univ, Sch Architecture, Gwangju 61186, South Korea</t>
        </is>
      </c>
      <c r="Y88" t="inlineStr">
        <is>
          <t>Chonnam National University; Chonnam National University</t>
        </is>
      </c>
      <c r="Z88" t="inlineStr">
        <is>
          <t>Han, SH (corresponding author), Chonnam Natl Univ, Sch Architecture, Gwangju 61186, South Korea.</t>
        </is>
      </c>
      <c r="AA88" t="inlineStr">
        <is>
          <t>101117@jnu.ac.kr; hshoon@jnu.ac.kr</t>
        </is>
      </c>
      <c r="AC88" t="inlineStr">
        <is>
          <t>Han, Seung-Hoon/0000-0002-0320-1970</t>
        </is>
      </c>
      <c r="AD88" t="inlineStr">
        <is>
          <t>Ministry of Science and ICT of Korea [NRF-2018M3C1B9088457]</t>
        </is>
      </c>
      <c r="AE88" t="inlineStr">
        <is>
          <t>Ministry of Science and ICT of Korea</t>
        </is>
      </c>
      <c r="AF88" t="inlineStr">
        <is>
          <t>Grant funded by the Ministry of Science and ICT of Korea for First-Mover Program for Accelerating Disruptive Technology Development (NRF-2018M3C1B9088457).</t>
        </is>
      </c>
      <c r="AH88" t="n">
        <v>27</v>
      </c>
      <c r="AI88" t="n">
        <v>3</v>
      </c>
      <c r="AJ88" t="n">
        <v>3</v>
      </c>
      <c r="AK88" t="n">
        <v>1</v>
      </c>
      <c r="AL88" t="n">
        <v>5</v>
      </c>
      <c r="AM88" t="inlineStr">
        <is>
          <t>MDPI</t>
        </is>
      </c>
      <c r="AN88" t="inlineStr">
        <is>
          <t>BASEL</t>
        </is>
      </c>
      <c r="AO88" t="inlineStr">
        <is>
          <t>ST ALBAN-ANLAGE 66, CH-4052 BASEL, SWITZERLAND</t>
        </is>
      </c>
      <c r="AQ88" t="inlineStr">
        <is>
          <t>2071-1050</t>
        </is>
      </c>
      <c r="AS88" t="inlineStr">
        <is>
          <t>SUSTAINABILITY-BASEL</t>
        </is>
      </c>
      <c r="AT88" t="inlineStr">
        <is>
          <t>Sustainability</t>
        </is>
      </c>
      <c r="AU88" t="inlineStr">
        <is>
          <t>NOV</t>
        </is>
      </c>
      <c r="AV88" t="n">
        <v>2019</v>
      </c>
      <c r="AW88" t="n">
        <v>11</v>
      </c>
      <c r="AX88" t="n">
        <v>22</v>
      </c>
      <c r="BE88" t="n">
        <v>6461</v>
      </c>
      <c r="BF88" t="inlineStr">
        <is>
          <t>10.3390/su11226461</t>
        </is>
      </c>
      <c r="BG88">
        <f>HYPERLINK("http://dx.doi.org/10.3390/su11226461","http://dx.doi.org/10.3390/su11226461")</f>
        <v/>
      </c>
      <c r="BJ88" t="n">
        <v>18</v>
      </c>
      <c r="BK88" t="inlineStr">
        <is>
          <t>Green &amp; Sustainable Science &amp; Technology; Environmental Sciences; Environmental Studies</t>
        </is>
      </c>
      <c r="BL88" t="inlineStr">
        <is>
          <t>Science Citation Index Expanded (SCI-EXPANDED); Social Science Citation Index (SSCI)</t>
        </is>
      </c>
      <c r="BM88" t="inlineStr">
        <is>
          <t>Science &amp; Technology - Other Topics; Environmental Sciences &amp; Ecology</t>
        </is>
      </c>
      <c r="BN88" t="inlineStr">
        <is>
          <t>JW8DR</t>
        </is>
      </c>
      <c r="BP88" t="inlineStr">
        <is>
          <t>gold, Green Submitted</t>
        </is>
      </c>
      <c r="BS88" t="inlineStr">
        <is>
          <t>2023-10-26</t>
        </is>
      </c>
      <c r="BT88" t="inlineStr">
        <is>
          <t>WOS:000503277900274</t>
        </is>
      </c>
      <c r="BU88">
        <f>HYPERLINK("https%3A%2F%2Fwww.webofscience.com%2Fwos%2Fwoscc%2Ffull-record%2FWOS:000503277900274","View Full Record in Web of Science")</f>
        <v/>
      </c>
    </row>
    <row r="89">
      <c r="A89" t="inlineStr">
        <is>
          <t>J</t>
        </is>
      </c>
      <c r="B89" t="inlineStr">
        <is>
          <t>Chen, YY; Zhang, X; Grekousis, G; Huang, YL; Hua, FL; Pan, ZH; Liu, Y</t>
        </is>
      </c>
      <c r="F89" t="inlineStr">
        <is>
          <t>Chen, Yiyi; Zhang, Xian; Grekousis, George; Huang, Yuling; Hua, Fanglin; Pan, Zehan; Liu, Ye</t>
        </is>
      </c>
      <c r="J89" t="inlineStr">
        <is>
          <t>JOURNAL OF CLEANER PRODUCTION</t>
        </is>
      </c>
      <c r="M89" t="inlineStr">
        <is>
          <t>English</t>
        </is>
      </c>
      <c r="N89" t="inlineStr">
        <is>
          <t>Article</t>
        </is>
      </c>
      <c r="T89" t="inlineStr">
        <is>
          <t>Examining the importance of built and natural environment factors in predicting self-rated health in older adults: An extreme gradient boosting (XGBoost) approach</t>
        </is>
      </c>
      <c r="U89" t="inlineStr">
        <is>
          <t>Natural environment; Built environment; Older adult; Self -rated health; Machine learning; Residential selection bias</t>
        </is>
      </c>
      <c r="V89" t="inlineStr">
        <is>
          <t>TRAVEL BEHAVIOR; GREEN SPACE; ACCESSIBILITY; SELECTION; IMPACTS; FOCUS</t>
        </is>
      </c>
      <c r="W89" t="inlineStr">
        <is>
          <t>Previous studies indicate that natural and built environment factors significantly influence health outcomes in older adults. However, most cross-sectional studies exploring the impact of these factors on health fail to quantify the relative importance of each factor. Here, we use the XGBoost machine learning technique with SHAPley Additive exPlanations (SHAP) to rank the importance of built environment factors, natural environmental fac-tors, and sociodemographic factors in shaping older adults' odds of good self-rated health (SRH), in Shanghai, Guangzhou, and Shenzhen, China. To address self-selection bias in housing choice, older adults living in private housing, who have more freedom to choose residential locations, were distinguished from those living in public or self-built housing. To better interpret the results of XGBoost outcomes and analyse the association between factors and SRH, we used SHAP dependence plots. Results show that both built environment and natural envi-ronment factors play important roles in predicting SRH. Four built environment factors (accessibility to public transit stations, points of interest density, road density, and population density) and two natural environment factors (air quality index and surrounding greenness) have considerable predictive power for SRH for both groups. Among these factors, accessibility to public transit stations, road density, and air quality index become less important after controlling for self-selection bias. We also trace potential threshold effects of residential greenness, points of interest density, and road density on decreasing older adults' SRH within certain intervals after controlling for self-selection bias. Findings from this study can support the decision-making of policymakers regarding urban planning, landscape design, and environmental management to improve overall health of older adults.</t>
        </is>
      </c>
      <c r="X89" t="inlineStr">
        <is>
          <t>[Chen, Yiyi; Zhang, Xian; Grekousis, George; Huang, Yuling; Hua, Fanglin; Liu, Ye] Sun Yat Sen Univ, Sch Geog &amp; Planning, Guangzhou, Peoples R China; [Chen, Yiyi; Zhang, Xian; Grekousis, George; Huang, Yuling; Hua, Fanglin; Liu, Ye] Guangdong Prov Engn Res Ctr Publ Secur &amp; Disaster, Guangzhou, Peoples R China; [Chen, Yiyi; Zhang, Xian; Grekousis, George; Huang, Yuling; Hua, Fanglin; Liu, Ye] Sun Yat Sen Univ, Guangdong Key Lab Urbanizat &amp; Geosimulat, Guangzhou, Peoples R China; [Pan, Zehan] Fudan Univ, Sch Social Dev &amp; Publ Policy, Shanghai, Peoples R China; [Grekousis, George; Liu, Ye] Sun Yat Sen Univ, Sch Geog &amp; Planning, Guangzhou 510006, Peoples R China</t>
        </is>
      </c>
      <c r="Y89" t="inlineStr">
        <is>
          <t>Sun Yat Sen University; Sun Yat Sen University; Fudan University; Sun Yat Sen University</t>
        </is>
      </c>
      <c r="Z89" t="inlineStr">
        <is>
          <t>Grekousis, G; Liu, Y (corresponding author), Sun Yat Sen Univ, Sch Geog &amp; Planning, Guangzhou 510006, Peoples R China.</t>
        </is>
      </c>
      <c r="AA89" t="inlineStr">
        <is>
          <t>chenyiyi5@mail.sysu.edu.cn; zhangx728@mail2.sysu.edu.cn; geograik@gmail.com; huangyling25@mail2.sysu.edu.cn; huaflin@mail2.sysu.edu.cn; panzehan@fudan.edu.cn; liuye25@mail.sysu.edu.cn</t>
        </is>
      </c>
      <c r="AB89" t="inlineStr">
        <is>
          <t>Liu, Ye/J-2787-2019</t>
        </is>
      </c>
      <c r="AC89" t="inlineStr">
        <is>
          <t>Liu, Ye/0000-0003-2511-5413</t>
        </is>
      </c>
      <c r="AD89" t="inlineStr">
        <is>
          <t>National Natural Science Founda- tion of China [42201203, 42171196]; Fundamental Research Funds for the Central Universities [20lgzd10]; Program for Guangdong Introducing Innovative and Enterpreneurial Teams [2017ZT07X355]</t>
        </is>
      </c>
      <c r="AE89" t="inlineStr">
        <is>
          <t>National Natural Science Founda- tion of China(National Natural Science Foundation of China (NSFC)); Fundamental Research Funds for the Central Universities(Fundamental Research Funds for the Central Universities); Program for Guangdong Introducing Innovative and Enterpreneurial Teams</t>
        </is>
      </c>
      <c r="AF89" t="inlineStr">
        <is>
          <t>Funding This research was funded by the National Natural Science Founda- tion of China (No.42201203; 42171196) ; the Fundamental Research Funds for the Central Universities (20lgzd10) ; and the Program for Guangdong Introducing Innovative and Enterpreneurial Teams (2017ZT07X355) .</t>
        </is>
      </c>
      <c r="AH89" t="n">
        <v>58</v>
      </c>
      <c r="AI89" t="n">
        <v>1</v>
      </c>
      <c r="AJ89" t="n">
        <v>1</v>
      </c>
      <c r="AK89" t="n">
        <v>18</v>
      </c>
      <c r="AL89" t="n">
        <v>18</v>
      </c>
      <c r="AM89" t="inlineStr">
        <is>
          <t>ELSEVIER SCI LTD</t>
        </is>
      </c>
      <c r="AN89" t="inlineStr">
        <is>
          <t>OXFORD</t>
        </is>
      </c>
      <c r="AO89" t="inlineStr">
        <is>
          <t>THE BOULEVARD, LANGFORD LANE, KIDLINGTON, OXFORD OX5 1GB, OXON, ENGLAND</t>
        </is>
      </c>
      <c r="AP89" t="inlineStr">
        <is>
          <t>0959-6526</t>
        </is>
      </c>
      <c r="AQ89" t="inlineStr">
        <is>
          <t>1879-1786</t>
        </is>
      </c>
      <c r="AS89" t="inlineStr">
        <is>
          <t>J CLEAN PROD</t>
        </is>
      </c>
      <c r="AT89" t="inlineStr">
        <is>
          <t>J. Clean Prod.</t>
        </is>
      </c>
      <c r="AU89" t="inlineStr">
        <is>
          <t>AUG 10</t>
        </is>
      </c>
      <c r="AV89" t="n">
        <v>2023</v>
      </c>
      <c r="AW89" t="n">
        <v>413</v>
      </c>
      <c r="BE89" t="n">
        <v>137432</v>
      </c>
      <c r="BF89" t="inlineStr">
        <is>
          <t>10.1016/j.jclepro.2023.137432</t>
        </is>
      </c>
      <c r="BG89">
        <f>HYPERLINK("http://dx.doi.org/10.1016/j.jclepro.2023.137432","http://dx.doi.org/10.1016/j.jclepro.2023.137432")</f>
        <v/>
      </c>
      <c r="BI89" t="inlineStr">
        <is>
          <t>MAY 2023</t>
        </is>
      </c>
      <c r="BJ89" t="n">
        <v>11</v>
      </c>
      <c r="BK89" t="inlineStr">
        <is>
          <t>Green &amp; Sustainable Science &amp; Technology; Engineering, Environmental; Environmental Sciences</t>
        </is>
      </c>
      <c r="BL89" t="inlineStr">
        <is>
          <t>Science Citation Index Expanded (SCI-EXPANDED)</t>
        </is>
      </c>
      <c r="BM89" t="inlineStr">
        <is>
          <t>Science &amp; Technology - Other Topics; Engineering; Environmental Sciences &amp; Ecology</t>
        </is>
      </c>
      <c r="BN89" t="inlineStr">
        <is>
          <t>J6ZB5</t>
        </is>
      </c>
      <c r="BS89" t="inlineStr">
        <is>
          <t>2023-10-26</t>
        </is>
      </c>
      <c r="BT89" t="inlineStr">
        <is>
          <t>WOS:001011071500001</t>
        </is>
      </c>
      <c r="BU89">
        <f>HYPERLINK("https%3A%2F%2Fwww.webofscience.com%2Fwos%2Fwoscc%2Ffull-record%2FWOS:001011071500001","View Full Record in Web of Science")</f>
        <v/>
      </c>
    </row>
    <row r="90">
      <c r="A90" t="inlineStr">
        <is>
          <t>J</t>
        </is>
      </c>
      <c r="B90" t="inlineStr">
        <is>
          <t>Lin, JS; Chan, FYF; Leung, J; Yu, B; Lu, ZH; Woo, J; Kwok, T; Lau, KKL</t>
        </is>
      </c>
      <c r="F90" t="inlineStr">
        <is>
          <t>Lin, Jie-Sheng; Chan, Faye Ya-Fen; Leung, Jason; Yu, Blanche; Lu, Zhi-Hui; Woo, Jean; Kwok, Timothy; Lau, Kevin Ka-Lun</t>
        </is>
      </c>
      <c r="J90" t="inlineStr">
        <is>
          <t>INTERNATIONAL JOURNAL OF ENVIRONMENTAL RESEARCH AND PUBLIC HEALTH</t>
        </is>
      </c>
      <c r="M90" t="inlineStr">
        <is>
          <t>English</t>
        </is>
      </c>
      <c r="N90" t="inlineStr">
        <is>
          <t>Article</t>
        </is>
      </c>
      <c r="T90" t="inlineStr">
        <is>
          <t>Longitudinal Association of Built Environment Pattern with Physical Activity in a Community-Based Cohort of Elderly Hong Kong Chinese: A Latent Profile Analysis</t>
        </is>
      </c>
      <c r="U90" t="inlineStr">
        <is>
          <t>built environment; built environment pattern; physical activity; latent profile analysis; cohort study</t>
        </is>
      </c>
      <c r="V90" t="inlineStr">
        <is>
          <t>ACTIVITY SCALE; OLDER-ADULTS; NEIGHBORHOOD ENVIRONMENT; RECREATION ENVIRONMENTS; SEDENTARY BEHAVIOR; MR. OS; PASE; WALKABILITY; RELIABILITY; PREVALENCE</t>
        </is>
      </c>
      <c r="W90" t="inlineStr">
        <is>
          <t>A large number of studies have focused on the associations between single built environment (BE) characteristics and physical activity (PA). Combinations of BE characteristics offer a more comprehensive approach to identify the BE-PA associations. We aimed to examine the BE-PA associations in a cohort of elderly Hong Kong Chinese. Between 2001 and 2003, 3944 participants (65-98 years of age) were recruited and followed for a mean of 7.8 years. BE characteristics were assessed via geographic information system. PA levels were obtained using the Physical Activity Scale for the Elderly questionnaire at baseline and three follow-ups. Latent profile analysis was first conducted to classify the BE characteristics, and linear mixed-effects models were then used to explore the longitudinal associations between the BE classes and changes in the PA levels. Three classes of BE were identified. Class 3 (characterized by greater green space and sky view factor) demonstrated a significant decline in household PA (beta = -1.26, 95% confidence interval: -2.20, -0.33) during the study period, and a slower decline in walking PA (1.19 (0.42, 1.95)) compared with Class 2 (characterized by a greater proportion of residential land use). Our results indicate that BE patterns characterized by high green space and a sky view factor may help promote the walking PA level.</t>
        </is>
      </c>
      <c r="X90" t="inlineStr">
        <is>
          <t>[Lin, Jie-Sheng; Chan, Faye Ya-Fen; Lau, Kevin Ka-Lun] Chinese Univ Hong Kong, Inst Future Cities, Hong Kong 99077, Peoples R China; [Leung, Jason; Yu, Blanche; Kwok, Timothy] Chinese Univ Hong Kong, Jockey Club Ctr Osteoporosis Care &amp; Control, Hong Kong 99077, Peoples R China; [Yu, Blanche; Lu, Zhi-Hui; Woo, Jean; Kwok, Timothy] Chinese Univ Hong Kong, Fac Med, Dept Med &amp; Therapeut, Hong Kong 99077, Peoples R China; [Woo, Jean; Lau, Kevin Ka-Lun] Chinese Univ Hong Kong, CUHK Jockey Club Inst Ageing, Hong Kong 99077, Peoples R China</t>
        </is>
      </c>
      <c r="Y90" t="inlineStr">
        <is>
          <t>Chinese University of Hong Kong; Chinese University of Hong Kong; Chinese University of Hong Kong; Chinese University of Hong Kong</t>
        </is>
      </c>
      <c r="Z90" t="inlineStr">
        <is>
          <t>Lin, JS; Lau, KKL (corresponding author), Chinese Univ Hong Kong, Inst Future Cities, Hong Kong 99077, Peoples R China.;Lau, KKL (corresponding author), Chinese Univ Hong Kong, CUHK Jockey Club Inst Ageing, Hong Kong 99077, Peoples R China.</t>
        </is>
      </c>
      <c r="AA90" t="inlineStr">
        <is>
          <t>linjsh6@mail3.sysu.edu.cn; yfchan@cuhk.edu.hk; jason-leung@cuhk.edu.hk; blancheyu@cuhk.edu.hk; anjolu@cuhk.edu.hk; jeanwoowong@cuhk.edu.hk; tkwok@cuhk.edu.hk; kevinlau@cuhk.edu.hk</t>
        </is>
      </c>
      <c r="AB90" t="inlineStr">
        <is>
          <t>Lau, KL/IXX-1078-2023; Woo, Jean/K-2625-2014; Kwok, Timothy/C-3725-2008</t>
        </is>
      </c>
      <c r="AC90" t="inlineStr">
        <is>
          <t>Woo, Jean/0000-0001-7593-3081; Kwok, Timothy/0000-0001-9253-3549; Leung, Jason/0000-0003-3382-9096; Lu, Zhihui/0000-0001-7968-6313</t>
        </is>
      </c>
      <c r="AD90" t="inlineStr">
        <is>
          <t>Chinese University of Hong Kong [4930785]; Faculty of Social Science, the hinese University of Hong Kong [4052187]; World Universities Network Research Development Fund 2018</t>
        </is>
      </c>
      <c r="AE90" t="inlineStr">
        <is>
          <t>Chinese University of Hong Kong(Chinese University of Hong Kong); Faculty of Social Science, the hinese University of Hong Kong; World Universities Network Research Development Fund 2018</t>
        </is>
      </c>
      <c r="AF90" t="inlineStr">
        <is>
          <t>This research was funded by the Vice-Chancellor's One-off Discretionary Fund of the Chinese University of Hong Kong (No.: 4930785) and the Direct Grant for Research 2017/18 of the Faculty of Social Science, the hinese University of Hong Kong (No.: 4052187). It is also partially supported by theWorld Universities Network Research Development Fund 2018. The funder had no role in study design, data collection and analysis, decision to publish, or preparation of the manuscript.</t>
        </is>
      </c>
      <c r="AH90" t="n">
        <v>52</v>
      </c>
      <c r="AI90" t="n">
        <v>9</v>
      </c>
      <c r="AJ90" t="n">
        <v>10</v>
      </c>
      <c r="AK90" t="n">
        <v>4</v>
      </c>
      <c r="AL90" t="n">
        <v>24</v>
      </c>
      <c r="AM90" t="inlineStr">
        <is>
          <t>MDPI</t>
        </is>
      </c>
      <c r="AN90" t="inlineStr">
        <is>
          <t>BASEL</t>
        </is>
      </c>
      <c r="AO90" t="inlineStr">
        <is>
          <t>ST ALBAN-ANLAGE 66, CH-4052 BASEL, SWITZERLAND</t>
        </is>
      </c>
      <c r="AQ90" t="inlineStr">
        <is>
          <t>1660-4601</t>
        </is>
      </c>
      <c r="AS90" t="inlineStr">
        <is>
          <t>INT J ENV RES PUB HE</t>
        </is>
      </c>
      <c r="AT90" t="inlineStr">
        <is>
          <t>Int. J. Environ. Res. Public Health</t>
        </is>
      </c>
      <c r="AU90" t="inlineStr">
        <is>
          <t>JUN</t>
        </is>
      </c>
      <c r="AV90" t="n">
        <v>2020</v>
      </c>
      <c r="AW90" t="n">
        <v>17</v>
      </c>
      <c r="AX90" t="n">
        <v>12</v>
      </c>
      <c r="BE90" t="n">
        <v>4275</v>
      </c>
      <c r="BF90" t="inlineStr">
        <is>
          <t>10.3390/ijerph17124275</t>
        </is>
      </c>
      <c r="BG90">
        <f>HYPERLINK("http://dx.doi.org/10.3390/ijerph17124275","http://dx.doi.org/10.3390/ijerph17124275")</f>
        <v/>
      </c>
      <c r="BJ90" t="n">
        <v>15</v>
      </c>
      <c r="BK90" t="inlineStr">
        <is>
          <t>Environmental Sciences; Public, Environmental &amp; Occupational Health</t>
        </is>
      </c>
      <c r="BL90" t="inlineStr">
        <is>
          <t>Science Citation Index Expanded (SCI-EXPANDED); Social Science Citation Index (SSCI)</t>
        </is>
      </c>
      <c r="BM90" t="inlineStr">
        <is>
          <t>Environmental Sciences &amp; Ecology; Public, Environmental &amp; Occupational Health</t>
        </is>
      </c>
      <c r="BN90" t="inlineStr">
        <is>
          <t>ML6GH</t>
        </is>
      </c>
      <c r="BO90" t="n">
        <v>32549289</v>
      </c>
      <c r="BP90" t="inlineStr">
        <is>
          <t>Green Published, gold</t>
        </is>
      </c>
      <c r="BS90" t="inlineStr">
        <is>
          <t>2023-10-26</t>
        </is>
      </c>
      <c r="BT90" t="inlineStr">
        <is>
          <t>WOS:000549561600001</t>
        </is>
      </c>
      <c r="BU90">
        <f>HYPERLINK("https%3A%2F%2Fwww.webofscience.com%2Fwos%2Fwoscc%2Ffull-record%2FWOS:000549561600001","View Full Record in Web of Science")</f>
        <v/>
      </c>
    </row>
    <row r="91">
      <c r="A91" t="inlineStr">
        <is>
          <t>J</t>
        </is>
      </c>
      <c r="B91" t="inlineStr">
        <is>
          <t>Roberts, JD; Rodkey, L; Grisham, C; Ray, R</t>
        </is>
      </c>
      <c r="F91" t="inlineStr">
        <is>
          <t>Roberts, Jennifer D.; Rodkey, Lindsey; Grisham, Cortney; Ray, Rashawn</t>
        </is>
      </c>
      <c r="J91" t="inlineStr">
        <is>
          <t>INTERNATIONAL JOURNAL OF ENVIRONMENTAL RESEARCH AND PUBLIC HEALTH</t>
        </is>
      </c>
      <c r="M91" t="inlineStr">
        <is>
          <t>English</t>
        </is>
      </c>
      <c r="N91" t="inlineStr">
        <is>
          <t>Article</t>
        </is>
      </c>
      <c r="T91" t="inlineStr">
        <is>
          <t>The Influence of Family Dog Ownership and Parental Perceived Built Environment Measures on Children's Physical Activity within the Washington, DC Area</t>
        </is>
      </c>
      <c r="U91" t="inlineStr">
        <is>
          <t>dog ownership; physical activity; parental perception; built environment</t>
        </is>
      </c>
      <c r="V91" t="inlineStr">
        <is>
          <t>WALKING; PLAY; ADOLESCENTS; BEHAVIOR; HEALTH</t>
        </is>
      </c>
      <c r="W91" t="inlineStr">
        <is>
          <t>Sedentary behavior and physical inactivity are significant contributors to youth obesity in the United States. Neighborhood dog walking is an outlet for physical activity (PA). Therefore, understanding the relationship between built environment, dog ownership, and youth PA is essential. This study examined the influence of dog ownership and parental built environment perceptions on children's PA in the Washington, D.C. area. In 2014, questionnaires were mailed to 2000 parents to assess family dog ownership; children's outdoor dog walking or playing; and parental perceived built environment measures. Chi-square analyses examined differences in parental perceived built environment measures between children with and without family dogs. The sample included 144 children (50% female; average-age 9.7 years; 56.3% White; 23.7% African-American; 10.4% Asian-American; 29.9% owned dog). Only 13% and 5.6% of the children walked or played outdoors with the dog daily, respectively. A significantly greater proportion (p-value &lt; 0.05) of parents who owned dogs recognized and observed some home built environment measures (e.g., traffic speed on most streets is 30 mph or less) that were PA -promoting for their children. Findings suggest that dog ownership may provide more positive parental perceptions of the neighborhood built environment, which supports children's outdoor PA through dog walking and playing.</t>
        </is>
      </c>
      <c r="X91" t="inlineStr">
        <is>
          <t>[Roberts, Jennifer D.; Rodkey, Lindsey] Univ Maryland, Sch Publ Hlth, Dept Kinesiol, College Pk, MD 20742 USA; [Grisham, Cortney] Austin Peay State Univ, Coll Sci &amp; Math, Clarksville, TN 37044 USA; [Ray, Rashawn] Univ Maryland, Dept Sociol, College Pk, MD 20742 USA</t>
        </is>
      </c>
      <c r="Y91" t="inlineStr">
        <is>
          <t>University System of Maryland; University of Maryland College Park; Austin Peay State University; University System of Maryland; University of Maryland College Park</t>
        </is>
      </c>
      <c r="Z91" t="inlineStr">
        <is>
          <t>Roberts, JD (corresponding author), Univ Maryland, Sch Publ Hlth, Dept Kinesiol, College Pk, MD 20742 USA.</t>
        </is>
      </c>
      <c r="AA91" t="inlineStr">
        <is>
          <t>jenrob@umd.edu; lmrodkey@umd.edu; cgrisham1@my.apsu.edu; rjray@umd.edu</t>
        </is>
      </c>
      <c r="AB91" t="inlineStr">
        <is>
          <t>Ray, Rashawn/AAC-6288-2019</t>
        </is>
      </c>
      <c r="AD91" t="inlineStr">
        <is>
          <t>Uniformed Services University of the Health Sciences intramural start-up grant; University of Maryland start-up grant for newly appointed faculty</t>
        </is>
      </c>
      <c r="AE91" t="inlineStr">
        <is>
          <t>Uniformed Services University of the Health Sciences intramural start-up grant; University of Maryland start-up grant for newly appointed faculty</t>
        </is>
      </c>
      <c r="AF91" t="inlineStr">
        <is>
          <t>A Uniformed Services University of the Health Sciences intramural start-up grant and University of Maryland start-up grant for newly appointed faculty provided funding for this study.</t>
        </is>
      </c>
      <c r="AH91" t="n">
        <v>18</v>
      </c>
      <c r="AI91" t="n">
        <v>4</v>
      </c>
      <c r="AJ91" t="n">
        <v>4</v>
      </c>
      <c r="AK91" t="n">
        <v>1</v>
      </c>
      <c r="AL91" t="n">
        <v>11</v>
      </c>
      <c r="AM91" t="inlineStr">
        <is>
          <t>MDPI AG</t>
        </is>
      </c>
      <c r="AN91" t="inlineStr">
        <is>
          <t>BASEL</t>
        </is>
      </c>
      <c r="AO91" t="inlineStr">
        <is>
          <t>ST ALBAN-ANLAGE 66, CH-4052 BASEL, SWITZERLAND</t>
        </is>
      </c>
      <c r="AP91" t="inlineStr">
        <is>
          <t>1660-4601</t>
        </is>
      </c>
      <c r="AS91" t="inlineStr">
        <is>
          <t>INT J ENV RES PUB HE</t>
        </is>
      </c>
      <c r="AT91" t="inlineStr">
        <is>
          <t>Int. J. Environ. Res. Public Health</t>
        </is>
      </c>
      <c r="AU91" t="inlineStr">
        <is>
          <t>NOV</t>
        </is>
      </c>
      <c r="AV91" t="n">
        <v>2017</v>
      </c>
      <c r="AW91" t="n">
        <v>14</v>
      </c>
      <c r="AX91" t="n">
        <v>11</v>
      </c>
      <c r="BE91" t="n">
        <v>1398</v>
      </c>
      <c r="BF91" t="inlineStr">
        <is>
          <t>10.3390/ijerph14111398</t>
        </is>
      </c>
      <c r="BG91">
        <f>HYPERLINK("http://dx.doi.org/10.3390/ijerph14111398","http://dx.doi.org/10.3390/ijerph14111398")</f>
        <v/>
      </c>
      <c r="BJ91" t="n">
        <v>11</v>
      </c>
      <c r="BK91" t="inlineStr">
        <is>
          <t>Environmental Sciences; Public, Environmental &amp; Occupational Health</t>
        </is>
      </c>
      <c r="BL91" t="inlineStr">
        <is>
          <t>Science Citation Index Expanded (SCI-EXPANDED); Social Science Citation Index (SSCI)</t>
        </is>
      </c>
      <c r="BM91" t="inlineStr">
        <is>
          <t>Environmental Sciences &amp; Ecology; Public, Environmental &amp; Occupational Health</t>
        </is>
      </c>
      <c r="BN91" t="inlineStr">
        <is>
          <t>FO1SQ</t>
        </is>
      </c>
      <c r="BO91" t="n">
        <v>29144433</v>
      </c>
      <c r="BP91" t="inlineStr">
        <is>
          <t>Green Published, gold, Green Submitted</t>
        </is>
      </c>
      <c r="BS91" t="inlineStr">
        <is>
          <t>2023-10-26</t>
        </is>
      </c>
      <c r="BT91" t="inlineStr">
        <is>
          <t>WOS:000416545200114</t>
        </is>
      </c>
      <c r="BU91">
        <f>HYPERLINK("https%3A%2F%2Fwww.webofscience.com%2Fwos%2Fwoscc%2Ffull-record%2FWOS:000416545200114","View Full Record in Web of Science")</f>
        <v/>
      </c>
    </row>
    <row r="92">
      <c r="A92" t="inlineStr">
        <is>
          <t>J</t>
        </is>
      </c>
      <c r="B92" t="inlineStr">
        <is>
          <t>Lo, BK; Morgan, EH; Folta, SC; Graham, ML; Paul, LC; Nelson, ME; Jew, NV; Moffat, LF; Seguin, RA</t>
        </is>
      </c>
      <c r="F92" t="inlineStr">
        <is>
          <t>Lo, Brian K.; Morgan, Emily H.; Folta, Sara C.; Graham, Meredith L.; Paul, Lynn C.; Nelson, Miriam E.; Jew, Nicolette V.; Moffat, Laurel F.; Seguin, Rebecca A.</t>
        </is>
      </c>
      <c r="J92" t="inlineStr">
        <is>
          <t>INTERNATIONAL JOURNAL OF ENVIRONMENTAL RESEARCH AND PUBLIC HEALTH</t>
        </is>
      </c>
      <c r="M92" t="inlineStr">
        <is>
          <t>English</t>
        </is>
      </c>
      <c r="N92" t="inlineStr">
        <is>
          <t>Article</t>
        </is>
      </c>
      <c r="T92" t="inlineStr">
        <is>
          <t>Environmental Influences on Physical Activity among Rural Adults in Montana, United States: Views from Built Environment Audits, Resident Focus Groups, and Key Informant Interviews</t>
        </is>
      </c>
      <c r="U92" t="inlineStr">
        <is>
          <t>physical activity; rural health; triangulation; mixed methods; built environment; obesity; prevention</t>
        </is>
      </c>
      <c r="V92" t="inlineStr">
        <is>
          <t>OBESITY; INTERVENTIONS; EXERCISE; BARRIERS</t>
        </is>
      </c>
      <c r="W92" t="inlineStr">
        <is>
          <t>Rural populations in the United States have lower physical activity levels and are at a higher risk of being overweight and suffering from obesity than their urban counterparts. This paper aimed to understand the environmental factors that influence physical activity among rural adults in Montana. Eight built environment audits, 15 resident focus groups, and 24 key informant interviews were conducted between August and December 2014. Themes were triangulated and summarized into five categories of environmental factors: built, social, organizational, policy, and natural environments. Although the existence of active living features was documented by environmental audits, residents and key informants agreed that additional indoor recreation facilities and more well-maintained and conveniently located options were needed. Residents and key informants also agreed on the importance of age-specific, well-promoted, and structured physical activity programs, offered in socially supportive environments, as facilitators to physical activity. Key informants, however, noted that funding constraints and limited political will were barriers to developing these opportunities. Since building new recreational facilities and structures to support active transportation pose resource challenges, especially for rural communities, our results suggest that enhancing existing features, making small improvements, and involving stakeholders in the city planning process would be more fruitful to build momentum towards larger changes.</t>
        </is>
      </c>
      <c r="X92" t="inlineStr">
        <is>
          <t>[Lo, Brian K.; Morgan, Emily H.; Graham, Meredith L.; Jew, Nicolette V.; Moffat, Laurel F.; Seguin, Rebecca A.] Cornell Univ, Div Nutr Sci, Ithaca, NY 14850 USA; [Folta, Sara C.] Tufts Univ, Friedman Sch Nutr Sci &amp; Policy, Boston, MA 02111 USA; [Paul, Lynn C.] Montana State Univ, Coll Educ Hlth &amp; Human Dev, Bozeman, MT 59717 USA; [Nelson, Miriam E.] Univ New Hampshire, Sustainabil Inst, Durham, NH 03824 USA</t>
        </is>
      </c>
      <c r="Y92" t="inlineStr">
        <is>
          <t>Cornell University; Tufts University; Montana State University System; Montana State University Bozeman; University System Of New Hampshire; University of New Hampshire</t>
        </is>
      </c>
      <c r="Z92" t="inlineStr">
        <is>
          <t>Seguin, RA (corresponding author), Cornell Univ, Div Nutr Sci, Ithaca, NY 14850 USA.</t>
        </is>
      </c>
      <c r="AA92" t="inlineStr">
        <is>
          <t>bl592@cornell.edu; ehm72@cornell.edu; sara.folta@tufts.edu; mlg22@cornell.edu; lpaul@montana.edu; miriam.nelson@unh.edu; nvj4@cornell.edu; lfm53@cornell.edu; rs946@cornell.edu</t>
        </is>
      </c>
      <c r="AC92" t="inlineStr">
        <is>
          <t>Graham, Meredith/0000-0001-8989-1417; Seguin-Fowler, Rebecca/0000-0002-5115-2341</t>
        </is>
      </c>
      <c r="AD92" t="inlineStr">
        <is>
          <t>National Institutes of Health [R01 HL120702]; United States Department of Agriculture, National Institute of Food and Agriculture, Hatch/Multi State [1000905]; Cornell University; NIFA [689182, 1000905] Funding Source: Federal RePORTER</t>
        </is>
      </c>
      <c r="AE92" t="inlineStr">
        <is>
          <t>National Institutes of Health(United States Department of Health &amp; Human ServicesNational Institutes of Health (NIH) - USA); United States Department of Agriculture, National Institute of Food and Agriculture, Hatch/Multi State; Cornell University; NIFA(United States Department of Agriculture (USDA)National Institute of Food and Agriculture)</t>
        </is>
      </c>
      <c r="AF92" t="inlineStr">
        <is>
          <t>We are grateful to the residents who participated in our focus groups, the key informants who participated in the interviews, the extension agents from Montana State University (MSU) that recruited them, and Anna Diffenderfer (MSU), Galen Eldridge (MSU), Leah Connor (Cornell), Judy Ward (Cornell), and Rosario Donoso (Cornell) for their work and contributions to this research. This work was supported by the National Institutes of Health (R01 HL120702) and the United States Department of Agriculture, National Institute of Food and Agriculture, Hatch/Multi State (1000905). Publication fees were sponsored by Cornell University.</t>
        </is>
      </c>
      <c r="AH92" t="n">
        <v>38</v>
      </c>
      <c r="AI92" t="n">
        <v>23</v>
      </c>
      <c r="AJ92" t="n">
        <v>23</v>
      </c>
      <c r="AK92" t="n">
        <v>0</v>
      </c>
      <c r="AL92" t="n">
        <v>21</v>
      </c>
      <c r="AM92" t="inlineStr">
        <is>
          <t>MDPI</t>
        </is>
      </c>
      <c r="AN92" t="inlineStr">
        <is>
          <t>BASEL</t>
        </is>
      </c>
      <c r="AO92" t="inlineStr">
        <is>
          <t>ST ALBAN-ANLAGE 66, CH-4052 BASEL, SWITZERLAND</t>
        </is>
      </c>
      <c r="AQ92" t="inlineStr">
        <is>
          <t>1660-4601</t>
        </is>
      </c>
      <c r="AS92" t="inlineStr">
        <is>
          <t>INT J ENV RES PUB HE</t>
        </is>
      </c>
      <c r="AT92" t="inlineStr">
        <is>
          <t>Int. J. Environ. Res. Public Health</t>
        </is>
      </c>
      <c r="AU92" t="inlineStr">
        <is>
          <t>OCT</t>
        </is>
      </c>
      <c r="AV92" t="n">
        <v>2017</v>
      </c>
      <c r="AW92" t="n">
        <v>14</v>
      </c>
      <c r="AX92" t="n">
        <v>10</v>
      </c>
      <c r="BE92" t="n">
        <v>1173</v>
      </c>
      <c r="BF92" t="inlineStr">
        <is>
          <t>10.3390/ijerph14101173</t>
        </is>
      </c>
      <c r="BG92">
        <f>HYPERLINK("http://dx.doi.org/10.3390/ijerph14101173","http://dx.doi.org/10.3390/ijerph14101173")</f>
        <v/>
      </c>
      <c r="BJ92" t="n">
        <v>13</v>
      </c>
      <c r="BK92" t="inlineStr">
        <is>
          <t>Environmental Sciences; Public, Environmental &amp; Occupational Health</t>
        </is>
      </c>
      <c r="BL92" t="inlineStr">
        <is>
          <t>Science Citation Index Expanded (SCI-EXPANDED); Social Science Citation Index (SSCI)</t>
        </is>
      </c>
      <c r="BM92" t="inlineStr">
        <is>
          <t>Environmental Sciences &amp; Ecology; Public, Environmental &amp; Occupational Health</t>
        </is>
      </c>
      <c r="BN92" t="inlineStr">
        <is>
          <t>FM1TF</t>
        </is>
      </c>
      <c r="BO92" t="n">
        <v>28976926</v>
      </c>
      <c r="BP92" t="inlineStr">
        <is>
          <t>Green Published, Green Submitted, gold</t>
        </is>
      </c>
      <c r="BS92" t="inlineStr">
        <is>
          <t>2023-10-26</t>
        </is>
      </c>
      <c r="BT92" t="inlineStr">
        <is>
          <t>WOS:000414763200082</t>
        </is>
      </c>
      <c r="BU92">
        <f>HYPERLINK("https%3A%2F%2Fwww.webofscience.com%2Fwos%2Fwoscc%2Ffull-record%2FWOS:000414763200082","View Full Record in Web of Science")</f>
        <v/>
      </c>
    </row>
    <row r="93">
      <c r="A93" t="inlineStr">
        <is>
          <t>J</t>
        </is>
      </c>
      <c r="B93" t="inlineStr">
        <is>
          <t>Travert, AS; Annerstedt, KS; Daivadanam, M</t>
        </is>
      </c>
      <c r="F93" t="inlineStr">
        <is>
          <t>Travert, Anne-Sophie; Annerstedt, Kristi Sidney; Daivadanam, Meena</t>
        </is>
      </c>
      <c r="J93" t="inlineStr">
        <is>
          <t>INTERNATIONAL JOURNAL OF ENVIRONMENTAL RESEARCH AND PUBLIC HEALTH</t>
        </is>
      </c>
      <c r="M93" t="inlineStr">
        <is>
          <t>English</t>
        </is>
      </c>
      <c r="N93" t="inlineStr">
        <is>
          <t>Review</t>
        </is>
      </c>
      <c r="T93" t="inlineStr">
        <is>
          <t>Built Environment and Health Behaviors: Deconstructing the Black Box of InteractionsA Review of Reviews</t>
        </is>
      </c>
      <c r="U93" t="inlineStr">
        <is>
          <t>built environment; physical activity; diet; behavior; interaction; scoping review; review</t>
        </is>
      </c>
      <c r="V93" t="inlineStr">
        <is>
          <t>PHYSICAL-ACTIVITY; CONCEPTUAL-FRAMEWORK; FOOD ENVIRONMENTS; PUBLIC-HEALTH; OBESITY; ADULTS; CHILDREN; ADOLESCENTS; ATTRIBUTES; DISABILITY</t>
        </is>
      </c>
      <c r="W93" t="inlineStr">
        <is>
          <t>A review of reviews following a scoping review study design was conducted in order to deconstruct the black box of interactions between the built environment and human behaviors pertaining to physical activity and/or diet. In the qualitative analysis 107 records were included, 45 of which were also coded. Most review papers confirmed the influence of the built environment on the behaviors of interest with some noting that a same built environment feature could have different behavioral outcomes. The conceptual model developed sheds light on these mixed results and brings out the role of several personal and behavioral factors in the shift from the measured to the perceived built environment. This shift was found to shape individuals' behaviors critically and to have the power of redefining the strength of every interaction. Apart from its theoretical relevance, this model has high practical relevance especially for the design and implementation of interventions with a behavioral component. Intervention researchers can use the model developed to identify and label the built environment and individual factors that can be measured objectively or perceived as facilitators, concurrent options and barriers, in order to develop comprehensive and multi-component intervention strategies.</t>
        </is>
      </c>
      <c r="X93" t="inlineStr">
        <is>
          <t>[Travert, Anne-Sophie] Sci Po, Sch Publ Affairs, F-75007 Paris, France; [Travert, Anne-Sophie; Annerstedt, Kristi Sidney; Daivadanam, Meena] Karolinska Inst, Dept Publ Hlth Sci, S-17177 Stockholm, Sweden; [Daivadanam, Meena] Uppsala Univ, Dept Food Studies Nutr &amp; Dietet, S-75122 Uppsala, Sweden</t>
        </is>
      </c>
      <c r="Y93" t="inlineStr">
        <is>
          <t>Institut d'Etudes Politiques Paris (Sciences Po); Karolinska Institutet; Uppsala University</t>
        </is>
      </c>
      <c r="Z93" t="inlineStr">
        <is>
          <t>Daivadanam, M (corresponding author), Karolinska Inst, Dept Publ Hlth Sci, S-17177 Stockholm, Sweden.;Daivadanam, M (corresponding author), Uppsala Univ, Dept Food Studies Nutr &amp; Dietet, S-75122 Uppsala, Sweden.</t>
        </is>
      </c>
      <c r="AA93" t="inlineStr">
        <is>
          <t>annesophie.travert@sciencespo.fr; kristi.sidney@ki.se; meena.daivadanam@ikv.uu.se</t>
        </is>
      </c>
      <c r="AB93" t="inlineStr">
        <is>
          <t>Annerstedt, Kristi/AAJ-8678-2020; Daivadanam, Meena/F-1747-2018</t>
        </is>
      </c>
      <c r="AC93" t="inlineStr">
        <is>
          <t>Annerstedt, Kristi/0000-0002-8798-4027; Daivadanam, Meena/0000-0002-9532-6059; Travert, Anne-Sophie/0000-0001-8694-2960</t>
        </is>
      </c>
      <c r="AH93" t="n">
        <v>69</v>
      </c>
      <c r="AI93" t="n">
        <v>28</v>
      </c>
      <c r="AJ93" t="n">
        <v>29</v>
      </c>
      <c r="AK93" t="n">
        <v>3</v>
      </c>
      <c r="AL93" t="n">
        <v>51</v>
      </c>
      <c r="AM93" t="inlineStr">
        <is>
          <t>MDPI</t>
        </is>
      </c>
      <c r="AN93" t="inlineStr">
        <is>
          <t>BASEL</t>
        </is>
      </c>
      <c r="AO93" t="inlineStr">
        <is>
          <t>ST ALBAN-ANLAGE 66, CH-4052 BASEL, SWITZERLAND</t>
        </is>
      </c>
      <c r="AQ93" t="inlineStr">
        <is>
          <t>1660-4601</t>
        </is>
      </c>
      <c r="AS93" t="inlineStr">
        <is>
          <t>INT J ENV RES PUB HE</t>
        </is>
      </c>
      <c r="AT93" t="inlineStr">
        <is>
          <t>Int. J. Environ. Res. Public Health</t>
        </is>
      </c>
      <c r="AU93" t="inlineStr">
        <is>
          <t>APR 2</t>
        </is>
      </c>
      <c r="AV93" t="n">
        <v>2019</v>
      </c>
      <c r="AW93" t="n">
        <v>16</v>
      </c>
      <c r="AX93" t="n">
        <v>8</v>
      </c>
      <c r="BE93" t="n">
        <v>1454</v>
      </c>
      <c r="BF93" t="inlineStr">
        <is>
          <t>10.3390/ijerph16081454</t>
        </is>
      </c>
      <c r="BG93">
        <f>HYPERLINK("http://dx.doi.org/10.3390/ijerph16081454","http://dx.doi.org/10.3390/ijerph16081454")</f>
        <v/>
      </c>
      <c r="BJ93" t="n">
        <v>19</v>
      </c>
      <c r="BK93" t="inlineStr">
        <is>
          <t>Environmental Sciences; Public, Environmental &amp; Occupational Health</t>
        </is>
      </c>
      <c r="BL93" t="inlineStr">
        <is>
          <t>Science Citation Index Expanded (SCI-EXPANDED); Social Science Citation Index (SSCI)</t>
        </is>
      </c>
      <c r="BM93" t="inlineStr">
        <is>
          <t>Environmental Sciences &amp; Ecology; Public, Environmental &amp; Occupational Health</t>
        </is>
      </c>
      <c r="BN93" t="inlineStr">
        <is>
          <t>HX9RX</t>
        </is>
      </c>
      <c r="BO93" t="n">
        <v>31022911</v>
      </c>
      <c r="BP93" t="inlineStr">
        <is>
          <t>Green Published, Green Submitted, gold</t>
        </is>
      </c>
      <c r="BS93" t="inlineStr">
        <is>
          <t>2023-10-26</t>
        </is>
      </c>
      <c r="BT93" t="inlineStr">
        <is>
          <t>WOS:000467747100147</t>
        </is>
      </c>
      <c r="BU93">
        <f>HYPERLINK("https%3A%2F%2Fwww.webofscience.com%2Fwos%2Fwoscc%2Ffull-record%2FWOS:000467747100147","View Full Record in Web of Science")</f>
        <v/>
      </c>
    </row>
    <row r="94">
      <c r="A94" t="inlineStr">
        <is>
          <t>J</t>
        </is>
      </c>
      <c r="B94" t="inlineStr">
        <is>
          <t>Laatikainen, TE; Haybatollahi, M; Kyttä, M</t>
        </is>
      </c>
      <c r="F94" t="inlineStr">
        <is>
          <t>Laatikainen, Tiina E.; Haybatollahi, Mohammad; Kytta, Marketta</t>
        </is>
      </c>
      <c r="J94" t="inlineStr">
        <is>
          <t>INTERNATIONAL JOURNAL OF ENVIRONMENTAL RESEARCH AND PUBLIC HEALTH</t>
        </is>
      </c>
      <c r="M94" t="inlineStr">
        <is>
          <t>English</t>
        </is>
      </c>
      <c r="N94" t="inlineStr">
        <is>
          <t>Article</t>
        </is>
      </c>
      <c r="T94" t="inlineStr">
        <is>
          <t>Environmental, Individual and Personal Goal Influences on Older Adults' Walking in the Helsinki Metropolitan Area</t>
        </is>
      </c>
      <c r="U94" t="inlineStr">
        <is>
          <t>walking; active travel; ageing; physical environment; personal projects; activity space; Public Participatory GIS (PPGIS)</t>
        </is>
      </c>
      <c r="V94" t="inlineStr">
        <is>
          <t>PHYSICAL-ACTIVITY; BUILT ENVIRONMENT; NEIGHBORHOOD ENVIRONMENT; PERCEIVED NEIGHBORHOOD; EXERCISE BEHAVIOR; COMMUNITY DESIGN; TRAVEL BEHAVIOR; ACTIVE TRAVEL; PUBLIC-HEALTH; FOLLOW-UP</t>
        </is>
      </c>
      <c r="W94" t="inlineStr">
        <is>
          <t>Physical activity is a fundamental factor in healthy ageing, and the built environment has been linked to individual health outcomes. Understanding the linkages between older adult's walking and the built environment are key to designing supportive environments for active ageing. However, the variety of different spatial scales of human mobility has been largely overlooked in the environmental health research. This study used an online participatory mapping method and a novel modelling of individual activity spaces to study the associations between both the environmental and the individual features and older adults' walking in the environments where older adult's actually move around. Study participants (n = 844) aged 55+ who live in Helsinki Metropolitan Area, Finland reported their everyday errand points on a map and indicated which transport mode they used and how frequently they accessed the places. Respondents walking trips were drawn from the data and the direct and indirect effects of the personal, psychological as well as environmental features on older adults walking were examined. Respondents marked on average, six everyday errand points and walked for transport an average of 20 km per month. Residential density and the density of walkways, public transit stops, intersections and recreational sports places were significantly and positively associated with older adult's walking for transport. Transit stop density was found having the largest direct effect to older adults walking. Built environment had an independent effect on older adults walking regardless of individual demographic or psychological features. Education and personal goals related to physical activities had a direct positive, and income a direct negative, effect on walking. Gender and perceived health had an indirect effect on walking, which was realized through individuals' physical activity goals.</t>
        </is>
      </c>
      <c r="X94" t="inlineStr">
        <is>
          <t>[Laatikainen, Tiina E.; Kytta, Marketta] Aalto Univ, Dept Built Environm, POB 14400, Aalto 00076, Finland; [Haybatollahi, Mohammad] Univ Helsinki, Dept Publ Hlth, FIN-00014 Helsinki, Finland</t>
        </is>
      </c>
      <c r="Y94" t="inlineStr">
        <is>
          <t>Aalto University; University of Helsinki</t>
        </is>
      </c>
      <c r="Z94" t="inlineStr">
        <is>
          <t>Laatikainen, TE (corresponding author), Aalto Univ, Dept Built Environm, POB 14400, Aalto 00076, Finland.</t>
        </is>
      </c>
      <c r="AA94" t="inlineStr">
        <is>
          <t>tiina.laatikainen@aalto.fi; mohammad.haybatollahi@helsinki.fi; marketta.kytta@aalto.fi</t>
        </is>
      </c>
      <c r="AC94" t="inlineStr">
        <is>
          <t>Kytta, Marketta/0000-0001-9969-8194; Haybatollahi, Sayyed M/0000-0001-7400-9727; Rinne, Tiina/0000-0001-8680-2263</t>
        </is>
      </c>
      <c r="AD94" t="inlineStr">
        <is>
          <t>Academy of Finland [13297753]; Opetus- ja Kulttuuriministerio: ActivAGE project</t>
        </is>
      </c>
      <c r="AE94" t="inlineStr">
        <is>
          <t>Academy of Finland(Research Council of Finland); Opetus- ja Kulttuuriministerio: ActivAGE project</t>
        </is>
      </c>
      <c r="AF94" t="inlineStr">
        <is>
          <t>This research was funded by Academy of Finland, grant number 13297753, and Opetus- ja Kulttuuriministerio: ActivAGE project.</t>
        </is>
      </c>
      <c r="AH94" t="n">
        <v>85</v>
      </c>
      <c r="AI94" t="n">
        <v>27</v>
      </c>
      <c r="AJ94" t="n">
        <v>27</v>
      </c>
      <c r="AK94" t="n">
        <v>5</v>
      </c>
      <c r="AL94" t="n">
        <v>31</v>
      </c>
      <c r="AM94" t="inlineStr">
        <is>
          <t>MDPI</t>
        </is>
      </c>
      <c r="AN94" t="inlineStr">
        <is>
          <t>BASEL</t>
        </is>
      </c>
      <c r="AO94" t="inlineStr">
        <is>
          <t>ST ALBAN-ANLAGE 66, CH-4052 BASEL, SWITZERLAND</t>
        </is>
      </c>
      <c r="AQ94" t="inlineStr">
        <is>
          <t>1660-4601</t>
        </is>
      </c>
      <c r="AS94" t="inlineStr">
        <is>
          <t>INT J ENV RES PUB HE</t>
        </is>
      </c>
      <c r="AT94" t="inlineStr">
        <is>
          <t>Int. J. Environ. Res. Public Health</t>
        </is>
      </c>
      <c r="AU94" t="inlineStr">
        <is>
          <t>JAN 1</t>
        </is>
      </c>
      <c r="AV94" t="n">
        <v>2019</v>
      </c>
      <c r="AW94" t="n">
        <v>16</v>
      </c>
      <c r="AX94" t="n">
        <v>1</v>
      </c>
      <c r="BE94" t="n">
        <v>58</v>
      </c>
      <c r="BF94" t="inlineStr">
        <is>
          <t>10.3390/ijerph16010058</t>
        </is>
      </c>
      <c r="BG94">
        <f>HYPERLINK("http://dx.doi.org/10.3390/ijerph16010058","http://dx.doi.org/10.3390/ijerph16010058")</f>
        <v/>
      </c>
      <c r="BJ94" t="n">
        <v>19</v>
      </c>
      <c r="BK94" t="inlineStr">
        <is>
          <t>Environmental Sciences; Public, Environmental &amp; Occupational Health</t>
        </is>
      </c>
      <c r="BL94" t="inlineStr">
        <is>
          <t>Science Citation Index Expanded (SCI-EXPANDED); Social Science Citation Index (SSCI)</t>
        </is>
      </c>
      <c r="BM94" t="inlineStr">
        <is>
          <t>Environmental Sciences &amp; Ecology; Public, Environmental &amp; Occupational Health</t>
        </is>
      </c>
      <c r="BN94" t="inlineStr">
        <is>
          <t>HM0BZ</t>
        </is>
      </c>
      <c r="BO94" t="n">
        <v>30587821</v>
      </c>
      <c r="BP94" t="inlineStr">
        <is>
          <t>gold, Green Submitted, Green Published</t>
        </is>
      </c>
      <c r="BS94" t="inlineStr">
        <is>
          <t>2023-10-26</t>
        </is>
      </c>
      <c r="BT94" t="inlineStr">
        <is>
          <t>WOS:000459111400058</t>
        </is>
      </c>
      <c r="BU94">
        <f>HYPERLINK("https%3A%2F%2Fwww.webofscience.com%2Fwos%2Fwoscc%2Ffull-record%2FWOS:000459111400058","View Full Record in Web of Science")</f>
        <v/>
      </c>
    </row>
    <row r="95">
      <c r="A95" t="inlineStr">
        <is>
          <t>J</t>
        </is>
      </c>
      <c r="B95" t="inlineStr">
        <is>
          <t>Wang, J; Yan, X; Yang, WJ; Ye, D; Fan, L; Liao, Y; Zhang, YJ; Yang, YY; Li, X; Yao, XY; Wan, L; Wang, XL</t>
        </is>
      </c>
      <c r="F95" t="inlineStr">
        <is>
          <t>Wang, Jiao; Yan, Xu; Yang, Wenjing; Ye, Dan; Fan, Lin; Liao, Yan; Zhang, Yujing; Yang, Yuyan; Li, Xu; Yao, Xiaoyuan; Wan, Lin; Wang, Xianliang</t>
        </is>
      </c>
      <c r="J95" t="inlineStr">
        <is>
          <t>ENVIRONMENTAL AND SUSTAINABILITY INDICATORS</t>
        </is>
      </c>
      <c r="M95" t="inlineStr">
        <is>
          <t>English</t>
        </is>
      </c>
      <c r="N95" t="inlineStr">
        <is>
          <t>Article</t>
        </is>
      </c>
      <c r="T95" t="inlineStr">
        <is>
          <t>Association between indoor environment and common cold among children aged 7-9 years in five typical cities in China</t>
        </is>
      </c>
      <c r="U95" t="inlineStr">
        <is>
          <t>Common cold; Indoor environment; Children; Symptom; Prevalence; Duration</t>
        </is>
      </c>
      <c r="V95" t="inlineStr">
        <is>
          <t>HOUSING CHARACTERISTICS; AIR-QUALITY; FORMALDEHYDE; EXPOSURE; HOUSEHOLDS; SYMPTOMS; SHANGHAI; DAMPNESS; RISK</t>
        </is>
      </c>
      <c r="W95" t="inlineStr">
        <is>
          <t>The common cold is an acute, self-limited viral infection of the upper respiratory tract, it is a heterogeneous group of diseases caused by numerous viruses that belong to several different families. A total of 292 households with children aged 7-9 years from Harbin, Xi'an, Ningbo, Nanning, and Shenzhen, China were investigated and 877 air samples from both bedrooms and living rooms in study area were tested to reveal indoor air quality level in 2017. The mean indoor temperature, relative humidity, CO, CO2, NO2, formaldehyde, total count of colonies, and total count of fungi levels were 21.00 + 4.05 degrees C, 54.66 + 16.28%, 0.85+ +2.99 mg/m(3), 0.08 + 0.06%, 0.03 + 0.02 mg/m3, 0.03 + 0.02 mg/m(3), 173.14 +/- 4.28 cfu/m(3), and 241.21 +/- 4.20 cfu/m(3), respectively. Of the 292 children, 1.72% had &gt;5 common colds in the past year, 12.04% 3-5 per year, and rest &lt;3 per year. The average prevalence of the common cold in five cities was 1.68 times per year with an average duration of 5.62 days. The main symptoms of a common cold in children are cough and expectoration, which are significantly influenced by indoor relative humidity, formaldehyde, and total count of fungi. The total count of fungi as well as relative humidity are also significantly correlated with the duration of children common cold. And significant correlation was found between indoor temperature and the prevalence of a common cold. This study systematically analyzed influence of indoor environment, including physical variables, chemical variables, and biological variables, on common cold in children and identified essential indoor risk factors in China.</t>
        </is>
      </c>
      <c r="X95" t="inlineStr">
        <is>
          <t>[Wang, Jiao; Yan, Xu; Yang, Wenjing; Ye, Dan; Fan, Lin; Liao, Yan; Zhang, Yujing; Yang, Yuyan; Li, Xu; Yao, Xiaoyuan; Wan, Lin; Wang, Xianliang] Chinese Ctr Dis Control &amp; Prevent, Natl Inst Environm Hlth, Beijing, Peoples R China</t>
        </is>
      </c>
      <c r="Y95" t="inlineStr">
        <is>
          <t>Chinese Center for Disease Control &amp; Prevention; National Institute of Environmental Health, Chinese Center for Disease Control &amp; Prevention</t>
        </is>
      </c>
      <c r="Z95" t="inlineStr">
        <is>
          <t>Wang, XL (corresponding author), Chinese Ctr Dis Control &amp; Prevent, Natl Inst Environm Hlth, Beijing, Peoples R China.</t>
        </is>
      </c>
      <c r="AA95" t="inlineStr">
        <is>
          <t>wangxianliang@nieh.chinacdc.cn</t>
        </is>
      </c>
      <c r="AB95" t="inlineStr">
        <is>
          <t>Wang, lili/IXD-9828-2023; zhang, yu/HNS-5948-2023; liang, liang/IAO-8518-2023; Wang, Xian-liang/ADR-3108-2022; Yang, Ying/ABD-2481-2022; Li, Li/IAQ-0885-2023; liu, jiaming/IWE-3196-2023; Zhang, Y J/HLG-1022-2023</t>
        </is>
      </c>
      <c r="AC95" t="inlineStr">
        <is>
          <t>Wang, Xian-liang/0000-0003-3462-608X;</t>
        </is>
      </c>
      <c r="AD95" t="inlineStr">
        <is>
          <t>National Natural Science Foundation of China [81903377, 21976169]; Central Government Funds [SNHJ01]; National Natural Science Foundation of Beijing [8182055]; National Engineering Research Center of Building Technology [z-09]; Opening Funds of State Key Laboratory of Building Safety and Built Environment</t>
        </is>
      </c>
      <c r="AE95" t="inlineStr">
        <is>
          <t>National Natural Science Foundation of China(National Natural Science Foundation of China (NSFC)); Central Government Funds; National Natural Science Foundation of Beijing(Beijing Natural Science Foundation); National Engineering Research Center of Building Technology; Opening Funds of State Key Laboratory of Building Safety and Built Environment</t>
        </is>
      </c>
      <c r="AF95" t="inlineStr">
        <is>
          <t>This study was supported by a grant from the National Natural Science Foundation of China (81903377), National Natural Science Foundation of China (21976169), Central Government Funds (SNHJ01), National Natural Science Foundation of Beijing (8182055), and Opening Funds of State Key Laboratory of Building Safety and Built Environment and National Engineering Research Center of Building Technology (z-09). Beijing Lantrack Info Technology Co., Ltd provided solid assistance in the development of the Indoor Environmental Health Impact Survey System (IEHISS). We thank all of the children and their parents or guardians and who took part in this study and staffs from CDCs who provide assistance for questionnaire and indoor air monitoring.</t>
        </is>
      </c>
      <c r="AH95" t="n">
        <v>29</v>
      </c>
      <c r="AI95" t="n">
        <v>7</v>
      </c>
      <c r="AJ95" t="n">
        <v>7</v>
      </c>
      <c r="AK95" t="n">
        <v>0</v>
      </c>
      <c r="AL95" t="n">
        <v>5</v>
      </c>
      <c r="AM95" t="inlineStr">
        <is>
          <t>ELSEVIER</t>
        </is>
      </c>
      <c r="AN95" t="inlineStr">
        <is>
          <t>AMSTERDAM</t>
        </is>
      </c>
      <c r="AO95" t="inlineStr">
        <is>
          <t>RADARWEG 29, 1043 NX AMSTERDAM, NETHERLANDS</t>
        </is>
      </c>
      <c r="AP95" t="inlineStr">
        <is>
          <t>2665-9727</t>
        </is>
      </c>
      <c r="AS95" t="inlineStr">
        <is>
          <t>ENVIRON SUSTAIN IND</t>
        </is>
      </c>
      <c r="AT95" t="inlineStr">
        <is>
          <t>Environ. Sustain. Indic.</t>
        </is>
      </c>
      <c r="AU95" t="inlineStr">
        <is>
          <t>JUN</t>
        </is>
      </c>
      <c r="AV95" t="n">
        <v>2020</v>
      </c>
      <c r="AW95" t="n">
        <v>6</v>
      </c>
      <c r="BE95" t="n">
        <v>100033</v>
      </c>
      <c r="BF95" t="inlineStr">
        <is>
          <t>10.1016/j.indic.2020.100033</t>
        </is>
      </c>
      <c r="BG95">
        <f>HYPERLINK("http://dx.doi.org/10.1016/j.indic.2020.100033","http://dx.doi.org/10.1016/j.indic.2020.100033")</f>
        <v/>
      </c>
      <c r="BJ95" t="n">
        <v>8</v>
      </c>
      <c r="BK95" t="inlineStr">
        <is>
          <t>Environmental Sciences; Environmental Studies</t>
        </is>
      </c>
      <c r="BL95" t="inlineStr">
        <is>
          <t>Emerging Sources Citation Index (ESCI)</t>
        </is>
      </c>
      <c r="BM95" t="inlineStr">
        <is>
          <t>Environmental Sciences &amp; Ecology</t>
        </is>
      </c>
      <c r="BN95" t="inlineStr">
        <is>
          <t>RX0BN</t>
        </is>
      </c>
      <c r="BP95" t="inlineStr">
        <is>
          <t>gold</t>
        </is>
      </c>
      <c r="BS95" t="inlineStr">
        <is>
          <t>2023-10-26</t>
        </is>
      </c>
      <c r="BT95" t="inlineStr">
        <is>
          <t>WOS:000646883600009</t>
        </is>
      </c>
      <c r="BU95">
        <f>HYPERLINK("https%3A%2F%2Fwww.webofscience.com%2Fwos%2Fwoscc%2Ffull-record%2FWOS:000646883600009","View Full Record in Web of Science")</f>
        <v/>
      </c>
    </row>
    <row r="96">
      <c r="A96" t="inlineStr">
        <is>
          <t>J</t>
        </is>
      </c>
      <c r="B96" t="inlineStr">
        <is>
          <t>Yu, SW; Liu, Y; Cui, CY; Xia, B</t>
        </is>
      </c>
      <c r="F96" t="inlineStr">
        <is>
          <t>Yu, Shiwang; Liu, Yong; Cui, Caiyun; Xia, Bo</t>
        </is>
      </c>
      <c r="J96" t="inlineStr">
        <is>
          <t>SUSTAINABILITY</t>
        </is>
      </c>
      <c r="M96" t="inlineStr">
        <is>
          <t>English</t>
        </is>
      </c>
      <c r="N96" t="inlineStr">
        <is>
          <t>Article</t>
        </is>
      </c>
      <c r="T96" t="inlineStr">
        <is>
          <t>Influence of Outdoor Living Environment on Elders' Quality of Life in Old Residential Communities</t>
        </is>
      </c>
      <c r="U96" t="inlineStr">
        <is>
          <t>old residential communities; quality of life; outdoor living environment</t>
        </is>
      </c>
      <c r="V96" t="inlineStr">
        <is>
          <t>INDOOR FACILITIES MANAGEMENT; PHYSICAL-ACTIVITY; BUILT ENVIRONMENT; HEALTH; PEOPLE; HOME; COMORBIDITIES; COMPONENTS; WALKING; DESIGN</t>
        </is>
      </c>
      <c r="W96" t="inlineStr">
        <is>
          <t>The population is getting older in Mainland China, which presents a huge challenge of how to support these increasing elders to enjoy a high quality of life (QoL). Due to the limited nursing institutions and Chinese traditional culture, aging in place is the most common choice for elders. Up to now, most elders in cities are living in old residential communities (ORCs) rather than new ones. Poor quality of outdoor living environment (OLE) in these ORCs cannot well support the daily life of the elders, especially for those with physical problems. A questionnaire study was conducted to explore the influence of OLE on the QoL of elders living in ORCs. A total of 107 questionnaires were completed by both elderly residents in ORCs (45.79% were male and 54.21% were female). The data was analyzed by a mix of reliability analysis, correlation analysis, and regression analysis. The results showed that physical health of elders was influenced by distance, safety, greenery, seat, recreational facilities; psychological health was predicted by width, height, and greenery; social relationship was affected by distance, safety, and recreational facilities. Based on the research results, recommendations were proposed to property management service providers and local governments, including providing more seats at a reasonable height, setting handrails alongside the long ramp, installing folding seats along building stairs, and so on.</t>
        </is>
      </c>
      <c r="X96" t="inlineStr">
        <is>
          <t>[Yu, Shiwang] Sanjiang Univ, Sch Civil Engn, Nanjing 210012, Peoples R China; [Liu, Yong] Zhejiang Sci Tech Univ, Sch Civil Engn &amp; Architecture, Hangzhou 310018, Peoples R China; [Cui, Caiyun] North China Inst Sci &amp; Technol, Architectural Engn Coll, Langfang 065201, Peoples R China; [Xia, Bo] QUT, Sch Civil Engn &amp; Built Environm, Brisbane, Qld 4001, Australia</t>
        </is>
      </c>
      <c r="Y96" t="inlineStr">
        <is>
          <t>Sanjiang University; Zhejiang Sci-Tech University; North China Institute Science &amp; Technology; Queensland University of Technology (QUT)</t>
        </is>
      </c>
      <c r="Z96" t="inlineStr">
        <is>
          <t>Yu, SW (corresponding author), Sanjiang Univ, Sch Civil Engn, Nanjing 210012, Peoples R China.</t>
        </is>
      </c>
      <c r="AA96" t="inlineStr">
        <is>
          <t>sherwood.s.w.yu@gmail.com; jhly1007@zstu.edu.cn; cuicaiyun@163.com; paul.xia@qut.edu.au</t>
        </is>
      </c>
      <c r="AB96" t="inlineStr">
        <is>
          <t>Yu, Sherwood/ABC-9558-2021; Yu, Shiwang/HJI-0116-2023; Xia, Bo/J-1355-2012</t>
        </is>
      </c>
      <c r="AC96" t="inlineStr">
        <is>
          <t>YU, Shiwang/0000-0001-9293-8466; Liu, Yong/0000-0003-0172-9867; Xia, Bo/0000-0001-7694-4743</t>
        </is>
      </c>
      <c r="AD96" t="inlineStr">
        <is>
          <t>MOE (Ministry of Education in China) Project of Humanities and Social Sciences [17YJCZH232]; Australian Research Council [DP170101208]</t>
        </is>
      </c>
      <c r="AE96" t="inlineStr">
        <is>
          <t>MOE (Ministry of Education in China) Project of Humanities and Social Sciences; Australian Research Council(Australian Research Council)</t>
        </is>
      </c>
      <c r="AF96" t="inlineStr">
        <is>
          <t>This research was funded by MOE (Ministry of Education in China) Project of Humanities and Social Sciences (grant number 17YJCZH232) and the Australian Research Council (Grant number DP170101208).</t>
        </is>
      </c>
      <c r="AH96" t="n">
        <v>87</v>
      </c>
      <c r="AI96" t="n">
        <v>15</v>
      </c>
      <c r="AJ96" t="n">
        <v>15</v>
      </c>
      <c r="AK96" t="n">
        <v>15</v>
      </c>
      <c r="AL96" t="n">
        <v>36</v>
      </c>
      <c r="AM96" t="inlineStr">
        <is>
          <t>MDPI</t>
        </is>
      </c>
      <c r="AN96" t="inlineStr">
        <is>
          <t>BASEL</t>
        </is>
      </c>
      <c r="AO96" t="inlineStr">
        <is>
          <t>ST ALBAN-ANLAGE 66, CH-4052 BASEL, SWITZERLAND</t>
        </is>
      </c>
      <c r="AQ96" t="inlineStr">
        <is>
          <t>2071-1050</t>
        </is>
      </c>
      <c r="AS96" t="inlineStr">
        <is>
          <t>SUSTAINABILITY-BASEL</t>
        </is>
      </c>
      <c r="AT96" t="inlineStr">
        <is>
          <t>Sustainability</t>
        </is>
      </c>
      <c r="AU96" t="inlineStr">
        <is>
          <t>DEC</t>
        </is>
      </c>
      <c r="AV96" t="n">
        <v>2019</v>
      </c>
      <c r="AW96" t="n">
        <v>11</v>
      </c>
      <c r="AX96" t="n">
        <v>23</v>
      </c>
      <c r="BE96" t="n">
        <v>6638</v>
      </c>
      <c r="BF96" t="inlineStr">
        <is>
          <t>10.3390/su11236638</t>
        </is>
      </c>
      <c r="BG96">
        <f>HYPERLINK("http://dx.doi.org/10.3390/su11236638","http://dx.doi.org/10.3390/su11236638")</f>
        <v/>
      </c>
      <c r="BJ96" t="n">
        <v>17</v>
      </c>
      <c r="BK96" t="inlineStr">
        <is>
          <t>Green &amp; Sustainable Science &amp; Technology; Environmental Sciences; Environmental Studies</t>
        </is>
      </c>
      <c r="BL96" t="inlineStr">
        <is>
          <t>Science Citation Index Expanded (SCI-EXPANDED); Social Science Citation Index (SSCI)</t>
        </is>
      </c>
      <c r="BM96" t="inlineStr">
        <is>
          <t>Science &amp; Technology - Other Topics; Environmental Sciences &amp; Ecology</t>
        </is>
      </c>
      <c r="BN96" t="inlineStr">
        <is>
          <t>KD9MV</t>
        </is>
      </c>
      <c r="BP96" t="inlineStr">
        <is>
          <t>Green Published, gold</t>
        </is>
      </c>
      <c r="BS96" t="inlineStr">
        <is>
          <t>2023-10-26</t>
        </is>
      </c>
      <c r="BT96" t="inlineStr">
        <is>
          <t>WOS:000508186400110</t>
        </is>
      </c>
      <c r="BU96">
        <f>HYPERLINK("https%3A%2F%2Fwww.webofscience.com%2Fwos%2Fwoscc%2Ffull-record%2FWOS:000508186400110","View Full Record in Web of Science")</f>
        <v/>
      </c>
    </row>
    <row r="97">
      <c r="A97" t="inlineStr">
        <is>
          <t>J</t>
        </is>
      </c>
      <c r="B97" t="inlineStr">
        <is>
          <t>Liu, ZD; Sun, H; Zhang, J; Yan, JF</t>
        </is>
      </c>
      <c r="F97" t="inlineStr">
        <is>
          <t>Liu, Zhenduo; Sun, Hui; Zhang, Jian; Yan, Jingfei</t>
        </is>
      </c>
      <c r="J97" t="inlineStr">
        <is>
          <t>SUSTAINABILITY</t>
        </is>
      </c>
      <c r="M97" t="inlineStr">
        <is>
          <t>English</t>
        </is>
      </c>
      <c r="N97" t="inlineStr">
        <is>
          <t>Article</t>
        </is>
      </c>
      <c r="T97" t="inlineStr">
        <is>
          <t>Status, Hotspots, and Future Trends: Bibliometric Analysis of Research on the Impact of the Built Environment on Children and Adolescents' Physical Activity</t>
        </is>
      </c>
      <c r="U97" t="inlineStr">
        <is>
          <t>built environment; physical activity; Citespace; children; adolescent; health; school</t>
        </is>
      </c>
      <c r="V97" t="inlineStr">
        <is>
          <t>URBAN FORM; NEIGHBORHOOD; OBESITY; HEALTH; SCHOOL; SCALE; YOUTH; WALKABILITY; OVERWEIGHT; GREENNESS</t>
        </is>
      </c>
      <c r="W97" t="inlineStr">
        <is>
          <t>Applying the visualized bibliometric analysis method, we explored the overall distribution characteristics, research progress, and hotspots of current research on the effect of the built environment on the physical activity of children and adolescents from 2003 to 2022. The research results indicate that the United States, Canada, Australia, and other Western countries are the primary forces of relevant research and have a solid foundation in the research on the impact of the built environment on the physical activity of children and adolescents. Sallis, Saelens, Gile-Corti, and other early authors have had a long-term, important role in this area. The research results have continuously guided new scientific research output for a long time, and emerging research forces have also played a directional role in future research trends, represented by publications such as American Preventive Medicine and Preventive Medicine. Obesity, health behaviors, home-school environment, and various correlations are the research hotspots in this field. This study systematically summarizes and analyzes research on the built environment's promotion of physical activity among children and adolescents, and it provides valuable guidance and reference for follow-up research in the near future.</t>
        </is>
      </c>
      <c r="X97" t="inlineStr">
        <is>
          <t>[Liu, Zhenduo; Sun, Hui] East China Normal Univ, Coll Phys Educ &amp; Hlth, Shanghai 200241, Peoples R China; [Zhang, Jian] Minnan Normal Univ, Sch Phys Educ, Zhangzhou 363000, Peoples R China; [Yan, Jingfei] Shanghai Inst Technol, Minist Phys Educ, Shanghai 201418, Peoples R China</t>
        </is>
      </c>
      <c r="Y97" t="inlineStr">
        <is>
          <t>East China Normal University; MinNan Normal University; Shanghai Institute of Technology</t>
        </is>
      </c>
      <c r="Z97" t="inlineStr">
        <is>
          <t>Sun, H (corresponding author), East China Normal Univ, Coll Phys Educ &amp; Hlth, Shanghai 200241, Peoples R China.</t>
        </is>
      </c>
      <c r="AA97" t="inlineStr">
        <is>
          <t>hsun@tyxx.ecnu.edu.cn</t>
        </is>
      </c>
      <c r="AC97" t="inlineStr">
        <is>
          <t>ZHANG, Jian/0000-0001-9247-3929</t>
        </is>
      </c>
      <c r="AH97" t="n">
        <v>56</v>
      </c>
      <c r="AI97" t="n">
        <v>0</v>
      </c>
      <c r="AJ97" t="n">
        <v>0</v>
      </c>
      <c r="AK97" t="n">
        <v>13</v>
      </c>
      <c r="AL97" t="n">
        <v>31</v>
      </c>
      <c r="AM97" t="inlineStr">
        <is>
          <t>MDPI</t>
        </is>
      </c>
      <c r="AN97" t="inlineStr">
        <is>
          <t>BASEL</t>
        </is>
      </c>
      <c r="AO97" t="inlineStr">
        <is>
          <t>ST ALBAN-ANLAGE 66, CH-4052 BASEL, SWITZERLAND</t>
        </is>
      </c>
      <c r="AQ97" t="inlineStr">
        <is>
          <t>2071-1050</t>
        </is>
      </c>
      <c r="AS97" t="inlineStr">
        <is>
          <t>SUSTAINABILITY-BASEL</t>
        </is>
      </c>
      <c r="AT97" t="inlineStr">
        <is>
          <t>Sustainability</t>
        </is>
      </c>
      <c r="AU97" t="inlineStr">
        <is>
          <t>JAN</t>
        </is>
      </c>
      <c r="AV97" t="n">
        <v>2023</v>
      </c>
      <c r="AW97" t="n">
        <v>15</v>
      </c>
      <c r="AX97" t="n">
        <v>2</v>
      </c>
      <c r="BE97" t="n">
        <v>1390</v>
      </c>
      <c r="BF97" t="inlineStr">
        <is>
          <t>10.3390/su15021390</t>
        </is>
      </c>
      <c r="BG97">
        <f>HYPERLINK("http://dx.doi.org/10.3390/su15021390","http://dx.doi.org/10.3390/su15021390")</f>
        <v/>
      </c>
      <c r="BJ97" t="n">
        <v>17</v>
      </c>
      <c r="BK97" t="inlineStr">
        <is>
          <t>Green &amp; Sustainable Science &amp; Technology; Environmental Sciences; Environmental Studies</t>
        </is>
      </c>
      <c r="BL97" t="inlineStr">
        <is>
          <t>Science Citation Index Expanded (SCI-EXPANDED); Social Science Citation Index (SSCI)</t>
        </is>
      </c>
      <c r="BM97" t="inlineStr">
        <is>
          <t>Science &amp; Technology - Other Topics; Environmental Sciences &amp; Ecology</t>
        </is>
      </c>
      <c r="BN97" t="inlineStr">
        <is>
          <t>8Q3OO</t>
        </is>
      </c>
      <c r="BP97" t="inlineStr">
        <is>
          <t>gold</t>
        </is>
      </c>
      <c r="BS97" t="inlineStr">
        <is>
          <t>2023-10-26</t>
        </is>
      </c>
      <c r="BT97" t="inlineStr">
        <is>
          <t>WOS:000927120100001</t>
        </is>
      </c>
      <c r="BU97">
        <f>HYPERLINK("https%3A%2F%2Fwww.webofscience.com%2Fwos%2Fwoscc%2Ffull-record%2FWOS:000927120100001","View Full Record in Web of Science")</f>
        <v/>
      </c>
    </row>
    <row r="98">
      <c r="A98" t="inlineStr">
        <is>
          <t>J</t>
        </is>
      </c>
      <c r="B98" t="inlineStr">
        <is>
          <t>Klann, A; Vu, L; Ewing, M; Fenton, M; Pojednic, R</t>
        </is>
      </c>
      <c r="F98" t="inlineStr">
        <is>
          <t>Klann, Alexandra; Linh Vu; Ewing, Mollie; Fenton, Mark; Pojednic, Rachele</t>
        </is>
      </c>
      <c r="J98" t="inlineStr">
        <is>
          <t>INTERNATIONAL JOURNAL OF ENVIRONMENTAL RESEARCH AND PUBLIC HEALTH</t>
        </is>
      </c>
      <c r="M98" t="inlineStr">
        <is>
          <t>English</t>
        </is>
      </c>
      <c r="N98" t="inlineStr">
        <is>
          <t>Review</t>
        </is>
      </c>
      <c r="T98" t="inlineStr">
        <is>
          <t>Translating Urban Walkability Initiatives for Older Adults in Rural and Under-Resourced Communities</t>
        </is>
      </c>
      <c r="U98" t="inlineStr">
        <is>
          <t>walkability; parks; recreation; physical activity; exercise; older adults; infrastructure; community gardens</t>
        </is>
      </c>
      <c r="V98" t="inlineStr">
        <is>
          <t>PHYSICAL-ACTIVITY; BUILT ENVIRONMENT; NEIGHBORHOOD ENVIRONMENTS; RECREATIONAL WALKING; UNITED-STATES; ASSOCIATIONS; BENEFITS; LEISURE; PARKS; SIZE</t>
        </is>
      </c>
      <c r="W98" t="inlineStr">
        <is>
          <t>The built environment can promote physical activity in older adults by increasing neighborhood walkability. While efforts to increase walkability are common in urban communities, there is limited data related to effective implementation in rural communities. This is problematic, as older adults make up a significant portion of rural inhabitants and exhibit lower levels of physical activity. Translating lessons from urban strategies may be necessary to address this disparity. This review examines best practices from urban initiatives that can be implemented in rural, resource-limited communities. The review of the literature revealed that simple, built environment approaches to increase walkability include microscale and pop-up infrastructure, municipal parks, and community gardens, which can also increase physical activity in neighborhoods for urban older adults. These simple and cost-effective strategies suggest great potential for rural communities.</t>
        </is>
      </c>
      <c r="X98" t="inlineStr">
        <is>
          <t>[Klann, Alexandra; Linh Vu; Pojednic, Rachele] Simmons Univ, Dept Nutr, Boston, MA 02115 USA; [Ewing, Mollie] Children &amp; Family Serv Corp, Vincennes, IN 47951 USA; [Fenton, Mark] Tufts Univ, Friedman Sch Nutr Sci &amp; Policy, Boston, MA 02111 USA; [Pojednic, Rachele] Harvard Med Sch, Inst Lifestyle Med, Boston, MA 02115 USA</t>
        </is>
      </c>
      <c r="Y98" t="inlineStr">
        <is>
          <t>Simmons University; Tufts University; Harvard University; Harvard Medical School</t>
        </is>
      </c>
      <c r="Z98" t="inlineStr">
        <is>
          <t>Pojednic, R (corresponding author), Simmons Univ, Dept Nutr, Boston, MA 02115 USA.;Pojednic, R (corresponding author), Harvard Med Sch, Inst Lifestyle Med, Boston, MA 02115 USA.</t>
        </is>
      </c>
      <c r="AA98" t="inlineStr">
        <is>
          <t>pojednic@g.harvard.edu</t>
        </is>
      </c>
      <c r="AC98" t="inlineStr">
        <is>
          <t>Pojednic, Rachele/0000-0002-6117-0551</t>
        </is>
      </c>
      <c r="AH98" t="n">
        <v>57</v>
      </c>
      <c r="AI98" t="n">
        <v>6</v>
      </c>
      <c r="AJ98" t="n">
        <v>6</v>
      </c>
      <c r="AK98" t="n">
        <v>6</v>
      </c>
      <c r="AL98" t="n">
        <v>25</v>
      </c>
      <c r="AM98" t="inlineStr">
        <is>
          <t>MDPI</t>
        </is>
      </c>
      <c r="AN98" t="inlineStr">
        <is>
          <t>BASEL</t>
        </is>
      </c>
      <c r="AO98" t="inlineStr">
        <is>
          <t>ST ALBAN-ANLAGE 66, CH-4052 BASEL, SWITZERLAND</t>
        </is>
      </c>
      <c r="AQ98" t="inlineStr">
        <is>
          <t>1660-4601</t>
        </is>
      </c>
      <c r="AS98" t="inlineStr">
        <is>
          <t>INT J ENV RES PUB HE</t>
        </is>
      </c>
      <c r="AT98" t="inlineStr">
        <is>
          <t>Int. J. Environ. Res. Public Health</t>
        </is>
      </c>
      <c r="AU98" t="inlineStr">
        <is>
          <t>SEP 1</t>
        </is>
      </c>
      <c r="AV98" t="n">
        <v>2019</v>
      </c>
      <c r="AW98" t="n">
        <v>16</v>
      </c>
      <c r="AX98" t="n">
        <v>17</v>
      </c>
      <c r="BE98" t="n">
        <v>3041</v>
      </c>
      <c r="BF98" t="inlineStr">
        <is>
          <t>10.3390/ijerph16173041</t>
        </is>
      </c>
      <c r="BG98">
        <f>HYPERLINK("http://dx.doi.org/10.3390/ijerph16173041","http://dx.doi.org/10.3390/ijerph16173041")</f>
        <v/>
      </c>
      <c r="BJ98" t="n">
        <v>16</v>
      </c>
      <c r="BK98" t="inlineStr">
        <is>
          <t>Environmental Sciences; Public, Environmental &amp; Occupational Health</t>
        </is>
      </c>
      <c r="BL98" t="inlineStr">
        <is>
          <t>Science Citation Index Expanded (SCI-EXPANDED); Social Science Citation Index (SSCI)</t>
        </is>
      </c>
      <c r="BM98" t="inlineStr">
        <is>
          <t>Environmental Sciences &amp; Ecology; Public, Environmental &amp; Occupational Health</t>
        </is>
      </c>
      <c r="BN98" t="inlineStr">
        <is>
          <t>IZ4EQ</t>
        </is>
      </c>
      <c r="BO98" t="n">
        <v>31443359</v>
      </c>
      <c r="BP98" t="inlineStr">
        <is>
          <t>Green Published, gold, Green Submitted</t>
        </is>
      </c>
      <c r="BS98" t="inlineStr">
        <is>
          <t>2023-10-26</t>
        </is>
      </c>
      <c r="BT98" t="inlineStr">
        <is>
          <t>WOS:000487037500036</t>
        </is>
      </c>
      <c r="BU98">
        <f>HYPERLINK("https%3A%2F%2Fwww.webofscience.com%2Fwos%2Fwoscc%2Ffull-record%2FWOS:000487037500036","View Full Record in Web of Science")</f>
        <v/>
      </c>
    </row>
    <row r="99">
      <c r="A99" t="inlineStr">
        <is>
          <t>J</t>
        </is>
      </c>
      <c r="B99" t="inlineStr">
        <is>
          <t>Luo, PY; Yu, BJ; Li, PF; Liang, PP</t>
        </is>
      </c>
      <c r="F99" t="inlineStr">
        <is>
          <t>Luo, Pinyang; Yu, Bingjie; Li, Pengfei; Liang, Pengpeng</t>
        </is>
      </c>
      <c r="J99" t="inlineStr">
        <is>
          <t>FRONTIERS IN ENVIRONMENTAL SCIENCE</t>
        </is>
      </c>
      <c r="M99" t="inlineStr">
        <is>
          <t>English</t>
        </is>
      </c>
      <c r="N99" t="inlineStr">
        <is>
          <t>Article</t>
        </is>
      </c>
      <c r="T99" t="inlineStr">
        <is>
          <t>Spatially varying impacts of the built environment on physical activity from a human-scale view: Using street view data</t>
        </is>
      </c>
      <c r="U99" t="inlineStr">
        <is>
          <t>physical activity; the built environment; the geographically weighted regression model; Strava; street view data; street greenery</t>
        </is>
      </c>
      <c r="V99" t="inlineStr">
        <is>
          <t>PUBLIC-HEALTH; URBAN DESIGN; WALKING; TRANSPORT; ASSOCIATIONS; GREENNESS; CHILDREN; PEOPLE; ADULTS</t>
        </is>
      </c>
      <c r="W99" t="inlineStr">
        <is>
          <t>Developing evidence-based planning interventions for promoting physical activity (PA) is considered an effective way to address urban public health issues. However, previous studies exploring how the built environment affects PA over-relied on small-sample survey data, lacked human-centered measurements of the built environment, and overlooked spatially-varying relationships. To fill these gaps, we use cycling and running activity trajectories derived from the Strava crowdsourcing data to comprehensively measure PA in the central city area of Chengdu, China. Meanwhile, we introduce a set of human-scale, eye-level built environment factors such as green, sky, and road view indexes by extracting streetscape characteristics from the Baidu street-view map using the fully Convolutional Neural Network (CNN). Based on these data, we utilize the geographically weighted regression (GWR) model to scrutinize the spatially heterogeneous impact of the built environment on PA. The results are summarized as follows: First, model comparisons show that GWR models outperform global models in terms of the goodness-of-fit, and most built environment factors have spatially varying impacts on cycling and running activities. Second, the green view index restrains cycling activities in general. In contrast, it has a wide-ranging and positive impact on running activities while hampers them in the PA-unfriendly old town. Third, the sky view index stimulates cycling activities in most areas. However, it has a mixed influence on running activities. Fourth, the road view index widely promotes cycling and running activities but hinders them in some areas of the old town dominated by automobiles and under construction. Finally, according to these empirical findings, we propose several recommendations for PA-informed planning initiatives.</t>
        </is>
      </c>
      <c r="X99" t="inlineStr">
        <is>
          <t>[Luo, Pinyang; Yu, Bingjie; Liang, Pengpeng] Southwest Jiaotong Univ, Sch Architecture, Chengdu, Peoples R China; [Li, Pengfei] Southwest Univ Sci &amp; Technol, Sch Civil Engn &amp; Architecture, Mianyang, Peoples R China</t>
        </is>
      </c>
      <c r="Y99" t="inlineStr">
        <is>
          <t>Southwest Jiaotong University; Southwest University of Science &amp; Technology - China</t>
        </is>
      </c>
      <c r="Z99" t="inlineStr">
        <is>
          <t>Yu, BJ (corresponding author), Southwest Jiaotong Univ, Sch Architecture, Chengdu, Peoples R China.</t>
        </is>
      </c>
      <c r="AA99" t="inlineStr">
        <is>
          <t>270433051@qq.com</t>
        </is>
      </c>
      <c r="AB99" t="inlineStr">
        <is>
          <t>Li, Pengfei/GYJ-7571-2022</t>
        </is>
      </c>
      <c r="AD99" t="inlineStr">
        <is>
          <t>Key Program of the Center on Child Protection and Development, Sichuan; Sichuan Science and Technology Program; National Natural Science Foundation of China; [ETBH2021-ZD001]; [2022JDR0178]; [52278080]</t>
        </is>
      </c>
      <c r="AE99" t="inlineStr">
        <is>
          <t>Key Program of the Center on Child Protection and Development, Sichuan; Sichuan Science and Technology Program; National Natural Science Foundation of China(National Natural Science Foundation of China (NSFC)); ; ;</t>
        </is>
      </c>
      <c r="AF99" t="inlineStr">
        <is>
          <t>Funding This study was supported by the Key Program of the Center on Child Protection and Development, Sichuan (No. ETBH2021-ZD001), the Sichuan Science and Technology Program (No. 2022JDR0178), and the National Natural Science Foundation of China (No. 52278080).</t>
        </is>
      </c>
      <c r="AH99" t="n">
        <v>57</v>
      </c>
      <c r="AI99" t="n">
        <v>3</v>
      </c>
      <c r="AJ99" t="n">
        <v>3</v>
      </c>
      <c r="AK99" t="n">
        <v>17</v>
      </c>
      <c r="AL99" t="n">
        <v>49</v>
      </c>
      <c r="AM99" t="inlineStr">
        <is>
          <t>FRONTIERS MEDIA SA</t>
        </is>
      </c>
      <c r="AN99" t="inlineStr">
        <is>
          <t>LAUSANNE</t>
        </is>
      </c>
      <c r="AO99" t="inlineStr">
        <is>
          <t>AVENUE DU TRIBUNAL FEDERAL 34, LAUSANNE, CH-1015, SWITZERLAND</t>
        </is>
      </c>
      <c r="AQ99" t="inlineStr">
        <is>
          <t>2296-665X</t>
        </is>
      </c>
      <c r="AS99" t="inlineStr">
        <is>
          <t>FRONT ENV SCI-SWITZ</t>
        </is>
      </c>
      <c r="AT99" t="inlineStr">
        <is>
          <t>Front. Environ. Sci.</t>
        </is>
      </c>
      <c r="AU99" t="inlineStr">
        <is>
          <t>OCT 5</t>
        </is>
      </c>
      <c r="AV99" t="n">
        <v>2022</v>
      </c>
      <c r="AW99" t="n">
        <v>10</v>
      </c>
      <c r="BE99" t="n">
        <v>1021081</v>
      </c>
      <c r="BF99" t="inlineStr">
        <is>
          <t>10.3389/fenvs.2022.1021081</t>
        </is>
      </c>
      <c r="BG99">
        <f>HYPERLINK("http://dx.doi.org/10.3389/fenvs.2022.1021081","http://dx.doi.org/10.3389/fenvs.2022.1021081")</f>
        <v/>
      </c>
      <c r="BJ99" t="n">
        <v>19</v>
      </c>
      <c r="BK99" t="inlineStr">
        <is>
          <t>Environmental Sciences</t>
        </is>
      </c>
      <c r="BL99" t="inlineStr">
        <is>
          <t>Science Citation Index Expanded (SCI-EXPANDED)</t>
        </is>
      </c>
      <c r="BM99" t="inlineStr">
        <is>
          <t>Environmental Sciences &amp; Ecology</t>
        </is>
      </c>
      <c r="BN99" t="inlineStr">
        <is>
          <t>5P4HD</t>
        </is>
      </c>
      <c r="BP99" t="inlineStr">
        <is>
          <t>gold</t>
        </is>
      </c>
      <c r="BS99" t="inlineStr">
        <is>
          <t>2023-10-26</t>
        </is>
      </c>
      <c r="BT99" t="inlineStr">
        <is>
          <t>WOS:000873112600001</t>
        </is>
      </c>
      <c r="BU99">
        <f>HYPERLINK("https%3A%2F%2Fwww.webofscience.com%2Fwos%2Fwoscc%2Ffull-record%2FWOS:000873112600001","View Full Record in Web of Science")</f>
        <v/>
      </c>
    </row>
    <row r="100">
      <c r="A100" t="inlineStr">
        <is>
          <t>J</t>
        </is>
      </c>
      <c r="B100" t="inlineStr">
        <is>
          <t>Gao, Y; Liu, K; Zhou, PL; Xie, HK</t>
        </is>
      </c>
      <c r="F100" t="inlineStr">
        <is>
          <t>Gao, Yuan; Liu, Kun; Zhou, Peiling; Xie, Hongkun</t>
        </is>
      </c>
      <c r="J100" t="inlineStr">
        <is>
          <t>INTERNATIONAL JOURNAL OF ENVIRONMENTAL RESEARCH AND PUBLIC HEALTH</t>
        </is>
      </c>
      <c r="M100" t="inlineStr">
        <is>
          <t>English</t>
        </is>
      </c>
      <c r="N100" t="inlineStr">
        <is>
          <t>Article</t>
        </is>
      </c>
      <c r="T100" t="inlineStr">
        <is>
          <t>The Effects of Residential Built Environment on Supporting Physical Activity Diversity in High-Density Cities: A Case Study in Shenzhen, China</t>
        </is>
      </c>
      <c r="U100" t="inlineStr">
        <is>
          <t>physical activity diversity; residential built environment; healthy city; high-density city</t>
        </is>
      </c>
      <c r="V100" t="inlineStr">
        <is>
          <t>NEIGHBORHOOD DESIGN; SELF-SELECTION; PUBLIC-HEALTH; OLDER-ADULTS; URBAN FORM; WALKING; NETWORKS; EXERCISE; BEHAVIOR; TRAVEL</t>
        </is>
      </c>
      <c r="W100" t="inlineStr">
        <is>
          <t>In high-density cities, physical activity (PA) diversity is an essential indicator of public health and urban vitality, and how to meet the demands of diverse PA in a limited residential built environment is critical for promoting public health. This study selected Shenzhen, China, as a representative case; combined the diversity of PA participants, types, and occurrence times to generate a comprehensive understanding of PA diversity; fully used data from multiple sources to measure and analyze PA diversity and residential built environment; analyzed the relationships between the built environment and PA diversity; and explored the different effects in clustered and sprawled high-density urban forms. PAs in clustered areas were two times more diverse than those in sprawled areas. Accessibility, inclusiveness, and landscape attractiveness of residential built environment jointly improved PA diversity. Clustered areas had significant advantages in supporting PA diversity since they could keep the balance between dense residence and landscape reservation with an accessible and inclusive public space system. The residential built environment with dense street networks, public traffic and service, multi-functional public space system, and attractive landscapes is crucial to improve the diverse PA to achieve more public health outputs in high-density cities. To promote health-oriented urban development, clustered urban form is advocated, and step-forward strategies should be carried out.</t>
        </is>
      </c>
      <c r="X100" t="inlineStr">
        <is>
          <t>[Gao, Yuan; Liu, Kun; Zhou, Peiling] Harbin Inst Technol, Sch Architecture, Shenzhen 518055, Peoples R China; [Xie, Hongkun] Gemdale Grp South China Real Estate Co, Shenzhen 518016, Peoples R China</t>
        </is>
      </c>
      <c r="Y100" t="inlineStr">
        <is>
          <t>Harbin Institute of Technology</t>
        </is>
      </c>
      <c r="Z100" t="inlineStr">
        <is>
          <t>Gao, Y (corresponding author), Harbin Inst Technol, Sch Architecture, Shenzhen 518055, Peoples R China.</t>
        </is>
      </c>
      <c r="AA100" t="inlineStr">
        <is>
          <t>altiplano.39@163.com; liuk@hit.edu.cn; lindaplzhou@gmail.com; xiehongkun@gemdale.com</t>
        </is>
      </c>
      <c r="AB100" t="inlineStr">
        <is>
          <t>Zhou, Peiling/AGW-7439-2022; Gao, Yuanyuan/ABB-1552-2021</t>
        </is>
      </c>
      <c r="AC100" t="inlineStr">
        <is>
          <t>Zhou, Peiling/0000-0001-7442-2853; Liu, Kun/0000-0002-6597-2201</t>
        </is>
      </c>
      <c r="AD100" t="inlineStr">
        <is>
          <t>National Natural Science Foundation of China [51508126]; National Key Research and Development Program of China [2019YFD1100802, 2019YFD1100804]</t>
        </is>
      </c>
      <c r="AE100" t="inlineStr">
        <is>
          <t>National Natural Science Foundation of China(National Natural Science Foundation of China (NSFC)); National Key Research and Development Program of China</t>
        </is>
      </c>
      <c r="AF100" t="inlineStr">
        <is>
          <t>This research was funded by the National Natural Science Foundation of China, Grant number 51508126, the National Key Research and Development Program of China, Grant number 2019YFD1100802 and 2019YFD1100804.</t>
        </is>
      </c>
      <c r="AH100" t="n">
        <v>75</v>
      </c>
      <c r="AI100" t="n">
        <v>3</v>
      </c>
      <c r="AJ100" t="n">
        <v>3</v>
      </c>
      <c r="AK100" t="n">
        <v>13</v>
      </c>
      <c r="AL100" t="n">
        <v>83</v>
      </c>
      <c r="AM100" t="inlineStr">
        <is>
          <t>MDPI</t>
        </is>
      </c>
      <c r="AN100" t="inlineStr">
        <is>
          <t>BASEL</t>
        </is>
      </c>
      <c r="AO100" t="inlineStr">
        <is>
          <t>ST ALBAN-ANLAGE 66, CH-4052 BASEL, SWITZERLAND</t>
        </is>
      </c>
      <c r="AQ100" t="inlineStr">
        <is>
          <t>1660-4601</t>
        </is>
      </c>
      <c r="AS100" t="inlineStr">
        <is>
          <t>INT J ENV RES PUB HE</t>
        </is>
      </c>
      <c r="AT100" t="inlineStr">
        <is>
          <t>Int. J. Environ. Res. Public Health</t>
        </is>
      </c>
      <c r="AU100" t="inlineStr">
        <is>
          <t>JUL</t>
        </is>
      </c>
      <c r="AV100" t="n">
        <v>2021</v>
      </c>
      <c r="AW100" t="n">
        <v>18</v>
      </c>
      <c r="AX100" t="n">
        <v>13</v>
      </c>
      <c r="BE100" t="n">
        <v>6676</v>
      </c>
      <c r="BF100" t="inlineStr">
        <is>
          <t>10.3390/ijerph18136676</t>
        </is>
      </c>
      <c r="BG100">
        <f>HYPERLINK("http://dx.doi.org/10.3390/ijerph18136676","http://dx.doi.org/10.3390/ijerph18136676")</f>
        <v/>
      </c>
      <c r="BJ100" t="n">
        <v>16</v>
      </c>
      <c r="BK100" t="inlineStr">
        <is>
          <t>Environmental Sciences; Public, Environmental &amp; Occupational Health</t>
        </is>
      </c>
      <c r="BL100" t="inlineStr">
        <is>
          <t>Science Citation Index Expanded (SCI-EXPANDED); Social Science Citation Index (SSCI)</t>
        </is>
      </c>
      <c r="BM100" t="inlineStr">
        <is>
          <t>Environmental Sciences &amp; Ecology; Public, Environmental &amp; Occupational Health</t>
        </is>
      </c>
      <c r="BN100" t="inlineStr">
        <is>
          <t>TH3CH</t>
        </is>
      </c>
      <c r="BO100" t="n">
        <v>34206166</v>
      </c>
      <c r="BP100" t="inlineStr">
        <is>
          <t>Green Published, gold</t>
        </is>
      </c>
      <c r="BS100" t="inlineStr">
        <is>
          <t>2023-10-26</t>
        </is>
      </c>
      <c r="BT100" t="inlineStr">
        <is>
          <t>WOS:000671970100001</t>
        </is>
      </c>
      <c r="BU100">
        <f>HYPERLINK("https%3A%2F%2Fwww.webofscience.com%2Fwos%2Fwoscc%2Ffull-record%2FWOS:000671970100001","View Full Record in Web of Science")</f>
        <v/>
      </c>
    </row>
    <row r="101">
      <c r="A101" t="inlineStr">
        <is>
          <t>J</t>
        </is>
      </c>
      <c r="B101" t="inlineStr">
        <is>
          <t>Yu, JB; Yang, C; Zhao, XG; Zhou, ZX; Zhang, S; Zhai, DK; Li, JS</t>
        </is>
      </c>
      <c r="F101" t="inlineStr">
        <is>
          <t>Yu, Jiabin; Yang, Chen; Zhao, Xiaoguang; Zhou, Zhexiao; Zhang, Shen; Zhai, Diankai; Li, Jianshe</t>
        </is>
      </c>
      <c r="J101" t="inlineStr">
        <is>
          <t>INTERNATIONAL JOURNAL OF ENVIRONMENTAL RESEARCH AND PUBLIC HEALTH</t>
        </is>
      </c>
      <c r="M101" t="inlineStr">
        <is>
          <t>English</t>
        </is>
      </c>
      <c r="N101" t="inlineStr">
        <is>
          <t>Article</t>
        </is>
      </c>
      <c r="T101" t="inlineStr">
        <is>
          <t>The Associations of Built Environment with Older People Recreational Walking and Physical Activity in a Chinese Small-Scale City of Yiwu</t>
        </is>
      </c>
      <c r="U101" t="inlineStr">
        <is>
          <t>over 60 years old; leisure time; empirical study; correlates</t>
        </is>
      </c>
      <c r="V101" t="inlineStr">
        <is>
          <t>LEISURE-TIME; HEALTH-BENEFITS; GREEN SPACE; ADULTS; URBAN; ATTRIBUTES; BARRIERS; RECOMMENDATIONS; POPULATION; IMPACT</t>
        </is>
      </c>
      <c r="W101" t="inlineStr">
        <is>
          <t>Physical activity would bring in plenty of health benefits, especially recreational physical activity (RPA). Previous studies have suggested that built environment would affect older people's recreational walking (RW) and RPA, but how the effects exist in a small-scale Chinese city remains unclear. Two hundred and fifty-two older participants were recruited in the city of Yiwu using cross-sectional survey of random samples in 2019. RW and RPA level of participants and perceived scores of built environments were collected using the International Physical Activity Questionnaire and Neighborhood Environment Walkability Scale, respectively. Linear regression analysis was conducted to investigate the association of built environment with older people's RW and RPA. The results showed that two main factors affecting older people's RW and RPA were residential density and aesthetics. Additionally, access to services was related to RW, and street connectivity was correlated with RPA. The associations of RW with built environment varied slightly with demographic variables included in the regression model. All the results suggested that lower residential density, better aesthetics environment, and higher street connectivity would motivate older people to engage more in RW and RPA. The better access to services encourages only RW, not RPA, in older people. These findings would be helpful for policy decision makers in the urban construction process in Yiwu. More studies are needed to enlarge the scientific evidence base about small-scale cities in China.</t>
        </is>
      </c>
      <c r="X101" t="inlineStr">
        <is>
          <t>[Yu, Jiabin; Zhao, Xiaoguang; Zhou, Zhexiao; Zhang, Shen; Zhai, Diankai; Li, Jianshe] Ningbo Univ, Res Acad Grand Hlth, Fac Sport Sci, Ningbo 315211, Peoples R China; [Yang, Chen] McGill Univ, Dept Kinesiol &amp; Phys Educ, Montreal, PQ H2W 1S4, Canada</t>
        </is>
      </c>
      <c r="Y101" t="inlineStr">
        <is>
          <t>Ningbo University; McGill University</t>
        </is>
      </c>
      <c r="Z101" t="inlineStr">
        <is>
          <t>Yu, JB (corresponding author), Ningbo Univ, Res Acad Grand Hlth, Fac Sport Sci, Ningbo 315211, Peoples R China.</t>
        </is>
      </c>
      <c r="AA101" t="inlineStr">
        <is>
          <t>yujiabin@nbu.edu.cn; chen.yang4@mail.mcgill.ca; zhaoxiaoguang@nbu.edu.cn; zhouzhexiao@nbu.edu.cn; nbuzhangshen@outlook.com; zdk5780245@outlook.com; lijianshe@nbu.edu.cn</t>
        </is>
      </c>
      <c r="AB101" t="inlineStr">
        <is>
          <t>Zhao, Xiaoguang/HGA-4357-2022</t>
        </is>
      </c>
      <c r="AC101" t="inlineStr">
        <is>
          <t>Zhao, Xiaoguang/0000-0003-4347-5885; Yang, Chen/0000-0002-9945-7435</t>
        </is>
      </c>
      <c r="AD101" t="inlineStr">
        <is>
          <t>Project of Philosophy and Social Sciences of Zhejiang Province [18NDJC102YB]</t>
        </is>
      </c>
      <c r="AE101" t="inlineStr">
        <is>
          <t>Project of Philosophy and Social Sciences of Zhejiang Province</t>
        </is>
      </c>
      <c r="AF101" t="inlineStr">
        <is>
          <t>This study was supported by Project of Philosophy and Social Sciences of Zhejiang Province (Project No. 18NDJC102YB).</t>
        </is>
      </c>
      <c r="AH101" t="n">
        <v>59</v>
      </c>
      <c r="AI101" t="n">
        <v>9</v>
      </c>
      <c r="AJ101" t="n">
        <v>9</v>
      </c>
      <c r="AK101" t="n">
        <v>9</v>
      </c>
      <c r="AL101" t="n">
        <v>53</v>
      </c>
      <c r="AM101" t="inlineStr">
        <is>
          <t>MDPI</t>
        </is>
      </c>
      <c r="AN101" t="inlineStr">
        <is>
          <t>BASEL</t>
        </is>
      </c>
      <c r="AO101" t="inlineStr">
        <is>
          <t>ST ALBAN-ANLAGE 66, CH-4052 BASEL, SWITZERLAND</t>
        </is>
      </c>
      <c r="AQ101" t="inlineStr">
        <is>
          <t>1660-4601</t>
        </is>
      </c>
      <c r="AS101" t="inlineStr">
        <is>
          <t>INT J ENV RES PUB HE</t>
        </is>
      </c>
      <c r="AT101" t="inlineStr">
        <is>
          <t>Int. J. Environ. Res. Public Health</t>
        </is>
      </c>
      <c r="AU101" t="inlineStr">
        <is>
          <t>MAR</t>
        </is>
      </c>
      <c r="AV101" t="n">
        <v>2021</v>
      </c>
      <c r="AW101" t="n">
        <v>18</v>
      </c>
      <c r="AX101" t="n">
        <v>5</v>
      </c>
      <c r="BE101" t="n">
        <v>2699</v>
      </c>
      <c r="BF101" t="inlineStr">
        <is>
          <t>10.3390/ijerph18052699</t>
        </is>
      </c>
      <c r="BG101">
        <f>HYPERLINK("http://dx.doi.org/10.3390/ijerph18052699","http://dx.doi.org/10.3390/ijerph18052699")</f>
        <v/>
      </c>
      <c r="BJ101" t="n">
        <v>12</v>
      </c>
      <c r="BK101" t="inlineStr">
        <is>
          <t>Environmental Sciences; Public, Environmental &amp; Occupational Health</t>
        </is>
      </c>
      <c r="BL101" t="inlineStr">
        <is>
          <t>Science Citation Index Expanded (SCI-EXPANDED); Social Science Citation Index (SSCI)</t>
        </is>
      </c>
      <c r="BM101" t="inlineStr">
        <is>
          <t>Environmental Sciences &amp; Ecology; Public, Environmental &amp; Occupational Health</t>
        </is>
      </c>
      <c r="BN101" t="inlineStr">
        <is>
          <t>QV7BZ</t>
        </is>
      </c>
      <c r="BO101" t="n">
        <v>33800159</v>
      </c>
      <c r="BP101" t="inlineStr">
        <is>
          <t>Green Published, gold</t>
        </is>
      </c>
      <c r="BS101" t="inlineStr">
        <is>
          <t>2023-10-26</t>
        </is>
      </c>
      <c r="BT101" t="inlineStr">
        <is>
          <t>WOS:000628123400001</t>
        </is>
      </c>
      <c r="BU101">
        <f>HYPERLINK("https%3A%2F%2Fwww.webofscience.com%2Fwos%2Fwoscc%2Ffull-record%2FWOS:000628123400001","View Full Record in Web of Science")</f>
        <v/>
      </c>
    </row>
    <row r="102">
      <c r="A102" t="inlineStr">
        <is>
          <t>J</t>
        </is>
      </c>
      <c r="B102" t="inlineStr">
        <is>
          <t>Zheng, C</t>
        </is>
      </c>
      <c r="F102" t="inlineStr">
        <is>
          <t>Zheng, Cong</t>
        </is>
      </c>
      <c r="J102" t="inlineStr">
        <is>
          <t>FRESENIUS ENVIRONMENTAL BULLETIN</t>
        </is>
      </c>
      <c r="M102" t="inlineStr">
        <is>
          <t>English</t>
        </is>
      </c>
      <c r="N102" t="inlineStr">
        <is>
          <t>Article</t>
        </is>
      </c>
      <c r="T102" t="inlineStr">
        <is>
          <t>RESEARCH AND ANALYSIS ON INDOOR ENVIRONMENT DESIGN OF GYMNASIUM FROM THE PERSPECTIVE OF LOW ENERGY CONSUMPTION</t>
        </is>
      </c>
      <c r="U102" t="inlineStr">
        <is>
          <t>Interior environment design; thermal comfort; low energy consumption; thermal neutral temperature; scheme optimization</t>
        </is>
      </c>
      <c r="V102" t="inlineStr">
        <is>
          <t>BUILDING-DESIGN; OPTIMIZATION</t>
        </is>
      </c>
      <c r="W102" t="inlineStr">
        <is>
          <t>The balance between thermal comfort and low energy consumption is very important in the design of indoor environment of gymnasium. Based on the analysis of the influencing factors of thermal comfort and energy consumption, combined with the key parameters of indoor environment design, this paper determines the main influencing factors, establishes the sensitivity analysis model, uses the analysis of variance method to measure the accuracy of the model, and uses the response surface method to analyze the significance level of each factor on energy consumption and the enthusiasm of the influence. Based on the average thermal comfort index (PMV), the concept of thermal neutral temperature is introduced, the influence of indoor humidity and other factors is integrated, and the influence of various factors on energy consumption and thermal comfort is quantified, so as to optimize the best scheme of interior design. Based on the perspective of low energy consumption, the optimal scheme 3 is the building scheme with low energy consumption and good thermal comfort. It finds that the optimal design method can save about 20% of the heat energy, and significantly improve the thermal comfort of the building personnel in different seasons. The research results can provide more accurate heat consumption prediction data for the whole design process.</t>
        </is>
      </c>
      <c r="X102" t="inlineStr">
        <is>
          <t>[Zheng, Cong] Xinxiang Med Univ, Xinxiang 453000, Henan, Peoples R China</t>
        </is>
      </c>
      <c r="Y102" t="inlineStr">
        <is>
          <t>Xinxiang Medical University</t>
        </is>
      </c>
      <c r="Z102" t="inlineStr">
        <is>
          <t>Zheng, C (corresponding author), Xinxiang Med Univ, Xinxiang 453000, Henan, Peoples R China.</t>
        </is>
      </c>
      <c r="AA102" t="inlineStr">
        <is>
          <t>zhengcong@xxmu.edu.cn</t>
        </is>
      </c>
      <c r="AH102" t="n">
        <v>18</v>
      </c>
      <c r="AI102" t="n">
        <v>0</v>
      </c>
      <c r="AJ102" t="n">
        <v>0</v>
      </c>
      <c r="AK102" t="n">
        <v>0</v>
      </c>
      <c r="AL102" t="n">
        <v>5</v>
      </c>
      <c r="AM102" t="inlineStr">
        <is>
          <t>PARLAR SCIENTIFIC PUBLICATIONS (P S P)</t>
        </is>
      </c>
      <c r="AN102" t="inlineStr">
        <is>
          <t>FREISING</t>
        </is>
      </c>
      <c r="AO102" t="inlineStr">
        <is>
          <t>ANGERSTR. 12, 85354 FREISING, GERMANY</t>
        </is>
      </c>
      <c r="AP102" t="inlineStr">
        <is>
          <t>1018-4619</t>
        </is>
      </c>
      <c r="AQ102" t="inlineStr">
        <is>
          <t>1610-2304</t>
        </is>
      </c>
      <c r="AS102" t="inlineStr">
        <is>
          <t>FRESEN ENVIRON BULL</t>
        </is>
      </c>
      <c r="AT102" t="inlineStr">
        <is>
          <t>Fresenius Environ. Bull.</t>
        </is>
      </c>
      <c r="AV102" t="n">
        <v>2021</v>
      </c>
      <c r="AW102" t="n">
        <v>30</v>
      </c>
      <c r="AX102" t="n">
        <v>11</v>
      </c>
      <c r="BC102" t="n">
        <v>11886</v>
      </c>
      <c r="BD102" t="n">
        <v>11893</v>
      </c>
      <c r="BJ102" t="n">
        <v>8</v>
      </c>
      <c r="BK102" t="inlineStr">
        <is>
          <t>Environmental Sciences</t>
        </is>
      </c>
      <c r="BL102" t="inlineStr">
        <is>
          <t>Science Citation Index Expanded (SCI-EXPANDED)</t>
        </is>
      </c>
      <c r="BM102" t="inlineStr">
        <is>
          <t>Environmental Sciences &amp; Ecology</t>
        </is>
      </c>
      <c r="BN102" t="inlineStr">
        <is>
          <t>WO1TN</t>
        </is>
      </c>
      <c r="BS102" t="inlineStr">
        <is>
          <t>2023-10-26</t>
        </is>
      </c>
      <c r="BT102" t="inlineStr">
        <is>
          <t>WOS:000712244200036</t>
        </is>
      </c>
      <c r="BU102">
        <f>HYPERLINK("https%3A%2F%2Fwww.webofscience.com%2Fwos%2Fwoscc%2Ffull-record%2FWOS:000712244200036","View Full Record in Web of Science")</f>
        <v/>
      </c>
    </row>
    <row r="103">
      <c r="A103" t="inlineStr">
        <is>
          <t>J</t>
        </is>
      </c>
      <c r="B103" t="inlineStr">
        <is>
          <t>Dadpour, S; Pakzad, J; Khankeh, H</t>
        </is>
      </c>
      <c r="F103" t="inlineStr">
        <is>
          <t>Dadpour, Sara; Pakzad, Jahanshah; Khankeh, Hamidreza</t>
        </is>
      </c>
      <c r="J103" t="inlineStr">
        <is>
          <t>INTERNATIONAL JOURNAL OF ENVIRONMENTAL RESEARCH AND PUBLIC HEALTH</t>
        </is>
      </c>
      <c r="M103" t="inlineStr">
        <is>
          <t>English</t>
        </is>
      </c>
      <c r="N103" t="inlineStr">
        <is>
          <t>Review</t>
        </is>
      </c>
      <c r="T103" t="inlineStr">
        <is>
          <t>Understanding the Influence of Environment on Adults' Walking Experiences: A Meta-Synthesis Study</t>
        </is>
      </c>
      <c r="U103" t="inlineStr">
        <is>
          <t>walking; environment; systematic review; meta-synthesis; adults</t>
        </is>
      </c>
      <c r="V103" t="inlineStr">
        <is>
          <t>PHYSICAL-ACTIVITY; BUILT ENVIRONMENT; OLDER-ADULTS; URBAN; TRANSPORTATION; DESTINATIONS; CHALLENGES; AUCKLAND; BEHAVIOR; SPACE</t>
        </is>
      </c>
      <c r="W103" t="inlineStr">
        <is>
          <t>The environment has an important impact on physical activity, especially walking. The relationship between the environment and walking is not the same as for other types of physical activity. This study seeks to comprehensively identify the environmental factors influencing walking and to show how those environmental factors impact on walking using the experiences of adults between the ages of 18 and 65. The current study is a meta -synthesis based on a systematic review. Seven databases of related disciplines were searched, including health, transportation, physical activity, architecture, and interdisciplinary databases. In addition to the databases, two journals were searched. Of the 11,777 papers identified, 10 met the eligibility criteria and quality for selection. Qualitative content analysis was used for analysis of the results. The four themes identified as influencing walking were safety and security, environmental aesthetics, social relations, and convenience and efficiency. Convenience and efficiency and environmental aesthetics could enhance the impact of social relations on walking in some aspects. In addition, environmental aesthetics and social relations could hinder the influence of convenience and efficiency on walking in some aspects. Given the results of the study, strategies are proposed to enhance the walking experience.</t>
        </is>
      </c>
      <c r="X103" t="inlineStr">
        <is>
          <t>[Dadpour, Sara; Pakzad, Jahanshah] Shahid Beheshti Univ, Dept Urban Planning &amp; Design, Daneshjoo Blvd, Tehran 1983963113, Iran; [Khankeh, Hamidreza] Univ Social Welf &amp; Rehabil Sci USWR, Res Ctr Emergency &amp; Disaster Hlth, Koudakyar St,Daneshjoo Blvd, Tehran 1985713834, Iran; [Khankeh, Hamidreza] Karolinska Inst, Sodersjukhuset KI SOS, Dept Clin Sci &amp; Educ, Sjukhusbacken 10, S-11883 Stockholm, Sweden</t>
        </is>
      </c>
      <c r="Y103" t="inlineStr">
        <is>
          <t>Shahid Beheshti University; Karolinska Institutet</t>
        </is>
      </c>
      <c r="Z103" t="inlineStr">
        <is>
          <t>Khankeh, H (corresponding author), Univ Social Welf &amp; Rehabil Sci USWR, Res Ctr Emergency &amp; Disaster Hlth, Koudakyar St,Daneshjoo Blvd, Tehran 1985713834, Iran.;Khankeh, H (corresponding author), Karolinska Inst, Sodersjukhuset KI SOS, Dept Clin Sci &amp; Educ, Sjukhusbacken 10, S-11883 Stockholm, Sweden.</t>
        </is>
      </c>
      <c r="AA103" t="inlineStr">
        <is>
          <t>s_dadpour@sbu.ac.ir; J-Pakzad@sbu.ac.ir; hamid.khankeh@ki.se</t>
        </is>
      </c>
      <c r="AB103" t="inlineStr">
        <is>
          <t>Khankeh, Hamidreza/AAF-4581-2021; Khankeh, Hamidreza/C-9974-2017; Dadpour, Sara/M-7827-2018</t>
        </is>
      </c>
      <c r="AC103" t="inlineStr">
        <is>
          <t>Dadpour, Sara/0000-0002-9628-9202</t>
        </is>
      </c>
      <c r="AH103" t="n">
        <v>52</v>
      </c>
      <c r="AI103" t="n">
        <v>12</v>
      </c>
      <c r="AJ103" t="n">
        <v>14</v>
      </c>
      <c r="AK103" t="n">
        <v>1</v>
      </c>
      <c r="AL103" t="n">
        <v>30</v>
      </c>
      <c r="AM103" t="inlineStr">
        <is>
          <t>MDPI</t>
        </is>
      </c>
      <c r="AN103" t="inlineStr">
        <is>
          <t>BASEL</t>
        </is>
      </c>
      <c r="AO103" t="inlineStr">
        <is>
          <t>ST ALBAN-ANLAGE 66, CH-4052 BASEL, SWITZERLAND</t>
        </is>
      </c>
      <c r="AQ103" t="inlineStr">
        <is>
          <t>1660-4601</t>
        </is>
      </c>
      <c r="AS103" t="inlineStr">
        <is>
          <t>INT J ENV RES PUB HE</t>
        </is>
      </c>
      <c r="AT103" t="inlineStr">
        <is>
          <t>Int. J. Environ. Res. Public Health</t>
        </is>
      </c>
      <c r="AU103" t="inlineStr">
        <is>
          <t>JUL</t>
        </is>
      </c>
      <c r="AV103" t="n">
        <v>2016</v>
      </c>
      <c r="AW103" t="n">
        <v>13</v>
      </c>
      <c r="AX103" t="n">
        <v>7</v>
      </c>
      <c r="BE103" t="n">
        <v>731</v>
      </c>
      <c r="BF103" t="inlineStr">
        <is>
          <t>10.3390/ijerph13070731</t>
        </is>
      </c>
      <c r="BG103">
        <f>HYPERLINK("http://dx.doi.org/10.3390/ijerph13070731","http://dx.doi.org/10.3390/ijerph13070731")</f>
        <v/>
      </c>
      <c r="BJ103" t="n">
        <v>16</v>
      </c>
      <c r="BK103" t="inlineStr">
        <is>
          <t>Environmental Sciences; Public, Environmental &amp; Occupational Health</t>
        </is>
      </c>
      <c r="BL103" t="inlineStr">
        <is>
          <t>Science Citation Index Expanded (SCI-EXPANDED); Social Science Citation Index (SSCI)</t>
        </is>
      </c>
      <c r="BM103" t="inlineStr">
        <is>
          <t>Environmental Sciences &amp; Ecology; Public, Environmental &amp; Occupational Health</t>
        </is>
      </c>
      <c r="BN103" t="inlineStr">
        <is>
          <t>DS4OG</t>
        </is>
      </c>
      <c r="BO103" t="n">
        <v>27447660</v>
      </c>
      <c r="BP103" t="inlineStr">
        <is>
          <t>Green Published, Green Submitted, gold</t>
        </is>
      </c>
      <c r="BS103" t="inlineStr">
        <is>
          <t>2023-10-26</t>
        </is>
      </c>
      <c r="BT103" t="inlineStr">
        <is>
          <t>WOS:000380759800107</t>
        </is>
      </c>
      <c r="BU103">
        <f>HYPERLINK("https%3A%2F%2Fwww.webofscience.com%2Fwos%2Fwoscc%2Ffull-record%2FWOS:000380759800107","View Full Record in Web of Science")</f>
        <v/>
      </c>
    </row>
    <row r="104">
      <c r="A104" t="inlineStr">
        <is>
          <t>J</t>
        </is>
      </c>
      <c r="B104" t="inlineStr">
        <is>
          <t>Kahlert, D; Schlicht, W</t>
        </is>
      </c>
      <c r="F104" t="inlineStr">
        <is>
          <t>Kahlert, Daniela; Schlicht, Wolfgang</t>
        </is>
      </c>
      <c r="J104" t="inlineStr">
        <is>
          <t>INTERNATIONAL JOURNAL OF ENVIRONMENTAL RESEARCH AND PUBLIC HEALTH</t>
        </is>
      </c>
      <c r="M104" t="inlineStr">
        <is>
          <t>English</t>
        </is>
      </c>
      <c r="N104" t="inlineStr">
        <is>
          <t>Article</t>
        </is>
      </c>
      <c r="T104" t="inlineStr">
        <is>
          <t>Older People's Perceptions of Pedestrian Friendliness and Traffic Safety: An Experiment Using Computer-Simulated Walking Environments</t>
        </is>
      </c>
      <c r="U104" t="inlineStr">
        <is>
          <t>physical activity; walking for recreation; built environment; older people; computer-simulated experiment</t>
        </is>
      </c>
      <c r="V104" t="inlineStr">
        <is>
          <t>PHYSICAL-ACTIVITY; STREET CHARACTERISTICS; SELF-REPORT; DESIGN; ADULTS; HEALTH; MOBILITY; CHILDREN; SCALE; HOME</t>
        </is>
      </c>
      <c r="W104" t="inlineStr">
        <is>
          <t>Traffic safety and pedestrian friendliness are considered to be important conditions for older people's motivation to walk through their environment. This study uses an experimental study design with computer-simulated living environments to investigate the effect of micro-scale environmental factors (parking spaces and green verges with trees) on older people's perceptions of both motivational antecedents (dependent variables). Seventy-four consecutively recruited older people were randomly assigned watching one of two scenarios (independent variable) on a computer screen. The scenarios simulated a stroll on a sidewalk, as it is typical' for a German city. In version A,' the subjects take a fictive walk on a sidewalk where a number of cars are parked partially on it. In version B', cars are in parking spaces separated from the sidewalk by grass verges and trees. Subjects assessed their impressions of both dependent variables. A multivariate analysis of covariance showed that subjects' ratings on perceived traffic safety and pedestrian friendliness were higher for Version B' compared to version A'. Cohen's d indicates medium (d = 0.73) and large (d = 1.23) effect sizes for traffic safety and pedestrian friendliness, respectively. The study suggests that elements of the built environment might affect motivational antecedents of older people's walking behavior.</t>
        </is>
      </c>
      <c r="X104" t="inlineStr">
        <is>
          <t>[Kahlert, Daniela; Schlicht, Wolfgang] Univ Stuttgart, Stuttgart Res Initiat Human Factors Ageing Techno, Exercise &amp; Hlth Sci, D-70569 Stuttgart, Germany</t>
        </is>
      </c>
      <c r="Y104" t="inlineStr">
        <is>
          <t>University of Stuttgart</t>
        </is>
      </c>
      <c r="Z104" t="inlineStr">
        <is>
          <t>Kahlert, D (corresponding author), Univ Stuttgart, Stuttgart Res Initiat Human Factors Ageing Techno, Exercise &amp; Hlth Sci, Nobelstr 15, D-70569 Stuttgart, Germany.</t>
        </is>
      </c>
      <c r="AA104" t="inlineStr">
        <is>
          <t>daniela.kahlert@inspo.uni-stuttgart.de; wolfgang.schlicht@inspo.uni-stuttgart.de</t>
        </is>
      </c>
      <c r="AD104" t="inlineStr">
        <is>
          <t>German Research Foundation (DFG)</t>
        </is>
      </c>
      <c r="AE104" t="inlineStr">
        <is>
          <t>German Research Foundation (DFG)(German Research Foundation (DFG))</t>
        </is>
      </c>
      <c r="AF104" t="inlineStr">
        <is>
          <t>This work was supported by the German Research Foundation (DFG) within the funding program Open Access Publishing.</t>
        </is>
      </c>
      <c r="AH104" t="n">
        <v>37</v>
      </c>
      <c r="AI104" t="n">
        <v>8</v>
      </c>
      <c r="AJ104" t="n">
        <v>8</v>
      </c>
      <c r="AK104" t="n">
        <v>5</v>
      </c>
      <c r="AL104" t="n">
        <v>30</v>
      </c>
      <c r="AM104" t="inlineStr">
        <is>
          <t>MDPI</t>
        </is>
      </c>
      <c r="AN104" t="inlineStr">
        <is>
          <t>BASEL</t>
        </is>
      </c>
      <c r="AO104" t="inlineStr">
        <is>
          <t>ST ALBAN-ANLAGE 66, CH-4052 BASEL, SWITZERLAND</t>
        </is>
      </c>
      <c r="AP104" t="inlineStr">
        <is>
          <t>1660-4601</t>
        </is>
      </c>
      <c r="AS104" t="inlineStr">
        <is>
          <t>INT J ENV RES PUB HE</t>
        </is>
      </c>
      <c r="AT104" t="inlineStr">
        <is>
          <t>Int. J. Environ. Res. Public Health</t>
        </is>
      </c>
      <c r="AU104" t="inlineStr">
        <is>
          <t>AUG</t>
        </is>
      </c>
      <c r="AV104" t="n">
        <v>2015</v>
      </c>
      <c r="AW104" t="n">
        <v>12</v>
      </c>
      <c r="AX104" t="n">
        <v>8</v>
      </c>
      <c r="BC104" t="n">
        <v>10066</v>
      </c>
      <c r="BD104" t="n">
        <v>10078</v>
      </c>
      <c r="BF104" t="inlineStr">
        <is>
          <t>10.3390/ijerph120810066</t>
        </is>
      </c>
      <c r="BG104">
        <f>HYPERLINK("http://dx.doi.org/10.3390/ijerph120810066","http://dx.doi.org/10.3390/ijerph120810066")</f>
        <v/>
      </c>
      <c r="BJ104" t="n">
        <v>13</v>
      </c>
      <c r="BK104" t="inlineStr">
        <is>
          <t>Environmental Sciences; Public, Environmental &amp; Occupational Health</t>
        </is>
      </c>
      <c r="BL104" t="inlineStr">
        <is>
          <t>Science Citation Index Expanded (SCI-EXPANDED); Social Science Citation Index (SSCI)</t>
        </is>
      </c>
      <c r="BM104" t="inlineStr">
        <is>
          <t>Environmental Sciences &amp; Ecology; Public, Environmental &amp; Occupational Health</t>
        </is>
      </c>
      <c r="BN104" t="inlineStr">
        <is>
          <t>CQ4PT</t>
        </is>
      </c>
      <c r="BO104" t="n">
        <v>26308026</v>
      </c>
      <c r="BP104" t="inlineStr">
        <is>
          <t>Green Published, Green Submitted, gold</t>
        </is>
      </c>
      <c r="BS104" t="inlineStr">
        <is>
          <t>2023-10-26</t>
        </is>
      </c>
      <c r="BT104" t="inlineStr">
        <is>
          <t>WOS:000360587800093</t>
        </is>
      </c>
      <c r="BU104">
        <f>HYPERLINK("https%3A%2F%2Fwww.webofscience.com%2Fwos%2Fwoscc%2Ffull-record%2FWOS:000360587800093","View Full Record in Web of Science")</f>
        <v/>
      </c>
    </row>
    <row r="105">
      <c r="A105" t="inlineStr">
        <is>
          <t>J</t>
        </is>
      </c>
      <c r="B105" t="inlineStr">
        <is>
          <t>Rai, AC; Lin, CH; Chen, QY</t>
        </is>
      </c>
      <c r="F105" t="inlineStr">
        <is>
          <t>Rai, Aakash C.; Lin, Chao-Hsin; Chen, Qingyan</t>
        </is>
      </c>
      <c r="J105" t="inlineStr">
        <is>
          <t>ATMOSPHERIC ENVIRONMENT</t>
        </is>
      </c>
      <c r="M105" t="inlineStr">
        <is>
          <t>English</t>
        </is>
      </c>
      <c r="N105" t="inlineStr">
        <is>
          <t>Article</t>
        </is>
      </c>
      <c r="T105" t="inlineStr">
        <is>
          <t>Numerical modeling of particle generation from ozone reactions with human-worn clothing in indoor environments</t>
        </is>
      </c>
      <c r="U105" t="inlineStr">
        <is>
          <t>Ozone; Skin-oils; Particles; Nucleation; Condensation; Indoor environment</t>
        </is>
      </c>
      <c r="V105" t="inlineStr">
        <is>
          <t>SECONDARY ORGANIC AEROSOL; PARTICULATE AIR-POLLUTION; GERM-FORMATION; D-LIMONENE; GROWTH; NUCLEATION; DEPOSITION; NUMBER</t>
        </is>
      </c>
      <c r="W105" t="inlineStr">
        <is>
          <t>Ozone-terpene reactions are important sources of indoor ultrafine particles (UFPs), a potential health hazard for human beings. Humans themselves act as possible sites for ozone-initiated particle generation through reactions with squalene (a terpene) that is present in their skin, hair, and clothing. This investigation developed a numerical model to probe particle generation from ozone reactions with clothing worn by humans. The model was based on particle generation measured in an environmental chamber as well as physical formulations of particle nucleation, condensational growth, and deposition. In five out of the six test cases, the model was able to predict particle size distributions reasonably well. The failure in the remaining case demonstrated the fundamental limitations of nucleation models. The model that was developed was used to predict particle generation under various building and airliner cabin conditions. These predictions indicate that ozone reactions with human-worn clothing could be an important source of UFPs in densely occupied classrooms and airliner cabins. Those reactions could account for about 40% of the total UFPs measured on a Boeing 737-700 flight. The model predictions at this stage are indicative and should be improved further. (C) 2014 Elsevier Ltd. All rights reserved.</t>
        </is>
      </c>
      <c r="X105" t="inlineStr">
        <is>
          <t>[Rai, Aakash C.; Chen, Qingyan] Purdue Univ, Sch Mech Engn, W Lafayette, IN 47907 USA; [Lin, Chao-Hsin] Boeing Commercial Airplanes, Environm Control Syst, Everett, WA 98203 USA; [Chen, Qingyan] Tianjin Univ, Sch Environm Sci &amp; Engn, Tianjin 300072, Peoples R China</t>
        </is>
      </c>
      <c r="Y105" t="inlineStr">
        <is>
          <t>Purdue University System; Purdue University West Lafayette Campus; Purdue University; Boeing; Tianjin University</t>
        </is>
      </c>
      <c r="Z105" t="inlineStr">
        <is>
          <t>Chen, QY (corresponding author), Purdue Univ, Sch Mech Engn, W Lafayette, IN 47907 USA.</t>
        </is>
      </c>
      <c r="AA105" t="inlineStr">
        <is>
          <t>yanchen@purdue.edu</t>
        </is>
      </c>
      <c r="AC105" t="inlineStr">
        <is>
          <t>Rai, Aakash/0000-0002-6551-7444; Chen, Qingyan/0000-0002-3204-9488</t>
        </is>
      </c>
      <c r="AD105" t="inlineStr">
        <is>
          <t>National Basic Research Program of China (973 Program) [2012CB720100]; Center for Cabin Air Reformative Environment (CARE) at Tianjin University, China; U.S. Federal Aviation Administration (FAA) Office of Aerospace Medicine through the National Air Transportation Center of Excellence for Research in the Intermodal Transport Environment at Purdue University [10-C-RITE-PU]; FAA</t>
        </is>
      </c>
      <c r="AE105" t="inlineStr">
        <is>
          <t>National Basic Research Program of China (973 Program)(National Basic Research Program of China); Center for Cabin Air Reformative Environment (CARE) at Tianjin University, China; U.S. Federal Aviation Administration (FAA) Office of Aerospace Medicine through the National Air Transportation Center of Excellence for Research in the Intermodal Transport Environment at Purdue University; FAA</t>
        </is>
      </c>
      <c r="AF105" t="inlineStr">
        <is>
          <t>This study was partially supported by the National Basic Research Program of China (The 973 Program) through Grant No. 2012CB720100 and the Center for Cabin Air Reformative Environment (CARE) at Tianjin University, China. The investigation was also partially funded by the U.S. Federal Aviation Administration (FAA) Office of Aerospace Medicine through the National Air Transportation Center of Excellence for Research in the Intermodal Transport Environment at Purdue University under Cooperative Agreement 10-C-RITE-PU. Although the FAA sponsored this project, it neither endorses nor rejects the findings of the research. This information is presented in the interest of invoking comments from the technical community about the results and conclusions of the research.</t>
        </is>
      </c>
      <c r="AH105" t="n">
        <v>37</v>
      </c>
      <c r="AI105" t="n">
        <v>20</v>
      </c>
      <c r="AJ105" t="n">
        <v>21</v>
      </c>
      <c r="AK105" t="n">
        <v>2</v>
      </c>
      <c r="AL105" t="n">
        <v>46</v>
      </c>
      <c r="AM105" t="inlineStr">
        <is>
          <t>PERGAMON-ELSEVIER SCIENCE LTD</t>
        </is>
      </c>
      <c r="AN105" t="inlineStr">
        <is>
          <t>OXFORD</t>
        </is>
      </c>
      <c r="AO105" t="inlineStr">
        <is>
          <t>THE BOULEVARD, LANGFORD LANE, KIDLINGTON, OXFORD OX5 1GB, ENGLAND</t>
        </is>
      </c>
      <c r="AP105" t="inlineStr">
        <is>
          <t>1352-2310</t>
        </is>
      </c>
      <c r="AQ105" t="inlineStr">
        <is>
          <t>1873-2844</t>
        </is>
      </c>
      <c r="AS105" t="inlineStr">
        <is>
          <t>ATMOS ENVIRON</t>
        </is>
      </c>
      <c r="AT105" t="inlineStr">
        <is>
          <t>Atmos. Environ.</t>
        </is>
      </c>
      <c r="AU105" t="inlineStr">
        <is>
          <t>FEB</t>
        </is>
      </c>
      <c r="AV105" t="n">
        <v>2015</v>
      </c>
      <c r="AW105" t="n">
        <v>102</v>
      </c>
      <c r="BC105" t="n">
        <v>145</v>
      </c>
      <c r="BD105" t="n">
        <v>155</v>
      </c>
      <c r="BF105" t="inlineStr">
        <is>
          <t>10.1016/j.atmosenv.2014.11.058</t>
        </is>
      </c>
      <c r="BG105">
        <f>HYPERLINK("http://dx.doi.org/10.1016/j.atmosenv.2014.11.058","http://dx.doi.org/10.1016/j.atmosenv.2014.11.058")</f>
        <v/>
      </c>
      <c r="BJ105" t="n">
        <v>11</v>
      </c>
      <c r="BK105" t="inlineStr">
        <is>
          <t>Environmental Sciences; Meteorology &amp; Atmospheric Sciences</t>
        </is>
      </c>
      <c r="BL105" t="inlineStr">
        <is>
          <t>Science Citation Index Expanded (SCI-EXPANDED)</t>
        </is>
      </c>
      <c r="BM105" t="inlineStr">
        <is>
          <t>Environmental Sciences &amp; Ecology; Meteorology &amp; Atmospheric Sciences</t>
        </is>
      </c>
      <c r="BN105" t="inlineStr">
        <is>
          <t>CB4IB</t>
        </is>
      </c>
      <c r="BS105" t="inlineStr">
        <is>
          <t>2023-10-26</t>
        </is>
      </c>
      <c r="BT105" t="inlineStr">
        <is>
          <t>WOS:000349590300017</t>
        </is>
      </c>
      <c r="BU105">
        <f>HYPERLINK("https%3A%2F%2Fwww.webofscience.com%2Fwos%2Fwoscc%2Ffull-record%2FWOS:000349590300017","View Full Record in Web of Science")</f>
        <v/>
      </c>
    </row>
    <row r="106">
      <c r="A106" t="inlineStr">
        <is>
          <t>J</t>
        </is>
      </c>
      <c r="B106" t="inlineStr">
        <is>
          <t>Huntsman, DD; Bulaj, G</t>
        </is>
      </c>
      <c r="F106" t="inlineStr">
        <is>
          <t>Huntsman, Dorothy Day; Bulaj, Grzegorz</t>
        </is>
      </c>
      <c r="J106" t="inlineStr">
        <is>
          <t>INTERNATIONAL JOURNAL OF ENVIRONMENTAL RESEARCH AND PUBLIC HEALTH</t>
        </is>
      </c>
      <c r="M106" t="inlineStr">
        <is>
          <t>English</t>
        </is>
      </c>
      <c r="N106" t="inlineStr">
        <is>
          <t>Article</t>
        </is>
      </c>
      <c r="T106" t="inlineStr">
        <is>
          <t>Healthy Dwelling: Design of Biophilic Interior Environments Fostering Self-Care Practices for People Living with Migraines, Chronic Pain, and Depression</t>
        </is>
      </c>
      <c r="U106" t="inlineStr">
        <is>
          <t>built environment; restorative; biophilia; salutogenesis; home care; non-pharmacological interventions; self-management; mental health; neurological disorders</t>
        </is>
      </c>
      <c r="V106" t="inlineStr">
        <is>
          <t>LOW-BACK-PAIN; BRIGHT LIGHT TREATMENT; RANDOMIZED CONTROLLED PILOT; MINDFULNESS MEDITATION; SLEEP QUALITY; GLOBAL BURDEN; THERAPY; MUSIC; LIFE; INTERVENTIONS</t>
        </is>
      </c>
      <c r="W106" t="inlineStr">
        <is>
          <t>The benefits of biophilic interior design have been recognized by healthcare facilities, but residential environments receive relatively less attention with respect to improving the health of people living with chronic diseases. Recent stay-at-home restrictions due to the COVID-19 pandemic further emphasized the importance of creating interior spaces that directly and indirectly support physical and mental health. In this viewpoint article, we discuss opportunities for combining biophilic interventions with interior design, fostering disease-specific self-care. We provide examples of designing residential spaces integrating biophilic interventions, light therapy, relaxation opportunities, mindfulness meditation, listening to music, physical activities, aromatherapy, and quality sleep. These modalities can provide the clinical benefits of reducing migraine headaches and chronic pain, as well as improving depressive symptoms. The disease-specific interior environment can be incorporated into residential homes, workplaces, assisted-living residences, hospitals and hospital at home programs. This work aims to promote a cross-disciplinary dialogue towards combining biophilic design and advances in lifestyle medicine to create therapeutic interior environments and to improve healthcare outcomes.</t>
        </is>
      </c>
      <c r="X106" t="inlineStr">
        <is>
          <t>[Huntsman, Dorothy Day] Dayhouse Studio, Salt Lake City, UT 84106 USA; [Bulaj, Grzegorz] OMNI Self Care LLC, Salt Lake City, UT 84111 USA; [Bulaj, Grzegorz] Univ Utah, Dept Med Chem, Coll Pharm, 30 South 2000 East, Salt Lake City, UT 84112 USA</t>
        </is>
      </c>
      <c r="Y106" t="inlineStr">
        <is>
          <t>Utah System of Higher Education; University of Utah</t>
        </is>
      </c>
      <c r="Z106" t="inlineStr">
        <is>
          <t>Bulaj, G (corresponding author), OMNI Self Care LLC, Salt Lake City, UT 84111 USA.;Bulaj, G (corresponding author), Univ Utah, Dept Med Chem, Coll Pharm, 30 South 2000 East, Salt Lake City, UT 84112 USA.</t>
        </is>
      </c>
      <c r="AA106" t="inlineStr">
        <is>
          <t>dorothy@dayhousestudio.com; bulaj@pharm.utah.edu</t>
        </is>
      </c>
      <c r="AC106" t="inlineStr">
        <is>
          <t>huntsman, dorothy day/0000-0001-7532-3582</t>
        </is>
      </c>
      <c r="AH106" t="n">
        <v>166</v>
      </c>
      <c r="AI106" t="n">
        <v>8</v>
      </c>
      <c r="AJ106" t="n">
        <v>8</v>
      </c>
      <c r="AK106" t="n">
        <v>15</v>
      </c>
      <c r="AL106" t="n">
        <v>45</v>
      </c>
      <c r="AM106" t="inlineStr">
        <is>
          <t>MDPI</t>
        </is>
      </c>
      <c r="AN106" t="inlineStr">
        <is>
          <t>BASEL</t>
        </is>
      </c>
      <c r="AO106" t="inlineStr">
        <is>
          <t>ST ALBAN-ANLAGE 66, CH-4052 BASEL, SWITZERLAND</t>
        </is>
      </c>
      <c r="AQ106" t="inlineStr">
        <is>
          <t>1660-4601</t>
        </is>
      </c>
      <c r="AS106" t="inlineStr">
        <is>
          <t>INT J ENV RES PUB HE</t>
        </is>
      </c>
      <c r="AT106" t="inlineStr">
        <is>
          <t>Int. J. Environ. Res. Public Health</t>
        </is>
      </c>
      <c r="AU106" t="inlineStr">
        <is>
          <t>FEB</t>
        </is>
      </c>
      <c r="AV106" t="n">
        <v>2022</v>
      </c>
      <c r="AW106" t="n">
        <v>19</v>
      </c>
      <c r="AX106" t="n">
        <v>4</v>
      </c>
      <c r="BE106" t="n">
        <v>2248</v>
      </c>
      <c r="BF106" t="inlineStr">
        <is>
          <t>10.3390/ijerph19042248</t>
        </is>
      </c>
      <c r="BG106">
        <f>HYPERLINK("http://dx.doi.org/10.3390/ijerph19042248","http://dx.doi.org/10.3390/ijerph19042248")</f>
        <v/>
      </c>
      <c r="BJ106" t="n">
        <v>16</v>
      </c>
      <c r="BK106" t="inlineStr">
        <is>
          <t>Environmental Sciences; Public, Environmental &amp; Occupational Health</t>
        </is>
      </c>
      <c r="BL106" t="inlineStr">
        <is>
          <t>Science Citation Index Expanded (SCI-EXPANDED); Social Science Citation Index (SSCI)</t>
        </is>
      </c>
      <c r="BM106" t="inlineStr">
        <is>
          <t>Environmental Sciences &amp; Ecology; Public, Environmental &amp; Occupational Health</t>
        </is>
      </c>
      <c r="BN106" t="inlineStr">
        <is>
          <t>ZM7OM</t>
        </is>
      </c>
      <c r="BO106" t="n">
        <v>35206441</v>
      </c>
      <c r="BP106" t="inlineStr">
        <is>
          <t>gold, Green Published</t>
        </is>
      </c>
      <c r="BS106" t="inlineStr">
        <is>
          <t>2023-10-26</t>
        </is>
      </c>
      <c r="BT106" t="inlineStr">
        <is>
          <t>WOS:000764541800001</t>
        </is>
      </c>
      <c r="BU106">
        <f>HYPERLINK("https%3A%2F%2Fwww.webofscience.com%2Fwos%2Fwoscc%2Ffull-record%2FWOS:000764541800001","View Full Record in Web of Science")</f>
        <v/>
      </c>
    </row>
    <row r="107">
      <c r="A107" t="inlineStr">
        <is>
          <t>J</t>
        </is>
      </c>
      <c r="B107" t="inlineStr">
        <is>
          <t>D'Amico, A; Bergonzoni, G; Pini, A; Currà, E</t>
        </is>
      </c>
      <c r="F107" t="inlineStr">
        <is>
          <t>D'Amico, Alessandro; Bergonzoni, Giacomo; Pini, Agnese; Curra, Edoardo</t>
        </is>
      </c>
      <c r="J107" t="inlineStr">
        <is>
          <t>SUSTAINABILITY</t>
        </is>
      </c>
      <c r="M107" t="inlineStr">
        <is>
          <t>English</t>
        </is>
      </c>
      <c r="N107" t="inlineStr">
        <is>
          <t>Article</t>
        </is>
      </c>
      <c r="T107" t="inlineStr">
        <is>
          <t>BIM for Healthy Buildings: An Integrated Approach of Architectural Design Based on IAQ Prediction</t>
        </is>
      </c>
      <c r="U107" t="inlineStr">
        <is>
          <t>design and health; BIM; materials; interior design; salutogenesis; wellbeing; VOC emission; IAQ; building design</t>
        </is>
      </c>
      <c r="V107" t="inlineStr">
        <is>
          <t>INDOOR AIR-QUALITY; ORGANIC-COMPOUNDS; PERFORMANCE; EMISSIONS; VOLATILE; STANDARDIZATION; MODEL; VOC</t>
        </is>
      </c>
      <c r="W107" t="inlineStr">
        <is>
          <t>The relationship between users and the built environment represents a fundamental aspect of health. The factors that define the properties linked to health and well-being are increasingly becoming part of building design. In these terms, building information modelling (BIM) and BIM-based performance simulation take on a priority role. Among the key features for the design of Healthy Buildings, indoor air quality (IAQ) plays a central role. There are numerous indoor pollutants with significant health effects; volatile organic compounds (VOCs) are to be mentioned among these. The paper presents the proposal of an integrated workflow in the BIM process for the check and control of VOC emissions from building materials and their concentration in confined environments. The workflow is developed through the systematisation of IAQ parameters for the open BIM standard, the integration in the BIM process of a numerical model for the prediction of the VOCs concentration in the indoor environment, and the development of model checkers for performance verification. The results show a good adhesion between the numerical model and the implementation in BIM, providing the designer with a rapid control instrument of IAQ in the various phases of the building design. The present study is the first development focused on TVOC, but implementable concerning other aspects of IAQ, as needed for the effectiveness of performance building-based design for health and wellness issues.</t>
        </is>
      </c>
      <c r="X107" t="inlineStr">
        <is>
          <t>[D'Amico, Alessandro; Pini, Agnese; Curra, Edoardo] Sapienza Univ Rome, Dept Civil Bldg &amp; Environm Engn, I-00184 Rome, Italy; [Bergonzoni, Giacomo] Alma Mater Studiorum Univ Bologna, Dept Architecture, I-40141 Bologna, Italy</t>
        </is>
      </c>
      <c r="Y107" t="inlineStr">
        <is>
          <t>Sapienza University Rome; University of Bologna</t>
        </is>
      </c>
      <c r="Z107" t="inlineStr">
        <is>
          <t>D'Amico, A (corresponding author), Sapienza Univ Rome, Dept Civil Bldg &amp; Environm Engn, I-00184 Rome, Italy.</t>
        </is>
      </c>
      <c r="AA107" t="inlineStr">
        <is>
          <t>alessandro.damico@uniroma1.it; giacomo.bergonzoni3@unibo.it; agnese.pini@uniroma1.it; edoardo.curra@uniroma1.it</t>
        </is>
      </c>
      <c r="AB107" t="inlineStr">
        <is>
          <t>Santana, Elaine/GNP-2710-2022; Curra, Edoardo/AAL-3111-2020; D'Amico, Alessandro/O-4674-2016</t>
        </is>
      </c>
      <c r="AC107" t="inlineStr">
        <is>
          <t>Curra, Edoardo/0000-0003-3242-0272; Pini, Agnese/0000-0001-7993-9595; D'Amico, Alessandro/0000-0001-8518-1653</t>
        </is>
      </c>
      <c r="AD107" t="inlineStr">
        <is>
          <t>Lazio Region POR FESR LAZIO 2014/2020-Integrated projects-Public notice 6 Creativity 2020 CUP [G12783, A0128-2017-17209, B16C18001020007]</t>
        </is>
      </c>
      <c r="AE107" t="inlineStr">
        <is>
          <t>Lazio Region POR FESR LAZIO 2014/2020-Integrated projects-Public notice 6 Creativity 2020 CUP</t>
        </is>
      </c>
      <c r="AF107" t="inlineStr">
        <is>
          <t>The research project is funded by the Lazio Region (Det. N. G12783 of 20/09/2017) POR FESR LAZIO 2014/2020-Integrated projects-Public notice 6 Creativity 2020 CUP Code B16C18001020007 n. prot. A0128-2017-17209. The research, entitled BIM4H&amp;W: BIM for Health and Wellbeing is developed in partnership of effective collaboration between RI.EL.CO IMPIANTI S.R.L. and the University of Rome Sapienza, CRITEVAT-Reatine Research Center in Engineering for the Protection and Enhancement of the Environment.</t>
        </is>
      </c>
      <c r="AH107" t="n">
        <v>51</v>
      </c>
      <c r="AI107" t="n">
        <v>14</v>
      </c>
      <c r="AJ107" t="n">
        <v>14</v>
      </c>
      <c r="AK107" t="n">
        <v>4</v>
      </c>
      <c r="AL107" t="n">
        <v>21</v>
      </c>
      <c r="AM107" t="inlineStr">
        <is>
          <t>MDPI</t>
        </is>
      </c>
      <c r="AN107" t="inlineStr">
        <is>
          <t>BASEL</t>
        </is>
      </c>
      <c r="AO107" t="inlineStr">
        <is>
          <t>ST ALBAN-ANLAGE 66, CH-4052 BASEL, SWITZERLAND</t>
        </is>
      </c>
      <c r="AQ107" t="inlineStr">
        <is>
          <t>2071-1050</t>
        </is>
      </c>
      <c r="AS107" t="inlineStr">
        <is>
          <t>SUSTAINABILITY-BASEL</t>
        </is>
      </c>
      <c r="AT107" t="inlineStr">
        <is>
          <t>Sustainability</t>
        </is>
      </c>
      <c r="AU107" t="inlineStr">
        <is>
          <t>DEC</t>
        </is>
      </c>
      <c r="AV107" t="n">
        <v>2020</v>
      </c>
      <c r="AW107" t="n">
        <v>12</v>
      </c>
      <c r="AX107" t="n">
        <v>24</v>
      </c>
      <c r="BE107" t="n">
        <v>10417</v>
      </c>
      <c r="BF107" t="inlineStr">
        <is>
          <t>10.3390/su122410417</t>
        </is>
      </c>
      <c r="BG107">
        <f>HYPERLINK("http://dx.doi.org/10.3390/su122410417","http://dx.doi.org/10.3390/su122410417")</f>
        <v/>
      </c>
      <c r="BJ107" t="n">
        <v>31</v>
      </c>
      <c r="BK107" t="inlineStr">
        <is>
          <t>Green &amp; Sustainable Science &amp; Technology; Environmental Sciences; Environmental Studies</t>
        </is>
      </c>
      <c r="BL107" t="inlineStr">
        <is>
          <t>Science Citation Index Expanded (SCI-EXPANDED); Social Science Citation Index (SSCI)</t>
        </is>
      </c>
      <c r="BM107" t="inlineStr">
        <is>
          <t>Science &amp; Technology - Other Topics; Environmental Sciences &amp; Ecology</t>
        </is>
      </c>
      <c r="BN107" t="inlineStr">
        <is>
          <t>PL7DN</t>
        </is>
      </c>
      <c r="BP107" t="inlineStr">
        <is>
          <t>Green Submitted, gold</t>
        </is>
      </c>
      <c r="BS107" t="inlineStr">
        <is>
          <t>2023-10-26</t>
        </is>
      </c>
      <c r="BT107" t="inlineStr">
        <is>
          <t>WOS:000603277800001</t>
        </is>
      </c>
      <c r="BU107">
        <f>HYPERLINK("https%3A%2F%2Fwww.webofscience.com%2Fwos%2Fwoscc%2Ffull-record%2FWOS:000603277800001","View Full Record in Web of Science")</f>
        <v/>
      </c>
    </row>
    <row r="108">
      <c r="A108" t="inlineStr">
        <is>
          <t>J</t>
        </is>
      </c>
      <c r="B108" t="inlineStr">
        <is>
          <t>Morales-Flores, P; Marmolejo-Duarte, C</t>
        </is>
      </c>
      <c r="F108" t="inlineStr">
        <is>
          <t>Morales-Flores, Paloma; Marmolejo-Duarte, Carlos</t>
        </is>
      </c>
      <c r="J108" t="inlineStr">
        <is>
          <t>SUSTAINABILITY</t>
        </is>
      </c>
      <c r="M108" t="inlineStr">
        <is>
          <t>English</t>
        </is>
      </c>
      <c r="N108" t="inlineStr">
        <is>
          <t>Review</t>
        </is>
      </c>
      <c r="T108" t="inlineStr">
        <is>
          <t>Can We Build Walkable Environments to Support Social Capital? Towards a Spatial Understanding of Social Capital; a Scoping Review</t>
        </is>
      </c>
      <c r="U108" t="inlineStr">
        <is>
          <t>social capital; walkability; pedestrian environment</t>
        </is>
      </c>
      <c r="V108" t="inlineStr">
        <is>
          <t>NEIGHBORHOOD WALKABILITY; PHYSICAL-ACTIVITY; OLDER-ADULTS; COMMUNITY; SENSE; ASSOCIATION; MOBILITY; QUALITY; HEALTH; SPACE</t>
        </is>
      </c>
      <c r="W108" t="inlineStr">
        <is>
          <t>Empirical evidence suggests that it is possible to socially renew neighbourhoods through the formation of social capital (SC) as an effect of walking. The characteristics of the built environment that influence walkability and SC have been relatively well established by previous research, but contrasts remain. Therefore, this document seeks to investigate the relationship between SC and walkability, through a Scoping Review of empirical studies published in indexed journals in the Web of Science and Scopus. The findings indicate that the formation of SC as an effect of walking is associated with land use and the design of neighbourhood facilities; the provision of urban furniture (benches) and green spaces; and that the design and configuration of the neighbourhoods affects SC even more than the excess density. In addition, the methodological strategies used to arrive at these results were reviewed. The conclusions suggest the need to study this issue from an updated perspective, where new neighbourhood interaction systems can be tracked (that provide new indicators), using advanced tools and technologies that help streamline and make measurements more objective.</t>
        </is>
      </c>
      <c r="X108" t="inlineStr">
        <is>
          <t>[Morales-Flores, Paloma] Univ Politecn Cataluna, Barcelona Sch Architecture ETSAB, Dept Architectural Technol, Barcelona 08028, Spain; [Marmolejo-Duarte, Carlos] Univ Politecn Cataluna, Ctr Land Policy &amp; Valuat, Barcelona Sch Architecture ETSAB, Barcelona, Spain</t>
        </is>
      </c>
      <c r="Y108" t="inlineStr">
        <is>
          <t>Universitat Politecnica de Catalunya; Universitat Politecnica de Catalunya</t>
        </is>
      </c>
      <c r="Z108" t="inlineStr">
        <is>
          <t>Morales-Flores, P (corresponding author), Univ Politecn Cataluna, Barcelona Sch Architecture ETSAB, Dept Architectural Technol, Barcelona 08028, Spain.</t>
        </is>
      </c>
      <c r="AA108" t="inlineStr">
        <is>
          <t>paloma.morales@upc.edu; carlos.marmolejo@upc.edu</t>
        </is>
      </c>
      <c r="AB108" t="inlineStr">
        <is>
          <t>Marmolejo Duarte, Carlos/D-9162-2016</t>
        </is>
      </c>
      <c r="AC108" t="inlineStr">
        <is>
          <t>Marmolejo Duarte, Carlos/0000-0001-7051-7337; Morales-Flores, Paloma/0000-0002-6977-6013</t>
        </is>
      </c>
      <c r="AD108" t="inlineStr">
        <is>
          <t>Salud y Sostenibilidad (PASSOS) [REDES2018-102320-T]; Ministerio de Ciencia, Innovacion y Universidades</t>
        </is>
      </c>
      <c r="AE108" t="inlineStr">
        <is>
          <t>Salud y Sostenibilidad (PASSOS); Ministerio de Ciencia, Innovacion y Universidades(Spanish Government)</t>
        </is>
      </c>
      <c r="AF108" t="inlineStr">
        <is>
          <t>This research received funding from the project Peatones, Salud y Sostenibilidad (PASSOS) (ref. REDES2018-102320-T) which funding entity is Ministerio de Ciencia, Innovacion y Universidades.</t>
        </is>
      </c>
      <c r="AH108" t="n">
        <v>72</v>
      </c>
      <c r="AI108" t="n">
        <v>7</v>
      </c>
      <c r="AJ108" t="n">
        <v>7</v>
      </c>
      <c r="AK108" t="n">
        <v>6</v>
      </c>
      <c r="AL108" t="n">
        <v>19</v>
      </c>
      <c r="AM108" t="inlineStr">
        <is>
          <t>MDPI</t>
        </is>
      </c>
      <c r="AN108" t="inlineStr">
        <is>
          <t>BASEL</t>
        </is>
      </c>
      <c r="AO108" t="inlineStr">
        <is>
          <t>ST ALBAN-ANLAGE 66, CH-4052 BASEL, SWITZERLAND</t>
        </is>
      </c>
      <c r="AQ108" t="inlineStr">
        <is>
          <t>2071-1050</t>
        </is>
      </c>
      <c r="AS108" t="inlineStr">
        <is>
          <t>SUSTAINABILITY-BASEL</t>
        </is>
      </c>
      <c r="AT108" t="inlineStr">
        <is>
          <t>Sustainability</t>
        </is>
      </c>
      <c r="AU108" t="inlineStr">
        <is>
          <t>DEC</t>
        </is>
      </c>
      <c r="AV108" t="n">
        <v>2021</v>
      </c>
      <c r="AW108" t="n">
        <v>13</v>
      </c>
      <c r="AX108" t="n">
        <v>23</v>
      </c>
      <c r="BE108" t="n">
        <v>13259</v>
      </c>
      <c r="BF108" t="inlineStr">
        <is>
          <t>10.3390/su132313259</t>
        </is>
      </c>
      <c r="BG108">
        <f>HYPERLINK("http://dx.doi.org/10.3390/su132313259","http://dx.doi.org/10.3390/su132313259")</f>
        <v/>
      </c>
      <c r="BJ108" t="n">
        <v>15</v>
      </c>
      <c r="BK108" t="inlineStr">
        <is>
          <t>Green &amp; Sustainable Science &amp; Technology; Environmental Sciences; Environmental Studies</t>
        </is>
      </c>
      <c r="BL108" t="inlineStr">
        <is>
          <t>Science Citation Index Expanded (SCI-EXPANDED); Social Science Citation Index (SSCI)</t>
        </is>
      </c>
      <c r="BM108" t="inlineStr">
        <is>
          <t>Science &amp; Technology - Other Topics; Environmental Sciences &amp; Ecology</t>
        </is>
      </c>
      <c r="BN108" t="inlineStr">
        <is>
          <t>XV7YP</t>
        </is>
      </c>
      <c r="BP108" t="inlineStr">
        <is>
          <t>gold, Green Published</t>
        </is>
      </c>
      <c r="BS108" t="inlineStr">
        <is>
          <t>2023-10-26</t>
        </is>
      </c>
      <c r="BT108" t="inlineStr">
        <is>
          <t>WOS:000735153000001</t>
        </is>
      </c>
      <c r="BU108">
        <f>HYPERLINK("https%3A%2F%2Fwww.webofscience.com%2Fwos%2Fwoscc%2Ffull-record%2FWOS:000735153000001","View Full Record in Web of Science")</f>
        <v/>
      </c>
    </row>
    <row r="109">
      <c r="A109" t="inlineStr">
        <is>
          <t>J</t>
        </is>
      </c>
      <c r="B109" t="inlineStr">
        <is>
          <t>Zhen, Y</t>
        </is>
      </c>
      <c r="F109" t="inlineStr">
        <is>
          <t>Zhen, You</t>
        </is>
      </c>
      <c r="J109" t="inlineStr">
        <is>
          <t>JOURNAL OF ENVIRONMENTAL PROTECTION AND ECOLOGY</t>
        </is>
      </c>
      <c r="M109" t="inlineStr">
        <is>
          <t>English</t>
        </is>
      </c>
      <c r="N109" t="inlineStr">
        <is>
          <t>Article</t>
        </is>
      </c>
      <c r="T109" t="inlineStr">
        <is>
          <t>ANALYSIS ON PHYSICAL EXERCISE BEHAVIOUR IN THE ENVIRONMENT-FRIENDLY COMMUNITY</t>
        </is>
      </c>
      <c r="U109" t="inlineStr">
        <is>
          <t>environment friendly; community; physical exercise; persistence</t>
        </is>
      </c>
      <c r="V109" t="inlineStr">
        <is>
          <t>MOOC</t>
        </is>
      </c>
      <c r="W109" t="inlineStr">
        <is>
          <t>The environment-friendly community is the basic place and space for residents to practice the environment-friendly society. Community is the 'cell' of society, and environment-friendly community is an important foundation and fundamental way to build an environment-friendly society, and environmental factors are the factors that restrict the persistence of community residents in physical exercise. This paper analyses the physical environment, social environment, policy and economic environment. This paper points out the important factors that affect the persistence of community residents physical exercise. The conclusion can lay a theoretical foundation for the sustainable and healthy development of the residents in the environment-friendly community.</t>
        </is>
      </c>
      <c r="X109" t="inlineStr">
        <is>
          <t>[Zhen, You] Henan Polytech Inst, Sch Phys Educ, Nanyang 41000, Henan, Peoples R China</t>
        </is>
      </c>
      <c r="Z109" t="inlineStr">
        <is>
          <t>Zhen, Y (corresponding author), Henan Polytech Inst, Sch Phys Educ, Nanyang 41000, Henan, Peoples R China.</t>
        </is>
      </c>
      <c r="AA109" t="inlineStr">
        <is>
          <t>youzhen810916@163.com</t>
        </is>
      </c>
      <c r="AH109" t="n">
        <v>11</v>
      </c>
      <c r="AI109" t="n">
        <v>1</v>
      </c>
      <c r="AJ109" t="n">
        <v>1</v>
      </c>
      <c r="AK109" t="n">
        <v>3</v>
      </c>
      <c r="AL109" t="n">
        <v>14</v>
      </c>
      <c r="AM109" t="inlineStr">
        <is>
          <t>SCIBULCOM LTD</t>
        </is>
      </c>
      <c r="AN109" t="inlineStr">
        <is>
          <t>SOFIA</t>
        </is>
      </c>
      <c r="AO109" t="inlineStr">
        <is>
          <t>PO BOX 249, 1113 SOFIA, BULGARIA</t>
        </is>
      </c>
      <c r="AP109" t="inlineStr">
        <is>
          <t>1311-5065</t>
        </is>
      </c>
      <c r="AS109" t="inlineStr">
        <is>
          <t>J ENVIRON PROT ECOL</t>
        </is>
      </c>
      <c r="AT109" t="inlineStr">
        <is>
          <t>J. Environ. Prot. Ecol.</t>
        </is>
      </c>
      <c r="AV109" t="n">
        <v>2020</v>
      </c>
      <c r="AW109" t="n">
        <v>21</v>
      </c>
      <c r="AX109" t="n">
        <v>1</v>
      </c>
      <c r="BC109" t="n">
        <v>293</v>
      </c>
      <c r="BD109" t="n">
        <v>299</v>
      </c>
      <c r="BJ109" t="n">
        <v>7</v>
      </c>
      <c r="BK109" t="inlineStr">
        <is>
          <t>Environmental Sciences</t>
        </is>
      </c>
      <c r="BL109" t="inlineStr">
        <is>
          <t>Science Citation Index Expanded (SCI-EXPANDED)</t>
        </is>
      </c>
      <c r="BM109" t="inlineStr">
        <is>
          <t>Environmental Sciences &amp; Ecology</t>
        </is>
      </c>
      <c r="BN109" t="inlineStr">
        <is>
          <t>LL9OY</t>
        </is>
      </c>
      <c r="BS109" t="inlineStr">
        <is>
          <t>2023-10-26</t>
        </is>
      </c>
      <c r="BT109" t="inlineStr">
        <is>
          <t>WOS:000531885700033</t>
        </is>
      </c>
      <c r="BU109">
        <f>HYPERLINK("https%3A%2F%2Fwww.webofscience.com%2Fwos%2Fwoscc%2Ffull-record%2FWOS:000531885700033","View Full Record in Web of Science")</f>
        <v/>
      </c>
    </row>
    <row r="110">
      <c r="A110" t="inlineStr">
        <is>
          <t>J</t>
        </is>
      </c>
      <c r="B110" t="inlineStr">
        <is>
          <t>Qi, YT; Li, XD; Wang, YP; Zhou, D</t>
        </is>
      </c>
      <c r="F110" t="inlineStr">
        <is>
          <t>Qi, Yingtao; Li, Xiaodi; Wang, Yupeng; Zhou, Dian</t>
        </is>
      </c>
      <c r="J110" t="inlineStr">
        <is>
          <t>SUSTAINABILITY</t>
        </is>
      </c>
      <c r="M110" t="inlineStr">
        <is>
          <t>English</t>
        </is>
      </c>
      <c r="N110" t="inlineStr">
        <is>
          <t>Article</t>
        </is>
      </c>
      <c r="T110" t="inlineStr">
        <is>
          <t>Research on Indoor Thermal Environment Analysis and Optimization Strategy of Rural Dwellings around Xi'an Based on PET Evaluation</t>
        </is>
      </c>
      <c r="U110" t="inlineStr">
        <is>
          <t>rural dwellings; indoor thermal environment; PET; optimization strategy</t>
        </is>
      </c>
      <c r="V110" t="inlineStr">
        <is>
          <t>DESIGN; SIMULATION; WALL</t>
        </is>
      </c>
      <c r="W110" t="inlineStr">
        <is>
          <t>Rural dwellings are an important group of residential buildings in China. With the continuous development of rural construction in China, the contradiction between the pursuit of a simple material space and the villagers' demand for living quality, especially the indoor thermal comfort of rural dwellings, has become increasingly prominent. Therefore, it is particularly important to study the optimization strategies of the indoor thermal environment in rural dwellings. Current research on optimizing the indoor thermal environment of rural dwellings mainly focuses on analyzing the impact of individual factors, such as the envelope structures, building constructions, and building technology applications, but there is a lack of strategy development based on the comprehensive evaluation. This study aims to analyze the combined effects of multiple design elements on the indoor thermal environment and propose a comprehensive optimization strategy for rural dwellings. This study selects the rural dwellings around Xi'an as an example and establishes a basic model of the rural dwellings around Xi'an through field investigation and software simulation. Then, through univariate and compound-variable simulations, we analyze the influence of changes in passive architectural design indicators on the indoor physiological equivalent temperature (PET) of rural dwellings and obtain a comprehensive design indicator optimization strategy. This strategy can improve the indoor thermal comfort in winter and summer, especially in winter, achieving an average increase of 4.17 degrees C in the winter PET value and an average decrease of 0.66 degrees C in summer. This provides a reference for the design and renovation of rural dwellings in Xi'an and other rural areas in the cold regions of China.</t>
        </is>
      </c>
      <c r="X110" t="inlineStr">
        <is>
          <t>[Qi, Yingtao; Li, Xiaodi; Wang, Yupeng; Zhou, Dian] Xi An Jiao Tong Univ, Sch Human Settlements &amp; Civil Engn, Xian 710049, Peoples R China</t>
        </is>
      </c>
      <c r="Y110" t="inlineStr">
        <is>
          <t>Xi'an Jiaotong University</t>
        </is>
      </c>
      <c r="Z110" t="inlineStr">
        <is>
          <t>Li, XD (corresponding author), Xi An Jiao Tong Univ, Sch Human Settlements &amp; Civil Engn, Xian 710049, Peoples R China.</t>
        </is>
      </c>
      <c r="AA110" t="inlineStr">
        <is>
          <t>qi.yingtao@xjtu.edu.cn; kou0147896325@stu.xjtu.edu.cn; wang-yupeng@xjtu.edu.cn; dian-z@mail.xjtu.edu.cn</t>
        </is>
      </c>
      <c r="AC110" t="inlineStr">
        <is>
          <t>Qi, yingtao/0000-0003-4596-1342</t>
        </is>
      </c>
      <c r="AD110" t="inlineStr">
        <is>
          <t>National Natural Science Foundation of China [52108030]; China National Key RD Program [2018YFD110090504]</t>
        </is>
      </c>
      <c r="AE110" t="inlineStr">
        <is>
          <t>National Natural Science Foundation of China(National Natural Science Foundation of China (NSFC)); China National Key RD Program</t>
        </is>
      </c>
      <c r="AF110" t="inlineStr">
        <is>
          <t>This research was funded by the National Natural Science Foundation of China (No. 52108030), and the China National Key R&amp;D Program (Grant No. 2018YFD110090504).</t>
        </is>
      </c>
      <c r="AH110" t="n">
        <v>55</v>
      </c>
      <c r="AI110" t="n">
        <v>0</v>
      </c>
      <c r="AJ110" t="n">
        <v>0</v>
      </c>
      <c r="AK110" t="n">
        <v>6</v>
      </c>
      <c r="AL110" t="n">
        <v>6</v>
      </c>
      <c r="AM110" t="inlineStr">
        <is>
          <t>MDPI</t>
        </is>
      </c>
      <c r="AN110" t="inlineStr">
        <is>
          <t>BASEL</t>
        </is>
      </c>
      <c r="AO110" t="inlineStr">
        <is>
          <t>ST ALBAN-ANLAGE 66, CH-4052 BASEL, SWITZERLAND</t>
        </is>
      </c>
      <c r="AQ110" t="inlineStr">
        <is>
          <t>2071-1050</t>
        </is>
      </c>
      <c r="AS110" t="inlineStr">
        <is>
          <t>SUSTAINABILITY-BASEL</t>
        </is>
      </c>
      <c r="AT110" t="inlineStr">
        <is>
          <t>Sustainability</t>
        </is>
      </c>
      <c r="AU110" t="inlineStr">
        <is>
          <t>MAY 11</t>
        </is>
      </c>
      <c r="AV110" t="n">
        <v>2023</v>
      </c>
      <c r="AW110" t="n">
        <v>15</v>
      </c>
      <c r="AX110" t="n">
        <v>10</v>
      </c>
      <c r="BE110" t="n">
        <v>7889</v>
      </c>
      <c r="BF110" t="inlineStr">
        <is>
          <t>10.3390/su15107889</t>
        </is>
      </c>
      <c r="BG110">
        <f>HYPERLINK("http://dx.doi.org/10.3390/su15107889","http://dx.doi.org/10.3390/su15107889")</f>
        <v/>
      </c>
      <c r="BJ110" t="n">
        <v>25</v>
      </c>
      <c r="BK110" t="inlineStr">
        <is>
          <t>Green &amp; Sustainable Science &amp; Technology; Environmental Sciences; Environmental Studies</t>
        </is>
      </c>
      <c r="BL110" t="inlineStr">
        <is>
          <t>Science Citation Index Expanded (SCI-EXPANDED); Social Science Citation Index (SSCI)</t>
        </is>
      </c>
      <c r="BM110" t="inlineStr">
        <is>
          <t>Science &amp; Technology - Other Topics; Environmental Sciences &amp; Ecology</t>
        </is>
      </c>
      <c r="BN110" t="inlineStr">
        <is>
          <t>H6XR5</t>
        </is>
      </c>
      <c r="BP110" t="inlineStr">
        <is>
          <t>gold</t>
        </is>
      </c>
      <c r="BS110" t="inlineStr">
        <is>
          <t>2023-10-26</t>
        </is>
      </c>
      <c r="BT110" t="inlineStr">
        <is>
          <t>WOS:000997373200001</t>
        </is>
      </c>
      <c r="BU110">
        <f>HYPERLINK("https%3A%2F%2Fwww.webofscience.com%2Fwos%2Fwoscc%2Ffull-record%2FWOS:000997373200001","View Full Record in Web of Science")</f>
        <v/>
      </c>
    </row>
    <row r="111">
      <c r="A111" t="inlineStr">
        <is>
          <t>J</t>
        </is>
      </c>
      <c r="B111" t="inlineStr">
        <is>
          <t>Zhao, LZ; Shen, ZJ; Zhang, YJ; Sheng, FB</t>
        </is>
      </c>
      <c r="F111" t="inlineStr">
        <is>
          <t>Zhao, Lizhen; Shen, Zhenjiang; Zhang, Yanji; Sheng, Fubin</t>
        </is>
      </c>
      <c r="J111" t="inlineStr">
        <is>
          <t>SUSTAINABILITY</t>
        </is>
      </c>
      <c r="M111" t="inlineStr">
        <is>
          <t>English</t>
        </is>
      </c>
      <c r="N111" t="inlineStr">
        <is>
          <t>Article</t>
        </is>
      </c>
      <c r="T111" t="inlineStr">
        <is>
          <t>Study on the Impact of the Objective Characteristics and Subjective Perception of the Built Environment on Residents' Physical Activities in Fuzhou, China</t>
        </is>
      </c>
      <c r="U111" t="inlineStr">
        <is>
          <t>moderate-to-vigorous physical activity; built environment; objective characteristics; subjective perception; structural equation modelling</t>
        </is>
      </c>
      <c r="V111" t="inlineStr">
        <is>
          <t>WALKING; ADULTS; CRIME; LOCATION; DESIGN; HEALTH; TRAVEL</t>
        </is>
      </c>
      <c r="W111" t="inlineStr">
        <is>
          <t>Many researchers have confirmed a correlation between the built environment and physical activity. However, most studies are based on the objective characteristics of the built environment, and seldom involve the residents' subjective perception. The purpose of this study is to explore the relationship between the subjective and objective characteristics of the built environment and physical activity at the community scale. Data consists of that collected from a social survey, Points of Interest (POI), the road network, and land use in Fuzhou, China. The duration of moderate-to-vigorous physical activity (MVPA) within a week is used to represent the general physical activity of residents. Security perception is introduced as an intermediary variable. SPSS software is used for factor analysis and Amos software for statistical analysis. Structural equations are set up to analyse the relationship between these variables. The final results show that: (1) The objective characteristics of the built environment have no direct impact on the development of leisure MVPA, but it can indirectly affect leisure MVPA through residents' subjective perception of the built environment; (2) The subjective perception of residents has a significant impact on the duration of MVPA, the subjective perception of humanized space has a direct impact on the duration of MVPA, and destination accessibility and urban environment maintenance has an indirect impact through community public security perception; and (3) The individuals' attributes such as gender and self-evaluated socioeconomic status have negative effects on the duration of leisure MVPA, and an individual's love of sports has a positive effect on MVPA.</t>
        </is>
      </c>
      <c r="X111" t="inlineStr">
        <is>
          <t>[Zhao, Lizhen; Shen, Zhenjiang] Kanazawa Univ, Sch Environm Design, Kanazawa, Ishikawa 9201192, Japan; [Zhao, Lizhen; Zhang, Yanji] Fuzhou Univ, Sch Architecture &amp; Urban Rural Planning, Fuzhou 350116, Peoples R China; [Sheng, Fubin] Wuhan Univ, Sch Urban Design, Wuhan 430070, Peoples R China</t>
        </is>
      </c>
      <c r="Y111" t="inlineStr">
        <is>
          <t>Kanazawa University; Fuzhou University; Wuhan University</t>
        </is>
      </c>
      <c r="Z111" t="inlineStr">
        <is>
          <t>Shen, ZJ (corresponding author), Kanazawa Univ, Sch Environm Design, Kanazawa, Ishikawa 9201192, Japan.</t>
        </is>
      </c>
      <c r="AA111" t="inlineStr">
        <is>
          <t>zlz1997@fzu.edu.cn; shenzhe@se.kanazawa-u.ac.jp; chairman7up@126.com; 2019202090016@whu.edu.cn</t>
        </is>
      </c>
      <c r="AB111" t="inlineStr">
        <is>
          <t>Shen, Zhenjiang/J-7979-2015</t>
        </is>
      </c>
      <c r="AC111" t="inlineStr">
        <is>
          <t>Shen, Zhenjiang/0000-0002-0417-5962</t>
        </is>
      </c>
      <c r="AD111" t="inlineStr">
        <is>
          <t>Youth Program of the Humanities and Social Science Research of the Ministry of Education [19YJCZH258]</t>
        </is>
      </c>
      <c r="AE111" t="inlineStr">
        <is>
          <t>Youth Program of the Humanities and Social Science Research of the Ministry of Education</t>
        </is>
      </c>
      <c r="AF111" t="inlineStr">
        <is>
          <t>This research was sponsored by the Youth Program of the Humanities and Social Science Research of the Ministry of Education, No. 19YJCZH258.</t>
        </is>
      </c>
      <c r="AH111" t="n">
        <v>36</v>
      </c>
      <c r="AI111" t="n">
        <v>7</v>
      </c>
      <c r="AJ111" t="n">
        <v>7</v>
      </c>
      <c r="AK111" t="n">
        <v>4</v>
      </c>
      <c r="AL111" t="n">
        <v>46</v>
      </c>
      <c r="AM111" t="inlineStr">
        <is>
          <t>MDPI</t>
        </is>
      </c>
      <c r="AN111" t="inlineStr">
        <is>
          <t>BASEL</t>
        </is>
      </c>
      <c r="AO111" t="inlineStr">
        <is>
          <t>ST ALBAN-ANLAGE 66, CH-4052 BASEL, SWITZERLAND</t>
        </is>
      </c>
      <c r="AQ111" t="inlineStr">
        <is>
          <t>2071-1050</t>
        </is>
      </c>
      <c r="AS111" t="inlineStr">
        <is>
          <t>SUSTAINABILITY-BASEL</t>
        </is>
      </c>
      <c r="AT111" t="inlineStr">
        <is>
          <t>Sustainability</t>
        </is>
      </c>
      <c r="AU111" t="inlineStr">
        <is>
          <t>JAN</t>
        </is>
      </c>
      <c r="AV111" t="n">
        <v>2020</v>
      </c>
      <c r="AW111" t="n">
        <v>12</v>
      </c>
      <c r="AX111" t="n">
        <v>1</v>
      </c>
      <c r="BE111" t="n">
        <v>329</v>
      </c>
      <c r="BF111" t="inlineStr">
        <is>
          <t>10.3390/su12010329</t>
        </is>
      </c>
      <c r="BG111">
        <f>HYPERLINK("http://dx.doi.org/10.3390/su12010329","http://dx.doi.org/10.3390/su12010329")</f>
        <v/>
      </c>
      <c r="BJ111" t="n">
        <v>14</v>
      </c>
      <c r="BK111" t="inlineStr">
        <is>
          <t>Green &amp; Sustainable Science &amp; Technology; Environmental Sciences; Environmental Studies</t>
        </is>
      </c>
      <c r="BL111" t="inlineStr">
        <is>
          <t>Science Citation Index Expanded (SCI-EXPANDED); Social Science Citation Index (SSCI)</t>
        </is>
      </c>
      <c r="BM111" t="inlineStr">
        <is>
          <t>Science &amp; Technology - Other Topics; Environmental Sciences &amp; Ecology</t>
        </is>
      </c>
      <c r="BN111" t="inlineStr">
        <is>
          <t>KX5YC</t>
        </is>
      </c>
      <c r="BP111" t="inlineStr">
        <is>
          <t>gold, Green Published</t>
        </is>
      </c>
      <c r="BS111" t="inlineStr">
        <is>
          <t>2023-10-26</t>
        </is>
      </c>
      <c r="BT111" t="inlineStr">
        <is>
          <t>WOS:000521955600329</t>
        </is>
      </c>
      <c r="BU111">
        <f>HYPERLINK("https%3A%2F%2Fwww.webofscience.com%2Fwos%2Fwoscc%2Ffull-record%2FWOS:000521955600329","View Full Record in Web of Science")</f>
        <v/>
      </c>
    </row>
    <row r="112">
      <c r="A112" t="inlineStr">
        <is>
          <t>J</t>
        </is>
      </c>
      <c r="B112" t="inlineStr">
        <is>
          <t>Bödeker, M</t>
        </is>
      </c>
      <c r="F112" t="inlineStr">
        <is>
          <t>Boedeker, Malte</t>
        </is>
      </c>
      <c r="J112" t="inlineStr">
        <is>
          <t>INTERNATIONAL JOURNAL OF ENVIRONMENTAL RESEARCH AND PUBLIC HEALTH</t>
        </is>
      </c>
      <c r="M112" t="inlineStr">
        <is>
          <t>English</t>
        </is>
      </c>
      <c r="N112" t="inlineStr">
        <is>
          <t>Article</t>
        </is>
      </c>
      <c r="T112" t="inlineStr">
        <is>
          <t>Walking and Walkability in Pre-Set and Self-Defined Neighborhoods: A Mental Mapping Study in Older Adults</t>
        </is>
      </c>
      <c r="U112" t="inlineStr">
        <is>
          <t>older adults; physical activity; walking; built environment; walkability; neighborhood; exposure area</t>
        </is>
      </c>
      <c r="V112" t="inlineStr">
        <is>
          <t>PHYSICAL-ACTIVITY; BUILT ENVIRONMENT; HEALTH INTERVIEW; ACTIVITY SPACES; PERCEPTIONS; IMPACT; TRIPS</t>
        </is>
      </c>
      <c r="W112" t="inlineStr">
        <is>
          <t>Neighborhood walkability contributes to older adults' walking. However, associations vary depending on the neighborhood definition applied as well as between objective and perceived walkability measures. Therefore, this study aimed to comparatively assess walkability indices for commonly used pedestrian network buffers and perceived neighborhood areas. A total of 97 adults aged &gt;= 65 years answered a written physical activity questionnaire and 69 respondents participated in face-to-face interviews that involved mental mapping, i.e., to draw perceived neighborhood delineations on paper maps. Hierarchical regression analyses were used to compare the contribution of walkability indices for pre-set buffers and self-defined neighborhoods to older adults' walking after adjusting for covariates. Results show that older adults' self-defined neighborhoods are significantly larger, less home-centered, and more walkable than commonly used buffers. Furthermore, the variance accounted for in neighborhood walking increased from 35.9% to 40.4% (Delta R-2 = 0.046; p = 0.029), when the walkability index was calculated for self-defined neighborhoods rather than pre-set buffers. Therefore, the study supports that geometric differences between pre-set buffers and older adults' spatial ideas of perceived neighborhoods have a significant influence on estimated walkability effects and that exposure areas should be matched with the spatial dimension of outcome variables in future research.</t>
        </is>
      </c>
      <c r="X112" t="inlineStr">
        <is>
          <t>[Boedeker, Malte] Bielefeld Univ, Sch Publ Hlth, Dept Prevent &amp; Hlth Promot, POB 10 01 31, D-33501 Bielefeld, Germany; [Boedeker, Malte] Bavarian Hlth &amp; Food Safety Author, Inst Publ Hlth, Schweinauer Hauptstr 80, D-90441 Nurnberg, Germany</t>
        </is>
      </c>
      <c r="Y112" t="inlineStr">
        <is>
          <t>University of Bielefeld; Bavarian Health &amp; Food Safety Authority</t>
        </is>
      </c>
      <c r="Z112" t="inlineStr">
        <is>
          <t>Bödeker, M (corresponding author), Bielefeld Univ, Sch Publ Hlth, Dept Prevent &amp; Hlth Promot, POB 10 01 31, D-33501 Bielefeld, Germany.;Bödeker, M (corresponding author), Bavarian Hlth &amp; Food Safety Author, Inst Publ Hlth, Schweinauer Hauptstr 80, D-90441 Nurnberg, Germany.</t>
        </is>
      </c>
      <c r="AA112" t="inlineStr">
        <is>
          <t>malte.boedeker@lgl.bayern.de</t>
        </is>
      </c>
      <c r="AB112" t="inlineStr">
        <is>
          <t>Bödeker, Malte/AAO-3380-2021</t>
        </is>
      </c>
      <c r="AC112" t="inlineStr">
        <is>
          <t>Bödeker, Malte/0000-0001-6376-564X</t>
        </is>
      </c>
      <c r="AD112" t="inlineStr">
        <is>
          <t>Deutsche Forschungsgemeinschaft; Open Access Publication Fund of Bielefeld University</t>
        </is>
      </c>
      <c r="AE112" t="inlineStr">
        <is>
          <t>Deutsche Forschungsgemeinschaft(German Research Foundation (DFG)); Open Access Publication Fund of Bielefeld University</t>
        </is>
      </c>
      <c r="AF112" t="inlineStr">
        <is>
          <t>I acknowledge support for the Article Processing Charge by the Deutsche Forschungsgemeinschaft and the Open Access Publication Fund of Bielefeld University.</t>
        </is>
      </c>
      <c r="AH112" t="n">
        <v>62</v>
      </c>
      <c r="AI112" t="n">
        <v>13</v>
      </c>
      <c r="AJ112" t="n">
        <v>13</v>
      </c>
      <c r="AK112" t="n">
        <v>5</v>
      </c>
      <c r="AL112" t="n">
        <v>27</v>
      </c>
      <c r="AM112" t="inlineStr">
        <is>
          <t>MDPI</t>
        </is>
      </c>
      <c r="AN112" t="inlineStr">
        <is>
          <t>BASEL</t>
        </is>
      </c>
      <c r="AO112" t="inlineStr">
        <is>
          <t>ST ALBAN-ANLAGE 66, CH-4052 BASEL, SWITZERLAND</t>
        </is>
      </c>
      <c r="AQ112" t="inlineStr">
        <is>
          <t>1660-4601</t>
        </is>
      </c>
      <c r="AS112" t="inlineStr">
        <is>
          <t>INT J ENV RES PUB HE</t>
        </is>
      </c>
      <c r="AT112" t="inlineStr">
        <is>
          <t>Int. J. Environ. Res. Public Health</t>
        </is>
      </c>
      <c r="AU112" t="inlineStr">
        <is>
          <t>JUL</t>
        </is>
      </c>
      <c r="AV112" t="n">
        <v>2018</v>
      </c>
      <c r="AW112" t="n">
        <v>15</v>
      </c>
      <c r="AX112" t="n">
        <v>7</v>
      </c>
      <c r="BE112" t="n">
        <v>1363</v>
      </c>
      <c r="BF112" t="inlineStr">
        <is>
          <t>10.3390/ijerph15071363</t>
        </is>
      </c>
      <c r="BG112">
        <f>HYPERLINK("http://dx.doi.org/10.3390/ijerph15071363","http://dx.doi.org/10.3390/ijerph15071363")</f>
        <v/>
      </c>
      <c r="BJ112" t="n">
        <v>12</v>
      </c>
      <c r="BK112" t="inlineStr">
        <is>
          <t>Environmental Sciences; Public, Environmental &amp; Occupational Health</t>
        </is>
      </c>
      <c r="BL112" t="inlineStr">
        <is>
          <t>Science Citation Index Expanded (SCI-EXPANDED); Social Science Citation Index (SSCI)</t>
        </is>
      </c>
      <c r="BM112" t="inlineStr">
        <is>
          <t>Environmental Sciences &amp; Ecology; Public, Environmental &amp; Occupational Health</t>
        </is>
      </c>
      <c r="BN112" t="inlineStr">
        <is>
          <t>GU7XC</t>
        </is>
      </c>
      <c r="BO112" t="n">
        <v>29958469</v>
      </c>
      <c r="BP112" t="inlineStr">
        <is>
          <t>Green Published, gold</t>
        </is>
      </c>
      <c r="BS112" t="inlineStr">
        <is>
          <t>2023-10-26</t>
        </is>
      </c>
      <c r="BT112" t="inlineStr">
        <is>
          <t>WOS:000445543500069</t>
        </is>
      </c>
      <c r="BU112">
        <f>HYPERLINK("https%3A%2F%2Fwww.webofscience.com%2Fwos%2Fwoscc%2Ffull-record%2FWOS:000445543500069","View Full Record in Web of Science")</f>
        <v/>
      </c>
    </row>
    <row r="113">
      <c r="A113" t="inlineStr">
        <is>
          <t>J</t>
        </is>
      </c>
      <c r="B113" t="inlineStr">
        <is>
          <t>Isiagi, M; Okop, KJ; Lambert, EV</t>
        </is>
      </c>
      <c r="F113" t="inlineStr">
        <is>
          <t>Isiagi, Moses; Okop, Kufre Joseph; Lambert, Estelle Victoria</t>
        </is>
      </c>
      <c r="J113" t="inlineStr">
        <is>
          <t>INTERNATIONAL JOURNAL OF ENVIRONMENTAL RESEARCH AND PUBLIC HEALTH</t>
        </is>
      </c>
      <c r="M113" t="inlineStr">
        <is>
          <t>English</t>
        </is>
      </c>
      <c r="N113" t="inlineStr">
        <is>
          <t>Article</t>
        </is>
      </c>
      <c r="T113" t="inlineStr">
        <is>
          <t>The Relationship between Physical Activity and the Objectively-Measured Built Environment in Low- and High-Income South African Communities</t>
        </is>
      </c>
      <c r="U113" t="inlineStr">
        <is>
          <t>physical activity; built environment; walkability; walking; transportation; recreation; ground-truthing</t>
        </is>
      </c>
      <c r="W113" t="inlineStr">
        <is>
          <t>There is limited data concerning the built environment and physical activity (PA) in a country with a history of sociopolitically motivated, spatial and economic disparities. We explored the extent to which objectively measured attributes of the built environment were associated with self-report or device-measured PA in low- and high-socioeconomic status (SES) communities. Methods: In a convenient sample of residents (n = 52, aged 18-65 years) from four urban suburbs in low- and high-income settings near Cape Town, South Africa, self-reported transport- and leisure-time PA, and device-measured moderate-to-vigorous PA (MVPA) data were collected. Built environment constructs derived from individual-level street network measures (1000 m buffer, ArcGIS, 10.51) were obtained. We assessed PA between four groups, based on income and GIS walkability (derived by a median split, low or high SES and low or high walkable). Results: No relationships between self-reported MVPA and GIS-measured walkability were found. Only intersection density was significantly, inversely associated with moderate and total MVPA (rho = -0.29 and rho = -0.31, respectively, p &lt; 0.05). In the high SES group, vigorous PA was inversely associated with intersection density (rho = -0.39, p &lt; 0.05). Self-report transport PA differed between groups (p &lt; 0.013). Conclusions: Results suggest that the construct of walkability may relate to volitional (leisure) and utilitarian (transport) PA differently, in highly inequitable settings.</t>
        </is>
      </c>
      <c r="X113" t="inlineStr">
        <is>
          <t>[Isiagi, Moses; Okop, Kufre Joseph; Lambert, Estelle Victoria] Univ Cape Town, Res Ctr Hlth Phys Act Lifestyle &amp; Sport HPALS, Div Exercise Sci &amp; Sports Med ESSM, Dept Human Biol,Fac Hlth Sci,FIMS Int Collaborati, ZA-7725 Cape Town, South Africa; [Okop, Kufre Joseph] Univ Cape Town, Fac Humanities, ZA-7725 Cape Town, South Africa</t>
        </is>
      </c>
      <c r="Y113" t="inlineStr">
        <is>
          <t>University of Cape Town; University of Cape Town</t>
        </is>
      </c>
      <c r="Z113" t="inlineStr">
        <is>
          <t>Isiagi, M; Lambert, EV (corresponding author), Univ Cape Town, Res Ctr Hlth Phys Act Lifestyle &amp; Sport HPALS, Div Exercise Sci &amp; Sports Med ESSM, Dept Human Biol,Fac Hlth Sci,FIMS Int Collaborati, ZA-7725 Cape Town, South Africa.</t>
        </is>
      </c>
      <c r="AA113" t="inlineStr">
        <is>
          <t>isiaigimoses@gmail.com; kufre.okop@uct.ac.za; vicki.lambert@uct.ac.za</t>
        </is>
      </c>
      <c r="AB113" t="inlineStr">
        <is>
          <t>Okop, Kufre Joseph/J-1752-2019</t>
        </is>
      </c>
      <c r="AC113" t="inlineStr">
        <is>
          <t>Okop, Kufre Joseph/0000-0002-0841-4588; Lambert, Estelle Victoria/0000-0003-4315-9153; Isiagi, Moses/0000-0002-8900-7836</t>
        </is>
      </c>
      <c r="AD113" t="inlineStr">
        <is>
          <t>National Research Foundation of South Africa; Postgraduate Funding Office at University of Cape Town; Ziphele Mbambo Fund</t>
        </is>
      </c>
      <c r="AE113" t="inlineStr">
        <is>
          <t>National Research Foundation of South Africa(National Research Foundation - South Africa); Postgraduate Funding Office at University of Cape Town; Ziphele Mbambo Fund</t>
        </is>
      </c>
      <c r="AF113" t="inlineStr">
        <is>
          <t>This study was funded, in part, by the National Research Foundation of South Africa, and scholarships were provided for Isiagi from the Postgraduate Funding Office at University of Cape Town, and the Ziphele Mbambo Fund.</t>
        </is>
      </c>
      <c r="AH113" t="n">
        <v>41</v>
      </c>
      <c r="AI113" t="n">
        <v>2</v>
      </c>
      <c r="AJ113" t="n">
        <v>2</v>
      </c>
      <c r="AK113" t="n">
        <v>1</v>
      </c>
      <c r="AL113" t="n">
        <v>9</v>
      </c>
      <c r="AM113" t="inlineStr">
        <is>
          <t>MDPI</t>
        </is>
      </c>
      <c r="AN113" t="inlineStr">
        <is>
          <t>BASEL</t>
        </is>
      </c>
      <c r="AO113" t="inlineStr">
        <is>
          <t>ST ALBAN-ANLAGE 66, CH-4052 BASEL, SWITZERLAND</t>
        </is>
      </c>
      <c r="AQ113" t="inlineStr">
        <is>
          <t>1660-4601</t>
        </is>
      </c>
      <c r="AS113" t="inlineStr">
        <is>
          <t>INT J ENV RES PUB HE</t>
        </is>
      </c>
      <c r="AT113" t="inlineStr">
        <is>
          <t>Int. J. Environ. Res. Public Health</t>
        </is>
      </c>
      <c r="AU113" t="inlineStr">
        <is>
          <t>APR</t>
        </is>
      </c>
      <c r="AV113" t="n">
        <v>2021</v>
      </c>
      <c r="AW113" t="n">
        <v>18</v>
      </c>
      <c r="AX113" t="n">
        <v>8</v>
      </c>
      <c r="BE113" t="n">
        <v>3853</v>
      </c>
      <c r="BF113" t="inlineStr">
        <is>
          <t>10.3390/ijerph18083853</t>
        </is>
      </c>
      <c r="BG113">
        <f>HYPERLINK("http://dx.doi.org/10.3390/ijerph18083853","http://dx.doi.org/10.3390/ijerph18083853")</f>
        <v/>
      </c>
      <c r="BJ113" t="n">
        <v>13</v>
      </c>
      <c r="BK113" t="inlineStr">
        <is>
          <t>Environmental Sciences; Public, Environmental &amp; Occupational Health</t>
        </is>
      </c>
      <c r="BL113" t="inlineStr">
        <is>
          <t>Science Citation Index Expanded (SCI-EXPANDED); Social Science Citation Index (SSCI)</t>
        </is>
      </c>
      <c r="BM113" t="inlineStr">
        <is>
          <t>Environmental Sciences &amp; Ecology; Public, Environmental &amp; Occupational Health</t>
        </is>
      </c>
      <c r="BN113" t="inlineStr">
        <is>
          <t>RS9ZX</t>
        </is>
      </c>
      <c r="BO113" t="n">
        <v>33916926</v>
      </c>
      <c r="BP113" t="inlineStr">
        <is>
          <t>Green Published, gold</t>
        </is>
      </c>
      <c r="BS113" t="inlineStr">
        <is>
          <t>2023-10-26</t>
        </is>
      </c>
      <c r="BT113" t="inlineStr">
        <is>
          <t>WOS:000644129900001</t>
        </is>
      </c>
      <c r="BU113">
        <f>HYPERLINK("https%3A%2F%2Fwww.webofscience.com%2Fwos%2Fwoscc%2Ffull-record%2FWOS:000644129900001","View Full Record in Web of Science")</f>
        <v/>
      </c>
    </row>
    <row r="114">
      <c r="A114" t="inlineStr">
        <is>
          <t>J</t>
        </is>
      </c>
      <c r="B114" t="inlineStr">
        <is>
          <t>Cetin, M; Aisha, AESA</t>
        </is>
      </c>
      <c r="F114" t="inlineStr">
        <is>
          <t>Cetin, Mehmet; Aisha, Adel Easa Saad Abo</t>
        </is>
      </c>
      <c r="J114" t="inlineStr">
        <is>
          <t>ENVIRONMENTAL SCIENCE AND POLLUTION RESEARCH</t>
        </is>
      </c>
      <c r="M114" t="inlineStr">
        <is>
          <t>English</t>
        </is>
      </c>
      <c r="N114" t="inlineStr">
        <is>
          <t>Article</t>
        </is>
      </c>
      <c r="T114" t="inlineStr">
        <is>
          <t>Variation of Al concentrations depending on the growing environment in some indoor plants that used in architectural designs</t>
        </is>
      </c>
      <c r="U114" t="inlineStr">
        <is>
          <t>Aluminum; Cigarette; Heavy metal; Indoor plant; Traffic</t>
        </is>
      </c>
      <c r="V114" t="inlineStr">
        <is>
          <t>TRAFFIC DENSITY</t>
        </is>
      </c>
      <c r="W114" t="inlineStr">
        <is>
          <t>Today, most of people's time is spent indoors. Air pollution indoors is much higher than outdoors. Therefore, the effect of indoor air on human health is much more than the outside air. One of the most effective methods of reducing indoor air pollution is the use of plants. However, in order for the plants to be used effectively for this purpose, it is first necessary to determine which plants are the most effective in reducing which pollutants. Within the scope of this study, the Al accumulation potential of seven ornamental plants, which are frequently used in interior architectural designs, was evaluated. Within the scope of the study, the variation of Al concentrations on the basis of species and environment was determined in plants grown in control, smoking environment, and traffic environment. As a result of the study, it was determined that Al concentrations changed statistically significantly both on the basis of environment and species, and the species with the highest Al accumulation potential was difenbahya.</t>
        </is>
      </c>
      <c r="X114" t="inlineStr">
        <is>
          <t>[Cetin, Mehmet] Ondokuz Mayis Univ, Fac Architecture, Dept City &amp; Reg Planning, Samsun, Turkey; [Aisha, Adel Easa Saad Abo] Kastamonu Univ, Inst Sci, Dept Mat Sci &amp; Engn, Kastamonu, Turkey</t>
        </is>
      </c>
      <c r="Y114" t="inlineStr">
        <is>
          <t>Ondokuz Mayis University; Kastamonu University</t>
        </is>
      </c>
      <c r="Z114" t="inlineStr">
        <is>
          <t>Aisha, AESA (corresponding author), Kastamonu Univ, Inst Sci, Dept Mat Sci &amp; Engn, Kastamonu, Turkey.</t>
        </is>
      </c>
      <c r="AA114" t="inlineStr">
        <is>
          <t>mehmet.cetin@omu.edu.tr; adelaboaishakastamonuuni@gmail.com</t>
        </is>
      </c>
      <c r="AB114" t="inlineStr">
        <is>
          <t>cetin, mehmet/O-4016-2015</t>
        </is>
      </c>
      <c r="AC114" t="inlineStr">
        <is>
          <t>cetin, mehmet/0000-0002-8992-0289; ABO AISHA, Adel Easa Saad/0000-0002-7543-8627</t>
        </is>
      </c>
      <c r="AH114" t="n">
        <v>63</v>
      </c>
      <c r="AI114" t="n">
        <v>5</v>
      </c>
      <c r="AJ114" t="n">
        <v>5</v>
      </c>
      <c r="AK114" t="n">
        <v>3</v>
      </c>
      <c r="AL114" t="n">
        <v>13</v>
      </c>
      <c r="AM114" t="inlineStr">
        <is>
          <t>SPRINGER HEIDELBERG</t>
        </is>
      </c>
      <c r="AN114" t="inlineStr">
        <is>
          <t>HEIDELBERG</t>
        </is>
      </c>
      <c r="AO114" t="inlineStr">
        <is>
          <t>TIERGARTENSTRASSE 17, D-69121 HEIDELBERG, GERMANY</t>
        </is>
      </c>
      <c r="AP114" t="inlineStr">
        <is>
          <t>0944-1344</t>
        </is>
      </c>
      <c r="AQ114" t="inlineStr">
        <is>
          <t>1614-7499</t>
        </is>
      </c>
      <c r="AS114" t="inlineStr">
        <is>
          <t>ENVIRON SCI POLLUT R</t>
        </is>
      </c>
      <c r="AT114" t="inlineStr">
        <is>
          <t>Environ. Sci. Pollut. Res.</t>
        </is>
      </c>
      <c r="AU114" t="inlineStr">
        <is>
          <t>FEB</t>
        </is>
      </c>
      <c r="AV114" t="n">
        <v>2023</v>
      </c>
      <c r="AW114" t="n">
        <v>30</v>
      </c>
      <c r="AX114" t="n">
        <v>7</v>
      </c>
      <c r="BC114" t="n">
        <v>18748</v>
      </c>
      <c r="BD114" t="n">
        <v>18754</v>
      </c>
      <c r="BE114" t="inlineStr">
        <is>
          <t>s11356-022-23434-6</t>
        </is>
      </c>
      <c r="BF114" t="inlineStr">
        <is>
          <t>10.1007/s11356-022-23434-6</t>
        </is>
      </c>
      <c r="BG114">
        <f>HYPERLINK("http://dx.doi.org/10.1007/s11356-022-23434-6","http://dx.doi.org/10.1007/s11356-022-23434-6")</f>
        <v/>
      </c>
      <c r="BI114" t="inlineStr">
        <is>
          <t>OCT 2022</t>
        </is>
      </c>
      <c r="BJ114" t="n">
        <v>7</v>
      </c>
      <c r="BK114" t="inlineStr">
        <is>
          <t>Environmental Sciences</t>
        </is>
      </c>
      <c r="BL114" t="inlineStr">
        <is>
          <t>Science Citation Index Expanded (SCI-EXPANDED)</t>
        </is>
      </c>
      <c r="BM114" t="inlineStr">
        <is>
          <t>Environmental Sciences &amp; Ecology</t>
        </is>
      </c>
      <c r="BN114" t="inlineStr">
        <is>
          <t>F7PY9</t>
        </is>
      </c>
      <c r="BO114" t="n">
        <v>36219289</v>
      </c>
      <c r="BS114" t="inlineStr">
        <is>
          <t>2023-10-26</t>
        </is>
      </c>
      <c r="BT114" t="inlineStr">
        <is>
          <t>WOS:000865920400015</t>
        </is>
      </c>
      <c r="BU114">
        <f>HYPERLINK("https%3A%2F%2Fwww.webofscience.com%2Fwos%2Fwoscc%2Ffull-record%2FWOS:000865920400015","View Full Record in Web of Science")</f>
        <v/>
      </c>
    </row>
    <row r="115">
      <c r="A115" t="inlineStr">
        <is>
          <t>J</t>
        </is>
      </c>
      <c r="B115" t="inlineStr">
        <is>
          <t>Nicklett, EJ; Lohman, MC; Smith, ML</t>
        </is>
      </c>
      <c r="F115" t="inlineStr">
        <is>
          <t>Nicklett, Emily Joy; Lohman, Matthew C.; Smith, Matthew Lee</t>
        </is>
      </c>
      <c r="J115" t="inlineStr">
        <is>
          <t>INTERNATIONAL JOURNAL OF ENVIRONMENTAL RESEARCH AND PUBLIC HEALTH</t>
        </is>
      </c>
      <c r="M115" t="inlineStr">
        <is>
          <t>English</t>
        </is>
      </c>
      <c r="N115" t="inlineStr">
        <is>
          <t>Article</t>
        </is>
      </c>
      <c r="T115" t="inlineStr">
        <is>
          <t>Neighborhood Environment and Falls among Community-Dwelling Older Adults</t>
        </is>
      </c>
      <c r="U115" t="inlineStr">
        <is>
          <t>neighborhood factors; social cohesion; physical disorder; older adults; fall events</t>
        </is>
      </c>
      <c r="V115" t="inlineStr">
        <is>
          <t>SOCIAL COHESION; RISK-FACTORS; OUTDOOR FALLS; MULTIFACTORIAL INTERVENTION; PHYSICAL-ACTIVITY; WALKING; HEALTH; PREVENTION; MOBILITY; INJURIES</t>
        </is>
      </c>
      <c r="W115" t="inlineStr">
        <is>
          <t>Background: Falls present a major challenge to active aging, but the relationship between neighborhood factors and falls is poorly understood. This study examined the relationship between fall events and neighborhood factors, including neighborhood social cohesion (sense of belonging, trust, friendliness, and helpfulness) and physical environment (vandalism/graffiti, rubbish, vacant/deserted houses, and perceived safety walking home at night). Methods: Data were analyzed from 9259 participants over four biennial waves (2006-2012) of the Health and Retirement Study (HRS), a nationally representative sample of adults aged 65 and older in the United States. Results: In models adjusting for demographic and health-related covariates, a one-unit increase in neighborhood social cohesion was associated with 4% lower odds of experiencing a single fall (odds ratio (OR): 0.96, 95% confidence interval (CI): 0.93-0.99) and 6% lower odds of experiencing multiple falls (OR: 0.94, 95% CI: 0.90-0.98). A one-unit increase in the physical environment scale was associated with 4% lower odds of experiencing a single fall (OR: 0.96, 95% CI: 0.93-0.99) and with 5% lower odds of experiencing multiple falls (OR: 0.95, 95% CI: 0.91-1.00) in adjusted models. Conclusions: The physical and social neighborhood environment may affect fall risk among community-dwelling older adults. Findings support the ongoing need for evidence-based fall prevention programming in community and clinical settings.</t>
        </is>
      </c>
      <c r="X115" t="inlineStr">
        <is>
          <t>[Nicklett, Emily Joy] Univ Michigan, Sch Social Work, Ann Arbor, MI 48109 USA; [Lohman, Matthew C.] Dartmouth Geisel Sch Med, Dept Psychiat, Lebanon, NH 03766 USA; [Smith, Matthew Lee] Univ Georgia, Inst Gerontol, Dept Hlth Promot &amp; Behav, Coll Publ Hlth, Athens, GA 30602 USA; [Smith, Matthew Lee] Texas A&amp;M Univ, Sch Publ Hlth, Dept Hlth Promot &amp; Community Hlth Sci, College Stn, TX 77842 USA</t>
        </is>
      </c>
      <c r="Y115" t="inlineStr">
        <is>
          <t>University of Michigan System; University of Michigan; Dartmouth College; University System of Georgia; University of Georgia; Texas A&amp;M University System; Texas A&amp;M University College Station; Texas A&amp;M Health Science Center</t>
        </is>
      </c>
      <c r="Z115" t="inlineStr">
        <is>
          <t>Nicklett, EJ (corresponding author), Univ Michigan, Sch Social Work, Ann Arbor, MI 48109 USA.</t>
        </is>
      </c>
      <c r="AA115" t="inlineStr">
        <is>
          <t>enicklet@umich.edu; matt.lohman@gmail.com; health@uga.edu</t>
        </is>
      </c>
      <c r="AB115" t="inlineStr">
        <is>
          <t>Lohman, Matthew/U-9821-2017</t>
        </is>
      </c>
      <c r="AC115" t="inlineStr">
        <is>
          <t>Lohman, Matthew/0000-0002-2273-2160; Nicklett, Emily/0000-0002-8515-8709</t>
        </is>
      </c>
      <c r="AD115" t="inlineStr">
        <is>
          <t>National Congress of American Indians (NCAI) [P30DK092950]; National Institute of Mental Health [T32 MH073553]</t>
        </is>
      </c>
      <c r="AE115" t="inlineStr">
        <is>
          <t>National Congress of American Indians (NCAI); National Institute of Mental Health(United States Department of Health &amp; Human ServicesNational Institutes of Health (NIH) - USANIH National Institute of Mental Health (NIMH))</t>
        </is>
      </c>
      <c r="AF115" t="inlineStr">
        <is>
          <t>The authors disclosed receipt of the following financial support for the research, authorship, and/or publication of this article: Emily Joy Nicklett was supported by a grant from the National Congress of American Indians (NCAI) administered through the Center for Diabetes Translation and Research at Washington University in St. Louis (Grant #P30DK092950; PI: Debra Haire-Joshu). Matthew C. Lohman was supported by a grant from the National Institute of Mental Health (T32 MH073553). The authors are grateful to Lilly Estenson for her invaluable contributions to preparing this manuscript. The authors would also like to acknowledge the Research Career Development Core (RCDC) at the University of Michigan Claude D. Pepper Older Americans Independence Center-and Neil Alexander in particular-for motivating this research.</t>
        </is>
      </c>
      <c r="AH115" t="n">
        <v>61</v>
      </c>
      <c r="AI115" t="n">
        <v>43</v>
      </c>
      <c r="AJ115" t="n">
        <v>44</v>
      </c>
      <c r="AK115" t="n">
        <v>0</v>
      </c>
      <c r="AL115" t="n">
        <v>26</v>
      </c>
      <c r="AM115" t="inlineStr">
        <is>
          <t>MDPI</t>
        </is>
      </c>
      <c r="AN115" t="inlineStr">
        <is>
          <t>BASEL</t>
        </is>
      </c>
      <c r="AO115" t="inlineStr">
        <is>
          <t>ST ALBAN-ANLAGE 66, CH-4052 BASEL, SWITZERLAND</t>
        </is>
      </c>
      <c r="AQ115" t="inlineStr">
        <is>
          <t>1660-4601</t>
        </is>
      </c>
      <c r="AS115" t="inlineStr">
        <is>
          <t>INT J ENV RES PUB HE</t>
        </is>
      </c>
      <c r="AT115" t="inlineStr">
        <is>
          <t>Int. J. Environ. Res. Public Health</t>
        </is>
      </c>
      <c r="AU115" t="inlineStr">
        <is>
          <t>FEB</t>
        </is>
      </c>
      <c r="AV115" t="n">
        <v>2017</v>
      </c>
      <c r="AW115" t="n">
        <v>14</v>
      </c>
      <c r="AX115" t="n">
        <v>2</v>
      </c>
      <c r="BE115" t="n">
        <v>175</v>
      </c>
      <c r="BF115" t="inlineStr">
        <is>
          <t>10.3390/ijerph14020175</t>
        </is>
      </c>
      <c r="BG115">
        <f>HYPERLINK("http://dx.doi.org/10.3390/ijerph14020175","http://dx.doi.org/10.3390/ijerph14020175")</f>
        <v/>
      </c>
      <c r="BJ115" t="n">
        <v>15</v>
      </c>
      <c r="BK115" t="inlineStr">
        <is>
          <t>Environmental Sciences; Public, Environmental &amp; Occupational Health</t>
        </is>
      </c>
      <c r="BL115" t="inlineStr">
        <is>
          <t>Science Citation Index Expanded (SCI-EXPANDED); Social Science Citation Index (SSCI)</t>
        </is>
      </c>
      <c r="BM115" t="inlineStr">
        <is>
          <t>Environmental Sciences &amp; Ecology; Public, Environmental &amp; Occupational Health</t>
        </is>
      </c>
      <c r="BN115" t="inlineStr">
        <is>
          <t>EM7CA</t>
        </is>
      </c>
      <c r="BO115" t="n">
        <v>28208598</v>
      </c>
      <c r="BP115" t="inlineStr">
        <is>
          <t>Green Published, Green Submitted, gold</t>
        </is>
      </c>
      <c r="BS115" t="inlineStr">
        <is>
          <t>2023-10-26</t>
        </is>
      </c>
      <c r="BT115" t="inlineStr">
        <is>
          <t>WOS:000395467900067</t>
        </is>
      </c>
      <c r="BU115">
        <f>HYPERLINK("https%3A%2F%2Fwww.webofscience.com%2Fwos%2Fwoscc%2Ffull-record%2FWOS:000395467900067","View Full Record in Web of Science")</f>
        <v/>
      </c>
    </row>
    <row r="116">
      <c r="A116" t="inlineStr">
        <is>
          <t>J</t>
        </is>
      </c>
      <c r="B116" t="inlineStr">
        <is>
          <t>Koohsari, MJ; Nakaya, T; Oka, K</t>
        </is>
      </c>
      <c r="F116" t="inlineStr">
        <is>
          <t>Koohsari, Mohammad Javad; Nakaya, Tomoki; Oka, Koichiro</t>
        </is>
      </c>
      <c r="J116" t="inlineStr">
        <is>
          <t>INTERNATIONAL JOURNAL OF ENVIRONMENTAL RESEARCH AND PUBLIC HEALTH</t>
        </is>
      </c>
      <c r="M116" t="inlineStr">
        <is>
          <t>English</t>
        </is>
      </c>
      <c r="N116" t="inlineStr">
        <is>
          <t>Article</t>
        </is>
      </c>
      <c r="T116" t="inlineStr">
        <is>
          <t>Activity-Friendly Built Environments in a Super-Aged Society, Japan: Current Challenges and toward a Research Agenda</t>
        </is>
      </c>
      <c r="U116" t="inlineStr">
        <is>
          <t>urban design; active living; aging; physical activity; sedentary behavior; age-friendly environments</t>
        </is>
      </c>
      <c r="V116" t="inlineStr">
        <is>
          <t>PERCEIVED NEIGHBORHOOD ENVIRONMENT; PHYSICAL-ACTIVITY; POPULATION HEALTH; SEDENTARY BEHAVIORS; WALKING; ADULTS; ASSOCIATIONS; ATTRIBUTES; URBAN; TIME</t>
        </is>
      </c>
      <c r="W116" t="inlineStr">
        <is>
          <t>There is a growing recognition of the role of built environment attributes, such as streets, shops, greenways, parks, and public transportation stations, in supporting people's active behaviors. In particular, surrounding built environments may have an important role in supporting healthy active aging. Nevertheless, little is known about how built environments may influence active lifestyles in super-aged societies. More robust evidence-based research is needed to identify how where people live influences their active behaviors, and how to build beneficial space in the context of super-aged societies. This evidence will also be informative for the broader international context, where having an aging society will be the inevitable future. This commentary sought to move this research agenda forward by identifying key research issues and challenges in examining the role of built environment attributes on active behaviors in Japan, which is experiencing the longest healthy life expectancy, but rapid super-aging, with the highest proportion of old adults among its population in the world.</t>
        </is>
      </c>
      <c r="X116" t="inlineStr">
        <is>
          <t>[Koohsari, Mohammad Javad; Oka, Koichiro] Waseda Univ, Fac Sport Sci, Saitama 3591192, Japan; [Koohsari, Mohammad Javad] Baker Heart &amp; Diabet Inst, Behav Epidemiol Lab, Melbourne, Vic 3004, Australia; [Koohsari, Mohammad Javad] Australian Catholic Univ, Mary MacKillop Inst Hlth Res, Melbourne, Vic 3000, Australia; [Nakaya, Tomoki] Tohoku Univ, Grad Sch Environm Studies, Sendai, Miyagi 9800845, Japan</t>
        </is>
      </c>
      <c r="Y116" t="inlineStr">
        <is>
          <t>Waseda University; Australian Catholic University; Tohoku University</t>
        </is>
      </c>
      <c r="Z116" t="inlineStr">
        <is>
          <t>Koohsari, MJ (corresponding author), Waseda Univ, Fac Sport Sci, Saitama 3591192, Japan.;Koohsari, MJ (corresponding author), Baker Heart &amp; Diabet Inst, Behav Epidemiol Lab, Melbourne, Vic 3004, Australia.;Koohsari, MJ (corresponding author), Australian Catholic Univ, Mary MacKillop Inst Hlth Res, Melbourne, Vic 3000, Australia.</t>
        </is>
      </c>
      <c r="AA116" t="inlineStr">
        <is>
          <t>Javad.Koohsari@baker.edu.au; tomoki.nakaya.c8@tohoku.ac.jp; koka@waseda.jp</t>
        </is>
      </c>
      <c r="AB116" t="inlineStr">
        <is>
          <t>Koohsari, Javad/A-4613-2009; Oka, Koichiro/K-3297-2019</t>
        </is>
      </c>
      <c r="AC116" t="inlineStr">
        <is>
          <t>Koohsari, Javad/0000-0001-9384-5456; Nakaya, Tomoki/0000-0002-3827-1012; Oka, Koichiro/0000-0001-5571-042X</t>
        </is>
      </c>
      <c r="AD116" t="inlineStr">
        <is>
          <t>JSPS Postdoctoral Fellowship for Research in Japan from the Japan Society for the Promotion of Science [17716]; Japan Society for the Promotion of Science KAKENHI Grant [JP15H02964]; MEXT-Supported Program for the Strategic Research Foundation at Private Universities; Japan Ministry of Education, Culture, Sports, Science and Technology [S1511017]</t>
        </is>
      </c>
      <c r="AE116" t="inlineStr">
        <is>
          <t>JSPS Postdoctoral Fellowship for Research in Japan from the Japan Society for the Promotion of Science; Japan Society for the Promotion of Science KAKENHI Grant(Ministry of Education, Culture, Sports, Science and Technology, Japan (MEXT)Japan Society for the Promotion of ScienceGrants-in-Aid for Scientific Research (KAKENHI)); MEXT-Supported Program for the Strategic Research Foundation at Private Universities(Ministry of Education, Culture, Sports, Science and Technology, Japan (MEXT)); Japan Ministry of Education, Culture, Sports, Science and Technology(Ministry of Education, Culture, Sports, Science and Technology, Japan (MEXT))</t>
        </is>
      </c>
      <c r="AF116" t="inlineStr">
        <is>
          <t>M.J.K. was supported by a JSPS Postdoctoral Fellowship for Research in Japan (#17716) from the Japan Society for the Promotion of Science. T.N. was supported by Japan Society for the Promotion of Science KAKENHI Grant Number JP15H02964 for this research. K.O. was supported by the MEXT-Supported Program for the Strategic Research Foundation at Private Universities, 2015-2019 the Japan Ministry of Education, Culture, Sports, Science and Technology (S1511017).</t>
        </is>
      </c>
      <c r="AH116" t="n">
        <v>69</v>
      </c>
      <c r="AI116" t="n">
        <v>33</v>
      </c>
      <c r="AJ116" t="n">
        <v>34</v>
      </c>
      <c r="AK116" t="n">
        <v>6</v>
      </c>
      <c r="AL116" t="n">
        <v>48</v>
      </c>
      <c r="AM116" t="inlineStr">
        <is>
          <t>MDPI</t>
        </is>
      </c>
      <c r="AN116" t="inlineStr">
        <is>
          <t>BASEL</t>
        </is>
      </c>
      <c r="AO116" t="inlineStr">
        <is>
          <t>ST ALBAN-ANLAGE 66, CH-4052 BASEL, SWITZERLAND</t>
        </is>
      </c>
      <c r="AQ116" t="inlineStr">
        <is>
          <t>1660-4601</t>
        </is>
      </c>
      <c r="AS116" t="inlineStr">
        <is>
          <t>INT J ENV RES PUB HE</t>
        </is>
      </c>
      <c r="AT116" t="inlineStr">
        <is>
          <t>Int. J. Environ. Res. Public Health</t>
        </is>
      </c>
      <c r="AU116" t="inlineStr">
        <is>
          <t>SEP</t>
        </is>
      </c>
      <c r="AV116" t="n">
        <v>2018</v>
      </c>
      <c r="AW116" t="n">
        <v>15</v>
      </c>
      <c r="AX116" t="n">
        <v>9</v>
      </c>
      <c r="BE116" t="n">
        <v>2054</v>
      </c>
      <c r="BF116" t="inlineStr">
        <is>
          <t>10.3390/ijerph15092054</t>
        </is>
      </c>
      <c r="BG116">
        <f>HYPERLINK("http://dx.doi.org/10.3390/ijerph15092054","http://dx.doi.org/10.3390/ijerph15092054")</f>
        <v/>
      </c>
      <c r="BJ116" t="n">
        <v>9</v>
      </c>
      <c r="BK116" t="inlineStr">
        <is>
          <t>Environmental Sciences; Public, Environmental &amp; Occupational Health</t>
        </is>
      </c>
      <c r="BL116" t="inlineStr">
        <is>
          <t>Science Citation Index Expanded (SCI-EXPANDED); Social Science Citation Index (SSCI)</t>
        </is>
      </c>
      <c r="BM116" t="inlineStr">
        <is>
          <t>Environmental Sciences &amp; Ecology; Public, Environmental &amp; Occupational Health</t>
        </is>
      </c>
      <c r="BN116" t="inlineStr">
        <is>
          <t>GV0PX</t>
        </is>
      </c>
      <c r="BO116" t="n">
        <v>30235862</v>
      </c>
      <c r="BP116" t="inlineStr">
        <is>
          <t>Green Published, Green Submitted, gold</t>
        </is>
      </c>
      <c r="BS116" t="inlineStr">
        <is>
          <t>2023-10-26</t>
        </is>
      </c>
      <c r="BT116" t="inlineStr">
        <is>
          <t>WOS:000445765600263</t>
        </is>
      </c>
      <c r="BU116">
        <f>HYPERLINK("https%3A%2F%2Fwww.webofscience.com%2Fwos%2Fwoscc%2Ffull-record%2FWOS:000445765600263","View Full Record in Web of Science")</f>
        <v/>
      </c>
    </row>
    <row r="117">
      <c r="A117" t="inlineStr">
        <is>
          <t>J</t>
        </is>
      </c>
      <c r="B117" t="inlineStr">
        <is>
          <t>McCormack, LA; Meendering, JR; Burdette, L; Prosch, N; Moore, L; Stluka, S</t>
        </is>
      </c>
      <c r="F117" t="inlineStr">
        <is>
          <t>McCormack, Lacey A.; Meendering, Jessica R.; Burdette, Linda; Prosch, Nikki; Moore, Lindsay; Stluka, Suzanne</t>
        </is>
      </c>
      <c r="J117" t="inlineStr">
        <is>
          <t>INTERNATIONAL JOURNAL OF ENVIRONMENTAL RESEARCH AND PUBLIC HEALTH</t>
        </is>
      </c>
      <c r="M117" t="inlineStr">
        <is>
          <t>English</t>
        </is>
      </c>
      <c r="N117" t="inlineStr">
        <is>
          <t>Article</t>
        </is>
      </c>
      <c r="T117" t="inlineStr">
        <is>
          <t>Quantifying the Food and Physical Activity Environments in Rural, High Obesity Communities</t>
        </is>
      </c>
      <c r="U117" t="inlineStr">
        <is>
          <t>obesity; rural; nutrition; physical activity; built environment</t>
        </is>
      </c>
      <c r="V117" t="inlineStr">
        <is>
          <t>UNITED-STATES; ADULTS; STORES; PREVALENCE; STRATEGIES</t>
        </is>
      </c>
      <c r="W117" t="inlineStr">
        <is>
          <t>The built environment contributes to an individual's health, and rural geographies face unique challenges for healthy eating and active living. The purpose of this descriptive study was to assess the nutrition and physical activity environments in rural communities with high obesity prevalence. One community within each of six high obesity prevalence counties in a rural Midwest state completed the Nutrition Environment Measures Survey for Stores (NEMS-S) and the Rural Active Living Assessment (RALA). Data were collected by trained community members and study staff. All communities had at least one grocery store and five had at least one convenience store. Grocery stores had higher mean total NEMS-S scores than convenience stores (26.6 vs. 6.0, p &lt; 0.001), and higher scores for availability (18.7 vs. 5.3, p &lt; 0.001) and quality (5.4 vs. 0, p &lt; 0.001) of healthful foods (higher scores are preferable). The mean RALA town-wide assessment score across communities was 56.5 + 15.6 out of a possible 100 points. The mean RALA program and policy assessment score was 40.8 + 20.4 out of a possible 100 points. While grocery stores and schools are important for enhancing food and physical environments in rural areas, many opportunities exist for improvements to impact behaviors and address obesity.</t>
        </is>
      </c>
      <c r="X117" t="inlineStr">
        <is>
          <t>[McCormack, Lacey A.; Meendering, Jessica R.] South Dakota State Univ, Sch Hlth &amp; Consumer Sci, Brookings, SD 57007 USA; [Burdette, Linda] South Dakota State Univ, Coll Nursing, Brookings, SD 57007 USA; [Prosch, Nikki; Moore, Lindsay] South Dakota State Univ Extens, Brookings, SD 57007 USA; [Stluka, Suzanne] USDA, Natl Inst Food &amp; Agr, Washington, DC 20250 USA</t>
        </is>
      </c>
      <c r="Y117" t="inlineStr">
        <is>
          <t>South Dakota State University; South Dakota State University; South Dakota State University; United States Department of Agriculture (USDA)</t>
        </is>
      </c>
      <c r="Z117" t="inlineStr">
        <is>
          <t>McCormack, LA (corresponding author), South Dakota State Univ, Sch Hlth &amp; Consumer Sci, Brookings, SD 57007 USA.</t>
        </is>
      </c>
      <c r="AA117" t="inlineStr">
        <is>
          <t>lacey.mccormack@sdstate.edu; jessica.meendering@sdstate.edu; burdette1323@abe.midco.net; nikki.prosch@sdstate.edu; lindsay.moore@sdstate.edu; suzannestlukard@gmail.com</t>
        </is>
      </c>
      <c r="AB117" t="inlineStr">
        <is>
          <t>McCormack, Lacey Arneson/AAJ-5884-2021</t>
        </is>
      </c>
      <c r="AC117" t="inlineStr">
        <is>
          <t>McCormack, Lacey Arneson/0000-0001-8872-2531; Burdette, Linda K/0000-0003-3878-1853; Meendering, Jessica/0000-0002-2967-2818</t>
        </is>
      </c>
      <c r="AD117" t="inlineStr">
        <is>
          <t>Centers for Disease Control and Prevention High Obesity Program [6NU58DP005477-03-03]; USDA's Food and Nutrition Services Supplemental Nutrition Assistance Program Education (SNAP-Ed) - South Dakota Department of Social Services, Office of Economic Assistance</t>
        </is>
      </c>
      <c r="AE117" t="inlineStr">
        <is>
          <t>Centers for Disease Control and Prevention High Obesity Program(United States Department of Health &amp; Human ServicesCenters for Disease Control &amp; Prevention - USA); USDA's Food and Nutrition Services Supplemental Nutrition Assistance Program Education (SNAP-Ed) - South Dakota Department of Social Services, Office of Economic Assistance</t>
        </is>
      </c>
      <c r="AF117" t="inlineStr">
        <is>
          <t>This project was funded by the Centers for Disease Control and Prevention High Obesity Program cooperative agreement number 6NU58DP005477-03-03, and USDA's Food and Nutrition Services Supplemental Nutrition Assistance Program Education (SNAP-Ed) funding from the South Dakota Department of Social Services, Office of Economic Assistance.</t>
        </is>
      </c>
      <c r="AH117" t="n">
        <v>35</v>
      </c>
      <c r="AI117" t="n">
        <v>1</v>
      </c>
      <c r="AJ117" t="n">
        <v>1</v>
      </c>
      <c r="AK117" t="n">
        <v>0</v>
      </c>
      <c r="AL117" t="n">
        <v>3</v>
      </c>
      <c r="AM117" t="inlineStr">
        <is>
          <t>MDPI</t>
        </is>
      </c>
      <c r="AN117" t="inlineStr">
        <is>
          <t>BASEL</t>
        </is>
      </c>
      <c r="AO117" t="inlineStr">
        <is>
          <t>ST ALBAN-ANLAGE 66, CH-4052 BASEL, SWITZERLAND</t>
        </is>
      </c>
      <c r="AQ117" t="inlineStr">
        <is>
          <t>1660-4601</t>
        </is>
      </c>
      <c r="AS117" t="inlineStr">
        <is>
          <t>INT J ENV RES PUB HE</t>
        </is>
      </c>
      <c r="AT117" t="inlineStr">
        <is>
          <t>Int. J. Environ. Res. Public Health</t>
        </is>
      </c>
      <c r="AU117" t="inlineStr">
        <is>
          <t>DEC</t>
        </is>
      </c>
      <c r="AV117" t="n">
        <v>2021</v>
      </c>
      <c r="AW117" t="n">
        <v>18</v>
      </c>
      <c r="AX117" t="n">
        <v>24</v>
      </c>
      <c r="BE117" t="n">
        <v>13344</v>
      </c>
      <c r="BF117" t="inlineStr">
        <is>
          <t>10.3390/ijerph182413344</t>
        </is>
      </c>
      <c r="BG117">
        <f>HYPERLINK("http://dx.doi.org/10.3390/ijerph182413344","http://dx.doi.org/10.3390/ijerph182413344")</f>
        <v/>
      </c>
      <c r="BJ117" t="n">
        <v>10</v>
      </c>
      <c r="BK117" t="inlineStr">
        <is>
          <t>Environmental Sciences; Public, Environmental &amp; Occupational Health</t>
        </is>
      </c>
      <c r="BL117" t="inlineStr">
        <is>
          <t>Science Citation Index Expanded (SCI-EXPANDED); Social Science Citation Index (SSCI)</t>
        </is>
      </c>
      <c r="BM117" t="inlineStr">
        <is>
          <t>Environmental Sciences &amp; Ecology; Public, Environmental &amp; Occupational Health</t>
        </is>
      </c>
      <c r="BN117" t="inlineStr">
        <is>
          <t>2I9OT</t>
        </is>
      </c>
      <c r="BO117" t="n">
        <v>34948951</v>
      </c>
      <c r="BP117" t="inlineStr">
        <is>
          <t>Green Published, gold</t>
        </is>
      </c>
      <c r="BS117" t="inlineStr">
        <is>
          <t>2023-10-26</t>
        </is>
      </c>
      <c r="BT117" t="inlineStr">
        <is>
          <t>WOS:000815300900001</t>
        </is>
      </c>
      <c r="BU117">
        <f>HYPERLINK("https%3A%2F%2Fwww.webofscience.com%2Fwos%2Fwoscc%2Ffull-record%2FWOS:000815300900001","View Full Record in Web of Science")</f>
        <v/>
      </c>
    </row>
    <row r="118">
      <c r="A118" t="inlineStr">
        <is>
          <t>J</t>
        </is>
      </c>
      <c r="B118" t="inlineStr">
        <is>
          <t>Kownacki, KL; Gao, CS; Kuklane, K; Wierzbicka, A</t>
        </is>
      </c>
      <c r="F118" t="inlineStr">
        <is>
          <t>Kownacki, Karin Lundgren; Gao, Chuansi; Kuklane, Kalev; Wierzbicka, Aneta</t>
        </is>
      </c>
      <c r="J118" t="inlineStr">
        <is>
          <t>INTERNATIONAL JOURNAL OF ENVIRONMENTAL RESEARCH AND PUBLIC HEALTH</t>
        </is>
      </c>
      <c r="M118" t="inlineStr">
        <is>
          <t>English</t>
        </is>
      </c>
      <c r="N118" t="inlineStr">
        <is>
          <t>Review</t>
        </is>
      </c>
      <c r="T118" t="inlineStr">
        <is>
          <t>Heat Stress in Indoor Environments of Scandinavian Urban Areas: A Literature Review</t>
        </is>
      </c>
      <c r="U118" t="inlineStr">
        <is>
          <t>indoor environments; heat stress; climate change; urban heat island; preventive actions</t>
        </is>
      </c>
      <c r="V118" t="inlineStr">
        <is>
          <t>PHASE-CHANGE MATERIALS; ADAPTIVE THERMAL COMFORT; NEW-YORK-CITY; CLIMATE-CHANGE; COOLING SYSTEMS; WARNING SYSTEM; PUBLIC-HEALTH; EXTREME HEAT; EXPOSURE; HOT</t>
        </is>
      </c>
      <c r="W118" t="inlineStr">
        <is>
          <t>Climate change increases the risks of heat stress, especially in urban areas where urban heat islands can develop. This literature review aims to describe how severe heat can occur and be identified in urban indoor environments, and what actions can be taken on the local scale. There is a connection between the outdoor and the indoor climate in buildings without air conditioning, but the pathways leading to the development of severe heat levels indoors are complex. These depend, for example, on the type of building, window placement, the residential area's thermal outdoor conditions, and the residents' influence and behavior. This review shows that only few studies have focused on the thermal environment indoors during heat waves, despite the fact that people commonly spend most of their time indoors and are likely to experience increased heat stress indoors in the future. Among reviewed studies, it was found that the indoor temperature can reach levels 50% higher in degrees C than the outdoor temperature, which highlights the importance of assessment and remediation of heat indoors. Further, most Heat-Health Warning Systems (HHWS) are based on the outdoor climate only, which can lead to a misleading interpretation of the health effects and associated solutions. In order to identify severe heat, six factors need to be taken into account, including air temperature, heat radiation, humidity, and air movement as well as the physical activity and the clothes worn by the individual. Heat stress can be identified using a heat index that includes these six factors. This paper presents some examples of practical and easy to use heat indices that are relevant for indoor environments as well as models that can be applied in indoor environments at the city level. However, existing indexes are developed for healthy workers and do not account for vulnerable groups, different uses, and daily variations. As a result, this paper highlights the need for the development of a heat index or the adjustment of current thresholds to apply specifically to indoor environments, its different uses, and vulnerable groups. There are several actions that can be taken to reduce heat indoors and thus improve the health and well-being of the population in urban areas. Examples of effective measures to reduce heat stress indoors include the use of shading devices such as blinds and vegetation as well as personal cooling techniques such as the use of fans and cooling vests. Additionally, the integration of innovative Phase Change Materials (PCM) into facades, roofs, floors, and windows can be a promising alternative once no negative health and environmental effects of PCM can be ensured.</t>
        </is>
      </c>
      <c r="X118" t="inlineStr">
        <is>
          <t>[Kownacki, Karin Lundgren; Gao, Chuansi; Kuklane, Kalev; Wierzbicka, Aneta] Lund Univ, Dept Design Sci, Ergon &amp; Aerosol Technol, S-22100 Lund, Sweden</t>
        </is>
      </c>
      <c r="Y118" t="inlineStr">
        <is>
          <t>Lund University</t>
        </is>
      </c>
      <c r="Z118" t="inlineStr">
        <is>
          <t>Kownacki, KL (corresponding author), Lund Univ, Dept Design Sci, Ergon &amp; Aerosol Technol, S-22100 Lund, Sweden.</t>
        </is>
      </c>
      <c r="AA118" t="inlineStr">
        <is>
          <t>karin.lundgren_kownacki@design.lth.se; chuansi.gao@design.lth.se; kalev.kuklane@design.lth.se; aneta.wierzbicka@design.lth.se</t>
        </is>
      </c>
      <c r="AB118" t="inlineStr">
        <is>
          <t>Wierzbicka, Aneta/AAD-1860-2019; Gao, Chuansi/C-6904-2011; Gao, Chuansi/AAD-5270-2019</t>
        </is>
      </c>
      <c r="AC118" t="inlineStr">
        <is>
          <t>Wierzbicka, Aneta/0000-0002-0678-7161; Gao, Chuansi/0000-0001-7386-692X; Gao, Chuansi/0000-0001-7386-692X; Lundgren Kownacki, Karin/0000-0003-3759-1302; Kuklane, Kalev/0000-0003-3169-436X</t>
        </is>
      </c>
      <c r="AD118" t="inlineStr">
        <is>
          <t>Public Health Agency of Sweden (Folkhalsomyndigheten); Swedish Civil Contingencies Agency (Myndigheten for Samhallsskydd och Beredskap)</t>
        </is>
      </c>
      <c r="AE118" t="inlineStr">
        <is>
          <t>Public Health Agency of Sweden (Folkhalsomyndigheten); Swedish Civil Contingencies Agency (Myndigheten for Samhallsskydd och Beredskap)</t>
        </is>
      </c>
      <c r="AF118" t="inlineStr">
        <is>
          <t>We thank both the Public Health Agency of Sweden (Folkhalsomyndigheten) and the Swedish Civil Contingencies Agency (Myndigheten for Samhallsskydd och Beredskap) for funding this research.</t>
        </is>
      </c>
      <c r="AH118" t="n">
        <v>118</v>
      </c>
      <c r="AI118" t="n">
        <v>39</v>
      </c>
      <c r="AJ118" t="n">
        <v>39</v>
      </c>
      <c r="AK118" t="n">
        <v>5</v>
      </c>
      <c r="AL118" t="n">
        <v>33</v>
      </c>
      <c r="AM118" t="inlineStr">
        <is>
          <t>MDPI</t>
        </is>
      </c>
      <c r="AN118" t="inlineStr">
        <is>
          <t>BASEL</t>
        </is>
      </c>
      <c r="AO118" t="inlineStr">
        <is>
          <t>ST ALBAN-ANLAGE 66, CH-4052 BASEL, SWITZERLAND</t>
        </is>
      </c>
      <c r="AQ118" t="inlineStr">
        <is>
          <t>1660-4601</t>
        </is>
      </c>
      <c r="AS118" t="inlineStr">
        <is>
          <t>INT J ENV RES PUB HE</t>
        </is>
      </c>
      <c r="AT118" t="inlineStr">
        <is>
          <t>Int. J. Environ. Res. Public Health</t>
        </is>
      </c>
      <c r="AU118" t="inlineStr">
        <is>
          <t>FEB 2</t>
        </is>
      </c>
      <c r="AV118" t="n">
        <v>2019</v>
      </c>
      <c r="AW118" t="n">
        <v>16</v>
      </c>
      <c r="AX118" t="n">
        <v>4</v>
      </c>
      <c r="BE118" t="n">
        <v>560</v>
      </c>
      <c r="BF118" t="inlineStr">
        <is>
          <t>10.3390/ijerph16040560</t>
        </is>
      </c>
      <c r="BG118">
        <f>HYPERLINK("http://dx.doi.org/10.3390/ijerph16040560","http://dx.doi.org/10.3390/ijerph16040560")</f>
        <v/>
      </c>
      <c r="BJ118" t="n">
        <v>18</v>
      </c>
      <c r="BK118" t="inlineStr">
        <is>
          <t>Environmental Sciences; Public, Environmental &amp; Occupational Health</t>
        </is>
      </c>
      <c r="BL118" t="inlineStr">
        <is>
          <t>Science Citation Index Expanded (SCI-EXPANDED); Social Science Citation Index (SSCI)</t>
        </is>
      </c>
      <c r="BM118" t="inlineStr">
        <is>
          <t>Environmental Sciences &amp; Ecology; Public, Environmental &amp; Occupational Health</t>
        </is>
      </c>
      <c r="BN118" t="inlineStr">
        <is>
          <t>HO3FK</t>
        </is>
      </c>
      <c r="BO118" t="n">
        <v>30769945</v>
      </c>
      <c r="BP118" t="inlineStr">
        <is>
          <t>Green Published, gold, Green Submitted</t>
        </is>
      </c>
      <c r="BS118" t="inlineStr">
        <is>
          <t>2023-10-26</t>
        </is>
      </c>
      <c r="BT118" t="inlineStr">
        <is>
          <t>WOS:000460804900039</t>
        </is>
      </c>
      <c r="BU118">
        <f>HYPERLINK("https%3A%2F%2Fwww.webofscience.com%2Fwos%2Fwoscc%2Ffull-record%2FWOS:000460804900039","View Full Record in Web of Science")</f>
        <v/>
      </c>
    </row>
    <row r="119">
      <c r="A119" t="inlineStr">
        <is>
          <t>J</t>
        </is>
      </c>
      <c r="B119" t="inlineStr">
        <is>
          <t>Li, Z</t>
        </is>
      </c>
      <c r="F119" t="inlineStr">
        <is>
          <t>Li, Zhensheng</t>
        </is>
      </c>
      <c r="J119" t="inlineStr">
        <is>
          <t>FRESENIUS ENVIRONMENTAL BULLETIN</t>
        </is>
      </c>
      <c r="M119" t="inlineStr">
        <is>
          <t>English</t>
        </is>
      </c>
      <c r="N119" t="inlineStr">
        <is>
          <t>Article</t>
        </is>
      </c>
      <c r="T119" t="inlineStr">
        <is>
          <t>OPTIMAL DESIGN OF OUTDOOR WIND ENVIRONMENT FOR URBAN GREEN BUILDINGS</t>
        </is>
      </c>
      <c r="U119" t="inlineStr">
        <is>
          <t>Urban green building; outdoor building wind environment; sustainable development; indoor environmental factors</t>
        </is>
      </c>
      <c r="W119" t="inlineStr">
        <is>
          <t>With the continuous improvement of human living standards and the intensification of environmental pollution, the wind direction design of architectural design directly affects the living experience and health. Aiming at the disadvantages of poor ventilation and weak living experience in current urban buildings, this study constructs a coupling model between urban green building design and outdoor wind environment based on the sustainable development strategy and the principle of green environmental protection. By studying the effects of different architectural design factors on the flow direction and velocity of outdoor wind and the content of particulate matter, this study explores the best outdoor design of urban green buildings, and puts forward reasonable design suggestions for outdoor green building based on the concept of green sustainable development. The results show that the height and number of vents are directly proportional to the indoor wind speed and particle content. Moderately increasing the height and number of vents can significantly reduce the particle content in the wind. When the height of vents is 40cm, 5-hour of the speed in the outdoor window can reach 4m/s, and the solid particle content in the outdoor wind can be reduced to 8/cm(3). The number of indoor turns and rooms significantly increase the content of solid particles. When the number of turns is 3 and the number of rooms is more than 6, the number of indoor particles is as high as 10/cm(3), and the wind speed decreases to 0.4m/s. Moderately changing the design factors of urban green buildings can significantly improve the outdoor wind environment and reduce the pollution degree of outdoor wind when entering the room, which is conducive to the improvement of human living quality.</t>
        </is>
      </c>
      <c r="X119" t="inlineStr">
        <is>
          <t>[Li, Zhensheng] Sanming Univ, Sch Arts &amp; Design, Sanming 365004, Peoples R China; [Li, Zhensheng] Krasnodar State Univ Culture Russia, Krasnodar 365004, Peoples R China</t>
        </is>
      </c>
      <c r="Y119" t="inlineStr">
        <is>
          <t>Sanming University</t>
        </is>
      </c>
      <c r="Z119" t="inlineStr">
        <is>
          <t>Li, Z (corresponding author), Sanming Univ, Sch Arts &amp; Design, Sanming 365004, Peoples R China.</t>
        </is>
      </c>
      <c r="AD119" t="inlineStr">
        <is>
          <t>Fujian Social Science Planning Project, China [FJ2019X004]; Innovation and Application of Sustainable Rural Services Project [1133160003]</t>
        </is>
      </c>
      <c r="AE119" t="inlineStr">
        <is>
          <t>Fujian Social Science Planning Project, China; Innovation and Application of Sustainable Rural Services Project</t>
        </is>
      </c>
      <c r="AF119" t="inlineStr">
        <is>
          <t>This work was financially supported by the Fujian Social Science Planning Project, China (No. FJ2019X004) and the Innovation and Application of Sustainable Rural Services Project (No. 1133160003).</t>
        </is>
      </c>
      <c r="AH119" t="n">
        <v>20</v>
      </c>
      <c r="AI119" t="n">
        <v>0</v>
      </c>
      <c r="AJ119" t="n">
        <v>0</v>
      </c>
      <c r="AK119" t="n">
        <v>10</v>
      </c>
      <c r="AL119" t="n">
        <v>13</v>
      </c>
      <c r="AM119" t="inlineStr">
        <is>
          <t>PARLAR SCIENTIFIC PUBLICATIONS (P S P)</t>
        </is>
      </c>
      <c r="AN119" t="inlineStr">
        <is>
          <t>FREISING</t>
        </is>
      </c>
      <c r="AO119" t="inlineStr">
        <is>
          <t>ANGERSTR. 12, 85354 FREISING, GERMANY</t>
        </is>
      </c>
      <c r="AP119" t="inlineStr">
        <is>
          <t>1018-4619</t>
        </is>
      </c>
      <c r="AQ119" t="inlineStr">
        <is>
          <t>1610-2304</t>
        </is>
      </c>
      <c r="AS119" t="inlineStr">
        <is>
          <t>FRESEN ENVIRON BULL</t>
        </is>
      </c>
      <c r="AT119" t="inlineStr">
        <is>
          <t>Fresenius Environ. Bull.</t>
        </is>
      </c>
      <c r="AV119" t="n">
        <v>2022</v>
      </c>
      <c r="AW119" t="n">
        <v>31</v>
      </c>
      <c r="AX119" t="n">
        <v>10</v>
      </c>
      <c r="BC119" t="n">
        <v>9958</v>
      </c>
      <c r="BD119" t="n">
        <v>9965</v>
      </c>
      <c r="BJ119" t="n">
        <v>8</v>
      </c>
      <c r="BK119" t="inlineStr">
        <is>
          <t>Environmental Sciences</t>
        </is>
      </c>
      <c r="BL119" t="inlineStr">
        <is>
          <t>Science Citation Index Expanded (SCI-EXPANDED)</t>
        </is>
      </c>
      <c r="BM119" t="inlineStr">
        <is>
          <t>Environmental Sciences &amp; Ecology</t>
        </is>
      </c>
      <c r="BN119" t="inlineStr">
        <is>
          <t>6E3UL</t>
        </is>
      </c>
      <c r="BS119" t="inlineStr">
        <is>
          <t>2023-10-26</t>
        </is>
      </c>
      <c r="BT119" t="inlineStr">
        <is>
          <t>WOS:000883305600009</t>
        </is>
      </c>
      <c r="BU119">
        <f>HYPERLINK("https%3A%2F%2Fwww.webofscience.com%2Fwos%2Fwoscc%2Ffull-record%2FWOS:000883305600009","View Full Record in Web of Science")</f>
        <v/>
      </c>
    </row>
    <row r="120">
      <c r="A120" t="inlineStr">
        <is>
          <t>J</t>
        </is>
      </c>
      <c r="B120" t="inlineStr">
        <is>
          <t>Lo, BK; Graham, ML; Folta, SC; Paul, LC; Strogatz, D; Nelson, ME; Parry, SA; Carfagno, ME; Wing, D; Higgins, M; Seguin, RA</t>
        </is>
      </c>
      <c r="F120" t="inlineStr">
        <is>
          <t>Lo, Brian K.; Graham, Meredith L.; Folta, Sara C.; Paul, Lynn C.; Strogatz, David; Nelson, Miriam E.; Parry, Stephen A.; Carfagno, Michelle E.; Wing, David; Higgins, Michael; Seguin, Rebecca A.</t>
        </is>
      </c>
      <c r="J120" t="inlineStr">
        <is>
          <t>INTERNATIONAL JOURNAL OF ENVIRONMENTAL RESEARCH AND PUBLIC HEALTH</t>
        </is>
      </c>
      <c r="M120" t="inlineStr">
        <is>
          <t>English</t>
        </is>
      </c>
      <c r="N120" t="inlineStr">
        <is>
          <t>Article</t>
        </is>
      </c>
      <c r="T120" t="inlineStr">
        <is>
          <t>Examining the Associations between Walk Score, Perceived Built Environment, and Physical Activity Behaviors among Women Participating in a Community-Randomized Lifestyle Change Intervention Trial: Strong Hearts, Healthy Communities</t>
        </is>
      </c>
      <c r="U120" t="inlineStr">
        <is>
          <t>built environment; physical activity; Walk Score; obesity; rural health; intervention</t>
        </is>
      </c>
      <c r="V120" t="inlineStr">
        <is>
          <t>NEIGHBORHOOD WALKABILITY; AFRICAN-AMERICAN; UNITED-STATES; PERCEPTIONS; OBESITY; ADULTS; OLDER; DETERMINANTS; VALIDATION; BARRIERS</t>
        </is>
      </c>
      <c r="W120" t="inlineStr">
        <is>
          <t>Little is known about the relationship between perceived and objective measures of the built environment and physical activity behavior among rural populations. Within the context of a lifestyle-change intervention trial for rural women, Strong Hearts, Healthy Communities (SHHC), we examined: (1) if Walk Score (WS), an objective built environment measure, was associated with perceived built environment (PBE); (2) if WS and PBE were associated with moderate-to-vigorous physical activity (MVPA); and (3) if MVPA changes were modified by WS and/or PBE. Accelerometers and questionnaires were used to collect MVPA and PBE. Bivariate analyses and linear mixed models were used for statistical analyses. We found that WS was positively associated with perceived proximity to destinations (p &lt; 0.001) and street shoulder availability (p = 0.001). MVPA was generally not associated with WS or PBE. Compared to controls, intervention group participants increased MVPA if they lived in communities with the lowest WS (WS = 0), fewer perceived walkable destinations, or extremely safe perceived traffic (all p &lt; 0.05). Findings suggest that WS appears to be a relevant indicator of walkable amenities in rural towns; results also suggest that the SHHC intervention likely helped rural women with the greatest dearth of built environment assets to improve MVPA.</t>
        </is>
      </c>
      <c r="X120" t="inlineStr">
        <is>
          <t>[Lo, Brian K.; Graham, Meredith L.; Parry, Stephen A.; Carfagno, Michelle E.; Seguin, Rebecca A.] Cornell Univ, Div Nutr Sci, Ithaca, NY 14853 USA; [Folta, Sara C.] Tufts Univ, Friedman Sch Nutr Sci &amp; Policy, Boston, MA 02111 USA; [Paul, Lynn C.] Montana State Univ, Coll Educ Hlth &amp; Human Dev, Bozeman, MT 59717 USA; [Strogatz, David] Bassett Healthcare Network, Cooperstown, NY 13326 USA; [Nelson, Miriam E.] Hampshire Coll, Amherst, MA 01002 USA; [Wing, David; Higgins, Michael] Univ Calif San Diego, Exercise &amp; Phys Act Resource Ctr, San Diego, CA 92093 USA</t>
        </is>
      </c>
      <c r="Y120" t="inlineStr">
        <is>
          <t>Cornell University; Tufts University; Montana State University System; Montana State University Bozeman; University of California System; University of California San Diego</t>
        </is>
      </c>
      <c r="Z120" t="inlineStr">
        <is>
          <t>Seguin, RA (corresponding author), Cornell Univ, Div Nutr Sci, Ithaca, NY 14853 USA.</t>
        </is>
      </c>
      <c r="AA120" t="inlineStr">
        <is>
          <t>bl592@cornell.edu; mlg22@cornell.edu; sara.folta@tufts.edu; lpaul@montana.edu; david.strogatz@bassett.org; miriamnelson@hampshire.edu; sp2332@cornell.edu; mec329@cornell.edu; dwing@eng.ucsd.edu; mdhiggins@eng.ucsd.edu; rs946@cornell.edu</t>
        </is>
      </c>
      <c r="AB120" t="inlineStr">
        <is>
          <t>Wing, David/JEF-5183-2023; Carfagno, Michelle/GXM-3416-2022</t>
        </is>
      </c>
      <c r="AC120" t="inlineStr">
        <is>
          <t>Seguin-Fowler, Rebecca/0000-0002-5115-2341; Graham, Meredith/0000-0001-8989-1417; Folta, Sara/0000-0002-4366-5622; Wing, David/0000-0003-1883-9448</t>
        </is>
      </c>
      <c r="AD120" t="inlineStr">
        <is>
          <t>National Institutes of Health [R01 HL120702]; National Heart, Lung and Blood Institute (NHLBI); United States Department of Agriculture, National Institute of Food and Agriculture, Hatch/Multi State [1013938]</t>
        </is>
      </c>
      <c r="AE120" t="inlineStr">
        <is>
          <t>National Institutes of Health(United States Department of Health &amp; Human ServicesNational Institutes of Health (NIH) - USA); National Heart, Lung and Blood Institute (NHLBI)(United States Department of Health &amp; Human ServicesNational Institutes of Health (NIH) - USANIH National Heart Lung &amp; Blood Institute (NHLBI)); United States Department of Agriculture, National Institute of Food and Agriculture, Hatch/Multi State</t>
        </is>
      </c>
      <c r="AF120" t="inlineStr">
        <is>
          <t>This research was funded by grant R01 HL120702 from the National Institutes of Health and the National Heart, Lung and Blood Institute (NHLBI) and the United States Department of Agriculture, National Institute of Food and Agriculture, Hatch/Multi State (1013938).</t>
        </is>
      </c>
      <c r="AH120" t="n">
        <v>53</v>
      </c>
      <c r="AI120" t="n">
        <v>19</v>
      </c>
      <c r="AJ120" t="n">
        <v>19</v>
      </c>
      <c r="AK120" t="n">
        <v>5</v>
      </c>
      <c r="AL120" t="n">
        <v>29</v>
      </c>
      <c r="AM120" t="inlineStr">
        <is>
          <t>MDPI</t>
        </is>
      </c>
      <c r="AN120" t="inlineStr">
        <is>
          <t>BASEL</t>
        </is>
      </c>
      <c r="AO120" t="inlineStr">
        <is>
          <t>ST ALBAN-ANLAGE 66, CH-4052 BASEL, SWITZERLAND</t>
        </is>
      </c>
      <c r="AP120" t="inlineStr">
        <is>
          <t>1661-7827</t>
        </is>
      </c>
      <c r="AQ120" t="inlineStr">
        <is>
          <t>1660-4601</t>
        </is>
      </c>
      <c r="AS120" t="inlineStr">
        <is>
          <t>INT J ENV RES PUB HE</t>
        </is>
      </c>
      <c r="AT120" t="inlineStr">
        <is>
          <t>Int. J. Environ. Res. Public Health</t>
        </is>
      </c>
      <c r="AU120" t="inlineStr">
        <is>
          <t>MAR 1</t>
        </is>
      </c>
      <c r="AV120" t="n">
        <v>2019</v>
      </c>
      <c r="AW120" t="n">
        <v>16</v>
      </c>
      <c r="AX120" t="n">
        <v>5</v>
      </c>
      <c r="BE120" t="n">
        <v>849</v>
      </c>
      <c r="BF120" t="inlineStr">
        <is>
          <t>10.3390/ijerph16050849</t>
        </is>
      </c>
      <c r="BG120">
        <f>HYPERLINK("http://dx.doi.org/10.3390/ijerph16050849","http://dx.doi.org/10.3390/ijerph16050849")</f>
        <v/>
      </c>
      <c r="BJ120" t="n">
        <v>16</v>
      </c>
      <c r="BK120" t="inlineStr">
        <is>
          <t>Environmental Sciences; Public, Environmental &amp; Occupational Health</t>
        </is>
      </c>
      <c r="BL120" t="inlineStr">
        <is>
          <t>Science Citation Index Expanded (SCI-EXPANDED); Social Science Citation Index (SSCI)</t>
        </is>
      </c>
      <c r="BM120" t="inlineStr">
        <is>
          <t>Environmental Sciences &amp; Ecology; Public, Environmental &amp; Occupational Health</t>
        </is>
      </c>
      <c r="BN120" t="inlineStr">
        <is>
          <t>HQ8HD</t>
        </is>
      </c>
      <c r="BO120" t="n">
        <v>30857189</v>
      </c>
      <c r="BP120" t="inlineStr">
        <is>
          <t>gold, Green Submitted, Green Published</t>
        </is>
      </c>
      <c r="BS120" t="inlineStr">
        <is>
          <t>2023-10-26</t>
        </is>
      </c>
      <c r="BT120" t="inlineStr">
        <is>
          <t>WOS:000462664200174</t>
        </is>
      </c>
      <c r="BU120">
        <f>HYPERLINK("https%3A%2F%2Fwww.webofscience.com%2Fwos%2Fwoscc%2Ffull-record%2FWOS:000462664200174","View Full Record in Web of Science")</f>
        <v/>
      </c>
    </row>
    <row r="121">
      <c r="A121" t="inlineStr">
        <is>
          <t>J</t>
        </is>
      </c>
      <c r="B121" t="inlineStr">
        <is>
          <t>Xiao, LZ; Yang, LC; Liu, JX; Yang, HT</t>
        </is>
      </c>
      <c r="F121" t="inlineStr">
        <is>
          <t>Xiao, Longzhu; Yang, Linchuan; Liu, Jixiang; Yang, Hongtai</t>
        </is>
      </c>
      <c r="J121" t="inlineStr">
        <is>
          <t>SUSTAINABILITY</t>
        </is>
      </c>
      <c r="M121" t="inlineStr">
        <is>
          <t>English</t>
        </is>
      </c>
      <c r="N121" t="inlineStr">
        <is>
          <t>Article</t>
        </is>
      </c>
      <c r="T121" t="inlineStr">
        <is>
          <t>Built Environment Correlates of the Propensity of Walking and Cycling</t>
        </is>
      </c>
      <c r="U121" t="inlineStr">
        <is>
          <t>built environment; walking; cycling; propensity; comparative study; China</t>
        </is>
      </c>
      <c r="V121" t="inlineStr">
        <is>
          <t>ACTIVE TRAVEL; PHYSICAL-ACTIVITY; MODE CHOICE; NEIGHBORHOOD WALKABILITY; TRANSPORTATION; DETERMINANTS; DENSITY; HEALTH; DIVERSITY; SELECTION</t>
        </is>
      </c>
      <c r="W121" t="inlineStr">
        <is>
          <t>Walking and cycling are not only frequently-used modes of transport but also popular physical activities. They are beneficial to traffic congestion mitigation, air pollution reduction, and public health promotion. Hence, examining and comparing the built environment correlates of the propensity of walking and cycling is of great interest to urban practitioners and decision-makers and has attracted extensive research attention. However, existing studies mainly look into the two modes separately or consider them as an integral (i.e., active travel), and few compare built environment correlates of their propensity in a single study, especially in the developing world context. Thus, this study, taking Xiamen, China, as a case, examines the built environment correlates of the propensity of walking and cycling simultaneously and compares the results wherever feasible. It found (1) built environment correlates of the propensity of walking and cycling differ with each other largely in direction and magnitude; (2) land use mix, intersection density, and bus stop density are positively associated with walking propensity, while the distance to the CBD (Central Business District) is a negative correlate; (3) as for cycling propensity, only distance to CBD is a positive correlate, and job density, intersection density, and bus stop density are all negative correlates. The findings of this study have rich policy implications for walking and cycling promotion interventions.</t>
        </is>
      </c>
      <c r="X121" t="inlineStr">
        <is>
          <t>[Xiao, Longzhu] City Univ Hong Kong, Dept Architecture &amp; Civil Engn, Hong Kong, Peoples R China; [Yang, Linchuan] Southwest Jiaotong Univ, Sch Architecture &amp; Design, Dept Urban &amp; Rural Planning, Chengdu 611756, Peoples R China; [Liu, Jixiang] Univ Hong Kong, Fac Architecture, Dept Urban Planning &amp; Design, Hong Kong, Peoples R China; [Yang, Hongtai] Southwest Jiaotong Univ, Sch Transportat &amp; Logist, Chengdu 611756, Peoples R China</t>
        </is>
      </c>
      <c r="Y121" t="inlineStr">
        <is>
          <t>City University of Hong Kong; Southwest Jiaotong University; University of Hong Kong; Southwest Jiaotong University</t>
        </is>
      </c>
      <c r="Z121" t="inlineStr">
        <is>
          <t>Liu, JX (corresponding author), Univ Hong Kong, Fac Architecture, Dept Urban Planning &amp; Design, Hong Kong, Peoples R China.</t>
        </is>
      </c>
      <c r="AA121" t="inlineStr">
        <is>
          <t>longzxiao2-c@my.cityu.edu.hk; yanglc0125@swjtu.edu.cn; u3004679@hku.hk; yanghongtai@swjtu.cn</t>
        </is>
      </c>
      <c r="AB121" t="inlineStr">
        <is>
          <t>LONGZHU, XIAO/AAL-6134-2021; Liu, JiXiang/HSB-9462-2023; Yang, Linchuan/ABF-1874-2021</t>
        </is>
      </c>
      <c r="AC121" t="inlineStr">
        <is>
          <t>Yang, Linchuan/0000-0001-6070-9044; XIAO, Longzhu/0000-0002-6317-429X; Yang, Hongtai/0000-0002-3608-1936</t>
        </is>
      </c>
      <c r="AD121" t="inlineStr">
        <is>
          <t>Seed Fund for Basic Research of the University of Hong Kong [201711159217]; National Natural Science Foundation of China [71704145]; Sichuan Youth Science and Technology Innovation Research Team Project [2019JDTD0002, 2020JDTD0027]</t>
        </is>
      </c>
      <c r="AE121" t="inlineStr">
        <is>
          <t>Seed Fund for Basic Research of the University of Hong Kong; National Natural Science Foundation of China(National Natural Science Foundation of China (NSFC)); Sichuan Youth Science and Technology Innovation Research Team Project</t>
        </is>
      </c>
      <c r="AF121" t="inlineStr">
        <is>
          <t>This work was funded by the Seed Fund for Basic Research of the University of Hong Kong (201711159217), National Natural Science Foundation of China (71704145), and Sichuan Youth Science and Technology Innovation Research Team Project (2019JDTD0002 and 2020JDTD0027).</t>
        </is>
      </c>
      <c r="AH121" t="n">
        <v>68</v>
      </c>
      <c r="AI121" t="n">
        <v>11</v>
      </c>
      <c r="AJ121" t="n">
        <v>11</v>
      </c>
      <c r="AK121" t="n">
        <v>3</v>
      </c>
      <c r="AL121" t="n">
        <v>31</v>
      </c>
      <c r="AM121" t="inlineStr">
        <is>
          <t>MDPI</t>
        </is>
      </c>
      <c r="AN121" t="inlineStr">
        <is>
          <t>BASEL</t>
        </is>
      </c>
      <c r="AO121" t="inlineStr">
        <is>
          <t>ST ALBAN-ANLAGE 66, CH-4052 BASEL, SWITZERLAND</t>
        </is>
      </c>
      <c r="AQ121" t="inlineStr">
        <is>
          <t>2071-1050</t>
        </is>
      </c>
      <c r="AS121" t="inlineStr">
        <is>
          <t>SUSTAINABILITY-BASEL</t>
        </is>
      </c>
      <c r="AT121" t="inlineStr">
        <is>
          <t>Sustainability</t>
        </is>
      </c>
      <c r="AU121" t="inlineStr">
        <is>
          <t>OCT</t>
        </is>
      </c>
      <c r="AV121" t="n">
        <v>2020</v>
      </c>
      <c r="AW121" t="n">
        <v>12</v>
      </c>
      <c r="AX121" t="n">
        <v>20</v>
      </c>
      <c r="BE121" t="n">
        <v>8752</v>
      </c>
      <c r="BF121" t="inlineStr">
        <is>
          <t>10.3390/su12208752</t>
        </is>
      </c>
      <c r="BG121">
        <f>HYPERLINK("http://dx.doi.org/10.3390/su12208752","http://dx.doi.org/10.3390/su12208752")</f>
        <v/>
      </c>
      <c r="BJ121" t="n">
        <v>16</v>
      </c>
      <c r="BK121" t="inlineStr">
        <is>
          <t>Green &amp; Sustainable Science &amp; Technology; Environmental Sciences; Environmental Studies</t>
        </is>
      </c>
      <c r="BL121" t="inlineStr">
        <is>
          <t>Science Citation Index Expanded (SCI-EXPANDED); Social Science Citation Index (SSCI)</t>
        </is>
      </c>
      <c r="BM121" t="inlineStr">
        <is>
          <t>Science &amp; Technology - Other Topics; Environmental Sciences &amp; Ecology</t>
        </is>
      </c>
      <c r="BN121" t="inlineStr">
        <is>
          <t>OI1QU</t>
        </is>
      </c>
      <c r="BP121" t="inlineStr">
        <is>
          <t>Green Published, gold</t>
        </is>
      </c>
      <c r="BS121" t="inlineStr">
        <is>
          <t>2023-10-26</t>
        </is>
      </c>
      <c r="BT121" t="inlineStr">
        <is>
          <t>WOS:000583062900001</t>
        </is>
      </c>
      <c r="BU121">
        <f>HYPERLINK("https%3A%2F%2Fwww.webofscience.com%2Fwos%2Fwoscc%2Ffull-record%2FWOS:000583062900001","View Full Record in Web of Science")</f>
        <v/>
      </c>
    </row>
    <row r="122">
      <c r="A122" t="inlineStr">
        <is>
          <t>J</t>
        </is>
      </c>
      <c r="B122" t="inlineStr">
        <is>
          <t>Ramakreshnan, L; Fong, CS; Sulaiman, NM; Aghamohammadi, N</t>
        </is>
      </c>
      <c r="F122" t="inlineStr">
        <is>
          <t>Ramakreshnan, Logaraj; Fong, Chng Saun; Sulaiman, Nik Meriam; Aghamohammadi, Nasrin</t>
        </is>
      </c>
      <c r="J122" t="inlineStr">
        <is>
          <t>SCIENCE OF THE TOTAL ENVIRONMENT</t>
        </is>
      </c>
      <c r="M122" t="inlineStr">
        <is>
          <t>English</t>
        </is>
      </c>
      <c r="N122" t="inlineStr">
        <is>
          <t>Article</t>
        </is>
      </c>
      <c r="T122" t="inlineStr">
        <is>
          <t>Motivations and built environment factors associated with campus walkability in the tropical settings</t>
        </is>
      </c>
      <c r="U122" t="inlineStr">
        <is>
          <t>Built environment; Factors; Green campus; Motivations; Tropical; Walkability</t>
        </is>
      </c>
      <c r="V122" t="inlineStr">
        <is>
          <t>NEIGHBORHOOD WALKABILITY; PHYSICAL-ACTIVITY; TRAVEL BEHAVIOR; URBAN FORM; WALKING; PERCEPTION; UNIVERSITY; TRANSPORTATION; ADOLESCENTS; CHILDREN</t>
        </is>
      </c>
      <c r="W122" t="inlineStr">
        <is>
          <t>Recognizing and mainstreaming pertinent walkability elements into the university campus planning is crucial to materialise green mandates of the campus, while enhancing social and economic sustainability. In one of such attempts, this transverse study investigated the walking motivations, built environment factors associated with campus walkability and the relative importance of the studied built environment factors in reference to the sociodemographic attributes from the viewpoint of the campus community in a tropical university campus in Kuala Lumpur, Malaysia. An online survey using a structured questionnaire was conducted between May and September 2019. The built environment factors associated with campus walkability were expressed and ranked as adjusted scores (AS). Meanwhile, multivariable logistic regression was deployed to examine the relative importance of the studied built environment factors in reference to the sociodemographic attributes of the campus community. Among 504 total responses acquired, proximity between complementary land uses (907%) was reported as the main motivation for walking. On the other hand, street connectivity and accessibility (AS: 97.62%) was described as the most opted built environment factor, followed by land use (AS: 96.76%), pedestrian infrastructure (AS: 94.25%), walking experience (AS: 87.07%), traffic safety (AS: 85.28%) and campus neighbourhood (AS: 59.62%), respectively. Among the sociodemographic attributes, no regular monthly income (OR 3.162; 95% Cl 1.165-8.379; p &lt; 0.05) and willingness to walk more than 60 min inside the campus per day (OR 0.418; 95% CI 0.243-0.720; p &lt; 0.05) were significantly associated with the expression of higher importance towards the reported built environment factors in the multivariate analysis. In brief, the findings of this study were envisaged to elicit valuable empirical evidence for informed interventions and strengthening campus sustainable mobility policies. (C) 2020 Elsevier B.V. All rights reserved.</t>
        </is>
      </c>
      <c r="X122" t="inlineStr">
        <is>
          <t>[Ramakreshnan, Logaraj; Fong, Chng Saun; Aghamohammadi, Nasrin] Univ Malaya, Dept Social &amp; Prevent Med, Ctr Occupat &amp; Environm Hlth, Fac Med, Kuala Lumpur 50603, Malaysia; [Ramakreshnan, Logaraj; Fong, Chng Saun] Univ Malaya, Inst Adv Studies, Kuala Lumpur 50603, Malaysia; [Sulaiman, Nik Meriam] Univ Malaya, Dept Chem Engn, Fac Engn, Kuala Lumpur 50603, Malaysia; [Aghamohammadi, Nasrin] Univ Malaya, Dept Social &amp; Prevent Med, Ctr Epidemiol &amp; Evidence Based Practice, Fac Med, Kuala Lumpur 50603, Malaysia</t>
        </is>
      </c>
      <c r="Y122" t="inlineStr">
        <is>
          <t>Universiti Malaya; Universiti Malaya; Universiti Malaya; Universiti Malaya</t>
        </is>
      </c>
      <c r="Z122" t="inlineStr">
        <is>
          <t>Aghamohammadi, N (corresponding author), Univ Malaya, Dept Social &amp; Prevent Med, Ctr Occupat &amp; Environm Hlth, Fac Med, Kuala Lumpur 50603, Malaysia.</t>
        </is>
      </c>
      <c r="AA122" t="inlineStr">
        <is>
          <t>nasrin@ummc.edu.my</t>
        </is>
      </c>
      <c r="AB122" t="inlineStr">
        <is>
          <t>Fong, Chng Saun/P-5554-2017; Aghamohammadi, Nasrin/L-5822-2013; Ramakreshnan, Logaraj/AAG-8597-2019</t>
        </is>
      </c>
      <c r="AC122" t="inlineStr">
        <is>
          <t>Fong, Chng Saun/0000-0002-7068-2284; Aghamohammadi, Nasrin/0000-0002-7063-1671; Ramakreshnan, Logaraj/0000-0001-7105-8435</t>
        </is>
      </c>
      <c r="AD122" t="inlineStr">
        <is>
          <t>University of Malaya Living Lab Grant Programme [UMLL038-18SUS]; University of Malaya Partnership Grant [RK0032017]</t>
        </is>
      </c>
      <c r="AE122" t="inlineStr">
        <is>
          <t>University of Malaya Living Lab Grant Programme; University of Malaya Partnership Grant</t>
        </is>
      </c>
      <c r="AF122" t="inlineStr">
        <is>
          <t>Sincere appreciation credited to the University of Malaya as this study is supported by University of Malaya Living Lab Grant Programme (UMLL038-18SUS) and University of Malaya Partnership Grant (RK0032017).</t>
        </is>
      </c>
      <c r="AH122" t="n">
        <v>78</v>
      </c>
      <c r="AI122" t="n">
        <v>13</v>
      </c>
      <c r="AJ122" t="n">
        <v>13</v>
      </c>
      <c r="AK122" t="n">
        <v>12</v>
      </c>
      <c r="AL122" t="n">
        <v>66</v>
      </c>
      <c r="AM122" t="inlineStr">
        <is>
          <t>ELSEVIER</t>
        </is>
      </c>
      <c r="AN122" t="inlineStr">
        <is>
          <t>AMSTERDAM</t>
        </is>
      </c>
      <c r="AO122" t="inlineStr">
        <is>
          <t>RADARWEG 29, 1043 NX AMSTERDAM, NETHERLANDS</t>
        </is>
      </c>
      <c r="AP122" t="inlineStr">
        <is>
          <t>0048-9697</t>
        </is>
      </c>
      <c r="AQ122" t="inlineStr">
        <is>
          <t>1879-1026</t>
        </is>
      </c>
      <c r="AS122" t="inlineStr">
        <is>
          <t>SCI TOTAL ENVIRON</t>
        </is>
      </c>
      <c r="AT122" t="inlineStr">
        <is>
          <t>Sci. Total Environ.</t>
        </is>
      </c>
      <c r="AU122" t="inlineStr">
        <is>
          <t>DEC 20</t>
        </is>
      </c>
      <c r="AV122" t="n">
        <v>2020</v>
      </c>
      <c r="AW122" t="n">
        <v>749</v>
      </c>
      <c r="BE122" t="n">
        <v>141457</v>
      </c>
      <c r="BF122" t="inlineStr">
        <is>
          <t>10.1016/j.scitotenv.2020.141457</t>
        </is>
      </c>
      <c r="BG122">
        <f>HYPERLINK("http://dx.doi.org/10.1016/j.scitotenv.2020.141457","http://dx.doi.org/10.1016/j.scitotenv.2020.141457")</f>
        <v/>
      </c>
      <c r="BJ122" t="n">
        <v>11</v>
      </c>
      <c r="BK122" t="inlineStr">
        <is>
          <t>Environmental Sciences</t>
        </is>
      </c>
      <c r="BL122" t="inlineStr">
        <is>
          <t>Science Citation Index Expanded (SCI-EXPANDED); Social Science Citation Index (SSCI)</t>
        </is>
      </c>
      <c r="BM122" t="inlineStr">
        <is>
          <t>Environmental Sciences &amp; Ecology</t>
        </is>
      </c>
      <c r="BN122" t="inlineStr">
        <is>
          <t>OG3MX</t>
        </is>
      </c>
      <c r="BO122" t="n">
        <v>33370890</v>
      </c>
      <c r="BS122" t="inlineStr">
        <is>
          <t>2023-10-26</t>
        </is>
      </c>
      <c r="BT122" t="inlineStr">
        <is>
          <t>WOS:000581793800042</t>
        </is>
      </c>
      <c r="BU122">
        <f>HYPERLINK("https%3A%2F%2Fwww.webofscience.com%2Fwos%2Fwoscc%2Ffull-record%2FWOS:000581793800042","View Full Record in Web of Science")</f>
        <v/>
      </c>
    </row>
    <row r="123">
      <c r="A123" t="inlineStr">
        <is>
          <t>J</t>
        </is>
      </c>
      <c r="B123" t="inlineStr">
        <is>
          <t>Moses, L; Morrissey, K; Sharpe, RA; Taylor, T</t>
        </is>
      </c>
      <c r="F123" t="inlineStr">
        <is>
          <t>Moses, Loveth; Morrissey, Karyn; Sharpe, Richard A.; Taylor, Tim</t>
        </is>
      </c>
      <c r="J123" t="inlineStr">
        <is>
          <t>INTERNATIONAL JOURNAL OF ENVIRONMENTAL RESEARCH AND PUBLIC HEALTH</t>
        </is>
      </c>
      <c r="M123" t="inlineStr">
        <is>
          <t>English</t>
        </is>
      </c>
      <c r="N123" t="inlineStr">
        <is>
          <t>Article</t>
        </is>
      </c>
      <c r="T123" t="inlineStr">
        <is>
          <t>Exposure to Indoor Mouldy Odour Increases the Risk of Asthma in Older Adults Living in Social Housing</t>
        </is>
      </c>
      <c r="U123" t="inlineStr">
        <is>
          <t>indoor environment; housing; mould; asthma</t>
        </is>
      </c>
      <c r="V123" t="inlineStr">
        <is>
          <t>ENERGY-EFFICIENT HOMES; RESPIRATORY HEALTH; FUNGAL DIVERSITY; DAMPNESS; VENTILATION; SPORES; ASSOCIATIONS; METAANALYSIS; SYMPTOMS; QUALITY</t>
        </is>
      </c>
      <c r="W123" t="inlineStr">
        <is>
          <t>Background: Indoor dampness is thought to affect around 16% of European homes. It is generally accepted that increased exposure to indoor dampness and mould contamination (e.g., spores and hyphae) increases the risk of developing and/or exacerbating asthma. Around 30% of people in the Western world have an allergic disease (e.g., allergy, wheeze and asthma). The role of indoor mould contamination in the risk of allergic diseases in older adults is yet to be fully explored. This is of interest because older people spend more time indoors, as well as facing health issues due to the ageing process, and may be at greater risk of developing and/or exacerbating asthma as a result of indoor dampness. Methods: Face-to-face questionnaires were carried out with 302 participants residing in social housing properties located in South West England. Self-reported demographic, mould contamination (i.e., presence of mould growth and mouldy odour) and health information was linked with the asset management records (e.g., building type, age and levels of maintenance). Multivariate logistic regression was used to calculate the odd ratios and confidence intervals of developing and/or exacerbating asthma, wheeze and allergy with exposure to reported indoor mould contamination. We adjusted for a range of factors that may affect asthma outcomes, which include age, sex, current smoking, presence of pets, education, and building type and age. To assess the role of mould contamination in older adults, we compared younger adults to those aged over 50 years. Results: Doctor-diagnosed adult asthma was reported by 26% of respondents, 34% had current wheeze while 18% had allergies. Asthma was common among subjects exposed to reported visible mould (32%) and reported mouldy odour (42%). Exposure to visible mould growth and mouldy odour were risk factors for asthma, but not for wheeze or allergy. Exposure to mouldy odour increased the risk of asthma in adults over the age of 50 years (odds ratio (OR) 2.4, 95% confidence interval (CI) 1.10-5.34) and the risk was higher for females than for males (OR 3.5, 95% CI 1.37-9.08). These associations were modified by a range of built environment characteristics. Conclusions: We found that older adults living in social (public) housing properties, specifically women, may be at higher risk of asthma when exposed to mouldy odour, which has a number of implications for policy makers and practitioners working in the health and housing sector. Additional measures should be put in place to protect older people living in social housing against indoor damp and mould contamination.</t>
        </is>
      </c>
      <c r="X123" t="inlineStr">
        <is>
          <t>[Moses, Loveth; Morrissey, Karyn; Sharpe, Richard A.; Taylor, Tim] Univ Exeter, Med Sch, European Ctr Environm &amp; Hlth, Truro TR1 3HD, England; [Sharpe, Richard A.] Cornwall Council, Publ Hlth, Truro TR1 3AY, England</t>
        </is>
      </c>
      <c r="Y123" t="inlineStr">
        <is>
          <t>University of Exeter</t>
        </is>
      </c>
      <c r="Z123" t="inlineStr">
        <is>
          <t>Morrissey, K (corresponding author), Univ Exeter, Med Sch, European Ctr Environm &amp; Hlth, Truro TR1 3HD, England.</t>
        </is>
      </c>
      <c r="AA123" t="inlineStr">
        <is>
          <t>k.morrissey@exeter.ac.uk</t>
        </is>
      </c>
      <c r="AB123" t="inlineStr">
        <is>
          <t>Morrissey, Karyn/HZK-6855-2023</t>
        </is>
      </c>
      <c r="AC123" t="inlineStr">
        <is>
          <t>Morrissey, Karyn/0000-0001-7259-1047; Taylor, Timothy/0000-0002-2625-7408; Sharpe, Richard/0000-0001-9491-0571</t>
        </is>
      </c>
      <c r="AD123" t="inlineStr">
        <is>
          <t>European Regional Development Fund [SZ07660]</t>
        </is>
      </c>
      <c r="AE123" t="inlineStr">
        <is>
          <t>European Regional Development Fund(European Union (EU))</t>
        </is>
      </c>
      <c r="AF123" t="inlineStr">
        <is>
          <t>This research was supported by funding provided by the European Regional Development Fund (grant number SZ07660) for the SMARTLINE Project.</t>
        </is>
      </c>
      <c r="AH123" t="n">
        <v>53</v>
      </c>
      <c r="AI123" t="n">
        <v>23</v>
      </c>
      <c r="AJ123" t="n">
        <v>24</v>
      </c>
      <c r="AK123" t="n">
        <v>5</v>
      </c>
      <c r="AL123" t="n">
        <v>11</v>
      </c>
      <c r="AM123" t="inlineStr">
        <is>
          <t>MDPI</t>
        </is>
      </c>
      <c r="AN123" t="inlineStr">
        <is>
          <t>BASEL</t>
        </is>
      </c>
      <c r="AO123" t="inlineStr">
        <is>
          <t>ST ALBAN-ANLAGE 66, CH-4052 BASEL, SWITZERLAND</t>
        </is>
      </c>
      <c r="AQ123" t="inlineStr">
        <is>
          <t>1660-4601</t>
        </is>
      </c>
      <c r="AS123" t="inlineStr">
        <is>
          <t>INT J ENV RES PUB HE</t>
        </is>
      </c>
      <c r="AT123" t="inlineStr">
        <is>
          <t>Int. J. Environ. Res. Public Health</t>
        </is>
      </c>
      <c r="AU123" t="inlineStr">
        <is>
          <t>JUL 2</t>
        </is>
      </c>
      <c r="AV123" t="n">
        <v>2019</v>
      </c>
      <c r="AW123" t="n">
        <v>16</v>
      </c>
      <c r="AX123" t="n">
        <v>14</v>
      </c>
      <c r="BE123" t="n">
        <v>2600</v>
      </c>
      <c r="BF123" t="inlineStr">
        <is>
          <t>10.3390/ijerph16142600</t>
        </is>
      </c>
      <c r="BG123">
        <f>HYPERLINK("http://dx.doi.org/10.3390/ijerph16142600","http://dx.doi.org/10.3390/ijerph16142600")</f>
        <v/>
      </c>
      <c r="BJ123" t="n">
        <v>14</v>
      </c>
      <c r="BK123" t="inlineStr">
        <is>
          <t>Environmental Sciences; Public, Environmental &amp; Occupational Health</t>
        </is>
      </c>
      <c r="BL123" t="inlineStr">
        <is>
          <t>Science Citation Index Expanded (SCI-EXPANDED); Social Science Citation Index (SSCI)</t>
        </is>
      </c>
      <c r="BM123" t="inlineStr">
        <is>
          <t>Environmental Sciences &amp; Ecology; Public, Environmental &amp; Occupational Health</t>
        </is>
      </c>
      <c r="BN123" t="inlineStr">
        <is>
          <t>IQ3NV</t>
        </is>
      </c>
      <c r="BO123" t="n">
        <v>31336583</v>
      </c>
      <c r="BP123" t="inlineStr">
        <is>
          <t>Green Published, gold, Green Submitted, Green Accepted</t>
        </is>
      </c>
      <c r="BS123" t="inlineStr">
        <is>
          <t>2023-10-26</t>
        </is>
      </c>
      <c r="BT123" t="inlineStr">
        <is>
          <t>WOS:000480659300153</t>
        </is>
      </c>
      <c r="BU123">
        <f>HYPERLINK("https%3A%2F%2Fwww.webofscience.com%2Fwos%2Fwoscc%2Ffull-record%2FWOS:000480659300153","View Full Record in Web of Science")</f>
        <v/>
      </c>
    </row>
    <row r="124">
      <c r="A124" t="inlineStr">
        <is>
          <t>J</t>
        </is>
      </c>
      <c r="B124" t="inlineStr">
        <is>
          <t>D'Amico, A; Russo, M; Angelosanti, M; Bernardini, G; Vicari, D; Quagliarini, E; Currà, E</t>
        </is>
      </c>
      <c r="F124" t="inlineStr">
        <is>
          <t>D'Amico, Alessandro; Russo, Martina; Angelosanti, Marco; Bernardini, Gabriele; Vicari, Donatella; Quagliarini, Enrico; Curra, Edoardo</t>
        </is>
      </c>
      <c r="J124" t="inlineStr">
        <is>
          <t>SUSTAINABILITY</t>
        </is>
      </c>
      <c r="M124" t="inlineStr">
        <is>
          <t>English</t>
        </is>
      </c>
      <c r="N124" t="inlineStr">
        <is>
          <t>Article</t>
        </is>
      </c>
      <c r="T124" t="inlineStr">
        <is>
          <t>Built Environment Typologies Prone to Risk: A Cluster Analysis of Open Spaces in Italian Cities</t>
        </is>
      </c>
      <c r="U124" t="inlineStr">
        <is>
          <t>built environment; multi-risk; GIS; cluster analysis</t>
        </is>
      </c>
      <c r="V124" t="inlineStr">
        <is>
          <t>MULTI-HAZARD; HUMAN-BEHAVIOR; URBAN; IMPACT; EVACUATION; SCENARIOS; METHODOLOGIES; CONSEQUENCES; PEDESTRIANS; CHALLENGES</t>
        </is>
      </c>
      <c r="W124" t="inlineStr">
        <is>
          <t>Planning for preparedness, in terms of multi-hazard disasters, involves testing the relevant abilities to mitigate damage and build resilience, through the assessment of deterministic disaster scenarios. Among risk-prone assets, open spaces (OSs) play a significant role in the characterization of the built environment (BE) and represent the relevant urban portion on which to develop multi-risk scenarios. The aim of this paper is to elaborate ideal scenarios-namely, Built Environment Typologies (BETs)-for simulation-based risk assessment actions, considering the safety and resilience of BEs in emergency conditions. The investigation is conducted through the GIS data collection of the common characteristics of OSs (i.e., squares), identified through five parameters considered significant in the scientific literature. These data were processed through a non-hierarchical cluster analysis. The results of the cluster analysis identified five groups of OSs, characterized by specific morphological, functional, and physical characteristics. Combining the outcomes of the cluster analysis with a critical analysis, nine final BETs were identified. The resulting BETs were linked to characteristic risk combinations, according to the analysed parameters. Thus, the multi-risk scenarios identified through the statistical analysis lay the basis for future risk assessments of BEs, based on the peculiar characteristics of Italian towns.</t>
        </is>
      </c>
      <c r="X124" t="inlineStr">
        <is>
          <t>[D'Amico, Alessandro; Russo, Martina; Angelosanti, Marco; Curra, Edoardo] Sapienza Univ Roma, Dept Civil Bldg &amp; Environm Engn, I-00184 Rome, Italy; [D'Amico, Alessandro; Bernardini, Gabriele; Quagliarini, Enrico] Univ Politecn Marche, Dept Construct Civil Engn &amp; Architecture DICEA, I-60121 Ancona, Italy; [Vicari, Donatella] Sapienza Univ Rome, Dept Stat Sci, I-00185 Rome, Italy</t>
        </is>
      </c>
      <c r="Y124" t="inlineStr">
        <is>
          <t>Sapienza University Rome; Marche Polytechnic University; Sapienza University Rome</t>
        </is>
      </c>
      <c r="Z124" t="inlineStr">
        <is>
          <t>Russo, M (corresponding author), Sapienza Univ Roma, Dept Civil Bldg &amp; Environm Engn, I-00184 Rome, Italy.</t>
        </is>
      </c>
      <c r="AA124" t="inlineStr">
        <is>
          <t>alessandro.damico@uniroma1.it; martina.russo@uniroma1.it; marco.angelosanti@uniroma1.it; g.bernardini@univpm.it; donatella.vicari@uniroma1.it; e.quagliarini@univpm.it; edoardo.curra@uniroma1.it</t>
        </is>
      </c>
      <c r="AB124" t="inlineStr">
        <is>
          <t>Vicari, Donatella/AAF-7020-2020; Angelosanti, Marco/ABD-8361-2021; Russo, Martina/GPS-9939-2022; Bernardini, Gabriele/S-6283-2017; Curra, Edoardo/AAL-3111-2020; D'Amico, Alessandro/O-4674-2016</t>
        </is>
      </c>
      <c r="AC124" t="inlineStr">
        <is>
          <t>Angelosanti, Marco/0000-0002-4357-1175; Russo, Martina/0000-0001-9886-9086; Bernardini, Gabriele/0000-0002-7381-4537; Curra, Edoardo/0000-0003-3242-0272; quagliarini, enrico/0000-0002-1091-8929; VICARI, Donatella/0000-0002-2821-2991; D'Amico, Alessandro/0000-0001-8518-1653</t>
        </is>
      </c>
      <c r="AD124" t="inlineStr">
        <is>
          <t>MIUR (the Italian Ministry of Education, University, and Research) [2017LR75XK]</t>
        </is>
      </c>
      <c r="AE124" t="inlineStr">
        <is>
          <t>MIUR (the Italian Ministry of Education, University, and Research)(Ministry of Education, Universities and Research (MIUR))</t>
        </is>
      </c>
      <c r="AF124" t="inlineStr">
        <is>
          <t>This research was funded by the MIUR (the Italian Ministry of Education, University, and Research) Project BE S2ECURe-(make) Built Environment Safer in Slow and Emergency Conditions through behavioural assessed/designed Resilient solutions (grant number: 2017LR75XK).</t>
        </is>
      </c>
      <c r="AH124" t="n">
        <v>68</v>
      </c>
      <c r="AI124" t="n">
        <v>10</v>
      </c>
      <c r="AJ124" t="n">
        <v>10</v>
      </c>
      <c r="AK124" t="n">
        <v>1</v>
      </c>
      <c r="AL124" t="n">
        <v>16</v>
      </c>
      <c r="AM124" t="inlineStr">
        <is>
          <t>MDPI</t>
        </is>
      </c>
      <c r="AN124" t="inlineStr">
        <is>
          <t>BASEL</t>
        </is>
      </c>
      <c r="AO124" t="inlineStr">
        <is>
          <t>ST ALBAN-ANLAGE 66, CH-4052 BASEL, SWITZERLAND</t>
        </is>
      </c>
      <c r="AQ124" t="inlineStr">
        <is>
          <t>2071-1050</t>
        </is>
      </c>
      <c r="AS124" t="inlineStr">
        <is>
          <t>SUSTAINABILITY-BASEL</t>
        </is>
      </c>
      <c r="AT124" t="inlineStr">
        <is>
          <t>Sustainability</t>
        </is>
      </c>
      <c r="AU124" t="inlineStr">
        <is>
          <t>AUG</t>
        </is>
      </c>
      <c r="AV124" t="n">
        <v>2021</v>
      </c>
      <c r="AW124" t="n">
        <v>13</v>
      </c>
      <c r="AX124" t="n">
        <v>16</v>
      </c>
      <c r="BE124" t="n">
        <v>9457</v>
      </c>
      <c r="BF124" t="inlineStr">
        <is>
          <t>10.3390/su13169457</t>
        </is>
      </c>
      <c r="BG124">
        <f>HYPERLINK("http://dx.doi.org/10.3390/su13169457","http://dx.doi.org/10.3390/su13169457")</f>
        <v/>
      </c>
      <c r="BJ124" t="n">
        <v>32</v>
      </c>
      <c r="BK124" t="inlineStr">
        <is>
          <t>Green &amp; Sustainable Science &amp; Technology; Environmental Sciences; Environmental Studies</t>
        </is>
      </c>
      <c r="BL124" t="inlineStr">
        <is>
          <t>Science Citation Index Expanded (SCI-EXPANDED); Social Science Citation Index (SSCI)</t>
        </is>
      </c>
      <c r="BM124" t="inlineStr">
        <is>
          <t>Science &amp; Technology - Other Topics; Environmental Sciences &amp; Ecology</t>
        </is>
      </c>
      <c r="BN124" t="inlineStr">
        <is>
          <t>UH5QW</t>
        </is>
      </c>
      <c r="BP124" t="inlineStr">
        <is>
          <t>gold, Green Published</t>
        </is>
      </c>
      <c r="BS124" t="inlineStr">
        <is>
          <t>2023-10-26</t>
        </is>
      </c>
      <c r="BT124" t="inlineStr">
        <is>
          <t>WOS:000689986200001</t>
        </is>
      </c>
      <c r="BU124">
        <f>HYPERLINK("https%3A%2F%2Fwww.webofscience.com%2Fwos%2Fwoscc%2Ffull-record%2FWOS:000689986200001","View Full Record in Web of Science")</f>
        <v/>
      </c>
    </row>
    <row r="125">
      <c r="A125" t="inlineStr">
        <is>
          <t>J</t>
        </is>
      </c>
      <c r="B125" t="inlineStr">
        <is>
          <t>Horve, PF; Lloyd, S; Mhuireach, GA; Dietz, L; Fretz, M; MacCrone, G; Van den Wymelenberg, K; Ishaq, SL</t>
        </is>
      </c>
      <c r="F125" t="inlineStr">
        <is>
          <t>Horve, Patrick F.; Lloyd, Savanna; Mhuireach, Gwynne A.; Dietz, Leslie; Fretz, Mark; MacCrone, Georgia; Van den Wymelenberg, Kevin; Ishaq, Suzanne L.</t>
        </is>
      </c>
      <c r="J125" t="inlineStr">
        <is>
          <t>JOURNAL OF EXPOSURE SCIENCE AND ENVIRONMENTAL EPIDEMIOLOGY</t>
        </is>
      </c>
      <c r="M125" t="inlineStr">
        <is>
          <t>English</t>
        </is>
      </c>
      <c r="N125" t="inlineStr">
        <is>
          <t>Article</t>
        </is>
      </c>
      <c r="T125" t="inlineStr">
        <is>
          <t>Building upon current knowledge and techniques of indoor microbiology to construct the next era of theory into microorganisms, health, and the built environment</t>
        </is>
      </c>
      <c r="U125" t="inlineStr">
        <is>
          <t>Biomonitoring; Dermal exposure; Disease; Environmental monitoring; Epidemiology; Personal exposure</t>
        </is>
      </c>
      <c r="V125" t="inlineStr">
        <is>
          <t>ON-A-CHIP; CLOSTRIDIUM-DIFFICILE; RELATIVE-HUMIDITY; TRANSFER EFFICIENCY; VENTILATION RATES; INFECTION-CONTROL; KEY DETERMINANTS; AIR-QUALITY; BACTERIA; DISEASE</t>
        </is>
      </c>
      <c r="W125" t="inlineStr">
        <is>
          <t>In the constructed habitat in which we spend up to 90% of our time, architectural design influences occupants' behavioral patterns, interactions with objects, surfaces, rituals, the outside environment, and each other. Within this built environment, human behavior and building design contribute to the accrual and dispersal of microorganisms; it is a collection of fomites that transfer microorganisms; reservoirs that collect biomass; structures that induce human or air movement patterns; and space types that encourage proximity or isolation between humans whose personal microbial clouds disperse cells into buildings. There have been recent calls to incorporate building microbiology into occupant health and exposure research and standards, yet the built environment is largely viewed as a repository for microorganisms which are to be eliminated, instead of a habitat which is inexorably linked to the microbial influences of building inhabitants. Health sectors have re-evaluated the role of microorganisms in health, incorporating microorganisms into prevention and treatment protocols, yet no paradigm shift has occurred with respect to microbiology of the built environment, despite calls to do so. Technological and logistical constraints often preclude our ability to link health outcomes to indoor microbiology, yet sufficient study exists to inform the theory and implementation of the next era of research and intervention in the built environment. This review presents built environment characteristics in relation to human health and disease, explores some of the current experimental strategies and interventions which explore health in the built environment, and discusses an emerging model for fostering indoor microbiology rather than fearing it.</t>
        </is>
      </c>
      <c r="X125" t="inlineStr">
        <is>
          <t>[Horve, Patrick F.; Lloyd, Savanna; Mhuireach, Gwynne A.; Dietz, Leslie; MacCrone, Georgia; Van den Wymelenberg, Kevin; Ishaq, Suzanne L.] Univ Oregon, Biol &amp; Built Environm Ctr, Eugene, OR 97403 USA; [Fretz, Mark; Van den Wymelenberg, Kevin] Univ Oregon, Inst Hlth &amp; Built Environm, Portland, OR 97209 USA</t>
        </is>
      </c>
      <c r="Y125" t="inlineStr">
        <is>
          <t>University of Oregon; University of Oregon</t>
        </is>
      </c>
      <c r="Z125" t="inlineStr">
        <is>
          <t>Ishaq, SL (corresponding author), Univ Oregon, Biol &amp; Built Environm Ctr, Eugene, OR 97403 USA.</t>
        </is>
      </c>
      <c r="AA125" t="inlineStr">
        <is>
          <t>sueishaq@uoregon.edu</t>
        </is>
      </c>
      <c r="AB125" t="inlineStr">
        <is>
          <t>Horve, Patrick/AAJ-2608-2020; Dietz, Leslie G/AAJ-1915-2020</t>
        </is>
      </c>
      <c r="AC125" t="inlineStr">
        <is>
          <t>Horve, Patrick/0000-0002-9318-9249; Dietz, Leslie/0000-0002-5623-1524; Ishaq, Suzanne/0000-0002-2615-8055; Van Den Wymelenberg, Kevin/0000-0002-0336-5537</t>
        </is>
      </c>
      <c r="AH125" t="n">
        <v>243</v>
      </c>
      <c r="AI125" t="n">
        <v>63</v>
      </c>
      <c r="AJ125" t="n">
        <v>63</v>
      </c>
      <c r="AK125" t="n">
        <v>3</v>
      </c>
      <c r="AL125" t="n">
        <v>41</v>
      </c>
      <c r="AM125" t="inlineStr">
        <is>
          <t>NATURE PUBLISHING GROUP</t>
        </is>
      </c>
      <c r="AN125" t="inlineStr">
        <is>
          <t>NEW YORK</t>
        </is>
      </c>
      <c r="AO125" t="inlineStr">
        <is>
          <t>75 VARICK ST, 9TH FLR, NEW YORK, NY 10013-1917 USA</t>
        </is>
      </c>
      <c r="AP125" t="inlineStr">
        <is>
          <t>1559-0631</t>
        </is>
      </c>
      <c r="AQ125" t="inlineStr">
        <is>
          <t>1559-064X</t>
        </is>
      </c>
      <c r="AS125" t="inlineStr">
        <is>
          <t>J EXPO SCI ENV EPID</t>
        </is>
      </c>
      <c r="AT125" t="inlineStr">
        <is>
          <t>J. Expo. Sci. Environ. Epidemiol.</t>
        </is>
      </c>
      <c r="AU125" t="inlineStr">
        <is>
          <t>MAR</t>
        </is>
      </c>
      <c r="AV125" t="n">
        <v>2020</v>
      </c>
      <c r="AW125" t="n">
        <v>30</v>
      </c>
      <c r="AX125" t="n">
        <v>2</v>
      </c>
      <c r="BC125" t="n">
        <v>219</v>
      </c>
      <c r="BD125" t="n">
        <v>235</v>
      </c>
      <c r="BF125" t="inlineStr">
        <is>
          <t>10.1038/s41370-019-0157-y</t>
        </is>
      </c>
      <c r="BG125">
        <f>HYPERLINK("http://dx.doi.org/10.1038/s41370-019-0157-y","http://dx.doi.org/10.1038/s41370-019-0157-y")</f>
        <v/>
      </c>
      <c r="BJ125" t="n">
        <v>17</v>
      </c>
      <c r="BK125" t="inlineStr">
        <is>
          <t>Environmental Sciences; Public, Environmental &amp; Occupational Health; Toxicology</t>
        </is>
      </c>
      <c r="BL125" t="inlineStr">
        <is>
          <t>Science Citation Index Expanded (SCI-EXPANDED); Social Science Citation Index (SSCI)</t>
        </is>
      </c>
      <c r="BM125" t="inlineStr">
        <is>
          <t>Environmental Sciences &amp; Ecology; Public, Environmental &amp; Occupational Health; Toxicology</t>
        </is>
      </c>
      <c r="BN125" t="inlineStr">
        <is>
          <t>KS4KQ</t>
        </is>
      </c>
      <c r="BO125" t="n">
        <v>31308484</v>
      </c>
      <c r="BP125" t="inlineStr">
        <is>
          <t>Bronze, Green Published</t>
        </is>
      </c>
      <c r="BS125" t="inlineStr">
        <is>
          <t>2023-10-26</t>
        </is>
      </c>
      <c r="BT125" t="inlineStr">
        <is>
          <t>WOS:000518280100001</t>
        </is>
      </c>
      <c r="BU125">
        <f>HYPERLINK("https%3A%2F%2Fwww.webofscience.com%2Fwos%2Fwoscc%2Ffull-record%2FWOS:000518280100001","View Full Record in Web of Science")</f>
        <v/>
      </c>
    </row>
    <row r="126">
      <c r="A126" t="inlineStr">
        <is>
          <t>J</t>
        </is>
      </c>
      <c r="B126" t="inlineStr">
        <is>
          <t>Brookfield, K; Thompson, CW; Scott, I</t>
        </is>
      </c>
      <c r="F126" t="inlineStr">
        <is>
          <t>Brookfield, Katherine; Thompson, Catharine Ward; Scott, Iain</t>
        </is>
      </c>
      <c r="J126" t="inlineStr">
        <is>
          <t>INTERNATIONAL JOURNAL OF ENVIRONMENTAL RESEARCH AND PUBLIC HEALTH</t>
        </is>
      </c>
      <c r="M126" t="inlineStr">
        <is>
          <t>English</t>
        </is>
      </c>
      <c r="N126" t="inlineStr">
        <is>
          <t>Article</t>
        </is>
      </c>
      <c r="T126" t="inlineStr">
        <is>
          <t>The Uncommon Impact of Common Environmental Details on Walking in Older Adults</t>
        </is>
      </c>
      <c r="U126" t="inlineStr">
        <is>
          <t>walking; older adults; physical activity; environment</t>
        </is>
      </c>
      <c r="V126" t="inlineStr">
        <is>
          <t>NEIGHBORHOOD OPEN SPACE; PHYSICAL-ACTIVITY; PEOPLE; ATTRIBUTES; ASSOCIATIONS; DIFFICULTY; COMMUNITY; DEMENTIA; EXERCISE; HEALTH</t>
        </is>
      </c>
      <c r="W126" t="inlineStr">
        <is>
          <t>Walking is the most common form of physical activity amongst older adults. Older adults' walking behaviors have been linked to objective and perceived neighborhood and street-level environmental attributes, such as pavement quality and mixed land uses. To help identify components of walkable environments, this paper examines some of these environmental attributes and explores their influence on this population's walking behaviors. It draws on focus group and interview data collected from 22 purposively sampled older adults aged 60 years and over. These participants presented a range of functional and cognitive impairments including stroke and dementia. In line with past research, we detail how various everyday aspects of urban environments, such as steps, curbs and uneven pavements, can, in combination with person-related factors, complicate older adults' outdoor mobility while others, such as handrails and benches, seem to support and even encourage movement. Importantly, we delineate the influence of perceptions on mobility choices. We found that, in some instances, it is the meanings and possibilities that older adults derive from aspects of the environment, such as street cameras and underpasses, rather than the aspects per se, which shape behavior. The implications for policy and practice are considered.</t>
        </is>
      </c>
      <c r="X126" t="inlineStr">
        <is>
          <t>[Brookfield, Katherine; Thompson, Catharine Ward; Scott, Iain] Univ Edinburgh, Edinburgh Coll Art, Edinburgh EH3 9DF, Midlothian, Scotland</t>
        </is>
      </c>
      <c r="Y126" t="inlineStr">
        <is>
          <t>Edinburgh College of Art; University of Edinburgh</t>
        </is>
      </c>
      <c r="Z126" t="inlineStr">
        <is>
          <t>Brookfield, K (corresponding author), Univ Edinburgh, Edinburgh Coll Art, Edinburgh EH3 9DF, Midlothian, Scotland.</t>
        </is>
      </c>
      <c r="AA126" t="inlineStr">
        <is>
          <t>katherine.brookfield@ed.ac.uk; c.ward-thompson@ed.ac.uk; iain.scott@ed.ac.uk</t>
        </is>
      </c>
      <c r="AB126" t="inlineStr">
        <is>
          <t>Ward Thompson, Catharine/JFA-9237-2023</t>
        </is>
      </c>
      <c r="AC126" t="inlineStr">
        <is>
          <t>Ward Thompson, Catharine/0000-0002-9563-0026</t>
        </is>
      </c>
      <c r="AD126" t="inlineStr">
        <is>
          <t>Research Councils UK as part of the Lifelong Health and Wellbeing Cross-Council Programme [EP/K037404/1]; Engineering and Physical Sciences Research Council [EP/K037404/1] Funding Source: researchfish; EPSRC [EP/K037404/1] Funding Source: UKRI</t>
        </is>
      </c>
      <c r="AE126" t="inlineStr">
        <is>
          <t>Research Councils UK as part of the Lifelong Health and Wellbeing Cross-Council Programme; Engineering and Physical Sciences Research Council(UK Research &amp; Innovation (UKRI)Engineering &amp; Physical Sciences Research Council (EPSRC)); EPSRC(UK Research &amp; Innovation (UKRI)Engineering &amp; Physical Sciences Research Council (EPSRC))</t>
        </is>
      </c>
      <c r="AF126" t="inlineStr">
        <is>
          <t>This work was undertaken under the Mobility, Mood and Place (MMP) research programme, supported by Research Councils UK as part of the Lifelong Health and Wellbeing Cross-Council Programme (grant reference number EP/K037404/1) under Principal Investigator Catharine Ward Thompson. It formed part of a work package led by Co-Investigators Iain Scott, Anthea Tinker, Neil Thin, John Strarr and Gillian Mead. The authors thank the participants and the reviewers.</t>
        </is>
      </c>
      <c r="AH126" t="n">
        <v>47</v>
      </c>
      <c r="AI126" t="n">
        <v>20</v>
      </c>
      <c r="AJ126" t="n">
        <v>20</v>
      </c>
      <c r="AK126" t="n">
        <v>0</v>
      </c>
      <c r="AL126" t="n">
        <v>9</v>
      </c>
      <c r="AM126" t="inlineStr">
        <is>
          <t>MDPI</t>
        </is>
      </c>
      <c r="AN126" t="inlineStr">
        <is>
          <t>BASEL</t>
        </is>
      </c>
      <c r="AO126" t="inlineStr">
        <is>
          <t>ST ALBAN-ANLAGE 66, CH-4052 BASEL, SWITZERLAND</t>
        </is>
      </c>
      <c r="AQ126" t="inlineStr">
        <is>
          <t>1660-4601</t>
        </is>
      </c>
      <c r="AS126" t="inlineStr">
        <is>
          <t>INT J ENV RES PUB HE</t>
        </is>
      </c>
      <c r="AT126" t="inlineStr">
        <is>
          <t>Int. J. Environ. Res. Public Health</t>
        </is>
      </c>
      <c r="AU126" t="inlineStr">
        <is>
          <t>FEB</t>
        </is>
      </c>
      <c r="AV126" t="n">
        <v>2017</v>
      </c>
      <c r="AW126" t="n">
        <v>14</v>
      </c>
      <c r="AX126" t="n">
        <v>2</v>
      </c>
      <c r="BE126" t="n">
        <v>190</v>
      </c>
      <c r="BF126" t="inlineStr">
        <is>
          <t>10.3390/ijerph14020190</t>
        </is>
      </c>
      <c r="BG126">
        <f>HYPERLINK("http://dx.doi.org/10.3390/ijerph14020190","http://dx.doi.org/10.3390/ijerph14020190")</f>
        <v/>
      </c>
      <c r="BJ126" t="n">
        <v>10</v>
      </c>
      <c r="BK126" t="inlineStr">
        <is>
          <t>Environmental Sciences; Public, Environmental &amp; Occupational Health</t>
        </is>
      </c>
      <c r="BL126" t="inlineStr">
        <is>
          <t>Science Citation Index Expanded (SCI-EXPANDED); Social Science Citation Index (SSCI)</t>
        </is>
      </c>
      <c r="BM126" t="inlineStr">
        <is>
          <t>Environmental Sciences &amp; Ecology; Public, Environmental &amp; Occupational Health</t>
        </is>
      </c>
      <c r="BN126" t="inlineStr">
        <is>
          <t>EM7CA</t>
        </is>
      </c>
      <c r="BO126" t="n">
        <v>28216597</v>
      </c>
      <c r="BP126" t="inlineStr">
        <is>
          <t>gold, Green Accepted, Green Published, Green Submitted</t>
        </is>
      </c>
      <c r="BS126" t="inlineStr">
        <is>
          <t>2023-10-26</t>
        </is>
      </c>
      <c r="BT126" t="inlineStr">
        <is>
          <t>WOS:000395467900082</t>
        </is>
      </c>
      <c r="BU126">
        <f>HYPERLINK("https%3A%2F%2Fwww.webofscience.com%2Fwos%2Fwoscc%2Ffull-record%2FWOS:000395467900082","View Full Record in Web of Science")</f>
        <v/>
      </c>
    </row>
    <row r="127">
      <c r="A127" t="inlineStr">
        <is>
          <t>J</t>
        </is>
      </c>
      <c r="B127" t="inlineStr">
        <is>
          <t>Song, J; Liang, YF; Xu, ZW; Wu, YD; Yan, SS; Mei, L; Sun, XN; Li, YX; Jin, XY; Yi, WZ; Pan, RB; Cheng, J; Hu, WB; Su, H</t>
        </is>
      </c>
      <c r="F127" t="inlineStr">
        <is>
          <t>Song, Jian; Liang, Yunfeng; Xu, Zhiwei; Wu, Yudong; Yan, Shuangshuang; Mei, Lu; Sun, Xiaoni; Li, Yuxuan; Jin, Xiaoyu; Yi, Weizhuo; Pan, Rubing; Cheng, Jian; Hu, Wenbiao; Su, Hong</t>
        </is>
      </c>
      <c r="J127" t="inlineStr">
        <is>
          <t>ENVIRONMENTAL RESEARCH</t>
        </is>
      </c>
      <c r="M127" t="inlineStr">
        <is>
          <t>English</t>
        </is>
      </c>
      <c r="N127" t="inlineStr">
        <is>
          <t>Article</t>
        </is>
      </c>
      <c r="T127" t="inlineStr">
        <is>
          <t>Built environment and schizophrenia re-hospitalization risk in China: A cohort study</t>
        </is>
      </c>
      <c r="U127" t="inlineStr">
        <is>
          <t>Built environment; Schizophrenia; Rehospitalization; Healthy city</t>
        </is>
      </c>
      <c r="V127" t="inlineStr">
        <is>
          <t>SHORT-TERM EXPOSURE; PHYSICAL-ACTIVITY; NEIGHBORHOOD WALKABILITY; OLDER-ADULTS; HYPERTENSION; METAANALYSIS; DEPRIVATION; POPULATION</t>
        </is>
      </c>
      <c r="W127" t="inlineStr">
        <is>
          <t>Background: Built environment exposure, characterized by ubiquity and changeability, has the potential to be the prospective target of public health policy. However, little research has been conducted to explore its impact on schizophrenia. This study aimed to investigate the association between built environmentand and schizophrenia rehospitalization by simultaneously considering substantial built environmental exposures. Methods: We recruited eligible schizophrenia patients from Hefei, Anhui Province, China between 2017 and 2019. The main outcome for this study was the time interval until the first recurrent hospital admission occurred within one year after discharge. For each included subject, we estimated the built environment exposures, including population density, walkability, land use mix, green and blue space, public transportation accessibility and road traffic indicator. Lasso (Least Absolute Shrinkage and Selection Operator) analysis was used to select the key variables. Multivariable Cox regression model was applied to obtain hazard ratio (HR) and its corre-sponding 95% confidence intervals (CI). Further, we also evaluated the joint effects of built environment characteristics on rehospitalization for schizophrenia by Quantile g-computation model. Results: A total of 1564 hospitalized schizophrenia patients were enrolled, with 347 patients (22.2%) had a rehospitalization within one-year after discharge. Multivariable Cox regression analysis indicated that the re-hospitalization rate for schizophrenia would be higher in areas with a high population density (HR: 1.10, 95%CI: 1.04-1.16). Nonetheless, compared to the reference (Q1), participants who lived in a neighborhood with the highest walkability and NDVI (Normalized Difference Vegetation Index) (Q4) had a 76% and 47% lower risk of re-hospitalization within one year (HR:0.24, 95%CI: 0.13-0.45; and 0.53, 95%CI:0.32-0.85), respectively. Moreover, quantile-based g-computation analyses revealed that increased walkability and green space signifi-cantly eliminated the adverse effects of population density increases on schizophrenia patients, with a HR ratio of 0.61 (95%CI:0.48,0.79) per one quartile change at the same time. Conclusion: Our study provides scientific evidence for the significant role of built environment in schizophrenia rehospitalization, suggesting that optimizing the built environment is required in designing and building a healthy city.</t>
        </is>
      </c>
      <c r="X127" t="inlineStr">
        <is>
          <t>[Song, Jian; Liang, Yunfeng; Wu, Yudong; Yan, Shuangshuang; Mei, Lu; Sun, Xiaoni; Li, Yuxuan; Jin, Xiaoyu; Yi, Weizhuo; Pan, Rubing; Cheng, Jian; Su, Hong] Anhui Med Univ, Sch Publ Hlth, Dept Epidemiol &amp; Hlth Stat, Hefei, Peoples R China; [Song, Jian; Liang, Yunfeng; Wu, Yudong; Yan, Shuangshuang; Mei, Lu; Sun, Xiaoni; Li, Yuxuan; Jin, Xiaoyu; Yi, Weizhuo; Pan, Rubing; Cheng, Jian; Su, Hong] Inflammat &amp; Immune Mediated Dis Lab Anhui Prov, 81 Meishan Rd, Hefei 230031, Anhui, Peoples R China; [Song, Jian; Hu, Wenbiao] Queensland Univ Technol, Sch Publ Hlth &amp; Social Work, Ecosyst Change &amp; Populat Hlth Res Grp, Brisbane, Australia; [Xu, Zhiwei] Griffith Univ, Sch Med &amp; Dent, Gold Coast Campus, Southport, Qld 4222, Australia</t>
        </is>
      </c>
      <c r="Y127" t="inlineStr">
        <is>
          <t>Anhui Medical University; Queensland University of Technology (QUT); Griffith University</t>
        </is>
      </c>
      <c r="Z127" t="inlineStr">
        <is>
          <t>Su, H (corresponding author), Anhui Med Univ, Sch Publ Hlth, Dept Epidemiol &amp; Hlth Stat, Hefei, Peoples R China.;Hu, WB (corresponding author), Queensland Univ Technol, Sch Publ Hlth &amp; Social Work, Ecosyst Change &amp; Populat Hlth Res Grp, Brisbane, Australia.</t>
        </is>
      </c>
      <c r="AA127" t="inlineStr">
        <is>
          <t>w2.hu@qut.edu.au; suhong5151@sina.com</t>
        </is>
      </c>
      <c r="AB127" t="inlineStr">
        <is>
          <t>zhang, xue/JJE-9257-2023; Zhang, Yunyi/JHS-3626-2023; yang, peng/JEZ-8452-2023; zhao, lin/JJF-0406-2023; Wang, Chao/JHT-6081-2023; zhang, xiao/JCN-8822-2023; li, yifan/JHU-9272-2023; wang, wenjuan/JGD-0428-2023; li, jing/JEF-8436-2023; Pan, Rubing/JAC-2659-2023; YI, J/JJE-7713-2023; WANG, Bin/JGM-2639-2023; zhang, xinyu/JKI-8403-2023; Zhou, Yue/JHS-8791-2023; Li, Yao/JJC-2927-2023; zheng, yan/JKJ-3632-2023; liu, xy/JEP-3175-2023; Zhang, Wei/JKI-3565-2023; yang, rui/JHI-3328-2023; Jiang, Yu/JEZ-9814-2023; yuanyuan, Li/JEZ-6497-2023; Zhang, Yun/JCN-7026-2023; wu, yi/JEP-1581-2023; peng, yan/JCO-1763-2023; zhang, xu/JEO-4879-2023; li, qing/JEF-9044-2023; Wang, Guang/JFS-8374-2023; Zhou, Hong/JKJ-1067-2023; Liu, Jie/JCP-1070-2023; li, xiang/JCN-9316-2023</t>
        </is>
      </c>
      <c r="AC127" t="inlineStr">
        <is>
          <t>Xu, Zhiwei/0000-0001-7903-2141; Hu, Wenbiao/0000-0001-6422-9240</t>
        </is>
      </c>
      <c r="AD127" t="inlineStr">
        <is>
          <t>National Natural Science Foundation of China [81773518]</t>
        </is>
      </c>
      <c r="AE127" t="inlineStr">
        <is>
          <t>National Natural Science Foundation of China(National Natural Science Foundation of China (NSFC))</t>
        </is>
      </c>
      <c r="AF127" t="inlineStr">
        <is>
          <t>Funding This study is supported by the National Natural Science Foundation of China (grant number: 81773518) .</t>
        </is>
      </c>
      <c r="AH127" t="n">
        <v>57</v>
      </c>
      <c r="AI127" t="n">
        <v>0</v>
      </c>
      <c r="AJ127" t="n">
        <v>0</v>
      </c>
      <c r="AK127" t="n">
        <v>9</v>
      </c>
      <c r="AL127" t="n">
        <v>9</v>
      </c>
      <c r="AM127" t="inlineStr">
        <is>
          <t>ACADEMIC PRESS INC ELSEVIER SCIENCE</t>
        </is>
      </c>
      <c r="AN127" t="inlineStr">
        <is>
          <t>SAN DIEGO</t>
        </is>
      </c>
      <c r="AO127" t="inlineStr">
        <is>
          <t>525 B ST, STE 1900, SAN DIEGO, CA 92101-4495 USA</t>
        </is>
      </c>
      <c r="AP127" t="inlineStr">
        <is>
          <t>0013-9351</t>
        </is>
      </c>
      <c r="AQ127" t="inlineStr">
        <is>
          <t>1096-0953</t>
        </is>
      </c>
      <c r="AS127" t="inlineStr">
        <is>
          <t>ENVIRON RES</t>
        </is>
      </c>
      <c r="AT127" t="inlineStr">
        <is>
          <t>Environ. Res.</t>
        </is>
      </c>
      <c r="AU127" t="inlineStr">
        <is>
          <t>JUN 15</t>
        </is>
      </c>
      <c r="AV127" t="n">
        <v>2023</v>
      </c>
      <c r="AW127" t="n">
        <v>227</v>
      </c>
      <c r="BE127" t="n">
        <v>115816</v>
      </c>
      <c r="BF127" t="inlineStr">
        <is>
          <t>10.1016/j.envres.2023.115816</t>
        </is>
      </c>
      <c r="BG127">
        <f>HYPERLINK("http://dx.doi.org/10.1016/j.envres.2023.115816","http://dx.doi.org/10.1016/j.envres.2023.115816")</f>
        <v/>
      </c>
      <c r="BI127" t="inlineStr">
        <is>
          <t>APR 2023</t>
        </is>
      </c>
      <c r="BJ127" t="n">
        <v>9</v>
      </c>
      <c r="BK127" t="inlineStr">
        <is>
          <t>Environmental Sciences; Public, Environmental &amp; Occupational Health</t>
        </is>
      </c>
      <c r="BL127" t="inlineStr">
        <is>
          <t>Science Citation Index Expanded (SCI-EXPANDED)</t>
        </is>
      </c>
      <c r="BM127" t="inlineStr">
        <is>
          <t>Environmental Sciences &amp; Ecology; Public, Environmental &amp; Occupational Health</t>
        </is>
      </c>
      <c r="BN127" t="inlineStr">
        <is>
          <t>D2FL3</t>
        </is>
      </c>
      <c r="BO127" t="n">
        <v>37003555</v>
      </c>
      <c r="BS127" t="inlineStr">
        <is>
          <t>2023-10-26</t>
        </is>
      </c>
      <c r="BT127" t="inlineStr">
        <is>
          <t>WOS:000966930400001</t>
        </is>
      </c>
      <c r="BU127">
        <f>HYPERLINK("https%3A%2F%2Fwww.webofscience.com%2Fwos%2Fwoscc%2Ffull-record%2FWOS:000966930400001","View Full Record in Web of Science")</f>
        <v/>
      </c>
    </row>
    <row r="128">
      <c r="A128" t="inlineStr">
        <is>
          <t>J</t>
        </is>
      </c>
      <c r="B128" t="inlineStr">
        <is>
          <t>Bu, JT; Yin, J; Yu, YF; Zhan, Y</t>
        </is>
      </c>
      <c r="F128" t="inlineStr">
        <is>
          <t>Bu, Jiatian; Yin, Jie; Yu, Yifan; Zhan, Ye</t>
        </is>
      </c>
      <c r="J128" t="inlineStr">
        <is>
          <t>SUSTAINABILITY</t>
        </is>
      </c>
      <c r="M128" t="inlineStr">
        <is>
          <t>English</t>
        </is>
      </c>
      <c r="N128" t="inlineStr">
        <is>
          <t>Article</t>
        </is>
      </c>
      <c r="T128" t="inlineStr">
        <is>
          <t>Identifying the Daily Activity Spaces of Older Adults Living in a High-Density Urban Area: A Study Using the Smartphone-Based Global Positioning System Trajectory in Shanghai</t>
        </is>
      </c>
      <c r="U128" t="inlineStr">
        <is>
          <t>activity space; older adults; GPS; point of interest; built environment; Shanghai</t>
        </is>
      </c>
      <c r="V128" t="inlineStr">
        <is>
          <t>PHYSICAL-ACTIVITY; BUILT ENVIRONMENT; NEIGHBORHOOD; MOBILITY; EXPOSURE; WALKING; BEHAVIORS; BUFFER</t>
        </is>
      </c>
      <c r="W128" t="inlineStr">
        <is>
          <t>The characteristics of the built environment and the configuration of public facilities can affect the health and well-being of older adults. Recognizing the range of daily activities and understanding the utilization of public facilities among older adults has become essential in planning age-friendly communities. However, traditional methods are unable to provide large-scale objective measures of older adults' travel behaviors. To address this issue, we used the smartphone-based global positioning system (GPS) trajectory to explore the activity spaces of 76 older adults in a high-density urban community in Shanghai for 102 consecutive days. We found that activity spaces are centered around older adults' living communities, with 46.3% within a 1.5 km distance. The older adults' daily activities are within a 15 min walking distance, and accessibility is the most important factor when making a travel choice to parks and public facilities. We also found that the travel range and spatial distribution of points of interest are different between age and gender groups. In addition, we found that using a concave hull with Alpha shape algorithm is more applicable and robust than the traditional convex hull algorithm. This is a unique case study in a high-density urban area with objective measures for assessing the activity spaces of older adults, thus providing empirical evidence for promoting healthy aging in cities.</t>
        </is>
      </c>
      <c r="X128" t="inlineStr">
        <is>
          <t>[Bu, Jiatian; Yin, Jie; Yu, Yifan; Zhan, Ye] Tongji Univ, Coll Architecture &amp; Urban Planning, Shanghai 200092, Peoples R China</t>
        </is>
      </c>
      <c r="Y128" t="inlineStr">
        <is>
          <t>Tongji University</t>
        </is>
      </c>
      <c r="Z128" t="inlineStr">
        <is>
          <t>Yu, YF (corresponding author), Tongji Univ, Coll Architecture &amp; Urban Planning, Shanghai 200092, Peoples R China.</t>
        </is>
      </c>
      <c r="AA128" t="inlineStr">
        <is>
          <t>pujiatian@163.com; tongji.yinjie@gmail.com; yuyifan@tongji.edu.cn; xxxzhanye@163.com</t>
        </is>
      </c>
      <c r="AB128" t="inlineStr">
        <is>
          <t>卜, 田/HCG-9392-2022; Santana, Elaine/GNP-2710-2022</t>
        </is>
      </c>
      <c r="AC128" t="inlineStr">
        <is>
          <t>Bu, Jiatian/0000-0001-9569-8824; Yin, Jie/0000-0001-8831-3252</t>
        </is>
      </c>
      <c r="AD128" t="inlineStr">
        <is>
          <t>National Natural Science Foundation of China [51878456]</t>
        </is>
      </c>
      <c r="AE128" t="inlineStr">
        <is>
          <t>National Natural Science Foundation of China(National Natural Science Foundation of China (NSFC))</t>
        </is>
      </c>
      <c r="AF128" t="inlineStr">
        <is>
          <t>This research was funded by the National Natural Science Foundation of China (grant number 51878456.</t>
        </is>
      </c>
      <c r="AH128" t="n">
        <v>41</v>
      </c>
      <c r="AI128" t="n">
        <v>4</v>
      </c>
      <c r="AJ128" t="n">
        <v>4</v>
      </c>
      <c r="AK128" t="n">
        <v>11</v>
      </c>
      <c r="AL128" t="n">
        <v>62</v>
      </c>
      <c r="AM128" t="inlineStr">
        <is>
          <t>MDPI</t>
        </is>
      </c>
      <c r="AN128" t="inlineStr">
        <is>
          <t>BASEL</t>
        </is>
      </c>
      <c r="AO128" t="inlineStr">
        <is>
          <t>ST ALBAN-ANLAGE 66, CH-4052 BASEL, SWITZERLAND</t>
        </is>
      </c>
      <c r="AQ128" t="inlineStr">
        <is>
          <t>2071-1050</t>
        </is>
      </c>
      <c r="AS128" t="inlineStr">
        <is>
          <t>SUSTAINABILITY-BASEL</t>
        </is>
      </c>
      <c r="AT128" t="inlineStr">
        <is>
          <t>Sustainability</t>
        </is>
      </c>
      <c r="AU128" t="inlineStr">
        <is>
          <t>MAY</t>
        </is>
      </c>
      <c r="AV128" t="n">
        <v>2021</v>
      </c>
      <c r="AW128" t="n">
        <v>13</v>
      </c>
      <c r="AX128" t="n">
        <v>9</v>
      </c>
      <c r="BE128" t="n">
        <v>5003</v>
      </c>
      <c r="BF128" t="inlineStr">
        <is>
          <t>10.3390/su13095003</t>
        </is>
      </c>
      <c r="BG128">
        <f>HYPERLINK("http://dx.doi.org/10.3390/su13095003","http://dx.doi.org/10.3390/su13095003")</f>
        <v/>
      </c>
      <c r="BJ128" t="n">
        <v>17</v>
      </c>
      <c r="BK128" t="inlineStr">
        <is>
          <t>Green &amp; Sustainable Science &amp; Technology; Environmental Sciences; Environmental Studies</t>
        </is>
      </c>
      <c r="BL128" t="inlineStr">
        <is>
          <t>Science Citation Index Expanded (SCI-EXPANDED); Social Science Citation Index (SSCI)</t>
        </is>
      </c>
      <c r="BM128" t="inlineStr">
        <is>
          <t>Science &amp; Technology - Other Topics; Environmental Sciences &amp; Ecology</t>
        </is>
      </c>
      <c r="BN128" t="inlineStr">
        <is>
          <t>SC8JT</t>
        </is>
      </c>
      <c r="BP128" t="inlineStr">
        <is>
          <t>gold</t>
        </is>
      </c>
      <c r="BS128" t="inlineStr">
        <is>
          <t>2023-10-26</t>
        </is>
      </c>
      <c r="BT128" t="inlineStr">
        <is>
          <t>WOS:000650910700001</t>
        </is>
      </c>
      <c r="BU128">
        <f>HYPERLINK("https%3A%2F%2Fwww.webofscience.com%2Fwos%2Fwoscc%2Ffull-record%2FWOS:000650910700001","View Full Record in Web of Science")</f>
        <v/>
      </c>
    </row>
    <row r="129">
      <c r="A129" t="inlineStr">
        <is>
          <t>J</t>
        </is>
      </c>
      <c r="B129" t="inlineStr">
        <is>
          <t>Ciampa, F</t>
        </is>
      </c>
      <c r="F129" t="inlineStr">
        <is>
          <t>Ciampa, Francesca</t>
        </is>
      </c>
      <c r="J129" t="inlineStr">
        <is>
          <t>SUSTAINABILITY</t>
        </is>
      </c>
      <c r="M129" t="inlineStr">
        <is>
          <t>English</t>
        </is>
      </c>
      <c r="N129" t="inlineStr">
        <is>
          <t>Article</t>
        </is>
      </c>
      <c r="T129" t="inlineStr">
        <is>
          <t>A Creative Approach for the Architectural Technology: Using the ExtrArtis Model to Regenerate the Built Environment</t>
        </is>
      </c>
      <c r="U129" t="inlineStr">
        <is>
          <t>cultural-led heritage reuse; built-environment regeneration; creative enterprises; ExtrArtis (c)</t>
        </is>
      </c>
      <c r="V129" t="inlineStr">
        <is>
          <t>CULTURE; DESIGN</t>
        </is>
      </c>
      <c r="W129" t="inlineStr">
        <is>
          <t>In the context of cultural heritage reuse, creative businesses can play the role of activators of sustainable transition processes in the built environment. The exercise of the functions by creative enterprises can improve actions of regeneration of local identity, values, and built heritage. The aim is to demonstrate that creative enterprises are strategic industries able to activate actions of custody and cultural heritage valorization, proposing themselves on the territory as culture-led regeneration tools. The methodology discusses integrated strategies that intervene in the systemic criticalities of cities to regenerate tangible and intangible cultural heritage through multidimensional, multi-actor, and multicriteria approaches, matching community and the built environment. The result concerns the identification of a system of actor issues and creative criteria using the ExtrArtis (c) model, a transformative driver that constitutes a creative class as the guardian of the genius loci.</t>
        </is>
      </c>
      <c r="X129" t="inlineStr">
        <is>
          <t>[Ciampa, Francesca] Univ Naples Federico II, Dept Architecture, I-80138 Naples, Italy</t>
        </is>
      </c>
      <c r="Y129" t="inlineStr">
        <is>
          <t>University of Naples Federico II</t>
        </is>
      </c>
      <c r="Z129" t="inlineStr">
        <is>
          <t>Ciampa, F (corresponding author), Univ Naples Federico II, Dept Architecture, I-80138 Naples, Italy.</t>
        </is>
      </c>
      <c r="AA129" t="inlineStr">
        <is>
          <t>rancesca.ciampa@unina.it</t>
        </is>
      </c>
      <c r="AH129" t="n">
        <v>56</v>
      </c>
      <c r="AI129" t="n">
        <v>0</v>
      </c>
      <c r="AJ129" t="n">
        <v>0</v>
      </c>
      <c r="AK129" t="n">
        <v>18</v>
      </c>
      <c r="AL129" t="n">
        <v>18</v>
      </c>
      <c r="AM129" t="inlineStr">
        <is>
          <t>MDPI</t>
        </is>
      </c>
      <c r="AN129" t="inlineStr">
        <is>
          <t>BASEL</t>
        </is>
      </c>
      <c r="AO129" t="inlineStr">
        <is>
          <t>ST ALBAN-ANLAGE 66, CH-4052 BASEL, SWITZERLAND</t>
        </is>
      </c>
      <c r="AQ129" t="inlineStr">
        <is>
          <t>2071-1050</t>
        </is>
      </c>
      <c r="AS129" t="inlineStr">
        <is>
          <t>SUSTAINABILITY-BASEL</t>
        </is>
      </c>
      <c r="AT129" t="inlineStr">
        <is>
          <t>Sustainability</t>
        </is>
      </c>
      <c r="AU129" t="inlineStr">
        <is>
          <t>JUN 5</t>
        </is>
      </c>
      <c r="AV129" t="n">
        <v>2023</v>
      </c>
      <c r="AW129" t="n">
        <v>15</v>
      </c>
      <c r="AX129" t="n">
        <v>11</v>
      </c>
      <c r="BE129" t="n">
        <v>9124</v>
      </c>
      <c r="BF129" t="inlineStr">
        <is>
          <t>10.3390/su15119124</t>
        </is>
      </c>
      <c r="BG129">
        <f>HYPERLINK("http://dx.doi.org/10.3390/su15119124","http://dx.doi.org/10.3390/su15119124")</f>
        <v/>
      </c>
      <c r="BJ129" t="n">
        <v>25</v>
      </c>
      <c r="BK129" t="inlineStr">
        <is>
          <t>Green &amp; Sustainable Science &amp; Technology; Environmental Sciences; Environmental Studies</t>
        </is>
      </c>
      <c r="BL129" t="inlineStr">
        <is>
          <t>Science Citation Index Expanded (SCI-EXPANDED); Social Science Citation Index (SSCI)</t>
        </is>
      </c>
      <c r="BM129" t="inlineStr">
        <is>
          <t>Science &amp; Technology - Other Topics; Environmental Sciences &amp; Ecology</t>
        </is>
      </c>
      <c r="BN129" t="inlineStr">
        <is>
          <t>I8AL3</t>
        </is>
      </c>
      <c r="BP129" t="inlineStr">
        <is>
          <t>gold</t>
        </is>
      </c>
      <c r="BS129" t="inlineStr">
        <is>
          <t>2023-10-26</t>
        </is>
      </c>
      <c r="BT129" t="inlineStr">
        <is>
          <t>WOS:001004957100001</t>
        </is>
      </c>
      <c r="BU129">
        <f>HYPERLINK("https%3A%2F%2Fwww.webofscience.com%2Fwos%2Fwoscc%2Ffull-record%2FWOS:001004957100001","View Full Record in Web of Science")</f>
        <v/>
      </c>
    </row>
    <row r="130">
      <c r="A130" t="inlineStr">
        <is>
          <t>J</t>
        </is>
      </c>
      <c r="B130" t="inlineStr">
        <is>
          <t>Nielsen, J; Farrelly, MA</t>
        </is>
      </c>
      <c r="F130" t="inlineStr">
        <is>
          <t>Nielsen, Joshua; Farrelly, Megan A.</t>
        </is>
      </c>
      <c r="J130" t="inlineStr">
        <is>
          <t>ENVIRONMENTAL INNOVATION AND SOCIETAL TRANSITIONS</t>
        </is>
      </c>
      <c r="M130" t="inlineStr">
        <is>
          <t>English</t>
        </is>
      </c>
      <c r="N130" t="inlineStr">
        <is>
          <t>Article</t>
        </is>
      </c>
      <c r="T130" t="inlineStr">
        <is>
          <t>Conceptualising the built environment to inform sustainable urban transitions</t>
        </is>
      </c>
      <c r="U130" t="inlineStr">
        <is>
          <t>Sustainability transitions; Sustainable urban transformations; Built environment; Urban studies; Urban planning; Agency</t>
        </is>
      </c>
      <c r="V130" t="inlineStr">
        <is>
          <t>LOCK-IN; MULTILEVEL ANALYSIS; DESIGN; CITY; TRANSFORMATION; ARCHITECTURE; TECHNOLOGY; GOVERNANCE; CITIES; FORM</t>
        </is>
      </c>
      <c r="W130" t="inlineStr">
        <is>
          <t>Despite the prominence of cities within sustainability transitions, the scholarship has been criticised for its lack of engagement with spatiality. This article engages with physical change in urban environments through a critical scholarly review of interdisciplinary scholarship. This paper deconstructs conceptualisations of the built environment and identifies the similarities, contestations and unaddressed components in conceptualising the built environment across urban morphology, spatial-political economy, urban planning, and urban design. Following this, the paper reconstructs the built environment, reflecting on sustainability transitions scholarship. The analysis highlights this physicality as a necessary component for consideration when preparing any form of systemic urban change, especially when attempting to understand multi-sectoral transitions. Overall, the review reveals the need for a future research agenda that explicitly explores the role of the built environment and its creators in influencing multi-sectoral sustainability transitions.</t>
        </is>
      </c>
      <c r="X130" t="inlineStr">
        <is>
          <t>[Nielsen, Joshua; Farrelly, Megan A.] Monash Univ, Sch Social Sci, Clayton, Vic 3800, Australia</t>
        </is>
      </c>
      <c r="Y130" t="inlineStr">
        <is>
          <t>Monash University</t>
        </is>
      </c>
      <c r="Z130" t="inlineStr">
        <is>
          <t>Nielsen, J (corresponding author), Monash Univ, Sch Social Sci, Clayton, Vic 3800, Australia.</t>
        </is>
      </c>
      <c r="AA130" t="inlineStr">
        <is>
          <t>joshua.nielsen@monash.edu</t>
        </is>
      </c>
      <c r="AC130" t="inlineStr">
        <is>
          <t>Nielsen, Josh/0000-0003-2696-0264</t>
        </is>
      </c>
      <c r="AD130" t="inlineStr">
        <is>
          <t>Australian Government Research Training Program (RTP) PhD Scholarship</t>
        </is>
      </c>
      <c r="AE130" t="inlineStr">
        <is>
          <t>Australian Government Research Training Program (RTP) PhD Scholarship</t>
        </is>
      </c>
      <c r="AF130" t="inlineStr">
        <is>
          <t>We would like to thank the anonymous reviewers for providing such thought-provoking feedback in an earlier iteration of this article.; We also gratefully acknowledge the support of the Australian Government Research Training Program (RTP) PhD Scholarship.</t>
        </is>
      </c>
      <c r="AH130" t="n">
        <v>180</v>
      </c>
      <c r="AI130" t="n">
        <v>13</v>
      </c>
      <c r="AJ130" t="n">
        <v>13</v>
      </c>
      <c r="AK130" t="n">
        <v>2</v>
      </c>
      <c r="AL130" t="n">
        <v>17</v>
      </c>
      <c r="AM130" t="inlineStr">
        <is>
          <t>ELSEVIER</t>
        </is>
      </c>
      <c r="AN130" t="inlineStr">
        <is>
          <t>AMSTERDAM</t>
        </is>
      </c>
      <c r="AO130" t="inlineStr">
        <is>
          <t>RADARWEG 29, 1043 NX AMSTERDAM, NETHERLANDS</t>
        </is>
      </c>
      <c r="AP130" t="inlineStr">
        <is>
          <t>2210-4224</t>
        </is>
      </c>
      <c r="AQ130" t="inlineStr">
        <is>
          <t>2210-4232</t>
        </is>
      </c>
      <c r="AS130" t="inlineStr">
        <is>
          <t>ENVIRON INNOV SOC TR</t>
        </is>
      </c>
      <c r="AT130" t="inlineStr">
        <is>
          <t>Environ. Innov. Soc. Trans.</t>
        </is>
      </c>
      <c r="AU130" t="inlineStr">
        <is>
          <t>NOV</t>
        </is>
      </c>
      <c r="AV130" t="n">
        <v>2019</v>
      </c>
      <c r="AW130" t="n">
        <v>33</v>
      </c>
      <c r="BC130" t="n">
        <v>231</v>
      </c>
      <c r="BD130" t="n">
        <v>248</v>
      </c>
      <c r="BF130" t="inlineStr">
        <is>
          <t>10.1016/j.eist.2019.07.001</t>
        </is>
      </c>
      <c r="BG130">
        <f>HYPERLINK("http://dx.doi.org/10.1016/j.eist.2019.07.001","http://dx.doi.org/10.1016/j.eist.2019.07.001")</f>
        <v/>
      </c>
      <c r="BJ130" t="n">
        <v>18</v>
      </c>
      <c r="BK130" t="inlineStr">
        <is>
          <t>Environmental Sciences; Environmental Studies</t>
        </is>
      </c>
      <c r="BL130" t="inlineStr">
        <is>
          <t>Science Citation Index Expanded (SCI-EXPANDED); Social Science Citation Index (SSCI)</t>
        </is>
      </c>
      <c r="BM130" t="inlineStr">
        <is>
          <t>Environmental Sciences &amp; Ecology</t>
        </is>
      </c>
      <c r="BN130" t="inlineStr">
        <is>
          <t>JM8IF</t>
        </is>
      </c>
      <c r="BS130" t="inlineStr">
        <is>
          <t>2023-10-26</t>
        </is>
      </c>
      <c r="BT130" t="inlineStr">
        <is>
          <t>WOS:000496451100015</t>
        </is>
      </c>
      <c r="BU130">
        <f>HYPERLINK("https%3A%2F%2Fwww.webofscience.com%2Fwos%2Fwoscc%2Ffull-record%2FWOS:000496451100015","View Full Record in Web of Science")</f>
        <v/>
      </c>
    </row>
    <row r="131">
      <c r="A131" t="inlineStr">
        <is>
          <t>J</t>
        </is>
      </c>
      <c r="B131" t="inlineStr">
        <is>
          <t>Jung, KYH; Choi, Y</t>
        </is>
      </c>
      <c r="F131" t="inlineStr">
        <is>
          <t>Jung, Kyunghwan; Choi, Younglae</t>
        </is>
      </c>
      <c r="J131" t="inlineStr">
        <is>
          <t>SUSTAINABILITY</t>
        </is>
      </c>
      <c r="M131" t="inlineStr">
        <is>
          <t>English</t>
        </is>
      </c>
      <c r="N131" t="inlineStr">
        <is>
          <t>Article</t>
        </is>
      </c>
      <c r="T131" t="inlineStr">
        <is>
          <t>Factors Influencing Physical Activity and Exercise in Older Adults during COVID-19 in South Korea</t>
        </is>
      </c>
      <c r="U131" t="inlineStr">
        <is>
          <t>physical activity; exercise; older adults; COVID-19; decision tree; logistic regression</t>
        </is>
      </c>
      <c r="V131" t="inlineStr">
        <is>
          <t>CHRONIC DISEASE; HEALTH-RISKS; BARRIERS; ENVIRONMENT; PREVALENCE; TIME</t>
        </is>
      </c>
      <c r="W131" t="inlineStr">
        <is>
          <t>Physical activity and exercise participation among older adults have decreased dramatically because of the physical distancing measures implemented to prevent the spread of COVID-19. However, even in the face of unforeseen environmental changes, physical activity and exercise for older adults must be sustainable. This study aimed to identify the influencing physical activity and exercise participation among older adults in 2020 when varying levels of quarantine were in place as a protective measure against the COVID-19 pandemic to build a foundation for sustainable older adult health strategies. We utilized a large-scale dataset from the 2020 National Survey of Older Koreans conducted in 2020. Twenty survey questions were used as predictors, and logistic regression and decision tree analyses were utilized to identify influencing factors. Through a logistic regression analysis, 16 factors influencing exercise participation were identified. Additionally, through a decision tree analysis, 7 factors that influence exercise participation and 8 rules were derived through a combination of these factors. According to the results of this study, the use of ICT technologies, such as 'smartphone or tablet PC', can be a useful tool to maintain or promote physical activity and exercise by older adults in a situation like the COVID-19 pandemic. In conclusion, physical activity and exercise intervention strategies should be developed with comprehensive consideration of the influencing factors to ensure that physical activity and exercise among older adults can be sustained uninterrupted in the face of unforeseen circumstances, such as the COVID-19 pandemic.</t>
        </is>
      </c>
      <c r="X131" t="inlineStr">
        <is>
          <t>[Jung, Kyunghwan] Yonsei Univ, Univ Ind Fdn, Seoul 03722, South Korea; [Choi, Younglae] Konkuk Univ, Dept Phys Educ, Seoul 05029, South Korea</t>
        </is>
      </c>
      <c r="Y131" t="inlineStr">
        <is>
          <t>Yonsei University; Konkuk University</t>
        </is>
      </c>
      <c r="Z131" t="inlineStr">
        <is>
          <t>Choi, Y (corresponding author), Konkuk Univ, Dept Phys Educ, Seoul 05029, South Korea.</t>
        </is>
      </c>
      <c r="AA131" t="inlineStr">
        <is>
          <t>jkh777111@gmail.com; ch1082@konkuk.ac.kr</t>
        </is>
      </c>
      <c r="AB131" t="inlineStr">
        <is>
          <t>JUNG, KYUNGHWAN/GWC-8970-2022</t>
        </is>
      </c>
      <c r="AC131" t="inlineStr">
        <is>
          <t>JUNG, KYUNGHWAN/0009-0005-5336-6510</t>
        </is>
      </c>
      <c r="AH131" t="n">
        <v>80</v>
      </c>
      <c r="AI131" t="n">
        <v>0</v>
      </c>
      <c r="AJ131" t="n">
        <v>0</v>
      </c>
      <c r="AK131" t="n">
        <v>8</v>
      </c>
      <c r="AL131" t="n">
        <v>8</v>
      </c>
      <c r="AM131" t="inlineStr">
        <is>
          <t>MDPI</t>
        </is>
      </c>
      <c r="AN131" t="inlineStr">
        <is>
          <t>BASEL</t>
        </is>
      </c>
      <c r="AO131" t="inlineStr">
        <is>
          <t>ST ALBAN-ANLAGE 66, CH-4052 BASEL, SWITZERLAND</t>
        </is>
      </c>
      <c r="AQ131" t="inlineStr">
        <is>
          <t>2071-1050</t>
        </is>
      </c>
      <c r="AS131" t="inlineStr">
        <is>
          <t>SUSTAINABILITY-BASEL</t>
        </is>
      </c>
      <c r="AT131" t="inlineStr">
        <is>
          <t>Sustainability</t>
        </is>
      </c>
      <c r="AU131" t="inlineStr">
        <is>
          <t>MAY 2</t>
        </is>
      </c>
      <c r="AV131" t="n">
        <v>2023</v>
      </c>
      <c r="AW131" t="n">
        <v>15</v>
      </c>
      <c r="AX131" t="n">
        <v>9</v>
      </c>
      <c r="BE131" t="n">
        <v>7482</v>
      </c>
      <c r="BF131" t="inlineStr">
        <is>
          <t>10.3390/su15097482</t>
        </is>
      </c>
      <c r="BG131">
        <f>HYPERLINK("http://dx.doi.org/10.3390/su15097482","http://dx.doi.org/10.3390/su15097482")</f>
        <v/>
      </c>
      <c r="BJ131" t="n">
        <v>20</v>
      </c>
      <c r="BK131" t="inlineStr">
        <is>
          <t>Green &amp; Sustainable Science &amp; Technology; Environmental Sciences; Environmental Studies</t>
        </is>
      </c>
      <c r="BL131" t="inlineStr">
        <is>
          <t>Science Citation Index Expanded (SCI-EXPANDED); Social Science Citation Index (SSCI)</t>
        </is>
      </c>
      <c r="BM131" t="inlineStr">
        <is>
          <t>Science &amp; Technology - Other Topics; Environmental Sciences &amp; Ecology</t>
        </is>
      </c>
      <c r="BN131" t="inlineStr">
        <is>
          <t>G2SA6</t>
        </is>
      </c>
      <c r="BP131" t="inlineStr">
        <is>
          <t>gold</t>
        </is>
      </c>
      <c r="BS131" t="inlineStr">
        <is>
          <t>2023-10-26</t>
        </is>
      </c>
      <c r="BT131" t="inlineStr">
        <is>
          <t>WOS:000987705500001</t>
        </is>
      </c>
      <c r="BU131">
        <f>HYPERLINK("https%3A%2F%2Fwww.webofscience.com%2Fwos%2Fwoscc%2Ffull-record%2FWOS:000987705500001","View Full Record in Web of Science")</f>
        <v/>
      </c>
    </row>
    <row r="132">
      <c r="A132" t="inlineStr">
        <is>
          <t>J</t>
        </is>
      </c>
      <c r="B132" t="inlineStr">
        <is>
          <t>Wang, ZX; Ding, Y; Deng, HY; Yang, F; Zhu, N</t>
        </is>
      </c>
      <c r="F132" t="inlineStr">
        <is>
          <t>Wang, Zhaoxia; Ding, Yan; Deng, Huiyan; Yang, Fan; Zhu, Neng</t>
        </is>
      </c>
      <c r="J132" t="inlineStr">
        <is>
          <t>SUSTAINABILITY</t>
        </is>
      </c>
      <c r="M132" t="inlineStr">
        <is>
          <t>English</t>
        </is>
      </c>
      <c r="N132" t="inlineStr">
        <is>
          <t>Article</t>
        </is>
      </c>
      <c r="T132" t="inlineStr">
        <is>
          <t>An Occupant-Oriented Calculation Method of Building Interior Cooling Load Design</t>
        </is>
      </c>
      <c r="U132" t="inlineStr">
        <is>
          <t>load disturbances; representative interior load; consistency check; university buildings</t>
        </is>
      </c>
      <c r="V132" t="inlineStr">
        <is>
          <t>ENERGY-CONSUMPTION; ELECTRICITY CONSUMPTION; MODELING METHODOLOGIES; OFFICE BUILDINGS; SIMULATION; PREDICTION; EFFICIENCY; BEHAVIOR; CALIBRATION; PARAMETERS</t>
        </is>
      </c>
      <c r="W132" t="inlineStr">
        <is>
          <t>Given continued improvement in the thermal performance of building envelopes, interior disturbances caused by occupant behavior now have the greatest impact on building loads and energy consumption. The accurate calculation of interior load during design stage was emphasized in this paper, and a new method was proposed. Indoor occupants were considered as the core of interior disturbances, and the relationship with other interior disturbances was explored. The interior heat release was arbitrarily combined with the representative cooling load to be utilized in building cooling load calculation. Field surveys were conducted in three typical university buildings: an office building, a teaching building, and a library, located in a university in Tianjin, China. The oversized chillers supplying cooling for the buildings resulted from the over-estimating of the indoor occupant number and the power density of electric appliances. Through quantitative analysis, it was observed that the maximum representative interior loads were 196.43, 329.94, and 402.58 W/person, respectively, for the case buildings, at least 50% less than the empirical design data. Compared to the measured cooling load during the testing period, the accuracy of the modified cooling load was greater than 90%. This research is intended to serve as a reference for calculating and optimizing the design loads of cooling systems.</t>
        </is>
      </c>
      <c r="X132" t="inlineStr">
        <is>
          <t>[Wang, Zhaoxia; Ding, Yan; Deng, Huiyan; Yang, Fan; Zhu, Neng] Tianjin Univ, Sch Environm Sci &amp; Engn, Tianjin 300072, Peoples R China; [Ding, Yan; Zhu, Neng] Tianjin Univ, MOE, Key Lab Efficient Utilizat Low &amp; Medium Grade Ene, Tianjin 300072, Peoples R China</t>
        </is>
      </c>
      <c r="Y132" t="inlineStr">
        <is>
          <t>Tianjin University; Tianjin University</t>
        </is>
      </c>
      <c r="Z132" t="inlineStr">
        <is>
          <t>Ding, Y (corresponding author), Tianjin Univ, Sch Environm Sci &amp; Engn, Tianjin 300072, Peoples R China.;Ding, Y (corresponding author), Tianjin Univ, MOE, Key Lab Efficient Utilizat Low &amp; Medium Grade Ene, Tianjin 300072, Peoples R China.</t>
        </is>
      </c>
      <c r="AA132" t="inlineStr">
        <is>
          <t>zhaoyiwang@tju.edu.cn; jensxing@126.com; dhyjudy@126.com; yf2277248178@163.com; nzhu@tju.edu.cn</t>
        </is>
      </c>
      <c r="AB132" t="inlineStr">
        <is>
          <t>Ding, Yuyan/HWQ-3664-2023; ding, yy/HHS-9589-2022</t>
        </is>
      </c>
      <c r="AD132" t="inlineStr">
        <is>
          <t>National Nature Science Foundation of China (NSFC) [51678396]</t>
        </is>
      </c>
      <c r="AE132" t="inlineStr">
        <is>
          <t>National Nature Science Foundation of China (NSFC)(National Natural Science Foundation of China (NSFC))</t>
        </is>
      </c>
      <c r="AF132" t="inlineStr">
        <is>
          <t>This work was financially supported by the National Nature Science Foundation of China (NSFC) (NO. 51678396).</t>
        </is>
      </c>
      <c r="AH132" t="n">
        <v>40</v>
      </c>
      <c r="AI132" t="n">
        <v>2</v>
      </c>
      <c r="AJ132" t="n">
        <v>4</v>
      </c>
      <c r="AK132" t="n">
        <v>1</v>
      </c>
      <c r="AL132" t="n">
        <v>26</v>
      </c>
      <c r="AM132" t="inlineStr">
        <is>
          <t>MDPI</t>
        </is>
      </c>
      <c r="AN132" t="inlineStr">
        <is>
          <t>BASEL</t>
        </is>
      </c>
      <c r="AO132" t="inlineStr">
        <is>
          <t>ST ALBAN-ANLAGE 66, CH-4052 BASEL, SWITZERLAND</t>
        </is>
      </c>
      <c r="AP132" t="inlineStr">
        <is>
          <t>2071-1050</t>
        </is>
      </c>
      <c r="AS132" t="inlineStr">
        <is>
          <t>SUSTAINABILITY-BASEL</t>
        </is>
      </c>
      <c r="AT132" t="inlineStr">
        <is>
          <t>Sustainability</t>
        </is>
      </c>
      <c r="AU132" t="inlineStr">
        <is>
          <t>JUN</t>
        </is>
      </c>
      <c r="AV132" t="n">
        <v>2018</v>
      </c>
      <c r="AW132" t="n">
        <v>10</v>
      </c>
      <c r="AX132" t="n">
        <v>6</v>
      </c>
      <c r="BE132" t="n">
        <v>1821</v>
      </c>
      <c r="BF132" t="inlineStr">
        <is>
          <t>10.3390/su10061821</t>
        </is>
      </c>
      <c r="BG132">
        <f>HYPERLINK("http://dx.doi.org/10.3390/su10061821","http://dx.doi.org/10.3390/su10061821")</f>
        <v/>
      </c>
      <c r="BJ132" t="n">
        <v>29</v>
      </c>
      <c r="BK132" t="inlineStr">
        <is>
          <t>Green &amp; Sustainable Science &amp; Technology; Environmental Sciences; Environmental Studies</t>
        </is>
      </c>
      <c r="BL132" t="inlineStr">
        <is>
          <t>Science Citation Index Expanded (SCI-EXPANDED); Social Science Citation Index (SSCI)</t>
        </is>
      </c>
      <c r="BM132" t="inlineStr">
        <is>
          <t>Science &amp; Technology - Other Topics; Environmental Sciences &amp; Ecology</t>
        </is>
      </c>
      <c r="BN132" t="inlineStr">
        <is>
          <t>GK9LE</t>
        </is>
      </c>
      <c r="BP132" t="inlineStr">
        <is>
          <t>gold</t>
        </is>
      </c>
      <c r="BS132" t="inlineStr">
        <is>
          <t>2023-10-26</t>
        </is>
      </c>
      <c r="BT132" t="inlineStr">
        <is>
          <t>WOS:000436570100133</t>
        </is>
      </c>
      <c r="BU132">
        <f>HYPERLINK("https%3A%2F%2Fwww.webofscience.com%2Fwos%2Fwoscc%2Ffull-record%2FWOS:000436570100133","View Full Record in Web of Science")</f>
        <v/>
      </c>
    </row>
    <row r="133">
      <c r="A133" t="inlineStr">
        <is>
          <t>J</t>
        </is>
      </c>
      <c r="B133" t="inlineStr">
        <is>
          <t>Wi, S; Kang, YJ; Yang, S; Kim, YU; Kim, S</t>
        </is>
      </c>
      <c r="F133" t="inlineStr">
        <is>
          <t>Wi, Seunghwan; Kang, Yujin; Yang, Sungwoong; Kim, Young Uk; Kim, Sumin</t>
        </is>
      </c>
      <c r="J133" t="inlineStr">
        <is>
          <t>ENVIRONMENTAL POLLUTION</t>
        </is>
      </c>
      <c r="M133" t="inlineStr">
        <is>
          <t>English</t>
        </is>
      </c>
      <c r="N133" t="inlineStr">
        <is>
          <t>Article</t>
        </is>
      </c>
      <c r="T133" t="inlineStr">
        <is>
          <t>Hazard evaluation of indoor environment based on long-term pollutant emission characteristics of building insulation materials: An empirical study</t>
        </is>
      </c>
      <c r="U133" t="inlineStr">
        <is>
          <t>Building insulation; Indoor air quality; Pollutant concentration; Hazard evaluation; Test bed</t>
        </is>
      </c>
      <c r="V133" t="inlineStr">
        <is>
          <t>OF-THE-ART; VACUUM INSULATION; POLYURETHANE</t>
        </is>
      </c>
      <c r="W133" t="inlineStr">
        <is>
          <t>Insulation materials are essential components in construction, and their main objective is to increase the efficiency of thermal energy by minimizing internal and external thermal exchange. Accordingly, research and development studies are being actively conducted to increase the thermal resistance of insulation materials, and high-performance insulation materials that use organic chemicals have been developed after industrialization. However, thermal insulation comprising chemicals poses a potential risk of pollutant emissions and can cause health problems. In this study, five types of insulation materials and the contaminants generated from the building materials used in insulation construction were quantitatively analyzed. In addition, an empirical study on the discharge of pollutants was conducted using a test bed, and the effects of the pollutants discharged from the insulation material on the indoor environment were examined by analyzing the pollutant concentration for 90 days. In addition, we analyzed the effect of an insulation material on an indoor environment through the standard specifi-cations. Moreover, the necessity of legal management of the emission of contaminants from insulation materials was proposed based on the empirical research results. (c) 2021 Elsevier Ltd. All rights reserved.</t>
        </is>
      </c>
      <c r="X133" t="inlineStr">
        <is>
          <t>[Wi, Seunghwan; Kang, Yujin; Yang, Sungwoong; Kim, Young Uk; Kim, Sumin] Yonsei Univ, Dept Architecture &amp; Architectural Engn, Seoul 03722, South Korea</t>
        </is>
      </c>
      <c r="Y133" t="inlineStr">
        <is>
          <t>Yonsei University</t>
        </is>
      </c>
      <c r="Z133" t="inlineStr">
        <is>
          <t>Kim, S (corresponding author), Yonsei Univ, Dept Architecture &amp; Architectural Engn, Seoul 03722, South Korea.</t>
        </is>
      </c>
      <c r="AA133" t="inlineStr">
        <is>
          <t>kimsumin@yonsei.ac.kr</t>
        </is>
      </c>
      <c r="AB133" t="inlineStr">
        <is>
          <t>Wi, Seunghwan/ABD-6024-2021; Yang, Sungwoong/HTS-4272-2023; Kim, Sumin/AAI-1978-2020</t>
        </is>
      </c>
      <c r="AC133" t="inlineStr">
        <is>
          <t>Wi, Seunghwan/0000-0002-6263-9200; Kim, Sumin/0000-0003-2278-5278</t>
        </is>
      </c>
      <c r="AD133" t="inlineStr">
        <is>
          <t>Korea Agency for Infrastructure Technology Advancement(KAIA) - Ministry of Land, Infrastructure and Transport [21PIYR-B153494-03]; National Research Foundation of Korea [4199990114246] Funding Source: Korea Institute of Science &amp; Technology Information (KISTI), National Science &amp; Technology Information Service (NTIS)</t>
        </is>
      </c>
      <c r="AE133" t="inlineStr">
        <is>
          <t>Korea Agency for Infrastructure Technology Advancement(KAIA) - Ministry of Land, Infrastructure and Transport; National Research Foundation of Korea(National Research Foundation of Korea)</t>
        </is>
      </c>
      <c r="AF133" t="inlineStr">
        <is>
          <t>This work is supported by the Korea Agency for Infrastructure Technology Advancement(KAIA) grant funded by the Ministry of Land, Infrastructure and Transport (21PIYR-B153494-03).</t>
        </is>
      </c>
      <c r="AH133" t="n">
        <v>44</v>
      </c>
      <c r="AI133" t="n">
        <v>13</v>
      </c>
      <c r="AJ133" t="n">
        <v>13</v>
      </c>
      <c r="AK133" t="n">
        <v>4</v>
      </c>
      <c r="AL133" t="n">
        <v>12</v>
      </c>
      <c r="AM133" t="inlineStr">
        <is>
          <t>ELSEVIER SCI LTD</t>
        </is>
      </c>
      <c r="AN133" t="inlineStr">
        <is>
          <t>OXFORD</t>
        </is>
      </c>
      <c r="AO133" t="inlineStr">
        <is>
          <t>THE BOULEVARD, LANGFORD LANE, KIDLINGTON, OXFORD OX5 1GB, OXON, ENGLAND</t>
        </is>
      </c>
      <c r="AP133" t="inlineStr">
        <is>
          <t>0269-7491</t>
        </is>
      </c>
      <c r="AQ133" t="inlineStr">
        <is>
          <t>1873-6424</t>
        </is>
      </c>
      <c r="AS133" t="inlineStr">
        <is>
          <t>ENVIRON POLLUT</t>
        </is>
      </c>
      <c r="AT133" t="inlineStr">
        <is>
          <t>Environ. Pollut.</t>
        </is>
      </c>
      <c r="AU133" t="inlineStr">
        <is>
          <t>SEP 15</t>
        </is>
      </c>
      <c r="AV133" t="n">
        <v>2021</v>
      </c>
      <c r="AW133" t="n">
        <v>285</v>
      </c>
      <c r="BE133" t="n">
        <v>117223</v>
      </c>
      <c r="BF133" t="inlineStr">
        <is>
          <t>10.1016/j.envpol.2021.117223</t>
        </is>
      </c>
      <c r="BG133">
        <f>HYPERLINK("http://dx.doi.org/10.1016/j.envpol.2021.117223","http://dx.doi.org/10.1016/j.envpol.2021.117223")</f>
        <v/>
      </c>
      <c r="BI133" t="inlineStr">
        <is>
          <t>MAY 2021</t>
        </is>
      </c>
      <c r="BJ133" t="n">
        <v>9</v>
      </c>
      <c r="BK133" t="inlineStr">
        <is>
          <t>Environmental Sciences</t>
        </is>
      </c>
      <c r="BL133" t="inlineStr">
        <is>
          <t>Science Citation Index Expanded (SCI-EXPANDED)</t>
        </is>
      </c>
      <c r="BM133" t="inlineStr">
        <is>
          <t>Environmental Sciences &amp; Ecology</t>
        </is>
      </c>
      <c r="BN133" t="inlineStr">
        <is>
          <t>UA7OJ</t>
        </is>
      </c>
      <c r="BO133" t="n">
        <v>33945942</v>
      </c>
      <c r="BS133" t="inlineStr">
        <is>
          <t>2023-10-26</t>
        </is>
      </c>
      <c r="BT133" t="inlineStr">
        <is>
          <t>WOS:000685347100005</t>
        </is>
      </c>
      <c r="BU133">
        <f>HYPERLINK("https%3A%2F%2Fwww.webofscience.com%2Fwos%2Fwoscc%2Ffull-record%2FWOS:000685347100005","View Full Record in Web of Science")</f>
        <v/>
      </c>
    </row>
    <row r="134">
      <c r="A134" t="inlineStr">
        <is>
          <t>J</t>
        </is>
      </c>
      <c r="B134" t="inlineStr">
        <is>
          <t>Mannucci, S; Rosso, F; D'Amico, A; Bernardini, G; Morganti, M</t>
        </is>
      </c>
      <c r="F134" t="inlineStr">
        <is>
          <t>Mannucci, Simona; Rosso, Federica; D'Amico, Alessandro; Bernardini, Gabriele; Morganti, Michele</t>
        </is>
      </c>
      <c r="J134" t="inlineStr">
        <is>
          <t>SUSTAINABILITY</t>
        </is>
      </c>
      <c r="M134" t="inlineStr">
        <is>
          <t>English</t>
        </is>
      </c>
      <c r="N134" t="inlineStr">
        <is>
          <t>Article</t>
        </is>
      </c>
      <c r="T134" t="inlineStr">
        <is>
          <t>Flood Resilience and Adaptation in the Built Environment: How Far along Are We?</t>
        </is>
      </c>
      <c r="U134" t="inlineStr">
        <is>
          <t>urban resilience; built environment; climate change; adaptive planning; urban floods</t>
        </is>
      </c>
      <c r="V134" t="inlineStr">
        <is>
          <t>CLIMATE-CHANGE; GREEN ROOFS; SCENARIO DISCOVERY; RUNOFF MITIGATION; URBAN-ENVIRONMENT; RISK; MODEL; IMPACT; WATER; LESSONS</t>
        </is>
      </c>
      <c r="W134" t="inlineStr">
        <is>
          <t>Cities are experiencing an increased rate of climate-related extreme events threats derived from climate change. Floods are one of the most challenging issues to address to reduce damages and losses in urban areas. Building resilience through adaptation to these changing conditions has become a common goal for different disciplines involving planning for the future. Adaptation planning is widely recognized as generally applicable to any field. However, there are current limitations to overcome for architectural and urban planning to switch from theory to practice. This paper proposes a critical overview of literature works on flood mitigative strategies and adaptive approaches considering uncertainties, linking strategies for the Built Environment (BE) to mitigate the effects of floods, and operative frameworks to pursue adaptation under changing environmental conditions. The literature selection accounts for the pivotal components of the BE: open spaces (OSs), buildings, and users. Next, we provide an overview of the most relevant adaptive methodologies that have emerged in literature, and, lastly, the planning strategies are discussed, considering the climate-related uncertainties that might undermine the effectiveness of the designed action. The present paper aimed to provide a contribution to the discussion regarding the necessity of making architectural and urban planning adaptive, providing a base for future studies for operative adaptation.</t>
        </is>
      </c>
      <c r="X134" t="inlineStr">
        <is>
          <t>[Mannucci, Simona; Rosso, Federica; Morganti, Michele] Sapienza Univ Rome, Dept Civil Construct &amp; Environm Engn, SOS Urban Lab, I-00184 Rome, Italy; [D'Amico, Alessandro] Sapienza Univ Rome, Dept Civil Construct &amp; Environm Engn, I-00184 Rome, Italy; [Bernardini, Gabriele] Univ Politecn Marche, Dept Construct Civil Engn &amp; Architecture DICEA, I-60131 Ancona, Italy</t>
        </is>
      </c>
      <c r="Y134" t="inlineStr">
        <is>
          <t>Sapienza University Rome; Sapienza University Rome; Marche Polytechnic University</t>
        </is>
      </c>
      <c r="Z134" t="inlineStr">
        <is>
          <t>Mannucci, S (corresponding author), Sapienza Univ Rome, Dept Civil Construct &amp; Environm Engn, SOS Urban Lab, I-00184 Rome, Italy.</t>
        </is>
      </c>
      <c r="AA134" t="inlineStr">
        <is>
          <t>simona.mannucci@uniroma1.it; federica.rosso@uniroma1.it; alessandro.damico@uniroma1.it; g.bernardini@staff.univpm.it; michele.morganti@uniroma1.it</t>
        </is>
      </c>
      <c r="AB134" t="inlineStr">
        <is>
          <t>Rosso, Federica/AAL-3321-2020; Bernardini, Gabriele/S-6283-2017; Mannucci, Simona/HLP-6436-2023; D'Amico, Alessandro/O-4674-2016</t>
        </is>
      </c>
      <c r="AC134" t="inlineStr">
        <is>
          <t>Rosso, Federica/0000-0003-2151-3780; Bernardini, Gabriele/0000-0002-7381-4537; D'Amico, Alessandro/0000-0001-8518-1653; Mannucci, Simona/0000-0003-3275-0167</t>
        </is>
      </c>
      <c r="AH134" t="n">
        <v>127</v>
      </c>
      <c r="AI134" t="n">
        <v>5</v>
      </c>
      <c r="AJ134" t="n">
        <v>5</v>
      </c>
      <c r="AK134" t="n">
        <v>7</v>
      </c>
      <c r="AL134" t="n">
        <v>26</v>
      </c>
      <c r="AM134" t="inlineStr">
        <is>
          <t>MDPI</t>
        </is>
      </c>
      <c r="AN134" t="inlineStr">
        <is>
          <t>BASEL</t>
        </is>
      </c>
      <c r="AO134" t="inlineStr">
        <is>
          <t>ST ALBAN-ANLAGE 66, CH-4052 BASEL, SWITZERLAND</t>
        </is>
      </c>
      <c r="AQ134" t="inlineStr">
        <is>
          <t>2071-1050</t>
        </is>
      </c>
      <c r="AS134" t="inlineStr">
        <is>
          <t>SUSTAINABILITY-BASEL</t>
        </is>
      </c>
      <c r="AT134" t="inlineStr">
        <is>
          <t>Sustainability</t>
        </is>
      </c>
      <c r="AU134" t="inlineStr">
        <is>
          <t>APR</t>
        </is>
      </c>
      <c r="AV134" t="n">
        <v>2022</v>
      </c>
      <c r="AW134" t="n">
        <v>14</v>
      </c>
      <c r="AX134" t="n">
        <v>7</v>
      </c>
      <c r="BE134" t="n">
        <v>4096</v>
      </c>
      <c r="BF134" t="inlineStr">
        <is>
          <t>10.3390/su14074096</t>
        </is>
      </c>
      <c r="BG134">
        <f>HYPERLINK("http://dx.doi.org/10.3390/su14074096","http://dx.doi.org/10.3390/su14074096")</f>
        <v/>
      </c>
      <c r="BJ134" t="n">
        <v>22</v>
      </c>
      <c r="BK134" t="inlineStr">
        <is>
          <t>Green &amp; Sustainable Science &amp; Technology; Environmental Sciences; Environmental Studies</t>
        </is>
      </c>
      <c r="BL134" t="inlineStr">
        <is>
          <t>Science Citation Index Expanded (SCI-EXPANDED); Social Science Citation Index (SSCI)</t>
        </is>
      </c>
      <c r="BM134" t="inlineStr">
        <is>
          <t>Science &amp; Technology - Other Topics; Environmental Sciences &amp; Ecology</t>
        </is>
      </c>
      <c r="BN134" t="inlineStr">
        <is>
          <t>0L2IO</t>
        </is>
      </c>
      <c r="BP134" t="inlineStr">
        <is>
          <t>Green Published, gold</t>
        </is>
      </c>
      <c r="BS134" t="inlineStr">
        <is>
          <t>2023-10-26</t>
        </is>
      </c>
      <c r="BT134" t="inlineStr">
        <is>
          <t>WOS:000781303900001</t>
        </is>
      </c>
      <c r="BU134">
        <f>HYPERLINK("https%3A%2F%2Fwww.webofscience.com%2Fwos%2Fwoscc%2Ffull-record%2FWOS:000781303900001","View Full Record in Web of Science")</f>
        <v/>
      </c>
    </row>
    <row r="135">
      <c r="A135" t="inlineStr">
        <is>
          <t>J</t>
        </is>
      </c>
      <c r="B135" t="inlineStr">
        <is>
          <t>Atik, S; Yetis, H; Denizli, H; Evrendilek, F</t>
        </is>
      </c>
      <c r="F135" t="inlineStr">
        <is>
          <t>Atik, Seyma; Yetis, Hakan; Denizli, Haluk; Evrendilek, Fatih</t>
        </is>
      </c>
      <c r="J135" t="inlineStr">
        <is>
          <t>FRESENIUS ENVIRONMENTAL BULLETIN</t>
        </is>
      </c>
      <c r="M135" t="inlineStr">
        <is>
          <t>English</t>
        </is>
      </c>
      <c r="N135" t="inlineStr">
        <is>
          <t>Article</t>
        </is>
      </c>
      <c r="T135" t="inlineStr">
        <is>
          <t>MONITORING SPATIOTEMPORAL DYNAMICS OF INDOOR RADON CONCENTRATIONS IN THE BUILT ENVIRONMENT OF A UNIVERSITY CAMPUS</t>
        </is>
      </c>
      <c r="U135" t="inlineStr">
        <is>
          <t>indoor radon; indoor air quality; air quality monitoring; empirical modeling; spatiotemporal dynamics</t>
        </is>
      </c>
      <c r="V135" t="inlineStr">
        <is>
          <t>TURKEY; DWELLINGS; RN-222; BURSA</t>
        </is>
      </c>
      <c r="W135" t="inlineStr">
        <is>
          <t>This study aims to model spatiotemporal variability of indoor radon (Rn-222) concentrations measured for one year from May 2012 to May 2013 in the built environment of Abant Izzet Baysal University. There exist a few studies about data driven modeling of spatiotemporal dynamics of indoor radon and their validation. Mean indoor radon concentration varied spatially between 14 +/- 8.5 Bq/m(3) and 28.5 +/- 17.5 Bq/m(3) and on a monthly basis between 37.3 +/- 21.6 Bq/m(3) in September and 13.1 +/- 7.7 Bq/m3 in April, and on a seasonal basis between 23.4 +/- 18.4 Bq/m3 for the summer period of June to September and 13.3 +/- 7.9 Bq/m(3) for the spring period of April to May. The best-fit multiple non-linear regression (MNLR) model developed in this study elucidated 57.9% (R-adj(2)) of the spatiotemporal variability, with a cross-validation derived predictive power of 57.1% (R-cv(2)). The two-way interactions among the temporal predictors of hour and month, air temperature, relative humidity, and location were most influential in predicting indoor radon levels. Parsimonious versus data hungry empirical non-black-box models appear to be of great practical importance to the quantification, monitoring, and mapping of short and long-term local, regional, or global spatiotemporal dynamics of indoor and outdoor radon concentrations.</t>
        </is>
      </c>
      <c r="X135" t="inlineStr">
        <is>
          <t>[Atik, Seyma; Yetis, Hakan; Denizli, Haluk] Abant Izzet Baysal Univ, Dept Phys, Golkoy Campus, TR-14280 Bolu, Turkey; [Evrendilek, Fatih] Abant Izzet Baysal Univ, Dept Environm Engn, TR-14280 Bolu, Turkey</t>
        </is>
      </c>
      <c r="Y135" t="inlineStr">
        <is>
          <t>Abant Izzet Baysal University; Abant Izzet Baysal University</t>
        </is>
      </c>
      <c r="Z135" t="inlineStr">
        <is>
          <t>Denizli, H (corresponding author), Abant Izzet Baysal Univ, Dept Phys, Golkoy Campus, TR-14280 Bolu, Turkey.</t>
        </is>
      </c>
      <c r="AA135" t="inlineStr">
        <is>
          <t>denizli_h@ibu.edu.tr</t>
        </is>
      </c>
      <c r="AB135" t="inlineStr">
        <is>
          <t>Atik Yilmaz, Seyma/Q-9290-2018; Atik Yılmaz, Şeyma/ABF-1588-2021; Evrendilek, Fatih/O-2424-2013; Evrendilek, Fatih/AAL-9010-2020; Evrendilek, Fatih/AAP-4480-2020</t>
        </is>
      </c>
      <c r="AC135" t="inlineStr">
        <is>
          <t>Atik Yilmaz, Seyma/0000-0001-9423-0445; Atik Yılmaz, Şeyma/0000-0001-9423-0445; Evrendilek, Fatih/0000-0003-1099-4363; Evrendilek, Fatih/0000-0003-1099-4363; Evrendilek, Fatih/0000-0003-1099-4363</t>
        </is>
      </c>
      <c r="AD135" t="inlineStr">
        <is>
          <t>Abant Izzet Baysal University (BAP) [2011.03.02.425]</t>
        </is>
      </c>
      <c r="AE135" t="inlineStr">
        <is>
          <t>Abant Izzet Baysal University (BAP)</t>
        </is>
      </c>
      <c r="AF135" t="inlineStr">
        <is>
          <t>This work was financially supported by Abant Izzet Baysal University (BAP Project No: 2011.03.02.425).</t>
        </is>
      </c>
      <c r="AH135" t="n">
        <v>20</v>
      </c>
      <c r="AI135" t="n">
        <v>1</v>
      </c>
      <c r="AJ135" t="n">
        <v>1</v>
      </c>
      <c r="AK135" t="n">
        <v>0</v>
      </c>
      <c r="AL135" t="n">
        <v>15</v>
      </c>
      <c r="AM135" t="inlineStr">
        <is>
          <t>PARLAR SCIENTIFIC PUBLICATIONS (P S P)</t>
        </is>
      </c>
      <c r="AN135" t="inlineStr">
        <is>
          <t>FREISING</t>
        </is>
      </c>
      <c r="AO135" t="inlineStr">
        <is>
          <t>ANGERSTR. 12, 85354 FREISING, GERMANY</t>
        </is>
      </c>
      <c r="AP135" t="inlineStr">
        <is>
          <t>1018-4619</t>
        </is>
      </c>
      <c r="AQ135" t="inlineStr">
        <is>
          <t>1610-2304</t>
        </is>
      </c>
      <c r="AS135" t="inlineStr">
        <is>
          <t>FRESEN ENVIRON BULL</t>
        </is>
      </c>
      <c r="AT135" t="inlineStr">
        <is>
          <t>Fresenius Environ. Bull.</t>
        </is>
      </c>
      <c r="AV135" t="n">
        <v>2016</v>
      </c>
      <c r="AW135" t="n">
        <v>25</v>
      </c>
      <c r="AX135" t="n">
        <v>3</v>
      </c>
      <c r="BC135" t="n">
        <v>823</v>
      </c>
      <c r="BD135" t="n">
        <v>829</v>
      </c>
      <c r="BJ135" t="n">
        <v>7</v>
      </c>
      <c r="BK135" t="inlineStr">
        <is>
          <t>Environmental Sciences</t>
        </is>
      </c>
      <c r="BL135" t="inlineStr">
        <is>
          <t>Science Citation Index Expanded (SCI-EXPANDED)</t>
        </is>
      </c>
      <c r="BM135" t="inlineStr">
        <is>
          <t>Environmental Sciences &amp; Ecology</t>
        </is>
      </c>
      <c r="BN135" t="inlineStr">
        <is>
          <t>DI5FF</t>
        </is>
      </c>
      <c r="BS135" t="inlineStr">
        <is>
          <t>2023-10-26</t>
        </is>
      </c>
      <c r="BT135" t="inlineStr">
        <is>
          <t>WOS:000373523600016</t>
        </is>
      </c>
      <c r="BU135">
        <f>HYPERLINK("https%3A%2F%2Fwww.webofscience.com%2Fwos%2Fwoscc%2Ffull-record%2FWOS:000373523600016","View Full Record in Web of Science")</f>
        <v/>
      </c>
    </row>
    <row r="136">
      <c r="A136" t="inlineStr">
        <is>
          <t>J</t>
        </is>
      </c>
      <c r="B136" t="inlineStr">
        <is>
          <t>Andersson, DE; Andersson, ÅE</t>
        </is>
      </c>
      <c r="F136" t="inlineStr">
        <is>
          <t>Andersson, David Emanuel; Andersson, Ake E.</t>
        </is>
      </c>
      <c r="J136" t="inlineStr">
        <is>
          <t>SUSTAINABILITY</t>
        </is>
      </c>
      <c r="M136" t="inlineStr">
        <is>
          <t>English</t>
        </is>
      </c>
      <c r="N136" t="inlineStr">
        <is>
          <t>Article</t>
        </is>
      </c>
      <c r="T136" t="inlineStr">
        <is>
          <t>Sustainability and the Built Environment: The Role of Durability</t>
        </is>
      </c>
      <c r="U136" t="inlineStr">
        <is>
          <t>durability; built environment; infrastructure; sustainability</t>
        </is>
      </c>
      <c r="V136" t="inlineStr">
        <is>
          <t>GREENHOUSE-GAS EMISSIONS; LAND-USE REGULATION</t>
        </is>
      </c>
      <c r="W136" t="inlineStr">
        <is>
          <t>A sustainable city combines stable long-term economic growth with a resilient ecological system. It is also a region of social sustainability with low levels of spatial segregation of different socio-economic groups. Spatial inclusion primarily involves provision of equalized city-wide access to territorial public goods. High durability of physical networks and buildings facilitates economic, environmental and social sustainability. This study shows that durability varies considerably between Asian, European and North American cities, with mean life expectancies of buildings that range from below 20 years in Chinese cities to over 100 years in European cities such as Paris. Urban planning principles that focus on the slow and steady expansion of accessibility and density within a durable built environment are consistent with general economic equilibria, while avoiding the pitfalls of political planning of the markets for private goods.</t>
        </is>
      </c>
      <c r="X136" t="inlineStr">
        <is>
          <t>[Andersson, David Emanuel] Natl Sun Yat Sen Univ, Coll Management, 70 Lianhai Rd, Kaohsiung 80424, Taiwan; [Andersson, Ake E.] Jonkoping Univ, Jonkoping Int Business Sch, Dept Econ Finance &amp; Stat, Gjuterigatan 5, S-55111 Jonkoping, Sweden</t>
        </is>
      </c>
      <c r="Y136" t="inlineStr">
        <is>
          <t>National Sun Yat Sen University; Jonkoping University</t>
        </is>
      </c>
      <c r="Z136" t="inlineStr">
        <is>
          <t>Andersson, DE (corresponding author), Natl Sun Yat Sen Univ, Coll Management, 70 Lianhai Rd, Kaohsiung 80424, Taiwan.</t>
        </is>
      </c>
      <c r="AA136" t="inlineStr">
        <is>
          <t>davidemanuelandersson@cm.nsysu.edu.tw</t>
        </is>
      </c>
      <c r="AB136" t="inlineStr">
        <is>
          <t>Andersson, David Emanuel/G-8471-2013</t>
        </is>
      </c>
      <c r="AC136" t="inlineStr">
        <is>
          <t>Andersson, David Emanuel/0000-0002-1640-1314</t>
        </is>
      </c>
      <c r="AH136" t="n">
        <v>39</v>
      </c>
      <c r="AI136" t="n">
        <v>3</v>
      </c>
      <c r="AJ136" t="n">
        <v>4</v>
      </c>
      <c r="AK136" t="n">
        <v>2</v>
      </c>
      <c r="AL136" t="n">
        <v>13</v>
      </c>
      <c r="AM136" t="inlineStr">
        <is>
          <t>MDPI</t>
        </is>
      </c>
      <c r="AN136" t="inlineStr">
        <is>
          <t>BASEL</t>
        </is>
      </c>
      <c r="AO136" t="inlineStr">
        <is>
          <t>ST ALBAN-ANLAGE 66, CH-4052 BASEL, SWITZERLAND</t>
        </is>
      </c>
      <c r="AQ136" t="inlineStr">
        <is>
          <t>2071-1050</t>
        </is>
      </c>
      <c r="AS136" t="inlineStr">
        <is>
          <t>SUSTAINABILITY-BASEL</t>
        </is>
      </c>
      <c r="AT136" t="inlineStr">
        <is>
          <t>Sustainability</t>
        </is>
      </c>
      <c r="AU136" t="inlineStr">
        <is>
          <t>SEP</t>
        </is>
      </c>
      <c r="AV136" t="n">
        <v>2019</v>
      </c>
      <c r="AW136" t="n">
        <v>11</v>
      </c>
      <c r="AX136" t="n">
        <v>18</v>
      </c>
      <c r="BE136" t="n">
        <v>4926</v>
      </c>
      <c r="BF136" t="inlineStr">
        <is>
          <t>10.3390/su11184926</t>
        </is>
      </c>
      <c r="BG136">
        <f>HYPERLINK("http://dx.doi.org/10.3390/su11184926","http://dx.doi.org/10.3390/su11184926")</f>
        <v/>
      </c>
      <c r="BJ136" t="n">
        <v>19</v>
      </c>
      <c r="BK136" t="inlineStr">
        <is>
          <t>Green &amp; Sustainable Science &amp; Technology; Environmental Sciences; Environmental Studies</t>
        </is>
      </c>
      <c r="BL136" t="inlineStr">
        <is>
          <t>Science Citation Index Expanded (SCI-EXPANDED); Social Science Citation Index (SSCI)</t>
        </is>
      </c>
      <c r="BM136" t="inlineStr">
        <is>
          <t>Science &amp; Technology - Other Topics; Environmental Sciences &amp; Ecology</t>
        </is>
      </c>
      <c r="BN136" t="inlineStr">
        <is>
          <t>JC2KA</t>
        </is>
      </c>
      <c r="BP136" t="inlineStr">
        <is>
          <t>Green Published, gold</t>
        </is>
      </c>
      <c r="BS136" t="inlineStr">
        <is>
          <t>2023-10-26</t>
        </is>
      </c>
      <c r="BT136" t="inlineStr">
        <is>
          <t>WOS:000489104700112</t>
        </is>
      </c>
      <c r="BU136">
        <f>HYPERLINK("https%3A%2F%2Fwww.webofscience.com%2Fwos%2Fwoscc%2Ffull-record%2FWOS:000489104700112","View Full Record in Web of Science")</f>
        <v/>
      </c>
    </row>
    <row r="137">
      <c r="A137" t="inlineStr">
        <is>
          <t>J</t>
        </is>
      </c>
      <c r="B137" t="inlineStr">
        <is>
          <t>Todorovic, N; Bikit, I; Veskovic, M; Krmar, M; Mrda, D; Forkapic, S; Hansman, J; Nikolov, J; Bikit, K</t>
        </is>
      </c>
      <c r="F137" t="inlineStr">
        <is>
          <t>Todorovic, Natasa; Bikit, Istvan; Veskovic, Miroslav; Krmar, Miodrag; Mrda, Dusan; Forkapic, Sofija; Hansman, Jan; Nikolov, Jovana; Bikit, Kristina</t>
        </is>
      </c>
      <c r="J137" t="inlineStr">
        <is>
          <t>RADIATION PROTECTION DOSIMETRY</t>
        </is>
      </c>
      <c r="M137" t="inlineStr">
        <is>
          <t>English</t>
        </is>
      </c>
      <c r="N137" t="inlineStr">
        <is>
          <t>Article</t>
        </is>
      </c>
      <c r="T137" t="inlineStr">
        <is>
          <t>RADIOACTIVITY IN THE INDOOR BUILDING ENVIRONMENT IN SERBIA</t>
        </is>
      </c>
      <c r="V137" t="inlineStr">
        <is>
          <t>RADON; REGION; SPAIN</t>
        </is>
      </c>
      <c r="W137" t="inlineStr">
        <is>
          <t>Measurement of activity concentrations of radionuclides in building materials and radon in indoor space is important in the assessment of population exposures, as most individuals spend 80 % of their time indoors. This paper presents the results of activity concentration measurements of: radon emanated from the soil, radionuclides Ra-226, Th-232 and K-40 in the soil, indoor radon in the city of Novi Sad (the capital city of Vojvodina) using charcoal canisters and indoor radon in the Vojvodina region using alpha-track detectors and the radioactivity of some building materials. Influences of floor level, space under the rooms, boarding, and the heating system on indoor radon accumulation in the Vojvodina province, situated in the northern part of Serbia, are also presented in this paper. The total effective dose and the activity concentration index are calculated applying the dose criteria recommended by the European Union for building materials.</t>
        </is>
      </c>
      <c r="X137" t="inlineStr">
        <is>
          <t>[Todorovic, Natasa; Bikit, Istvan; Veskovic, Miroslav; Krmar, Miodrag; Mrda, Dusan; Forkapic, Sofija; Hansman, Jan; Nikolov, Jovana; Bikit, Kristina] Univ Novi Sad, Fac Sci, Dept Phys, Novi Sad 21000, Serbia</t>
        </is>
      </c>
      <c r="Y137" t="inlineStr">
        <is>
          <t>University of Novi Sad</t>
        </is>
      </c>
      <c r="Z137" t="inlineStr">
        <is>
          <t>Todorovic, N (corresponding author), Univ Novi Sad, Fac Sci, Dept Phys, Trg Dositeja Obradovica 4, Novi Sad 21000, Serbia.</t>
        </is>
      </c>
      <c r="AA137" t="inlineStr">
        <is>
          <t>natasa.todorovic@df.uns.ac.rs</t>
        </is>
      </c>
      <c r="AB137" t="inlineStr">
        <is>
          <t>Todorovic, Natasa/F-2429-2011</t>
        </is>
      </c>
      <c r="AC137" t="inlineStr">
        <is>
          <t>Nikolov, Jovana/0000-0002-9331-8151; Bikit, Kristina/0000-0001-9793-0068; Hansman, Jan/0000-0002-5461-6324; Todorovic, Natasa/0000-0001-8694-8860; Mrdja, Dusan/0000-0001-6403-7791; Forkapic, Sofija/0000-0001-8066-9852</t>
        </is>
      </c>
      <c r="AD137" t="inlineStr">
        <is>
          <t>Ministry of Education, Science and Technological Development of Serbia [171002, 43002, 43007]</t>
        </is>
      </c>
      <c r="AE137" t="inlineStr">
        <is>
          <t>Ministry of Education, Science and Technological Development of Serbia(Ministry of Education, Science &amp; Technological Development, Serbia)</t>
        </is>
      </c>
      <c r="AF137" t="inlineStr">
        <is>
          <t>The authors acknowledge the financial support of the Ministry of Education, Science and Technological Development of Serbia, within the projects Nuclear Methods Investigations of Rare Processes and Cosmic No. 171002, Biosensing Technologies and Global System for Continued Research and Integrated Management no. 43002 and Studying climate change and its influence in the environment: impacts, adaptation and mitigation no. 43007.</t>
        </is>
      </c>
      <c r="AH137" t="n">
        <v>22</v>
      </c>
      <c r="AI137" t="n">
        <v>7</v>
      </c>
      <c r="AJ137" t="n">
        <v>7</v>
      </c>
      <c r="AK137" t="n">
        <v>0</v>
      </c>
      <c r="AL137" t="n">
        <v>11</v>
      </c>
      <c r="AM137" t="inlineStr">
        <is>
          <t>OXFORD UNIV PRESS</t>
        </is>
      </c>
      <c r="AN137" t="inlineStr">
        <is>
          <t>OXFORD</t>
        </is>
      </c>
      <c r="AO137" t="inlineStr">
        <is>
          <t>GREAT CLARENDON ST, OXFORD OX2 6DP, ENGLAND</t>
        </is>
      </c>
      <c r="AP137" t="inlineStr">
        <is>
          <t>0144-8420</t>
        </is>
      </c>
      <c r="AQ137" t="inlineStr">
        <is>
          <t>1742-3406</t>
        </is>
      </c>
      <c r="AS137" t="inlineStr">
        <is>
          <t>RADIAT PROT DOSIM</t>
        </is>
      </c>
      <c r="AT137" t="inlineStr">
        <is>
          <t>Radiat. Prot. Dosim.</t>
        </is>
      </c>
      <c r="AU137" t="inlineStr">
        <is>
          <t>JAN</t>
        </is>
      </c>
      <c r="AV137" t="n">
        <v>2014</v>
      </c>
      <c r="AW137" t="n">
        <v>158</v>
      </c>
      <c r="AX137" t="n">
        <v>2</v>
      </c>
      <c r="BC137" t="n">
        <v>208</v>
      </c>
      <c r="BD137" t="n">
        <v>215</v>
      </c>
      <c r="BF137" t="inlineStr">
        <is>
          <t>10.1093/rpd/nct210</t>
        </is>
      </c>
      <c r="BG137">
        <f>HYPERLINK("http://dx.doi.org/10.1093/rpd/nct210","http://dx.doi.org/10.1093/rpd/nct210")</f>
        <v/>
      </c>
      <c r="BJ137" t="n">
        <v>8</v>
      </c>
      <c r="BK137" t="inlineStr">
        <is>
          <t>Environmental Sciences; Public, Environmental &amp; Occupational Health; Nuclear Science &amp; Technology; Radiology, Nuclear Medicine &amp; Medical Imaging</t>
        </is>
      </c>
      <c r="BL137" t="inlineStr">
        <is>
          <t>Science Citation Index Expanded (SCI-EXPANDED)</t>
        </is>
      </c>
      <c r="BM137" t="inlineStr">
        <is>
          <t>Environmental Sciences &amp; Ecology; Public, Environmental &amp; Occupational Health; Nuclear Science &amp; Technology; Radiology, Nuclear Medicine &amp; Medical Imaging</t>
        </is>
      </c>
      <c r="BN137" t="inlineStr">
        <is>
          <t>AA1HG</t>
        </is>
      </c>
      <c r="BO137" t="n">
        <v>24030143</v>
      </c>
      <c r="BS137" t="inlineStr">
        <is>
          <t>2023-10-26</t>
        </is>
      </c>
      <c r="BT137" t="inlineStr">
        <is>
          <t>WOS:000330846600012</t>
        </is>
      </c>
      <c r="BU137">
        <f>HYPERLINK("https%3A%2F%2Fwww.webofscience.com%2Fwos%2Fwoscc%2Ffull-record%2FWOS:000330846600012","View Full Record in Web of Science")</f>
        <v/>
      </c>
    </row>
    <row r="138">
      <c r="A138" t="inlineStr">
        <is>
          <t>J</t>
        </is>
      </c>
      <c r="B138" t="inlineStr">
        <is>
          <t>Phan, L; Yu, WJ; Keralis, JM; Mukhija, K; Dwivedi, P; Brunisholz, KD; Javanmardi, M; Tasdizen, T; Nguyen, QC</t>
        </is>
      </c>
      <c r="F138" t="inlineStr">
        <is>
          <t>Phan, Lynn; Yu, Weijun; Keralis, Jessica M.; Mukhija, Krishay; Dwivedi, Pallavi; Brunisholz, Kimberly D.; Javanmardi, Mehran; Tasdizen, Tolga; Nguyen, Quynh C.</t>
        </is>
      </c>
      <c r="J138" t="inlineStr">
        <is>
          <t>INTERNATIONAL JOURNAL OF ENVIRONMENTAL RESEARCH AND PUBLIC HEALTH</t>
        </is>
      </c>
      <c r="M138" t="inlineStr">
        <is>
          <t>English</t>
        </is>
      </c>
      <c r="N138" t="inlineStr">
        <is>
          <t>Article</t>
        </is>
      </c>
      <c r="T138" t="inlineStr">
        <is>
          <t>Google Street View Derived Built Environment Indicators and Associations with State-Level Obesity, Physical Activity, and Chronic Disease Mortality in the United States</t>
        </is>
      </c>
      <c r="U138" t="inlineStr">
        <is>
          <t>google street view; built environment; obesity; physical activity; diabetes; cardiovascular disease; mortality; big data</t>
        </is>
      </c>
      <c r="V138" t="inlineStr">
        <is>
          <t>AUDIT</t>
        </is>
      </c>
      <c r="W138" t="inlineStr">
        <is>
          <t>Previous studies have demonstrated that there is a high possibility that the presence of certain built environment characteristics can influence health outcomes, especially those related to obesity and physical activity. We examined the associations between select neighborhood built environment indicators (crosswalks, non-single family home buildings, single-lane roads, and visible wires), and health outcomes, including obesity, diabetes, cardiovascular disease, and premature mortality, at the state level. We utilized 31,247,167 images collected from Google Street View to create indicators for neighborhood built environment characteristics using deep learning techniques. Adjusted linear regression models were used to estimate the associations between aggregated built environment indicators and state-level health outcomes. Our results indicated that the presence of a crosswalk was associated with reductions in obesity and premature mortality. Visible wires were associated with increased obesity, decreased physical activity, and increases in premature mortality, diabetes mortality, and cardiovascular mortality (however, these results were not significant). Non-single family homes were associated with decreased diabetes and premature mortality, as well as increased physical activity and park and recreational access. Single-lane roads were associated with increased obesity and decreased park access. The findings of our study demonstrated that built environment features may be associated with a variety of adverse health outcomes.</t>
        </is>
      </c>
      <c r="X138" t="inlineStr">
        <is>
          <t>[Phan, Lynn] Univ Maryland, Sch Publ Hlth, Dept Publ Hlth Sci, College Pk, MD 20742 USA; [Yu, Weijun; Keralis, Jessica M.; Dwivedi, Pallavi; Nguyen, Quynh C.] Univ Maryland, Sch Publ Hlth, Dept Epidemiol &amp; Biostat, College Pk, MD 20742 USA; [Mukhija, Krishay] Harker Sch, San Jose, CA 95129 USA; [Brunisholz, Kimberly D.] Intermt Healthcare, Intermt Healthcare Delivery Inst, Murray, UT USA; [Javanmardi, Mehran; Tasdizen, Tolga] Univ Utah, Sci Comp &amp; Imaging Inst, Dept Elect &amp; Comp Engn, Salt Lake City, UT 84112 USA</t>
        </is>
      </c>
      <c r="Y138" t="inlineStr">
        <is>
          <t>University System of Maryland; University of Maryland College Park; University System of Maryland; University of Maryland College Park; Intermountain Healthcare; Intermountain Medical Center; Utah System of Higher Education; University of Utah</t>
        </is>
      </c>
      <c r="Z138" t="inlineStr">
        <is>
          <t>Phan, L (corresponding author), Univ Maryland, Sch Publ Hlth, Dept Publ Hlth Sci, College Pk, MD 20742 USA.;Nguyen, QC (corresponding author), Univ Maryland, Sch Publ Hlth, Dept Epidemiol &amp; Biostat, College Pk, MD 20742 USA.</t>
        </is>
      </c>
      <c r="AA138" t="inlineStr">
        <is>
          <t>lphan04@terpmail.umd.edu; wyu1227@umd.edu; jkeralis@umd.edu; 21krishaym@students.harker.org; pdwived1@umd.edu; kim.brunisholz@imail.org; mehjavan@gmail.com; tolga@sci.utah.edu; qtnguyen@umd.edu</t>
        </is>
      </c>
      <c r="AB138" t="inlineStr">
        <is>
          <t>Dwivedi, Pallavi/X-1627-2019</t>
        </is>
      </c>
      <c r="AC138" t="inlineStr">
        <is>
          <t>Dwivedi, Pallavi/0000-0001-6658-334X; Keralis, Jessica/0000-0003-3178-180X; Nguyen, Quynh C/0000-0003-4745-6681; Tasdizen, Tolga/0000-0001-6574-0366</t>
        </is>
      </c>
      <c r="AD138" t="inlineStr">
        <is>
          <t>National Institutes of Health National Library of Medicine [R01 LM012849]</t>
        </is>
      </c>
      <c r="AE138" t="inlineStr">
        <is>
          <t>National Institutes of Health National Library of Medicine(United States Department of Health &amp; Human ServicesNational Institutes of Health (NIH) - USANIH National Library of Medicine (NLM))</t>
        </is>
      </c>
      <c r="AF138" t="inlineStr">
        <is>
          <t>This study was supported by a grant from the National Institutes of Health National Library of Medicine under Award Number R01 LM012849 (Nguyen, Q., PI).</t>
        </is>
      </c>
      <c r="AH138" t="n">
        <v>33</v>
      </c>
      <c r="AI138" t="n">
        <v>9</v>
      </c>
      <c r="AJ138" t="n">
        <v>10</v>
      </c>
      <c r="AK138" t="n">
        <v>4</v>
      </c>
      <c r="AL138" t="n">
        <v>38</v>
      </c>
      <c r="AM138" t="inlineStr">
        <is>
          <t>MDPI</t>
        </is>
      </c>
      <c r="AN138" t="inlineStr">
        <is>
          <t>BASEL</t>
        </is>
      </c>
      <c r="AO138" t="inlineStr">
        <is>
          <t>ST ALBAN-ANLAGE 66, CH-4052 BASEL, SWITZERLAND</t>
        </is>
      </c>
      <c r="AQ138" t="inlineStr">
        <is>
          <t>1660-4601</t>
        </is>
      </c>
      <c r="AS138" t="inlineStr">
        <is>
          <t>INT J ENV RES PUB HE</t>
        </is>
      </c>
      <c r="AT138" t="inlineStr">
        <is>
          <t>Int. J. Environ. Res. Public Health</t>
        </is>
      </c>
      <c r="AU138" t="inlineStr">
        <is>
          <t>MAY</t>
        </is>
      </c>
      <c r="AV138" t="n">
        <v>2020</v>
      </c>
      <c r="AW138" t="n">
        <v>17</v>
      </c>
      <c r="AX138" t="n">
        <v>10</v>
      </c>
      <c r="BE138" t="n">
        <v>3659</v>
      </c>
      <c r="BF138" t="inlineStr">
        <is>
          <t>10.3390/ijerph17103659</t>
        </is>
      </c>
      <c r="BG138">
        <f>HYPERLINK("http://dx.doi.org/10.3390/ijerph17103659","http://dx.doi.org/10.3390/ijerph17103659")</f>
        <v/>
      </c>
      <c r="BJ138" t="n">
        <v>10</v>
      </c>
      <c r="BK138" t="inlineStr">
        <is>
          <t>Environmental Sciences; Public, Environmental &amp; Occupational Health</t>
        </is>
      </c>
      <c r="BL138" t="inlineStr">
        <is>
          <t>Science Citation Index Expanded (SCI-EXPANDED); Social Science Citation Index (SSCI)</t>
        </is>
      </c>
      <c r="BM138" t="inlineStr">
        <is>
          <t>Environmental Sciences &amp; Ecology; Public, Environmental &amp; Occupational Health</t>
        </is>
      </c>
      <c r="BN138" t="inlineStr">
        <is>
          <t>LW7CK</t>
        </is>
      </c>
      <c r="BO138" t="n">
        <v>32456114</v>
      </c>
      <c r="BP138" t="inlineStr">
        <is>
          <t>Green Published, gold</t>
        </is>
      </c>
      <c r="BS138" t="inlineStr">
        <is>
          <t>2023-10-26</t>
        </is>
      </c>
      <c r="BT138" t="inlineStr">
        <is>
          <t>WOS:000539300900316</t>
        </is>
      </c>
      <c r="BU138">
        <f>HYPERLINK("https%3A%2F%2Fwww.webofscience.com%2Fwos%2Fwoscc%2Ffull-record%2FWOS:000539300900316","View Full Record in Web of Science")</f>
        <v/>
      </c>
    </row>
    <row r="139">
      <c r="A139" t="inlineStr">
        <is>
          <t>J</t>
        </is>
      </c>
      <c r="B139" t="inlineStr">
        <is>
          <t>Wu, XY; Lu, Y; Wang, JJ; Jiang, B</t>
        </is>
      </c>
      <c r="F139" t="inlineStr">
        <is>
          <t>Wu, Xueying; Lu, Yi; Wang, Jingjing; Jiang, Bin</t>
        </is>
      </c>
      <c r="J139" t="inlineStr">
        <is>
          <t>SUSTAINABILITY</t>
        </is>
      </c>
      <c r="M139" t="inlineStr">
        <is>
          <t>English</t>
        </is>
      </c>
      <c r="N139" t="inlineStr">
        <is>
          <t>Article</t>
        </is>
      </c>
      <c r="T139" t="inlineStr">
        <is>
          <t>Built Environment in Urban Space Affect Protests: A Cross-Sectional Study in Hong Kong</t>
        </is>
      </c>
      <c r="U139" t="inlineStr">
        <is>
          <t>protests; built environment; urban space; peaceful protests; violent protests</t>
        </is>
      </c>
      <c r="V139" t="inlineStr">
        <is>
          <t>PHYSICAL-ENVIRONMENT; PUBLIC SPACE; STREET; TRAVEL; CRIME</t>
        </is>
      </c>
      <c r="W139" t="inlineStr">
        <is>
          <t>The built environment is indispensable for conducting protests. However, we still know little about the role the built environment plays in either supporting or hindering protests. In this study, we investigated the relationship between built environment characteristics and the spatial distribution of 348 protests that occurred in Hong Kong from June 2019 to January 2020. We innovatively distinguished between peaceful and violent protests as well as legal and illegal (authorized vs. unauthorized) protests. Our study revealed several significant patterns. First, in general, areas with a higher level of building density, government and commerce point-of-interest (POI) density, metro accessibility, park density, and street greenery experienced more protesting activities. Second, illegal and violent protests, those which are less constrained by authorities and thus more likely to reflect the autonomous choices of the protestors, are more likely to occur in regions with more government and commercial buildings, high metro accessibility, and a high level of street greenery. Based on these findings, we also proposed a new framework to illustrate the relationship between certain built environment features and choice of protest locations, which we hope will provide preliminary guidance for future studies.</t>
        </is>
      </c>
      <c r="X139" t="inlineStr">
        <is>
          <t>[Wu, Xueying; Lu, Yi; Wang, Jingjing] City Univ Hong Kong, Dept Architecture &amp; Civil Engn, Hong Kong, Peoples R China; [Lu, Yi] City Univ Hong Kong, Shenzhen Res Inst, Shenzhen 518057, Peoples R China; [Wang, Jingjing] Wuhan Univ, Sch Urban Design, Wuhan 430072, Peoples R China; [Jiang, Bin] Univ Hong Kong, Fac Architecture, Urban Environm &amp; Human Hlth Lab, HKUrbanLabs, Hong Kong, Peoples R China; [Jiang, Bin] Univ Hong Kong, Dept Architecture, Div Landscape Architecture, Hong Kong, Peoples R China</t>
        </is>
      </c>
      <c r="Y139" t="inlineStr">
        <is>
          <t>City University of Hong Kong; Shenzhen Research Institute, City University of Hong Kong; City University of Hong Kong; Wuhan University; University of Hong Kong; University of Hong Kong</t>
        </is>
      </c>
      <c r="Z139" t="inlineStr">
        <is>
          <t>Lu, Y (corresponding author), City Univ Hong Kong, Dept Architecture &amp; Civil Engn, Hong Kong, Peoples R China.;Lu, Y (corresponding author), City Univ Hong Kong, Shenzhen Res Inst, Shenzhen 518057, Peoples R China.</t>
        </is>
      </c>
      <c r="AA139" t="inlineStr">
        <is>
          <t>xueyingwu8-c@my.cityu.edu.hk; yilu24@cityu.edu.hk; jwang586-c@my.cityu.edu.hk; jiangbin@hku.hk</t>
        </is>
      </c>
      <c r="AB139" t="inlineStr">
        <is>
          <t>LU, Yi/AAD-7750-2020</t>
        </is>
      </c>
      <c r="AC139" t="inlineStr">
        <is>
          <t>LU, Yi/0000-0001-7614-6661; Jiang, Bin/0000-0003-2440-3157</t>
        </is>
      </c>
      <c r="AD139" t="inlineStr">
        <is>
          <t>National Natural Science Foundation of China (NSFC) [51778552]</t>
        </is>
      </c>
      <c r="AE139" t="inlineStr">
        <is>
          <t>National Natural Science Foundation of China (NSFC)(National Natural Science Foundation of China (NSFC))</t>
        </is>
      </c>
      <c r="AF139" t="inlineStr">
        <is>
          <t>This work was supported by the National Natural Science Foundation of China (NSFC)under grant number No. 51778552.</t>
        </is>
      </c>
      <c r="AH139" t="n">
        <v>61</v>
      </c>
      <c r="AI139" t="n">
        <v>0</v>
      </c>
      <c r="AJ139" t="n">
        <v>0</v>
      </c>
      <c r="AK139" t="n">
        <v>1</v>
      </c>
      <c r="AL139" t="n">
        <v>1</v>
      </c>
      <c r="AM139" t="inlineStr">
        <is>
          <t>MDPI</t>
        </is>
      </c>
      <c r="AN139" t="inlineStr">
        <is>
          <t>BASEL</t>
        </is>
      </c>
      <c r="AO139" t="inlineStr">
        <is>
          <t>ST ALBAN-ANLAGE 66, CH-4052 BASEL, SWITZERLAND</t>
        </is>
      </c>
      <c r="AQ139" t="inlineStr">
        <is>
          <t>2071-1050</t>
        </is>
      </c>
      <c r="AS139" t="inlineStr">
        <is>
          <t>SUSTAINABILITY-BASEL</t>
        </is>
      </c>
      <c r="AT139" t="inlineStr">
        <is>
          <t>Sustainability</t>
        </is>
      </c>
      <c r="AU139" t="inlineStr">
        <is>
          <t>SEP</t>
        </is>
      </c>
      <c r="AV139" t="n">
        <v>2023</v>
      </c>
      <c r="AW139" t="n">
        <v>15</v>
      </c>
      <c r="AX139" t="n">
        <v>17</v>
      </c>
      <c r="BE139" t="n">
        <v>13096</v>
      </c>
      <c r="BF139" t="inlineStr">
        <is>
          <t>10.3390/su151713096</t>
        </is>
      </c>
      <c r="BG139">
        <f>HYPERLINK("http://dx.doi.org/10.3390/su151713096","http://dx.doi.org/10.3390/su151713096")</f>
        <v/>
      </c>
      <c r="BJ139" t="n">
        <v>18</v>
      </c>
      <c r="BK139" t="inlineStr">
        <is>
          <t>Green &amp; Sustainable Science &amp; Technology; Environmental Sciences; Environmental Studies</t>
        </is>
      </c>
      <c r="BL139" t="inlineStr">
        <is>
          <t>Science Citation Index Expanded (SCI-EXPANDED); Social Science Citation Index (SSCI)</t>
        </is>
      </c>
      <c r="BM139" t="inlineStr">
        <is>
          <t>Science &amp; Technology - Other Topics; Environmental Sciences &amp; Ecology</t>
        </is>
      </c>
      <c r="BN139" t="inlineStr">
        <is>
          <t>R0HX6</t>
        </is>
      </c>
      <c r="BP139" t="inlineStr">
        <is>
          <t>gold</t>
        </is>
      </c>
      <c r="BS139" t="inlineStr">
        <is>
          <t>2023-10-26</t>
        </is>
      </c>
      <c r="BT139" t="inlineStr">
        <is>
          <t>WOS:001061247100001</t>
        </is>
      </c>
      <c r="BU139">
        <f>HYPERLINK("https%3A%2F%2Fwww.webofscience.com%2Fwos%2Fwoscc%2Ffull-record%2FWOS:001061247100001","View Full Record in Web of Science")</f>
        <v/>
      </c>
    </row>
    <row r="140">
      <c r="A140" t="inlineStr">
        <is>
          <t>J</t>
        </is>
      </c>
      <c r="B140" t="inlineStr">
        <is>
          <t>Jansson, M; Herbert, E; Zalar, A; Johansson, M</t>
        </is>
      </c>
      <c r="F140" t="inlineStr">
        <is>
          <t>Jansson, Marit; Herbert, Emma; Zalar, Alva; Johansson, Maria</t>
        </is>
      </c>
      <c r="J140" t="inlineStr">
        <is>
          <t>SUSTAINABILITY</t>
        </is>
      </c>
      <c r="M140" t="inlineStr">
        <is>
          <t>English</t>
        </is>
      </c>
      <c r="N140" t="inlineStr">
        <is>
          <t>Review</t>
        </is>
      </c>
      <c r="T140" t="inlineStr">
        <is>
          <t>Child-Friendly Environments-What, How and by Whom?</t>
        </is>
      </c>
      <c r="U140" t="inlineStr">
        <is>
          <t>child-friendliness; landscape architecture; landscape management; landscape planning; urban design; urban planning; socio-physical environments</t>
        </is>
      </c>
      <c r="V140" t="inlineStr">
        <is>
          <t>CREATING CHILD; URBAN NEIGHBORHOODS; INDEPENDENT MOBILITY; BUILT ENVIRONMENT; CITIES; CITY; COMMUNITIES; AFFORDANCES; SCHOOL; SPACES</t>
        </is>
      </c>
      <c r="W140" t="inlineStr">
        <is>
          <t>The socio-physical qualities of built environments are, in several ways, of imperative importance for children growing up. The Child-Friendly Cities initiative by UNICEF, an implementation of the UN Convention on the Rights of the Child, has made local governments strive toward child-friendliness. The participation of children and young people is often the focus of such projects, with a potential for a far broader scope. Besides participation processes, what important socio-physical qualities make environments child-friendly, and how can they be developed? This paper presents a structured literature review of the concept of child-friendly environments, in order to address the full socio-physical spectrum. The results focus on concrete factors that have been filtered through child-friendliness and the associated frameworks, showing an inherent dependence between the social context and the physical environment. The shaping of child-friendliness hinges on the realization of environments that are safe, fair, and with accessible and variable green and open spaces. A multi-stakeholder endeavor including, e.g., planners, designers, and managers requires clearly outlined priorities. This study lays the groundwork for further exploration of how the concept of child-friendly environments can lead to positive changes, also as part of the overall strive toward sustainable development.</t>
        </is>
      </c>
      <c r="X140" t="inlineStr">
        <is>
          <t>[Jansson, Marit; Herbert, Emma] Swedish Univ Agricutural Sci SLU, Dept Landscape Architecture Planning &amp; Management, S-23422 Lomma, Sweden; [Zalar, Alva; Johansson, Maria] Lund Univ, Dept Architecture &amp; Built Environm, S-22100 Lund, Sweden</t>
        </is>
      </c>
      <c r="Y140" t="inlineStr">
        <is>
          <t>Lund University</t>
        </is>
      </c>
      <c r="Z140" t="inlineStr">
        <is>
          <t>Jansson, M (corresponding author), Swedish Univ Agricutural Sci SLU, Dept Landscape Architecture Planning &amp; Management, S-23422 Lomma, Sweden.</t>
        </is>
      </c>
      <c r="AA140" t="inlineStr">
        <is>
          <t>marit.jansson@slu.se; herbert.emm@gmail.com; alva.zalar@abm.lth.se; maria.johansson@abm.lth.se</t>
        </is>
      </c>
      <c r="AC140" t="inlineStr">
        <is>
          <t>Herbert, Emma/0000-0002-1712-6430; Jansson, Marit/0000-0002-7841-1577</t>
        </is>
      </c>
      <c r="AD140" t="inlineStr">
        <is>
          <t>Swedish Research Council for Environment, Agricultural Sciences and Spatial Planning, FORMAS [225-2014-1552, 2016-00264, 941]; Formas [2016-00264] Funding Source: Formas</t>
        </is>
      </c>
      <c r="AE140" t="inlineStr">
        <is>
          <t>Swedish Research Council for Environment, Agricultural Sciences and Spatial Planning, FORMAS(Swedish Research Council Formas); Formas(Swedish Research Council Formas)</t>
        </is>
      </c>
      <c r="AF140" t="inlineStr">
        <is>
          <t>This paper was funded by the Swedish Research Council for Environment, Agricultural Sciences and Spatial Planning, FORMAS, grant number 225-2014-1552 and 2016-00264, and also by Arkus, grant number 941.</t>
        </is>
      </c>
      <c r="AH140" t="n">
        <v>110</v>
      </c>
      <c r="AI140" t="n">
        <v>4</v>
      </c>
      <c r="AJ140" t="n">
        <v>4</v>
      </c>
      <c r="AK140" t="n">
        <v>47</v>
      </c>
      <c r="AL140" t="n">
        <v>163</v>
      </c>
      <c r="AM140" t="inlineStr">
        <is>
          <t>MDPI</t>
        </is>
      </c>
      <c r="AN140" t="inlineStr">
        <is>
          <t>BASEL</t>
        </is>
      </c>
      <c r="AO140" t="inlineStr">
        <is>
          <t>ST ALBAN-ANLAGE 66, CH-4052 BASEL, SWITZERLAND</t>
        </is>
      </c>
      <c r="AQ140" t="inlineStr">
        <is>
          <t>2071-1050</t>
        </is>
      </c>
      <c r="AS140" t="inlineStr">
        <is>
          <t>SUSTAINABILITY-BASEL</t>
        </is>
      </c>
      <c r="AT140" t="inlineStr">
        <is>
          <t>Sustainability</t>
        </is>
      </c>
      <c r="AU140" t="inlineStr">
        <is>
          <t>APR</t>
        </is>
      </c>
      <c r="AV140" t="n">
        <v>2022</v>
      </c>
      <c r="AW140" t="n">
        <v>14</v>
      </c>
      <c r="AX140" t="n">
        <v>8</v>
      </c>
      <c r="BE140" t="n">
        <v>4852</v>
      </c>
      <c r="BF140" t="inlineStr">
        <is>
          <t>10.3390/su14084852</t>
        </is>
      </c>
      <c r="BG140">
        <f>HYPERLINK("http://dx.doi.org/10.3390/su14084852","http://dx.doi.org/10.3390/su14084852")</f>
        <v/>
      </c>
      <c r="BJ140" t="n">
        <v>26</v>
      </c>
      <c r="BK140" t="inlineStr">
        <is>
          <t>Green &amp; Sustainable Science &amp; Technology; Environmental Sciences; Environmental Studies</t>
        </is>
      </c>
      <c r="BL140" t="inlineStr">
        <is>
          <t>Science Citation Index Expanded (SCI-EXPANDED); Social Science Citation Index (SSCI)</t>
        </is>
      </c>
      <c r="BM140" t="inlineStr">
        <is>
          <t>Science &amp; Technology - Other Topics; Environmental Sciences &amp; Ecology</t>
        </is>
      </c>
      <c r="BN140" t="inlineStr">
        <is>
          <t>0R2LP</t>
        </is>
      </c>
      <c r="BP140" t="inlineStr">
        <is>
          <t>gold, Green Published</t>
        </is>
      </c>
      <c r="BS140" t="inlineStr">
        <is>
          <t>2023-10-26</t>
        </is>
      </c>
      <c r="BT140" t="inlineStr">
        <is>
          <t>WOS:000785433700001</t>
        </is>
      </c>
      <c r="BU140">
        <f>HYPERLINK("https%3A%2F%2Fwww.webofscience.com%2Fwos%2Fwoscc%2Ffull-record%2FWOS:000785433700001","View Full Record in Web of Science")</f>
        <v/>
      </c>
    </row>
    <row r="141">
      <c r="A141" t="inlineStr">
        <is>
          <t>J</t>
        </is>
      </c>
      <c r="B141" t="inlineStr">
        <is>
          <t>Zhang, XY; Zhao, H; Chow, WH; Durand, C; Markham, C; Zhang, K</t>
        </is>
      </c>
      <c r="F141" t="inlineStr">
        <is>
          <t>Zhang, Xueying; Zhao, Hua; Chow, Wong-Ho; Durand, Casey; Markham, Christine; Zhang, Kai</t>
        </is>
      </c>
      <c r="J141" t="inlineStr">
        <is>
          <t>SCIENCE OF THE TOTAL ENVIRONMENT</t>
        </is>
      </c>
      <c r="M141" t="inlineStr">
        <is>
          <t>English</t>
        </is>
      </c>
      <c r="N141" t="inlineStr">
        <is>
          <t>Article</t>
        </is>
      </c>
      <c r="T141" t="inlineStr">
        <is>
          <t>Associations between the built environment and body mass index in the Mexican American Mano A Mano Cohort</t>
        </is>
      </c>
      <c r="U141" t="inlineStr">
        <is>
          <t>Built environment; Mexican American; Population-based study</t>
        </is>
      </c>
      <c r="V141" t="inlineStr">
        <is>
          <t>PHYSICAL-ACTIVITY; ENERGY-BALANCE; UNITED-STATES; OBESITY; NEIGHBORHOOD; HEALTH</t>
        </is>
      </c>
      <c r="W141" t="inlineStr">
        <is>
          <t>Background: Obesity is highly prevalent in Mexican American adults. Studies on the role of the built environment in relation to obesity among this population are scarce. Objectives: To investigate cross-sectional associations between multiple components of the built environment, and Body Mass Index (BMI) as well as obesity status among Mexican American adults enrolled in the Mano a Mano Cohort (MAC) study in Houston, Texas. Methods: We calculated BMI from measured height and weight among 9534 Mexican American adults (aged 20-60) who participated in the baseline survey during 2008-2013. Several metrics of exposure to the built environment (physical activity environment, land use, and food environment) were generated using Geographic Information System and Google Maps based on participants' residential address. Generalized linear regression and logistic regression models were used to estimate associations between exposure to the built environment, a continuous BMI variable and categorical BMI variables (&lt;30, &gt;= 30 and &gt;= 35), respectively. Results: Among all built environment exposure variables investigated, road density (total road length per km(2)) [0.21 (0.06, 0.36) as coefficient (95% CI)], intersection density (intersection links per km(2)) [0.74 (0.21, 1.28)1, networked distance (km) [ -0.29 ( -0.47, -0.10)], and walking time (mins) [ -0.02 (-0.04, -0.01)] to the nearest parks had statistically significantly linear associations with BMI. Those variables were found to have statistically significant associations with BMI &gt;= 35 in logistic regression models, the odds ratio was 1.08 (1.02, 1.14) for road density, 1.31 (1.07, 1.60) for intersection density, 0.91 (0.85, 0.98) for networked distance, and 0.99 (0.99, 1.00) for walking time. None of the built environment exposure variables were found to be associated with BMI &gt;= 30. Conclusions: Living in areas with high density of roads exhibited significant associations with increased BMI, in particular BMI &gt;= 35, among enrolled Mexican American adults in the MAC study. (C) 2018 Elsevier B.V. All rights reserved.</t>
        </is>
      </c>
      <c r="X141" t="inlineStr">
        <is>
          <t>[Zhang, Xueying; Zhang, Kai] Univ Texas Hlth Sci Ctr Houston, Sch Publ Hlth, Human Genet &amp; Environm Sci, Dept Epidemiol, Houston, TX 77030 USA; [Zhao, Hua; Chow, Wong-Ho] Univ Texas MD Anderson Canc Ctr, Dept Epidemiol, Houston, TX 77030 USA; [Durand, Casey; Markham, Christine] Univ Texas Hlth Sci Ctr Houston, Sch Publ Hlth, Dept Hlth Promot &amp; Behav Sci, Houston, TX 77030 USA; [Zhang, Kai] Univ Texas Hlth Sci Ctr Houston, Sch Publ Hlth, Southwest Ctr Occupat &amp; Environm Hlth, Houston, TX 77030 USA</t>
        </is>
      </c>
      <c r="Y141" t="inlineStr">
        <is>
          <t>University of Texas System; University of Texas Health Science Center Houston; University of Texas School Public Health; University of Texas System; UTMD Anderson Cancer Center; University of Texas System; University of Texas Health Science Center Houston; University of Texas School Public Health; University of Texas System; University of Texas Health Science Center Houston; University of Texas School Public Health</t>
        </is>
      </c>
      <c r="Z141" t="inlineStr">
        <is>
          <t>Zhang, K (corresponding author), Univ Texas Hlth Sci Ctr Houston, Sch Publ Hlth, Human Genet &amp; Environm Sci, Dept Epidemiol, Houston, TX 77030 USA.;Zhang, K (corresponding author), Univ Texas Hlth Sci Ctr Houston, Sch Publ Hlth, Southwest Ctr Occupat &amp; Environm Hlth, Houston, TX 77030 USA.</t>
        </is>
      </c>
      <c r="AA141" t="inlineStr">
        <is>
          <t>kai.zhang@uth.tmc.edu</t>
        </is>
      </c>
      <c r="AB141" t="inlineStr">
        <is>
          <t>zhang, kai/C-6432-2013</t>
        </is>
      </c>
      <c r="AC141" t="inlineStr">
        <is>
          <t>Zhang, Xueying/0000-0003-0806-3324; Zhang, Kai/0000-0003-0393-5955</t>
        </is>
      </c>
      <c r="AD141" t="inlineStr">
        <is>
          <t>Southwest Center for Occupational and Environmental Health (SWCOEH); NIOSH Education and Research Center; National Institute for Occupational Safety and Health (NIOSH)/Centers for Disease Control and Prevention [T42OH008421]</t>
        </is>
      </c>
      <c r="AE141" t="inlineStr">
        <is>
          <t>Southwest Center for Occupational and Environmental Health (SWCOEH); NIOSH Education and Research Center; National Institute for Occupational Safety and Health (NIOSH)/Centers for Disease Control and Prevention(United States Department of Health &amp; Human ServicesCenters for Disease Control &amp; Prevention - USANational Institute for Occupational Safety &amp; Health (NIOSH))</t>
        </is>
      </c>
      <c r="AF141" t="inlineStr">
        <is>
          <t>We would like to thank the Houston-Galveston Area Council for many helpful information regarding their GIS data sources. The Mano aMano Cohort receives funds collected pursuant to the Comprehensive Tobacco Settlement of 1998 and appropriated by the 76th Legislature to the University of Texas MD Anderson Cancer Center; from the Caroline W Law Fund for Cancer Prevention; and from the Duncan Family Institute for Cancer Prevention and Risk Assessment. The funders did not contribute to the design or conduct of the study; the collection, analysis or interpretation of the data; or the preparation, review or approval of the manuscript. Kai Zhang was partly funded by the Southwest Center for Occupational and Environmental Health (SWCOEH), a NIOSH Education and Research Center and awardee of Grant No. T42OH008421 from the National Institute for Occupational Safety and Health (NIOSH)/Centers for Disease Control and Prevention.</t>
        </is>
      </c>
      <c r="AH141" t="n">
        <v>47</v>
      </c>
      <c r="AI141" t="n">
        <v>9</v>
      </c>
      <c r="AJ141" t="n">
        <v>10</v>
      </c>
      <c r="AK141" t="n">
        <v>4</v>
      </c>
      <c r="AL141" t="n">
        <v>27</v>
      </c>
      <c r="AM141" t="inlineStr">
        <is>
          <t>ELSEVIER</t>
        </is>
      </c>
      <c r="AN141" t="inlineStr">
        <is>
          <t>AMSTERDAM</t>
        </is>
      </c>
      <c r="AO141" t="inlineStr">
        <is>
          <t>RADARWEG 29, 1043 NX AMSTERDAM, NETHERLANDS</t>
        </is>
      </c>
      <c r="AP141" t="inlineStr">
        <is>
          <t>0048-9697</t>
        </is>
      </c>
      <c r="AQ141" t="inlineStr">
        <is>
          <t>1879-1026</t>
        </is>
      </c>
      <c r="AS141" t="inlineStr">
        <is>
          <t>SCI TOTAL ENVIRON</t>
        </is>
      </c>
      <c r="AT141" t="inlineStr">
        <is>
          <t>Sci. Total Environ.</t>
        </is>
      </c>
      <c r="AU141" t="inlineStr">
        <is>
          <t>MAR 1</t>
        </is>
      </c>
      <c r="AV141" t="n">
        <v>2019</v>
      </c>
      <c r="AW141" t="n">
        <v>654</v>
      </c>
      <c r="BC141" t="n">
        <v>456</v>
      </c>
      <c r="BD141" t="n">
        <v>462</v>
      </c>
      <c r="BF141" t="inlineStr">
        <is>
          <t>10.1016/j.scitotenv.2018.11.122</t>
        </is>
      </c>
      <c r="BG141">
        <f>HYPERLINK("http://dx.doi.org/10.1016/j.scitotenv.2018.11.122","http://dx.doi.org/10.1016/j.scitotenv.2018.11.122")</f>
        <v/>
      </c>
      <c r="BJ141" t="n">
        <v>7</v>
      </c>
      <c r="BK141" t="inlineStr">
        <is>
          <t>Environmental Sciences</t>
        </is>
      </c>
      <c r="BL141" t="inlineStr">
        <is>
          <t>Science Citation Index Expanded (SCI-EXPANDED); Social Science Citation Index (SSCI)</t>
        </is>
      </c>
      <c r="BM141" t="inlineStr">
        <is>
          <t>Environmental Sciences &amp; Ecology</t>
        </is>
      </c>
      <c r="BN141" t="inlineStr">
        <is>
          <t>HL3QE</t>
        </is>
      </c>
      <c r="BO141" t="n">
        <v>30447584</v>
      </c>
      <c r="BS141" t="inlineStr">
        <is>
          <t>2023-10-26</t>
        </is>
      </c>
      <c r="BT141" t="inlineStr">
        <is>
          <t>WOS:000458630100046</t>
        </is>
      </c>
      <c r="BU141">
        <f>HYPERLINK("https%3A%2F%2Fwww.webofscience.com%2Fwos%2Fwoscc%2Ffull-record%2FWOS:000458630100046","View Full Record in Web of Science")</f>
        <v/>
      </c>
    </row>
    <row r="142">
      <c r="A142" t="inlineStr">
        <is>
          <t>J</t>
        </is>
      </c>
      <c r="B142" t="inlineStr">
        <is>
          <t>Colom, A; Ruiz, M; Wärnberg, J; Compa, M; Muncunill, J; Barón-López, FJ; Benavente-Marín, JC; Cabeza, E; Morey, M; Fitó, M; Salas-Salvadó, J; Romaguera, D</t>
        </is>
      </c>
      <c r="F142" t="inlineStr">
        <is>
          <t>Colom, Antoni; Ruiz, Maurici; Warnberg, Julia; Compa, Montserrat; Muncunill, Josep; Javier Baron-Lopez, Francisco; Carlos Benavente-Marin, Juan; Cabeza, Elena; Morey, Marga; Fito, Montserrat; Salas-Salvado, Jordi; Romaguera, Dora</t>
        </is>
      </c>
      <c r="J142" t="inlineStr">
        <is>
          <t>INTERNATIONAL JOURNAL OF ENVIRONMENTAL RESEARCH AND PUBLIC HEALTH</t>
        </is>
      </c>
      <c r="M142" t="inlineStr">
        <is>
          <t>English</t>
        </is>
      </c>
      <c r="N142" t="inlineStr">
        <is>
          <t>Article</t>
        </is>
      </c>
      <c r="T142" t="inlineStr">
        <is>
          <t>Mediterranean Built Environment and Precipitation as Modulator Factors on Physical Activity in Obese Mid-Age and Old-Age Adults with Metabolic Syndrome: Cross-Sectional Study</t>
        </is>
      </c>
      <c r="U142" t="inlineStr">
        <is>
          <t>physical activity; accelerometer; leisure; walking; built environment; public open space; GIS; weather; elderly; senior adults; PREDIMED-Plus trial</t>
        </is>
      </c>
      <c r="V142" t="inlineStr">
        <is>
          <t>ACTIVITY QUESTIONNAIRE; WEATHER CONDITIONS; TIME; VALIDATION; RETIREMENT; PEOPLE</t>
        </is>
      </c>
      <c r="W142" t="inlineStr">
        <is>
          <t>When promoting physical activity (PA) participation, it is important to consider the plausible environmental determinants that may affect this practice. The impact of objectively-measured public open spaces (POS) and walk-friendly routes on objectively-measured and self-reported PA was explored alongside the influence of rainy conditions on this association, in a Mediterranean sample of overweight or obese senior adults with metabolic syndrome. Cross-sectional analyses were undertaken on 218 PREDIMED-Plus trial participants aged 55-75 years, from the city of Palma, in Mallorca (Spain). Indicators of access to POS and walk-friendly routes were assessed in a 1.0 and 0.5 km sausage network walkable buffers around each participant's residence using geographic information systems. Mean daily minutes of self-reported leisure-time brisk walking, and accelerometer objectively-measured moderate-to-vigorous PA in bouts of at least 10 min (OM-MVPA) were measured. To investigate the association between access to POS and walk-friendly routes with PA, generalized additive models with a Gaussian link function were used. Interaction of rainy conditions with the association between access to POS and walk-friendly routes with OM-MVPA was also examined. Better access to POS was not statistically significantly associated with self-reported leisure-time brisk walking or OM-MVPA. A positive significant association was observed only between distance of walk-friendly routes contained or intersected by buffer and OM-MVPA, and was solely evident on non-rainy days. In this elderly Mediterranean population, only access to walk-friendly routes had an influence on accelerometer-measured PA. Rainy conditions during the accelerometer wear period did appear to modify this association.</t>
        </is>
      </c>
      <c r="X142" t="inlineStr">
        <is>
          <t>[Colom, Antoni; Muncunill, Josep; Morey, Marga; Romaguera, Dora] Univ Hosp Son Espases, Inst Invest Sanitaria Illes Balears IdISBa, Palma De Mallorca 07120, Spain; [Colom, Antoni; Warnberg, Julia; Javier Baron-Lopez, Francisco; Morey, Marga; Fito, Montserrat; Salas-Salvado, Jordi; Romaguera, Dora] Inst Salud Carlos III, CIBER Fisiopatol Obesidad &amp; Nutr CIBEROBN, Madrid 28029, Spain; [Ruiz, Maurici] Univ Illes Balears, Serv SIG Teledetecc &amp; Vicerectorat Innovacio &amp; Tr, Palma De Mallorca 07120, Spain; [Warnberg, Julia] Univ Malaga, Dept Enfermeria, Fac Ciencias Salud, Inst Invest Biomed IBIMA, E-29071 Malaga, Spain; [Compa, Montserrat] Inst Espanol Oceanog, Ctr Oceanog Baleares, Palma De Mallorca 07015, Spain; [Javier Baron-Lopez, Francisco; Carlos Benavente-Marin, Juan] Univ Malaga, Fac Med, Dept Salud Publ, Inst Invest Biomed IBIMA, Malaga 29010, Spain; [Cabeza, Elena] GISPIB, IdiSBa, Serv Promocio Salut, DG Salut Publ &amp; Participacio,Conselleria Salut, Conselleria De Salut 07010, Palma, Spain; [Fito, Montserrat] Inst Hosp Mar Invest Med Municipal Invest Med IMI, Unit Cardiovasc Risk &amp; Nutr, Barcelona 08003, Spain; [Salas-Salvado, Jordi] Rovira &amp; Virgili Univ, Hosp Univ St Joan Reus, Human Nutr Unit, IISPV,Dept Biochem &amp; Biotechnol, Reus 43204, Spain</t>
        </is>
      </c>
      <c r="Y142" t="inlineStr">
        <is>
          <t>Institut Investigacio Sanitaria Illes Balears (IdISBa); Hospital Universitari Son Espases; CIBER - Centro de Investigacion Biomedica en Red; CIBEROBN; Instituto de Salud Carlos III; Universitat de les Illes Balears; Universidad de Malaga; Instituto de Investigacion Biomedica de Malaga y Plataforma en Nanomedicina (IBIMA); Spanish Institute of Oceanography; Instituto de Investigacion Biomedica de Malaga y Plataforma en Nanomedicina (IBIMA); Universidad de Malaga; Institut Investigacio Sanitaria Illes Balears (IdISBa); Conselleria de Salut i Consum de les Illes Balears; Universitat Rovira i Virgili; Institut d'Investigacio Sanitaria Pere Virgili (IISPV)</t>
        </is>
      </c>
      <c r="Z142" t="inlineStr">
        <is>
          <t>Colom, A; Romaguera, D (corresponding author), Univ Hosp Son Espases, Inst Invest Sanitaria Illes Balears IdISBa, Palma De Mallorca 07120, Spain.;Colom, A; Romaguera, D (corresponding author), Inst Salud Carlos III, CIBER Fisiopatol Obesidad &amp; Nutr CIBEROBN, Madrid 28029, Spain.</t>
        </is>
      </c>
      <c r="AA142" t="inlineStr">
        <is>
          <t>antonicolom@gmail.com; maurici.ruiz@uib.es; jwarnberg@uma.es; montserratcompa@gmail.com; josep.muncunill@ssib.es; baron@uma.es; jc.benaventemarin@uma.es; ecabeza@dgsanita.caib.es; margarita.moreyservera@ssib.es; MFito@imim.es; jordi.salas@urv.cat; mariaadoracion.romaguera@ssib.es</t>
        </is>
      </c>
      <c r="AB142" t="inlineStr">
        <is>
          <t>Romaguera, Dora/ABE-7004-2020; Martinez-Gonzalez, Miguel A./AAE-7669-2019; Romaguera, Dora/AAB-2852-2020; Warnberg, Julia/G-1390-2011; Compa, Montserrat/GOP-2853-2022; Compa, Montserrat/HPH-0378-2023; Ruiz-Pérez, Maurici/P-8416-2015; Salas-Salvado, Jordi/C-7229-2017; Fernandez, Antoni Colom/ABG-1017-2021</t>
        </is>
      </c>
      <c r="AC142" t="inlineStr">
        <is>
          <t>Romaguera, Dora/0000-0002-5762-8558; Warnberg, Julia/0000-0002-8408-316X; Compa, Montserrat/0000-0002-0661-8712; Ruiz-Pérez, Maurici/0000-0002-5440-214X; Salas-Salvado, Jordi/0000-0003-2700-7459; Fernandez, Antoni Colom/0000-0001-5041-0778; muncunill farreny, josep/0000-0002-7678-0205; Tercero Macia, Cristina/0009-0000-6092-9231</t>
        </is>
      </c>
      <c r="AD142" t="inlineStr">
        <is>
          <t>Instituto de Investigacion en Salud Carlos III [PI14/00853, PI16/00662, PI17/00525]; Consejeria de Salud de la Junta de Andalucia [PS0358-2016]; FEDER; AstraZeneca Foundation</t>
        </is>
      </c>
      <c r="AE142" t="inlineStr">
        <is>
          <t>Instituto de Investigacion en Salud Carlos III; Consejeria de Salud de la Junta de Andalucia(Junta de Andalucia); FEDER(European Union (EU)Spanish Government); AstraZeneca Foundation(AstraZeneca)</t>
        </is>
      </c>
      <c r="AF142" t="inlineStr">
        <is>
          <t>Instituto de Investigacion en Salud Carlos III (PI14/00853, PI16/00662 and PI17/00525), and Consejeria de Salud de la Junta de Andalucia (PS0358-2016). Co-funded by FEDER. AstraZeneca Foundation (Young Investigator Award on obesity and type 2 diabetes to D.R. 2017).</t>
        </is>
      </c>
      <c r="AH142" t="n">
        <v>44</v>
      </c>
      <c r="AI142" t="n">
        <v>8</v>
      </c>
      <c r="AJ142" t="n">
        <v>8</v>
      </c>
      <c r="AK142" t="n">
        <v>0</v>
      </c>
      <c r="AL142" t="n">
        <v>14</v>
      </c>
      <c r="AM142" t="inlineStr">
        <is>
          <t>MDPI</t>
        </is>
      </c>
      <c r="AN142" t="inlineStr">
        <is>
          <t>BASEL</t>
        </is>
      </c>
      <c r="AO142" t="inlineStr">
        <is>
          <t>ST ALBAN-ANLAGE 66, CH-4052 BASEL, SWITZERLAND</t>
        </is>
      </c>
      <c r="AQ142" t="inlineStr">
        <is>
          <t>1660-4601</t>
        </is>
      </c>
      <c r="AS142" t="inlineStr">
        <is>
          <t>INT J ENV RES PUB HE</t>
        </is>
      </c>
      <c r="AT142" t="inlineStr">
        <is>
          <t>Int. J. Environ. Res. Public Health</t>
        </is>
      </c>
      <c r="AU142" t="inlineStr">
        <is>
          <t>MAR 1</t>
        </is>
      </c>
      <c r="AV142" t="n">
        <v>2019</v>
      </c>
      <c r="AW142" t="n">
        <v>16</v>
      </c>
      <c r="AX142" t="n">
        <v>5</v>
      </c>
      <c r="BE142" t="n">
        <v>854</v>
      </c>
      <c r="BF142" t="inlineStr">
        <is>
          <t>10.3390/ijerph16050854</t>
        </is>
      </c>
      <c r="BG142">
        <f>HYPERLINK("http://dx.doi.org/10.3390/ijerph16050854","http://dx.doi.org/10.3390/ijerph16050854")</f>
        <v/>
      </c>
      <c r="BJ142" t="n">
        <v>17</v>
      </c>
      <c r="BK142" t="inlineStr">
        <is>
          <t>Environmental Sciences; Public, Environmental &amp; Occupational Health</t>
        </is>
      </c>
      <c r="BL142" t="inlineStr">
        <is>
          <t>Science Citation Index Expanded (SCI-EXPANDED); Social Science Citation Index (SSCI)</t>
        </is>
      </c>
      <c r="BM142" t="inlineStr">
        <is>
          <t>Environmental Sciences &amp; Ecology; Public, Environmental &amp; Occupational Health</t>
        </is>
      </c>
      <c r="BN142" t="inlineStr">
        <is>
          <t>HQ8HD</t>
        </is>
      </c>
      <c r="BO142" t="n">
        <v>30857222</v>
      </c>
      <c r="BP142" t="inlineStr">
        <is>
          <t>Green Published, gold</t>
        </is>
      </c>
      <c r="BS142" t="inlineStr">
        <is>
          <t>2023-10-26</t>
        </is>
      </c>
      <c r="BT142" t="inlineStr">
        <is>
          <t>WOS:000462664200179</t>
        </is>
      </c>
      <c r="BU142">
        <f>HYPERLINK("https%3A%2F%2Fwww.webofscience.com%2Fwos%2Fwoscc%2Ffull-record%2FWOS:000462664200179","View Full Record in Web of Science")</f>
        <v/>
      </c>
    </row>
    <row r="143">
      <c r="A143" t="inlineStr">
        <is>
          <t>J</t>
        </is>
      </c>
      <c r="B143" t="inlineStr">
        <is>
          <t>Mier, N; Ory, MG; Towne, SD; Smith, ML</t>
        </is>
      </c>
      <c r="F143" t="inlineStr">
        <is>
          <t>Mier, Nelda; Ory, Marcia G.; Towne, Samuel D., Jr.; Smith, Matthew Lee</t>
        </is>
      </c>
      <c r="J143" t="inlineStr">
        <is>
          <t>INTERNATIONAL JOURNAL OF ENVIRONMENTAL RESEARCH AND PUBLIC HEALTH</t>
        </is>
      </c>
      <c r="M143" t="inlineStr">
        <is>
          <t>English</t>
        </is>
      </c>
      <c r="N143" t="inlineStr">
        <is>
          <t>Article</t>
        </is>
      </c>
      <c r="T143" t="inlineStr">
        <is>
          <t>Relative Association of Multi-Level Supportive Environments on Poor Health among Older Adults</t>
        </is>
      </c>
      <c r="U143" t="inlineStr">
        <is>
          <t>older adult; health status; supportive environments; physical health; mental health; United States of America; aging</t>
        </is>
      </c>
      <c r="V143" t="inlineStr">
        <is>
          <t>QUALITY-OF-LIFE; SELF-RATED HEALTH; PHYSICAL-ACTIVITY; SOCIAL DETERMINANTS; MENTAL-HEALTH; DEPRESSIVE SYMPTOMS; UNITED-STATES; NEIGHBORHOOD PERCEPTIONS; COGNITIVE FUNCTION; GENDER-DIFFERENCES</t>
        </is>
      </c>
      <c r="W143" t="inlineStr">
        <is>
          <t>Background: The aging of the United States population poses significant challenges to American healthcare and informal caregiving systems. Additional research is needed to understand how health promotion programs and policies based on a socio-ecological perspective impact the health and well-being of older persons. The purpose of this study was to investigate personal characteristics and supportive environments associated with poor health among older individuals aged 65 and over. Methods: This study used a cross-sectional design and was guided by a conceptual framework developed by the authors to depict the relationship between personal characteristics and environments associated with poor health status. Environment types included in this study were family, home, financial, neighborhood, and healthcare. The sample was comprised of 1319 adults aged 65 years and older residing in Central Texas. From a random selection of households, participants were administered a mail-based survey created by a community collaborative effort. Descriptive statistics and three binary logistic regression models were fitted to examine associations with poor health status (i.e., physical, mental, and combined physical/mental). Results: Two personal characteristics (number of chronic conditions and educational level) were consistently related (p &lt; 0.05) to health outcomes. Supportive family, home, financial, neighborhood, and health care environmental factors were shown to be related (p &lt; 0.05) to various aspects of physical or mental health outcomes. Conclusions: Multidimensional factors including personal characteristics and protective environments are related to health status among older individuals. The unique roles of each environment can help inform public health interventions to create and enhance support for older adults to engage in healthful activities and improve their physical and mental health.</t>
        </is>
      </c>
      <c r="X143" t="inlineStr">
        <is>
          <t>[Mier, Nelda] Texas A&amp;M Sch Publ Hlth, Dept Publ Hlth Studies, McAllen Campus, Mcallen, TX 78503 USA; [Ory, Marcia G.; Towne, Samuel D., Jr.; Smith, Matthew Lee] Texas A&amp;M Sch Publ Hlth, Dept Hlth Promot &amp; Community Hlth Sci, College Stn, TX 77843 USA; [Smith, Matthew Lee] Univ Georgia, Coll Publ Hlth, Dept Hlth Promot &amp; Behav, Inst Gerontol, Athens, GA 30602 USA</t>
        </is>
      </c>
      <c r="Y143" t="inlineStr">
        <is>
          <t>Texas A&amp;M University System; Texas A&amp;M University College Station; Texas A&amp;M Health Science Center; Texas A&amp;M University System; Texas A&amp;M University College Station; Texas A&amp;M Health Science Center; University System of Georgia; University of Georgia</t>
        </is>
      </c>
      <c r="Z143" t="inlineStr">
        <is>
          <t>Mier, N (corresponding author), Texas A&amp;M Sch Publ Hlth, Dept Publ Hlth Studies, McAllen Campus, Mcallen, TX 78503 USA.</t>
        </is>
      </c>
      <c r="AA143" t="inlineStr">
        <is>
          <t>mier@sph.tamhsc.edu; mory@sph.tamhsc.edu; towne@sph.tamhsc.edu; health@uga.edu</t>
        </is>
      </c>
      <c r="AB143" t="inlineStr">
        <is>
          <t>Towne, Samuel/AAE-1992-2021; Ory, Marcia/L-4025-2019</t>
        </is>
      </c>
      <c r="AC143" t="inlineStr">
        <is>
          <t>Towne, Samuel/0000-0002-7310-5837</t>
        </is>
      </c>
      <c r="AD143" t="inlineStr">
        <is>
          <t>Center for Community Health Development from the Centers for Disease Control and Prevention through the National Center for Chronic Disease Prevention and Health Promotion [1U48 DP001924]; National Center for Injury Prevention and Control</t>
        </is>
      </c>
      <c r="AE143" t="inlineStr">
        <is>
          <t>Center for Community Health Development from the Centers for Disease Control and Prevention through the National Center for Chronic Disease Prevention and Health Promotion; National Center for Injury Prevention and Control(United States Department of Health &amp; Human ServicesCenters for Disease Control &amp; Prevention - USA)</t>
        </is>
      </c>
      <c r="AF143" t="inlineStr">
        <is>
          <t>This study was supported by the Center for Community Health Development under the Cooperative Agreement Number 1U48 DP001924 from the Centers for Disease Control and Prevention through the National Center for Chronic Disease Prevention and Health Promotion and the National Center for Injury Prevention and Control.</t>
        </is>
      </c>
      <c r="AH143" t="n">
        <v>94</v>
      </c>
      <c r="AI143" t="n">
        <v>7</v>
      </c>
      <c r="AJ143" t="n">
        <v>7</v>
      </c>
      <c r="AK143" t="n">
        <v>2</v>
      </c>
      <c r="AL143" t="n">
        <v>15</v>
      </c>
      <c r="AM143" t="inlineStr">
        <is>
          <t>MDPI</t>
        </is>
      </c>
      <c r="AN143" t="inlineStr">
        <is>
          <t>BASEL</t>
        </is>
      </c>
      <c r="AO143" t="inlineStr">
        <is>
          <t>ST ALBAN-ANLAGE 66, CH-4052 BASEL, SWITZERLAND</t>
        </is>
      </c>
      <c r="AQ143" t="inlineStr">
        <is>
          <t>1660-4601</t>
        </is>
      </c>
      <c r="AS143" t="inlineStr">
        <is>
          <t>INT J ENV RES PUB HE</t>
        </is>
      </c>
      <c r="AT143" t="inlineStr">
        <is>
          <t>Int. J. Environ. Res. Public Health</t>
        </is>
      </c>
      <c r="AU143" t="inlineStr">
        <is>
          <t>APR</t>
        </is>
      </c>
      <c r="AV143" t="n">
        <v>2017</v>
      </c>
      <c r="AW143" t="n">
        <v>14</v>
      </c>
      <c r="AX143" t="n">
        <v>4</v>
      </c>
      <c r="BE143" t="n">
        <v>387</v>
      </c>
      <c r="BF143" t="inlineStr">
        <is>
          <t>10.3390/ijerph14040387</t>
        </is>
      </c>
      <c r="BG143">
        <f>HYPERLINK("http://dx.doi.org/10.3390/ijerph14040387","http://dx.doi.org/10.3390/ijerph14040387")</f>
        <v/>
      </c>
      <c r="BJ143" t="n">
        <v>16</v>
      </c>
      <c r="BK143" t="inlineStr">
        <is>
          <t>Environmental Sciences; Public, Environmental &amp; Occupational Health</t>
        </is>
      </c>
      <c r="BL143" t="inlineStr">
        <is>
          <t>Science Citation Index Expanded (SCI-EXPANDED); Social Science Citation Index (SSCI)</t>
        </is>
      </c>
      <c r="BM143" t="inlineStr">
        <is>
          <t>Environmental Sciences &amp; Ecology; Public, Environmental &amp; Occupational Health</t>
        </is>
      </c>
      <c r="BN143" t="inlineStr">
        <is>
          <t>EY6PG</t>
        </is>
      </c>
      <c r="BO143" t="n">
        <v>28383513</v>
      </c>
      <c r="BP143" t="inlineStr">
        <is>
          <t>Green Published, gold, Green Submitted</t>
        </is>
      </c>
      <c r="BS143" t="inlineStr">
        <is>
          <t>2023-10-26</t>
        </is>
      </c>
      <c r="BT143" t="inlineStr">
        <is>
          <t>WOS:000404105100051</t>
        </is>
      </c>
      <c r="BU143">
        <f>HYPERLINK("https%3A%2F%2Fwww.webofscience.com%2Fwos%2Fwoscc%2Ffull-record%2FWOS:000404105100051","View Full Record in Web of Science")</f>
        <v/>
      </c>
    </row>
    <row r="144">
      <c r="A144" t="inlineStr">
        <is>
          <t>J</t>
        </is>
      </c>
      <c r="B144" t="inlineStr">
        <is>
          <t>Sabbarese, C; Feola, ML; Ambrosino, F; Roca, V; D'Onofrio, A; La Verde, G; D'Avino, V; Pugliese, M; Festa, V</t>
        </is>
      </c>
      <c r="F144" t="inlineStr">
        <is>
          <t>Sabbarese, Carlo; Feola, Maria Luisa; Ambrosino, Fabrizio; Roca, Vincenzo; D'Onofrio, Antonio; La Verde, Giuseppe; D'Avino, Vittoria; Pugliese, Mariagabriella; Festa, Vittorio</t>
        </is>
      </c>
      <c r="J144" t="inlineStr">
        <is>
          <t>ENVIRONMENTS</t>
        </is>
      </c>
      <c r="M144" t="inlineStr">
        <is>
          <t>English</t>
        </is>
      </c>
      <c r="N144" t="inlineStr">
        <is>
          <t>Article</t>
        </is>
      </c>
      <c r="T144" t="inlineStr">
        <is>
          <t>A Preliminary Study of the Characteristics of Radon Data from Indoor Environments and Building Materials in the Campania Region Using PCA and K-Means Statistical Analyses</t>
        </is>
      </c>
      <c r="U144" t="inlineStr">
        <is>
          <t>indoor radon; Campania Region; PCA; k-means; building materials</t>
        </is>
      </c>
      <c r="V144" t="inlineStr">
        <is>
          <t>DWELLINGS</t>
        </is>
      </c>
      <c r="W144" t="inlineStr">
        <is>
          <t>For a healthy indoor environment, it is important to understand which materials and factors favor the generation of high levels of indoor radon. A preliminary multivariate statistical analysis was carried out on two datasets concerning indoor radon and building materials in the Campania Region using Principal Component Analysis (PCA) and the k-means partitional analysis technique. A total of 13 parameters related to building materials were used. The results show the greater contribution of building materials of volcanic origin to the concentration of indoor radon and thoron activity and the different influence of the parameters of the 31 materials analyzed. The same analyses applied to the indoor radon values of 694 rooms in the Campania Region were equally effective in assessing the structural characteristics of indoor environments that most influence indoor radon levels. The study provided an effective assessment of the influence on radon activity of several environmental parameters, which are often not adequately considered.</t>
        </is>
      </c>
      <c r="X144" t="inlineStr">
        <is>
          <t>[Sabbarese, Carlo; Feola, Maria Luisa; Roca, Vincenzo; D'Onofrio, Antonio] Univ Campania L Vanvitelli, Dept Math &amp; Phys, Viale Lincoln 5, I-81100 Caserta, Italy; [Ambrosino, Fabrizio; La Verde, Giuseppe; D'Avino, Vittoria; Pugliese, Mariagabriella] Univ Naples Federico II, Dept Phys E Pancini, Via Cinthia Ed 6, I-80126 Naples, Italy; [Festa, Vittorio] Protect Solut Srl, I-80133 Naples, Italy</t>
        </is>
      </c>
      <c r="Y144" t="inlineStr">
        <is>
          <t>Universita della Campania Vanvitelli; University of Naples Federico II</t>
        </is>
      </c>
      <c r="Z144" t="inlineStr">
        <is>
          <t>Sabbarese, C (corresponding author), Univ Campania L Vanvitelli, Dept Math &amp; Phys, Viale Lincoln 5, I-81100 Caserta, Italy.</t>
        </is>
      </c>
      <c r="AA144" t="inlineStr">
        <is>
          <t>carlo.sabbarese@unicampania.it; marialuisa.feola@studenti.unicampania.it; fabrizio.ambrosino@unina.it; vroca222@gmail.com; antonio.donofrio@unicampania.it; glaverde@na.infn.it; vdavino@na.infn.it; mpuglies@na.infn.it; festav@yahoo.com</t>
        </is>
      </c>
      <c r="AB144" t="inlineStr">
        <is>
          <t>La Verde, Giuseppe/AAZ-8186-2021</t>
        </is>
      </c>
      <c r="AC144" t="inlineStr">
        <is>
          <t>La Verde, Giuseppe/0000-0002-8952-3144; SABBARESE, Carlo/0000-0002-3088-9360</t>
        </is>
      </c>
      <c r="AH144" t="n">
        <v>30</v>
      </c>
      <c r="AI144" t="n">
        <v>1</v>
      </c>
      <c r="AJ144" t="n">
        <v>1</v>
      </c>
      <c r="AK144" t="n">
        <v>0</v>
      </c>
      <c r="AL144" t="n">
        <v>0</v>
      </c>
      <c r="AM144" t="inlineStr">
        <is>
          <t>MDPI</t>
        </is>
      </c>
      <c r="AN144" t="inlineStr">
        <is>
          <t>BASEL</t>
        </is>
      </c>
      <c r="AO144" t="inlineStr">
        <is>
          <t>ST ALBAN-ANLAGE 66, CH-4052 BASEL, SWITZERLAND</t>
        </is>
      </c>
      <c r="AQ144" t="inlineStr">
        <is>
          <t>2076-3298</t>
        </is>
      </c>
      <c r="AS144" t="inlineStr">
        <is>
          <t>ENVIRONMENTS</t>
        </is>
      </c>
      <c r="AT144" t="inlineStr">
        <is>
          <t>Environments</t>
        </is>
      </c>
      <c r="AU144" t="inlineStr">
        <is>
          <t>JUL</t>
        </is>
      </c>
      <c r="AV144" t="n">
        <v>2022</v>
      </c>
      <c r="AW144" t="n">
        <v>9</v>
      </c>
      <c r="AX144" t="n">
        <v>7</v>
      </c>
      <c r="BE144" t="n">
        <v>82</v>
      </c>
      <c r="BF144" t="inlineStr">
        <is>
          <t>10.3390/environments9070082</t>
        </is>
      </c>
      <c r="BG144">
        <f>HYPERLINK("http://dx.doi.org/10.3390/environments9070082","http://dx.doi.org/10.3390/environments9070082")</f>
        <v/>
      </c>
      <c r="BJ144" t="n">
        <v>14</v>
      </c>
      <c r="BK144" t="inlineStr">
        <is>
          <t>Environmental Sciences</t>
        </is>
      </c>
      <c r="BL144" t="inlineStr">
        <is>
          <t>Emerging Sources Citation Index (ESCI)</t>
        </is>
      </c>
      <c r="BM144" t="inlineStr">
        <is>
          <t>Environmental Sciences &amp; Ecology</t>
        </is>
      </c>
      <c r="BN144" t="inlineStr">
        <is>
          <t>3J1XM</t>
        </is>
      </c>
      <c r="BP144" t="inlineStr">
        <is>
          <t>gold</t>
        </is>
      </c>
      <c r="BS144" t="inlineStr">
        <is>
          <t>2023-10-26</t>
        </is>
      </c>
      <c r="BT144" t="inlineStr">
        <is>
          <t>WOS:000833195500001</t>
        </is>
      </c>
      <c r="BU144">
        <f>HYPERLINK("https%3A%2F%2Fwww.webofscience.com%2Fwos%2Fwoscc%2Ffull-record%2FWOS:000833195500001","View Full Record in Web of Science")</f>
        <v/>
      </c>
    </row>
    <row r="145">
      <c r="A145" t="inlineStr">
        <is>
          <t>J</t>
        </is>
      </c>
      <c r="B145" t="inlineStr">
        <is>
          <t>Lin, C; Liu, G; Müller, DB</t>
        </is>
      </c>
      <c r="F145" t="inlineStr">
        <is>
          <t>Lin, Chen; Liu, Gang; Muller, Daniel B.</t>
        </is>
      </c>
      <c r="J145" t="inlineStr">
        <is>
          <t>RESOURCES CONSERVATION AND RECYCLING</t>
        </is>
      </c>
      <c r="M145" t="inlineStr">
        <is>
          <t>English</t>
        </is>
      </c>
      <c r="N145" t="inlineStr">
        <is>
          <t>Article</t>
        </is>
      </c>
      <c r="T145" t="inlineStr">
        <is>
          <t>Characterizing the role of built environment stocks in human development and emission growth</t>
        </is>
      </c>
      <c r="U145" t="inlineStr">
        <is>
          <t>Built environment; Stocks; Infrastructure; Human development; Greenhouse gas emissions</t>
        </is>
      </c>
      <c r="V145" t="inlineStr">
        <is>
          <t>IN-USE STOCKS; ECONOMIC-GROWTH; CLIMATE-CHANGE; POLICY; STEEL</t>
        </is>
      </c>
      <c r="W145" t="inlineStr">
        <is>
          <t>The built environment stocks such as buildings and infrastructures are key to human development: they provide the fundamental physical settings that the provision of basic human needs such as food, shelter, and transport rely on, but also contribute to anthropogenic greenhouse gas (GHG) emissions throughout their construction, operation, and end-of-life management phases. These stocks usually exist in societies for relatively long time, from years to over a century, therefore their dynamics have long term impacts on human development and emission growth. Several recent studies, including the Fifth Assessment Report of the Intergovernmental Panel on Climate Change (IPCC), have discussed the lock-in effects of infrastructure stocks on emission pathways. However, there is still a lack of quantitative analysis and evidence to support this claim. Here, based on an empirical regression model and a new dataset that determines built environment stocks, we affirm the effect of built environment stock variable on CO2 emission by proving that considering built environment stock variable can eliminate the asymmetric effect of GDP per capita growth and decline on CO2 emission. These results quantitatively underline the role of built environment stocks in human development, future emission pathways, and relevant climate policy. (C) 2016 Elsevier B.V. All rights reserved.</t>
        </is>
      </c>
      <c r="X145" t="inlineStr">
        <is>
          <t>[Lin, Chen] Renmin Univ China, Sch Econ, Beijing 100872, Peoples R China; [Liu, Gang] Univ Southern Denmark, Dept Chem Engn Biotechnol &amp; Environm Technol, SDU Life Cycle Engn, DK-5230 Odense, Denmark; [Muller, Daniel B.] Norwegian Univ Sci &amp; Technol, Ind Ecol Programme, N-7491 Trondheim, Norway; [Muller, Daniel B.] Norwegian Univ Sci &amp; Technol, Dept Energy &amp; Proc Engn, N-7491 Trondheim, Norway</t>
        </is>
      </c>
      <c r="Y145" t="inlineStr">
        <is>
          <t>Renmin University of China; University of Southern Denmark; Norwegian University of Science &amp; Technology (NTNU); Norwegian University of Science &amp; Technology (NTNU)</t>
        </is>
      </c>
      <c r="Z145" t="inlineStr">
        <is>
          <t>Liu, G (corresponding author), Univ Southern Denmark, Dept Chem Engn Biotechnol &amp; Environm Technol, SDU Life Cycle Engn, DK-5230 Odense, Denmark.</t>
        </is>
      </c>
      <c r="AA145" t="inlineStr">
        <is>
          <t>gli@kbm.sdu.dk</t>
        </is>
      </c>
      <c r="AB145" t="inlineStr">
        <is>
          <t>Liu, Gang/J-3181-2013</t>
        </is>
      </c>
      <c r="AC145" t="inlineStr">
        <is>
          <t>Lin, Chen/0000-0003-0566-2874; Liu, Gang/0000-0002-7613-1985</t>
        </is>
      </c>
      <c r="AD145" t="inlineStr">
        <is>
          <t>National Social Science fund of China [14CJL035]; German Federal Ministry of Education and Research through the Decarbonisation project [01LL1111A]</t>
        </is>
      </c>
      <c r="AE145" t="inlineStr">
        <is>
          <t>National Social Science fund of China; German Federal Ministry of Education and Research through the Decarbonisation project</t>
        </is>
      </c>
      <c r="AF145" t="inlineStr">
        <is>
          <t>The work of C.L. was supported, in part, by the National Social Science fund of China (14CJL035). G.L. gratefully acknowledges funding from German Federal Ministry of Education and Research through the Decarbonisation project (01LL1111A) for his previous position at Norwegian University of Science and Technology, where most of the work in this manuscript has been completed.</t>
        </is>
      </c>
      <c r="AH145" t="n">
        <v>21</v>
      </c>
      <c r="AI145" t="n">
        <v>32</v>
      </c>
      <c r="AJ145" t="n">
        <v>34</v>
      </c>
      <c r="AK145" t="n">
        <v>3</v>
      </c>
      <c r="AL145" t="n">
        <v>39</v>
      </c>
      <c r="AM145" t="inlineStr">
        <is>
          <t>ELSEVIER</t>
        </is>
      </c>
      <c r="AN145" t="inlineStr">
        <is>
          <t>AMSTERDAM</t>
        </is>
      </c>
      <c r="AO145" t="inlineStr">
        <is>
          <t>RADARWEG 29, 1043 NX AMSTERDAM, NETHERLANDS</t>
        </is>
      </c>
      <c r="AP145" t="inlineStr">
        <is>
          <t>0921-3449</t>
        </is>
      </c>
      <c r="AQ145" t="inlineStr">
        <is>
          <t>1879-0658</t>
        </is>
      </c>
      <c r="AS145" t="inlineStr">
        <is>
          <t>RESOUR CONSERV RECY</t>
        </is>
      </c>
      <c r="AT145" t="inlineStr">
        <is>
          <t>Resour. Conserv. Recycl.</t>
        </is>
      </c>
      <c r="AU145" t="inlineStr">
        <is>
          <t>AUG</t>
        </is>
      </c>
      <c r="AV145" t="n">
        <v>2017</v>
      </c>
      <c r="AW145" t="n">
        <v>123</v>
      </c>
      <c r="BC145" t="n">
        <v>67</v>
      </c>
      <c r="BD145" t="n">
        <v>72</v>
      </c>
      <c r="BF145" t="inlineStr">
        <is>
          <t>10.1016/j.resconrec.2016.07.004</t>
        </is>
      </c>
      <c r="BG145">
        <f>HYPERLINK("http://dx.doi.org/10.1016/j.resconrec.2016.07.004","http://dx.doi.org/10.1016/j.resconrec.2016.07.004")</f>
        <v/>
      </c>
      <c r="BJ145" t="n">
        <v>6</v>
      </c>
      <c r="BK145" t="inlineStr">
        <is>
          <t>Engineering, Environmental; Environmental Sciences</t>
        </is>
      </c>
      <c r="BL145" t="inlineStr">
        <is>
          <t>Science Citation Index Expanded (SCI-EXPANDED); Social Science Citation Index (SSCI)</t>
        </is>
      </c>
      <c r="BM145" t="inlineStr">
        <is>
          <t>Engineering; Environmental Sciences &amp; Ecology</t>
        </is>
      </c>
      <c r="BN145" t="inlineStr">
        <is>
          <t>EY0GJ</t>
        </is>
      </c>
      <c r="BS145" t="inlineStr">
        <is>
          <t>2023-10-26</t>
        </is>
      </c>
      <c r="BT145" t="inlineStr">
        <is>
          <t>WOS:000403635900007</t>
        </is>
      </c>
      <c r="BU145">
        <f>HYPERLINK("https%3A%2F%2Fwww.webofscience.com%2Fwos%2Fwoscc%2Ffull-record%2FWOS:000403635900007","View Full Record in Web of Science")</f>
        <v/>
      </c>
    </row>
    <row r="146">
      <c r="A146" t="inlineStr">
        <is>
          <t>J</t>
        </is>
      </c>
      <c r="B146" t="inlineStr">
        <is>
          <t>Tan, SH; Cao, FX; Yang, JS</t>
        </is>
      </c>
      <c r="F146" t="inlineStr">
        <is>
          <t>Tan, Shaohua; Cao, Fengxiao; Yang, Jinsu</t>
        </is>
      </c>
      <c r="J146" t="inlineStr">
        <is>
          <t>INTERNATIONAL JOURNAL OF ENVIRONMENTAL RESEARCH AND PUBLIC HEALTH</t>
        </is>
      </c>
      <c r="M146" t="inlineStr">
        <is>
          <t>English</t>
        </is>
      </c>
      <c r="N146" t="inlineStr">
        <is>
          <t>Article</t>
        </is>
      </c>
      <c r="T146" t="inlineStr">
        <is>
          <t>The Study on Spatial Elements of Health-Supportive Environment in Residential Streets Promoting Residents' Walking Trips</t>
        </is>
      </c>
      <c r="U146" t="inlineStr">
        <is>
          <t>residential streets; health-supportive environment; residents' walking trips; spatial elements; spatiotemporal characteristics; health needs</t>
        </is>
      </c>
      <c r="V146" t="inlineStr">
        <is>
          <t>BODY-MASS INDEX; PHYSICAL-ACTIVITY; BUILT ENVIRONMENT; ACTIVE TRAVEL; LAND-USE; WALKABILITY; TRANSIT; AGE</t>
        </is>
      </c>
      <c r="W146" t="inlineStr">
        <is>
          <t>Residents' walking trips are a kind of natural motion that promotes health and wellbeing by modifying individual behavior. The purpose of this study was to evaluate the major influence of the spatial elements of a health-supportive environment on residents' walking trips. This study analyzes residents' walking trips' elements based on the spatiotemporal characteristics of walking trips, as well as the spatial elements of a health-supportive environment in residential streets based on residential health needs. To obtain the spatial elements that promote residents' walking trips and to build an ordered logistic regression model, two methods-a correlation analysis and a logistic regression analysis-were applied to analyze the elements of residents' walking trips as well as the spatial elements of a health-supportive environment in residential streets by means of SPSS software, using on-site survey results of ten residential streets and 2738 pieces of research data. The research showed that the nine kinds of spatial elements that significantly affect residents' walking trips are density of pedestrian access, density of bus routes, near-line rate of roadside buildings, average pedestrian access distance, square area within a 500 m walking distance, distance to the nearest garden, green shade ratio, density of street intersections, and the mixed proportion of differently aged residential buildings. In order to construct a spatial environment that promotes walking trips, it is necessary to improve the convenience of residents' walking trips, to increase the safety of roadside buildings and pedestrian access, to expand the comfort of getting out to the nature, and to enrich the diversity of different architectural styles and street density.</t>
        </is>
      </c>
      <c r="X146" t="inlineStr">
        <is>
          <t>[Tan, Shaohua; Cao, Fengxiao; Yang, Jinsu] Chongqing Univ, Sch Architecture &amp; Urban Planning, Chongqing 400030, Peoples R China</t>
        </is>
      </c>
      <c r="Y146" t="inlineStr">
        <is>
          <t>Chongqing University</t>
        </is>
      </c>
      <c r="Z146" t="inlineStr">
        <is>
          <t>Cao, FX (corresponding author), Chongqing Univ, Sch Architecture &amp; Urban Planning, Chongqing 400030, Peoples R China.</t>
        </is>
      </c>
      <c r="AA146" t="inlineStr">
        <is>
          <t>tsh@cqu.edu.cn; 20081502105@cqu.edu.cn; 20081502106@cqu.edu.cn</t>
        </is>
      </c>
      <c r="AB146" t="inlineStr">
        <is>
          <t>Cao, Fengxiao/HSE-6071-2023</t>
        </is>
      </c>
      <c r="AD146" t="inlineStr">
        <is>
          <t>National Natural Science Foundation of China [51278503]</t>
        </is>
      </c>
      <c r="AE146" t="inlineStr">
        <is>
          <t>National Natural Science Foundation of China(National Natural Science Foundation of China (NSFC))</t>
        </is>
      </c>
      <c r="AF146" t="inlineStr">
        <is>
          <t>This research was funded by the National Natural Science Foundation of China (No. 51278503).</t>
        </is>
      </c>
      <c r="AH146" t="n">
        <v>66</v>
      </c>
      <c r="AI146" t="n">
        <v>3</v>
      </c>
      <c r="AJ146" t="n">
        <v>3</v>
      </c>
      <c r="AK146" t="n">
        <v>7</v>
      </c>
      <c r="AL146" t="n">
        <v>43</v>
      </c>
      <c r="AM146" t="inlineStr">
        <is>
          <t>MDPI</t>
        </is>
      </c>
      <c r="AN146" t="inlineStr">
        <is>
          <t>BASEL</t>
        </is>
      </c>
      <c r="AO146" t="inlineStr">
        <is>
          <t>ST ALBAN-ANLAGE 66, CH-4052 BASEL, SWITZERLAND</t>
        </is>
      </c>
      <c r="AQ146" t="inlineStr">
        <is>
          <t>1660-4601</t>
        </is>
      </c>
      <c r="AS146" t="inlineStr">
        <is>
          <t>INT J ENV RES PUB HE</t>
        </is>
      </c>
      <c r="AT146" t="inlineStr">
        <is>
          <t>Int. J. Environ. Res. Public Health</t>
        </is>
      </c>
      <c r="AU146" t="inlineStr">
        <is>
          <t>JUL</t>
        </is>
      </c>
      <c r="AV146" t="n">
        <v>2020</v>
      </c>
      <c r="AW146" t="n">
        <v>17</v>
      </c>
      <c r="AX146" t="n">
        <v>14</v>
      </c>
      <c r="BE146" t="n">
        <v>5198</v>
      </c>
      <c r="BF146" t="inlineStr">
        <is>
          <t>10.3390/ijerph17145198</t>
        </is>
      </c>
      <c r="BG146">
        <f>HYPERLINK("http://dx.doi.org/10.3390/ijerph17145198","http://dx.doi.org/10.3390/ijerph17145198")</f>
        <v/>
      </c>
      <c r="BJ146" t="n">
        <v>29</v>
      </c>
      <c r="BK146" t="inlineStr">
        <is>
          <t>Environmental Sciences; Public, Environmental &amp; Occupational Health</t>
        </is>
      </c>
      <c r="BL146" t="inlineStr">
        <is>
          <t>Science Citation Index Expanded (SCI-EXPANDED); Social Science Citation Index (SSCI)</t>
        </is>
      </c>
      <c r="BM146" t="inlineStr">
        <is>
          <t>Environmental Sciences &amp; Ecology; Public, Environmental &amp; Occupational Health</t>
        </is>
      </c>
      <c r="BN146" t="inlineStr">
        <is>
          <t>MV7HH</t>
        </is>
      </c>
      <c r="BO146" t="n">
        <v>32708465</v>
      </c>
      <c r="BP146" t="inlineStr">
        <is>
          <t>Green Published, gold</t>
        </is>
      </c>
      <c r="BS146" t="inlineStr">
        <is>
          <t>2023-10-26</t>
        </is>
      </c>
      <c r="BT146" t="inlineStr">
        <is>
          <t>WOS:000556523600001</t>
        </is>
      </c>
      <c r="BU146">
        <f>HYPERLINK("https%3A%2F%2Fwww.webofscience.com%2Fwos%2Fwoscc%2Ffull-record%2FWOS:000556523600001","View Full Record in Web of Science")</f>
        <v/>
      </c>
    </row>
    <row r="147">
      <c r="A147" t="inlineStr">
        <is>
          <t>J</t>
        </is>
      </c>
      <c r="B147" t="inlineStr">
        <is>
          <t>Suziedelyte-Visockiene, J; Bagdziunaite, R; Malys, N; Maliene, V</t>
        </is>
      </c>
      <c r="F147" t="inlineStr">
        <is>
          <t>Suziedelyte-Visockiene, Jurate; Bagdziunaite, Renata; Malys, Naglis; Maliene, Vida</t>
        </is>
      </c>
      <c r="J147" t="inlineStr">
        <is>
          <t>ENVIRONMENTAL ENGINEERING AND MANAGEMENT JOURNAL</t>
        </is>
      </c>
      <c r="M147" t="inlineStr">
        <is>
          <t>English</t>
        </is>
      </c>
      <c r="N147" t="inlineStr">
        <is>
          <t>Article</t>
        </is>
      </c>
      <c r="T147" t="inlineStr">
        <is>
          <t>CLOSE-RANGE PHOTOGRAMMETRY ENABLES DOCUMENTATION OF ENVIRONMENT-INDUCED DEFORMATION OF ARCHITECTURAL HERITAGE</t>
        </is>
      </c>
      <c r="U147" t="inlineStr">
        <is>
          <t>close-range photogrammetry; heritage; surface and geometric deformations; ortho-photographic model; Uzutrakis manor</t>
        </is>
      </c>
      <c r="V147" t="inlineStr">
        <is>
          <t>DIGITAL PHOTOGRAMMETRY; PRESERVATION; METHODOLOGY; CALIBRATION; BUILDINGS; CAMERAS; SURFACE</t>
        </is>
      </c>
      <c r="W147" t="inlineStr">
        <is>
          <t>Deformation, damage and permanent loss of heritage assets due to various physical and environmental factors has always been a major problem. As the availability of funds for conservation and restoration is limited, the digital documentation of heritage objects and monitoring of environment-induced deformations are increasingly important for cultural heritage preservation. Our study elucidates developments in the digital image capturing and processing for recording architectural heritage objects focusing on the digital camera calibration, close-range imaging, and photogrammetric modelling of complex structures using image matching techniques. A particular consideration in this paper is given to the ortho-photographic image compiling and accuracy assessment procedure. The practicality of the methodology is demonstrated by applying photogrammetric system PhotoMod for documentation of decorative elements in Uzutrakis manor, a national heritage site in Trakai, Lithuania.</t>
        </is>
      </c>
      <c r="X147" t="inlineStr">
        <is>
          <t>[Suziedelyte-Visockiene, Jurate; Bagdziunaite, Renata] Vilnius Gediminas Tech Univ, Dept Geodesy &amp; Cadastre, LT-10223 Vilnius, Lithuania; [Malys, Naglis] Univ Warwick, Sch Life Sci, Coventry CV4 7AL, W Midlands, England; [Maliene, Vida] Liverpool John Moores Univ, Sch Built Environm, Liverpool L3 3AF, Merseyside, England; [Maliene, Vida] Aleksandras Stulginskis Univ, Fac Water &amp; Land Management, Inst Land Management &amp; Geomat, LT-53361 Kaunas, Lithuania</t>
        </is>
      </c>
      <c r="Y147" t="inlineStr">
        <is>
          <t>Vilnius Gediminas Technical University; University of Warwick; Liverpool John Moores University; Vytautas Magnus University</t>
        </is>
      </c>
      <c r="Z147" t="inlineStr">
        <is>
          <t>Maliene, V (corresponding author), Liverpool John Moores Univ, Sch Built Environm, Liverpool L3 3AF, Merseyside, England.</t>
        </is>
      </c>
      <c r="AA147" t="inlineStr">
        <is>
          <t>v.maliene@ljmu.ac.uk</t>
        </is>
      </c>
      <c r="AB147" t="inlineStr">
        <is>
          <t>Malys, Naglis/Y-6961-2018</t>
        </is>
      </c>
      <c r="AC147" t="inlineStr">
        <is>
          <t>Malys, Naglis/0000-0002-5010-310X; Suziedelyte Visockiene, Jurate/0000-0001-9764-8476</t>
        </is>
      </c>
      <c r="AD147" t="inlineStr">
        <is>
          <t>BBSRC [BB/E003192/1, BB/I008349/1]; BBSRC [BB/E003192/1, BB/I008349/1] Funding Source: UKRI</t>
        </is>
      </c>
      <c r="AE147" t="inlineStr">
        <is>
          <t>BBSRC(UK Research &amp; Innovation (UKRI)Biotechnology and Biological Sciences Research Council (BBSRC)); BBSRC(UK Research &amp; Innovation (UKRI)Biotechnology and Biological Sciences Research Council (BBSRC))</t>
        </is>
      </c>
      <c r="AF147" t="inlineStr">
        <is>
          <t>We thank Thomas Cook for reading the manuscript. NM gratefully acknowledges support from the BBSRC (research grants BB/E003192/1 and BB/I008349/1).</t>
        </is>
      </c>
      <c r="AH147" t="n">
        <v>70</v>
      </c>
      <c r="AI147" t="n">
        <v>20</v>
      </c>
      <c r="AJ147" t="n">
        <v>20</v>
      </c>
      <c r="AK147" t="n">
        <v>2</v>
      </c>
      <c r="AL147" t="n">
        <v>35</v>
      </c>
      <c r="AM147" t="inlineStr">
        <is>
          <t>GH ASACHI TECHNICAL UNIV IASI</t>
        </is>
      </c>
      <c r="AN147" t="inlineStr">
        <is>
          <t>IASI</t>
        </is>
      </c>
      <c r="AO147" t="inlineStr">
        <is>
          <t>71 MANGERON BLVD, IASI, 700050, ROMANIA</t>
        </is>
      </c>
      <c r="AP147" t="inlineStr">
        <is>
          <t>1582-9596</t>
        </is>
      </c>
      <c r="AQ147" t="inlineStr">
        <is>
          <t>1843-3707</t>
        </is>
      </c>
      <c r="AS147" t="inlineStr">
        <is>
          <t>ENVIRON ENG MANAG J</t>
        </is>
      </c>
      <c r="AT147" t="inlineStr">
        <is>
          <t>Environ. Eng. Manag. J.</t>
        </is>
      </c>
      <c r="AU147" t="inlineStr">
        <is>
          <t>JUN</t>
        </is>
      </c>
      <c r="AV147" t="n">
        <v>2015</v>
      </c>
      <c r="AW147" t="n">
        <v>14</v>
      </c>
      <c r="AX147" t="n">
        <v>6</v>
      </c>
      <c r="BC147" t="n">
        <v>1371</v>
      </c>
      <c r="BD147" t="n">
        <v>1381</v>
      </c>
      <c r="BJ147" t="n">
        <v>11</v>
      </c>
      <c r="BK147" t="inlineStr">
        <is>
          <t>Environmental Sciences</t>
        </is>
      </c>
      <c r="BL147" t="inlineStr">
        <is>
          <t>Science Citation Index Expanded (SCI-EXPANDED)</t>
        </is>
      </c>
      <c r="BM147" t="inlineStr">
        <is>
          <t>Environmental Sciences &amp; Ecology</t>
        </is>
      </c>
      <c r="BN147" t="inlineStr">
        <is>
          <t>CQ3KG</t>
        </is>
      </c>
      <c r="BS147" t="inlineStr">
        <is>
          <t>2023-10-26</t>
        </is>
      </c>
      <c r="BT147" t="inlineStr">
        <is>
          <t>WOS:000360500200016</t>
        </is>
      </c>
      <c r="BU147">
        <f>HYPERLINK("https%3A%2F%2Fwww.webofscience.com%2Fwos%2Fwoscc%2Ffull-record%2FWOS:000360500200016","View Full Record in Web of Science")</f>
        <v/>
      </c>
    </row>
    <row r="148">
      <c r="A148" t="inlineStr">
        <is>
          <t>J</t>
        </is>
      </c>
      <c r="B148" t="inlineStr">
        <is>
          <t>Delpino-Chamy, M; Albert, YP</t>
        </is>
      </c>
      <c r="F148" t="inlineStr">
        <is>
          <t>Delpino-Chamy, Montserrat; Perez Albert, Yolanda</t>
        </is>
      </c>
      <c r="J148" t="inlineStr">
        <is>
          <t>URBAN SCIENCE</t>
        </is>
      </c>
      <c r="M148" t="inlineStr">
        <is>
          <t>English</t>
        </is>
      </c>
      <c r="N148" t="inlineStr">
        <is>
          <t>Review</t>
        </is>
      </c>
      <c r="T148" t="inlineStr">
        <is>
          <t>Assessment of Citizens' Perception of the Built Environment throughout Digital Platforms: A Scoping Review</t>
        </is>
      </c>
      <c r="U148" t="inlineStr">
        <is>
          <t>built environment; perception; subjective assessment; scoping review; PPGIS</t>
        </is>
      </c>
      <c r="V148" t="inlineStr">
        <is>
          <t>PHYSICAL-ACTIVITY; SOCIAL SUSTAINABILITY; URBAN; TECHNOLOGY; COMMUNITY; QUALITY; PPGIS</t>
        </is>
      </c>
      <c r="W148" t="inlineStr">
        <is>
          <t>(1) Background: To assess the quality of the built environment, it is necessary to study both the physical components and the inhabitants' perceptions. However, since objective indicators are easily measurable, most studies have centered only on analyzing the physical dimensions of cities. Currently, the massification of information technology and the emergence of digital platforms are offering new participatory channels for studying citizens' perceptions of the built environment. (2) Objective: considering the scarcity of the theoretical and methodological approaches supporting this new research, the main objective of this article is centered on contributing to the field by developing a scoping review of the publications assessing the perception of the built environment through digital platforms and concluding with a conceptual framework to support future research. (3) Methods: to do so, 98 articles were reviewed and 21 of them were selected and studied in detail after applying a selection criteria identifying papers that analyzed the urban environment (Criteria 1), used participatory processes (Criteria 2), were developed with the support of digital platforms (Criteria 3), and were centered on the study urban places, therefore excluding mobility (Criteria 4), which was done in order to identify the main theoretical and methodological approaches used for studying perception in the built environment. (4) Results: The research identified Audit Tools and Perception Tools to study citizens' perceptions. Audit Tools are methodologically related to Systematic Social Observation (SSO). Perception Tools rely on transactional person-environment or Public Participation as the main theories, followed by Subjective Wellbeing (SWB), Physical Activity (PA), and Social Sustainability as fields where these studies are being applied. Participatory mapping is identified as a general methodology, considered the basic technical tool of Public Participation Geographic Information Systems (PPGIS). Place-based and Citizens Science are other methodologies supporting perception research. (5) Conclusions: Finally, the proposed framework for assessing the perception of the built environment supports the notion that, in order to study perception, both subjective and objective approaches are necessary. The subjective approach supports the study of the self-reported perceived environment while the objective approach is used to collect urban structure data so as to understand the socio-environmental context conditioning the experience.</t>
        </is>
      </c>
      <c r="X148" t="inlineStr">
        <is>
          <t>[Delpino-Chamy, Montserrat] Univ Concepcion, Dept Urbanismo, Conception 4070386, Chile; [Delpino-Chamy, Montserrat; Perez Albert, Yolanda] Univ Rovira &amp; Virgili, Dept Geog, Grp Recerca Anal Terr &amp; Estudis Turist GRATET, Tarragona 43480, Spain</t>
        </is>
      </c>
      <c r="Y148" t="inlineStr">
        <is>
          <t>Universidad de Concepcion; Universitat Rovira i Virgili</t>
        </is>
      </c>
      <c r="Z148" t="inlineStr">
        <is>
          <t>Delpino-Chamy, M (corresponding author), Univ Concepcion, Dept Urbanismo, Conception 4070386, Chile.;Delpino-Chamy, M (corresponding author), Univ Rovira &amp; Virgili, Dept Geog, Grp Recerca Anal Terr &amp; Estudis Turist GRATET, Tarragona 43480, Spain.</t>
        </is>
      </c>
      <c r="AA148" t="inlineStr">
        <is>
          <t>mdelpino@udec.cl; myolanda.perez@urv.cat</t>
        </is>
      </c>
      <c r="AB148" t="inlineStr">
        <is>
          <t>; Perez Albert, Yolanda/L-7170-2014</t>
        </is>
      </c>
      <c r="AC148" t="inlineStr">
        <is>
          <t>Delpino-Chamy, Montserrat/0000-0001-8607-6097; Perez Albert, Yolanda/0000-0003-1634-4986</t>
        </is>
      </c>
      <c r="AD148" t="inlineStr">
        <is>
          <t>MCIN/AEI [PID2020114363GB-I00]; Universidad de Concepcion, Vicerrectoria de Investigacion y Desarrollo [218.182.004-1.0IN]</t>
        </is>
      </c>
      <c r="AE148" t="inlineStr">
        <is>
          <t>MCIN/AEI; Universidad de Concepcion, Vicerrectoria de Investigacion y Desarrollo</t>
        </is>
      </c>
      <c r="AF148" t="inlineStr">
        <is>
          <t>This publication is part of the R+D+i project RESTAURA (contract number PID2020114363GB-I00) funded by MCIN/AEI/10.13039/501100011033/and Universidad de Concepcion, Vicerrectoria de Investigacion y Desarrollo, grant number 218.182.004-1.0IN.</t>
        </is>
      </c>
      <c r="AH148" t="n">
        <v>42</v>
      </c>
      <c r="AI148" t="n">
        <v>0</v>
      </c>
      <c r="AJ148" t="n">
        <v>0</v>
      </c>
      <c r="AK148" t="n">
        <v>7</v>
      </c>
      <c r="AL148" t="n">
        <v>13</v>
      </c>
      <c r="AM148" t="inlineStr">
        <is>
          <t>MDPI</t>
        </is>
      </c>
      <c r="AN148" t="inlineStr">
        <is>
          <t>BASEL</t>
        </is>
      </c>
      <c r="AO148" t="inlineStr">
        <is>
          <t>ST ALBAN-ANLAGE 66, CH-4052 BASEL, SWITZERLAND</t>
        </is>
      </c>
      <c r="AQ148" t="inlineStr">
        <is>
          <t>2413-8851</t>
        </is>
      </c>
      <c r="AS148" t="inlineStr">
        <is>
          <t>URBAN SCI</t>
        </is>
      </c>
      <c r="AT148" t="inlineStr">
        <is>
          <t>Urban Sci.</t>
        </is>
      </c>
      <c r="AU148" t="inlineStr">
        <is>
          <t>SEP</t>
        </is>
      </c>
      <c r="AV148" t="n">
        <v>2022</v>
      </c>
      <c r="AW148" t="n">
        <v>6</v>
      </c>
      <c r="AX148" t="n">
        <v>3</v>
      </c>
      <c r="BE148" t="n">
        <v>46</v>
      </c>
      <c r="BF148" t="inlineStr">
        <is>
          <t>10.3390/urbansci6030046</t>
        </is>
      </c>
      <c r="BG148">
        <f>HYPERLINK("http://dx.doi.org/10.3390/urbansci6030046","http://dx.doi.org/10.3390/urbansci6030046")</f>
        <v/>
      </c>
      <c r="BJ148" t="n">
        <v>20</v>
      </c>
      <c r="BK148" t="inlineStr">
        <is>
          <t>Environmental Sciences; Environmental Studies; Geography; Regional &amp; Urban Planning; Urban Studies</t>
        </is>
      </c>
      <c r="BL148" t="inlineStr">
        <is>
          <t>Emerging Sources Citation Index (ESCI)</t>
        </is>
      </c>
      <c r="BM148" t="inlineStr">
        <is>
          <t>Environmental Sciences &amp; Ecology; Geography; Public Administration; Urban Studies</t>
        </is>
      </c>
      <c r="BN148" t="inlineStr">
        <is>
          <t>4R7PI</t>
        </is>
      </c>
      <c r="BP148" t="inlineStr">
        <is>
          <t>gold</t>
        </is>
      </c>
      <c r="BS148" t="inlineStr">
        <is>
          <t>2023-10-26</t>
        </is>
      </c>
      <c r="BT148" t="inlineStr">
        <is>
          <t>WOS:000856950600001</t>
        </is>
      </c>
      <c r="BU148">
        <f>HYPERLINK("https%3A%2F%2Fwww.webofscience.com%2Fwos%2Fwoscc%2Ffull-record%2FWOS:000856950600001","View Full Record in Web of Science")</f>
        <v/>
      </c>
    </row>
    <row r="149">
      <c r="A149" t="inlineStr">
        <is>
          <t>J</t>
        </is>
      </c>
      <c r="B149" t="inlineStr">
        <is>
          <t>Jiang, JY; Xia, ZW; Sun, XD; Wang, XX; Luo, SX</t>
        </is>
      </c>
      <c r="F149" t="inlineStr">
        <is>
          <t>Jiang, Jiayi; Xia, Zhengwei; Sun, Xiaodi; Wang, Xuanxuan; Luo, Shixian</t>
        </is>
      </c>
      <c r="J149" t="inlineStr">
        <is>
          <t>INTERNATIONAL JOURNAL OF ENVIRONMENTAL RESEARCH AND PUBLIC HEALTH</t>
        </is>
      </c>
      <c r="M149" t="inlineStr">
        <is>
          <t>English</t>
        </is>
      </c>
      <c r="N149" t="inlineStr">
        <is>
          <t>Article</t>
        </is>
      </c>
      <c r="T149" t="inlineStr">
        <is>
          <t>Social Infrastructure and Street Networks as Critical Infrastructure for Aging Friendly Community Design: Mediating the Effect of Physical Activity</t>
        </is>
      </c>
      <c r="U149" t="inlineStr">
        <is>
          <t>older adults; physical activity; community social infrastructure; community street networks; age-friendly environment; healthy aging</t>
        </is>
      </c>
      <c r="V149" t="inlineStr">
        <is>
          <t>BUILT ENVIRONMENT; OLDER-PEOPLE; HEALTH; WALKING; AGE</t>
        </is>
      </c>
      <c r="W149" t="inlineStr">
        <is>
          <t>Establishing an age-friendly environment at the community level is essential for promoting healthy aging. This study focused on the relationship between older adults and the community environment through their levels of satisfaction within it. We measured their physical activity (PA) in the community environment and three variables of community-level satisfaction: community environment (SCE), community social infrastructure (SSI), and community street networks (SSN). We analyzed 108 older adult participants in Suzhou using mediation analysis and multiple linear regression to investigate the relationship between physical activity and the community environment. The results of the mediation effect model showed that SCE, SSI, and SSN all affected the physical functions of older adults via the total amount of physical activity (TPA); SSI and SSN affected older adults' physical functions by affecting the total duration of moderate-intensity physical activity (MPA) and vigorous-intensity physical activity (VPA). In addition, SSI and SSN are related to the types of community facilities, street space quality, and accessibility. Our study provides valuable insights into optimizing aging-friendly neighborhoods through moderate-to-vigorous-intensity PAs at both the facility and street space levels.</t>
        </is>
      </c>
      <c r="X149" t="inlineStr">
        <is>
          <t>[Jiang, Jiayi; Xia, Zhengwei; Sun, Xiaodi; Wang, Xuanxuan] Soochow Univ, Sch Architecture, 199 Ren Ai Rd,Suzhou Ind Pk, Suzhou 215123, Peoples R China; [Luo, Shixian] Chiba Univ, Dept Environm Sci &amp; Landscape Architecture, Grad Sch Hort, Matsudo Campus, Chiba 2718510, Japan</t>
        </is>
      </c>
      <c r="Y149" t="inlineStr">
        <is>
          <t>Soochow University - China; Chiba University</t>
        </is>
      </c>
      <c r="Z149" t="inlineStr">
        <is>
          <t>Xia, ZW (corresponding author), Soochow Univ, Sch Architecture, 199 Ren Ai Rd,Suzhou Ind Pk, Suzhou 215123, Peoples R China.</t>
        </is>
      </c>
      <c r="AA149" t="inlineStr">
        <is>
          <t>zwxia@suda.edu.cn</t>
        </is>
      </c>
      <c r="AB149" t="inlineStr">
        <is>
          <t>xia, zw/GRO-2949-2022; LUO, SHIXIAN/AAI-4032-2021; JIANG, Jiayi/GRF-4032-2022</t>
        </is>
      </c>
      <c r="AC149" t="inlineStr">
        <is>
          <t>LUO, SHIXIAN/0000-0003-3745-7023;</t>
        </is>
      </c>
      <c r="AD149" t="inlineStr">
        <is>
          <t>Natural Science Foundation of Jiangsu Province [BK20211315]; Jiangsu Funding Program for Excellent Postdoctoral Talent [2022ZB599]</t>
        </is>
      </c>
      <c r="AE149" t="inlineStr">
        <is>
          <t>Natural Science Foundation of Jiangsu Province(Natural Science Foundation of Jiangsu Province); Jiangsu Funding Program for Excellent Postdoctoral Talent</t>
        </is>
      </c>
      <c r="AF149" t="inlineStr">
        <is>
          <t>This research was funded by theNatural Science Foundation of Jiangsu Province (BK20211315) and Jiangsu Funding Program for Excellent Postdoctoral Talent (2022ZB599). The funding sources had no involvement in any stage of the research.</t>
        </is>
      </c>
      <c r="AH149" t="n">
        <v>64</v>
      </c>
      <c r="AI149" t="n">
        <v>0</v>
      </c>
      <c r="AJ149" t="n">
        <v>0</v>
      </c>
      <c r="AK149" t="n">
        <v>21</v>
      </c>
      <c r="AL149" t="n">
        <v>62</v>
      </c>
      <c r="AM149" t="inlineStr">
        <is>
          <t>MDPI</t>
        </is>
      </c>
      <c r="AN149" t="inlineStr">
        <is>
          <t>BASEL</t>
        </is>
      </c>
      <c r="AO149" t="inlineStr">
        <is>
          <t>ST ALBAN-ANLAGE 66, CH-4052 BASEL, SWITZERLAND</t>
        </is>
      </c>
      <c r="AQ149" t="inlineStr">
        <is>
          <t>1660-4601</t>
        </is>
      </c>
      <c r="AS149" t="inlineStr">
        <is>
          <t>INT J ENV RES PUB HE</t>
        </is>
      </c>
      <c r="AT149" t="inlineStr">
        <is>
          <t>Int. J. Environ. Res. Public Health</t>
        </is>
      </c>
      <c r="AU149" t="inlineStr">
        <is>
          <t>OCT</t>
        </is>
      </c>
      <c r="AV149" t="n">
        <v>2022</v>
      </c>
      <c r="AW149" t="n">
        <v>19</v>
      </c>
      <c r="AX149" t="n">
        <v>19</v>
      </c>
      <c r="BE149" t="n">
        <v>11842</v>
      </c>
      <c r="BF149" t="inlineStr">
        <is>
          <t>10.3390/ijerph191911842</t>
        </is>
      </c>
      <c r="BG149">
        <f>HYPERLINK("http://dx.doi.org/10.3390/ijerph191911842","http://dx.doi.org/10.3390/ijerph191911842")</f>
        <v/>
      </c>
      <c r="BJ149" t="n">
        <v>16</v>
      </c>
      <c r="BK149" t="inlineStr">
        <is>
          <t>Environmental Sciences; Public, Environmental &amp; Occupational Health</t>
        </is>
      </c>
      <c r="BL149" t="inlineStr">
        <is>
          <t>Science Citation Index Expanded (SCI-EXPANDED); Social Science Citation Index (SSCI)</t>
        </is>
      </c>
      <c r="BM149" t="inlineStr">
        <is>
          <t>Environmental Sciences &amp; Ecology; Public, Environmental &amp; Occupational Health</t>
        </is>
      </c>
      <c r="BN149" t="inlineStr">
        <is>
          <t>5G3FA</t>
        </is>
      </c>
      <c r="BO149" t="n">
        <v>36231144</v>
      </c>
      <c r="BP149" t="inlineStr">
        <is>
          <t>gold, Green Published</t>
        </is>
      </c>
      <c r="BS149" t="inlineStr">
        <is>
          <t>2023-10-26</t>
        </is>
      </c>
      <c r="BT149" t="inlineStr">
        <is>
          <t>WOS:000866886800001</t>
        </is>
      </c>
      <c r="BU149">
        <f>HYPERLINK("https%3A%2F%2Fwww.webofscience.com%2Fwos%2Fwoscc%2Ffull-record%2FWOS:000866886800001","View Full Record in Web of Science")</f>
        <v/>
      </c>
    </row>
    <row r="150">
      <c r="A150" t="inlineStr">
        <is>
          <t>J</t>
        </is>
      </c>
      <c r="B150" t="inlineStr">
        <is>
          <t>D'Amico, A; Pini, A; Zazzini, S; D'Alessandro, D; Leuzzi, G; Currà, E</t>
        </is>
      </c>
      <c r="F150" t="inlineStr">
        <is>
          <t>D'Amico, Alessandro; Pini, Agnese; Zazzini, Simone; D'Alessandro, Daniela; Leuzzi, Giovanni; Curra, Edoardo</t>
        </is>
      </c>
      <c r="J150" t="inlineStr">
        <is>
          <t>SUSTAINABILITY</t>
        </is>
      </c>
      <c r="M150" t="inlineStr">
        <is>
          <t>English</t>
        </is>
      </c>
      <c r="N150" t="inlineStr">
        <is>
          <t>Article</t>
        </is>
      </c>
      <c r="T150" t="inlineStr">
        <is>
          <t>Modelling VOC Emissions from Building Materials for Healthy Building Design</t>
        </is>
      </c>
      <c r="U150" t="inlineStr">
        <is>
          <t>design and health; materials; interior design; VOC; wellbeing; health; IAQ; box-model; CFD; building design</t>
        </is>
      </c>
      <c r="V150" t="inlineStr">
        <is>
          <t>INDOOR AIR-QUALITY; VOLATILE ORGANIC-COMPOUNDS; PERFORMANCE; INDICATORS</t>
        </is>
      </c>
      <c r="W150" t="inlineStr">
        <is>
          <t>The profound qualitative changes of indoor air and the progressive increase in the absolute number of pollutants, combined with the scientific awareness of the health impacts deriving from spending more than 90% of one's time inside confined spaces, have increased the attention onto the needs of well-being, hygiene, and the health of users. This scientific attention has produced studies and analyses useful for evidence-based insights into building performance. Among the main pollutants in the indoor environment, Volatile Organic Compounds (VOCs) play a central role, and the use of box-models using the mass balance approach and Computational Fluid Dynamics (CFD) models are now consolidated to study their concentrations in an indoor environment. This paper presents the use of both types of modelling for the prediction of the VOC concentration in the indoor environment and the proposal of a guide value for the Indoor Air Quality (IAQ)-oriented building design, specifically related to the indoor VOC concentration due to building materials. Methodologically, the topic is addressed through environmental sampling, the definition of the parameters necessary for the numerical models, the simulations with the box-model and the CFD, and the comparison between the results. They show a good correspondence between the modelling tools used, highlighting the central role of ventilation and allowing a discussion of the relationship between regulatory limits of emissivity of materials and Indoor Air Guide Values for the concentration of pollutants.</t>
        </is>
      </c>
      <c r="X150" t="inlineStr">
        <is>
          <t>[D'Amico, Alessandro; Pini, Agnese; Zazzini, Simone; D'Alessandro, Daniela; Leuzzi, Giovanni; Curra, Edoardo] Sapienza Univ Rome, Dept Civil Bldg &amp; Environm Engn, I-00184 Rome, Italy</t>
        </is>
      </c>
      <c r="Y150" t="inlineStr">
        <is>
          <t>Sapienza University Rome</t>
        </is>
      </c>
      <c r="Z150" t="inlineStr">
        <is>
          <t>D'Amico, A (corresponding author), Sapienza Univ Rome, Dept Civil Bldg &amp; Environm Engn, I-00184 Rome, Italy.</t>
        </is>
      </c>
      <c r="AA150" t="inlineStr">
        <is>
          <t>alessandro.damico@uniroma1.it; agnese.pini@uniroma1.it; simone.zazzini@uniroma1.it; daniela.dalessandro@uniroma1.it; giovanni.leuzzi@uniroma1.it; edoardo.curra@uniroma1.it</t>
        </is>
      </c>
      <c r="AB150" t="inlineStr">
        <is>
          <t>Curra, Edoardo/AAL-3111-2020; D'ALESSANDRO, DANIELA D./F-9529-2017; D'Amico, Alessandro/O-4674-2016</t>
        </is>
      </c>
      <c r="AC150" t="inlineStr">
        <is>
          <t>Curra, Edoardo/0000-0003-3242-0272; D'ALESSANDRO, DANIELA D./0000-0002-7980-2908; Leuzzi, Giovanni/0000-0003-3929-6737; Pini, Agnese/0000-0001-7993-9595; ZAZZINI, SIMONE/0000-0001-6612-8013; D'Amico, Alessandro/0000-0001-8518-1653</t>
        </is>
      </c>
      <c r="AD150" t="inlineStr">
        <is>
          <t>Lazio Region [G12783, B16C18001020007, A0128-2017-17209]</t>
        </is>
      </c>
      <c r="AE150" t="inlineStr">
        <is>
          <t>Lazio Region(Regione Lazio)</t>
        </is>
      </c>
      <c r="AF150" t="inlineStr">
        <is>
          <t>The research project is funded by the Lazio Region (Det. No. G12783 of 20/09/2017) POR FESR LAZIO 2014/2020-Integrated projects-Public notice 6 Creativity 2020 CUP Code B16C18001020007 No. prot. A0128-2017-17209. The research entitled BIM4H&amp;W: BIM for Health and Wellbeing is developed in partnership with effective collaboration between RI.EL.CO IMPIANTI S.R.L. and the University of Rome Sapienza, CRITEVAT-Reatine Research Center in Engineering for the Protection and Enhancement of the Environment.</t>
        </is>
      </c>
      <c r="AH150" t="n">
        <v>43</v>
      </c>
      <c r="AI150" t="n">
        <v>11</v>
      </c>
      <c r="AJ150" t="n">
        <v>11</v>
      </c>
      <c r="AK150" t="n">
        <v>3</v>
      </c>
      <c r="AL150" t="n">
        <v>23</v>
      </c>
      <c r="AM150" t="inlineStr">
        <is>
          <t>MDPI</t>
        </is>
      </c>
      <c r="AN150" t="inlineStr">
        <is>
          <t>BASEL</t>
        </is>
      </c>
      <c r="AO150" t="inlineStr">
        <is>
          <t>ST ALBAN-ANLAGE 66, CH-4052 BASEL, SWITZERLAND</t>
        </is>
      </c>
      <c r="AQ150" t="inlineStr">
        <is>
          <t>2071-1050</t>
        </is>
      </c>
      <c r="AS150" t="inlineStr">
        <is>
          <t>SUSTAINABILITY-BASEL</t>
        </is>
      </c>
      <c r="AT150" t="inlineStr">
        <is>
          <t>Sustainability</t>
        </is>
      </c>
      <c r="AU150" t="inlineStr">
        <is>
          <t>JAN</t>
        </is>
      </c>
      <c r="AV150" t="n">
        <v>2021</v>
      </c>
      <c r="AW150" t="n">
        <v>13</v>
      </c>
      <c r="AX150" t="n">
        <v>1</v>
      </c>
      <c r="BE150" t="n">
        <v>184</v>
      </c>
      <c r="BF150" t="inlineStr">
        <is>
          <t>10.3390/su13010184</t>
        </is>
      </c>
      <c r="BG150">
        <f>HYPERLINK("http://dx.doi.org/10.3390/su13010184","http://dx.doi.org/10.3390/su13010184")</f>
        <v/>
      </c>
      <c r="BJ150" t="n">
        <v>26</v>
      </c>
      <c r="BK150" t="inlineStr">
        <is>
          <t>Green &amp; Sustainable Science &amp; Technology; Environmental Sciences; Environmental Studies</t>
        </is>
      </c>
      <c r="BL150" t="inlineStr">
        <is>
          <t>Science Citation Index Expanded (SCI-EXPANDED); Social Science Citation Index (SSCI)</t>
        </is>
      </c>
      <c r="BM150" t="inlineStr">
        <is>
          <t>Science &amp; Technology - Other Topics; Environmental Sciences &amp; Ecology</t>
        </is>
      </c>
      <c r="BN150" t="inlineStr">
        <is>
          <t>PQ2DC</t>
        </is>
      </c>
      <c r="BP150" t="inlineStr">
        <is>
          <t>gold, Green Published</t>
        </is>
      </c>
      <c r="BS150" t="inlineStr">
        <is>
          <t>2023-10-26</t>
        </is>
      </c>
      <c r="BT150" t="inlineStr">
        <is>
          <t>WOS:000606359200001</t>
        </is>
      </c>
      <c r="BU150">
        <f>HYPERLINK("https%3A%2F%2Fwww.webofscience.com%2Fwos%2Fwoscc%2Ffull-record%2FWOS:000606359200001","View Full Record in Web of Science")</f>
        <v/>
      </c>
    </row>
    <row r="151">
      <c r="A151" t="inlineStr">
        <is>
          <t>J</t>
        </is>
      </c>
      <c r="B151" t="inlineStr">
        <is>
          <t>Kim, K; Buckley, TD; Burnette, D; Huang, J; Kim, S</t>
        </is>
      </c>
      <c r="F151" t="inlineStr">
        <is>
          <t>Kim, Kyeongmo; Buckley, Thomas D.; Burnette, Denise; Huang, Jin; Kim, Seon</t>
        </is>
      </c>
      <c r="J151" t="inlineStr">
        <is>
          <t>INTERNATIONAL JOURNAL OF ENVIRONMENTAL RESEARCH AND PUBLIC HEALTH</t>
        </is>
      </c>
      <c r="M151" t="inlineStr">
        <is>
          <t>English</t>
        </is>
      </c>
      <c r="N151" t="inlineStr">
        <is>
          <t>Article</t>
        </is>
      </c>
      <c r="T151" t="inlineStr">
        <is>
          <t>Age-Friendly Communities and Older Adults' Health in the United States</t>
        </is>
      </c>
      <c r="U151" t="inlineStr">
        <is>
          <t>age-friendly environments; age-friendly community; health; well-being; livability; physical environment; social environment</t>
        </is>
      </c>
      <c r="V151" t="inlineStr">
        <is>
          <t>SELF-RATED HEALTH; INITIATIVES; ASSOCIATION; ENVIRONMENT; DIFFERENCE; MORTALITY; SENSE</t>
        </is>
      </c>
      <c r="W151" t="inlineStr">
        <is>
          <t>As age-friendly community (AFC) initiatives grow, it will be essential to determine whether older adults who live in an AFC have better health than those who live in other environments. This study uses data from the 2017 AARP AFC Surveys and the AARP Livability Index to assess whether AFCs promote the health of older adults. We analyze data for 3027 adults aged 65 and older who reside in 262 zip code areas. Following AARP guidelines, we allocated the sample into two groups: an AFC group (livability score of 51+; n = 2364) and a non-AFC (score &lt;= 50, n = 663). The outcome variable was self-rated health (M = 3.5; SD = 1.1; range: 1-5). We used an inverse probability weighting approach to evaluate whether older adults who live in an AFC reported better self-rated health than those who live in a non-AFC. Findings showed that older adults who lived in an AFC had better self-rated health than those in a non-AFC (b = 0.08, p = 0.027). Compared to non-Hispanic Whites, Black and Hispanic older adults reported worse self-rated health. Inasmuch as living in an AFC can promote the well-being of older adults, policymakers and practitioners should continue to develop and sustain high-quality, accessible built and social environments.</t>
        </is>
      </c>
      <c r="X151" t="inlineStr">
        <is>
          <t>[Kim, Kyeongmo; Burnette, Denise; Kim, Seon] Virginia Commonwealth Univ, Sch Social Work, Richmond, VA 23284 USA; [Buckley, Thomas D.] Univ Pittsburgh, Sch Social Work, Dept Psychiat, Pittsburgh, PA 15260 USA; [Huang, Jin] St Louis Univ, Sch Social Work, St Louis, MO 63103 USA</t>
        </is>
      </c>
      <c r="Y151" t="inlineStr">
        <is>
          <t>Virginia Commonwealth University; Pennsylvania Commonwealth System of Higher Education (PCSHE); University of Pittsburgh; Saint Louis University</t>
        </is>
      </c>
      <c r="Z151" t="inlineStr">
        <is>
          <t>Kim, K (corresponding author), Virginia Commonwealth Univ, Sch Social Work, Richmond, VA 23284 USA.</t>
        </is>
      </c>
      <c r="AA151" t="inlineStr">
        <is>
          <t>kkim7@vcu.edu; tdb47@pitt.edu; jdburnette@vcu.edu; jin.huang@slu.edu; kims@vcu.edu</t>
        </is>
      </c>
      <c r="AC151" t="inlineStr">
        <is>
          <t>Burnette, Denise/0000-0003-3302-7317; Buckley, Thomas/0000-0002-0080-7838</t>
        </is>
      </c>
      <c r="AH151" t="n">
        <v>65</v>
      </c>
      <c r="AI151" t="n">
        <v>3</v>
      </c>
      <c r="AJ151" t="n">
        <v>3</v>
      </c>
      <c r="AK151" t="n">
        <v>4</v>
      </c>
      <c r="AL151" t="n">
        <v>12</v>
      </c>
      <c r="AM151" t="inlineStr">
        <is>
          <t>MDPI</t>
        </is>
      </c>
      <c r="AN151" t="inlineStr">
        <is>
          <t>BASEL</t>
        </is>
      </c>
      <c r="AO151" t="inlineStr">
        <is>
          <t>ST ALBAN-ANLAGE 66, CH-4052 BASEL, SWITZERLAND</t>
        </is>
      </c>
      <c r="AQ151" t="inlineStr">
        <is>
          <t>1660-4601</t>
        </is>
      </c>
      <c r="AS151" t="inlineStr">
        <is>
          <t>INT J ENV RES PUB HE</t>
        </is>
      </c>
      <c r="AT151" t="inlineStr">
        <is>
          <t>Int. J. Environ. Res. Public Health</t>
        </is>
      </c>
      <c r="AU151" t="inlineStr">
        <is>
          <t>AUG</t>
        </is>
      </c>
      <c r="AV151" t="n">
        <v>2022</v>
      </c>
      <c r="AW151" t="n">
        <v>19</v>
      </c>
      <c r="AX151" t="n">
        <v>15</v>
      </c>
      <c r="BE151" t="n">
        <v>9292</v>
      </c>
      <c r="BF151" t="inlineStr">
        <is>
          <t>10.3390/ijerph19159292</t>
        </is>
      </c>
      <c r="BG151">
        <f>HYPERLINK("http://dx.doi.org/10.3390/ijerph19159292","http://dx.doi.org/10.3390/ijerph19159292")</f>
        <v/>
      </c>
      <c r="BJ151" t="n">
        <v>12</v>
      </c>
      <c r="BK151" t="inlineStr">
        <is>
          <t>Environmental Sciences; Public, Environmental &amp; Occupational Health</t>
        </is>
      </c>
      <c r="BL151" t="inlineStr">
        <is>
          <t>Science Citation Index Expanded (SCI-EXPANDED); Social Science Citation Index (SSCI)</t>
        </is>
      </c>
      <c r="BM151" t="inlineStr">
        <is>
          <t>Environmental Sciences &amp; Ecology; Public, Environmental &amp; Occupational Health</t>
        </is>
      </c>
      <c r="BN151" t="inlineStr">
        <is>
          <t>3R4GA</t>
        </is>
      </c>
      <c r="BO151" t="n">
        <v>35954648</v>
      </c>
      <c r="BP151" t="inlineStr">
        <is>
          <t>Green Published, gold</t>
        </is>
      </c>
      <c r="BS151" t="inlineStr">
        <is>
          <t>2023-10-26</t>
        </is>
      </c>
      <c r="BT151" t="inlineStr">
        <is>
          <t>WOS:000838872200001</t>
        </is>
      </c>
      <c r="BU151">
        <f>HYPERLINK("https%3A%2F%2Fwww.webofscience.com%2Fwos%2Fwoscc%2Ffull-record%2FWOS:000838872200001","View Full Record in Web of Science")</f>
        <v/>
      </c>
    </row>
    <row r="152">
      <c r="A152" t="inlineStr">
        <is>
          <t>J</t>
        </is>
      </c>
      <c r="B152" t="inlineStr">
        <is>
          <t>La Fleur, L; Rohdin, P; Moshfegh, B</t>
        </is>
      </c>
      <c r="F152" t="inlineStr">
        <is>
          <t>La Fleur, Lina; Rohdin, Patrik; Moshfegh, Bahram</t>
        </is>
      </c>
      <c r="J152" t="inlineStr">
        <is>
          <t>SUSTAINABILITY</t>
        </is>
      </c>
      <c r="M152" t="inlineStr">
        <is>
          <t>English</t>
        </is>
      </c>
      <c r="N152" t="inlineStr">
        <is>
          <t>Article</t>
        </is>
      </c>
      <c r="T152" t="inlineStr">
        <is>
          <t>Energy Use and Perceived Indoor Environment in a Swedish Multifamily Building before and after Major Renovation</t>
        </is>
      </c>
      <c r="U152" t="inlineStr">
        <is>
          <t>renovation; indoor environment; thermal comfort; building energy simulation; energy use; multifamily buildings</t>
        </is>
      </c>
      <c r="V152" t="inlineStr">
        <is>
          <t>RESIDENTIAL BUILDINGS; SWEDEN; PERFORMANCE; EXPERIENCES; APARTMENT; CLIMATE</t>
        </is>
      </c>
      <c r="W152" t="inlineStr">
        <is>
          <t>Improved energy efficiency in the building sector is a central goal in the European Union and renovation of buildings can significantly improve both energy efficiency and indoor environment. This paper studies the perception of indoor environment, modelled indoor climate and heat demand in a building before and after major renovation. The building was constructed in 1961 and renovated in 2014. Insulation of the facade and attic and new windows reduced average U-value from 0.54 to 0.29 W/m(2).K. A supply and exhaust ventilation system with heat recovery replaced the old exhaust ventilation. Heat demand was reduced by 44% and maximum supplied heating power was reduced by 38.5%. An on-site questionnaire indicates that perceived thermal comfort improved after the renovation, and the predicted percentage dissatisfied is reduced from 23% to 14% during the heating season. Overall experience with indoor environment is improved. A sensitivity analysis indicates that there is a compromise between thermal comfort and energy use in relation to window solar heat gain, internal heat generation and indoor temperature set point. Higher heat gains, although reducing energy use, can cause problems with high indoor temperatures, and higher indoor temperature might increase thermal comfort during heating season but significantly increases energy use.</t>
        </is>
      </c>
      <c r="X152" t="inlineStr">
        <is>
          <t>[La Fleur, Lina; Rohdin, Patrik; Moshfegh, Bahram] Linkoping Univ, Dept Management &amp; Engn, Div Energy Syst, SE-58183 Linkoping, Sweden; [Moshfegh, Bahram] Univ Gavle, Dept Technol &amp; Environm, Div Bldg Energy &amp; Environm Technol, SE-80176 Gavle, Sweden</t>
        </is>
      </c>
      <c r="Y152" t="inlineStr">
        <is>
          <t>Linkoping University; University of Gavle</t>
        </is>
      </c>
      <c r="Z152" t="inlineStr">
        <is>
          <t>La Fleur, L (corresponding author), Linkoping Univ, Dept Management &amp; Engn, Div Energy Syst, SE-58183 Linkoping, Sweden.</t>
        </is>
      </c>
      <c r="AA152" t="inlineStr">
        <is>
          <t>lina.la.fleur@liu.se; patrik.rohdin@liu.se; bahram.moshfegh@liu.se</t>
        </is>
      </c>
      <c r="AB152" t="inlineStr">
        <is>
          <t>Moshfegh, Bahram/F-1828-2014</t>
        </is>
      </c>
      <c r="AC152" t="inlineStr">
        <is>
          <t>La Fleur, Lina/0000-0001-7450-8489</t>
        </is>
      </c>
      <c r="AD152" t="inlineStr">
        <is>
          <t>Swedish Research Council Formas</t>
        </is>
      </c>
      <c r="AE152" t="inlineStr">
        <is>
          <t>Swedish Research Council Formas(Swedish Research CouncilSwedish Research Council Formas)</t>
        </is>
      </c>
      <c r="AF152" t="inlineStr">
        <is>
          <t>This study has been financed by the Swedish Research Council Formas. The authors gratefully acknowledge the housing company Stangastaden in Linkoping, Sweden, for information about and access to the studied building.</t>
        </is>
      </c>
      <c r="AH152" t="n">
        <v>32</v>
      </c>
      <c r="AI152" t="n">
        <v>18</v>
      </c>
      <c r="AJ152" t="n">
        <v>18</v>
      </c>
      <c r="AK152" t="n">
        <v>5</v>
      </c>
      <c r="AL152" t="n">
        <v>19</v>
      </c>
      <c r="AM152" t="inlineStr">
        <is>
          <t>MDPI</t>
        </is>
      </c>
      <c r="AN152" t="inlineStr">
        <is>
          <t>BASEL</t>
        </is>
      </c>
      <c r="AO152" t="inlineStr">
        <is>
          <t>ST ALBAN-ANLAGE 66, CH-4052 BASEL, SWITZERLAND</t>
        </is>
      </c>
      <c r="AP152" t="inlineStr">
        <is>
          <t>2071-1050</t>
        </is>
      </c>
      <c r="AS152" t="inlineStr">
        <is>
          <t>SUSTAINABILITY-BASEL</t>
        </is>
      </c>
      <c r="AT152" t="inlineStr">
        <is>
          <t>Sustainability</t>
        </is>
      </c>
      <c r="AU152" t="inlineStr">
        <is>
          <t>MAR</t>
        </is>
      </c>
      <c r="AV152" t="n">
        <v>2018</v>
      </c>
      <c r="AW152" t="n">
        <v>10</v>
      </c>
      <c r="AX152" t="n">
        <v>3</v>
      </c>
      <c r="BE152" t="n">
        <v>766</v>
      </c>
      <c r="BF152" t="inlineStr">
        <is>
          <t>10.3390/su10030766</t>
        </is>
      </c>
      <c r="BG152">
        <f>HYPERLINK("http://dx.doi.org/10.3390/su10030766","http://dx.doi.org/10.3390/su10030766")</f>
        <v/>
      </c>
      <c r="BJ152" t="n">
        <v>20</v>
      </c>
      <c r="BK152" t="inlineStr">
        <is>
          <t>Green &amp; Sustainable Science &amp; Technology; Environmental Sciences; Environmental Studies</t>
        </is>
      </c>
      <c r="BL152" t="inlineStr">
        <is>
          <t>Science Citation Index Expanded (SCI-EXPANDED); Social Science Citation Index (SSCI)</t>
        </is>
      </c>
      <c r="BM152" t="inlineStr">
        <is>
          <t>Science &amp; Technology - Other Topics; Environmental Sciences &amp; Ecology</t>
        </is>
      </c>
      <c r="BN152" t="inlineStr">
        <is>
          <t>GA8DA</t>
        </is>
      </c>
      <c r="BP152" t="inlineStr">
        <is>
          <t>Green Published, Green Submitted, gold</t>
        </is>
      </c>
      <c r="BS152" t="inlineStr">
        <is>
          <t>2023-10-26</t>
        </is>
      </c>
      <c r="BT152" t="inlineStr">
        <is>
          <t>WOS:000428567100193</t>
        </is>
      </c>
      <c r="BU152">
        <f>HYPERLINK("https%3A%2F%2Fwww.webofscience.com%2Fwos%2Fwoscc%2Ffull-record%2FWOS:000428567100193","View Full Record in Web of Science")</f>
        <v/>
      </c>
    </row>
    <row r="153">
      <c r="A153" t="inlineStr">
        <is>
          <t>J</t>
        </is>
      </c>
      <c r="B153" t="inlineStr">
        <is>
          <t>Russo, M; Angelosanti, M; Bernardini, G; Severi, L; Quagliarini, E; Curra, E</t>
        </is>
      </c>
      <c r="F153" t="inlineStr">
        <is>
          <t>Russo, Martina; Angelosanti, Marco; Bernardini, Gabriele; Severi, Laura; Quagliarini, Enrico; Curra, Edoardo</t>
        </is>
      </c>
      <c r="J153" t="inlineStr">
        <is>
          <t>SUSTAINABILITY</t>
        </is>
      </c>
      <c r="M153" t="inlineStr">
        <is>
          <t>English</t>
        </is>
      </c>
      <c r="N153" t="inlineStr">
        <is>
          <t>Article</t>
        </is>
      </c>
      <c r="T153" t="inlineStr">
        <is>
          <t>Factors Influencing the Intrinsic Seismic Risk of Open Spaces in Existing Built Environments: A Systematic Review</t>
        </is>
      </c>
      <c r="U153" t="inlineStr">
        <is>
          <t>earthquake; seismic risk assessment; risk factors; built environment; open space</t>
        </is>
      </c>
      <c r="V153" t="inlineStr">
        <is>
          <t>TSUNAMI EVACUATION; URBAN MORPHOLOGY; RESILIENCE; BUILDINGS; CITY</t>
        </is>
      </c>
      <c r="W153" t="inlineStr">
        <is>
          <t>Open spaces (OSs), such as streets, squares, and green areas, in existing built environments (BEs) are key places in disaster risk management. The seismic risk in the OSs is strictly related to BE characteristics. Scientific literature mainly focuses on extrinsic factors affecting risk, which are related to BE elements on the OSs frontier (e.g., buildings) that could cause indirect effects on the OSs. Conversely, just a few risk assessment studies consider intrinsic factors, which are related to OS elements that could suffer direct effects. Moreover, synoptic studies on such factors are still missing. Through literature-based research, the paper identifies specific factors influencing seismic risk in the OSs, focusing notably on intrinsic vulnerability. The literature review methodology includes both a systematic review from Scopus databases and a traditional bibliographic search using snowball analysis. According to the final selected papers, risk factors are classified into five categories of OS characteristics: morpho-typology; physical; construction; use and users; and context. Statistical analysis of the categories' recurrence in the final papers firstly allows current literature gaps to be defined. The results also provide a preliminary OSs risk index weighting each category in terms of such recurrences, thus representing a first useful step to support non-expert stakeholders in a preliminary assessment of priorities to define the seismic risk of Oss.</t>
        </is>
      </c>
      <c r="X153" t="inlineStr">
        <is>
          <t>[Russo, Martina; Angelosanti, Marco; Severi, Laura; Curra, Edoardo] Sapienza Univ Roma, Dept Civil Bldg &amp; Environm Engn DICEA, I-00184 Rome, Italy; [Bernardini, Gabriele; Quagliarini, Enrico] Univ Politecn Marche, Dept Construct Civil Engn &amp; Architecture DICEA, I-60121 Ancona, Italy</t>
        </is>
      </c>
      <c r="Y153" t="inlineStr">
        <is>
          <t>Sapienza University Rome; Marche Polytechnic University</t>
        </is>
      </c>
      <c r="Z153" t="inlineStr">
        <is>
          <t>Angelosanti, M (corresponding author), Sapienza Univ Roma, Dept Civil Bldg &amp; Environm Engn DICEA, I-00184 Rome, Italy.</t>
        </is>
      </c>
      <c r="AA153" t="inlineStr">
        <is>
          <t>martina.russo@uniroma1.it; marco.angelosanti@uniroma1.it; g.bernardini@univpm.it; laura.severi@uniroma1.it; e.quagliarini@univpm.it; edoardo.curra@uniroma1.it</t>
        </is>
      </c>
      <c r="AB153" t="inlineStr">
        <is>
          <t>Curra, Edoardo/AAL-3111-2020; Russo, Martina/GPS-9939-2022; Angelosanti, Marco/ABD-8361-2021; Bernardini, Gabriele/S-6283-2017</t>
        </is>
      </c>
      <c r="AC153" t="inlineStr">
        <is>
          <t>Curra, Edoardo/0000-0003-3242-0272; Russo, Martina/0000-0001-9886-9086; Angelosanti, Marco/0000-0002-4357-1175; quagliarini, enrico/0000-0002-1091-8929; Bernardini, Gabriele/0000-0002-7381-4537</t>
        </is>
      </c>
      <c r="AD153" t="inlineStr">
        <is>
          <t>MIUR (the Italian Ministry of Education, University, and Research) Project BE S2ECURe-(make) Built Environment Safer in Slow and Emergency Conditions through behavioUral assessed/designed REsilient solutions [2017LR75XK]</t>
        </is>
      </c>
      <c r="AE153" t="inlineStr">
        <is>
          <t>MIUR (the Italian Ministry of Education, University, and Research) Project BE S2ECURe-(make) Built Environment Safer in Slow and Emergency Conditions through behavioUral assessed/designed REsilient solutions</t>
        </is>
      </c>
      <c r="AF153" t="inlineStr">
        <is>
          <t>This research was funded by the MIUR (the Italian Ministry of Education, University, and Research) Project BE S2ECURe-(make) Built Environment Safer in Slow and Emergency Conditions through behavioUral assessed/designed REsilient solutions (Grant number: 2017LR75XK).</t>
        </is>
      </c>
      <c r="AH153" t="n">
        <v>67</v>
      </c>
      <c r="AI153" t="n">
        <v>2</v>
      </c>
      <c r="AJ153" t="n">
        <v>2</v>
      </c>
      <c r="AK153" t="n">
        <v>3</v>
      </c>
      <c r="AL153" t="n">
        <v>10</v>
      </c>
      <c r="AM153" t="inlineStr">
        <is>
          <t>MDPI</t>
        </is>
      </c>
      <c r="AN153" t="inlineStr">
        <is>
          <t>BASEL</t>
        </is>
      </c>
      <c r="AO153" t="inlineStr">
        <is>
          <t>ST ALBAN-ANLAGE 66, CH-4052 BASEL, SWITZERLAND</t>
        </is>
      </c>
      <c r="AQ153" t="inlineStr">
        <is>
          <t>2071-1050</t>
        </is>
      </c>
      <c r="AS153" t="inlineStr">
        <is>
          <t>SUSTAINABILITY-BASEL</t>
        </is>
      </c>
      <c r="AT153" t="inlineStr">
        <is>
          <t>Sustainability</t>
        </is>
      </c>
      <c r="AU153" t="inlineStr">
        <is>
          <t>JAN</t>
        </is>
      </c>
      <c r="AV153" t="n">
        <v>2022</v>
      </c>
      <c r="AW153" t="n">
        <v>14</v>
      </c>
      <c r="AX153" t="n">
        <v>1</v>
      </c>
      <c r="BE153" t="n">
        <v>42</v>
      </c>
      <c r="BF153" t="inlineStr">
        <is>
          <t>10.3390/su14010042</t>
        </is>
      </c>
      <c r="BG153">
        <f>HYPERLINK("http://dx.doi.org/10.3390/su14010042","http://dx.doi.org/10.3390/su14010042")</f>
        <v/>
      </c>
      <c r="BJ153" t="n">
        <v>25</v>
      </c>
      <c r="BK153" t="inlineStr">
        <is>
          <t>Green &amp; Sustainable Science &amp; Technology; Environmental Sciences; Environmental Studies</t>
        </is>
      </c>
      <c r="BL153" t="inlineStr">
        <is>
          <t>Science Citation Index Expanded (SCI-EXPANDED); Social Science Citation Index (SSCI)</t>
        </is>
      </c>
      <c r="BM153" t="inlineStr">
        <is>
          <t>Science &amp; Technology - Other Topics; Environmental Sciences &amp; Ecology</t>
        </is>
      </c>
      <c r="BN153" t="inlineStr">
        <is>
          <t>YT5FF</t>
        </is>
      </c>
      <c r="BP153" t="inlineStr">
        <is>
          <t>Green Published, gold</t>
        </is>
      </c>
      <c r="BS153" t="inlineStr">
        <is>
          <t>2023-10-26</t>
        </is>
      </c>
      <c r="BT153" t="inlineStr">
        <is>
          <t>WOS:000751384900001</t>
        </is>
      </c>
      <c r="BU153">
        <f>HYPERLINK("https%3A%2F%2Fwww.webofscience.com%2Fwos%2Fwoscc%2Ffull-record%2FWOS:000751384900001","View Full Record in Web of Science")</f>
        <v/>
      </c>
    </row>
    <row r="154">
      <c r="A154" t="inlineStr">
        <is>
          <t>J</t>
        </is>
      </c>
      <c r="B154" t="inlineStr">
        <is>
          <t>Dai, DJ; Prussin, AJ; Marr, LC; Vikesland, PJ; Edwards, MA; Pruden, A</t>
        </is>
      </c>
      <c r="F154" t="inlineStr">
        <is>
          <t>Dai, Dongjuan; Prussin, Aaron J., II; Marr, Linsey C.; Vikesland, Peter J.; Edwards, Marc A.; Pruden, Amy</t>
        </is>
      </c>
      <c r="J154" t="inlineStr">
        <is>
          <t>ENVIRONMENTAL SCIENCE &amp; TECHNOLOGY</t>
        </is>
      </c>
      <c r="M154" t="inlineStr">
        <is>
          <t>English</t>
        </is>
      </c>
      <c r="N154" t="inlineStr">
        <is>
          <t>Review</t>
        </is>
      </c>
      <c r="T154" t="inlineStr">
        <is>
          <t>Factors Shaping the Human Exposome in the Built Environment: Opportunities for Engineering Control</t>
        </is>
      </c>
      <c r="V154" t="inlineStr">
        <is>
          <t>VOLATILE ORGANIC-COMPOUNDS; CHLORINATION BY-PRODUCTS; IN-HOUSE DUST; HEALTH-RISK ASSESSMENT; DRINKING-WATER SOURCE; FREE-LIVING AMEBAS; LEGIONELLA-PNEUMOPHILA; INDOOR-AIR; GUT MICROBIOME; ANTIBIOTIC-RESISTANCE</t>
        </is>
      </c>
      <c r="W154" t="inlineStr">
        <is>
          <t>The exposome is a term describing the summation of one's lifetime exposure to microbes and chemicals. Such exposures are now recognized as major drivers of Human health and disease. Because humans spend similar to 90% of their time indoors, the built environment exposome merits particular attention. Herein we utilize an engineering perspective to advance understanding of the factors that shape the built environment exposome and its influence on human wellness and disease, while simultaneously informing development of a framework for intentionally controlling the exposome to protect public health. Historically, engineers have been focused on controlling chemical and physical contaminants and on eradicating microbes; however, there is a growing awareness of the role of beneficial microbes. Here we consider the potential to selectively control the materials and chemistry of the built environment to positively influence the microbial and chemical components of the indoor exposome. Finally, we discuss research gaps that must be addressed to enable intentional engineering design, including the need to define a healthy built environment exposome and how to control it.</t>
        </is>
      </c>
      <c r="X154" t="inlineStr">
        <is>
          <t>[Dai, Dongjuan; Prussin, Aaron J., II; Marr, Linsey C.; Vikesland, Peter J.; Edwards, Marc A.; Pruden, Amy] Virginia Polytech Inst &amp; State Univ, Via Dept Civil &amp; Environm Engn, Blacksburg, VA 24061 USA</t>
        </is>
      </c>
      <c r="Y154" t="inlineStr">
        <is>
          <t>Virginia Polytechnic Institute &amp; State University</t>
        </is>
      </c>
      <c r="Z154" t="inlineStr">
        <is>
          <t>Marr, LC; Vikesland, PJ; Edwards, MA; Pruden, A (corresponding author), Virginia Polytech Inst &amp; State Univ, Via Dept Civil &amp; Environm Engn, Blacksburg, VA 24061 USA.</t>
        </is>
      </c>
      <c r="AA154" t="inlineStr">
        <is>
          <t>lmarr@vt.edu; pvikes@vt.edu; edwardsm@vt.edu; apruden@vt.edu</t>
        </is>
      </c>
      <c r="AB154" t="inlineStr">
        <is>
          <t>Edwards, Marc/J-3557-2012; Prussin, Aaron J/U-4434-2017; Marr, Linsey/C-9698-2010; Vikesland, Peter/B-3960-2013</t>
        </is>
      </c>
      <c r="AC154" t="inlineStr">
        <is>
          <t>Edwards, Marc/0000-0002-1889-1193; Prussin, Aaron J/0000-0002-9991-8537; Marr, Linsey/0000-0003-3628-6891; Vikesland, Peter/0000-0003-2654-5132</t>
        </is>
      </c>
      <c r="AD154" t="inlineStr">
        <is>
          <t>Virginia Tech Institute for Critical Technology and Applied Science (ICTAS) Center for Science and Engineering of the Exposome (SEE) and the Alfred P. Sloan Foundation Microbiology of the Built Environment (MoBE) program</t>
        </is>
      </c>
      <c r="AE154" t="inlineStr">
        <is>
          <t>Virginia Tech Institute for Critical Technology and Applied Science (ICTAS) Center for Science and Engineering of the Exposome (SEE) and the Alfred P. Sloan Foundation Microbiology of the Built Environment (MoBE) program</t>
        </is>
      </c>
      <c r="AF154" t="inlineStr">
        <is>
          <t>This work was supported by the Virginia Tech Institute for Critical Technology and Applied Science (ICTAS) Center for Science and Engineering of the Exposome (SEE) and the Alfred P. Sloan Foundation Microbiology of the Built Environment (MoBE) program.</t>
        </is>
      </c>
      <c r="AH154" t="n">
        <v>237</v>
      </c>
      <c r="AI154" t="n">
        <v>62</v>
      </c>
      <c r="AJ154" t="n">
        <v>63</v>
      </c>
      <c r="AK154" t="n">
        <v>4</v>
      </c>
      <c r="AL154" t="n">
        <v>97</v>
      </c>
      <c r="AM154" t="inlineStr">
        <is>
          <t>AMER CHEMICAL SOC</t>
        </is>
      </c>
      <c r="AN154" t="inlineStr">
        <is>
          <t>WASHINGTON</t>
        </is>
      </c>
      <c r="AO154" t="inlineStr">
        <is>
          <t>1155 16TH ST, NW, WASHINGTON, DC 20036 USA</t>
        </is>
      </c>
      <c r="AP154" t="inlineStr">
        <is>
          <t>0013-936X</t>
        </is>
      </c>
      <c r="AQ154" t="inlineStr">
        <is>
          <t>1520-5851</t>
        </is>
      </c>
      <c r="AS154" t="inlineStr">
        <is>
          <t>ENVIRON SCI TECHNOL</t>
        </is>
      </c>
      <c r="AT154" t="inlineStr">
        <is>
          <t>Environ. Sci. Technol.</t>
        </is>
      </c>
      <c r="AU154" t="inlineStr">
        <is>
          <t>JUL 18</t>
        </is>
      </c>
      <c r="AV154" t="n">
        <v>2017</v>
      </c>
      <c r="AW154" t="n">
        <v>51</v>
      </c>
      <c r="AX154" t="n">
        <v>14</v>
      </c>
      <c r="BC154" t="n">
        <v>7759</v>
      </c>
      <c r="BD154" t="n">
        <v>7774</v>
      </c>
      <c r="BF154" t="inlineStr">
        <is>
          <t>10.1021/acs.est.7b01097</t>
        </is>
      </c>
      <c r="BG154">
        <f>HYPERLINK("http://dx.doi.org/10.1021/acs.est.7b01097","http://dx.doi.org/10.1021/acs.est.7b01097")</f>
        <v/>
      </c>
      <c r="BJ154" t="n">
        <v>16</v>
      </c>
      <c r="BK154" t="inlineStr">
        <is>
          <t>Engineering, Environmental; Environmental Sciences</t>
        </is>
      </c>
      <c r="BL154" t="inlineStr">
        <is>
          <t>Science Citation Index Expanded (SCI-EXPANDED)</t>
        </is>
      </c>
      <c r="BM154" t="inlineStr">
        <is>
          <t>Engineering; Environmental Sciences &amp; Ecology</t>
        </is>
      </c>
      <c r="BN154" t="inlineStr">
        <is>
          <t>FB4BI</t>
        </is>
      </c>
      <c r="BO154" t="n">
        <v>28677960</v>
      </c>
      <c r="BP154" t="inlineStr">
        <is>
          <t>hybrid</t>
        </is>
      </c>
      <c r="BS154" t="inlineStr">
        <is>
          <t>2023-10-26</t>
        </is>
      </c>
      <c r="BT154" t="inlineStr">
        <is>
          <t>WOS:000406086100003</t>
        </is>
      </c>
      <c r="BU154">
        <f>HYPERLINK("https%3A%2F%2Fwww.webofscience.com%2Fwos%2Fwoscc%2Ffull-record%2FWOS:000406086100003","View Full Record in Web of Science")</f>
        <v/>
      </c>
    </row>
    <row r="155">
      <c r="A155" t="inlineStr">
        <is>
          <t>J</t>
        </is>
      </c>
      <c r="B155" t="inlineStr">
        <is>
          <t>Ahn, Y; Won, J</t>
        </is>
      </c>
      <c r="F155" t="inlineStr">
        <is>
          <t>Ahn, Yongjin; Won, Jongho</t>
        </is>
      </c>
      <c r="J155" t="inlineStr">
        <is>
          <t>SUSTAINABILITY</t>
        </is>
      </c>
      <c r="M155" t="inlineStr">
        <is>
          <t>English</t>
        </is>
      </c>
      <c r="N155" t="inlineStr">
        <is>
          <t>Article</t>
        </is>
      </c>
      <c r="T155" t="inlineStr">
        <is>
          <t>Built Environment and Outdoor Leisure Activity under the Individual Time Budgets</t>
        </is>
      </c>
      <c r="U155" t="inlineStr">
        <is>
          <t>built environment; outdoor leisure activity; time-constrains; park area; path-analysis</t>
        </is>
      </c>
      <c r="V155" t="inlineStr">
        <is>
          <t>PHYSICAL-ACTIVITY; TRAVEL DEMAND; LIFE-STYLE; URBAN FORM; HEALTH; TRANSPORTATION; WALKING; NEIGHBORHOOD; PREVENTION; DENSITY</t>
        </is>
      </c>
      <c r="W155" t="inlineStr">
        <is>
          <t>Previous studies highlight the role of walkable neighborhoods in improving the health status of residents, hypothesizing that there is a strong relationship between the built environment and individual physical activity. However, unlike theoretical prediction, the evidence is less established that residents in inner cities engage in more physical activity than residents in suburban areas. To address this gap between theoretical prediction and empirical evidence in physical activity studies, this paper investigates the links between the built environment and outdoor leisure activities under the individual time constraint. We conducted path analysis, employing the samples of Los Angeles County in NHTS (National Household Travel Survey, 2008-2009). Empirical results revealed that individual time constraints have a significant negative effect on leisure time spent in outdoors, but the influence was marginal. Surprisingly, the access to local resource (e.g., park area) still matters even after time constraints are controlled for. Regarding the effects of other covariates, safety (perceived), attitude, and disability showed the largest association with outdoor leisure activities amongst the independent variables with the expected sign. Based on these results, this study not only confirms that the lack of time plays a role as a barrier of the outdoor leisure activity, but also proves that park area can be considered as a facilitator. However, the behavioral decision for outdoor leisure activities is about more than time constraints and the built environment since the effects of both are much smaller than other key covariates.</t>
        </is>
      </c>
      <c r="X155" t="inlineStr">
        <is>
          <t>[Ahn, Yongjin] Seoul Natl Univ Sci &amp; Technol, Sch Architecture, Seoul 01811, South Korea; [Won, Jongho] Brown Univ, Populat Studies &amp; Training Ctr, 306 Maxcy Hall,108 George St Providence, Providence, RI 02912 USA</t>
        </is>
      </c>
      <c r="Y155" t="inlineStr">
        <is>
          <t>Seoul National University of Science &amp; Technology; Brown University</t>
        </is>
      </c>
      <c r="Z155" t="inlineStr">
        <is>
          <t>Won, J (corresponding author), Brown Univ, Populat Studies &amp; Training Ctr, 306 Maxcy Hall,108 George St Providence, Providence, RI 02912 USA.</t>
        </is>
      </c>
      <c r="AA155" t="inlineStr">
        <is>
          <t>jongho_won@brown.edu</t>
        </is>
      </c>
      <c r="AD155" t="inlineStr">
        <is>
          <t>Seoul National University of Science and Technology [2021-1122]</t>
        </is>
      </c>
      <c r="AE155" t="inlineStr">
        <is>
          <t>Seoul National University of Science and Technology</t>
        </is>
      </c>
      <c r="AF155" t="inlineStr">
        <is>
          <t>This research was funded by Seoul National University of Science and Technology (grant number: 2021-1122).</t>
        </is>
      </c>
      <c r="AH155" t="n">
        <v>58</v>
      </c>
      <c r="AI155" t="n">
        <v>0</v>
      </c>
      <c r="AJ155" t="n">
        <v>0</v>
      </c>
      <c r="AK155" t="n">
        <v>9</v>
      </c>
      <c r="AL155" t="n">
        <v>21</v>
      </c>
      <c r="AM155" t="inlineStr">
        <is>
          <t>MDPI</t>
        </is>
      </c>
      <c r="AN155" t="inlineStr">
        <is>
          <t>BASEL</t>
        </is>
      </c>
      <c r="AO155" t="inlineStr">
        <is>
          <t>ST ALBAN-ANLAGE 66, CH-4052 BASEL, SWITZERLAND</t>
        </is>
      </c>
      <c r="AQ155" t="inlineStr">
        <is>
          <t>2071-1050</t>
        </is>
      </c>
      <c r="AS155" t="inlineStr">
        <is>
          <t>SUSTAINABILITY-BASEL</t>
        </is>
      </c>
      <c r="AT155" t="inlineStr">
        <is>
          <t>Sustainability</t>
        </is>
      </c>
      <c r="AU155" t="inlineStr">
        <is>
          <t>SEP</t>
        </is>
      </c>
      <c r="AV155" t="n">
        <v>2022</v>
      </c>
      <c r="AW155" t="n">
        <v>14</v>
      </c>
      <c r="AX155" t="n">
        <v>18</v>
      </c>
      <c r="BE155" t="n">
        <v>11151</v>
      </c>
      <c r="BF155" t="inlineStr">
        <is>
          <t>10.3390/su141811151</t>
        </is>
      </c>
      <c r="BG155">
        <f>HYPERLINK("http://dx.doi.org/10.3390/su141811151","http://dx.doi.org/10.3390/su141811151")</f>
        <v/>
      </c>
      <c r="BJ155" t="n">
        <v>14</v>
      </c>
      <c r="BK155" t="inlineStr">
        <is>
          <t>Green &amp; Sustainable Science &amp; Technology; Environmental Sciences; Environmental Studies</t>
        </is>
      </c>
      <c r="BL155" t="inlineStr">
        <is>
          <t>Science Citation Index Expanded (SCI-EXPANDED); Social Science Citation Index (SSCI)</t>
        </is>
      </c>
      <c r="BM155" t="inlineStr">
        <is>
          <t>Science &amp; Technology - Other Topics; Environmental Sciences &amp; Ecology</t>
        </is>
      </c>
      <c r="BN155" t="inlineStr">
        <is>
          <t>4S9MY</t>
        </is>
      </c>
      <c r="BP155" t="inlineStr">
        <is>
          <t>gold</t>
        </is>
      </c>
      <c r="BS155" t="inlineStr">
        <is>
          <t>2023-10-26</t>
        </is>
      </c>
      <c r="BT155" t="inlineStr">
        <is>
          <t>WOS:000857756700001</t>
        </is>
      </c>
      <c r="BU155">
        <f>HYPERLINK("https%3A%2F%2Fwww.webofscience.com%2Fwos%2Fwoscc%2Ffull-record%2FWOS:000857756700001","View Full Record in Web of Science")</f>
        <v/>
      </c>
    </row>
    <row r="156">
      <c r="A156" t="inlineStr">
        <is>
          <t>J</t>
        </is>
      </c>
      <c r="B156" t="inlineStr">
        <is>
          <t>Feng, JX</t>
        </is>
      </c>
      <c r="F156" t="inlineStr">
        <is>
          <t>Feng, Jianxi</t>
        </is>
      </c>
      <c r="J156" t="inlineStr">
        <is>
          <t>INTERNATIONAL JOURNAL OF ENVIRONMENTAL RESEARCH AND PUBLIC HEALTH</t>
        </is>
      </c>
      <c r="M156" t="inlineStr">
        <is>
          <t>English</t>
        </is>
      </c>
      <c r="N156" t="inlineStr">
        <is>
          <t>Article</t>
        </is>
      </c>
      <c r="T156" t="inlineStr">
        <is>
          <t>The Built Environment and Active Travel: Evidence from Nanjing, China</t>
        </is>
      </c>
      <c r="U156" t="inlineStr">
        <is>
          <t>health; China; built environment; mobility; active travel</t>
        </is>
      </c>
      <c r="V156" t="inlineStr">
        <is>
          <t>PHYSICAL-ACTIVITY; MODE CHOICE; TRIP GENERATION; URBAN; WALKING; TRANSPORTATION; PEOPLE</t>
        </is>
      </c>
      <c r="W156" t="inlineStr">
        <is>
          <t>Background: An established relationship exists between the built environment and active travel. Nevertheless, the literature examining the impacts of different components of the built environment is limited. In addition, most existing studies are based on data from cities in the U.S. and Western Europe. The situation in Chinese cities remains largely unknown. Based on data from Nanjing, China, this study explicitly examines the influences of two components of the built environment-the neighborhood form and street form-on residents' active travel. Methods: Binary logistic regression analyses examined the effects of the neighborhood form and street form on subsistence, maintenance and discretionary travel, respectively. For each travel purpose, three models are explored: a model with only socio-demographics, a model with variables of the neighborhood form and a complete model with all variables. Results: The model fit indicator, Nagelkerke's rho(2), increased by 0.024 when neighborhood form variables are included and increased by 0.070 when street form variables are taken into account. A similar situation can be found in the models of maintenance activities and discretionary activities. Regarding specific variables, very limited significant impacts of the neighborhood form variables are observed, while almost all of the characteristics of the street form show significant influences on active transport. Conclusions: In Nanjing, street form factors have a more profound influence on active travel than neighborhood form factors. The focal point of the land use regulations and policy of local governments should shift from the neighborhood form to the street form to maximize the effects of policy interventions.</t>
        </is>
      </c>
      <c r="X156" t="inlineStr">
        <is>
          <t>[Feng, Jianxi] Nanjing Univ, Sch Architecture &amp; Urban Planning, Dept Urban Planning &amp; Design, Hankou Rd 22, Nanjing 210093, Jiangsu, Peoples R China</t>
        </is>
      </c>
      <c r="Y156" t="inlineStr">
        <is>
          <t>Nanjing University</t>
        </is>
      </c>
      <c r="Z156" t="inlineStr">
        <is>
          <t>Feng, JX (corresponding author), Nanjing Univ, Sch Architecture &amp; Urban Planning, Dept Urban Planning &amp; Design, Hankou Rd 22, Nanjing 210093, Jiangsu, Peoples R China.</t>
        </is>
      </c>
      <c r="AA156" t="inlineStr">
        <is>
          <t>jxfup@nju.edu.cn</t>
        </is>
      </c>
      <c r="AD156" t="inlineStr">
        <is>
          <t>National Natural Science Foundation of China [41401150]; Ministry of Housing and Urban-Rural Development of the People's Republic of China [2015-R2-008]</t>
        </is>
      </c>
      <c r="AE156" t="inlineStr">
        <is>
          <t>National Natural Science Foundation of China(National Natural Science Foundation of China (NSFC)); Ministry of Housing and Urban-Rural Development of the People's Republic of China</t>
        </is>
      </c>
      <c r="AF156" t="inlineStr">
        <is>
          <t>This research was supported by the National Natural Science Foundation of China (41401150) and the Research Grant of Ministry of Housing and Urban-Rural Development of the People's Republic of China (2015-R2-008).</t>
        </is>
      </c>
      <c r="AH156" t="n">
        <v>34</v>
      </c>
      <c r="AI156" t="n">
        <v>16</v>
      </c>
      <c r="AJ156" t="n">
        <v>19</v>
      </c>
      <c r="AK156" t="n">
        <v>6</v>
      </c>
      <c r="AL156" t="n">
        <v>49</v>
      </c>
      <c r="AM156" t="inlineStr">
        <is>
          <t>MDPI</t>
        </is>
      </c>
      <c r="AN156" t="inlineStr">
        <is>
          <t>BASEL</t>
        </is>
      </c>
      <c r="AO156" t="inlineStr">
        <is>
          <t>ST ALBAN-ANLAGE 66, CH-4052 BASEL, SWITZERLAND</t>
        </is>
      </c>
      <c r="AQ156" t="inlineStr">
        <is>
          <t>1660-4601</t>
        </is>
      </c>
      <c r="AS156" t="inlineStr">
        <is>
          <t>INT J ENV RES PUB HE</t>
        </is>
      </c>
      <c r="AT156" t="inlineStr">
        <is>
          <t>Int. J. Environ. Res. Public Health</t>
        </is>
      </c>
      <c r="AU156" t="inlineStr">
        <is>
          <t>MAR</t>
        </is>
      </c>
      <c r="AV156" t="n">
        <v>2016</v>
      </c>
      <c r="AW156" t="n">
        <v>13</v>
      </c>
      <c r="AX156" t="n">
        <v>3</v>
      </c>
      <c r="BF156" t="inlineStr">
        <is>
          <t>10.3390/ijerph13030301</t>
        </is>
      </c>
      <c r="BG156">
        <f>HYPERLINK("http://dx.doi.org/10.3390/ijerph13030301","http://dx.doi.org/10.3390/ijerph13030301")</f>
        <v/>
      </c>
      <c r="BJ156" t="n">
        <v>14</v>
      </c>
      <c r="BK156" t="inlineStr">
        <is>
          <t>Environmental Sciences; Public, Environmental &amp; Occupational Health</t>
        </is>
      </c>
      <c r="BL156" t="inlineStr">
        <is>
          <t>Science Citation Index Expanded (SCI-EXPANDED); Social Science Citation Index (SSCI)</t>
        </is>
      </c>
      <c r="BM156" t="inlineStr">
        <is>
          <t>Environmental Sciences &amp; Ecology; Public, Environmental &amp; Occupational Health</t>
        </is>
      </c>
      <c r="BN156" t="inlineStr">
        <is>
          <t>DI5HD</t>
        </is>
      </c>
      <c r="BO156" t="n">
        <v>27005645</v>
      </c>
      <c r="BP156" t="inlineStr">
        <is>
          <t>gold, Green Submitted, Green Published</t>
        </is>
      </c>
      <c r="BS156" t="inlineStr">
        <is>
          <t>2023-10-26</t>
        </is>
      </c>
      <c r="BT156" t="inlineStr">
        <is>
          <t>WOS:000373528600062</t>
        </is>
      </c>
      <c r="BU156">
        <f>HYPERLINK("https%3A%2F%2Fwww.webofscience.com%2Fwos%2Fwoscc%2Ffull-record%2FWOS:000373528600062","View Full Record in Web of Science")</f>
        <v/>
      </c>
    </row>
    <row r="157">
      <c r="A157" t="inlineStr">
        <is>
          <t>J</t>
        </is>
      </c>
      <c r="B157" t="inlineStr">
        <is>
          <t>Wong, MYC; Ou, KL; Zhang, CQ; Zhang, R</t>
        </is>
      </c>
      <c r="F157" t="inlineStr">
        <is>
          <t>Wong, Ming Yu Claudia; Ou, Kailing; Zhang, Chun-Qing; Zhang, Ru</t>
        </is>
      </c>
      <c r="J157" t="inlineStr">
        <is>
          <t>INTERNATIONAL JOURNAL OF ENVIRONMENTAL RESEARCH AND PUBLIC HEALTH</t>
        </is>
      </c>
      <c r="M157" t="inlineStr">
        <is>
          <t>English</t>
        </is>
      </c>
      <c r="N157" t="inlineStr">
        <is>
          <t>Article</t>
        </is>
      </c>
      <c r="T157" t="inlineStr">
        <is>
          <t>Neighborhood Built and Social Environment Influences on Lifestyle Behaviors among College Students in a High-Density City: A Photovoice Study</t>
        </is>
      </c>
      <c r="U157" t="inlineStr">
        <is>
          <t>physical activity; photovoice; eating habits; active transportation; physical environment</t>
        </is>
      </c>
      <c r="V157" t="inlineStr">
        <is>
          <t>PHYSICAL-ACTIVITY; FOOD CHOICE; HEALTH; UNIVERSITY; NUTRITION</t>
        </is>
      </c>
      <c r="W157" t="inlineStr">
        <is>
          <t>Based on the social ecological approach, a photovoice study was conducted to explore how neighborhood built and social environments facilitate or hinder college students' lifestyle behaviors, including physical activity, active transportation, and dietary behavior. A total of 37 college students took photos about neighborhood built and social environments that may affect their physical activity, dietary behavior, and active transportation, and shared their perceptions about how neighborhood built and social environments influence their lifestyle behaviors. Our findings demonstrated that the availability and accessibility of services, school facilities, and home facilities affected physical activity and dietary behaviors among college students. Moreover, the well-developed transportation facilities and networks benefit college students' active transportation. Environments-based interventions are recommended in future research to better understand the associations between neighborhood built and social environments and lifestyle behaviors in college students.</t>
        </is>
      </c>
      <c r="X157" t="inlineStr">
        <is>
          <t>[Wong, Ming Yu Claudia] Educ Univ Hong Kong, Dept Hlth &amp; Phys Educ, Hong Kong, Peoples R China; [Ou, Kailing] Hong Kong Baptist Univ, Dept Sport Phys Educ &amp; Hlth, Hong Kong, Peoples R China; [Zhang, Chun-Qing] Sun Yat Sen Univ, Dept Psychol, Guangzhou 510006, Peoples R China; [Zhang, Ru] South China Normal Univ, Sch Phys Educ &amp; Sports Sci, Guangzhou 510006, Peoples R China</t>
        </is>
      </c>
      <c r="Y157" t="inlineStr">
        <is>
          <t>Education University of Hong Kong (EdUHK); Hong Kong Baptist University; Sun Yat Sen University; South China Normal University</t>
        </is>
      </c>
      <c r="Z157" t="inlineStr">
        <is>
          <t>Zhang, R (corresponding author), South China Normal Univ, Sch Phys Educ &amp; Sports Sci, Guangzhou 510006, Peoples R China.</t>
        </is>
      </c>
      <c r="AA157" t="inlineStr">
        <is>
          <t>ruzhang@m.scnu.edu.cn</t>
        </is>
      </c>
      <c r="AB157" t="inlineStr">
        <is>
          <t>Zhang, Chun-Qing/AAC-5508-2019</t>
        </is>
      </c>
      <c r="AC157" t="inlineStr">
        <is>
          <t>Zhang, Chun-Qing/0000-0002-0683-4570; Ou, Kai-ling/0000-0003-2853-5202; WONG, Ming Yu Claudia/0000-0001-8390-8898</t>
        </is>
      </c>
      <c r="AD157" t="inlineStr">
        <is>
          <t>Faculty Research Grant, Hong Kong Baptist University, Hong Kong; [FRG1/17-18/031]</t>
        </is>
      </c>
      <c r="AE157" t="inlineStr">
        <is>
          <t>Faculty Research Grant, Hong Kong Baptist University, Hong Kong;</t>
        </is>
      </c>
      <c r="AF157" t="inlineStr">
        <is>
          <t>This work was supported by the Faculty Research Grant, Hong Kong Baptist University, Hong Kong [No. FRG1/17-18/031].</t>
        </is>
      </c>
      <c r="AH157" t="n">
        <v>57</v>
      </c>
      <c r="AI157" t="n">
        <v>1</v>
      </c>
      <c r="AJ157" t="n">
        <v>1</v>
      </c>
      <c r="AK157" t="n">
        <v>12</v>
      </c>
      <c r="AL157" t="n">
        <v>24</v>
      </c>
      <c r="AM157" t="inlineStr">
        <is>
          <t>MDPI</t>
        </is>
      </c>
      <c r="AN157" t="inlineStr">
        <is>
          <t>BASEL</t>
        </is>
      </c>
      <c r="AO157" t="inlineStr">
        <is>
          <t>ST ALBAN-ANLAGE 66, CH-4052 BASEL, SWITZERLAND</t>
        </is>
      </c>
      <c r="AQ157" t="inlineStr">
        <is>
          <t>1660-4601</t>
        </is>
      </c>
      <c r="AS157" t="inlineStr">
        <is>
          <t>INT J ENV RES PUB HE</t>
        </is>
      </c>
      <c r="AT157" t="inlineStr">
        <is>
          <t>Int. J. Environ. Res. Public Health</t>
        </is>
      </c>
      <c r="AU157" t="inlineStr">
        <is>
          <t>DEC</t>
        </is>
      </c>
      <c r="AV157" t="n">
        <v>2022</v>
      </c>
      <c r="AW157" t="n">
        <v>19</v>
      </c>
      <c r="AX157" t="n">
        <v>24</v>
      </c>
      <c r="BE157" t="n">
        <v>16558</v>
      </c>
      <c r="BF157" t="inlineStr">
        <is>
          <t>10.3390/ijerph192416558</t>
        </is>
      </c>
      <c r="BG157">
        <f>HYPERLINK("http://dx.doi.org/10.3390/ijerph192416558","http://dx.doi.org/10.3390/ijerph192416558")</f>
        <v/>
      </c>
      <c r="BJ157" t="n">
        <v>21</v>
      </c>
      <c r="BK157" t="inlineStr">
        <is>
          <t>Environmental Sciences; Public, Environmental &amp; Occupational Health</t>
        </is>
      </c>
      <c r="BL157" t="inlineStr">
        <is>
          <t>Science Citation Index Expanded (SCI-EXPANDED); Social Science Citation Index (SSCI)</t>
        </is>
      </c>
      <c r="BM157" t="inlineStr">
        <is>
          <t>Environmental Sciences &amp; Ecology; Public, Environmental &amp; Occupational Health</t>
        </is>
      </c>
      <c r="BN157" t="inlineStr">
        <is>
          <t>7E7EC</t>
        </is>
      </c>
      <c r="BO157" t="n">
        <v>36554437</v>
      </c>
      <c r="BP157" t="inlineStr">
        <is>
          <t>Green Published, gold</t>
        </is>
      </c>
      <c r="BS157" t="inlineStr">
        <is>
          <t>2023-10-26</t>
        </is>
      </c>
      <c r="BT157" t="inlineStr">
        <is>
          <t>WOS:000901325300001</t>
        </is>
      </c>
      <c r="BU157">
        <f>HYPERLINK("https%3A%2F%2Fwww.webofscience.com%2Fwos%2Fwoscc%2Ffull-record%2FWOS:000901325300001","View Full Record in Web of Science")</f>
        <v/>
      </c>
    </row>
    <row r="158">
      <c r="A158" t="inlineStr">
        <is>
          <t>J</t>
        </is>
      </c>
      <c r="B158" t="inlineStr">
        <is>
          <t>Trofimova, P; Cheshmehzangi, A; Deng, W; Hancock, C</t>
        </is>
      </c>
      <c r="F158" t="inlineStr">
        <is>
          <t>Trofimova, Polina; Cheshmehzangi, Ali; Deng, Wu; Hancock, Craig</t>
        </is>
      </c>
      <c r="J158" t="inlineStr">
        <is>
          <t>SUSTAINABILITY</t>
        </is>
      </c>
      <c r="M158" t="inlineStr">
        <is>
          <t>English</t>
        </is>
      </c>
      <c r="N158" t="inlineStr">
        <is>
          <t>Article</t>
        </is>
      </c>
      <c r="T158" t="inlineStr">
        <is>
          <t>Post-Occupancy Evaluation of Indoor Air Quality and Thermal Performance in a Zero Carbon Building</t>
        </is>
      </c>
      <c r="U158" t="inlineStr">
        <is>
          <t>IEQ; sustainable building; indoor environment; health</t>
        </is>
      </c>
      <c r="W158" t="inlineStr">
        <is>
          <t>Maintaining a comfortable indoor environment throughout the year makes up the main part of energy consumption caused by people's use of buildings. In recent years, China has started to integrate sustainable technologies into green building design and construction. However, some post-occupancy reports on certified buildings revealed that such integration has been perceived to prioritize energy savings over comfort. This paper aims to investigate the ability of the first Chinese zero carbon building to maintain comfortable and healthy indoor conditions in the summer season. The research implements a combination of occupant survey and on-site measurements to evaluate the occupants' perception of the indoor environment quality (IEQ) and benchmark the measurements against relevant standards. The results from this study show that the mean summer indoor temperature was 0.9 degrees C above the standard limit, while on average, occupants gave a positive score to the indoor thermal environment. High contentment with the building acoustics was reported by users and supported by sensors measurements meeting the standard values. The illuminance levels were mainly maintained high with the exception of the light in one of the studied zones. Analyzing the data on occupants experiencing sick building syndromes revealed that 45.8% of respondents experienced at least one of the symptoms.</t>
        </is>
      </c>
      <c r="X158" t="inlineStr">
        <is>
          <t>[Trofimova, Polina; Cheshmehzangi, Ali; Deng, Wu] Univ Nottingham Ningbo China, Dept Architecture &amp; Built Environm, Ningbo 315100, Peoples R China; [Cheshmehzangi, Ali] Hiroshima Univ, Network Educ &amp; Res Peace &amp; Sustainabil NERPS, Hiroshima 7398530, Japan; [Hancock, Craig] Loughborough Univ, Sch Architecture Bldg &amp; Civil Engn, Loughborough LE11 3TU, Leics, England</t>
        </is>
      </c>
      <c r="Y158" t="inlineStr">
        <is>
          <t>University of Nottingham Ningbo China; Hiroshima University; Loughborough University</t>
        </is>
      </c>
      <c r="Z158" t="inlineStr">
        <is>
          <t>Cheshmehzangi, A (corresponding author), Univ Nottingham Ningbo China, Dept Architecture &amp; Built Environm, Ningbo 315100, Peoples R China.;Cheshmehzangi, A (corresponding author), Hiroshima Univ, Network Educ &amp; Res Peace &amp; Sustainabil NERPS, Hiroshima 7398530, Japan.</t>
        </is>
      </c>
      <c r="AA158" t="inlineStr">
        <is>
          <t>Polina.Trofimova@nottingham.edu.cn; Ali.Cheshmehzangi@nottingham.edu.cn; Wu.Deng@nottingham.edu.cn; c.m.hancock@lboro.ac.uk</t>
        </is>
      </c>
      <c r="AC158" t="inlineStr">
        <is>
          <t>Deng, Wu/0000-0003-4747-0344</t>
        </is>
      </c>
      <c r="AD158" t="inlineStr">
        <is>
          <t>National Natural Science Foundation of China (NSFC) [71950410760]; Ningbo Natural Science Funding Scheme [2019A610393]</t>
        </is>
      </c>
      <c r="AE158" t="inlineStr">
        <is>
          <t>National Natural Science Foundation of China (NSFC)(National Natural Science Foundation of China (NSFC)); Ningbo Natural Science Funding Scheme</t>
        </is>
      </c>
      <c r="AF158" t="inlineStr">
        <is>
          <t>The research is sponsored by the National Natural Science Foundation of China (NSFC), for funding project number 71950410760. We also thank the Ningbo Natural Science Funding Scheme (Project code: 2019A610393).</t>
        </is>
      </c>
      <c r="AH158" t="n">
        <v>80</v>
      </c>
      <c r="AI158" t="n">
        <v>12</v>
      </c>
      <c r="AJ158" t="n">
        <v>12</v>
      </c>
      <c r="AK158" t="n">
        <v>3</v>
      </c>
      <c r="AL158" t="n">
        <v>32</v>
      </c>
      <c r="AM158" t="inlineStr">
        <is>
          <t>MDPI</t>
        </is>
      </c>
      <c r="AN158" t="inlineStr">
        <is>
          <t>BASEL</t>
        </is>
      </c>
      <c r="AO158" t="inlineStr">
        <is>
          <t>ST ALBAN-ANLAGE 66, CH-4052 BASEL, SWITZERLAND</t>
        </is>
      </c>
      <c r="AQ158" t="inlineStr">
        <is>
          <t>2071-1050</t>
        </is>
      </c>
      <c r="AS158" t="inlineStr">
        <is>
          <t>SUSTAINABILITY-BASEL</t>
        </is>
      </c>
      <c r="AT158" t="inlineStr">
        <is>
          <t>Sustainability</t>
        </is>
      </c>
      <c r="AU158" t="inlineStr">
        <is>
          <t>JAN</t>
        </is>
      </c>
      <c r="AV158" t="n">
        <v>2021</v>
      </c>
      <c r="AW158" t="n">
        <v>13</v>
      </c>
      <c r="AX158" t="n">
        <v>2</v>
      </c>
      <c r="BE158" t="n">
        <v>667</v>
      </c>
      <c r="BF158" t="inlineStr">
        <is>
          <t>10.3390/su13020667</t>
        </is>
      </c>
      <c r="BG158">
        <f>HYPERLINK("http://dx.doi.org/10.3390/su13020667","http://dx.doi.org/10.3390/su13020667")</f>
        <v/>
      </c>
      <c r="BJ158" t="n">
        <v>21</v>
      </c>
      <c r="BK158" t="inlineStr">
        <is>
          <t>Green &amp; Sustainable Science &amp; Technology; Environmental Sciences; Environmental Studies</t>
        </is>
      </c>
      <c r="BL158" t="inlineStr">
        <is>
          <t>Science Citation Index Expanded (SCI-EXPANDED); Social Science Citation Index (SSCI)</t>
        </is>
      </c>
      <c r="BM158" t="inlineStr">
        <is>
          <t>Science &amp; Technology - Other Topics; Environmental Sciences &amp; Ecology</t>
        </is>
      </c>
      <c r="BN158" t="inlineStr">
        <is>
          <t>PY5LM</t>
        </is>
      </c>
      <c r="BP158" t="inlineStr">
        <is>
          <t>Green Accepted, gold, Green Published</t>
        </is>
      </c>
      <c r="BS158" t="inlineStr">
        <is>
          <t>2023-10-26</t>
        </is>
      </c>
      <c r="BT158" t="inlineStr">
        <is>
          <t>WOS:000612085500001</t>
        </is>
      </c>
      <c r="BU158">
        <f>HYPERLINK("https%3A%2F%2Fwww.webofscience.com%2Fwos%2Fwoscc%2Ffull-record%2FWOS:000612085500001","View Full Record in Web of Science")</f>
        <v/>
      </c>
    </row>
    <row r="159">
      <c r="A159" t="inlineStr">
        <is>
          <t>J</t>
        </is>
      </c>
      <c r="B159" t="inlineStr">
        <is>
          <t>Ortegon-Sanchez, A; McEachan, RRC; Albert, A; Cartwright, C; Christie, N; Dhanani, A; Islam, S; Ucci, M; Vaughan, L</t>
        </is>
      </c>
      <c r="F159" t="inlineStr">
        <is>
          <t>Ortegon-Sanchez, Adriana; McEachan, Rosemary R. C.; Albert, Alexandra; Cartwright, Chris; Christie, Nicola; Dhanani, Ashley; Islam, Shahid; Ucci, Marcella; Vaughan, Laura</t>
        </is>
      </c>
      <c r="J159" t="inlineStr">
        <is>
          <t>INTERNATIONAL JOURNAL OF ENVIRONMENTAL RESEARCH AND PUBLIC HEALTH</t>
        </is>
      </c>
      <c r="M159" t="inlineStr">
        <is>
          <t>English</t>
        </is>
      </c>
      <c r="N159" t="inlineStr">
        <is>
          <t>Review</t>
        </is>
      </c>
      <c r="T159" t="inlineStr">
        <is>
          <t>Measuring the Built Environment in Studies of Child Health-A Meta-Narrative Review of Associations</t>
        </is>
      </c>
      <c r="U159" t="inlineStr">
        <is>
          <t>built environment; streets; children; meta-narrative review; non-communicable diseases; health outcomes</t>
        </is>
      </c>
      <c r="V159" t="inlineStr">
        <is>
          <t>ACTIVE SCHOOL TRANSPORT; BODY-MASS INDEX; PHYSICAL-ACTIVITY; NEIGHBORHOOD ENVIRONMENT; MENTAL-HEALTH; URBAN FORM; INDEPENDENT MOBILITY; SOCIOECONOMIC-STATUS; PSYCHOSOCIAL FACTORS; TRAVEL MODE</t>
        </is>
      </c>
      <c r="W159" t="inlineStr">
        <is>
          <t>Although the built environment (BE) is important for children's health, there is little consensus about which features are most important due to differences in measurement and outcomes across disciplines. This meta-narrative review was undertaken by a multi-disciplinary team of researchers to summarise ways in which the BE is measured, and how this links to children's health. A structured search of four databases across the relevant disciplines retrieved 108 relevant references. The most commonly addressed health-related outcomes were active travel, physical activity and play, and obesity. Many studies used objective (GIS and street audits) or standardised subjective (perceived) measurements of the BE. However, there was a wide variety, and sometimes inconsistency, in their definition and use. There were clear associations between the BE and children's health. Objective physical activity and self-reported active travel, or obesity, were positively associated with higher street connectivity or walkability measures, while self-reported physical activity and play had the strongest association with reduced street connectivity, indicated by quieter, one-way streets. Despite the high heterogeneity found in BE measures and health outcomes, the meta-narrative approach enabled us to identify ten BE categories that are likely to support children's health and be protective against some non-communicable disease risk factors. Future research should implement consistent BE measures to ensure key features are explored. A systems approach will be particularly relevant for addressing place-based health inequalities, given potential unintended health consequences of making changes to the BE.</t>
        </is>
      </c>
      <c r="X159" t="inlineStr">
        <is>
          <t>[Ortegon-Sanchez, Adriana; Christie, Nicola] Univ Coll London UCL, Dept Civil Environm &amp; Geomat Engn, Ctr Transport Studies, London WC1E 6BT, England; [McEachan, Rosemary R. C.; Cartwright, Chris; Islam, Shahid] Bradford Teaching Hosp NHS Fdn Trust, Bradford Inst Hlth Res, Bradford BD9 6RJ, W Yorkshire, England; [Albert, Alexandra] Univ Coll London UCL, Dept Geog, Extreme Citizen Sci Grp, London WC1E 6BT, England; [Dhanani, Ashley; Vaughan, Laura] Univ Coll London UCL, Bartlett Sch Architecture, Space Syntax Lab, London WC1H 0QB, England; [Ucci, Marcella] Univ Coll London UCL, Bartlett Fac Built Environm, UCL Inst Environm Design &amp; Engn, London WC1H 0NN, England</t>
        </is>
      </c>
      <c r="Y159" t="inlineStr">
        <is>
          <t>University of London; University College London; University of London; University College London; University of London; University College London; University of London; University College London</t>
        </is>
      </c>
      <c r="Z159" t="inlineStr">
        <is>
          <t>Ortegon-Sanchez, A (corresponding author), Univ Coll London UCL, Dept Civil Environm &amp; Geomat Engn, Ctr Transport Studies, London WC1E 6BT, England.;Vaughan, L (corresponding author), Univ Coll London UCL, Bartlett Sch Architecture, Space Syntax Lab, London WC1H 0QB, England.</t>
        </is>
      </c>
      <c r="AA159" t="inlineStr">
        <is>
          <t>adriana.ortegon.10@ucl.ac.uk; a.albert@ucl.ac.uk; chris.cartwright@bthft.nhs.uk; nicola.christie@ucl.ac.uk; ashley.dhanani@ucl.ac.uk; shahid.islam@bthft.nhs.uk; m.ucci@ucl.ac.uk; l.vaughan@ucl.ac.uk</t>
        </is>
      </c>
      <c r="AB159" t="inlineStr">
        <is>
          <t>Islam, Shahid/IZE-6606-2023</t>
        </is>
      </c>
      <c r="AC159" t="inlineStr">
        <is>
          <t>McEachan, Rosemary/0000-0003-1302-6675; Ucci, Marcella/0000-0001-5618-7247; Christie, Nicola/0000-0001-7152-5240; Cartwright, Christopher/0000-0002-7807-2536; Islam, Shahid/0000-0002-7424-4011; Vaughan, Laura/0000-0003-0315-2977</t>
        </is>
      </c>
      <c r="AD159" t="inlineStr">
        <is>
          <t>UK Prevention Research Partnership [MR/S037527/1]; British Heart Foundation; Cancer Research UK; Chief Scientist Office of the Scottish Government Health and Social Care Directorates; Engineering and Physical Sciences Research Council; Economic and Social Research Council; Health and Social Care Research and Development Division (Welsh Government); Medical Research Council; National Institute for Health Research, Natural Environment; National Institute for Health Research Applied Research Collaboration for Yorkshire and Humber [NIHR200166]; MRC [MR/S037527/1] Funding Source: UKRI</t>
        </is>
      </c>
      <c r="AE159" t="inlineStr">
        <is>
          <t>UK Prevention Research Partnership; British Heart Foundation(British Heart Foundation); Cancer Research UK(Cancer Research UK); Chief Scientist Office of the Scottish Government Health and Social Care Directorates; Engineering and Physical Sciences Research Council(UK Research &amp; Innovation (UKRI)Engineering &amp; Physical Sciences Research Council (EPSRC)); Economic and Social Research Council(UK Research &amp; Innovation (UKRI)Economic &amp; Social Research Council (ESRC)); Health and Social Care Research and Development Division (Welsh Government); Medical Research Council(UK Research &amp; Innovation (UKRI)Medical Research Council UK (MRC)); National Institute for Health Research, Natural Environment; National Institute for Health Research Applied Research Collaboration for Yorkshire and Humber; MRC(UK Research &amp; Innovation (UKRI)Medical Research Council UK (MRC))</t>
        </is>
      </c>
      <c r="AF159" t="inlineStr">
        <is>
          <t>This work was supported by the UK Prevention Research Partnership (MR/S037527/1), which is funded by the British Heart Foundation, Cancer Research UK, Chief Scientist Office of the Scottish Government Health and Social Care Directorates, Engineering and Physical Sciences Research Council, Economic and Social Research Council, Health and Social Care Research and Development Division (Welsh Government), Medical Research Council, National Institute for Health Research, Natural Environment. The funders had no role in study design, data collection and analysis, decision to publish, or preparation of the manuscript. C.C. and R.M. are supported by the National Institute for Health Research Applied Research Collaboration for Yorkshire and Humber (NIHR200166). The views expressed in this paper are those of the authors and not necessarily those of the NIHR or UK Department of Health and Social Care.</t>
        </is>
      </c>
      <c r="AH159" t="n">
        <v>125</v>
      </c>
      <c r="AI159" t="n">
        <v>11</v>
      </c>
      <c r="AJ159" t="n">
        <v>11</v>
      </c>
      <c r="AK159" t="n">
        <v>4</v>
      </c>
      <c r="AL159" t="n">
        <v>27</v>
      </c>
      <c r="AM159" t="inlineStr">
        <is>
          <t>MDPI</t>
        </is>
      </c>
      <c r="AN159" t="inlineStr">
        <is>
          <t>BASEL</t>
        </is>
      </c>
      <c r="AO159" t="inlineStr">
        <is>
          <t>ST ALBAN-ANLAGE 66, CH-4052 BASEL, SWITZERLAND</t>
        </is>
      </c>
      <c r="AQ159" t="inlineStr">
        <is>
          <t>1660-4601</t>
        </is>
      </c>
      <c r="AS159" t="inlineStr">
        <is>
          <t>INT J ENV RES PUB HE</t>
        </is>
      </c>
      <c r="AT159" t="inlineStr">
        <is>
          <t>Int. J. Environ. Res. Public Health</t>
        </is>
      </c>
      <c r="AU159" t="inlineStr">
        <is>
          <t>OCT</t>
        </is>
      </c>
      <c r="AV159" t="n">
        <v>2021</v>
      </c>
      <c r="AW159" t="n">
        <v>18</v>
      </c>
      <c r="AX159" t="n">
        <v>20</v>
      </c>
      <c r="BE159" t="n">
        <v>10741</v>
      </c>
      <c r="BF159" t="inlineStr">
        <is>
          <t>10.3390/ijerph182010741</t>
        </is>
      </c>
      <c r="BG159">
        <f>HYPERLINK("http://dx.doi.org/10.3390/ijerph182010741","http://dx.doi.org/10.3390/ijerph182010741")</f>
        <v/>
      </c>
      <c r="BJ159" t="n">
        <v>34</v>
      </c>
      <c r="BK159" t="inlineStr">
        <is>
          <t>Environmental Sciences; Public, Environmental &amp; Occupational Health</t>
        </is>
      </c>
      <c r="BL159" t="inlineStr">
        <is>
          <t>Science Citation Index Expanded (SCI-EXPANDED); Social Science Citation Index (SSCI)</t>
        </is>
      </c>
      <c r="BM159" t="inlineStr">
        <is>
          <t>Environmental Sciences &amp; Ecology; Public, Environmental &amp; Occupational Health</t>
        </is>
      </c>
      <c r="BN159" t="inlineStr">
        <is>
          <t>WR8TZ</t>
        </is>
      </c>
      <c r="BO159" t="n">
        <v>34682484</v>
      </c>
      <c r="BP159" t="inlineStr">
        <is>
          <t>Green Published, gold</t>
        </is>
      </c>
      <c r="BS159" t="inlineStr">
        <is>
          <t>2023-10-26</t>
        </is>
      </c>
      <c r="BT159" t="inlineStr">
        <is>
          <t>WOS:000714768700001</t>
        </is>
      </c>
      <c r="BU159">
        <f>HYPERLINK("https%3A%2F%2Fwww.webofscience.com%2Fwos%2Fwoscc%2Ffull-record%2FWOS:000714768700001","View Full Record in Web of Science")</f>
        <v/>
      </c>
    </row>
    <row r="160">
      <c r="A160" t="inlineStr">
        <is>
          <t>J</t>
        </is>
      </c>
      <c r="B160" t="inlineStr">
        <is>
          <t>Yoo, C; Lee, S</t>
        </is>
      </c>
      <c r="F160" t="inlineStr">
        <is>
          <t>Yoo, Chisun; Lee, Sugie</t>
        </is>
      </c>
      <c r="J160" t="inlineStr">
        <is>
          <t>SUSTAINABILITY</t>
        </is>
      </c>
      <c r="M160" t="inlineStr">
        <is>
          <t>English</t>
        </is>
      </c>
      <c r="N160" t="inlineStr">
        <is>
          <t>Article</t>
        </is>
      </c>
      <c r="T160" t="inlineStr">
        <is>
          <t>Neighborhood Built Environments Affecting Social Capital and Social Sustainability in Seoul, Korea</t>
        </is>
      </c>
      <c r="U160" t="inlineStr">
        <is>
          <t>neighborhood built environment; social capital; social sustainability; structural equation modeling</t>
        </is>
      </c>
      <c r="V160" t="inlineStr">
        <is>
          <t>URBAN FORM; COHESION; DENSITY</t>
        </is>
      </c>
      <c r="W160" t="inlineStr">
        <is>
          <t>This study investigates the theoretical causal relationships among neighborhood built environments, social capital and social sustainability using structural equation modeling (SEM), through a case study in Seoul, Korea. The dataset consisted of responses from a questionnaire survey completed by 500 respondents. Neighborhood built environments were also objectively measured by GIS analysis, using a 250-m buffer based on the home addresses of the respondents. A total of four latent variables of the neighborhood physical environments were used in the model: perceived neighborhood environment, characteristics of the residential area, land use diversity and accessibility to parks and sport facilities. Respondents' demographic and socioeconomic characteristics were also considered in the model. The results of the analysis indicate that there is a statistically significant causal relationship among neighborhood physical environment, social capital and social sustainability. The results also suggest that neighborhood-level spatial and non-spatial factors can influence the formation of social capital that affects social sustainability. Moreover, this result indicates the possibility that urban spatial planning can play a critical role in social issues.</t>
        </is>
      </c>
      <c r="X160" t="inlineStr">
        <is>
          <t>[Yoo, Chisun] Gyeonggi Res Inst, Dept Urban Planning &amp; Housing Policy, 1150 Gyeongsu Daero, Suwon 16207, South Korea; [Lee, Sugie] Hanyang Univ, Dept Urban Planning &amp; Engn, 222 Wangsimni Ro, Seoul 04763, South Korea</t>
        </is>
      </c>
      <c r="Y160" t="inlineStr">
        <is>
          <t>Hanyang University</t>
        </is>
      </c>
      <c r="Z160" t="inlineStr">
        <is>
          <t>Lee, S (corresponding author), Hanyang Univ, Dept Urban Planning &amp; Engn, 222 Wangsimni Ro, Seoul 04763, South Korea.</t>
        </is>
      </c>
      <c r="AA160" t="inlineStr">
        <is>
          <t>csyoo86@gri.re.kr; sugielee@hanyang.ac.kr</t>
        </is>
      </c>
      <c r="AC160" t="inlineStr">
        <is>
          <t>Yoo, Chisun/0000-0003-0219-2651</t>
        </is>
      </c>
      <c r="AD160" t="inlineStr">
        <is>
          <t>Basic Science Research Program through National Research Foundation of Korea (NRF) - the Ministry of Education [NRF-2015S1A5A8014384]; National Research Foundation of Korea [2015S1A5A8014384] Funding Source: Korea Institute of Science &amp; Technology Information (KISTI), National Science &amp; Technology Information Service (NTIS)</t>
        </is>
      </c>
      <c r="AE160" t="inlineStr">
        <is>
          <t>Basic Science Research Program through National Research Foundation of Korea (NRF) - the Ministry of Education; National Research Foundation of Korea(National Research Foundation of Korea)</t>
        </is>
      </c>
      <c r="AF160" t="inlineStr">
        <is>
          <t>This research was supported by Basic Science Research Program through the National Research Foundation of Korea (NRF) funded by the Ministry of Education (NRF-2015S1A5A8014384).</t>
        </is>
      </c>
      <c r="AH160" t="n">
        <v>68</v>
      </c>
      <c r="AI160" t="n">
        <v>39</v>
      </c>
      <c r="AJ160" t="n">
        <v>39</v>
      </c>
      <c r="AK160" t="n">
        <v>5</v>
      </c>
      <c r="AL160" t="n">
        <v>56</v>
      </c>
      <c r="AM160" t="inlineStr">
        <is>
          <t>MDPI</t>
        </is>
      </c>
      <c r="AN160" t="inlineStr">
        <is>
          <t>BASEL</t>
        </is>
      </c>
      <c r="AO160" t="inlineStr">
        <is>
          <t>ST ALBAN-ANLAGE 66, CH-4052 BASEL, SWITZERLAND</t>
        </is>
      </c>
      <c r="AP160" t="inlineStr">
        <is>
          <t>2071-1050</t>
        </is>
      </c>
      <c r="AS160" t="inlineStr">
        <is>
          <t>SUSTAINABILITY-BASEL</t>
        </is>
      </c>
      <c r="AT160" t="inlineStr">
        <is>
          <t>Sustainability</t>
        </is>
      </c>
      <c r="AU160" t="inlineStr">
        <is>
          <t>DEC</t>
        </is>
      </c>
      <c r="AV160" t="n">
        <v>2016</v>
      </c>
      <c r="AW160" t="n">
        <v>8</v>
      </c>
      <c r="AX160" t="n">
        <v>12</v>
      </c>
      <c r="BE160" t="n">
        <v>1346</v>
      </c>
      <c r="BF160" t="inlineStr">
        <is>
          <t>10.3390/su8121346</t>
        </is>
      </c>
      <c r="BG160">
        <f>HYPERLINK("http://dx.doi.org/10.3390/su8121346","http://dx.doi.org/10.3390/su8121346")</f>
        <v/>
      </c>
      <c r="BJ160" t="n">
        <v>22</v>
      </c>
      <c r="BK160" t="inlineStr">
        <is>
          <t>Green &amp; Sustainable Science &amp; Technology; Environmental Sciences; Environmental Studies</t>
        </is>
      </c>
      <c r="BL160" t="inlineStr">
        <is>
          <t>Science Citation Index Expanded (SCI-EXPANDED); Social Science Citation Index (SSCI)</t>
        </is>
      </c>
      <c r="BM160" t="inlineStr">
        <is>
          <t>Science &amp; Technology - Other Topics; Environmental Sciences &amp; Ecology</t>
        </is>
      </c>
      <c r="BN160" t="inlineStr">
        <is>
          <t>EJ6FR</t>
        </is>
      </c>
      <c r="BP160" t="inlineStr">
        <is>
          <t>Green Submitted, gold</t>
        </is>
      </c>
      <c r="BS160" t="inlineStr">
        <is>
          <t>2023-10-26</t>
        </is>
      </c>
      <c r="BT160" t="inlineStr">
        <is>
          <t>WOS:000393315100069</t>
        </is>
      </c>
      <c r="BU160">
        <f>HYPERLINK("https%3A%2F%2Fwww.webofscience.com%2Fwos%2Fwoscc%2Ffull-record%2FWOS:000393315100069","View Full Record in Web of Science")</f>
        <v/>
      </c>
    </row>
    <row r="161">
      <c r="A161" t="inlineStr">
        <is>
          <t>J</t>
        </is>
      </c>
      <c r="B161" t="inlineStr">
        <is>
          <t>Van Cauwenberg, J; Cerin, E; Timperio, A; Salmon, J; Deforche, B; Veitch, J</t>
        </is>
      </c>
      <c r="F161" t="inlineStr">
        <is>
          <t>Van Cauwenberg, Jelle; Cerin, Ester; Timperio, Anna; Salmon, Jo; Deforche, Benedicte; Veitch, Jenny</t>
        </is>
      </c>
      <c r="J161" t="inlineStr">
        <is>
          <t>INTERNATIONAL JOURNAL OF ENVIRONMENTAL RESEARCH AND PUBLIC HEALTH</t>
        </is>
      </c>
      <c r="M161" t="inlineStr">
        <is>
          <t>English</t>
        </is>
      </c>
      <c r="N161" t="inlineStr">
        <is>
          <t>Article</t>
        </is>
      </c>
      <c r="T161" t="inlineStr">
        <is>
          <t>Is the Association between Park Proximity and Recreational Physical Activity among Mid-Older Aged Adults Moderated by Park Quality and Neighborhood Conditions?</t>
        </is>
      </c>
      <c r="U161" t="inlineStr">
        <is>
          <t>motor activity; environment design; retirement; social environment; ecological model; walking</t>
        </is>
      </c>
      <c r="V161" t="inlineStr">
        <is>
          <t>BUILT ENVIRONMENT; SOCIAL-ENVIRONMENT; LEISURE-TIME; CRIME; WALKING; MULTILEVEL; OBESITY; HEALTH</t>
        </is>
      </c>
      <c r="W161" t="inlineStr">
        <is>
          <t>Previous studies have reported mixed findings on the relationship between park proximity and recreational physical activity (PA), which could be explained by park quality and the surrounding neighborhood environment. We examined whether park quality and perceptions of the neighborhood physical and social environment moderated associations between park proximity and recreational PA among mid-older aged adults. Cross-sectional self-reported data on park proximity, park quality, neighborhood physical and social environmental factors, recreational walking and other moderate- to vigorous-intensity recreational physical activity (MVPA) were collected among 2700 Australian adults (57-69 years) in 2012. Main effects between park proximity and measures of recreational PA were non-significant. Park proximity was positively related to engagement in recreational walking among participants who reported average and high social trust and cohesion, but not among those reporting low social trust and cohesion. No other moderating effects were observed. Current findings suggest synergistic relationships between park proximity and social trust and cohesion with mid-older aged adults' recreational walking. More research is needed to unravel the complex relationship between parks, recreational PA and the social context of neighborhoods.</t>
        </is>
      </c>
      <c r="X161" t="inlineStr">
        <is>
          <t>[Van Cauwenberg, Jelle; Deforche, Benedicte] Univ Ghent, Dept Publ Hlth, Fac Med &amp; Hlth Sci, De Pintelaan 185, B-9000 Ghent, Belgium; [Van Cauwenberg, Jelle] Fund Sci Res Flanders FWO, Egmontstr 5, B-1000 Brussels, Belgium; [Cerin, Ester] Australian Catholic Univ, Inst Hlth &amp; Ageing, Spring St 215 Level 6, Melbourne, Vic 3000, Australia; [Timperio, Anna; Salmon, Jo; Veitch, Jenny] Deakin Univ, Inst Phys Act &amp; Nutr, Sch Exercise &amp; Nutr Sci, Burwood Highway 221, Burwood, Vic 3125, Australia; [Deforche, Benedicte] Vrije Univ Brussel, Fac Phys Educ &amp; Phys Therapy, Dept Human Biometry &amp; Biomech, Pl Laan 2, B-1050 Brussels, Belgium</t>
        </is>
      </c>
      <c r="Y161" t="inlineStr">
        <is>
          <t>Ghent University; Ghent University Hospital; Australian Catholic University; Deakin University; Vrije Universiteit Brussel</t>
        </is>
      </c>
      <c r="Z161" t="inlineStr">
        <is>
          <t>Van Cauwenberg, J (corresponding author), Univ Ghent, Dept Publ Hlth, Fac Med &amp; Hlth Sci, De Pintelaan 185, B-9000 Ghent, Belgium.;Van Cauwenberg, J (corresponding author), Fund Sci Res Flanders FWO, Egmontstr 5, B-1000 Brussels, Belgium.</t>
        </is>
      </c>
      <c r="AA161" t="inlineStr">
        <is>
          <t>jelle.vancauwenberg@ugent.be; Ester.Cerin@acu.edu.au; anna.timperio@deakin.edu.au; jo.salmon@deakin.edu.au; benedicte.deforche@ugent.be; jenny.veitch@deakin.edu.au</t>
        </is>
      </c>
      <c r="AB161" t="inlineStr">
        <is>
          <t>Salmon, Jo/C-1226-2009; Timperio, Anna F/A-3086-2013; Cerin, Ester/Z-2011-2019; Cerin, Ester/L-1271-2015; Van Cauwenberg, Jelle/H-7962-2014; Salmon, Jo/X-2630-2019; Veitch, Jenny/I-5934-2014</t>
        </is>
      </c>
      <c r="AC161" t="inlineStr">
        <is>
          <t>Salmon, Jo/0000-0002-4734-6354; Timperio, Anna F/0000-0002-8773-5012; Cerin, Ester/0000-0002-7599-165X; Cerin, Ester/0000-0002-7599-165X; Salmon, Jo/0000-0002-4734-6354; Van Cauwenberg, Jelle/0000-0003-1292-6241; Veitch, Jenny/0000-0001-8962-0887</t>
        </is>
      </c>
      <c r="AD161" t="inlineStr">
        <is>
          <t>Australian Research Council [DP1095595]; Diabetes Australia Research Trust Project Grant; Australian Research Council Future Fellowship [FT100100581]; postdoctoral fellowship-Research Foundation Flanders (FWO) [12I1117N]; National Health and Medical Research Council Early Career Fellowship [1053426]; National Heart Foundation of Australia [100046]; National Health and Medical Research Council Principal Research Fellowship [APP1026216]; Australian Research Council [DP1095595] Funding Source: Australian Research Council</t>
        </is>
      </c>
      <c r="AE161" t="inlineStr">
        <is>
          <t>Australian Research Council(Australian Research Council); Diabetes Australia Research Trust Project Grant; Australian Research Council Future Fellowship(Australian Research Council); postdoctoral fellowship-Research Foundation Flanders (FWO); National Health and Medical Research Council Early Career Fellowship(National Health and Medical Research Council (NHMRC) of Australia); National Heart Foundation of Australia(National Heart Foundation of Australia); National Health and Medical Research Council Principal Research Fellowship(National Health and Medical Research Council (NHMRC) of Australia); Australian Research Council(Australian Research Council)</t>
        </is>
      </c>
      <c r="AF161" t="inlineStr">
        <is>
          <t>This project was supported by the Australian Research Council (DP1095595) and a Diabetes Australia Research Trust Project Grant. Ester Cerin is supported by an Australian Research Council Future Fellowship (FT100100581). Jelle Van Cauwenberg is supported by a postdoctoral fellowship-Research Foundation Flanders (FWO, 12I1117N). Jenny Veitch is supported by a National Health and Medical Research Council Early Career Fellowship (ID 1053426). Anna Timperio is supported by a Fellowship (Award ID 100046) from the National Heart Foundation of Australia. Jo Salmon is supported by a National Health and Medical Research Council Principal Research Fellowship (APP1026216).</t>
        </is>
      </c>
      <c r="AH161" t="n">
        <v>43</v>
      </c>
      <c r="AI161" t="n">
        <v>22</v>
      </c>
      <c r="AJ161" t="n">
        <v>22</v>
      </c>
      <c r="AK161" t="n">
        <v>3</v>
      </c>
      <c r="AL161" t="n">
        <v>57</v>
      </c>
      <c r="AM161" t="inlineStr">
        <is>
          <t>MDPI</t>
        </is>
      </c>
      <c r="AN161" t="inlineStr">
        <is>
          <t>BASEL</t>
        </is>
      </c>
      <c r="AO161" t="inlineStr">
        <is>
          <t>ST ALBAN-ANLAGE 66, CH-4052 BASEL, SWITZERLAND</t>
        </is>
      </c>
      <c r="AQ161" t="inlineStr">
        <is>
          <t>1660-4601</t>
        </is>
      </c>
      <c r="AS161" t="inlineStr">
        <is>
          <t>INT J ENV RES PUB HE</t>
        </is>
      </c>
      <c r="AT161" t="inlineStr">
        <is>
          <t>Int. J. Environ. Res. Public Health</t>
        </is>
      </c>
      <c r="AU161" t="inlineStr">
        <is>
          <t>FEB</t>
        </is>
      </c>
      <c r="AV161" t="n">
        <v>2017</v>
      </c>
      <c r="AW161" t="n">
        <v>14</v>
      </c>
      <c r="AX161" t="n">
        <v>2</v>
      </c>
      <c r="BE161" t="n">
        <v>192</v>
      </c>
      <c r="BF161" t="inlineStr">
        <is>
          <t>10.3390/ijerph14020192</t>
        </is>
      </c>
      <c r="BG161">
        <f>HYPERLINK("http://dx.doi.org/10.3390/ijerph14020192","http://dx.doi.org/10.3390/ijerph14020192")</f>
        <v/>
      </c>
      <c r="BJ161" t="n">
        <v>11</v>
      </c>
      <c r="BK161" t="inlineStr">
        <is>
          <t>Environmental Sciences; Public, Environmental &amp; Occupational Health</t>
        </is>
      </c>
      <c r="BL161" t="inlineStr">
        <is>
          <t>Science Citation Index Expanded (SCI-EXPANDED); Social Science Citation Index (SSCI)</t>
        </is>
      </c>
      <c r="BM161" t="inlineStr">
        <is>
          <t>Environmental Sciences &amp; Ecology; Public, Environmental &amp; Occupational Health</t>
        </is>
      </c>
      <c r="BN161" t="inlineStr">
        <is>
          <t>EM7CA</t>
        </is>
      </c>
      <c r="BO161" t="n">
        <v>28216609</v>
      </c>
      <c r="BP161" t="inlineStr">
        <is>
          <t>Green Published, gold, Green Submitted</t>
        </is>
      </c>
      <c r="BS161" t="inlineStr">
        <is>
          <t>2023-10-26</t>
        </is>
      </c>
      <c r="BT161" t="inlineStr">
        <is>
          <t>WOS:000395467900084</t>
        </is>
      </c>
      <c r="BU161">
        <f>HYPERLINK("https%3A%2F%2Fwww.webofscience.com%2Fwos%2Fwoscc%2Ffull-record%2FWOS:000395467900084","View Full Record in Web of Science")</f>
        <v/>
      </c>
    </row>
    <row r="162">
      <c r="A162" t="inlineStr">
        <is>
          <t>J</t>
        </is>
      </c>
      <c r="B162" t="inlineStr">
        <is>
          <t>Mandic, S; Ikeda, E; Stewart, T; Garrett, N; Hopkins, D; Mindell, JS; Tautolo, E; Smith, M</t>
        </is>
      </c>
      <c r="F162" t="inlineStr">
        <is>
          <t>Mandic, Sandra; Ikeda, Erika; Stewart, Tom; Garrett, Nicholas; Hopkins, Debbie; Mindell, Jennifer S.; Tautolo, El Shadan; Smith, Melody</t>
        </is>
      </c>
      <c r="J162" t="inlineStr">
        <is>
          <t>INTERNATIONAL JOURNAL OF ENVIRONMENTAL RESEARCH AND PUBLIC HEALTH</t>
        </is>
      </c>
      <c r="M162" t="inlineStr">
        <is>
          <t>English</t>
        </is>
      </c>
      <c r="N162" t="inlineStr">
        <is>
          <t>Article</t>
        </is>
      </c>
      <c r="T162" t="inlineStr">
        <is>
          <t>Sociodemographic and Built Environment Associates of Travel to School by Car among New Zealand Adolescents: Meta-Analysis</t>
        </is>
      </c>
      <c r="U162" t="inlineStr">
        <is>
          <t>transport; school; driving; built environment; adolescents; meta-analysis</t>
        </is>
      </c>
      <c r="V162" t="inlineStr">
        <is>
          <t>ACTIVE TRANSPORTATION; PARENTAL PERCEPTIONS; CRITERION DISTANCES; PHYSICAL-ACTIVITY; CHILDREN; WALKING; YOUTH; PERSPECTIVE; BARRIERS; STUDENTS</t>
        </is>
      </c>
      <c r="W162" t="inlineStr">
        <is>
          <t>Travelling to school by car diminishes opportunities for physical activity and contributes to traffic congestion and associated noise and air pollution. This meta-analysis examined sociodemographic characteristics and built environment associates of travelling to school by car compared to using active transport among New Zealand (NZ) adolescents. Four NZ studies (2163 adolescents) provided data on participants' mode of travel to school, individual and school sociodemographic characteristics, distance to school and home-neighbourhood built-environment features. A one-step meta-analysis using individual participant data was performed in SAS. A final multivariable model was developed using stepwise logistic regression. Overall, 60.6% of participants travelled to school by car. When compared with active transport, travelling to school by car was positively associated with distance to school. Participants residing in neighbourhoods with high intersection density and attending medium deprivation schools were less likely to travel to school by car compared with their counterparts. Distance to school, school level deprivation and low home neighbourhood intersection density are associated with higher likelihood of car travel to school compared with active transport among NZ adolescents. Comprehensive interventions focusing on both social and built environment factors are needed to reduce car travel to school.</t>
        </is>
      </c>
      <c r="X162" t="inlineStr">
        <is>
          <t>[Mandic, Sandra] Auckland Univ Technol, Fac Hlth &amp; Environm Sci, Sch Sport &amp; Recreat, Private Bag 92006, Auckland 1142, New Zealand; [Mandic, Sandra] Univ Otago, Sch Phys Educ Sport &amp; Exercise Sci, Act Living Lab, POB 56, Dunedin 9054, New Zealand; [Mandic, Sandra] Univ Otago, Ctr Sustainabil, POB 56, Dunedin 9054, New Zealand; [Ikeda, Erika] Univ Cambridge, MRC Epidemiol Unit, Inst Metab Sci, Box 285,Cambridge Biomed Campus, Cambridge CB2 0QQ, England; [Stewart, Tom] Auckland Univ Technol, Human Potential Ctr, Private Bag 92006, Auckland 1142, New Zealand; [Garrett, Nicholas] Auckland Univ Technol, Fac Hlth &amp; Environm Sci, Dept Biostat &amp; Epidemiol, Private Bag 92006, Auckland 1142, New Zealand; [Hopkins, Debbie] Univ Oxford, Sch Geog &amp; Environm, Transport Study Unit, South Parks Rd, Oxford OX1 3QY, England; [Mindell, Jennifer S.] UCL Univ Coll London, Dept Epidemiol &amp; Publ Hlth, 1-19 Torrington Pl, London WC1E 6BT, England; [Tautolo, El Shadan] Auckland Univ Technol, Pacific Hlth Res Ctr, Sch Publ Hlth &amp; Interdisciplinary Studies, Private Bag 92006, Auckland 1142, New Zealand; [Smith, Melody] Univ Auckland, Fac Med &amp; Hlth Sci, Sch Nursing, Private Bag 92019, Auckland 1142, New Zealand</t>
        </is>
      </c>
      <c r="Y162" t="inlineStr">
        <is>
          <t>Auckland University of Technology; University of Otago; University of Otago; University of Cambridge; Auckland University of Technology; Auckland University of Technology; University of Oxford; University of London; University College London; Auckland University of Technology; University of Auckland</t>
        </is>
      </c>
      <c r="Z162" t="inlineStr">
        <is>
          <t>Mandic, S (corresponding author), Auckland Univ Technol, Fac Hlth &amp; Environm Sci, Sch Sport &amp; Recreat, Private Bag 92006, Auckland 1142, New Zealand.;Mandic, S (corresponding author), Univ Otago, Sch Phys Educ Sport &amp; Exercise Sci, Act Living Lab, POB 56, Dunedin 9054, New Zealand.;Mandic, S (corresponding author), Univ Otago, Ctr Sustainabil, POB 56, Dunedin 9054, New Zealand.</t>
        </is>
      </c>
      <c r="AA162" t="inlineStr">
        <is>
          <t>sandy07a@gmail.com; erika.ikeda@mrc-epid.cam.ac.uk; tom.stewart@aut.ac.nz; nick.garrett@aut.ac.nz; debbie.hopkins@ouce.ox.ac.uk; j.mindell@ucl.ac.uk; dan.tautolo@aut.ac.nz; melody.smith@auckland.ac.nz</t>
        </is>
      </c>
      <c r="AB162" t="inlineStr">
        <is>
          <t>Tautolo, El-Shadan/S-6002-2019; Garrett, Nick/A-3435-2015; Smith, Melody/AAP-9986-2021; Stewart, Tom/K-7373-2019; Mandic, Sandra/F-2689-2016; Mindell, Jennifer/G-2241-2011</t>
        </is>
      </c>
      <c r="AC162" t="inlineStr">
        <is>
          <t>Tautolo, El-Shadan/0000-0001-8444-6410; Garrett, Nick/0000-0001-9289-9743; Smith, Melody/0000-0002-0987-2564; Stewart, Tom/0000-0001-5915-3843; Hopkins, Debbie/0000-0002-7778-8989; Ikeda, Erika/0000-0001-6999-3918; Mandic, Sandra/0000-0003-4126-8874; Mindell, Jennifer/0000-0002-7604-6131</t>
        </is>
      </c>
      <c r="AD162" t="inlineStr">
        <is>
          <t>New Zealand Ministry of Business, Innovation, and Employment (Healthy Future Mobility Solutions) [43153]; Health Research Council of New Zealand [12/329, 14/156, 07/356]; Health Research Council of New Zealand Emerging Researcher First Grant [14/565]; National Heart Foundation of New Zealand [1602, 1615]; Lottery Health Research Grant [Applic 341129]; University of Otago Research Grant (UORG 2014); Dunedin City Council; School of Physical Education, Sport and Exercise Sciences, University of Otago; Medical Research Council [MC_UU_12015/7]; Health Research Council of New Zealand Sir Charles Hercus research fellowship [17-013]; MRC [MC_UU_00006/5, MC_UU_12015/7] Funding Source: UKRI</t>
        </is>
      </c>
      <c r="AE162" t="inlineStr">
        <is>
          <t>New Zealand Ministry of Business, Innovation, and Employment (Healthy Future Mobility Solutions)(New Zealand Ministry of Business, Innovation and Employment (MBIE)); Health Research Council of New Zealand(Health Research Council of New Zealand); Health Research Council of New Zealand Emerging Researcher First Grant(Health Research Council of New Zealand); National Heart Foundation of New Zealand; Lottery Health Research Grant; University of Otago Research Grant (UORG 2014); Dunedin City Council; School of Physical Education, Sport and Exercise Sciences, University of Otago; Medical Research Council(UK Research &amp; Innovation (UKRI)Medical Research Council UK (MRC)); Health Research Council of New Zealand Sir Charles Hercus research fellowship(Health Research Council of New Zealand); MRC(UK Research &amp; Innovation (UKRI)Medical Research Council UK (MRC))</t>
        </is>
      </c>
      <c r="AF162" t="inlineStr">
        <is>
          <t>This research was funded by the New Zealand Ministry of Business, Innovation, and Employment (Healthy Future Mobility Solutions, 43153). The BEANZ Study was supported by the Health Research Council of New Zealand (12/329). The BEATS Study was supported by the Health Research Council of New Zealand Emerging Researcher First Grant (14/565), National Heart Foundation of New Zealand (1602 and 1615), Lottery Health Research Grant (Applic 341129), University of Otago Research Grant (UORG 2014), Dunedin City Council and internal grants from the School of Physical Education, Sport and Exercise Sciences, University of Otago. The PIF Study was supported by the Health Research Council of New Zealand (14/156). The URBAN Study was supported by the Health Research Council of New Zealand (07/356). E.I. is supported by the Medical Research Council [MC_UU_12015/7]. M.S. is supported by a Health Research Council of New Zealand Sir Charles Hercus research fellowship (17-013).</t>
        </is>
      </c>
      <c r="AH162" t="n">
        <v>93</v>
      </c>
      <c r="AI162" t="n">
        <v>2</v>
      </c>
      <c r="AJ162" t="n">
        <v>2</v>
      </c>
      <c r="AK162" t="n">
        <v>2</v>
      </c>
      <c r="AL162" t="n">
        <v>15</v>
      </c>
      <c r="AM162" t="inlineStr">
        <is>
          <t>MDPI</t>
        </is>
      </c>
      <c r="AN162" t="inlineStr">
        <is>
          <t>BASEL</t>
        </is>
      </c>
      <c r="AO162" t="inlineStr">
        <is>
          <t>ST ALBAN-ANLAGE 66, CH-4052 BASEL, SWITZERLAND</t>
        </is>
      </c>
      <c r="AQ162" t="inlineStr">
        <is>
          <t>1660-4601</t>
        </is>
      </c>
      <c r="AS162" t="inlineStr">
        <is>
          <t>INT J ENV RES PUB HE</t>
        </is>
      </c>
      <c r="AT162" t="inlineStr">
        <is>
          <t>Int. J. Environ. Res. Public Health</t>
        </is>
      </c>
      <c r="AU162" t="inlineStr">
        <is>
          <t>DEC</t>
        </is>
      </c>
      <c r="AV162" t="n">
        <v>2020</v>
      </c>
      <c r="AW162" t="n">
        <v>17</v>
      </c>
      <c r="AX162" t="n">
        <v>23</v>
      </c>
      <c r="BE162" t="n">
        <v>9138</v>
      </c>
      <c r="BF162" t="inlineStr">
        <is>
          <t>10.3390/ijerph17239138</t>
        </is>
      </c>
      <c r="BG162">
        <f>HYPERLINK("http://dx.doi.org/10.3390/ijerph17239138","http://dx.doi.org/10.3390/ijerph17239138")</f>
        <v/>
      </c>
      <c r="BJ162" t="n">
        <v>17</v>
      </c>
      <c r="BK162" t="inlineStr">
        <is>
          <t>Environmental Sciences; Public, Environmental &amp; Occupational Health</t>
        </is>
      </c>
      <c r="BL162" t="inlineStr">
        <is>
          <t>Science Citation Index Expanded (SCI-EXPANDED); Social Science Citation Index (SSCI)</t>
        </is>
      </c>
      <c r="BM162" t="inlineStr">
        <is>
          <t>Environmental Sciences &amp; Ecology; Public, Environmental &amp; Occupational Health</t>
        </is>
      </c>
      <c r="BN162" t="inlineStr">
        <is>
          <t>PD1PU</t>
        </is>
      </c>
      <c r="BO162" t="n">
        <v>33297467</v>
      </c>
      <c r="BP162" t="inlineStr">
        <is>
          <t>Green Published, gold</t>
        </is>
      </c>
      <c r="BS162" t="inlineStr">
        <is>
          <t>2023-10-26</t>
        </is>
      </c>
      <c r="BT162" t="inlineStr">
        <is>
          <t>WOS:000597466500001</t>
        </is>
      </c>
      <c r="BU162">
        <f>HYPERLINK("https%3A%2F%2Fwww.webofscience.com%2Fwos%2Fwoscc%2Ffull-record%2FWOS:000597466500001","View Full Record in Web of Science")</f>
        <v/>
      </c>
    </row>
    <row r="163">
      <c r="A163" t="inlineStr">
        <is>
          <t>J</t>
        </is>
      </c>
      <c r="B163" t="inlineStr">
        <is>
          <t>Mazlan, SM; Abas, A</t>
        </is>
      </c>
      <c r="F163" t="inlineStr">
        <is>
          <t>Mazlan, Sytty Mazian; Abas, Azlan</t>
        </is>
      </c>
      <c r="J163" t="inlineStr">
        <is>
          <t>FRESENIUS ENVIRONMENTAL BULLETIN</t>
        </is>
      </c>
      <c r="M163" t="inlineStr">
        <is>
          <t>English</t>
        </is>
      </c>
      <c r="N163" t="inlineStr">
        <is>
          <t>Article</t>
        </is>
      </c>
      <c r="T163" t="inlineStr">
        <is>
          <t>SYSTEMATIC REVIEW ON ECOSYSTEM SERVICES FOR INDOOR ENVIRONMENT TOWARDS LIVABLE HUMAN INDOOR ENVIRONMENT</t>
        </is>
      </c>
      <c r="U163" t="inlineStr">
        <is>
          <t>Covid-19; environmental management; indoor built; indoor ecosystem; Sustainable development</t>
        </is>
      </c>
      <c r="V163" t="inlineStr">
        <is>
          <t>GREEN INFRASTRUCTURE; HUMAN HEALTH; BENEFITS</t>
        </is>
      </c>
      <c r="W163" t="inlineStr">
        <is>
          <t>Indoor environment is the less studied environment in the context of its ecosystem services. But, in this unprecedented time of urbanization and Covid-19, people spend most of their times at indoor environment. This study conducted a systematic review of studies that aim: a) to provide a systematic review on ecosystem services provided by indoor environment towards livable human environment; b) to analyze the research gap; and c) to develop a framework of Livable Human Indoor Environment. The results show that indoor ecosystem services play a very significant roles towards human well-being especially in term of psychology, health and emotion. This review also identifies some limitations such as method used in the analyze papers was only focus on the review study, plus most the papers were from developed country (UK, USA, China, etc.). This study developed a framework that can guide in policymaking, urban planning, and indoor built strategy, that can improve the livability of human indoor environment.</t>
        </is>
      </c>
      <c r="X163" t="inlineStr">
        <is>
          <t>[Mazlan, Sytty Mazian] Natl Inst Occupat Safety &amp; Hlth NIOSH, Bangi, Selangor, Malaysia; [Abas, Azlan] Univ Kebangsaan Malaysia, Fac Social Sci &amp; Humanities, Ctr Res Dev Social &amp; Environm SEEDS, Bangi, Malaysia</t>
        </is>
      </c>
      <c r="Y163" t="inlineStr">
        <is>
          <t>Universiti Kebangsaan Malaysia</t>
        </is>
      </c>
      <c r="Z163" t="inlineStr">
        <is>
          <t>Abas, A (corresponding author), Univ Kebangsaan Malaysia, Fac Social Sci &amp; Humanities, Ctr Res Dev, Bangi, Malaysia.</t>
        </is>
      </c>
      <c r="AA163" t="inlineStr">
        <is>
          <t>azlanabas@ukmedu.my</t>
        </is>
      </c>
      <c r="AB163" t="inlineStr">
        <is>
          <t>Abas, Azlan/T-1618-2017</t>
        </is>
      </c>
      <c r="AC163" t="inlineStr">
        <is>
          <t>Abas, Azlan/0000-0002-5614-6506</t>
        </is>
      </c>
      <c r="AD163" t="inlineStr">
        <is>
          <t>Universiti Kebangsaan Malaysia (UKM) [SK-2020-024]</t>
        </is>
      </c>
      <c r="AE163" t="inlineStr">
        <is>
          <t>Universiti Kebangsaan Malaysia (UKM)</t>
        </is>
      </c>
      <c r="AF163" t="inlineStr">
        <is>
          <t>This study was conducted with the financial support of SK-2020-024 research grant provided by the Universiti Kebangsaan Malaysia (UKM). We are grateful to everyone who helped with the field survey. We would like to thank all anonymous reviewers for their constructive comments.</t>
        </is>
      </c>
      <c r="AH163" t="n">
        <v>49</v>
      </c>
      <c r="AI163" t="n">
        <v>2</v>
      </c>
      <c r="AJ163" t="n">
        <v>2</v>
      </c>
      <c r="AK163" t="n">
        <v>5</v>
      </c>
      <c r="AL163" t="n">
        <v>11</v>
      </c>
      <c r="AM163" t="inlineStr">
        <is>
          <t>PARLAR SCIENTIFIC PUBLICATIONS (P S P)</t>
        </is>
      </c>
      <c r="AN163" t="inlineStr">
        <is>
          <t>FREISING</t>
        </is>
      </c>
      <c r="AO163" t="inlineStr">
        <is>
          <t>ANGERSTR. 12, 85354 FREISING, GERMANY</t>
        </is>
      </c>
      <c r="AP163" t="inlineStr">
        <is>
          <t>1018-4619</t>
        </is>
      </c>
      <c r="AQ163" t="inlineStr">
        <is>
          <t>1610-2304</t>
        </is>
      </c>
      <c r="AS163" t="inlineStr">
        <is>
          <t>FRESEN ENVIRON BULL</t>
        </is>
      </c>
      <c r="AT163" t="inlineStr">
        <is>
          <t>Fresenius Environ. Bull.</t>
        </is>
      </c>
      <c r="AV163" t="n">
        <v>2021</v>
      </c>
      <c r="AW163" t="n">
        <v>30</v>
      </c>
      <c r="AX163" t="inlineStr">
        <is>
          <t>4A</t>
        </is>
      </c>
      <c r="BC163" t="n">
        <v>4177</v>
      </c>
      <c r="BD163" t="n">
        <v>4188</v>
      </c>
      <c r="BJ163" t="n">
        <v>12</v>
      </c>
      <c r="BK163" t="inlineStr">
        <is>
          <t>Environmental Sciences</t>
        </is>
      </c>
      <c r="BL163" t="inlineStr">
        <is>
          <t>Science Citation Index Expanded (SCI-EXPANDED)</t>
        </is>
      </c>
      <c r="BM163" t="inlineStr">
        <is>
          <t>Environmental Sciences &amp; Ecology</t>
        </is>
      </c>
      <c r="BN163" t="inlineStr">
        <is>
          <t>SN3DD</t>
        </is>
      </c>
      <c r="BS163" t="inlineStr">
        <is>
          <t>2023-10-26</t>
        </is>
      </c>
      <c r="BT163" t="inlineStr">
        <is>
          <t>WOS:000658172800026</t>
        </is>
      </c>
      <c r="BU163">
        <f>HYPERLINK("https%3A%2F%2Fwww.webofscience.com%2Fwos%2Fwoscc%2Ffull-record%2FWOS:000658172800026","View Full Record in Web of Science")</f>
        <v/>
      </c>
    </row>
    <row r="164">
      <c r="A164" t="inlineStr">
        <is>
          <t>J</t>
        </is>
      </c>
      <c r="B164" t="inlineStr">
        <is>
          <t>Shrubsole, C; Das, P; Milner, J; Hamilton, IG; Spadaro, JV; Oikonomou, E; Davies, M; Wilkinson, P</t>
        </is>
      </c>
      <c r="F164" t="inlineStr">
        <is>
          <t>Shrubsole, C.; Das, P.; Milner, J.; Hamilton, I. G.; Spadaro, J. V.; Oikonomou, E.; Davies, M.; Wilkinson, P.</t>
        </is>
      </c>
      <c r="J164" t="inlineStr">
        <is>
          <t>ATMOSPHERIC ENVIRONMENT</t>
        </is>
      </c>
      <c r="M164" t="inlineStr">
        <is>
          <t>English</t>
        </is>
      </c>
      <c r="N164" t="inlineStr">
        <is>
          <t>Article</t>
        </is>
      </c>
      <c r="T164" t="inlineStr">
        <is>
          <t>A tale of two cities: Comparison of impacts on CO2 emissions, the indoor environment and health of home energy efficiency strategies in London and Milton Keynes</t>
        </is>
      </c>
      <c r="U164" t="inlineStr">
        <is>
          <t>Built environment; Housing; Energy efficiency; CO2 reduction; Indoor air quality; Health impacts</t>
        </is>
      </c>
      <c r="V164" t="inlineStr">
        <is>
          <t>LONG-TERM EXPOSURE; LUNG-CANCER; PARTICLES; RADON; TEMPERATURES; MORTALITY; DWELLINGS; POLICIES; QUALITY; FINE</t>
        </is>
      </c>
      <c r="W164" t="inlineStr">
        <is>
          <t>Dwellings are a substantial source of global CO2 emissions. The energy used in homes for heating, cooking and running electrical appliances is responsible for a quarter of current total UK emissions and is a key target of government policies for greenhouse gas abatement. Policymakers need to understand the potential impact that such decarbonization policies have-on the indoor environment and health for a full assessment of costs and benefits. We investigated these impacts in two contrasting settings of the UK: London, a predominantly older city and Milton Keynes, a growing new town. We employed SCRIBE, a building physics-based health impact model of the UK housing stock linked to the English Housing Survey, to examine changes, 2010-2050, in end-use energy demand, CO2 emissions, winter indoor temperatures, airborne pollutant concentrations and associated health impacts. For each location we modelled the existing (2010) housing stock and three future scenarios with different levels of energy efficiency interventions combined with either a business-as-usual, or accelerated decarbonization of the electricity grid approach. The potential for CO2 savings was appreciably greater in London than Milton Keynes except when substantial decarbonization of the electricity grid was assumed, largely because of the lower level of current energy efficiency in London and differences in the type and form of the housing stock. The average net impact on health per thousand population was greater in magnitude under all scenarios in London compared to Milton Keynes and more beneficial when it was assumed that purpose-provided ventilation (PPV) would be part of energy efficiency interventions, but more detrimental when interventions were assumed not to include PPV. These findings illustrate the importance of considering ventilation measures for health protection and the potential variation in the impact of home energy efficiency strategies, suggesting the need for tailored policy approaches in different locations, rather than adopting a universally rolled out strategy. (C) 2015 Elsevier Ltd. All rights reserved.</t>
        </is>
      </c>
      <c r="X164" t="inlineStr">
        <is>
          <t>[Shrubsole, C.; Das, P.; Davies, M.] UCL, UCL Inst Environm Design &amp; Engn, Bartlett Sch Environm Energy &amp; Resources, London WC1H 0NN, England; [Milner, J.; Wilkinson, P.] Univ London London Sch Hyg &amp; Trop Med, Dept Social &amp; Environm Hlth Res, London WC1H 9SH, England; [Hamilton, I. G.; Oikonomou, E.] UCL, UCL Energy Inst, Bartlett Sch Environm Energy &amp; Resources, London WC1H 0NN, England; [Spadaro, J. V.] BC3 Basque Ctr Climate Change, Bilbao 48008, Spain; [Das, P.] Univ Oxford, Rudolf Peierls Ctr Theoret Phys, Oxford OX1 3NP, England</t>
        </is>
      </c>
      <c r="Y164" t="inlineStr">
        <is>
          <t>University of London; University College London; University of London; London School of Hygiene &amp; Tropical Medicine; University of London; University College London; Basque Centre for Climate Change (BC3); University of Oxford</t>
        </is>
      </c>
      <c r="Z164" t="inlineStr">
        <is>
          <t>Shrubsole, C (corresponding author), UCL, UCL Inst Environm Design &amp; Engn, Bartlett Sch Environm Energy &amp; Resources, Cent House,14 Upper Woburn Pl, London WC1H 0NN, England.</t>
        </is>
      </c>
      <c r="AA164" t="inlineStr">
        <is>
          <t>clive.shrubsole.09@ucl.ac.uk; payel.das@ucl.ac.uk; James.Milner@lshtm.ac.uk; i.hamilton@ucl.ac.uk; joseph.spadaro@bc3research.org; e.oikonomou@ucl.ac.uk; michael.davies@ucl.ac.uk; Paul.Wilkinson@lshtm.ac.uk</t>
        </is>
      </c>
      <c r="AB164" t="inlineStr">
        <is>
          <t>Davies, Michael/GWV-2527-2022; Hamilton, Ian/O-6234-2014; Hamilton, Ian/O-6756-2019; Das, Payel/AAC-4783-2020; Spadaro, Joseph V./F-2938-2012; Das, Payel/GWQ-5753-2022; Shrubsole, Clive/L-7783-2018</t>
        </is>
      </c>
      <c r="AC164" t="inlineStr">
        <is>
          <t>Hamilton, Ian/0000-0003-2582-2361; Hamilton, Ian/0000-0003-2582-2361; Shrubsole, Clive/0000-0003-1212-3668; Das, Payel/0000-0002-3239-4222; Oikonomou, Eleni/0000-0001-8136-7696; Milner, James/0000-0003-0304-639X</t>
        </is>
      </c>
      <c r="AD164" t="inlineStr">
        <is>
          <t>European Union [265325]; Engineering and Physical Sciences Research Council [EP/K011839/1, EP/I02929X/1] Funding Source: researchfish; EPSRC [EP/K011839/1, EP/I02929X/1] Funding Source: UKRI</t>
        </is>
      </c>
      <c r="AE164" t="inlineStr">
        <is>
          <t>European Union(European Union (EU)); Engineering and Physical Sciences Research Council(UK Research &amp; Innovation (UKRI)Engineering &amp; Physical Sciences Research Council (EPSRC)); EPSRC(UK Research &amp; Innovation (UKRI)Engineering &amp; Physical Sciences Research Council (EPSRC))</t>
        </is>
      </c>
      <c r="AF164" t="inlineStr">
        <is>
          <t>The research leading to these results has received funding from the European Union Seventh Framework Programme FP7/2007-2013 under grant agreement no 265325 (PURGE). The authors wish to express their gratitude for this funding.</t>
        </is>
      </c>
      <c r="AH164" t="n">
        <v>58</v>
      </c>
      <c r="AI164" t="n">
        <v>7</v>
      </c>
      <c r="AJ164" t="n">
        <v>7</v>
      </c>
      <c r="AK164" t="n">
        <v>1</v>
      </c>
      <c r="AL164" t="n">
        <v>56</v>
      </c>
      <c r="AM164" t="inlineStr">
        <is>
          <t>PERGAMON-ELSEVIER SCIENCE LTD</t>
        </is>
      </c>
      <c r="AN164" t="inlineStr">
        <is>
          <t>OXFORD</t>
        </is>
      </c>
      <c r="AO164" t="inlineStr">
        <is>
          <t>THE BOULEVARD, LANGFORD LANE, KIDLINGTON, OXFORD OX5 1GB, ENGLAND</t>
        </is>
      </c>
      <c r="AP164" t="inlineStr">
        <is>
          <t>1352-2310</t>
        </is>
      </c>
      <c r="AQ164" t="inlineStr">
        <is>
          <t>1873-2844</t>
        </is>
      </c>
      <c r="AS164" t="inlineStr">
        <is>
          <t>ATMOS ENVIRON</t>
        </is>
      </c>
      <c r="AT164" t="inlineStr">
        <is>
          <t>Atmos. Environ.</t>
        </is>
      </c>
      <c r="AU164" t="inlineStr">
        <is>
          <t>NOV</t>
        </is>
      </c>
      <c r="AV164" t="n">
        <v>2015</v>
      </c>
      <c r="AW164" t="n">
        <v>120</v>
      </c>
      <c r="BC164" t="n">
        <v>100</v>
      </c>
      <c r="BD164" t="n">
        <v>108</v>
      </c>
      <c r="BF164" t="inlineStr">
        <is>
          <t>10.1016/j.atmosenv.2015.08.074</t>
        </is>
      </c>
      <c r="BG164">
        <f>HYPERLINK("http://dx.doi.org/10.1016/j.atmosenv.2015.08.074","http://dx.doi.org/10.1016/j.atmosenv.2015.08.074")</f>
        <v/>
      </c>
      <c r="BJ164" t="n">
        <v>9</v>
      </c>
      <c r="BK164" t="inlineStr">
        <is>
          <t>Environmental Sciences; Meteorology &amp; Atmospheric Sciences</t>
        </is>
      </c>
      <c r="BL164" t="inlineStr">
        <is>
          <t>Science Citation Index Expanded (SCI-EXPANDED)</t>
        </is>
      </c>
      <c r="BM164" t="inlineStr">
        <is>
          <t>Environmental Sciences &amp; Ecology; Meteorology &amp; Atmospheric Sciences</t>
        </is>
      </c>
      <c r="BN164" t="inlineStr">
        <is>
          <t>CV4SB</t>
        </is>
      </c>
      <c r="BP164" t="inlineStr">
        <is>
          <t>Green Accepted</t>
        </is>
      </c>
      <c r="BS164" t="inlineStr">
        <is>
          <t>2023-10-26</t>
        </is>
      </c>
      <c r="BT164" t="inlineStr">
        <is>
          <t>WOS:000364255700010</t>
        </is>
      </c>
      <c r="BU164">
        <f>HYPERLINK("https%3A%2F%2Fwww.webofscience.com%2Fwos%2Fwoscc%2Ffull-record%2FWOS:000364255700010","View Full Record in Web of Science")</f>
        <v/>
      </c>
    </row>
    <row r="165">
      <c r="A165" t="inlineStr">
        <is>
          <t>J</t>
        </is>
      </c>
      <c r="B165" t="inlineStr">
        <is>
          <t>Rui, JW; Zhang, HB; Shi, CN; Pan, D; Chen, Y; Du, CY</t>
        </is>
      </c>
      <c r="F165" t="inlineStr">
        <is>
          <t>Rui, Jingwen; Zhang, Huibo; Shi, Chengnan; Pan, Deng; Chen, Ya; Du, Chunyu</t>
        </is>
      </c>
      <c r="J165" t="inlineStr">
        <is>
          <t>SUSTAINABILITY</t>
        </is>
      </c>
      <c r="M165" t="inlineStr">
        <is>
          <t>English</t>
        </is>
      </c>
      <c r="N165" t="inlineStr">
        <is>
          <t>Article</t>
        </is>
      </c>
      <c r="T165" t="inlineStr">
        <is>
          <t>Survey on the Indoor Thermal Environment and Passive Design of Rural Residential Houses in the HSCW Zone of China</t>
        </is>
      </c>
      <c r="U165" t="inlineStr">
        <is>
          <t>rural residential houses; hot summer and cold winter (HSCW) zone; indoor thermal environment; passive design; phase change material; energy consumption</t>
        </is>
      </c>
      <c r="V165" t="inlineStr">
        <is>
          <t>COLD WINTER ZONE; HOT SUMMER; CLIMATE; BUILDINGS; COMFORT</t>
        </is>
      </c>
      <c r="W165" t="inlineStr">
        <is>
          <t>Despite their high energy consumption, rural residential houses in the hot summer and cold winter (HSCW) zone still have a generally poor indoor thermal environment. The objective of this study was to understand the current status of the indoor thermal environment for rural residential houses in the HSCW zone and analyze its cause in order to develop some strategies for improvement through passive design of the building envelope. Face-to-face questionnaires and interviews, air-tightness testing, and temperature and humidity monitoring were conducted to understand the building envelope, energy consumption, and indoor thermal environment. Then, some passive design strategies were simulated, including the application of functional interior materials such as hygroscopic and phase change materials. An overall passive design for the building envelope can increase the room temperature by 3.6 degrees C, reduce the indoor relative humidity by 12% in the winter, and reduce the room temperature by 4.4 degrees C in the summer. In addition, the annual energy-saving rate can reach similar to 35%.</t>
        </is>
      </c>
      <c r="X165" t="inlineStr">
        <is>
          <t>[Rui, Jingwen; Zhang, Huibo; Chen, Ya; Du, Chunyu] Shanghai Jiao Tong Univ, Sch Design, Dept Architecture, Shanghai 200240, Peoples R China; [Rui, Jingwen; Zhang, Huibo; Shi, Chengnan; Chen, Ya] Shanghai Jiao Tong Univ, China UK Low Carbon Coll, Shanghai 200240, Peoples R China; [Pan, Deng] Shanghai Univ, Mat Genome Inst, Shanghai 200444, Peoples R China; [Pan, Deng] Tsinghua Univ, Yangtze Delta Reg Inst, Ctr Adv Metall Mat, Jiaxing 314006, Peoples R China</t>
        </is>
      </c>
      <c r="Y165" t="inlineStr">
        <is>
          <t>Shanghai Jiao Tong University; Shanghai Jiao Tong University; Shanghai University; Tsinghua University</t>
        </is>
      </c>
      <c r="Z165" t="inlineStr">
        <is>
          <t>Zhang, HB (corresponding author), Shanghai Jiao Tong Univ, Sch Design, Dept Architecture, Shanghai 200240, Peoples R China.;Zhang, HB (corresponding author), Shanghai Jiao Tong Univ, China UK Low Carbon Coll, Shanghai 200240, Peoples R China.</t>
        </is>
      </c>
      <c r="AA165" t="inlineStr">
        <is>
          <t>ruijingwen@sjtu.edu.cn; zhanghuibo@sjtu.edu.cn; chengnanshi@sjtu.edu.cn; DPan_MGI@shu.edu.cn; madilyn@sjtu.edu.cn; cydu@sjtu.edu.cn</t>
        </is>
      </c>
      <c r="AB165" t="inlineStr">
        <is>
          <t>Zhang, Huibo/E-7659-2011</t>
        </is>
      </c>
      <c r="AC165" t="inlineStr">
        <is>
          <t>Shi, Chengnan/0000-0003-3253-9791; Zhang, Huibo/0000-0002-6474-5429</t>
        </is>
      </c>
      <c r="AD165" t="inlineStr">
        <is>
          <t>National Natural Science Foundation of China [51778358]</t>
        </is>
      </c>
      <c r="AE165" t="inlineStr">
        <is>
          <t>National Natural Science Foundation of China(National Natural Science Foundation of China (NSFC))</t>
        </is>
      </c>
      <c r="AF165" t="inlineStr">
        <is>
          <t>This research was funded by the National Natural Science Foundation of China (51778358).</t>
        </is>
      </c>
      <c r="AH165" t="n">
        <v>31</v>
      </c>
      <c r="AI165" t="n">
        <v>6</v>
      </c>
      <c r="AJ165" t="n">
        <v>6</v>
      </c>
      <c r="AK165" t="n">
        <v>1</v>
      </c>
      <c r="AL165" t="n">
        <v>49</v>
      </c>
      <c r="AM165" t="inlineStr">
        <is>
          <t>MDPI</t>
        </is>
      </c>
      <c r="AN165" t="inlineStr">
        <is>
          <t>BASEL</t>
        </is>
      </c>
      <c r="AO165" t="inlineStr">
        <is>
          <t>ST ALBAN-ANLAGE 66, CH-4052 BASEL, SWITZERLAND</t>
        </is>
      </c>
      <c r="AQ165" t="inlineStr">
        <is>
          <t>2071-1050</t>
        </is>
      </c>
      <c r="AS165" t="inlineStr">
        <is>
          <t>SUSTAINABILITY-BASEL</t>
        </is>
      </c>
      <c r="AT165" t="inlineStr">
        <is>
          <t>Sustainability</t>
        </is>
      </c>
      <c r="AU165" t="inlineStr">
        <is>
          <t>NOV</t>
        </is>
      </c>
      <c r="AV165" t="n">
        <v>2019</v>
      </c>
      <c r="AW165" t="n">
        <v>11</v>
      </c>
      <c r="AX165" t="n">
        <v>22</v>
      </c>
      <c r="BE165" t="n">
        <v>6471</v>
      </c>
      <c r="BF165" t="inlineStr">
        <is>
          <t>10.3390/su11226471</t>
        </is>
      </c>
      <c r="BG165">
        <f>HYPERLINK("http://dx.doi.org/10.3390/su11226471","http://dx.doi.org/10.3390/su11226471")</f>
        <v/>
      </c>
      <c r="BJ165" t="n">
        <v>19</v>
      </c>
      <c r="BK165" t="inlineStr">
        <is>
          <t>Green &amp; Sustainable Science &amp; Technology; Environmental Sciences; Environmental Studies</t>
        </is>
      </c>
      <c r="BL165" t="inlineStr">
        <is>
          <t>Science Citation Index Expanded (SCI-EXPANDED); Social Science Citation Index (SSCI)</t>
        </is>
      </c>
      <c r="BM165" t="inlineStr">
        <is>
          <t>Science &amp; Technology - Other Topics; Environmental Sciences &amp; Ecology</t>
        </is>
      </c>
      <c r="BN165" t="inlineStr">
        <is>
          <t>JW8DR</t>
        </is>
      </c>
      <c r="BP165" t="inlineStr">
        <is>
          <t>Green Published, gold</t>
        </is>
      </c>
      <c r="BS165" t="inlineStr">
        <is>
          <t>2023-10-26</t>
        </is>
      </c>
      <c r="BT165" t="inlineStr">
        <is>
          <t>WOS:000503277900284</t>
        </is>
      </c>
      <c r="BU165">
        <f>HYPERLINK("https%3A%2F%2Fwww.webofscience.com%2Fwos%2Fwoscc%2Ffull-record%2FWOS:000503277900284","View Full Record in Web of Science")</f>
        <v/>
      </c>
    </row>
    <row r="166">
      <c r="A166" t="inlineStr">
        <is>
          <t>J</t>
        </is>
      </c>
      <c r="B166" t="inlineStr">
        <is>
          <t>King, AC; King, DK; Banchoff, A; Solomonov, S; Ben Natan, O; Hua, J; Gardiner, P; Rosas, LG; Espinosa, PR; Winter, SJ; Sheats, J; Salvo, D; Aguilar-Farias, N; Stathi, A; Hino, AA; Porter, MM</t>
        </is>
      </c>
      <c r="F166" t="inlineStr">
        <is>
          <t>King, Abby C.; King, Diane K.; Banchoff, Ann; Solomonov, Smadar; Ben Natan, Ofir; Hua, Jenna; Gardiner, Paul; Rosas, Lisa Goldman; Espinosa, Patricia Rodriguez; Winter, Sandra J.; Sheats, Jylana; Salvo, Deborah; Aguilar-Farias, Nicolas; Stathi, Afroditi; Hino, Adriano Akira; Porter, Michelle M.</t>
        </is>
      </c>
      <c r="H166" t="inlineStr">
        <is>
          <t>Our Voice Global Citizen Sci Res N</t>
        </is>
      </c>
      <c r="J166" t="inlineStr">
        <is>
          <t>INTERNATIONAL JOURNAL OF ENVIRONMENTAL RESEARCH AND PUBLIC HEALTH</t>
        </is>
      </c>
      <c r="M166" t="inlineStr">
        <is>
          <t>English</t>
        </is>
      </c>
      <c r="N166" t="inlineStr">
        <is>
          <t>Article</t>
        </is>
      </c>
      <c r="T166" t="inlineStr">
        <is>
          <t>Employing Participatory Citizen Science Methods to Promote Age-Friendly Environments Worldwide</t>
        </is>
      </c>
      <c r="U166" t="inlineStr">
        <is>
          <t>citizen science; participatory research; older adults; aging; age-friendly environments; WHO; health promotion; health equity; digital health; built environment</t>
        </is>
      </c>
      <c r="V166" t="inlineStr">
        <is>
          <t>OLDER-ADULTS; HARNESSING TECHNOLOGY; NEIGHBORHOODS; HEALTH; COMMUNITIES; INFORMATION; DISABILITY; RESIDENTS; ISSUES; PPGIS</t>
        </is>
      </c>
      <c r="W166" t="inlineStr">
        <is>
          <t>The trajectory of aging is profoundly impacted by the physical and social environmental contexts in which we live. While top-down policy activities can have potentially wide impacts on such contexts, they often take time, resources, and political will, and therefore can be less accessible to underserved communities. This article describes a bottom-up, resident-engaged method to advance local environmental and policy change, called Our Voice, that can complement policy-level strategies for improving the health, function, and well-being of older adults. Using the World Health Organization's age-friendly cities global strategy, we describe the Our Voice citizen science program of research that has specifically targeted older adults as environmental change agents to improve their own health and well-being as well as that of their communities. Results from 14 Our Voice studies that have occurred across five continents demonstrate that older adults can learn to use mobile technology to systematically capture and collectively analyze their own data. They can then successfully build consensus around high-priority issues that can be realistically changed and work effectively with local stakeholders to enact meaningful environmental and policy changes that can help to promote healthy aging. The article ends with recommended next steps for growing the resident-engaged citizen science field to advance the health and welfare of all older adults.</t>
        </is>
      </c>
      <c r="X166" t="inlineStr">
        <is>
          <t>[King, Abby C.] Stanford Univ, Sch Med, Dept Epidemiol &amp; Populat Hlth, Stanford, CA 94305 USA; [King, Abby C.; Banchoff, Ann; Hua, Jenna; Rosas, Lisa Goldman; Espinosa, Patricia Rodriguez; Winter, Sandra J.; Sheats, Jylana; Salvo, Deborah] Stanford Univ, Sch Med, Dept Med, Stanford Prevent Res Ctr, Stanford, CA 94305 USA; [King, Diane K.] Univ Alaska Anchorage, Inst Social &amp; Econ Res, Ctr Behav Hlth Res &amp; Serv, Anchorage, AK 99508 USA; [Solomonov, Smadar; Ben Natan, Ofir] JDC Eshel, IL-91034 Jerusalem, Israel; [Gardiner, Paul] Univ Queensland, Fac Med, Brisbane, Qld 4072, Australia; [Aguilar-Farias, Nicolas] Univ La Frontera, Dept Phys Educ Sports &amp; Recreat, Temuco 4780000, Chile; [Stathi, Afroditi] Univ Birmingham, Sch Sport Exercise &amp; Rehabil Sci, Birmingham B15 2TT, W Midlands, England; [Hino, Adriano Akira] Pontificia Univ Catolica Parana PUCPR, Polytech Sch, Postgrad Program Hlth Technol PPGTS, BR-80215901 Curitiba, PR, Brazil; [Porter, Michelle M.] Univ Manitoba, Ctr Aging, Winnipeg, MB R3T 2N2, Canada; [Porter, Michelle M.] Univ Manitoba, Fac Kinesiol &amp; Recreat Management, Winnipeg, MB R3T 2N2, Canada</t>
        </is>
      </c>
      <c r="Y166" t="inlineStr">
        <is>
          <t>Stanford University; Stanford University; University of Alaska System; University of Alaska Anchorage; University of Queensland; Universidad de La Frontera; University of Birmingham; University of Manitoba; University of Manitoba</t>
        </is>
      </c>
      <c r="Z166" t="inlineStr">
        <is>
          <t>King, AC (corresponding author), Stanford Univ, Sch Med, Dept Epidemiol &amp; Populat Hlth, Stanford, CA 94305 USA.;King, AC (corresponding author), Stanford Univ, Sch Med, Dept Med, Stanford Prevent Res Ctr, Stanford, CA 94305 USA.</t>
        </is>
      </c>
      <c r="AA166" t="inlineStr">
        <is>
          <t>king@stanford.edu; dkking@alaska.edu; smadarso@jdc.org; ofirb@jdc.org; jennahua3@gmail.com; p.gardiner@uq.edu.au; lgrosas@stanford.edu; prespinosa@stanford.edu; sjwinter@stanford.edu; jsheats@tulane.edu; dsalvo@wustl.edu; nicolas.aguilar@ufrontera.cl; A.Stathi@bham.ac.uk; akira.hino@pucpr.br; michelle.porter@umanitoba.ca</t>
        </is>
      </c>
      <c r="AB166" t="inlineStr">
        <is>
          <t>Gardiner, Paul A/F-2751-2010; Winter, Sandi/HJA-3055-2022; Aguilar-Farias, Nicolas/V-2742-2018; King, Abby/AAD-5257-2021; Aguilar-Farias, Nicolas/AAF-5136-2019; STATHI, AFRODITI/AAM-4377-2020; Hino, Adriano Akira Ferreira/F-5532-2012; Porter, Michelle Marie/I-7038-2013; Santana, Elaine/GNP-2710-2022</t>
        </is>
      </c>
      <c r="AC166" t="inlineStr">
        <is>
          <t>Gardiner, Paul A/0000-0002-8072-2673; Winter, Sandi/0000-0002-4930-2005; Aguilar-Farias, Nicolas/0000-0002-6974-1312; Aguilar-Farias, Nicolas/0000-0002-6974-1312; STATHI, AFRODITI/0000-0003-2162-777X; Hino, Adriano Akira Ferreira/0000-0003-1649-9419; Porter, Michelle Marie/0000-0002-6333-6404; banchoff, ann/0000-0002-0185-2200; Salvo, Deborah/0000-0002-9726-0882; Goldman Rosas, Lisa/0000-0003-4053-7972; King, Abby/0000-0002-7949-8811</t>
        </is>
      </c>
      <c r="AD166" t="inlineStr">
        <is>
          <t>RobertWood Johnson Foundation [7334]; NIH National Cancer Institute [5R01CA211048, P20CA217199]; National Center for Research Resources; National Center for Advancing Translational Sciences, National Institutes of Health [UL1RR025744]; U.S. Public Health Service [5T32L007034]; National Heart, Lung and Blood Institute; Nutrilite Health Institute Wellness Fund; Amway; Silicon Valley Community Foundation [101518]; Discovery Innovation Fund in Basic Biomedical Sciences from Stanford University; Stanford University Office of Community Health; Get Healthy San Mateo County, CA Implementation Funds; National Council for Scientific and Technological Development (Brazil) CONICYT-CNPq [441970/2016-8]; ITRI-Taiwan; University Collaborative Research Program of University of Manitoba; Stanford Health Care Community Partnership grant</t>
        </is>
      </c>
      <c r="AE166" t="inlineStr">
        <is>
          <t>RobertWood Johnson Foundation(Robert Wood Johnson Foundation (RWJF)); NIH National Cancer Institute(United States Department of Health &amp; Human ServicesNational Institutes of Health (NIH) - USANIH National Cancer Institute (NCI)); National Center for Research Resources(United States Department of Health &amp; Human ServicesNational Institutes of Health (NIH) - USANIH National Center for Research Resources (NCRR)); National Center for Advancing Translational Sciences, National Institutes of Health(United States Department of Health &amp; Human ServicesNational Institutes of Health (NIH) - USANIH National Center for Advancing Translational Sciences (NCATS)); U.S. Public Health Service(United States Department of Health &amp; Human ServicesUnited States Public Health Service); National Heart, Lung and Blood Institute(United States Department of Health &amp; Human ServicesNational Institutes of Health (NIH) - USANIH National Heart Lung &amp; Blood Institute (NHLBI)); Nutrilite Health Institute Wellness Fund; Amway; Silicon Valley Community Foundation; Discovery Innovation Fund in Basic Biomedical Sciences from Stanford University; Stanford University Office of Community Health; Get Healthy San Mateo County, CA Implementation Funds; National Council for Scientific and Technological Development (Brazil) CONICYT-CNPq; ITRI-Taiwan; University Collaborative Research Program of University of Manitoba; Stanford Health Care Community Partnership grant</t>
        </is>
      </c>
      <c r="AF166" t="inlineStr">
        <is>
          <t>This research was funded in part by The RobertWood Johnson Foundation Grant ID#7334; NIH National Cancer Institute grants 5R01CA211048 and P20CA217199; the National Center for Research Resources and the National Center for Advancing Translational Sciences, National Institutes of Health through UL1RR025744; the U.S. Public Health Service grant #5T32L007034 from the National Heart, Lung and Blood Institute; the Nutrilite Health Institute Wellness Fund provided by Amway to the Stanford Prevention Research Center; the Silicon Valley Community Foundation award #101518; a grant from the Discovery Innovation Fund in Basic Biomedical Sciences from Stanford University; a Clinical Translational Science seed grant awarded through the Stanford University Office of Community Health; the Stanford Center for Innovation in Global Health; Get Healthy San Mateo County, CA Implementation Funds; National Commission for Scientific and Technological Research (Chile) and National Council for Scientific and Technological Development (Brazil) CONICYT-CNPq 441970/2016-8; seed grants from ITRI-Taiwan, JDC Eshel Israel, the University of Alaska Anchorage, the University of Queensland, the University Collaborative Research Program of University of Manitoba; and a Stanford Health Care Community Partnership grant.</t>
        </is>
      </c>
      <c r="AH166" t="n">
        <v>76</v>
      </c>
      <c r="AI166" t="n">
        <v>45</v>
      </c>
      <c r="AJ166" t="n">
        <v>45</v>
      </c>
      <c r="AK166" t="n">
        <v>2</v>
      </c>
      <c r="AL166" t="n">
        <v>35</v>
      </c>
      <c r="AM166" t="inlineStr">
        <is>
          <t>MDPI</t>
        </is>
      </c>
      <c r="AN166" t="inlineStr">
        <is>
          <t>BASEL</t>
        </is>
      </c>
      <c r="AO166" t="inlineStr">
        <is>
          <t>ST ALBAN-ANLAGE 66, CH-4052 BASEL, SWITZERLAND</t>
        </is>
      </c>
      <c r="AQ166" t="inlineStr">
        <is>
          <t>1660-4601</t>
        </is>
      </c>
      <c r="AS166" t="inlineStr">
        <is>
          <t>INT J ENV RES PUB HE</t>
        </is>
      </c>
      <c r="AT166" t="inlineStr">
        <is>
          <t>Int. J. Environ. Res. Public Health</t>
        </is>
      </c>
      <c r="AU166" t="inlineStr">
        <is>
          <t>MAR</t>
        </is>
      </c>
      <c r="AV166" t="n">
        <v>2020</v>
      </c>
      <c r="AW166" t="n">
        <v>17</v>
      </c>
      <c r="AX166" t="n">
        <v>5</v>
      </c>
      <c r="BE166" t="n">
        <v>1541</v>
      </c>
      <c r="BF166" t="inlineStr">
        <is>
          <t>10.3390/ijerph17051541</t>
        </is>
      </c>
      <c r="BG166">
        <f>HYPERLINK("http://dx.doi.org/10.3390/ijerph17051541","http://dx.doi.org/10.3390/ijerph17051541")</f>
        <v/>
      </c>
      <c r="BJ166" t="n">
        <v>30</v>
      </c>
      <c r="BK166" t="inlineStr">
        <is>
          <t>Environmental Sciences; Public, Environmental &amp; Occupational Health</t>
        </is>
      </c>
      <c r="BL166" t="inlineStr">
        <is>
          <t>Science Citation Index Expanded (SCI-EXPANDED); Social Science Citation Index (SSCI)</t>
        </is>
      </c>
      <c r="BM166" t="inlineStr">
        <is>
          <t>Environmental Sciences &amp; Ecology; Public, Environmental &amp; Occupational Health</t>
        </is>
      </c>
      <c r="BN166" t="inlineStr">
        <is>
          <t>KY2GJ</t>
        </is>
      </c>
      <c r="BO166" t="n">
        <v>32121001</v>
      </c>
      <c r="BP166" t="inlineStr">
        <is>
          <t>Green Submitted, gold, Green Accepted, Green Published</t>
        </is>
      </c>
      <c r="BS166" t="inlineStr">
        <is>
          <t>2023-10-26</t>
        </is>
      </c>
      <c r="BT166" t="inlineStr">
        <is>
          <t>WOS:000522389200081</t>
        </is>
      </c>
      <c r="BU166">
        <f>HYPERLINK("https%3A%2F%2Fwww.webofscience.com%2Fwos%2Fwoscc%2Ffull-record%2FWOS:000522389200081","View Full Record in Web of Science")</f>
        <v/>
      </c>
    </row>
    <row r="167">
      <c r="A167" t="inlineStr">
        <is>
          <t>J</t>
        </is>
      </c>
      <c r="B167" t="inlineStr">
        <is>
          <t>Salonen, H; Salthammer, T; Morawska, L</t>
        </is>
      </c>
      <c r="F167" t="inlineStr">
        <is>
          <t>Salonen, Heidi; Salthammer, Tunga; Morawska, Lidia</t>
        </is>
      </c>
      <c r="J167" t="inlineStr">
        <is>
          <t>ENVIRONMENT INTERNATIONAL</t>
        </is>
      </c>
      <c r="M167" t="inlineStr">
        <is>
          <t>English</t>
        </is>
      </c>
      <c r="N167" t="inlineStr">
        <is>
          <t>Review</t>
        </is>
      </c>
      <c r="T167" t="inlineStr">
        <is>
          <t>Human exposure to NO2 in school and office indoor environments</t>
        </is>
      </c>
      <c r="U167" t="inlineStr">
        <is>
          <t>Air pollution; Nitrogen dioxide; Sources; Indoor/outdoor ratio; School environments; Office environments</t>
        </is>
      </c>
      <c r="V167" t="inlineStr">
        <is>
          <t>CHILDREN ATTENDING SCHOOLS; VOLATILE ORGANIC-COMPOUNDS; SICK BUILDING SYNDROME; OUTDOOR AIR-POLLUTION; NITROGEN-DIOXIDE NO2; PERSONAL EXPOSURE; PARTICULATE MATTER; AUTOMOBILE EXHAUST; ELEMENTARY-SCHOOLS; BUSY ROADS</t>
        </is>
      </c>
      <c r="W167" t="inlineStr">
        <is>
          <t>Background: Although nitrogen dioxide (NO2) is one of the most common air pollutants encountered indoors, and extensive literature has examined the link between NO2 exposure and duration causing adverse respiratory effects in susceptible populations, information about global and local exposure to NO2 in different indoor environments is limited. To synthesize the existing knowledge, this review analyzes the magnitude of and the trends in global and local exposure to NO2 in schools and offices, and the factors that control exposure. Methods: For the literature review, Web of Science, SCOPUS, Google Scholar, and PubMed were searched using 42 search terms and their combinations to identify manuscripts, reports, and directives published between 1971 and 2019. The search was then extended to the reference lists of relevant articles. Results: The calculated median, as well as the mean, concentration of NO2 in school (median 21.1 mu g/m(3); mean 29.4 mu g/m(3)) and office settings (median 22.7 mu g/m(3); mean 25.1 mu g/m(3)) was well below the World Health Organization (WHO) guideline of 40 mu g/m(3) for the annual mean NO2 concentration. However, a large range of average concentrations of NO2 were reported, from 6.00 to 68.5 mu g/m(3) and from 3.40 to 56.5 mu g/m(3) for school and office environments, respectively, indicating situations where the WHO guidelines are exceeded. Outdoor levels of NO2 are a reliable predictor of indoor NO2 levels across seasons, with mean and median Indoor/Outdoor (I/O) ratios of 0.9 and 0.7 in school and 0.9 and 0.8 in office environments, respectively. The absence of major indoor NO2 emission sources and NO2 sinks, including chemical reactions and deposition, are the reasons for lower indoor NO2 concentrations. During the winter, outdoor NO2 concentrations are generally higher than during the summer. In addition, various building and indoor environment characteristics, such as type of ventilation, air exchange rates, airtightness of the envelope, furnishing and surface characteristics of the building, location of the building (urban versus suburban and proximity to traffic routes), as well as occupants' behavior (such as opening windows), have been statistically significantly associated with indoor NO2 levels in school and office environments. Conclusions: Indoor exposure to NO2 from the infiltration of ambient air can be significant in urban areas, and in the case of high traffic volume. Although reducing transportation emissions is challenging, there are several easier means to reduce indoor NO2 concentrations, including a ventilation strategy with suitable filters; location planning of new schools, classrooms, and ventilating windows or intakes; traffic planning (location and density); and reducing the use of NO2-releasing indoor sources.</t>
        </is>
      </c>
      <c r="X167" t="inlineStr">
        <is>
          <t>[Salonen, Heidi] Aalto Univ, Dept Civil Engn, POB 12100, FI-00076 Aalto, Finland; [Salonen, Heidi; Salthammer, Tunga; Morawska, Lidia] Queensland Univ Technol, Int Lab Air Qual &amp; Hlth, 2 George St, Brisbane, Qld 4001, Australia; [Salthammer, Tunga] Fraunhofer WKI, Dept Mat Anal &amp; Indoor Chem, D-38108 Braunschweig, Germany</t>
        </is>
      </c>
      <c r="Y167" t="inlineStr">
        <is>
          <t>Aalto University; Queensland University of Technology (QUT)</t>
        </is>
      </c>
      <c r="Z167" t="inlineStr">
        <is>
          <t>Salonen, H (corresponding author), Aalto Univ, Dept Civil Engn, POB 12100, FI-00076 Aalto, Finland.;Salthammer, T (corresponding author), Fraunhofer WKI, Dept Mat Anal &amp; Indoor Chem, D-38108 Braunschweig, Germany.</t>
        </is>
      </c>
      <c r="AA167" t="inlineStr">
        <is>
          <t>heidi.salonen@aalto.fi; tunga.salthammer@wki.fraunhofer.de</t>
        </is>
      </c>
      <c r="AB167" t="inlineStr">
        <is>
          <t>Salonen, Heidi/G-4685-2016; Morawska, Lidia/B-4140-2011; Salthammer, Tunga/F-6638-2013</t>
        </is>
      </c>
      <c r="AC167" t="inlineStr">
        <is>
          <t>Salonen, Heidi/0000-0002-3807-4895; Morawska, Lidia/0000-0002-0594-9683; Salthammer, Tunga/0000-0002-2370-8664</t>
        </is>
      </c>
      <c r="AD167" t="inlineStr">
        <is>
          <t>Business Finland [4098/31/2015]; German Federal Ministry for the Environment, Nature Conservation and Nuclear Safety (BMU) [IG II 2 - 45083-4/0]</t>
        </is>
      </c>
      <c r="AE167" t="inlineStr">
        <is>
          <t>Business Finland; German Federal Ministry for the Environment, Nature Conservation and Nuclear Safety (BMU)</t>
        </is>
      </c>
      <c r="AF167" t="inlineStr">
        <is>
          <t>H. Salonen is grateful to the Business Finland (grant 4098/31/2015), for financial support for her research visit to the Queensland University of Technology (Brisbane, Australia) and working with this research. T. Salthammer and L. Morawska are grateful to the German Federal Ministry for the Environment, Nature Conservation and Nuclear Safety (BMU) (grant IG II 2 - 45083-4/0) for financial support. The authors thank the German Committee on Indoor Guide Values (AIR) for communicating their results before publication. The authors also thank PhD (Tech) Tuomas Tala for his help with Figs. 2-5, PhD student Nini Pang for her help with SM Table S5, and PhD (Tech) Claudia Dell'Era for the language editing.</t>
        </is>
      </c>
      <c r="AH167" t="n">
        <v>135</v>
      </c>
      <c r="AI167" t="n">
        <v>71</v>
      </c>
      <c r="AJ167" t="n">
        <v>71</v>
      </c>
      <c r="AK167" t="n">
        <v>10</v>
      </c>
      <c r="AL167" t="n">
        <v>89</v>
      </c>
      <c r="AM167" t="inlineStr">
        <is>
          <t>PERGAMON-ELSEVIER SCIENCE LTD</t>
        </is>
      </c>
      <c r="AN167" t="inlineStr">
        <is>
          <t>OXFORD</t>
        </is>
      </c>
      <c r="AO167" t="inlineStr">
        <is>
          <t>THE BOULEVARD, LANGFORD LANE, KIDLINGTON, OXFORD OX5 1GB, ENGLAND</t>
        </is>
      </c>
      <c r="AP167" t="inlineStr">
        <is>
          <t>0160-4120</t>
        </is>
      </c>
      <c r="AQ167" t="inlineStr">
        <is>
          <t>1873-6750</t>
        </is>
      </c>
      <c r="AS167" t="inlineStr">
        <is>
          <t>ENVIRON INT</t>
        </is>
      </c>
      <c r="AT167" t="inlineStr">
        <is>
          <t>Environ. Int.</t>
        </is>
      </c>
      <c r="AU167" t="inlineStr">
        <is>
          <t>SEP</t>
        </is>
      </c>
      <c r="AV167" t="n">
        <v>2019</v>
      </c>
      <c r="AW167" t="n">
        <v>130</v>
      </c>
      <c r="BE167" t="n">
        <v>104887</v>
      </c>
      <c r="BF167" t="inlineStr">
        <is>
          <t>10.1016/j.envint.2019.05.081</t>
        </is>
      </c>
      <c r="BG167">
        <f>HYPERLINK("http://dx.doi.org/10.1016/j.envint.2019.05.081","http://dx.doi.org/10.1016/j.envint.2019.05.081")</f>
        <v/>
      </c>
      <c r="BJ167" t="n">
        <v>12</v>
      </c>
      <c r="BK167" t="inlineStr">
        <is>
          <t>Environmental Sciences</t>
        </is>
      </c>
      <c r="BL167" t="inlineStr">
        <is>
          <t>Science Citation Index Expanded (SCI-EXPANDED); Social Science Citation Index (SSCI)</t>
        </is>
      </c>
      <c r="BM167" t="inlineStr">
        <is>
          <t>Environmental Sciences &amp; Ecology</t>
        </is>
      </c>
      <c r="BN167" t="inlineStr">
        <is>
          <t>IM3ZP</t>
        </is>
      </c>
      <c r="BO167" t="n">
        <v>31195224</v>
      </c>
      <c r="BP167" t="inlineStr">
        <is>
          <t>Green Published, gold</t>
        </is>
      </c>
      <c r="BS167" t="inlineStr">
        <is>
          <t>2023-10-26</t>
        </is>
      </c>
      <c r="BT167" t="inlineStr">
        <is>
          <t>WOS:000477934800041</t>
        </is>
      </c>
      <c r="BU167">
        <f>HYPERLINK("https%3A%2F%2Fwww.webofscience.com%2Fwos%2Fwoscc%2Ffull-record%2FWOS:000477934800041","View Full Record in Web of Science")</f>
        <v/>
      </c>
    </row>
    <row r="168">
      <c r="A168" t="inlineStr">
        <is>
          <t>J</t>
        </is>
      </c>
      <c r="B168" t="inlineStr">
        <is>
          <t>Sales, D; Matsudo, V; Fisberg, M; Drenowatz, C; Marques, A; Ferrari, G</t>
        </is>
      </c>
      <c r="F168" t="inlineStr">
        <is>
          <t>Sales, Diego; Matsudo, Victor; Fisberg, Mauro; Drenowatz, Clemens; Marques, Adilson; Ferrari, Gerson</t>
        </is>
      </c>
      <c r="J168" t="inlineStr">
        <is>
          <t>INTERNATIONAL JOURNAL OF ENVIRONMENTAL RESEARCH AND PUBLIC HEALTH</t>
        </is>
      </c>
      <c r="M168" t="inlineStr">
        <is>
          <t>English</t>
        </is>
      </c>
      <c r="N168" t="inlineStr">
        <is>
          <t>Article</t>
        </is>
      </c>
      <c r="T168" t="inlineStr">
        <is>
          <t>Perception of the Neighborhood Environment, Physical Activity by Domain and Sitting Time in Brazilian Adults</t>
        </is>
      </c>
      <c r="U168" t="inlineStr">
        <is>
          <t>built environment; physical activity; sedentary time; active transportation</t>
        </is>
      </c>
      <c r="V168" t="inlineStr">
        <is>
          <t>ACTIVITY QUESTIONNAIRE; HEALTH; WALKABILITY; RELIABILITY; OBESITY; CITIES; URBAN; SCALE</t>
        </is>
      </c>
      <c r="W168" t="inlineStr">
        <is>
          <t>This study aimed to examine the association between the neighborhood environment and domain-specific physical activity and sitting time in Brazilian adults. This cross-sectional study included 1803 adults (53.7% women) from Brazil's five regions (North, Northeast, Midwest, Southeast and South). The perception of the environment was evaluated via a questionnaire. We considered seven indicators of the neighborhood environment: land use mix-diversity, land use mix-access, street connectivity, walking/cycling facilities, aesthetics, safety from traffic and safety from crime. Using the IPAQ, we evaluated physical activity (transport and leisure) and sitting time. Overall, land use mix-diversity (beta = 3.22; 95% CI = 0.26, 6.19), land use mix-access (beta = 2.27; 95% CI = 0.76, 3.79), and walking/cycling facilities (beta = 2.42; 95% CI = 0.35, 4.49) were positively associated with leisure-time physical activity (min/week). On the other hand, only land use mix-diversity (beta = 3.65; 95% CI = 0.63, 5.49) was positively associated with transport physical activity (min/week). No neighborhood environment indicator was associated with sitting time (min/day). Perception of the neighborhood environment was associated with physical activity (transport and leisure), while no significant associations occurred with sitting time among the five regions of Brazil. The neighborhood environment can be a viable component in the promotion of physical activity, but geographic diversity must be considered.</t>
        </is>
      </c>
      <c r="X168" t="inlineStr">
        <is>
          <t>[Sales, Diego; Matsudo, Victor] Ctr Estudos Lab Aptidao Fis Sao Caetano Do Sul CEL, BR-09521160 Sao Caetano do Sul, Brazil; [Sales, Diego; Fisberg, Mauro] Univ Fed Sao Paulo, Dept Pediat, BR-04023061 Sao Paulo, Brazil; [Fisberg, Mauro] Fundacao Jose Luiz Egydio Setubal, Hosp Infantil Sabara, Inst Pensi, BR-01228200 Sao Paulo, Brazil; [Drenowatz, Clemens] Padag Hsch Oberosterreich, Div Sport Phys Act &amp; Hlth, A-4020 Linz, Austria; [Marques, Adilson] Univ Lisbon, Fac Motricidade Humana, CIPER, P-1499002 Lisbon, Portugal; [Marques, Adilson] Univ Lisbon, ISAMB, P-1649028 Lisbon, Portugal; [Ferrari, Gerson] Univ Autonoma Chile, Fac Hlth Sci, Providencia 7500912, Chile</t>
        </is>
      </c>
      <c r="Y168" t="inlineStr">
        <is>
          <t>Universidade Federal de Sao Paulo (UNIFESP); Universidade de Lisboa; Universidade de Lisboa; Universidad Autonoma de Chile</t>
        </is>
      </c>
      <c r="Z168" t="inlineStr">
        <is>
          <t>Ferrari, G (corresponding author), Univ Autonoma Chile, Fac Hlth Sci, Providencia 7500912, Chile.</t>
        </is>
      </c>
      <c r="AA168" t="inlineStr">
        <is>
          <t>gerson.demoraes@uautonoma.cl</t>
        </is>
      </c>
      <c r="AB168" t="inlineStr">
        <is>
          <t>Ferrari, Gerson/HHM-6173-2022; Marques, Adilson/K-4529-2014; Drenowatz, Clemens/A-1928-2013; Fisberg, Mauro/E-7149-2010</t>
        </is>
      </c>
      <c r="AC168" t="inlineStr">
        <is>
          <t>Ferrari, Gerson/0000-0003-3177-6576; Marques, Adilson/0000-0001-9850-7771; Drenowatz, Clemens/0000-0002-3861-5364; Fisberg, Mauro/0000-0003-2992-3215; Sales, Diego/0000-0002-6251-6112</t>
        </is>
      </c>
      <c r="AH168" t="n">
        <v>79</v>
      </c>
      <c r="AI168" t="n">
        <v>0</v>
      </c>
      <c r="AJ168" t="n">
        <v>0</v>
      </c>
      <c r="AK168" t="n">
        <v>6</v>
      </c>
      <c r="AL168" t="n">
        <v>13</v>
      </c>
      <c r="AM168" t="inlineStr">
        <is>
          <t>MDPI</t>
        </is>
      </c>
      <c r="AN168" t="inlineStr">
        <is>
          <t>BASEL</t>
        </is>
      </c>
      <c r="AO168" t="inlineStr">
        <is>
          <t>ST ALBAN-ANLAGE 66, CH-4052 BASEL, SWITZERLAND</t>
        </is>
      </c>
      <c r="AQ168" t="inlineStr">
        <is>
          <t>1660-4601</t>
        </is>
      </c>
      <c r="AS168" t="inlineStr">
        <is>
          <t>INT J ENV RES PUB HE</t>
        </is>
      </c>
      <c r="AT168" t="inlineStr">
        <is>
          <t>Int. J. Environ. Res. Public Health</t>
        </is>
      </c>
      <c r="AU168" t="inlineStr">
        <is>
          <t>DEC</t>
        </is>
      </c>
      <c r="AV168" t="n">
        <v>2022</v>
      </c>
      <c r="AW168" t="n">
        <v>19</v>
      </c>
      <c r="AX168" t="n">
        <v>23</v>
      </c>
      <c r="BE168" t="n">
        <v>15744</v>
      </c>
      <c r="BF168" t="inlineStr">
        <is>
          <t>10.3390/ijerph192315744</t>
        </is>
      </c>
      <c r="BG168">
        <f>HYPERLINK("http://dx.doi.org/10.3390/ijerph192315744","http://dx.doi.org/10.3390/ijerph192315744")</f>
        <v/>
      </c>
      <c r="BJ168" t="n">
        <v>14</v>
      </c>
      <c r="BK168" t="inlineStr">
        <is>
          <t>Environmental Sciences; Public, Environmental &amp; Occupational Health</t>
        </is>
      </c>
      <c r="BL168" t="inlineStr">
        <is>
          <t>Science Citation Index Expanded (SCI-EXPANDED); Social Science Citation Index (SSCI)</t>
        </is>
      </c>
      <c r="BM168" t="inlineStr">
        <is>
          <t>Environmental Sciences &amp; Ecology; Public, Environmental &amp; Occupational Health</t>
        </is>
      </c>
      <c r="BN168" t="inlineStr">
        <is>
          <t>6X2PC</t>
        </is>
      </c>
      <c r="BO168" t="n">
        <v>36497825</v>
      </c>
      <c r="BP168" t="inlineStr">
        <is>
          <t>gold, Green Published</t>
        </is>
      </c>
      <c r="BS168" t="inlineStr">
        <is>
          <t>2023-10-26</t>
        </is>
      </c>
      <c r="BT168" t="inlineStr">
        <is>
          <t>WOS:000896260400001</t>
        </is>
      </c>
      <c r="BU168">
        <f>HYPERLINK("https%3A%2F%2Fwww.webofscience.com%2Fwos%2Fwoscc%2Ffull-record%2FWOS:000896260400001","View Full Record in Web of Science")</f>
        <v/>
      </c>
    </row>
    <row r="169">
      <c r="A169" t="inlineStr">
        <is>
          <t>J</t>
        </is>
      </c>
      <c r="B169" t="inlineStr">
        <is>
          <t>Orman, LJ; Honus, S; Jastrzebska, P</t>
        </is>
      </c>
      <c r="F169" t="inlineStr">
        <is>
          <t>Orman, Lukasz J.; Honus, Stanislav; Jastrzebska, Paulina</t>
        </is>
      </c>
      <c r="J169" t="inlineStr">
        <is>
          <t>ROCZNIK OCHRONA SRODOWISKA</t>
        </is>
      </c>
      <c r="M169" t="inlineStr">
        <is>
          <t>English</t>
        </is>
      </c>
      <c r="N169" t="inlineStr">
        <is>
          <t>Article</t>
        </is>
      </c>
      <c r="T169" t="inlineStr">
        <is>
          <t>Investigation of Thermal Comfort in the Intelligent Building in Winter Conditions</t>
        </is>
      </c>
      <c r="U169" t="inlineStr">
        <is>
          <t>indoor environment; intelligent building; thermal comfort</t>
        </is>
      </c>
      <c r="W169" t="inlineStr">
        <is>
          <t>The paper analyses thermal sensations, preferences and acceptability as well as humidity sensations of students in the intelligent building Energis of the Kielce University of Technology (Poland). The tests were performed in 8 lecture rooms, during which the volunteers filled in the anonymous questionnaires (with 3 to 7 possible answers for each question) and - simultaneously - physical air parameters were measured with Testo 400 microclimate meter. The study aimed to determine if the intelligent building provides proper indoor environment conditions during the heating season and to assess the accuracy of the standard methodology for thermal comfort determination. Experimental analysis of thermal and humidity sensations revealed that a share of the respondents critically assessed the indoor environment: 17% regarding temperature and 30% regarding humidity. Moreover, the standard methodology for thermal comfort calculations proved overwhelmingly inaccurate compared to the experimental data (with the results for 6 rooms being beyond the 50% error range). Since smart buildings are still not very common in Central Europe, the experimental data obtained in the study can be valuable both from the scientific but also practical point of view - providing useful data for building engineers and designers.</t>
        </is>
      </c>
      <c r="X169" t="inlineStr">
        <is>
          <t>[Orman, Lukasz J.; Jastrzebska, Paulina] Kielce Univ Technol, Fac Environm Engn Geodesy &amp; Renewable Energy, Kielce, Poland; [Honus, Stanislav] VSB Tech Univ Ostrava, Fac Mech Engn, Ostrava, Czech Republic</t>
        </is>
      </c>
      <c r="Y169" t="inlineStr">
        <is>
          <t>Kielce University of Technology; Technical University of Ostrava</t>
        </is>
      </c>
      <c r="Z169" t="inlineStr">
        <is>
          <t>Orman, LJ (corresponding author), Kielce Univ Technol, Fac Environm Engn Geodesy &amp; Renewable Energy, Kielce, Poland.</t>
        </is>
      </c>
      <c r="AA169" t="inlineStr">
        <is>
          <t>orman@tu.kielce.pl</t>
        </is>
      </c>
      <c r="AC169" t="inlineStr">
        <is>
          <t>Orman, Lukasz/0000-0002-2221-1824</t>
        </is>
      </c>
      <c r="AH169" t="n">
        <v>19</v>
      </c>
      <c r="AI169" t="n">
        <v>0</v>
      </c>
      <c r="AJ169" t="n">
        <v>0</v>
      </c>
      <c r="AK169" t="n">
        <v>2</v>
      </c>
      <c r="AL169" t="n">
        <v>2</v>
      </c>
      <c r="AM169" t="inlineStr">
        <is>
          <t>MIDDLE POMERANIAN SCI SOC ENV PROT</t>
        </is>
      </c>
      <c r="AN169" t="inlineStr">
        <is>
          <t>KOSZALIN</t>
        </is>
      </c>
      <c r="AO169" t="inlineStr">
        <is>
          <t>KOLLATAJA 1-1, KOSZALIN, 75-448, POLAND</t>
        </is>
      </c>
      <c r="AP169" t="inlineStr">
        <is>
          <t>1506-218X</t>
        </is>
      </c>
      <c r="AS169" t="inlineStr">
        <is>
          <t>ROCZ OCHR SR</t>
        </is>
      </c>
      <c r="AT169" t="inlineStr">
        <is>
          <t>Rocz. Ochr. Sr.</t>
        </is>
      </c>
      <c r="AV169" t="n">
        <v>2023</v>
      </c>
      <c r="AW169" t="n">
        <v>25</v>
      </c>
      <c r="BC169" t="n">
        <v>45</v>
      </c>
      <c r="BD169" t="n">
        <v>54</v>
      </c>
      <c r="BF169" t="inlineStr">
        <is>
          <t>10.54740/ros.2023.006</t>
        </is>
      </c>
      <c r="BG169">
        <f>HYPERLINK("http://dx.doi.org/10.54740/ros.2023.006","http://dx.doi.org/10.54740/ros.2023.006")</f>
        <v/>
      </c>
      <c r="BJ169" t="n">
        <v>10</v>
      </c>
      <c r="BK169" t="inlineStr">
        <is>
          <t>Environmental Sciences</t>
        </is>
      </c>
      <c r="BL169" t="inlineStr">
        <is>
          <t>Science Citation Index Expanded (SCI-EXPANDED)</t>
        </is>
      </c>
      <c r="BM169" t="inlineStr">
        <is>
          <t>Environmental Sciences &amp; Ecology</t>
        </is>
      </c>
      <c r="BN169" t="inlineStr">
        <is>
          <t>I1NC5</t>
        </is>
      </c>
      <c r="BS169" t="inlineStr">
        <is>
          <t>2023-10-26</t>
        </is>
      </c>
      <c r="BT169" t="inlineStr">
        <is>
          <t>WOS:001000509400006</t>
        </is>
      </c>
      <c r="BU169">
        <f>HYPERLINK("https%3A%2F%2Fwww.webofscience.com%2Fwos%2Fwoscc%2Ffull-record%2FWOS:001000509400006","View Full Record in Web of Science")</f>
        <v/>
      </c>
    </row>
    <row r="170">
      <c r="A170" t="inlineStr">
        <is>
          <t>J</t>
        </is>
      </c>
      <c r="B170" t="inlineStr">
        <is>
          <t>Baeza, A; García-Paniagua, J; Guillén, J; Montalbán, B</t>
        </is>
      </c>
      <c r="F170" t="inlineStr">
        <is>
          <t>Baeza, A.; Garcia-Paniagua, J.; Guillen, J.; Montalban, B.</t>
        </is>
      </c>
      <c r="J170" t="inlineStr">
        <is>
          <t>SCIENCE OF THE TOTAL ENVIRONMENT</t>
        </is>
      </c>
      <c r="M170" t="inlineStr">
        <is>
          <t>English</t>
        </is>
      </c>
      <c r="N170" t="inlineStr">
        <is>
          <t>Article</t>
        </is>
      </c>
      <c r="T170" t="inlineStr">
        <is>
          <t>Influence of architectural style on indoor radon concentration in a radon prone area: A case study</t>
        </is>
      </c>
      <c r="U170" t="inlineStr">
        <is>
          <t>Radon; Building regulation; Radon prone area; Architectural style</t>
        </is>
      </c>
      <c r="V170" t="inlineStr">
        <is>
          <t>CACERES SPAIN; SOIL-GAS; MAPS; EXHALATION; OUTDOOR; EUROPE; HAZARD</t>
        </is>
      </c>
      <c r="W170" t="inlineStr">
        <is>
          <t>Indoor radon is a major health concern as it is a known carcinogenic. Nowadays there is a trend towards a greater energy conservation in buildings, which is reflected in an increasing number of regulations. But, can this trend increase the indoor radon concentration? In this paper, we selected a radon prone area in Spain and focused on single-family dwellings constructed in a variety of architectural styles. These styles ranged from 1729 up to 2014, with varying construction techniques (from local resources to almost universally standard building materials) and regulations in force (from none to the Spanish regulation in force). The 226Ra concentrations in soil and surface radon exhalation rates were rather similar in this area, mean values ranging 70-126 Bq/kg and 49100 mBq/m(2).s, respectively. Indoor radon concentration was generally greater than the contribution from soil exhalation (surface exhalation rates), especially in New dwellings (1980-2014). Its concentration in dwellings built in the Traditional style (1729-1940) was significantly lower than in the new houses. This can be consequence of the air tightness of the dwellings as a consequence of the different regulations in force. In the period covered by the Traditional style, there was no regulation in force, and dwelling had loose air tight. Whereas in recent times, there are mandatory regulations assuring a better air tightness of the buildings. Refurbishment of Traditional dwellings also seems to increase the indoor radon concentration, as they must also comply with the regulations in force. (C) 2017 Elsevier B.V. All rights reserved.</t>
        </is>
      </c>
      <c r="X170" t="inlineStr">
        <is>
          <t>[Baeza, A.; Garcia-Paniagua, J.; Guillen, J.] Univ Extremadura, LARUEX, Environm Radioact Lab, Dpt Appl Phys,Fac Vet Sci, Avda Univ S-N, Caceres 10003, Spain; [Montalban, B.] Univ Extremadura, Dpt Construct, Polytech Sch, Avda Univ S-N, Caceres 10003, Spain</t>
        </is>
      </c>
      <c r="Y170" t="inlineStr">
        <is>
          <t>Universidad de Extremadura; Universidad de Extremadura</t>
        </is>
      </c>
      <c r="Z170" t="inlineStr">
        <is>
          <t>Guillén, J (corresponding author), Univ Extremadura, LARUEX, Environm Radioact Lab, Dpt Appl Phys,Fac Vet Sci, Avda Univ S-N, Caceres 10003, Spain.</t>
        </is>
      </c>
      <c r="AA170" t="inlineStr">
        <is>
          <t>fguillen@unex.es</t>
        </is>
      </c>
      <c r="AB170" t="inlineStr">
        <is>
          <t>Pozas, Beatriz Montalbán/ABG-8710-2020; Guillen, Javier/K-8307-2014</t>
        </is>
      </c>
      <c r="AC170" t="inlineStr">
        <is>
          <t>Pozas, Beatriz Montalbán/0000-0002-1065-0969; Guillen, Javier/0000-0003-4351-9286; Garcia Paniagua, Jorge/0000-0002-9153-8011</t>
        </is>
      </c>
      <c r="AD170" t="inlineStr">
        <is>
          <t>Junta de Extremadura [FQM001]</t>
        </is>
      </c>
      <c r="AE170" t="inlineStr">
        <is>
          <t>Junta de Extremadura</t>
        </is>
      </c>
      <c r="AF170" t="inlineStr">
        <is>
          <t>This work was partially supported by the grant to the LARUEX research group (FQM001) from Junta de Extremadura.</t>
        </is>
      </c>
      <c r="AH170" t="n">
        <v>31</v>
      </c>
      <c r="AI170" t="n">
        <v>28</v>
      </c>
      <c r="AJ170" t="n">
        <v>30</v>
      </c>
      <c r="AK170" t="n">
        <v>0</v>
      </c>
      <c r="AL170" t="n">
        <v>29</v>
      </c>
      <c r="AM170" t="inlineStr">
        <is>
          <t>ELSEVIER</t>
        </is>
      </c>
      <c r="AN170" t="inlineStr">
        <is>
          <t>AMSTERDAM</t>
        </is>
      </c>
      <c r="AO170" t="inlineStr">
        <is>
          <t>RADARWEG 29, 1043 NX AMSTERDAM, NETHERLANDS</t>
        </is>
      </c>
      <c r="AP170" t="inlineStr">
        <is>
          <t>0048-9697</t>
        </is>
      </c>
      <c r="AQ170" t="inlineStr">
        <is>
          <t>1879-1026</t>
        </is>
      </c>
      <c r="AS170" t="inlineStr">
        <is>
          <t>SCI TOTAL ENVIRON</t>
        </is>
      </c>
      <c r="AT170" t="inlineStr">
        <is>
          <t>Sci. Total Environ.</t>
        </is>
      </c>
      <c r="AU170" t="inlineStr">
        <is>
          <t>JAN 1</t>
        </is>
      </c>
      <c r="AV170" t="n">
        <v>2018</v>
      </c>
      <c r="AW170" t="n">
        <v>610</v>
      </c>
      <c r="BC170" t="n">
        <v>258</v>
      </c>
      <c r="BD170" t="n">
        <v>266</v>
      </c>
      <c r="BF170" t="inlineStr">
        <is>
          <t>10.1016/j.scitotenv.2017.08.056</t>
        </is>
      </c>
      <c r="BG170">
        <f>HYPERLINK("http://dx.doi.org/10.1016/j.scitotenv.2017.08.056","http://dx.doi.org/10.1016/j.scitotenv.2017.08.056")</f>
        <v/>
      </c>
      <c r="BJ170" t="n">
        <v>9</v>
      </c>
      <c r="BK170" t="inlineStr">
        <is>
          <t>Environmental Sciences</t>
        </is>
      </c>
      <c r="BL170" t="inlineStr">
        <is>
          <t>Science Citation Index Expanded (SCI-EXPANDED)</t>
        </is>
      </c>
      <c r="BM170" t="inlineStr">
        <is>
          <t>Environmental Sciences &amp; Ecology</t>
        </is>
      </c>
      <c r="BN170" t="inlineStr">
        <is>
          <t>FI3VI</t>
        </is>
      </c>
      <c r="BO170" t="n">
        <v>28803201</v>
      </c>
      <c r="BS170" t="inlineStr">
        <is>
          <t>2023-10-26</t>
        </is>
      </c>
      <c r="BT170" t="inlineStr">
        <is>
          <t>WOS:000411897700027</t>
        </is>
      </c>
      <c r="BU170">
        <f>HYPERLINK("https%3A%2F%2Fwww.webofscience.com%2Fwos%2Fwoscc%2Ffull-record%2FWOS:000411897700027","View Full Record in Web of Science")</f>
        <v/>
      </c>
    </row>
    <row r="171">
      <c r="A171" t="inlineStr">
        <is>
          <t>J</t>
        </is>
      </c>
      <c r="B171" t="inlineStr">
        <is>
          <t>Chen, J; Dai, XY; Guo, Y; Zhu, JR; Mei, XM; Deng, M; Sun, G</t>
        </is>
      </c>
      <c r="F171" t="inlineStr">
        <is>
          <t>Chen, Jie; Dai, Xinyi; Guo, Ya; Zhu, Jingru; Mei, Xiaoming; Deng, Min; Sun, Geng</t>
        </is>
      </c>
      <c r="J171" t="inlineStr">
        <is>
          <t>REMOTE SENSING</t>
        </is>
      </c>
      <c r="M171" t="inlineStr">
        <is>
          <t>English</t>
        </is>
      </c>
      <c r="N171" t="inlineStr">
        <is>
          <t>Article</t>
        </is>
      </c>
      <c r="T171" t="inlineStr">
        <is>
          <t>Urban Built Environment Assessment Based on Scene Understanding of High-Resolution Remote Sensing Imagery</t>
        </is>
      </c>
      <c r="U171" t="inlineStr">
        <is>
          <t>remote sensing; urban-built-environment assessment; spatial cognition; image understanding</t>
        </is>
      </c>
      <c r="V171" t="inlineStr">
        <is>
          <t>GOOGLE STREET VIEW; PHYSICAL-ACTIVITY; QUALITIES; HEALTH; CITY; SUSTAINABILITY; SATISFACTION; WALKABILITY; PERCEPTIONS; INDICATORS</t>
        </is>
      </c>
      <c r="W171" t="inlineStr">
        <is>
          <t>A high-quality built environment is important for human health and well-being. Assessing the quality of the urban built environment can provide planners and managers with decision-making for urban renewal to improve resident satisfaction. Many studies evaluate the built environment from the perspective of street scenes, but it is difficult for street-view data to cover every area of the built environment and its update frequency is low, which cannot meet the requirement of built-environment assessment under rapid urban development. Earth-observation data have the advantages of wide coverage, high update frequency, and good availability. This paper proposes an intelligent evaluation method for urban built environments based on scene understanding of high-resolution remote-sensing images. It contributes not only the assessment criteria for the built environment in remote-sensing images from the perspective of visual cognition but also an image-caption dataset applicable to urban-built-environment assessment. The results show that the proposed deep-learning-driven method can provide a feasible paradigm for representing high-resolution remote-sensing image scenes and large-scale urban-built-area assessment.</t>
        </is>
      </c>
      <c r="X171" t="inlineStr">
        <is>
          <t>[Chen, Jie; Dai, Xinyi; Guo, Ya; Zhu, Jingru; Mei, Xiaoming; Deng, Min; Sun, Geng] Cent South Univ, Sch Geosci &amp; Info Phys, Changsha 410083, Peoples R China</t>
        </is>
      </c>
      <c r="Y171" t="inlineStr">
        <is>
          <t>Central South University</t>
        </is>
      </c>
      <c r="Z171" t="inlineStr">
        <is>
          <t>Sun, G (corresponding author), Cent South Univ, Sch Geosci &amp; Info Phys, Changsha 410083, Peoples R China.</t>
        </is>
      </c>
      <c r="AA171" t="inlineStr">
        <is>
          <t>sungeng@csu.edu.cn</t>
        </is>
      </c>
      <c r="AB171" t="inlineStr">
        <is>
          <t>Jiang, Yu/JEZ-9814-2023; wang, qi/ITT-9652-2023; Liu, Jing/IQX-0664-2023; Santana, Elaine/GNP-2710-2022; Sun, Geng/AAC-5352-2020; chen, jie/HQY-7507-2023; qi, li/JFE-7167-2023; cao, lili/JJF-4531-2023</t>
        </is>
      </c>
      <c r="AC171" t="inlineStr">
        <is>
          <t>Sun, Geng/0000-0001-7802-4908; chen, jie/0000-0002-3864-9265</t>
        </is>
      </c>
      <c r="AD171" t="inlineStr">
        <is>
          <t>National Natural Science Foundation of China [42071427]; National Key Research and Development Program of China [2020YFA0713503]; Central South University Research Programme of Advanced Interdisciplinary Studies [2023QYJC033]</t>
        </is>
      </c>
      <c r="AE171" t="inlineStr">
        <is>
          <t>National Natural Science Foundation of China(National Natural Science Foundation of China (NSFC)); National Key Research and Development Program of China; Central South University Research Programme of Advanced Interdisciplinary Studies</t>
        </is>
      </c>
      <c r="AF171" t="inlineStr">
        <is>
          <t>This research was funded by the National Natural Science Foundation of China, grant 42071427; in part by the National Key Research and Development Program of China, grant 2020YFA0713503; and in part by the Central South University Research Programme of Advanced Interdisciplinary Studies, grant 2023QYJC033.</t>
        </is>
      </c>
      <c r="AH171" t="n">
        <v>76</v>
      </c>
      <c r="AI171" t="n">
        <v>1</v>
      </c>
      <c r="AJ171" t="n">
        <v>1</v>
      </c>
      <c r="AK171" t="n">
        <v>26</v>
      </c>
      <c r="AL171" t="n">
        <v>34</v>
      </c>
      <c r="AM171" t="inlineStr">
        <is>
          <t>MDPI</t>
        </is>
      </c>
      <c r="AN171" t="inlineStr">
        <is>
          <t>BASEL</t>
        </is>
      </c>
      <c r="AO171" t="inlineStr">
        <is>
          <t>ST ALBAN-ANLAGE 66, CH-4052 BASEL, SWITZERLAND</t>
        </is>
      </c>
      <c r="AQ171" t="inlineStr">
        <is>
          <t>2072-4292</t>
        </is>
      </c>
      <c r="AS171" t="inlineStr">
        <is>
          <t>REMOTE SENS-BASEL</t>
        </is>
      </c>
      <c r="AT171" t="inlineStr">
        <is>
          <t>Remote Sens.</t>
        </is>
      </c>
      <c r="AU171" t="inlineStr">
        <is>
          <t>MAR</t>
        </is>
      </c>
      <c r="AV171" t="n">
        <v>2023</v>
      </c>
      <c r="AW171" t="n">
        <v>15</v>
      </c>
      <c r="AX171" t="n">
        <v>5</v>
      </c>
      <c r="BE171" t="n">
        <v>1436</v>
      </c>
      <c r="BF171" t="inlineStr">
        <is>
          <t>10.3390/rs15051436</t>
        </is>
      </c>
      <c r="BG171">
        <f>HYPERLINK("http://dx.doi.org/10.3390/rs15051436","http://dx.doi.org/10.3390/rs15051436")</f>
        <v/>
      </c>
      <c r="BJ171" t="n">
        <v>26</v>
      </c>
      <c r="BK171" t="inlineStr">
        <is>
          <t>Environmental Sciences; Geosciences, Multidisciplinary; Remote Sensing; Imaging Science &amp; Photographic Technology</t>
        </is>
      </c>
      <c r="BL171" t="inlineStr">
        <is>
          <t>Science Citation Index Expanded (SCI-EXPANDED)</t>
        </is>
      </c>
      <c r="BM171" t="inlineStr">
        <is>
          <t>Environmental Sciences &amp; Ecology; Geology; Remote Sensing; Imaging Science &amp; Photographic Technology</t>
        </is>
      </c>
      <c r="BN171" t="inlineStr">
        <is>
          <t>9U0ZW</t>
        </is>
      </c>
      <c r="BP171" t="inlineStr">
        <is>
          <t>gold</t>
        </is>
      </c>
      <c r="BS171" t="inlineStr">
        <is>
          <t>2023-10-26</t>
        </is>
      </c>
      <c r="BT171" t="inlineStr">
        <is>
          <t>WOS:000947451300001</t>
        </is>
      </c>
      <c r="BU171">
        <f>HYPERLINK("https%3A%2F%2Fwww.webofscience.com%2Fwos%2Fwoscc%2Ffull-record%2FWOS:000947451300001","View Full Record in Web of Science")</f>
        <v/>
      </c>
    </row>
    <row r="172">
      <c r="A172" t="inlineStr">
        <is>
          <t>J</t>
        </is>
      </c>
      <c r="B172" t="inlineStr">
        <is>
          <t>Cengiz, C; Cengiz, B; Smardon, RC; Karaelmas, D</t>
        </is>
      </c>
      <c r="F172" t="inlineStr">
        <is>
          <t>Cengiz, C.; Cengiz, B.; Smardon, R. C.; Karaelmas, D.</t>
        </is>
      </c>
      <c r="J172" t="inlineStr">
        <is>
          <t>JOURNAL OF ENVIRONMENTAL PROTECTION AND ECOLOGY</t>
        </is>
      </c>
      <c r="M172" t="inlineStr">
        <is>
          <t>English</t>
        </is>
      </c>
      <c r="N172" t="inlineStr">
        <is>
          <t>Article</t>
        </is>
      </c>
      <c r="T172" t="inlineStr">
        <is>
          <t>ASSESSING PEOPLE-PLANT INTERACTIONS WITHIN INTERIOR SPACES IN BARTIN - TURKEY</t>
        </is>
      </c>
      <c r="U172" t="inlineStr">
        <is>
          <t>interior design; indoor plants; people-plant interactions; questionnaire; preference</t>
        </is>
      </c>
      <c r="V172" t="inlineStr">
        <is>
          <t>INDOOR PLANTS; GREEN SPACES; PERCEPTIONS; ENVIRONMENT; PERFORMANCE; BENEFITS; IMPACT</t>
        </is>
      </c>
      <c r="W172" t="inlineStr">
        <is>
          <t>Integrating nature indoors strengthens the relationship between humans and nature and so it is also vital for physical and psychological health and comfort. In interior design, plants are one of the most essential elements of design that connect people to nature. This study reveals human-nature interactions within the scale of interior spaces in terms of participants' preferences for indoor plants. This paper includes the socio-demographic characteristics of the people in Bartin city centre, Turkey and the evaluation of their use of interior plants and interior plant preferences. The study analyses the preferences of 201 urban residents in Bartin, the majority of whom were university graduates and residents of apartment buildings, by using a face-to-face questionnaire. Results include that participants mostly preferred plants with aesthetic features and relaxation was found to be the most important psychological effect of indoor plants. This study emphasises the importance of indoor plants in terms of interior comfort and positive psychological benefits. It provides information for future studies regarding the interactions between humans, plants and environments in small-scale cities with changing urbanisation.</t>
        </is>
      </c>
      <c r="X172" t="inlineStr">
        <is>
          <t>[Cengiz, C.; Cengiz, B.] Bartin Univ, Dept Landscape Architecture, Bartin, Turkey; [Smardon, R. C.] SUNY ESE, Syracuse, NY USA; [Karaelmas, D.] Zonguldak Bulent Ecevit Univ, Caycuma Food &amp; Agr Vocat Sch, Zonguldak, Turkey</t>
        </is>
      </c>
      <c r="Y172" t="inlineStr">
        <is>
          <t>Bartin University; Bulent Ecevit University</t>
        </is>
      </c>
      <c r="Z172" t="inlineStr">
        <is>
          <t>Cengiz, C (corresponding author), Bartin Univ, Dept Landscape Architecture, Bartin, Turkey.</t>
        </is>
      </c>
      <c r="AA172" t="inlineStr">
        <is>
          <t>canancengiz@Bartin.edu.tr</t>
        </is>
      </c>
      <c r="AH172" t="n">
        <v>23</v>
      </c>
      <c r="AI172" t="n">
        <v>0</v>
      </c>
      <c r="AJ172" t="n">
        <v>0</v>
      </c>
      <c r="AK172" t="n">
        <v>2</v>
      </c>
      <c r="AL172" t="n">
        <v>13</v>
      </c>
      <c r="AM172" t="inlineStr">
        <is>
          <t>SCIBULCOM LTD</t>
        </is>
      </c>
      <c r="AN172" t="inlineStr">
        <is>
          <t>SOFIA</t>
        </is>
      </c>
      <c r="AO172" t="inlineStr">
        <is>
          <t>PO BOX 249, 1113 SOFIA, BULGARIA</t>
        </is>
      </c>
      <c r="AP172" t="inlineStr">
        <is>
          <t>1311-5065</t>
        </is>
      </c>
      <c r="AS172" t="inlineStr">
        <is>
          <t>J ENVIRON PROT ECOL</t>
        </is>
      </c>
      <c r="AT172" t="inlineStr">
        <is>
          <t>J. Environ. Prot. Ecol.</t>
        </is>
      </c>
      <c r="AV172" t="n">
        <v>2021</v>
      </c>
      <c r="AW172" t="n">
        <v>22</v>
      </c>
      <c r="AX172" t="n">
        <v>6</v>
      </c>
      <c r="BC172" t="n">
        <v>2353</v>
      </c>
      <c r="BD172" t="n">
        <v>2367</v>
      </c>
      <c r="BJ172" t="n">
        <v>15</v>
      </c>
      <c r="BK172" t="inlineStr">
        <is>
          <t>Environmental Sciences</t>
        </is>
      </c>
      <c r="BL172" t="inlineStr">
        <is>
          <t>Science Citation Index Expanded (SCI-EXPANDED)</t>
        </is>
      </c>
      <c r="BM172" t="inlineStr">
        <is>
          <t>Environmental Sciences &amp; Ecology</t>
        </is>
      </c>
      <c r="BN172" t="inlineStr">
        <is>
          <t>YY2UW</t>
        </is>
      </c>
      <c r="BS172" t="inlineStr">
        <is>
          <t>2023-10-26</t>
        </is>
      </c>
      <c r="BT172" t="inlineStr">
        <is>
          <t>WOS:000754649200010</t>
        </is>
      </c>
      <c r="BU172">
        <f>HYPERLINK("https%3A%2F%2Fwww.webofscience.com%2Fwos%2Fwoscc%2Ffull-record%2FWOS:000754649200010","View Full Record in Web of Science")</f>
        <v/>
      </c>
    </row>
    <row r="173">
      <c r="A173" t="inlineStr">
        <is>
          <t>J</t>
        </is>
      </c>
      <c r="B173" t="inlineStr">
        <is>
          <t>Barahmand, U; Shahbazi, H; Shahbazi, Z</t>
        </is>
      </c>
      <c r="F173" t="inlineStr">
        <is>
          <t>Barahmand, Usha; Shahbazi, Hedayat; Shahbazi, Zeynab</t>
        </is>
      </c>
      <c r="J173" t="inlineStr">
        <is>
          <t>INTERNATIONAL JOURNAL OF ENVIRONMENTAL HEALTH RESEARCH</t>
        </is>
      </c>
      <c r="M173" t="inlineStr">
        <is>
          <t>English</t>
        </is>
      </c>
      <c r="N173" t="inlineStr">
        <is>
          <t>Article</t>
        </is>
      </c>
      <c r="T173" t="inlineStr">
        <is>
          <t>Implications of perceived physical and social aspects of the environment for self-reported physical and mental health</t>
        </is>
      </c>
      <c r="U173" t="inlineStr">
        <is>
          <t>environment; mental health; physical health; socioeconomic status; social support</t>
        </is>
      </c>
      <c r="V173" t="inlineStr">
        <is>
          <t>URBAN BUILT ENVIRONMENT; NEIGHBORHOOD ENVIRONMENT; MULTILEVEL ANALYSIS; OLDER-ADULTS; RATED HEALTH; OBESITY; OVERWEIGHT; INTERVENTIONS; ASSOCIATION; PERCEPTIONS</t>
        </is>
      </c>
      <c r="W173" t="inlineStr">
        <is>
          <t>The purpose of the present study is to explore the relative importance of certain socio-demographic variables, perceived physical and social attributes of the home and neighborhood for self-reported physical and mental health. The sample of the present study comprised 137 men and women (51.83% women and 48.17% men) ranging in age from 26 to 54 years selected randomly from shoppers visiting a crowded shopping plaza. A sociodemographic data sheet, scales to measure perceptions of the physical environment and neighborhood characteristics, and the SF-36 to assess physical and mental health components were used. Data were analyzed using multivariate analyses of variance, Pearson's correlation coefficients and multiple regression analysis. No age and gender differences in physical and mental health scores emerged (p &lt; 0.05), but people who perceived their socio-economic status as low also reported lower total mental health scores (p &lt; 0.05). No socioeconomic differences were noted on indices of physical health (p &gt; 0.05). Correlation analysis revealed that negative perceptions of the interior home environment were associated negatively with physical and mental health scores (p &lt; 0.05). Regression analysis indicated that perceived decay and disorganization in the home interior as well as perceived socioeconomic status accounted for a significant portion of the variance in mental health scores.</t>
        </is>
      </c>
      <c r="X173" t="inlineStr">
        <is>
          <t>[Barahmand, Usha] Univ Mohaghegh Ardabili, Ardebil, Iran; [Shahbazi, Hedayat] Islamic Azad Univ, Dept Architecture, Sci &amp; Res Branch, Tabriz, Iran</t>
        </is>
      </c>
      <c r="Y173" t="inlineStr">
        <is>
          <t>University of Mohaghegh Ardabili; Islamic Azad University</t>
        </is>
      </c>
      <c r="Z173" t="inlineStr">
        <is>
          <t>Barahmand, U (corresponding author), Univ Mohaghegh Ardabili, Ardebil, Iran.</t>
        </is>
      </c>
      <c r="AA173" t="inlineStr">
        <is>
          <t>ub@uma.ac.ir</t>
        </is>
      </c>
      <c r="AB173" t="inlineStr">
        <is>
          <t>Barahmand, Usha/AEQ-0357-2022</t>
        </is>
      </c>
      <c r="AC173" t="inlineStr">
        <is>
          <t>Barahmand, Usha/0000-0003-3049-2854</t>
        </is>
      </c>
      <c r="AH173" t="n">
        <v>49</v>
      </c>
      <c r="AI173" t="n">
        <v>4</v>
      </c>
      <c r="AJ173" t="n">
        <v>4</v>
      </c>
      <c r="AK173" t="n">
        <v>1</v>
      </c>
      <c r="AL173" t="n">
        <v>30</v>
      </c>
      <c r="AM173" t="inlineStr">
        <is>
          <t>TAYLOR &amp; FRANCIS LTD</t>
        </is>
      </c>
      <c r="AN173" t="inlineStr">
        <is>
          <t>ABINGDON</t>
        </is>
      </c>
      <c r="AO173" t="inlineStr">
        <is>
          <t>2-4 PARK SQUARE, MILTON PARK, ABINGDON OR14 4RN, OXON, ENGLAND</t>
        </is>
      </c>
      <c r="AP173" t="inlineStr">
        <is>
          <t>0960-3123</t>
        </is>
      </c>
      <c r="AQ173" t="inlineStr">
        <is>
          <t>1369-1619</t>
        </is>
      </c>
      <c r="AS173" t="inlineStr">
        <is>
          <t>INT J ENVIRON HEAL R</t>
        </is>
      </c>
      <c r="AT173" t="inlineStr">
        <is>
          <t>Int. J. Environ. Health Res.</t>
        </is>
      </c>
      <c r="AV173" t="n">
        <v>2013</v>
      </c>
      <c r="AW173" t="n">
        <v>23</v>
      </c>
      <c r="AX173" t="n">
        <v>1</v>
      </c>
      <c r="BC173" t="n">
        <v>31</v>
      </c>
      <c r="BD173" t="n">
        <v>45</v>
      </c>
      <c r="BF173" t="inlineStr">
        <is>
          <t>10.1080/09603123.2012.684148</t>
        </is>
      </c>
      <c r="BG173">
        <f>HYPERLINK("http://dx.doi.org/10.1080/09603123.2012.684148","http://dx.doi.org/10.1080/09603123.2012.684148")</f>
        <v/>
      </c>
      <c r="BJ173" t="n">
        <v>15</v>
      </c>
      <c r="BK173" t="inlineStr">
        <is>
          <t>Environmental Sciences; Public, Environmental &amp; Occupational Health</t>
        </is>
      </c>
      <c r="BL173" t="inlineStr">
        <is>
          <t>Science Citation Index Expanded (SCI-EXPANDED); Social Science Citation Index (SSCI)</t>
        </is>
      </c>
      <c r="BM173" t="inlineStr">
        <is>
          <t>Environmental Sciences &amp; Ecology; Public, Environmental &amp; Occupational Health</t>
        </is>
      </c>
      <c r="BN173" t="inlineStr">
        <is>
          <t>043JS</t>
        </is>
      </c>
      <c r="BO173" t="n">
        <v>22639790</v>
      </c>
      <c r="BS173" t="inlineStr">
        <is>
          <t>2023-10-26</t>
        </is>
      </c>
      <c r="BT173" t="inlineStr">
        <is>
          <t>WOS:000311540300003</t>
        </is>
      </c>
      <c r="BU173">
        <f>HYPERLINK("https%3A%2F%2Fwww.webofscience.com%2Fwos%2Fwoscc%2Ffull-record%2FWOS:000311540300003","View Full Record in Web of Science")</f>
        <v/>
      </c>
    </row>
    <row r="174">
      <c r="A174" t="inlineStr">
        <is>
          <t>J</t>
        </is>
      </c>
      <c r="B174" t="inlineStr">
        <is>
          <t>Adlakha, D; Hipp, JA; Sallis, JF; Brownson, RC</t>
        </is>
      </c>
      <c r="F174" t="inlineStr">
        <is>
          <t>Adlakha, Deepti; Hipp, J. Aaron; Sallis, James F.; Brownson, Ross C.</t>
        </is>
      </c>
      <c r="J174" t="inlineStr">
        <is>
          <t>INTERNATIONAL JOURNAL OF ENVIRONMENTAL RESEARCH AND PUBLIC HEALTH</t>
        </is>
      </c>
      <c r="M174" t="inlineStr">
        <is>
          <t>English</t>
        </is>
      </c>
      <c r="N174" t="inlineStr">
        <is>
          <t>Article</t>
        </is>
      </c>
      <c r="T174" t="inlineStr">
        <is>
          <t>Exploring Neighborhood Environments and Active Commuting in Chennai, India</t>
        </is>
      </c>
      <c r="U174" t="inlineStr">
        <is>
          <t>India; active commuting; public transit; physical activity; built environment</t>
        </is>
      </c>
      <c r="V174" t="inlineStr">
        <is>
          <t>PHYSICAL-ACTIVITY; BUILT ENVIRONMENT; LAND-USE; POPULATION HEALTH; SELF-SELECTION; WEIGHT STATUS; URBAN DESIGN; WALKING; ADULTS; TRANSPORTATION</t>
        </is>
      </c>
      <c r="W174" t="inlineStr">
        <is>
          <t>Few studies assess built environment correlates of active commuting in low-and-middle-income countries (LMICs), but the different context could yield distinct findings. Policies and investments to promote active commuting remain under-developed in LMICs like India, which grapples with traffic congestion, lack of activity-supportive infrastructure, poor enforcement of traffic rules and regulations, air pollution, and overcrowding. This cross-sectional study investigated associations between home neighborhood environment characteristics and active commuting in Chennai, India. Adults (N = 370, 47.2% female, mean age = 37.9 years) were recruited from 155 wards in the metropolitan area of Chennai in southern India between January and June 2015. Participants self-reported their usual mode of commute to work, with responses recoded into three categories: (1) multi-modal or active commuting (walking and bicycling; n = 56); (2) public transit (n = 52); and (3) private transport (n = 111). Environmental attributes around participants' homes were assessed using the Neighborhood Environment Walkability Scale for India (NEWS-India). Associations between environmental characteristics and likelihood of active commuting and public transit use were modeled using logistic regression with private transport (driving alone or carpool) as the reference category, adjusting for age, gender, and household car ownership. Consistent with other international studies, participants living in neighborhoods with a mix of land uses and a transit stop within a 10-minute walk from home were more likely to use active commuting (both p &lt; 0.01). Land-use mix was significantly associated with the use of public transit compared to private transport (adjusted odds ratio (aOR) = 5.2, p = 0.002). Contrary to findings in high-income countries, the odds of active commuting were reduced with improved safety from crime (aOR = 0.2, p = 0.003), aesthetics (aOR = 0.2, p = 0.05), and street connectivity (aOR = 0.2, p = 0.003). Different environmental attributes were associated with active commuting, suggesting that these relationships are complex and may distinctly differ from those in high-income countries. Unexpected inverse associations of perceived safety from crime and aesthetics with active commuting emphasize the need for high-quality epidemiologic studies with greater context specificity in the study of physical activity in LMICs. Findings have public health implications for India and suggest that caution should be taken when translating evidence across countries.</t>
        </is>
      </c>
      <c r="X174" t="inlineStr">
        <is>
          <t>[Adlakha, Deepti] Queens Univ, Sch Nat &amp; Built Environm, Belfast BT9 5AG, Antrim, North Ireland; [Hipp, J. Aaron] North Carolina State Univ, Ctr Human Hlth &amp; Environm, Dept Pk Recreat &amp; Tourism Management, Ctr Geospatial Analyt, Raleigh, NC 27695 USA; [Sallis, James F.] Univ Calif San Diego, Dept Family Med &amp; Publ Hlth, San Diego, CA 92161 USA; [Sallis, James F.] Australian Catholic Univ, Dept Family Med &amp; Publ Hlth, Melbourne, Vic 3065, Australia; [Brownson, Ross C.] Washington Univ, Brown Sch, Prevent Res Ctr St Louis, St Louis, MO 63130 USA; [Brownson, Ross C.] Washington Univ, Sch Med, Dept Surg, Div Publ Hlth Sci, St Louis, MO 63110 USA; [Brownson, Ross C.] Washington Univ, Sch Med, Alvin J Siteman Canc Ctr, St Louis, MO 63110 USA</t>
        </is>
      </c>
      <c r="Y174" t="inlineStr">
        <is>
          <t>Queens University Belfast; North Carolina State University; University of California System; University of California San Diego; Australian Catholic University; Washington University (WUSTL); Washington University (WUSTL); Washington University (WUSTL); Siteman Cancer Center</t>
        </is>
      </c>
      <c r="Z174" t="inlineStr">
        <is>
          <t>Adlakha, D (corresponding author), Queens Univ, Sch Nat &amp; Built Environm, Belfast BT9 5AG, Antrim, North Ireland.</t>
        </is>
      </c>
      <c r="AA174" t="inlineStr">
        <is>
          <t>d.adlakha@qub.ac.uk; jahipp@ncsu.edu; jsallis@ucsd.edu; rbrownson@wustl.edu</t>
        </is>
      </c>
      <c r="AB174" t="inlineStr">
        <is>
          <t>Alidadi, Mehdi/HJZ-0235-2023; Hipp, J. Aaron/AAF-9869-2021; Sallis, James F/D-3001-2014</t>
        </is>
      </c>
      <c r="AC174" t="inlineStr">
        <is>
          <t>Alidadi, Mehdi/0000-0001-5183-7829; Hipp, J. Aaron/0000-0002-2394-7112; Sallis, James F/0000-0003-2555-9452; Adlakha, Deepti/0000-0002-1720-6780</t>
        </is>
      </c>
      <c r="AD174" t="inlineStr">
        <is>
          <t>International Field Dissertation Research Award at the Brown School, Washington University in St. Louis; National Prevention Research Initiative [G0802045]</t>
        </is>
      </c>
      <c r="AE174" t="inlineStr">
        <is>
          <t>International Field Dissertation Research Award at the Brown School, Washington University in St. Louis; National Prevention Research Initiative(Diabetes UK)</t>
        </is>
      </c>
      <c r="AF174" t="inlineStr">
        <is>
          <t>This study was funded by the International Field Dissertation Research Award at the Brown School, Washington University in St. Louis. Dr. Adlakha's time during manuscript preparation was supported by a grant from the National Prevention Research Initiative (G0802045). The funders had no role in any part of the study, including study design, data collection, and analysis, interpretation of data, decision to publish, or preparation of the manuscript.</t>
        </is>
      </c>
      <c r="AH174" t="n">
        <v>79</v>
      </c>
      <c r="AI174" t="n">
        <v>18</v>
      </c>
      <c r="AJ174" t="n">
        <v>20</v>
      </c>
      <c r="AK174" t="n">
        <v>4</v>
      </c>
      <c r="AL174" t="n">
        <v>25</v>
      </c>
      <c r="AM174" t="inlineStr">
        <is>
          <t>MDPI</t>
        </is>
      </c>
      <c r="AN174" t="inlineStr">
        <is>
          <t>BASEL</t>
        </is>
      </c>
      <c r="AO174" t="inlineStr">
        <is>
          <t>ST ALBAN-ANLAGE 66, CH-4052 BASEL, SWITZERLAND</t>
        </is>
      </c>
      <c r="AQ174" t="inlineStr">
        <is>
          <t>1660-4601</t>
        </is>
      </c>
      <c r="AS174" t="inlineStr">
        <is>
          <t>INT J ENV RES PUB HE</t>
        </is>
      </c>
      <c r="AT174" t="inlineStr">
        <is>
          <t>Int. J. Environ. Res. Public Health</t>
        </is>
      </c>
      <c r="AU174" t="inlineStr">
        <is>
          <t>SEP</t>
        </is>
      </c>
      <c r="AV174" t="n">
        <v>2018</v>
      </c>
      <c r="AW174" t="n">
        <v>15</v>
      </c>
      <c r="AX174" t="n">
        <v>9</v>
      </c>
      <c r="BE174" t="n">
        <v>1840</v>
      </c>
      <c r="BF174" t="inlineStr">
        <is>
          <t>10.3390/ijerph15091840</t>
        </is>
      </c>
      <c r="BG174">
        <f>HYPERLINK("http://dx.doi.org/10.3390/ijerph15091840","http://dx.doi.org/10.3390/ijerph15091840")</f>
        <v/>
      </c>
      <c r="BJ174" t="n">
        <v>15</v>
      </c>
      <c r="BK174" t="inlineStr">
        <is>
          <t>Environmental Sciences; Public, Environmental &amp; Occupational Health</t>
        </is>
      </c>
      <c r="BL174" t="inlineStr">
        <is>
          <t>Science Citation Index Expanded (SCI-EXPANDED); Social Science Citation Index (SSCI)</t>
        </is>
      </c>
      <c r="BM174" t="inlineStr">
        <is>
          <t>Environmental Sciences &amp; Ecology; Public, Environmental &amp; Occupational Health</t>
        </is>
      </c>
      <c r="BN174" t="inlineStr">
        <is>
          <t>GV0PX</t>
        </is>
      </c>
      <c r="BO174" t="n">
        <v>30149686</v>
      </c>
      <c r="BP174" t="inlineStr">
        <is>
          <t>Green Submitted, Green Published, gold</t>
        </is>
      </c>
      <c r="BS174" t="inlineStr">
        <is>
          <t>2023-10-26</t>
        </is>
      </c>
      <c r="BT174" t="inlineStr">
        <is>
          <t>WOS:000445765600049</t>
        </is>
      </c>
      <c r="BU174">
        <f>HYPERLINK("https%3A%2F%2Fwww.webofscience.com%2Fwos%2Fwoscc%2Ffull-record%2FWOS:000445765600049","View Full Record in Web of Science")</f>
        <v/>
      </c>
    </row>
    <row r="175">
      <c r="A175" t="inlineStr">
        <is>
          <t>J</t>
        </is>
      </c>
      <c r="B175" t="inlineStr">
        <is>
          <t>Martínez-García, A; Trescastro-López, EM; Galiana-Sánchez, ME; Pereyra-Zamora, P</t>
        </is>
      </c>
      <c r="F175" t="inlineStr">
        <is>
          <t>Martinez-Garcia, Alba; Maria Trescastro-Lopez, Eva; Eugenia Galiana-Sanchez, Maria; Pereyra-Zamora, Pamela</t>
        </is>
      </c>
      <c r="J175" t="inlineStr">
        <is>
          <t>INTERNATIONAL JOURNAL OF ENVIRONMENTAL RESEARCH AND PUBLIC HEALTH</t>
        </is>
      </c>
      <c r="M175" t="inlineStr">
        <is>
          <t>English</t>
        </is>
      </c>
      <c r="N175" t="inlineStr">
        <is>
          <t>Review</t>
        </is>
      </c>
      <c r="T175" t="inlineStr">
        <is>
          <t>Data Collection Instruments for Obesogenic Environments in Adults: A Scoping Review</t>
        </is>
      </c>
      <c r="U175" t="inlineStr">
        <is>
          <t>environment; built environment; food environment; obesity; adult; surveys and questionnaires; measurement</t>
        </is>
      </c>
      <c r="V175" t="inlineStr">
        <is>
          <t>PHYSICAL-ACTIVITY QUESTIONNAIRE; TEST-RETEST RELIABILITY; NUTRITION ENVIRONMENT; LOW-INCOME; NEIGHBORHOOD ENVIRONMENT; FOOD ENVIRONMENT; BUILT ENVIRONMENT; AUDIT INSTRUMENT; CONSTRUCT-VALIDITY; SHOPPING BEHAVIOR</t>
        </is>
      </c>
      <c r="W175" t="inlineStr">
        <is>
          <t>The rise in obesity prevalence has increased research interest in the obesogenic environment and its influence on excess weight. The aim of the present study was to review and map data collection instruments for obesogenic environments in adults in order to provide an overview of the existing evidence and enable comparisons. Through the scoping review method, different databases and webpages were searched between January 1997 and May 2018. Instruments were included if they targeted adults. The documents were categorised as food environment or built environment. In terms of results, 92 instruments were found: 46 instruments measuring the food environment, 42 measuring the built environment, and 4 that characterised both environments. Numerous diverse instruments have been developed to characterise the obesogenic environment, and some of them have been developed based on existing ones; however, most of them have not been validated and there is very little similarity between them, hindering comparison of the results obtained. In addition, most of them were developed and used in the United States and were written in English. In conclusion, there is a need for a robust instrument, improving or combining existing ones, for use within and across countries, and more sophisticated study designs where the environment is contemplated in an interdisciplinary approach.</t>
        </is>
      </c>
      <c r="X175" t="inlineStr">
        <is>
          <t>[Martinez-Garcia, Alba; Maria Trescastro-Lopez, Eva; Eugenia Galiana-Sanchez, Maria; Pereyra-Zamora, Pamela] Univ Alicante, Dept Community Nursing Prevent Med &amp; Publ Hlth &amp;, Campus St Vicent del Raspeig,Ap 99, E-03080 Alicante, Spain</t>
        </is>
      </c>
      <c r="Y175" t="inlineStr">
        <is>
          <t>Universitat d'Alacant</t>
        </is>
      </c>
      <c r="Z175" t="inlineStr">
        <is>
          <t>Martínez-García, A; Trescastro-López, EM (corresponding author), Univ Alicante, Dept Community Nursing Prevent Med &amp; Publ Hlth &amp;, Campus St Vicent del Raspeig,Ap 99, E-03080 Alicante, Spain.</t>
        </is>
      </c>
      <c r="AA175" t="inlineStr">
        <is>
          <t>alba.martinez@ua.es; eva.trescastro@ua.es; galiana@ua.es; pamela.pereyra@ua.es</t>
        </is>
      </c>
      <c r="AB175" t="inlineStr">
        <is>
          <t>Zamora, Pamela Pereyra/F-2746-2017; Martínez-García, Alba/Y-1286-2019; Galiana-Sánchez, María Eugenia/I-5993-2016; Trescastro-Lopez, Eva Maria/Q-3900-2016</t>
        </is>
      </c>
      <c r="AC175" t="inlineStr">
        <is>
          <t>Zamora, Pamela Pereyra/0000-0001-8993-3349; Martínez-García, Alba/0000-0002-7724-6346; Galiana-Sánchez, María Eugenia/0000-0001-6977-7692; Trescastro-Lopez, Eva Maria/0000-0001-8378-1612</t>
        </is>
      </c>
      <c r="AH175" t="n">
        <v>125</v>
      </c>
      <c r="AI175" t="n">
        <v>6</v>
      </c>
      <c r="AJ175" t="n">
        <v>6</v>
      </c>
      <c r="AK175" t="n">
        <v>4</v>
      </c>
      <c r="AL175" t="n">
        <v>18</v>
      </c>
      <c r="AM175" t="inlineStr">
        <is>
          <t>MDPI</t>
        </is>
      </c>
      <c r="AN175" t="inlineStr">
        <is>
          <t>BASEL</t>
        </is>
      </c>
      <c r="AO175" t="inlineStr">
        <is>
          <t>ST ALBAN-ANLAGE 66, CH-4052 BASEL, SWITZERLAND</t>
        </is>
      </c>
      <c r="AQ175" t="inlineStr">
        <is>
          <t>1660-4601</t>
        </is>
      </c>
      <c r="AS175" t="inlineStr">
        <is>
          <t>INT J ENV RES PUB HE</t>
        </is>
      </c>
      <c r="AT175" t="inlineStr">
        <is>
          <t>Int. J. Environ. Res. Public Health</t>
        </is>
      </c>
      <c r="AU175" t="inlineStr">
        <is>
          <t>APR 2</t>
        </is>
      </c>
      <c r="AV175" t="n">
        <v>2019</v>
      </c>
      <c r="AW175" t="n">
        <v>16</v>
      </c>
      <c r="AX175" t="n">
        <v>8</v>
      </c>
      <c r="BE175" t="n">
        <v>1414</v>
      </c>
      <c r="BF175" t="inlineStr">
        <is>
          <t>10.3390/ijerph16081414</t>
        </is>
      </c>
      <c r="BG175">
        <f>HYPERLINK("http://dx.doi.org/10.3390/ijerph16081414","http://dx.doi.org/10.3390/ijerph16081414")</f>
        <v/>
      </c>
      <c r="BJ175" t="n">
        <v>27</v>
      </c>
      <c r="BK175" t="inlineStr">
        <is>
          <t>Environmental Sciences; Public, Environmental &amp; Occupational Health</t>
        </is>
      </c>
      <c r="BL175" t="inlineStr">
        <is>
          <t>Science Citation Index Expanded (SCI-EXPANDED); Social Science Citation Index (SSCI)</t>
        </is>
      </c>
      <c r="BM175" t="inlineStr">
        <is>
          <t>Environmental Sciences &amp; Ecology; Public, Environmental &amp; Occupational Health</t>
        </is>
      </c>
      <c r="BN175" t="inlineStr">
        <is>
          <t>HX9RX</t>
        </is>
      </c>
      <c r="BO175" t="n">
        <v>31010209</v>
      </c>
      <c r="BP175" t="inlineStr">
        <is>
          <t>Green Submitted, gold, Green Published</t>
        </is>
      </c>
      <c r="BS175" t="inlineStr">
        <is>
          <t>2023-10-26</t>
        </is>
      </c>
      <c r="BT175" t="inlineStr">
        <is>
          <t>WOS:000467747100107</t>
        </is>
      </c>
      <c r="BU175">
        <f>HYPERLINK("https%3A%2F%2Fwww.webofscience.com%2Fwos%2Fwoscc%2Ffull-record%2FWOS:000467747100107","View Full Record in Web of Science")</f>
        <v/>
      </c>
    </row>
    <row r="176">
      <c r="A176" t="inlineStr">
        <is>
          <t>J</t>
        </is>
      </c>
      <c r="B176" t="inlineStr">
        <is>
          <t>Kim, DH; Yoo, S</t>
        </is>
      </c>
      <c r="F176" t="inlineStr">
        <is>
          <t>Kim, Dong Ha; Yoo, Seunghyun</t>
        </is>
      </c>
      <c r="J176" t="inlineStr">
        <is>
          <t>INTERNATIONAL JOURNAL OF ENVIRONMENTAL RESEARCH AND PUBLIC HEALTH</t>
        </is>
      </c>
      <c r="M176" t="inlineStr">
        <is>
          <t>English</t>
        </is>
      </c>
      <c r="N176" t="inlineStr">
        <is>
          <t>Review</t>
        </is>
      </c>
      <c r="T176" t="inlineStr">
        <is>
          <t>How Does the Built Environment in Compact Metropolitan Cities Affect Health? A Systematic Review of Korean Studies</t>
        </is>
      </c>
      <c r="U176" t="inlineStr">
        <is>
          <t>built environment; health promotion; compact city; metropolitan scale; systematic review; Korea</t>
        </is>
      </c>
      <c r="V176" t="inlineStr">
        <is>
          <t>PHYSICAL-ACTIVITY; NEIGHBORHOOD ENVIRONMENT; SOCIAL-ENVIRONMENT; LAND-USE; URBAN; SCHOOL; BEHAVIORS; TRANSPORT; WALKING; ASSOCIATION</t>
        </is>
      </c>
      <c r="W176" t="inlineStr">
        <is>
          <t>This systematic review aimed to examine the associations between health-related outcomes and the built environment (BE) characteristics of compact metropolitan cities in Korea using the Preferred Reporting Items for Systematic Reviews and Meta-Analyses (PRISMA) framework. Searching the three Korean academic databases and PubMed, two independent reviewers identified 27 empirical articles published between 2011 and 2016. Data extracted for review included the study characteristics, the variables and measurement methods related to the BE and health-related outcomes, and the findings on the associations between the BE characteristics and health-related outcomes. Vote counting was used to assess the consistency of associations and the direction of associations between the BE characteristics and health-related outcomes. All of the reviewed studies used cross-sectional designs. The objective BE qualities were commonly examined. The BE characteristics associated with health-related outcomes in the reviewed articles included land use, street environment, transportation infrastructure, green and open spaces, and neighborhood facilities. Street environment, transportation infrastructure, and green and open spaces had consistent positive associations with physical health. Mixed land use and neighborhood facilities, however, had inconsistent associations with physical health. Generally, insufficient findings were reported in the association between the BE characteristics and mental and social health. The accessibility of the BE in a compact urban environment was the prominent attribute related to health promotion, health challenges, and health equity. An international comparative analysis of compact cities with different urban contexts and scale is required. Interdisciplinary urban health strategies are recommended based on the associations between the BE characteristics and health-related outcomes.</t>
        </is>
      </c>
      <c r="X176" t="inlineStr">
        <is>
          <t>[Kim, Dong Ha; Yoo, Seunghyun] Seoul Natl Univ, Grad Sch Publ Hlth, Dept Publ Hlth Sci, Seoul 08826, South Korea; [Yoo, Seunghyun] Seoul Natl Univ, Inst Hlth &amp; Environm, Seoul 08826, South Korea</t>
        </is>
      </c>
      <c r="Y176" t="inlineStr">
        <is>
          <t>Seoul National University (SNU); Seoul National University (SNU)</t>
        </is>
      </c>
      <c r="Z176" t="inlineStr">
        <is>
          <t>Yoo, S (corresponding author), Seoul Natl Univ, Grad Sch Publ Hlth, Dept Publ Hlth Sci, Seoul 08826, South Korea.;Yoo, S (corresponding author), Seoul Natl Univ, Inst Hlth &amp; Environm, Seoul 08826, South Korea.</t>
        </is>
      </c>
      <c r="AA176" t="inlineStr">
        <is>
          <t>syoo@snu.ac.kr</t>
        </is>
      </c>
      <c r="AC176" t="inlineStr">
        <is>
          <t>Kim, Dong Ha/0000-0001-6767-2969</t>
        </is>
      </c>
      <c r="AD176" t="inlineStr">
        <is>
          <t>Ministry of Science, ICT and Future Planning of the Republic of Korea [NRF-2017R1A2B4011814]; National Research Foundation of Korea [NRF-2017S1A5A2A01026275]; Ministry of Education; National Research Foundation of Korea [2017S1A5A2A01026275] Funding Source: Korea Institute of Science &amp; Technology Information (KISTI), National Science &amp; Technology Information Service (NTIS)</t>
        </is>
      </c>
      <c r="AE176" t="inlineStr">
        <is>
          <t>Ministry of Science, ICT and Future Planning of the Republic of Korea(Ministry of Science, ICT &amp; Future Planning, Republic of Korea); National Research Foundation of Korea(National Research Foundation of Korea); Ministry of Education; National Research Foundation of Korea(National Research Foundation of Korea)</t>
        </is>
      </c>
      <c r="AF176" t="inlineStr">
        <is>
          <t>This research was funded by the Ministry of Science, ICT and Future Planning of the Republic of Korea(NRF-2017R1A2B4011814) And the Ministry of Education and the National Research Foundation of Korea(NRF-2017S1A5A2A01026275).</t>
        </is>
      </c>
      <c r="AH176" t="n">
        <v>65</v>
      </c>
      <c r="AI176" t="n">
        <v>12</v>
      </c>
      <c r="AJ176" t="n">
        <v>13</v>
      </c>
      <c r="AK176" t="n">
        <v>9</v>
      </c>
      <c r="AL176" t="n">
        <v>48</v>
      </c>
      <c r="AM176" t="inlineStr">
        <is>
          <t>MDPI</t>
        </is>
      </c>
      <c r="AN176" t="inlineStr">
        <is>
          <t>BASEL</t>
        </is>
      </c>
      <c r="AO176" t="inlineStr">
        <is>
          <t>ST ALBAN-ANLAGE 66, CH-4052 BASEL, SWITZERLAND</t>
        </is>
      </c>
      <c r="AQ176" t="inlineStr">
        <is>
          <t>1660-4601</t>
        </is>
      </c>
      <c r="AS176" t="inlineStr">
        <is>
          <t>INT J ENV RES PUB HE</t>
        </is>
      </c>
      <c r="AT176" t="inlineStr">
        <is>
          <t>Int. J. Environ. Res. Public Health</t>
        </is>
      </c>
      <c r="AU176" t="inlineStr">
        <is>
          <t>AUG 14</t>
        </is>
      </c>
      <c r="AV176" t="n">
        <v>2019</v>
      </c>
      <c r="AW176" t="n">
        <v>16</v>
      </c>
      <c r="AX176" t="n">
        <v>16</v>
      </c>
      <c r="BE176" t="n">
        <v>2921</v>
      </c>
      <c r="BF176" t="inlineStr">
        <is>
          <t>10.3390/ijerph16162921</t>
        </is>
      </c>
      <c r="BG176">
        <f>HYPERLINK("http://dx.doi.org/10.3390/ijerph16162921","http://dx.doi.org/10.3390/ijerph16162921")</f>
        <v/>
      </c>
      <c r="BJ176" t="n">
        <v>22</v>
      </c>
      <c r="BK176" t="inlineStr">
        <is>
          <t>Environmental Sciences; Public, Environmental &amp; Occupational Health</t>
        </is>
      </c>
      <c r="BL176" t="inlineStr">
        <is>
          <t>Science Citation Index Expanded (SCI-EXPANDED); Social Science Citation Index (SSCI)</t>
        </is>
      </c>
      <c r="BM176" t="inlineStr">
        <is>
          <t>Environmental Sciences &amp; Ecology; Public, Environmental &amp; Occupational Health</t>
        </is>
      </c>
      <c r="BN176" t="inlineStr">
        <is>
          <t>IV7AN</t>
        </is>
      </c>
      <c r="BO176" t="n">
        <v>31416292</v>
      </c>
      <c r="BP176" t="inlineStr">
        <is>
          <t>Green Published, Green Submitted, gold</t>
        </is>
      </c>
      <c r="BS176" t="inlineStr">
        <is>
          <t>2023-10-26</t>
        </is>
      </c>
      <c r="BT176" t="inlineStr">
        <is>
          <t>WOS:000484419000183</t>
        </is>
      </c>
      <c r="BU176">
        <f>HYPERLINK("https%3A%2F%2Fwww.webofscience.com%2Fwos%2Fwoscc%2Ffull-record%2FWOS:000484419000183","View Full Record in Web of Science")</f>
        <v/>
      </c>
    </row>
    <row r="177">
      <c r="A177" t="inlineStr">
        <is>
          <t>J</t>
        </is>
      </c>
      <c r="B177" t="inlineStr">
        <is>
          <t>Jing, ZW; Xiao, Q; Yan, YH; Jun, LJ; Cheng, YS; Tao, Z</t>
        </is>
      </c>
      <c r="F177" t="inlineStr">
        <is>
          <t>Jing, Zheng Wen; Xiao, Qi; Yan, Yao Hong; Jun, Liu Jian; Cheng, Yu Shi; Tao, Zhang</t>
        </is>
      </c>
      <c r="J177" t="inlineStr">
        <is>
          <t>BIOMEDICAL AND ENVIRONMENTAL SCIENCES</t>
        </is>
      </c>
      <c r="M177" t="inlineStr">
        <is>
          <t>English</t>
        </is>
      </c>
      <c r="N177" t="inlineStr">
        <is>
          <t>Article</t>
        </is>
      </c>
      <c r="T177" t="inlineStr">
        <is>
          <t>Influence of Built Environment in Hygienic City in China on Self-rated Health of Residents*</t>
        </is>
      </c>
      <c r="U177" t="inlineStr">
        <is>
          <t>Hygienic city; Built environment; Self-rated health</t>
        </is>
      </c>
      <c r="V177" t="inlineStr">
        <is>
          <t>PHYSICAL-ACTIVITY; NEIGHBORHOOD; OBESITY; INEQUALITIES</t>
        </is>
      </c>
      <c r="W177" t="inlineStr">
        <is>
          <t>Objective To assess the subjective perception of residents on the built environment in hygienic cities and its relation to the self-rated health (SRH) status of residents, providing a basis for a better promotion on construction of health-supportive environments.Methods The online survey was adopted with the respondents recruited from residents living in Chaoyang District of Beijing in January 2021. With SRH level as the dependent variable, two-category logistic regression analysis was conducted to analyze the impact of the built environment in hygienic cities on the SRH status of residents.Results A total of 1,357 respondents were enrolled in this study. After controlling confounding factors, four aspects in the built environment in hygienic cities were detected remarkable influences on the SRH level of residents, including enough green space in the living area [odds ratio (OR) = 1.395, 95% confidence interval (95% CI): 1.055-1.845], clean and hygienic living environment (OR = 1.472, 95% CI: 1.107-1.956), residents' confidence in drinking water safety in the living area (OR = 1.856, 95% CI: 1.354-2.544) and residents' confidence in food safety in the living area (OR = 1.405, 95% CI: 1.027-1.921).Conclusion Regarding city construction, the government should focus more on the subjective perception of residents on built environments to build a supportive environment benefiting the health of residents.</t>
        </is>
      </c>
      <c r="X177" t="inlineStr">
        <is>
          <t>[Jing, Zheng Wen; Xiao, Qi; Yan, Yao Hong; Cheng, Yu Shi] Chinese Ctr Dis Control &amp; Prevent, Off Epidemiol, Beijing 102206, Peoples R China; [Jun, Liu Jian] Chinese Ctr Dis Control &amp; Prevent, Beijing 102206, Peoples R China; [Tao, Zhang] Aerosp Ctr Hosp, Beijing 100049, Peoples R China</t>
        </is>
      </c>
      <c r="Y177" t="inlineStr">
        <is>
          <t>Chinese Center for Disease Control &amp; Prevention; Chinese Center for Disease Control &amp; Prevention</t>
        </is>
      </c>
      <c r="Z177" t="inlineStr">
        <is>
          <t>Xiao, Q (corresponding author), Chinese Ctr Dis Control &amp; Prevent, Off Epidemiol, Beijing 102206, Peoples R China.</t>
        </is>
      </c>
      <c r="AA177" t="inlineStr">
        <is>
          <t>qixiao@chinacdc.cn</t>
        </is>
      </c>
      <c r="AH177" t="n">
        <v>33</v>
      </c>
      <c r="AI177" t="n">
        <v>0</v>
      </c>
      <c r="AJ177" t="n">
        <v>0</v>
      </c>
      <c r="AK177" t="n">
        <v>12</v>
      </c>
      <c r="AL177" t="n">
        <v>15</v>
      </c>
      <c r="AM177" t="inlineStr">
        <is>
          <t>CHINESE CENTER DISEASE CONTROL &amp; PREVENTION</t>
        </is>
      </c>
      <c r="AN177" t="inlineStr">
        <is>
          <t>BEIJING</t>
        </is>
      </c>
      <c r="AO177" t="inlineStr">
        <is>
          <t>155 CHANGBAI RD, CHANGPING DISTRICT, BEIJING, 102206, PEOPLES R CHINA</t>
        </is>
      </c>
      <c r="AP177" t="inlineStr">
        <is>
          <t>0895-3988</t>
        </is>
      </c>
      <c r="AQ177" t="inlineStr">
        <is>
          <t>2214-0190</t>
        </is>
      </c>
      <c r="AS177" t="inlineStr">
        <is>
          <t>BIOMED ENVIRON SCI</t>
        </is>
      </c>
      <c r="AT177" t="inlineStr">
        <is>
          <t>Biomed. Environ. Sci.</t>
        </is>
      </c>
      <c r="AU177" t="inlineStr">
        <is>
          <t>DEC</t>
        </is>
      </c>
      <c r="AV177" t="n">
        <v>2022</v>
      </c>
      <c r="AW177" t="n">
        <v>35</v>
      </c>
      <c r="AX177" t="n">
        <v>12</v>
      </c>
      <c r="BC177" t="n">
        <v>1126</v>
      </c>
      <c r="BD177" t="n">
        <v>1132</v>
      </c>
      <c r="BF177" t="inlineStr">
        <is>
          <t>10.3967/bes2022.142</t>
        </is>
      </c>
      <c r="BG177">
        <f>HYPERLINK("http://dx.doi.org/10.3967/bes2022.142","http://dx.doi.org/10.3967/bes2022.142")</f>
        <v/>
      </c>
      <c r="BJ177" t="n">
        <v>7</v>
      </c>
      <c r="BK177" t="inlineStr">
        <is>
          <t>Environmental Sciences; Public, Environmental &amp; Occupational Health</t>
        </is>
      </c>
      <c r="BL177" t="inlineStr">
        <is>
          <t>Science Citation Index Expanded (SCI-EXPANDED)</t>
        </is>
      </c>
      <c r="BM177" t="inlineStr">
        <is>
          <t>Environmental Sciences &amp; Ecology; Public, Environmental &amp; Occupational Health</t>
        </is>
      </c>
      <c r="BN177" t="inlineStr">
        <is>
          <t>7R3QT</t>
        </is>
      </c>
      <c r="BO177" t="n">
        <v>36597292</v>
      </c>
      <c r="BS177" t="inlineStr">
        <is>
          <t>2023-10-26</t>
        </is>
      </c>
      <c r="BT177" t="inlineStr">
        <is>
          <t>WOS:000909991200005</t>
        </is>
      </c>
      <c r="BU177">
        <f>HYPERLINK("https%3A%2F%2Fwww.webofscience.com%2Fwos%2Fwoscc%2Ffull-record%2FWOS:000909991200005","View Full Record in Web of Science")</f>
        <v/>
      </c>
    </row>
    <row r="178">
      <c r="A178" t="inlineStr">
        <is>
          <t>J</t>
        </is>
      </c>
      <c r="B178" t="inlineStr">
        <is>
          <t>Etminani-Ghasrodashti, R; Kan, C; Qaisrani, MA; Mogultay, O; Zhou, HL</t>
        </is>
      </c>
      <c r="F178" t="inlineStr">
        <is>
          <t>Etminani-Ghasrodashti, Roya; Kan, Chen; Qaisrani, Muhammad Arif; Mogultay, Omer; Zhou, Houliang</t>
        </is>
      </c>
      <c r="J178" t="inlineStr">
        <is>
          <t>SUSTAINABILITY</t>
        </is>
      </c>
      <c r="M178" t="inlineStr">
        <is>
          <t>English</t>
        </is>
      </c>
      <c r="N178" t="inlineStr">
        <is>
          <t>Article</t>
        </is>
      </c>
      <c r="T178" t="inlineStr">
        <is>
          <t>Examining the Impacts of the Built Environment on Quality of Life in Cancer Patients Using Machine Learning</t>
        </is>
      </c>
      <c r="U178" t="inlineStr">
        <is>
          <t>built environment; quality of life; machine learning; cancer</t>
        </is>
      </c>
      <c r="V178" t="inlineStr">
        <is>
          <t>BREAST-CANCER; PHYSICAL-ACTIVITY; URBAN SPRAWL; RISK-FACTORS; SOCIOECONOMIC-STATUS; HEALTH-INSURANCE; PROSTATE-CANCER; OLDER-ADULTS; SURVIVORS; CARE</t>
        </is>
      </c>
      <c r="W178" t="inlineStr">
        <is>
          <t>Despite accumulative evidence regarding the impact of the physical environment on health-related outcomes, very little is known about the relationships between built environment characteristics and the quality of life (QoL) of cancer patients. This study aims to investigate the association between the built environment and QoL by using survey data collected from cancer patients within the United States in 2019. To better understand the associations, we controlled the effects from sociodemographic attributes and health-related factors along with the residential built environment, including density, diversity, design, and distance to transit and hospitals on the self-reported QoL in cancer patients after treatment. Furthermore, machine learning models, i.e., logistic regression, decision tree, random forest, and multilayer perceptron neural network, were employed to evaluate the contribution of these features in predicting the QoL. The results from machine learning models indicated that the travel distance to the closest large hospital, perceived accessibility, distance to transit, and population density were among the most significant predictors of the cancer patients' QoL. Additionally, the health insurance status, age, and education of patients are associated with QoL. The adverse effects of density on the self-reported QoL in this study can be addressed by individuals' emotions towards negative aspects of density. Given the strong association between QoL and urban sustainability, consideration should be given to the side effects of urban density on cancer patients' perceived wellbeing.</t>
        </is>
      </c>
      <c r="X178" t="inlineStr">
        <is>
          <t>[Etminani-Ghasrodashti, Roya; Qaisrani, Muhammad Arif] Univ Texas Arlington, CTEDD, Arlington, TX 76019 USA; [Kan, Chen; Zhou, Houliang] Univ Texas Arlington, Dept Ind Mfg &amp; Syst Engn, Arlington, TX 76019 USA; [Mogultay, Omer] Univ Texas Arlington, Dept Math, Arlington, TX 76019 USA</t>
        </is>
      </c>
      <c r="Y178" t="inlineStr">
        <is>
          <t>University of Texas System; University of Texas Arlington; University of Texas System; University of Texas Arlington; University of Texas System; University of Texas Arlington</t>
        </is>
      </c>
      <c r="Z178" t="inlineStr">
        <is>
          <t>Etminani-Ghasrodashti, R (corresponding author), Univ Texas Arlington, CTEDD, Arlington, TX 76019 USA.;Kan, C (corresponding author), Univ Texas Arlington, Dept Ind Mfg &amp; Syst Engn, Arlington, TX 76019 USA.</t>
        </is>
      </c>
      <c r="AA178" t="inlineStr">
        <is>
          <t>roya.etminani@uta.edu; chen.kan@uta.edu; qaisrani12116@gmail.com; omer.mogultay@mays.uta.edu; houliang.zhou@uta.edu</t>
        </is>
      </c>
      <c r="AB178" t="inlineStr">
        <is>
          <t>Zhou, Houliang/AGN-8047-2022</t>
        </is>
      </c>
      <c r="AC178" t="inlineStr">
        <is>
          <t>Zhou, Houliang/0000-0002-5793-3042</t>
        </is>
      </c>
      <c r="AD178" t="inlineStr">
        <is>
          <t>Center for Transportation Equity, Decisions, and Dollars (CTEDD); University Transportation Center - United States Department of Transportation</t>
        </is>
      </c>
      <c r="AE178" t="inlineStr">
        <is>
          <t>Center for Transportation Equity, Decisions, and Dollars (CTEDD); University Transportation Center - United States Department of Transportation</t>
        </is>
      </c>
      <c r="AF178" t="inlineStr">
        <is>
          <t>This research was funded by the Center for Transportation Equity, Decisions, and Dollars (CTEDD); a University Transportation Center funded by the United States Department of Transportation.</t>
        </is>
      </c>
      <c r="AH178" t="n">
        <v>106</v>
      </c>
      <c r="AI178" t="n">
        <v>0</v>
      </c>
      <c r="AJ178" t="n">
        <v>0</v>
      </c>
      <c r="AK178" t="n">
        <v>5</v>
      </c>
      <c r="AL178" t="n">
        <v>13</v>
      </c>
      <c r="AM178" t="inlineStr">
        <is>
          <t>MDPI</t>
        </is>
      </c>
      <c r="AN178" t="inlineStr">
        <is>
          <t>BASEL</t>
        </is>
      </c>
      <c r="AO178" t="inlineStr">
        <is>
          <t>ST ALBAN-ANLAGE 66, CH-4052 BASEL, SWITZERLAND</t>
        </is>
      </c>
      <c r="AQ178" t="inlineStr">
        <is>
          <t>2071-1050</t>
        </is>
      </c>
      <c r="AS178" t="inlineStr">
        <is>
          <t>SUSTAINABILITY-BASEL</t>
        </is>
      </c>
      <c r="AT178" t="inlineStr">
        <is>
          <t>Sustainability</t>
        </is>
      </c>
      <c r="AU178" t="inlineStr">
        <is>
          <t>MAY</t>
        </is>
      </c>
      <c r="AV178" t="n">
        <v>2021</v>
      </c>
      <c r="AW178" t="n">
        <v>13</v>
      </c>
      <c r="AX178" t="n">
        <v>10</v>
      </c>
      <c r="BE178" t="n">
        <v>5438</v>
      </c>
      <c r="BF178" t="inlineStr">
        <is>
          <t>10.3390/su13105438</t>
        </is>
      </c>
      <c r="BG178">
        <f>HYPERLINK("http://dx.doi.org/10.3390/su13105438","http://dx.doi.org/10.3390/su13105438")</f>
        <v/>
      </c>
      <c r="BJ178" t="n">
        <v>19</v>
      </c>
      <c r="BK178" t="inlineStr">
        <is>
          <t>Green &amp; Sustainable Science &amp; Technology; Environmental Sciences; Environmental Studies</t>
        </is>
      </c>
      <c r="BL178" t="inlineStr">
        <is>
          <t>Science Citation Index Expanded (SCI-EXPANDED); Social Science Citation Index (SSCI)</t>
        </is>
      </c>
      <c r="BM178" t="inlineStr">
        <is>
          <t>Science &amp; Technology - Other Topics; Environmental Sciences &amp; Ecology</t>
        </is>
      </c>
      <c r="BN178" t="inlineStr">
        <is>
          <t>ST6XL</t>
        </is>
      </c>
      <c r="BP178" t="inlineStr">
        <is>
          <t>gold</t>
        </is>
      </c>
      <c r="BS178" t="inlineStr">
        <is>
          <t>2023-10-26</t>
        </is>
      </c>
      <c r="BT178" t="inlineStr">
        <is>
          <t>WOS:000662584500001</t>
        </is>
      </c>
      <c r="BU178">
        <f>HYPERLINK("https%3A%2F%2Fwww.webofscience.com%2Fwos%2Fwoscc%2Ffull-record%2FWOS:000662584500001","View Full Record in Web of Science")</f>
        <v/>
      </c>
    </row>
    <row r="179">
      <c r="A179" t="inlineStr">
        <is>
          <t>J</t>
        </is>
      </c>
      <c r="B179" t="inlineStr">
        <is>
          <t>Balderrama, A; Kang, J; Prieto, A; Luna-Navarro, A; Arztmann, D; Knaack, U</t>
        </is>
      </c>
      <c r="F179" t="inlineStr">
        <is>
          <t>Balderrama, Alvaro; Kang, Jian; Prieto, Alejandro; Luna-Navarro, Alessandra; Arztmann, Daniel; Knaack, Ulrich</t>
        </is>
      </c>
      <c r="J179" t="inlineStr">
        <is>
          <t>SUSTAINABILITY</t>
        </is>
      </c>
      <c r="M179" t="inlineStr">
        <is>
          <t>English</t>
        </is>
      </c>
      <c r="N179" t="inlineStr">
        <is>
          <t>Review</t>
        </is>
      </c>
      <c r="T179" t="inlineStr">
        <is>
          <t>Effects of Facades on Urban Acoustic Environment and Soundscape: A Systematic Review</t>
        </is>
      </c>
      <c r="U179" t="inlineStr">
        <is>
          <t>facade; building envelope; acoustics; acoustic environment; soundscape; urban comfort</t>
        </is>
      </c>
      <c r="V179" t="inlineStr">
        <is>
          <t>BUILDING FACADE; NOISE EXPOSURE; TRAFFIC NOISE; SCALE-MODEL; STREET CANYONS; PROPAGATION; MORPHOLOGY; REDUCTION; DESIGN; SCATTERING</t>
        </is>
      </c>
      <c r="W179" t="inlineStr">
        <is>
          <t>Facades cover a significant amount of surfaces in cities and are in constant interaction with the acoustic environment. Noise pollution is one of the most concerning burdens for public health and wellbeing; however, facade acoustic performance is generally not considered in outdoor spaces, in contrast to indoor spaces. This study presents a systematic literature review examining 40 peer-reviewed papers regarding the effects of facades on the urban acoustic environment and the soundscape. Facades affect sound pressure levels and reverberation time in urban spaces and can affect people's perception of the acoustic environment. The effects are classified into three groups: Effects of facades on the urban acoustic environment, including sound-reflecting, sound-absorbing and sound-producing effects; Effects of facades on the urban soundscape, including auditory and non-auditory effects; Effects of the context on the acoustic environment around facades, including boundary effects and atmospheric effects.</t>
        </is>
      </c>
      <c r="X179" t="inlineStr">
        <is>
          <t>[Balderrama, Alvaro; Luna-Navarro, Alessandra; Knaack, Ulrich] Delft Univ Technol, Fac Architecture &amp; Built Environm, Dept Architectural Engn &amp; Technol, Architectural Facades &amp; Prod Res Grp, Julianalaan 134, NL-2628 BL Delft, Netherlands; [Balderrama, Alvaro; Arztmann, Daniel] TH Ostwestfalen Lippe, Detmold Sch Architecture &amp; Interior Architecture, IDS Inst Design Strategies, Emilienstr 45, D-32756 Detmold, Germany; [Kang, Jian] Univ Coll London UCL, UCL Inst Environm Design &amp; Engn, Bartlett, Cent House,14 Upper Woburn Pl, London WC1H 0NN, England; [Prieto, Alejandro] Univ Diego Portales, Escuela Arquitectura, Fac Arquitectura Arte &amp; Diseno, Av Republ 180, Santiago 8370074, Chile</t>
        </is>
      </c>
      <c r="Y179" t="inlineStr">
        <is>
          <t>Delft University of Technology; University of London; University College London; University Diego Portales</t>
        </is>
      </c>
      <c r="Z179" t="inlineStr">
        <is>
          <t>Balderrama, A (corresponding author), Delft Univ Technol, Fac Architecture &amp; Built Environm, Dept Architectural Engn &amp; Technol, Architectural Facades &amp; Prod Res Grp, Julianalaan 134, NL-2628 BL Delft, Netherlands.;Balderrama, A (corresponding author), TH Ostwestfalen Lippe, Detmold Sch Architecture &amp; Interior Architecture, IDS Inst Design Strategies, Emilienstr 45, D-32756 Detmold, Germany.</t>
        </is>
      </c>
      <c r="AA179" t="inlineStr">
        <is>
          <t>a.balderrama@tudelft.nl</t>
        </is>
      </c>
      <c r="AB179" t="inlineStr">
        <is>
          <t>Balderrama, Alvaro/IYJ-9243-2023</t>
        </is>
      </c>
      <c r="AC179" t="inlineStr">
        <is>
          <t>Kang, Jian/0000-0001-8995-5636; Luna Navarro, Alessandra/0000-0003-0183-0199; Balderrama, Alvaro/0000-0002-4118-2838; Prieto, Alejandro/0000-0003-3386-7682</t>
        </is>
      </c>
      <c r="AH179" t="n">
        <v>55</v>
      </c>
      <c r="AI179" t="n">
        <v>3</v>
      </c>
      <c r="AJ179" t="n">
        <v>3</v>
      </c>
      <c r="AK179" t="n">
        <v>21</v>
      </c>
      <c r="AL179" t="n">
        <v>50</v>
      </c>
      <c r="AM179" t="inlineStr">
        <is>
          <t>MDPI</t>
        </is>
      </c>
      <c r="AN179" t="inlineStr">
        <is>
          <t>BASEL</t>
        </is>
      </c>
      <c r="AO179" t="inlineStr">
        <is>
          <t>ST ALBAN-ANLAGE 66, CH-4052 BASEL, SWITZERLAND</t>
        </is>
      </c>
      <c r="AQ179" t="inlineStr">
        <is>
          <t>2071-1050</t>
        </is>
      </c>
      <c r="AS179" t="inlineStr">
        <is>
          <t>SUSTAINABILITY-BASEL</t>
        </is>
      </c>
      <c r="AT179" t="inlineStr">
        <is>
          <t>Sustainability</t>
        </is>
      </c>
      <c r="AU179" t="inlineStr">
        <is>
          <t>AUG</t>
        </is>
      </c>
      <c r="AV179" t="n">
        <v>2022</v>
      </c>
      <c r="AW179" t="n">
        <v>14</v>
      </c>
      <c r="AX179" t="n">
        <v>15</v>
      </c>
      <c r="BE179" t="n">
        <v>9670</v>
      </c>
      <c r="BF179" t="inlineStr">
        <is>
          <t>10.3390/su14159670</t>
        </is>
      </c>
      <c r="BG179">
        <f>HYPERLINK("http://dx.doi.org/10.3390/su14159670","http://dx.doi.org/10.3390/su14159670")</f>
        <v/>
      </c>
      <c r="BJ179" t="n">
        <v>19</v>
      </c>
      <c r="BK179" t="inlineStr">
        <is>
          <t>Green &amp; Sustainable Science &amp; Technology; Environmental Sciences; Environmental Studies</t>
        </is>
      </c>
      <c r="BL179" t="inlineStr">
        <is>
          <t>Science Citation Index Expanded (SCI-EXPANDED); Social Science Citation Index (SSCI)</t>
        </is>
      </c>
      <c r="BM179" t="inlineStr">
        <is>
          <t>Science &amp; Technology - Other Topics; Environmental Sciences &amp; Ecology</t>
        </is>
      </c>
      <c r="BN179" t="inlineStr">
        <is>
          <t>3R4WY</t>
        </is>
      </c>
      <c r="BP179" t="inlineStr">
        <is>
          <t>gold, Green Published</t>
        </is>
      </c>
      <c r="BS179" t="inlineStr">
        <is>
          <t>2023-10-26</t>
        </is>
      </c>
      <c r="BT179" t="inlineStr">
        <is>
          <t>WOS:000838916200001</t>
        </is>
      </c>
      <c r="BU179">
        <f>HYPERLINK("https%3A%2F%2Fwww.webofscience.com%2Fwos%2Fwoscc%2Ffull-record%2FWOS:000838916200001","View Full Record in Web of Science")</f>
        <v/>
      </c>
    </row>
    <row r="180">
      <c r="A180" t="inlineStr">
        <is>
          <t>J</t>
        </is>
      </c>
      <c r="B180" t="inlineStr">
        <is>
          <t>Francis, J; Trapp, G; Pearce, N; Burns, S; Cross, D</t>
        </is>
      </c>
      <c r="F180" t="inlineStr">
        <is>
          <t>Francis, Jacinta; Trapp, Gina; Pearce, Natasha; Burns, Sharyn; Cross, Donna</t>
        </is>
      </c>
      <c r="J180" t="inlineStr">
        <is>
          <t>INTERNATIONAL JOURNAL OF ENVIRONMENTAL RESEARCH AND PUBLIC HEALTH</t>
        </is>
      </c>
      <c r="M180" t="inlineStr">
        <is>
          <t>English</t>
        </is>
      </c>
      <c r="N180" t="inlineStr">
        <is>
          <t>Article</t>
        </is>
      </c>
      <c r="T180" t="inlineStr">
        <is>
          <t>School Built Environments and Bullying Behaviour: A Conceptual Model Based on Qualitative Interviews</t>
        </is>
      </c>
      <c r="U180" t="inlineStr">
        <is>
          <t>bullying; peer victimisation; built environment; school; children; qualitative; conceptual model</t>
        </is>
      </c>
      <c r="V180" t="inlineStr">
        <is>
          <t>VICTIMIZATION; CHILDHOOD; VIOLENCE; SAFETY; CONSEQUENCES; METAANALYSIS; ASSOCIATION; PREVENTION; DESIGN</t>
        </is>
      </c>
      <c r="W180" t="inlineStr">
        <is>
          <t>Interest in how the school built environment impacts bullying behaviour has gained momentum in recent years. While numerous studies have identified locations within schools where bullying frequently occurs, few studies have investigated the potential conceptual pathways linking school locations to bullying behaviour. This study aimed to (i) identify school built environment factors that may prevent or facilitate bullying behaviour in primary and secondary schools; and (ii) develop a conceptual model of potential pathways between the school built environment and bullying behaviour for future anti-bullying intervention research. Seventy individual semi-structured interviews were conducted between May and December 2020, with policymakers (n = 22), school staff (n = 12), parents (n = 18), and students (n = 18). School staff, parents and students, were recruited from six metropolitan primary and secondary schools in Perth, Western Australia. Interviews were conducted online and face-to-face using semi-structured interview guides. A thematic analysis was undertaken. Participants identified school bullying locations (e.g., locker areas, bathrooms, corridors) and built environment factors linked to bullying behaviour via (i) visibility and supervision; (ii) physical and psychological comfort and safety; and (iii) social-emotional competencies. The findings have policy and practice implications regarding the design of school built environments to prevent bullying behaviour.</t>
        </is>
      </c>
      <c r="X180" t="inlineStr">
        <is>
          <t>[Francis, Jacinta; Trapp, Gina; Pearce, Natasha; Cross, Donna] Telethon Kids Inst, 15 Hosp Ave, Nedlands, WA 6009, Australia; [Francis, Jacinta; Cross, Donna] Univ Western Australia, Ctr Child Hlth Res, 35 Stirling Hwy, Nedlands, WA 6009, Australia; [Trapp, Gina; Pearce, Natasha] Univ Western Australia, Sch Populat &amp; Global Hlth, 35 Stirling Hwy, Nedlands, WA 6009, Australia; [Burns, Sharyn] Curtin Univ, Sch Populat Hlth, Kent St, Bentley, WA 6102, Australia</t>
        </is>
      </c>
      <c r="Y180" t="inlineStr">
        <is>
          <t>Telethon Kids Institute; University of Western Australia; University of Western Australia; University of Western Australia; Curtin University</t>
        </is>
      </c>
      <c r="Z180" t="inlineStr">
        <is>
          <t>Francis, J (corresponding author), Telethon Kids Inst, 15 Hosp Ave, Nedlands, WA 6009, Australia.;Francis, J (corresponding author), Univ Western Australia, Ctr Child Hlth Res, 35 Stirling Hwy, Nedlands, WA 6009, Australia.</t>
        </is>
      </c>
      <c r="AA180" t="inlineStr">
        <is>
          <t>jacinta.francis@telethonkids.org.au</t>
        </is>
      </c>
      <c r="AB180" t="inlineStr">
        <is>
          <t>Pearce, Natasha/HLH-4774-2023; Francis, Jacinta/IAM-2098-2023</t>
        </is>
      </c>
      <c r="AC180" t="inlineStr">
        <is>
          <t>Trapp, Gina/0000-0001-8529-4260; Francis, Jacinta/0000-0002-8701-8195</t>
        </is>
      </c>
      <c r="AH180" t="n">
        <v>50</v>
      </c>
      <c r="AI180" t="n">
        <v>0</v>
      </c>
      <c r="AJ180" t="n">
        <v>0</v>
      </c>
      <c r="AK180" t="n">
        <v>4</v>
      </c>
      <c r="AL180" t="n">
        <v>10</v>
      </c>
      <c r="AM180" t="inlineStr">
        <is>
          <t>MDPI</t>
        </is>
      </c>
      <c r="AN180" t="inlineStr">
        <is>
          <t>BASEL</t>
        </is>
      </c>
      <c r="AO180" t="inlineStr">
        <is>
          <t>ST ALBAN-ANLAGE 66, CH-4052 BASEL, SWITZERLAND</t>
        </is>
      </c>
      <c r="AQ180" t="inlineStr">
        <is>
          <t>1660-4601</t>
        </is>
      </c>
      <c r="AS180" t="inlineStr">
        <is>
          <t>INT J ENV RES PUB HE</t>
        </is>
      </c>
      <c r="AT180" t="inlineStr">
        <is>
          <t>Int. J. Environ. Res. Public Health</t>
        </is>
      </c>
      <c r="AU180" t="inlineStr">
        <is>
          <t>DEC</t>
        </is>
      </c>
      <c r="AV180" t="n">
        <v>2022</v>
      </c>
      <c r="AW180" t="n">
        <v>19</v>
      </c>
      <c r="AX180" t="n">
        <v>23</v>
      </c>
      <c r="BE180" t="n">
        <v>15955</v>
      </c>
      <c r="BF180" t="inlineStr">
        <is>
          <t>10.3390/ijerph192315955</t>
        </is>
      </c>
      <c r="BG180">
        <f>HYPERLINK("http://dx.doi.org/10.3390/ijerph192315955","http://dx.doi.org/10.3390/ijerph192315955")</f>
        <v/>
      </c>
      <c r="BJ180" t="n">
        <v>16</v>
      </c>
      <c r="BK180" t="inlineStr">
        <is>
          <t>Environmental Sciences; Public, Environmental &amp; Occupational Health</t>
        </is>
      </c>
      <c r="BL180" t="inlineStr">
        <is>
          <t>Science Citation Index Expanded (SCI-EXPANDED); Social Science Citation Index (SSCI)</t>
        </is>
      </c>
      <c r="BM180" t="inlineStr">
        <is>
          <t>Environmental Sciences &amp; Ecology; Public, Environmental &amp; Occupational Health</t>
        </is>
      </c>
      <c r="BN180" t="inlineStr">
        <is>
          <t>6X2HX</t>
        </is>
      </c>
      <c r="BO180" t="n">
        <v>36498029</v>
      </c>
      <c r="BP180" t="inlineStr">
        <is>
          <t>gold, Green Published</t>
        </is>
      </c>
      <c r="BS180" t="inlineStr">
        <is>
          <t>2023-10-26</t>
        </is>
      </c>
      <c r="BT180" t="inlineStr">
        <is>
          <t>WOS:000896241700001</t>
        </is>
      </c>
      <c r="BU180">
        <f>HYPERLINK("https%3A%2F%2Fwww.webofscience.com%2Fwos%2Fwoscc%2Ffull-record%2FWOS:000896241700001","View Full Record in Web of Science")</f>
        <v/>
      </c>
    </row>
    <row r="181">
      <c r="A181" t="inlineStr">
        <is>
          <t>J</t>
        </is>
      </c>
      <c r="B181" t="inlineStr">
        <is>
          <t>Kikuchi, H; Nakaya, T; Hanibuchi, T; Fukushima, N; Amagasa, S; Oka, K; Sallis, JF; Inoue, S</t>
        </is>
      </c>
      <c r="F181" t="inlineStr">
        <is>
          <t>Kikuchi, Hiroyuki; Nakaya, Tomoki; Hanibuchi, Tomoya; Fukushima, Noritoshi; Amagasa, Shiho; Oka, Koichiro; Sallis, James F.; Inoue, Shigeru</t>
        </is>
      </c>
      <c r="J181" t="inlineStr">
        <is>
          <t>INTERNATIONAL JOURNAL OF ENVIRONMENTAL RESEARCH AND PUBLIC HEALTH</t>
        </is>
      </c>
      <c r="M181" t="inlineStr">
        <is>
          <t>English</t>
        </is>
      </c>
      <c r="N181" t="inlineStr">
        <is>
          <t>Article</t>
        </is>
      </c>
      <c r="T181" t="inlineStr">
        <is>
          <t>Objectively Measured Neighborhood Walkability and Change in Physical Activity in Older Japanese Adults: A Five-Year Cohort Study</t>
        </is>
      </c>
      <c r="U181" t="inlineStr">
        <is>
          <t>exercise; built environment; neighborhood environment; prospective cohort study; geographic information system (GIS)</t>
        </is>
      </c>
      <c r="V181" t="inlineStr">
        <is>
          <t>BUILT ENVIRONMENT; MULTILEVEL ANALYSIS; ACTIVITY PATTERNS; WALKING ACTIVITY; UNITED-STATES; HEALTH; RESOURCES; DETERMINANTS; WOMEN; TIME</t>
        </is>
      </c>
      <c r="W181" t="inlineStr">
        <is>
          <t>Objectives: This study investigated the longitudinal association between changes in older adults' physical activity and neighborhood walkability measured by geographic information systems (GISs, (ArcGIS, ESRI Inc., Redlands, CA, USA)). Methods: A mail survey was conducted for Japanese older adults who were randomly selected from three different settlement types. Data on walking, total moderate to vigorous physical activity (MVPA), and sociodemographic characteristics were collected at baseline (in 2010) and follow-up (in 2015). Multiple linear regression analyses were employed to assess the association between MVPA change and neighborhood walkability, adjusted for potential confounders. Effect sizes for independent variables on MVPA change were estimated. Results: Data from 731 community-dwelling older adults (43.7% women) were analyzed. During the follow-up, older adults' MVPA was reduced by 94.4 min/week (-14.2%) on average (675.5 and 579.9 min/week in 2010 and 2015, respectively). Overall, older adults living in highly walkable areas showed a smaller reduction than those in low walkable areas (beta: 99.7 min/week, 95% confidence interval: 28.5-171.0). Similar associations were observed among those in the urban and suburban area, but not in the rural area. Walkability had larger effect sizes for explaining MVPA change than demographic characteristics. In addition, the findings for walking were similar to MVPA. Conclusion: Neighborhood walkability mitigated the 5-year reduction of walking and total MVPA among older adults, especially in urban areas.</t>
        </is>
      </c>
      <c r="X181" t="inlineStr">
        <is>
          <t>[Kikuchi, Hiroyuki; Fukushima, Noritoshi; Amagasa, Shiho; Inoue, Shigeru] Tokyo Med Univ, Dept Prevent Med &amp; Publ Hlth, Shinjuku Ku, 6-1-1 Shinjuku, Tokyo 1608402, Japan; [Nakaya, Tomoki] Tohoku Univ, Grad Sch Environm Studies, Aoba Ku, 468-1 Aoba, Sendai, Miyagi 9800845, Japan; [Hanibuchi, Tomoya] Chukyo Univ, Sch Int Liberal Studies, 101 Tokodachi,Kaizu Cho, Toyota 4700393, Japan; [Oka, Koichiro] Waseda Univ, Fac Sport Sci, 2-579-15 Mikajima, Tokorozawa, Saitama 3591192, Japan; [Sallis, James F.] Univ Calif San Diego, Family Med &amp; Publ Hlth, 9500 Gilman Dr, La Jolla, CA 92093 USA; [Sallis, James F.] Australian Catholic Univ, Mary MacKillop Inst Hlth Res, Level 5,215 Spring St, Melbourne, Vic 3000, Australia</t>
        </is>
      </c>
      <c r="Y181" t="inlineStr">
        <is>
          <t>Tokyo Medical University; Tohoku University; Chukyo University; Waseda University; University of California System; University of California San Diego; Australian Catholic University</t>
        </is>
      </c>
      <c r="Z181" t="inlineStr">
        <is>
          <t>Kikuchi, H (corresponding author), Tokyo Med Univ, Dept Prevent Med &amp; Publ Hlth, Shinjuku Ku, 6-1-1 Shinjuku, Tokyo 1608402, Japan.</t>
        </is>
      </c>
      <c r="AA181" t="inlineStr">
        <is>
          <t>kikuchih@tokyo-med.ac.jp; tomoki.nakaya.c8@tohoku.ac.jp; info@hanibuchi.com; fukufuku@tokyo-med.ac.jp; amagasa@tokyo-med.ac.jp; koka@waseda.jp; jsallis@ucsd.edu; inoue@tokyo-med.ac.jp</t>
        </is>
      </c>
      <c r="AB181" t="inlineStr">
        <is>
          <t>Oka, Koichiro/K-3297-2019; Sallis, James F/D-3001-2014</t>
        </is>
      </c>
      <c r="AC181" t="inlineStr">
        <is>
          <t>Sallis, James F/0000-0003-2555-9452; Oka, Koichiro/0000-0001-5571-042X; Inoue, Shigeru/0000-0003-1931-2613</t>
        </is>
      </c>
      <c r="AD181" t="inlineStr">
        <is>
          <t>Japan Ministry of Education, Culture, Sports, Science and Technology [20500604, 16H03249]; MEXT-Supported Program for the Strategic Research Foundation at Private Universities (2015-2019) from the Ministry of Education, Culture, Sports, Science and Technology [S1511017]; Uehara Memorial Foundation; Grants-in-Aid for Scientific Research [20500604, 16H03249] Funding Source: KAKEN</t>
        </is>
      </c>
      <c r="AE181" t="inlineStr">
        <is>
          <t>Japan Ministry of Education, Culture, Sports, Science and Technology(Ministry of Education, Culture, Sports, Science and Technology, Japan (MEXT)); MEXT-Supported Program for the Strategic Research Foundation at Private Universities (2015-2019) from the Ministry of Education, Culture, Sports, Science and Technology; Uehara Memorial Foundation(Uehara Memorial Foundation); Grants-in-Aid for Scientific Research(Ministry of Education, Culture, Sports, Science and Technology, Japan (MEXT)Japan Society for the Promotion of ScienceGrants-in-Aid for Scientific Research (KAKENHI))</t>
        </is>
      </c>
      <c r="AF181" t="inlineStr">
        <is>
          <t>This study was founded by a Grant-in-Aid for Scientific Research (20500604 and 16H03249) from the Japan Ministry of Education, Culture, Sports, Science and Technology, the MEXT-Supported Program for the Strategic Research Foundation at Private Universities (2015-2019) from the Ministry of Education, Culture, Sports, Science and Technology (S1511017), and the Uehara Memorial Foundation.</t>
        </is>
      </c>
      <c r="AH181" t="n">
        <v>43</v>
      </c>
      <c r="AI181" t="n">
        <v>26</v>
      </c>
      <c r="AJ181" t="n">
        <v>26</v>
      </c>
      <c r="AK181" t="n">
        <v>1</v>
      </c>
      <c r="AL181" t="n">
        <v>21</v>
      </c>
      <c r="AM181" t="inlineStr">
        <is>
          <t>MDPI</t>
        </is>
      </c>
      <c r="AN181" t="inlineStr">
        <is>
          <t>BASEL</t>
        </is>
      </c>
      <c r="AO181" t="inlineStr">
        <is>
          <t>ST ALBAN-ANLAGE 66, CH-4052 BASEL, SWITZERLAND</t>
        </is>
      </c>
      <c r="AQ181" t="inlineStr">
        <is>
          <t>1660-4601</t>
        </is>
      </c>
      <c r="AS181" t="inlineStr">
        <is>
          <t>INT J ENV RES PUB HE</t>
        </is>
      </c>
      <c r="AT181" t="inlineStr">
        <is>
          <t>Int. J. Environ. Res. Public Health</t>
        </is>
      </c>
      <c r="AU181" t="inlineStr">
        <is>
          <t>SEP</t>
        </is>
      </c>
      <c r="AV181" t="n">
        <v>2018</v>
      </c>
      <c r="AW181" t="n">
        <v>15</v>
      </c>
      <c r="AX181" t="n">
        <v>9</v>
      </c>
      <c r="BE181" t="n">
        <v>1814</v>
      </c>
      <c r="BF181" t="inlineStr">
        <is>
          <t>10.3390/ijerph15091814</t>
        </is>
      </c>
      <c r="BG181">
        <f>HYPERLINK("http://dx.doi.org/10.3390/ijerph15091814","http://dx.doi.org/10.3390/ijerph15091814")</f>
        <v/>
      </c>
      <c r="BJ181" t="n">
        <v>14</v>
      </c>
      <c r="BK181" t="inlineStr">
        <is>
          <t>Environmental Sciences; Public, Environmental &amp; Occupational Health</t>
        </is>
      </c>
      <c r="BL181" t="inlineStr">
        <is>
          <t>Science Citation Index Expanded (SCI-EXPANDED); Social Science Citation Index (SSCI)</t>
        </is>
      </c>
      <c r="BM181" t="inlineStr">
        <is>
          <t>Environmental Sciences &amp; Ecology; Public, Environmental &amp; Occupational Health</t>
        </is>
      </c>
      <c r="BN181" t="inlineStr">
        <is>
          <t>GV0PX</t>
        </is>
      </c>
      <c r="BO181" t="n">
        <v>30135389</v>
      </c>
      <c r="BP181" t="inlineStr">
        <is>
          <t>Green Published, Green Submitted, gold</t>
        </is>
      </c>
      <c r="BS181" t="inlineStr">
        <is>
          <t>2023-10-26</t>
        </is>
      </c>
      <c r="BT181" t="inlineStr">
        <is>
          <t>WOS:000445765600023</t>
        </is>
      </c>
      <c r="BU181">
        <f>HYPERLINK("https%3A%2F%2Fwww.webofscience.com%2Fwos%2Fwoscc%2Ffull-record%2FWOS:000445765600023","View Full Record in Web of Science")</f>
        <v/>
      </c>
    </row>
    <row r="182">
      <c r="A182" t="inlineStr">
        <is>
          <t>J</t>
        </is>
      </c>
      <c r="B182" t="inlineStr">
        <is>
          <t>Li, JY; Zheng, BH; Bedra, KB; Li, Z; Chen, X</t>
        </is>
      </c>
      <c r="F182" t="inlineStr">
        <is>
          <t>Li, Jiayu; Zheng, Bohong; Bedra, Komi Bernard; Li, Zhe; Chen, Xiao</t>
        </is>
      </c>
      <c r="J182" t="inlineStr">
        <is>
          <t>JOURNAL OF ENVIRONMENTAL MANAGEMENT</t>
        </is>
      </c>
      <c r="M182" t="inlineStr">
        <is>
          <t>English</t>
        </is>
      </c>
      <c r="N182" t="inlineStr">
        <is>
          <t>Article</t>
        </is>
      </c>
      <c r="T182" t="inlineStr">
        <is>
          <t>Effects of residential building height, density, and floor area ratios on indoor thermal environment in Singapore</t>
        </is>
      </c>
      <c r="U182" t="inlineStr">
        <is>
          <t>Building height; Building density; Floor area ratios; Indoor temperature; Envi-met</t>
        </is>
      </c>
      <c r="V182" t="inlineStr">
        <is>
          <t>URBAN HEAT-ISLAND; ENVI-MET; EFFECTIVE ALBEDO; COMFORT; PERFORMANCE; DESIGN; IMPACT; MITIGATION; CLIMATE; CANYON</t>
        </is>
      </c>
      <c r="W182" t="inlineStr">
        <is>
          <t>Building height, building density, and floor area ratio are the three key parameters in urban planning. However, little is known about their impact on indoor thermal environments as compared with outdoor thermal environments. The study aimed to investigate their impact on indoor air temperatures in Singapore. Singapore's residential buildings were reviewed from the perspective of the three parameters, and the Envi-met model was employed for simulation after its accuracy was confirmed by field experiments. Indoor air temperatures under 18 scenarios were simulated and analyzed. The analytical results revealed that among the three parameters, the building density was the most influential. An increase in building density reduced the indoor temperature. In Singapore, the building density increases from 0.0625 to 0.766, which reduced the mean indoor temperature by 4.7 degrees C. The indoor temperature decreased slightly with an increase in building height. An increase in building height from 12 to 72 m produced an indoor temperature decrease of approximately 1.7 degrees C. The influence of floor area ratio on indoor air temperature was the most complex. For a fixed floor area ratio of 2, the indoor temperature first increased and then decreased with an increase in building density, which resulted in an indoor temperature difference of 2.1 degrees C when the building density increased from 0.141 to 0.766.</t>
        </is>
      </c>
      <c r="X182" t="inlineStr">
        <is>
          <t>[Li, Jiayu; Zheng, Bohong; Bedra, Komi Bernard; Li, Zhe; Chen, Xiao] Cent South Univ, Sch Architecture &amp; Art, Changsha 410083, Peoples R China; [Chen, Xiao] Hunan Agr Univ, Coll Landscape &amp; Art Design, Changsha 410128, Peoples R China</t>
        </is>
      </c>
      <c r="Y182" t="inlineStr">
        <is>
          <t>Central South University; Hunan Agricultural University</t>
        </is>
      </c>
      <c r="Z182" t="inlineStr">
        <is>
          <t>Zheng, BH (corresponding author), Cent South Univ, Sch Architecture &amp; Art, Changsha 410083, Peoples R China.</t>
        </is>
      </c>
      <c r="AA182" t="inlineStr">
        <is>
          <t>zhengbohong@csu.edu.cn; chenxiao@hunau.edu.cn</t>
        </is>
      </c>
      <c r="AB182" t="inlineStr">
        <is>
          <t>Bedra, Komi/HPD-7039-2023</t>
        </is>
      </c>
      <c r="AC182" t="inlineStr">
        <is>
          <t>Bedra, Komi/0000-0003-1848-4309; Zheng, Bohong/0000-0002-3163-9718; Li, Jiayu/0000-0002-3698-7527</t>
        </is>
      </c>
      <c r="AD182" t="inlineStr">
        <is>
          <t>China Scholarship Council [202006370126]; Hunan Provincial Innovation Foundation for Postgraduate [CX20200375]; Hunan Provincial Philosophy and Social Science Planning Fund Office [XSP20ZDI020]; Hunan Provincial Natural Science Foundation [2021JJ40257]; National University of Singapore</t>
        </is>
      </c>
      <c r="AE182" t="inlineStr">
        <is>
          <t>China Scholarship Council(China Scholarship Council); Hunan Provincial Innovation Foundation for Postgraduate; Hunan Provincial Philosophy and Social Science Planning Fund Office; Hunan Provincial Natural Science Foundation(Natural Science Foundation of Hunan Province); National University of Singapore(National University of Singapore)</t>
        </is>
      </c>
      <c r="AF182" t="inlineStr">
        <is>
          <t>This research was funded by the China Scholarship Council, grant number 202006370126; Hunan Provincial Innovation Foundation for Postgraduate, grant number CX20200375; Hunan Provincial Philosophy and Social Science Planning Fund Office, grant number XSP20ZDI020; Hunan Provincial Natural Science Foundation, grant number 2021JJ40257. Thanks are given to National University of Singapore for the support of the field experiment.</t>
        </is>
      </c>
      <c r="AH182" t="n">
        <v>64</v>
      </c>
      <c r="AI182" t="n">
        <v>9</v>
      </c>
      <c r="AJ182" t="n">
        <v>9</v>
      </c>
      <c r="AK182" t="n">
        <v>20</v>
      </c>
      <c r="AL182" t="n">
        <v>92</v>
      </c>
      <c r="AM182" t="inlineStr">
        <is>
          <t>ACADEMIC PRESS LTD- ELSEVIER SCIENCE LTD</t>
        </is>
      </c>
      <c r="AN182" t="inlineStr">
        <is>
          <t>LONDON</t>
        </is>
      </c>
      <c r="AO182" t="inlineStr">
        <is>
          <t>24-28 OVAL RD, LONDON NW1 7DX, ENGLAND</t>
        </is>
      </c>
      <c r="AP182" t="inlineStr">
        <is>
          <t>0301-4797</t>
        </is>
      </c>
      <c r="AQ182" t="inlineStr">
        <is>
          <t>1095-8630</t>
        </is>
      </c>
      <c r="AS182" t="inlineStr">
        <is>
          <t>J ENVIRON MANAGE</t>
        </is>
      </c>
      <c r="AT182" t="inlineStr">
        <is>
          <t>J. Environ. Manage.</t>
        </is>
      </c>
      <c r="AU182" t="inlineStr">
        <is>
          <t>JUL 1</t>
        </is>
      </c>
      <c r="AV182" t="n">
        <v>2022</v>
      </c>
      <c r="AW182" t="n">
        <v>313</v>
      </c>
      <c r="BE182" t="n">
        <v>114976</v>
      </c>
      <c r="BF182" t="inlineStr">
        <is>
          <t>10.1016/j.jenvman.2022.114976</t>
        </is>
      </c>
      <c r="BG182">
        <f>HYPERLINK("http://dx.doi.org/10.1016/j.jenvman.2022.114976","http://dx.doi.org/10.1016/j.jenvman.2022.114976")</f>
        <v/>
      </c>
      <c r="BI182" t="inlineStr">
        <is>
          <t>MAR 2022</t>
        </is>
      </c>
      <c r="BJ182" t="n">
        <v>11</v>
      </c>
      <c r="BK182" t="inlineStr">
        <is>
          <t>Environmental Sciences</t>
        </is>
      </c>
      <c r="BL182" t="inlineStr">
        <is>
          <t>Science Citation Index Expanded (SCI-EXPANDED)</t>
        </is>
      </c>
      <c r="BM182" t="inlineStr">
        <is>
          <t>Environmental Sciences &amp; Ecology</t>
        </is>
      </c>
      <c r="BN182" t="inlineStr">
        <is>
          <t>1W7MD</t>
        </is>
      </c>
      <c r="BO182" t="n">
        <v>35367678</v>
      </c>
      <c r="BS182" t="inlineStr">
        <is>
          <t>2023-10-26</t>
        </is>
      </c>
      <c r="BT182" t="inlineStr">
        <is>
          <t>WOS:000806954200003</t>
        </is>
      </c>
      <c r="BU182">
        <f>HYPERLINK("https%3A%2F%2Fwww.webofscience.com%2Fwos%2Fwoscc%2Ffull-record%2FWOS:000806954200003","View Full Record in Web of Science")</f>
        <v/>
      </c>
    </row>
    <row r="183">
      <c r="A183" t="inlineStr">
        <is>
          <t>J</t>
        </is>
      </c>
      <c r="B183" t="inlineStr">
        <is>
          <t>Zheng, ZH; Chen, H; Gao, JL</t>
        </is>
      </c>
      <c r="F183" t="inlineStr">
        <is>
          <t>Zheng, Zhenhua; Chen, Hong; Gao, Junling</t>
        </is>
      </c>
      <c r="J183" t="inlineStr">
        <is>
          <t>INTERNATIONAL JOURNAL OF ENVIRONMENTAL RESEARCH AND PUBLIC HEALTH</t>
        </is>
      </c>
      <c r="M183" t="inlineStr">
        <is>
          <t>English</t>
        </is>
      </c>
      <c r="N183" t="inlineStr">
        <is>
          <t>Article</t>
        </is>
      </c>
      <c r="T183" t="inlineStr">
        <is>
          <t>Age Differences in the Influence of Residential Environment and Behavior on the Life Quality of Older Adults: The Transfer from Physical-Environment to Social-Behavior</t>
        </is>
      </c>
      <c r="U183" t="inlineStr">
        <is>
          <t>residential environment; neighborhood interaction; outdoor exercise; age groups; the life quality of older adults</t>
        </is>
      </c>
      <c r="V183" t="inlineStr">
        <is>
          <t>OF-LIFE; HEALTH; PLACE</t>
        </is>
      </c>
      <c r="W183" t="inlineStr">
        <is>
          <t>With the development of the concept of ageing-friendly communities, increasing attention has been paid to the effect of residential environments on the life quality of older adults. However, the logical relationship between residential environment, individual behavior and life quality of older adults has not been clearly revealed. Based on data in Shanghai, China, this study explored the relationships between residential environments and the life quality of older adults in different age groups, and analyzed the mediating role of individual behaviors (neighborhood interaction and outdoor exercise). The findings confirmed that residential environment, neighborhood interactions and outdoor exercise have significant positive effects on the life quality of older adults. Meanwhile, the impact of residential environment on the life quality of older adults is exclusively realized through the mediating role of individual behavior. However, there were significant differences in the model paths among various age groups. With ageing, the positive effects of residential environment on the quality of life gradually weakened, while that of neighborhood interaction gradually improved. The findings prove that the influencing factors on the quality of life of older adults tend to shift from residential environment to neighborhood interaction as the age of residents advances. This knowledge is crucial with regard to the differentiated and accurate design of older communities.</t>
        </is>
      </c>
      <c r="X183" t="inlineStr">
        <is>
          <t>[Zheng, Zhenhua] Univ Shanghai Sci &amp; Technol, Coll Commun &amp; Art Design, 516 Jungong Rd, Shanghai 200093, Peoples R China; [Chen, Hong] Sichuan Univ, Coll Architecture &amp; Environm, 24 First South Sect,First Ring Rd, Chengdu 610065, Peoples R China; [Gao, Junling] Fudan Univ, Sch Publ Hlth, Shanghai 200032, Peoples R China</t>
        </is>
      </c>
      <c r="Y183" t="inlineStr">
        <is>
          <t>University of Shanghai for Science &amp; Technology; Sichuan University; Fudan University</t>
        </is>
      </c>
      <c r="Z183" t="inlineStr">
        <is>
          <t>Chen, H (corresponding author), Sichuan Univ, Coll Architecture &amp; Environm, 24 First South Sect,First Ring Rd, Chengdu 610065, Peoples R China.</t>
        </is>
      </c>
      <c r="AA183" t="inlineStr">
        <is>
          <t>19527@tongji.edu.cn; ch_jhxy@scu.edu.cn; jlgao@fudan.edu.cn</t>
        </is>
      </c>
      <c r="AB183" t="inlineStr">
        <is>
          <t>Gao, Junling/GLS-4118-2022; ZHENG, Zhenhua/Z-4747-2019</t>
        </is>
      </c>
      <c r="AC183" t="inlineStr">
        <is>
          <t>Gao, Junling/0000-0002-0694-2010; ZHENG, Zhenhua/0000-0002-5587-5387; Chen, Hong/0000-0002-6874-2348</t>
        </is>
      </c>
      <c r="AD183" t="inlineStr">
        <is>
          <t>MOE Layout Foundation of Humanities and Social Sciences [20YJAZH140]</t>
        </is>
      </c>
      <c r="AE183" t="inlineStr">
        <is>
          <t>MOE Layout Foundation of Humanities and Social Sciences</t>
        </is>
      </c>
      <c r="AF183" t="inlineStr">
        <is>
          <t>This research was funded by the MOE Layout Foundation of Humanities and Social Sciences (No. 20YJAZH140) to Z.Z.</t>
        </is>
      </c>
      <c r="AH183" t="n">
        <v>38</v>
      </c>
      <c r="AI183" t="n">
        <v>7</v>
      </c>
      <c r="AJ183" t="n">
        <v>7</v>
      </c>
      <c r="AK183" t="n">
        <v>13</v>
      </c>
      <c r="AL183" t="n">
        <v>45</v>
      </c>
      <c r="AM183" t="inlineStr">
        <is>
          <t>MDPI</t>
        </is>
      </c>
      <c r="AN183" t="inlineStr">
        <is>
          <t>BASEL</t>
        </is>
      </c>
      <c r="AO183" t="inlineStr">
        <is>
          <t>ST ALBAN-ANLAGE 66, CH-4052 BASEL, SWITZERLAND</t>
        </is>
      </c>
      <c r="AQ183" t="inlineStr">
        <is>
          <t>1660-4601</t>
        </is>
      </c>
      <c r="AS183" t="inlineStr">
        <is>
          <t>INT J ENV RES PUB HE</t>
        </is>
      </c>
      <c r="AT183" t="inlineStr">
        <is>
          <t>Int. J. Environ. Res. Public Health</t>
        </is>
      </c>
      <c r="AU183" t="inlineStr">
        <is>
          <t>FEB</t>
        </is>
      </c>
      <c r="AV183" t="n">
        <v>2021</v>
      </c>
      <c r="AW183" t="n">
        <v>18</v>
      </c>
      <c r="AX183" t="n">
        <v>3</v>
      </c>
      <c r="BE183" t="n">
        <v>895</v>
      </c>
      <c r="BF183" t="inlineStr">
        <is>
          <t>10.3390/ijerph18030895</t>
        </is>
      </c>
      <c r="BG183">
        <f>HYPERLINK("http://dx.doi.org/10.3390/ijerph18030895","http://dx.doi.org/10.3390/ijerph18030895")</f>
        <v/>
      </c>
      <c r="BJ183" t="n">
        <v>14</v>
      </c>
      <c r="BK183" t="inlineStr">
        <is>
          <t>Environmental Sciences; Public, Environmental &amp; Occupational Health</t>
        </is>
      </c>
      <c r="BL183" t="inlineStr">
        <is>
          <t>Science Citation Index Expanded (SCI-EXPANDED); Social Science Citation Index (SSCI)</t>
        </is>
      </c>
      <c r="BM183" t="inlineStr">
        <is>
          <t>Environmental Sciences &amp; Ecology; Public, Environmental &amp; Occupational Health</t>
        </is>
      </c>
      <c r="BN183" t="inlineStr">
        <is>
          <t>QD0EB</t>
        </is>
      </c>
      <c r="BO183" t="n">
        <v>33494173</v>
      </c>
      <c r="BP183" t="inlineStr">
        <is>
          <t>Green Published, gold</t>
        </is>
      </c>
      <c r="BS183" t="inlineStr">
        <is>
          <t>2023-10-26</t>
        </is>
      </c>
      <c r="BT183" t="inlineStr">
        <is>
          <t>WOS:000615200300001</t>
        </is>
      </c>
      <c r="BU183">
        <f>HYPERLINK("https%3A%2F%2Fwww.webofscience.com%2Fwos%2Fwoscc%2Ffull-record%2FWOS:000615200300001","View Full Record in Web of Science")</f>
        <v/>
      </c>
    </row>
    <row r="184">
      <c r="A184" t="inlineStr">
        <is>
          <t>J</t>
        </is>
      </c>
      <c r="B184" t="inlineStr">
        <is>
          <t>Settimo, G; Yu, Y; Gola, M; Buffoli, M; Capolongo, S</t>
        </is>
      </c>
      <c r="F184" t="inlineStr">
        <is>
          <t>Settimo, Gaetano; Yu, Yong; Gola, Marco; Buffoli, Maddalena; Capolongo, Stefano</t>
        </is>
      </c>
      <c r="J184" t="inlineStr">
        <is>
          <t>ATMOSPHERE</t>
        </is>
      </c>
      <c r="M184" t="inlineStr">
        <is>
          <t>English</t>
        </is>
      </c>
      <c r="N184" t="inlineStr">
        <is>
          <t>Article</t>
        </is>
      </c>
      <c r="T184" t="inlineStr">
        <is>
          <t>Challenges in IAQ for Indoor Spaces: A Comparison of the Reference Guideline Values of Indoor Air Pollutants from the Governments and International Institutions</t>
        </is>
      </c>
      <c r="U184" t="inlineStr">
        <is>
          <t>indoor air quality (IAQ); air pollutants; indoor environment quality (IEQ); reference values; guidelines values; international regulations; built environment; perspectives in IAQ; chemical contaminants</t>
        </is>
      </c>
      <c r="V184" t="inlineStr">
        <is>
          <t>COLOR-VISION IMPAIRMENT; EXPOSURE; TOLUENE; ACETALDEHYDE; HYGIENE; HEALTHY</t>
        </is>
      </c>
      <c r="W184" t="inlineStr">
        <is>
          <t>Since people spend most of their time inside buildings, indoor air quality (IAQ) remains a highlighted topic to ensure in the built environment to improve public health, especially for vulnerable users. To achieve a better indoor environment quality (IEQ), some countries' governments or regional institutions have developed and published reference guideline values of various air pollutants to prevent the IAQ from becoming adverse to occupants. Beyond guidelines by World Health Organization (WHO), in some countries, there are specific institutional requirements on the IAQ, and others integrated it into the building regulation for the built environment. This paper is based on the literature research, summarized from previously conducted works by the authors, on the chemical reference values of IAQ-related regulations and guidelines published by several Governments or related institutions from various regions around the World. Despite these efforts at standardization and legislation, many indoor air quality monitoring activities conducted in several countries still fall short of the main indications produced. By comparing the reference values of 35 pollutants, both physical and chemical ones, which are proposed in documents from 23 regions included so far, the IAQ research and prevention actions on progress in different regions should be included in monitoring plans with guidelines/reference values in their current state. The outcome of the paper is to define the current trends and suggest some perspectives on the field of interest for improving the indoor air quality of generic spaces at an international level. It becomes evident that, at the global level, IAQ represents a complex political, social, and health challenge, which still suffers from the absence of a systematic and harmonized approach. This is not a new situation; the issue was raised more than 40 years ago, and despite efforts and a pandemic, the situation has not changed.</t>
        </is>
      </c>
      <c r="X184" t="inlineStr">
        <is>
          <t>[Settimo, Gaetano] Italian Natl Inst Hlth, Dept Environm &amp; Hlth, I-00161 Rome, Italy; [Yu, Yong; Gola, Marco; Buffoli, Maddalena; Capolongo, Stefano] Politecn Milan, Dept Architecture Built Environm &amp; Construct Engn, Design &amp; Hlth Lab, Via G Ponzio 31, I-20133 Milan, Italy</t>
        </is>
      </c>
      <c r="Y184" t="inlineStr">
        <is>
          <t>Istituto Superiore di Sanita (ISS); Polytechnic University of Milan</t>
        </is>
      </c>
      <c r="Z184" t="inlineStr">
        <is>
          <t>Gola, M (corresponding author), Politecn Milan, Dept Architecture Built Environm &amp; Construct Engn, Design &amp; Hlth Lab, Via G Ponzio 31, I-20133 Milan, Italy.</t>
        </is>
      </c>
      <c r="AA184" t="inlineStr">
        <is>
          <t>marco.gola@polimi.it</t>
        </is>
      </c>
      <c r="AC184" t="inlineStr">
        <is>
          <t>Gola, Marco/0000-0002-4855-7583; Settimo, Gaetano/0000-0003-0185-3016; BUFFOLI, MADDALENA/0000-0002-6740-7409</t>
        </is>
      </c>
      <c r="AH184" t="n">
        <v>119</v>
      </c>
      <c r="AI184" t="n">
        <v>2</v>
      </c>
      <c r="AJ184" t="n">
        <v>2</v>
      </c>
      <c r="AK184" t="n">
        <v>3</v>
      </c>
      <c r="AL184" t="n">
        <v>3</v>
      </c>
      <c r="AM184" t="inlineStr">
        <is>
          <t>MDPI</t>
        </is>
      </c>
      <c r="AN184" t="inlineStr">
        <is>
          <t>BASEL</t>
        </is>
      </c>
      <c r="AO184" t="inlineStr">
        <is>
          <t>ST ALBAN-ANLAGE 66, CH-4052 BASEL, SWITZERLAND</t>
        </is>
      </c>
      <c r="AQ184" t="inlineStr">
        <is>
          <t>2073-4433</t>
        </is>
      </c>
      <c r="AS184" t="inlineStr">
        <is>
          <t>ATMOSPHERE-BASEL</t>
        </is>
      </c>
      <c r="AT184" t="inlineStr">
        <is>
          <t>Atmosphere</t>
        </is>
      </c>
      <c r="AU184" t="inlineStr">
        <is>
          <t>APR</t>
        </is>
      </c>
      <c r="AV184" t="n">
        <v>2023</v>
      </c>
      <c r="AW184" t="n">
        <v>14</v>
      </c>
      <c r="AX184" t="n">
        <v>4</v>
      </c>
      <c r="BE184" t="n">
        <v>633</v>
      </c>
      <c r="BF184" t="inlineStr">
        <is>
          <t>10.3390/atmos14040633</t>
        </is>
      </c>
      <c r="BG184">
        <f>HYPERLINK("http://dx.doi.org/10.3390/atmos14040633","http://dx.doi.org/10.3390/atmos14040633")</f>
        <v/>
      </c>
      <c r="BJ184" t="n">
        <v>38</v>
      </c>
      <c r="BK184" t="inlineStr">
        <is>
          <t>Environmental Sciences; Meteorology &amp; Atmospheric Sciences</t>
        </is>
      </c>
      <c r="BL184" t="inlineStr">
        <is>
          <t>Science Citation Index Expanded (SCI-EXPANDED)</t>
        </is>
      </c>
      <c r="BM184" t="inlineStr">
        <is>
          <t>Environmental Sciences &amp; Ecology; Meteorology &amp; Atmospheric Sciences</t>
        </is>
      </c>
      <c r="BN184" t="inlineStr">
        <is>
          <t>F5YP4</t>
        </is>
      </c>
      <c r="BP184" t="inlineStr">
        <is>
          <t>Green Published, gold</t>
        </is>
      </c>
      <c r="BS184" t="inlineStr">
        <is>
          <t>2023-10-26</t>
        </is>
      </c>
      <c r="BT184" t="inlineStr">
        <is>
          <t>WOS:000983102100001</t>
        </is>
      </c>
      <c r="BU184">
        <f>HYPERLINK("https%3A%2F%2Fwww.webofscience.com%2Fwos%2Fwoscc%2Ffull-record%2FWOS:000983102100001","View Full Record in Web of Science")</f>
        <v/>
      </c>
    </row>
    <row r="185">
      <c r="A185" t="inlineStr">
        <is>
          <t>J</t>
        </is>
      </c>
      <c r="B185" t="inlineStr">
        <is>
          <t>Liu, XL; Ren, SX; Jiang, MQ</t>
        </is>
      </c>
      <c r="F185" t="inlineStr">
        <is>
          <t>Liu, Xiaoli; Ren, Shuaixing; Jiang, Mengqi</t>
        </is>
      </c>
      <c r="J185" t="inlineStr">
        <is>
          <t>FRESENIUS ENVIRONMENTAL BULLETIN</t>
        </is>
      </c>
      <c r="M185" t="inlineStr">
        <is>
          <t>English</t>
        </is>
      </c>
      <c r="N185" t="inlineStr">
        <is>
          <t>Article</t>
        </is>
      </c>
      <c r="T185" t="inlineStr">
        <is>
          <t>STUDY ON GREEN ENERGY-SAVING BUILDING UNDER COMPLEX ENVIRONMENT BASED ON DATA MINING</t>
        </is>
      </c>
      <c r="U185" t="inlineStr">
        <is>
          <t>Complex environment; Environmental protection; Green energy-saving building; Apriori algorithm</t>
        </is>
      </c>
      <c r="V185" t="inlineStr">
        <is>
          <t>DESIGN; SCALE</t>
        </is>
      </c>
      <c r="W185" t="inlineStr">
        <is>
          <t>Recently, the development of urbanization in China has great impact not only on resources but also on the environment. To greatly improve the high-rise green energy -saving building under complex environment, this paper introduced a data mining algorithm for solving the problems of environment. First, multiple data from high-rise green energy -saving building are collected. Then, the statistical and quantified operations will be done for the collected data. After quantified the collected data, the Apriori algorithm for data mining and analysis from the quantified data is used. Based on the experimental result, we analyzed the essence of green construction technology, concrete construction technology content and control factors, and created a green construction evaluation system. The existing problems in the high building construction under the complex environment of our country is also discussed. Finally, the application of exterior envelope, constant temperature and humidity and oxygen system as well as new energy utilization system is studied.</t>
        </is>
      </c>
      <c r="X185" t="inlineStr">
        <is>
          <t>[Liu, Xiaoli; Ren, Shuaixing; Jiang, Mengqi] Guangdong Polytech Sci &amp; Technol, Architectural Engn Coll, Zhuhai 519000, Guangdong, Peoples R China</t>
        </is>
      </c>
      <c r="Y185" t="inlineStr">
        <is>
          <t>Guangdong Polytechnic of Science &amp; Technology</t>
        </is>
      </c>
      <c r="Z185" t="inlineStr">
        <is>
          <t>Liu, XL (corresponding author), Guangdong Polytech Sci &amp; Technol, Architectural Engn Coll, Zhuhai 519000, Guangdong, Peoples R China.</t>
        </is>
      </c>
      <c r="AA185" t="inlineStr">
        <is>
          <t>xiaoliliu@email.cn</t>
        </is>
      </c>
      <c r="AB185" t="inlineStr">
        <is>
          <t>liu, xiao/HKE-9880-2023; liu, xiao/HMD-7454-2023; Liu, Xiaoli/HGE-7614-2022</t>
        </is>
      </c>
      <c r="AH185" t="n">
        <v>13</v>
      </c>
      <c r="AI185" t="n">
        <v>0</v>
      </c>
      <c r="AJ185" t="n">
        <v>0</v>
      </c>
      <c r="AK185" t="n">
        <v>0</v>
      </c>
      <c r="AL185" t="n">
        <v>4</v>
      </c>
      <c r="AM185" t="inlineStr">
        <is>
          <t>PARLAR SCIENTIFIC PUBLICATIONS (P S P)</t>
        </is>
      </c>
      <c r="AN185" t="inlineStr">
        <is>
          <t>FREISING</t>
        </is>
      </c>
      <c r="AO185" t="inlineStr">
        <is>
          <t>ANGERSTR. 12, 85354 FREISING, GERMANY</t>
        </is>
      </c>
      <c r="AP185" t="inlineStr">
        <is>
          <t>1018-4619</t>
        </is>
      </c>
      <c r="AQ185" t="inlineStr">
        <is>
          <t>1610-2304</t>
        </is>
      </c>
      <c r="AS185" t="inlineStr">
        <is>
          <t>FRESEN ENVIRON BULL</t>
        </is>
      </c>
      <c r="AT185" t="inlineStr">
        <is>
          <t>Fresenius Environ. Bull.</t>
        </is>
      </c>
      <c r="AV185" t="n">
        <v>2021</v>
      </c>
      <c r="AW185" t="n">
        <v>30</v>
      </c>
      <c r="AX185" t="n">
        <v>9</v>
      </c>
      <c r="BC185" t="n">
        <v>10807</v>
      </c>
      <c r="BD185" t="n">
        <v>10814</v>
      </c>
      <c r="BJ185" t="n">
        <v>8</v>
      </c>
      <c r="BK185" t="inlineStr">
        <is>
          <t>Environmental Sciences</t>
        </is>
      </c>
      <c r="BL185" t="inlineStr">
        <is>
          <t>Science Citation Index Expanded (SCI-EXPANDED)</t>
        </is>
      </c>
      <c r="BM185" t="inlineStr">
        <is>
          <t>Environmental Sciences &amp; Ecology</t>
        </is>
      </c>
      <c r="BN185" t="inlineStr">
        <is>
          <t>UK3BZ</t>
        </is>
      </c>
      <c r="BS185" t="inlineStr">
        <is>
          <t>2023-10-26</t>
        </is>
      </c>
      <c r="BT185" t="inlineStr">
        <is>
          <t>WOS:000691849600047</t>
        </is>
      </c>
      <c r="BU185">
        <f>HYPERLINK("https%3A%2F%2Fwww.webofscience.com%2Fwos%2Fwoscc%2Ffull-record%2FWOS:000691849600047","View Full Record in Web of Science")</f>
        <v/>
      </c>
    </row>
    <row r="186">
      <c r="A186" t="inlineStr">
        <is>
          <t>J</t>
        </is>
      </c>
      <c r="B186" t="inlineStr">
        <is>
          <t>Han, KT</t>
        </is>
      </c>
      <c r="F186" t="inlineStr">
        <is>
          <t>Han, Ke-Tsung</t>
        </is>
      </c>
      <c r="J186" t="inlineStr">
        <is>
          <t>SUSTAINABILITY</t>
        </is>
      </c>
      <c r="M186" t="inlineStr">
        <is>
          <t>English</t>
        </is>
      </c>
      <c r="N186" t="inlineStr">
        <is>
          <t>Article</t>
        </is>
      </c>
      <c r="T186" t="inlineStr">
        <is>
          <t>Effects of Indoor Plants on the Physical Environment with Respect to Distance and Green Coverage Ratio</t>
        </is>
      </c>
      <c r="U186" t="inlineStr">
        <is>
          <t>Radermachera hainanensis Merr; carbon dioxide; humidity; fine particulate matters; suspended particles; temperature</t>
        </is>
      </c>
      <c r="V186" t="inlineStr">
        <is>
          <t>AIR-POLLUTION; FOLIAGE PLANT; REMOVAL; PERFORMANCE; HEALTH; PERCEPTIONS; CLASSROOMS; MICROCOSM; COMFORT; QUALITY</t>
        </is>
      </c>
      <c r="W186" t="inlineStr">
        <is>
          <t>Few studies have conducted experiments in daily living environments to examine the effects of indoor plants on objective aspects of the physical environment. This study examined the effects of plant distance and green coverage ratio on the objective physical environment and subjective psychological perceptions, along with the correlation between the objective physical environment and subjective psychological perceptions regarding indoor plants. A randomized control trial of plant distance and green coverage ratio was conducted in a room located in the basement of a university building in Taiwan. Aspects of the objective physical environment were measured using air quality detectors. Subjective psychological perceptions were evaluated based on the questionnaire responses of 60 undergraduates. The results revealed that (1) regardless of number of plants, the closer the plant, the higher the CO2 level; (2) more indoor plants resulted in higher CO2 and humidity and lower PM2.5, PM10, and temperature; and (3) the lower the levels of fine and suspended particles in the air were, the stronger were the feelings of preference, naturalness of the environment, and pleasure in participants. Indoor plants that can regulate indoor air quality and microclimates without consuming energy warrant greater attention and wider application.</t>
        </is>
      </c>
      <c r="X186" t="inlineStr">
        <is>
          <t>[Han, Ke-Tsung] Natl Chin Yi Univ Technol, Dept Landscape Architecture, 57,Sec 2,Zhongshan Rd, Taichung 41170, Taiwan</t>
        </is>
      </c>
      <c r="Y186" t="inlineStr">
        <is>
          <t>National Chin-Yi University of Technology</t>
        </is>
      </c>
      <c r="Z186" t="inlineStr">
        <is>
          <t>Han, KT (corresponding author), Natl Chin Yi Univ Technol, Dept Landscape Architecture, 57,Sec 2,Zhongshan Rd, Taichung 41170, Taiwan.</t>
        </is>
      </c>
      <c r="AA186" t="inlineStr">
        <is>
          <t>kthan@ncut.edu.tw</t>
        </is>
      </c>
      <c r="AC186" t="inlineStr">
        <is>
          <t>Han, Ke-Tsung/0000-0001-8092-0728</t>
        </is>
      </c>
      <c r="AD186" t="inlineStr">
        <is>
          <t>Ministry of Science and Technology MOST [107-2410-H-167-008-MY2]</t>
        </is>
      </c>
      <c r="AE186" t="inlineStr">
        <is>
          <t>Ministry of Science and Technology MOST(Ministry of Science and Technology, China)</t>
        </is>
      </c>
      <c r="AF186" t="inlineStr">
        <is>
          <t>Ministry of Science and Technology MOST 107-2410-H-167-008-MY2.</t>
        </is>
      </c>
      <c r="AH186" t="n">
        <v>59</v>
      </c>
      <c r="AI186" t="n">
        <v>8</v>
      </c>
      <c r="AJ186" t="n">
        <v>8</v>
      </c>
      <c r="AK186" t="n">
        <v>1</v>
      </c>
      <c r="AL186" t="n">
        <v>14</v>
      </c>
      <c r="AM186" t="inlineStr">
        <is>
          <t>MDPI</t>
        </is>
      </c>
      <c r="AN186" t="inlineStr">
        <is>
          <t>BASEL</t>
        </is>
      </c>
      <c r="AO186" t="inlineStr">
        <is>
          <t>ST ALBAN-ANLAGE 66, CH-4052 BASEL, SWITZERLAND</t>
        </is>
      </c>
      <c r="AQ186" t="inlineStr">
        <is>
          <t>2071-1050</t>
        </is>
      </c>
      <c r="AS186" t="inlineStr">
        <is>
          <t>SUSTAINABILITY-BASEL</t>
        </is>
      </c>
      <c r="AT186" t="inlineStr">
        <is>
          <t>Sustainability</t>
        </is>
      </c>
      <c r="AU186" t="inlineStr">
        <is>
          <t>JUL 1</t>
        </is>
      </c>
      <c r="AV186" t="n">
        <v>2019</v>
      </c>
      <c r="AW186" t="n">
        <v>11</v>
      </c>
      <c r="AX186" t="n">
        <v>13</v>
      </c>
      <c r="BE186" t="n">
        <v>3679</v>
      </c>
      <c r="BF186" t="inlineStr">
        <is>
          <t>10.3390/su11133679</t>
        </is>
      </c>
      <c r="BG186">
        <f>HYPERLINK("http://dx.doi.org/10.3390/su11133679","http://dx.doi.org/10.3390/su11133679")</f>
        <v/>
      </c>
      <c r="BJ186" t="n">
        <v>19</v>
      </c>
      <c r="BK186" t="inlineStr">
        <is>
          <t>Green &amp; Sustainable Science &amp; Technology; Environmental Sciences; Environmental Studies</t>
        </is>
      </c>
      <c r="BL186" t="inlineStr">
        <is>
          <t>Science Citation Index Expanded (SCI-EXPANDED); Social Science Citation Index (SSCI)</t>
        </is>
      </c>
      <c r="BM186" t="inlineStr">
        <is>
          <t>Science &amp; Technology - Other Topics; Environmental Sciences &amp; Ecology</t>
        </is>
      </c>
      <c r="BN186" t="inlineStr">
        <is>
          <t>IL1IB</t>
        </is>
      </c>
      <c r="BP186" t="inlineStr">
        <is>
          <t>Green Published, gold</t>
        </is>
      </c>
      <c r="BS186" t="inlineStr">
        <is>
          <t>2023-10-26</t>
        </is>
      </c>
      <c r="BT186" t="inlineStr">
        <is>
          <t>WOS:000477051900173</t>
        </is>
      </c>
      <c r="BU186">
        <f>HYPERLINK("https%3A%2F%2Fwww.webofscience.com%2Fwos%2Fwoscc%2Ffull-record%2FWOS:000477051900173","View Full Record in Web of Science")</f>
        <v/>
      </c>
    </row>
    <row r="187">
      <c r="A187" t="inlineStr">
        <is>
          <t>J</t>
        </is>
      </c>
      <c r="B187" t="inlineStr">
        <is>
          <t>Yun, HY</t>
        </is>
      </c>
      <c r="F187" t="inlineStr">
        <is>
          <t>Yun, Hae Young</t>
        </is>
      </c>
      <c r="J187" t="inlineStr">
        <is>
          <t>SUSTAINABILITY</t>
        </is>
      </c>
      <c r="M187" t="inlineStr">
        <is>
          <t>English</t>
        </is>
      </c>
      <c r="N187" t="inlineStr">
        <is>
          <t>Review</t>
        </is>
      </c>
      <c r="T187" t="inlineStr">
        <is>
          <t>Environmental Factors Associated with Older Adult's Walking Behaviors: A Systematic Review of Quantitative Studies</t>
        </is>
      </c>
      <c r="U187" t="inlineStr">
        <is>
          <t>neighborhood environment; older adults; total walking; walking for transport; walking for recreation; moderator; systematic review</t>
        </is>
      </c>
      <c r="V187" t="inlineStr">
        <is>
          <t>PERCEIVED NEIGHBORHOOD ENVIRONMENT; PHYSICAL-ACTIVITY LEVELS; BUILT ENVIRONMENT; ACTIVE TRANSPORTATION; UTILITARIAN WALKING; WOMENS HEALTH; PEOPLE; WALKABILITY; MOBILITY; URBAN</t>
        </is>
      </c>
      <c r="W187" t="inlineStr">
        <is>
          <t>The aim of this study is to systematically review the relationship between neighborhood environments and all types of walking behaviors among older adults. Seventy peer-reviewed journal articles which met the selection criteria were examined. Research designs were summarized by geographical location and the associations of environmental characteristics and walking were calculated. Interactions between moderators and environmental characteristics for all types of walking were also categorized. Results have shown that transport walking is the most supported by neighborhood environmental characteristics. The positively related environmental characteristics are walkability, urbanization, land use mix-diversity and accessibility, walking amenities, and bicycle lanes. Total walking was positively associated with walkability and urbanization. Recreational walking was associated with neighborhood employment/income level, nearness to public transport/bus stops, and social cohesion. The most commonly used moderators were age and gender, but inconsistent moderating effects between neighborhood environments and walking were also found. In densely populated environments such as Hong Kong, older adults walked mostly for both transport and recreation. In contrast, American older adults in low density areas walked less for transport and more for recreation. Findings support a strong relationship between neighborhood environments and older adults' walking. Future research should focus on longitudinal studies and comparison studies by geographic location.</t>
        </is>
      </c>
      <c r="X187" t="inlineStr">
        <is>
          <t>[Yun, Hae Young] Natl Univ Singapore, Asia Res Inst, Singapore 119260, Singapore</t>
        </is>
      </c>
      <c r="Y187" t="inlineStr">
        <is>
          <t>National University of Singapore</t>
        </is>
      </c>
      <c r="Z187" t="inlineStr">
        <is>
          <t>Yun, HY (corresponding author), Natl Univ Singapore, Asia Res Inst, Singapore 119260, Singapore.</t>
        </is>
      </c>
      <c r="AA187" t="inlineStr">
        <is>
          <t>ariyhy@nus.edu.sg</t>
        </is>
      </c>
      <c r="AD187" t="inlineStr">
        <is>
          <t>Asia Research Institute (ARI) at the National University of Singapore (NUS); Mokpo National University from the National Research Foundation of Korea (NRF), S. Korea</t>
        </is>
      </c>
      <c r="AE187" t="inlineStr">
        <is>
          <t>Asia Research Institute (ARI) at the National University of Singapore (NUS)(National University of Singapore); Mokpo National University from the National Research Foundation of Korea (NRF), S. Korea</t>
        </is>
      </c>
      <c r="AF187" t="inlineStr">
        <is>
          <t>This research was partially funded by a Research Fellowship from the Asia Research Institute (ARI) at the National University of Singapore (NUS) and a Basic Science Research Grant through Mokpo National University from the National Research Foundation of Korea (NRF), S. Korea.</t>
        </is>
      </c>
      <c r="AH187" t="n">
        <v>95</v>
      </c>
      <c r="AI187" t="n">
        <v>33</v>
      </c>
      <c r="AJ187" t="n">
        <v>33</v>
      </c>
      <c r="AK187" t="n">
        <v>7</v>
      </c>
      <c r="AL187" t="n">
        <v>46</v>
      </c>
      <c r="AM187" t="inlineStr">
        <is>
          <t>MDPI</t>
        </is>
      </c>
      <c r="AN187" t="inlineStr">
        <is>
          <t>BASEL</t>
        </is>
      </c>
      <c r="AO187" t="inlineStr">
        <is>
          <t>ST ALBAN-ANLAGE 66, CH-4052 BASEL, SWITZERLAND</t>
        </is>
      </c>
      <c r="AQ187" t="inlineStr">
        <is>
          <t>2071-1050</t>
        </is>
      </c>
      <c r="AS187" t="inlineStr">
        <is>
          <t>SUSTAINABILITY-BASEL</t>
        </is>
      </c>
      <c r="AT187" t="inlineStr">
        <is>
          <t>Sustainability</t>
        </is>
      </c>
      <c r="AU187" t="inlineStr">
        <is>
          <t>JUN 2</t>
        </is>
      </c>
      <c r="AV187" t="n">
        <v>2019</v>
      </c>
      <c r="AW187" t="n">
        <v>11</v>
      </c>
      <c r="AX187" t="n">
        <v>12</v>
      </c>
      <c r="BE187" t="n">
        <v>3253</v>
      </c>
      <c r="BF187" t="inlineStr">
        <is>
          <t>10.3390/su11123253</t>
        </is>
      </c>
      <c r="BG187">
        <f>HYPERLINK("http://dx.doi.org/10.3390/su11123253","http://dx.doi.org/10.3390/su11123253")</f>
        <v/>
      </c>
      <c r="BJ187" t="n">
        <v>45</v>
      </c>
      <c r="BK187" t="inlineStr">
        <is>
          <t>Green &amp; Sustainable Science &amp; Technology; Environmental Sciences; Environmental Studies</t>
        </is>
      </c>
      <c r="BL187" t="inlineStr">
        <is>
          <t>Science Citation Index Expanded (SCI-EXPANDED); Social Science Citation Index (SSCI)</t>
        </is>
      </c>
      <c r="BM187" t="inlineStr">
        <is>
          <t>Science &amp; Technology - Other Topics; Environmental Sciences &amp; Ecology</t>
        </is>
      </c>
      <c r="BN187" t="inlineStr">
        <is>
          <t>IG4DG</t>
        </is>
      </c>
      <c r="BP187" t="inlineStr">
        <is>
          <t>gold, Green Submitted</t>
        </is>
      </c>
      <c r="BS187" t="inlineStr">
        <is>
          <t>2023-10-26</t>
        </is>
      </c>
      <c r="BT187" t="inlineStr">
        <is>
          <t>WOS:000473753700023</t>
        </is>
      </c>
      <c r="BU187">
        <f>HYPERLINK("https%3A%2F%2Fwww.webofscience.com%2Fwos%2Fwoscc%2Ffull-record%2FWOS:000473753700023","View Full Record in Web of Science")</f>
        <v/>
      </c>
    </row>
    <row r="188">
      <c r="A188" t="inlineStr">
        <is>
          <t>J</t>
        </is>
      </c>
      <c r="B188" t="inlineStr">
        <is>
          <t>Waygood, EOD; Sun, YL; Letarte, L</t>
        </is>
      </c>
      <c r="F188" t="inlineStr">
        <is>
          <t>Waygood, E. Owen D.; Sun, Yilin; Letarte, Laurence</t>
        </is>
      </c>
      <c r="J188" t="inlineStr">
        <is>
          <t>INTERNATIONAL JOURNAL OF ENVIRONMENTAL RESEARCH AND PUBLIC HEALTH</t>
        </is>
      </c>
      <c r="M188" t="inlineStr">
        <is>
          <t>English</t>
        </is>
      </c>
      <c r="N188" t="inlineStr">
        <is>
          <t>Article</t>
        </is>
      </c>
      <c r="T188" t="inlineStr">
        <is>
          <t>Active Travel by Built Environment and Lifecycle Stage: Case Study of Osaka Metropolitan Area</t>
        </is>
      </c>
      <c r="U188" t="inlineStr">
        <is>
          <t>built environment; active travel; household lifecycle stage; Japan</t>
        </is>
      </c>
      <c r="V188" t="inlineStr">
        <is>
          <t>PHYSICAL-ACTIVITY; HEALTH-BENEFITS; AUTO OWNERSHIP; CAR OWNERSHIP; MODE CHOICE; TRANSPORT; BEHAVIOR; WALKING; IMPACTS; TRANSIT</t>
        </is>
      </c>
      <c r="W188" t="inlineStr">
        <is>
          <t>Active travel can contribute to physical activity achieved over a day. Previous studies have examined active travel associated with trips in various western countries, but few studies have examined this question for the Asian context. Japan has high levels of cycling, walking and public transport, similar to The Netherlands. Most studies have focused either on children or on adults separately, however, having children in a household will change the travel needs and wants of that household. Thus, here a household lifecycle stage approach is applied. Further, unlike many previous studies, the active travel related to public transport is included. Lastly, further to examining whether the built environment has an influence on the accumulation of active travel minutes, a binary logistic regression examines the built environment's influence on the World Health Organization's recommendations of physical activity. The findings suggest that there is a clear distinction between the urbanized centers and the surrounding towns and unurbanized areas. Further, active travel related to public transport trips is larger than pure walking trips. Females and children are more likely to achieve the WHO recommendations. Finally, car ownership is a strong negative influence.</t>
        </is>
      </c>
      <c r="X188" t="inlineStr">
        <is>
          <t>[Waygood, E. Owen D.; Letarte, Laurence] Univ Laval, Grad Sch Land Management &amp; Reg Planning ESAD, Quebec City, PQ G1V 0A6, Canada; [Sun, Yilin] Zhejiang Univ, Dept Civil Engn &amp; Architecture, Hangzhou 310027, Zhejiang, Peoples R China</t>
        </is>
      </c>
      <c r="Y188" t="inlineStr">
        <is>
          <t>Laval University; Zhejiang University</t>
        </is>
      </c>
      <c r="Z188" t="inlineStr">
        <is>
          <t>Waygood, EOD (corresponding author), Univ Laval, Grad Sch Land Management &amp; Reg Planning ESAD, 2325 Biblotheques St, Quebec City, PQ G1V 0A6, Canada.</t>
        </is>
      </c>
      <c r="AA188" t="inlineStr">
        <is>
          <t>owen.waygood@esad.ulaval.ca; yilinsun@zju.edu.cn; laurence.letarte.1@ulaval.ca</t>
        </is>
      </c>
      <c r="AB188" t="inlineStr">
        <is>
          <t>sun, yilin/IUM-6798-2023; Waygood, Owen/U-1033-2019</t>
        </is>
      </c>
      <c r="AC188" t="inlineStr">
        <is>
          <t>Waygood, Owen/0000-0002-7848-3191</t>
        </is>
      </c>
      <c r="AH188" t="n">
        <v>84</v>
      </c>
      <c r="AI188" t="n">
        <v>21</v>
      </c>
      <c r="AJ188" t="n">
        <v>23</v>
      </c>
      <c r="AK188" t="n">
        <v>6</v>
      </c>
      <c r="AL188" t="n">
        <v>32</v>
      </c>
      <c r="AM188" t="inlineStr">
        <is>
          <t>MDPI</t>
        </is>
      </c>
      <c r="AN188" t="inlineStr">
        <is>
          <t>BASEL</t>
        </is>
      </c>
      <c r="AO188" t="inlineStr">
        <is>
          <t>ST ALBAN-ANLAGE 66, CH-4052 BASEL, SWITZERLAND</t>
        </is>
      </c>
      <c r="AP188" t="inlineStr">
        <is>
          <t>1661-7827</t>
        </is>
      </c>
      <c r="AQ188" t="inlineStr">
        <is>
          <t>1660-4601</t>
        </is>
      </c>
      <c r="AS188" t="inlineStr">
        <is>
          <t>INT J ENV RES PUB HE</t>
        </is>
      </c>
      <c r="AT188" t="inlineStr">
        <is>
          <t>Int. J. Environ. Res. Public Health</t>
        </is>
      </c>
      <c r="AU188" t="inlineStr">
        <is>
          <t>DEC</t>
        </is>
      </c>
      <c r="AV188" t="n">
        <v>2015</v>
      </c>
      <c r="AW188" t="n">
        <v>12</v>
      </c>
      <c r="AX188" t="n">
        <v>12</v>
      </c>
      <c r="BC188" t="n">
        <v>15900</v>
      </c>
      <c r="BD188" t="n">
        <v>15924</v>
      </c>
      <c r="BF188" t="inlineStr">
        <is>
          <t>10.3390/ijerph121215027</t>
        </is>
      </c>
      <c r="BG188">
        <f>HYPERLINK("http://dx.doi.org/10.3390/ijerph121215027","http://dx.doi.org/10.3390/ijerph121215027")</f>
        <v/>
      </c>
      <c r="BJ188" t="n">
        <v>25</v>
      </c>
      <c r="BK188" t="inlineStr">
        <is>
          <t>Environmental Sciences; Public, Environmental &amp; Occupational Health</t>
        </is>
      </c>
      <c r="BL188" t="inlineStr">
        <is>
          <t>Science Citation Index Expanded (SCI-EXPANDED); Social Science Citation Index (SSCI)</t>
        </is>
      </c>
      <c r="BM188" t="inlineStr">
        <is>
          <t>Environmental Sciences &amp; Ecology; Public, Environmental &amp; Occupational Health</t>
        </is>
      </c>
      <c r="BN188" t="inlineStr">
        <is>
          <t>DA1EL</t>
        </is>
      </c>
      <c r="BO188" t="n">
        <v>26694429</v>
      </c>
      <c r="BP188" t="inlineStr">
        <is>
          <t>Green Published, gold, Green Accepted</t>
        </is>
      </c>
      <c r="BS188" t="inlineStr">
        <is>
          <t>2023-10-26</t>
        </is>
      </c>
      <c r="BT188" t="inlineStr">
        <is>
          <t>WOS:000367539000072</t>
        </is>
      </c>
      <c r="BU188">
        <f>HYPERLINK("https%3A%2F%2Fwww.webofscience.com%2Fwos%2Fwoscc%2Ffull-record%2FWOS:000367539000072","View Full Record in Web of Science")</f>
        <v/>
      </c>
    </row>
    <row r="189">
      <c r="A189" t="inlineStr">
        <is>
          <t>J</t>
        </is>
      </c>
      <c r="B189" t="inlineStr">
        <is>
          <t>Silva, P; Li, L</t>
        </is>
      </c>
      <c r="F189" t="inlineStr">
        <is>
          <t>Silva, Patrik; Li, Lin</t>
        </is>
      </c>
      <c r="J189" t="inlineStr">
        <is>
          <t>SUSTAINABILITY</t>
        </is>
      </c>
      <c r="M189" t="inlineStr">
        <is>
          <t>English</t>
        </is>
      </c>
      <c r="N189" t="inlineStr">
        <is>
          <t>Article</t>
        </is>
      </c>
      <c r="T189" t="inlineStr">
        <is>
          <t>Urban Crime Occurrences in Association with Built Environment Characteristics: An African Case with Implications for Urban Design</t>
        </is>
      </c>
      <c r="U189" t="inlineStr">
        <is>
          <t>urban built environment; crime; correlation; CPTED; Praia; Cape Verde</t>
        </is>
      </c>
      <c r="W189" t="inlineStr">
        <is>
          <t>Empirically, the physical spatial arrangement of places provides us with a clue about the likelihood for crime opportunities based on the principles of crime prevention through environmental design (CPTED). Although we know that the quality of the urban built environment influences people's behavior, its measurement as a variable is not an easy task. In this study, we present and develop a set of urban built environment indicators (UBEIs) based on two datasets: building footprints and road networks at the neighborhood level in the city of Praia, Cape Verde. We selected the four most relevant UBEIs to create a single urban built environment indicator (CUBEI), and then, explored their relationships with five types of crime (i.e., burglary, robbery, mugging, residential robbery, and crimes involving weapons) using correlation and regression analysis. Our results showed a consistent and statistically significant relationship between different types of crimes with both the UBEIs and CUBEI, suggesting that a poor urban built environment is associated with an increase of all types of crimes investigated in this study. Thus, to minimize crime incidents, urban planners should rehabilitate or design neighborhoods from the earlier stage, considering the principles of CPTED and broken window theory (BWT).</t>
        </is>
      </c>
      <c r="X189" t="inlineStr">
        <is>
          <t>[Silva, Patrik; Li, Lin] Wuhan Univ, Sch Resources &amp; Environm Sci SRES, 129 Luoyu Rd, Wuhan 430079, Peoples R China; [Li, Lin] Wuhan Univ, Inst Smart Percept &amp; Intelligent Comp, SRES, 129 Luoyu Rd, Wuhan 430079, Peoples R China</t>
        </is>
      </c>
      <c r="Y189" t="inlineStr">
        <is>
          <t>Wuhan University; Wuhan University</t>
        </is>
      </c>
      <c r="Z189" t="inlineStr">
        <is>
          <t>Li, L (corresponding author), Wuhan Univ, Sch Resources &amp; Environm Sci SRES, 129 Luoyu Rd, Wuhan 430079, Peoples R China.;Li, L (corresponding author), Wuhan Univ, Inst Smart Percept &amp; Intelligent Comp, SRES, 129 Luoyu Rd, Wuhan 430079, Peoples R China.</t>
        </is>
      </c>
      <c r="AA189" t="inlineStr">
        <is>
          <t>patriksilva@whu.edu.cn; lilin@whu.edu.cn</t>
        </is>
      </c>
      <c r="AC189" t="inlineStr">
        <is>
          <t>Silva, Patrik/0000-0002-0578-1884; Li, Lin/0000-0002-2034-982X</t>
        </is>
      </c>
      <c r="AD189" t="inlineStr">
        <is>
          <t>National Key R&amp;D Program of China [2017YFB0503701]; National Natural Science Foundation of China [41871298]</t>
        </is>
      </c>
      <c r="AE189" t="inlineStr">
        <is>
          <t>National Key R&amp;D Program of China; National Natural Science Foundation of China(National Natural Science Foundation of China (NSFC))</t>
        </is>
      </c>
      <c r="AF189" t="inlineStr">
        <is>
          <t>This study was funded by the National Key R&amp;D Program of China (2017YFB0503701) and the National Natural Science Foundation of China (41871298).</t>
        </is>
      </c>
      <c r="AH189" t="n">
        <v>9</v>
      </c>
      <c r="AI189" t="n">
        <v>3</v>
      </c>
      <c r="AJ189" t="n">
        <v>3</v>
      </c>
      <c r="AK189" t="n">
        <v>8</v>
      </c>
      <c r="AL189" t="n">
        <v>17</v>
      </c>
      <c r="AM189" t="inlineStr">
        <is>
          <t>MDPI</t>
        </is>
      </c>
      <c r="AN189" t="inlineStr">
        <is>
          <t>BASEL</t>
        </is>
      </c>
      <c r="AO189" t="inlineStr">
        <is>
          <t>ST ALBAN-ANLAGE 66, CH-4052 BASEL, SWITZERLAND</t>
        </is>
      </c>
      <c r="AQ189" t="inlineStr">
        <is>
          <t>2071-1050</t>
        </is>
      </c>
      <c r="AS189" t="inlineStr">
        <is>
          <t>SUSTAINABILITY-BASEL</t>
        </is>
      </c>
      <c r="AT189" t="inlineStr">
        <is>
          <t>Sustainability</t>
        </is>
      </c>
      <c r="AU189" t="inlineStr">
        <is>
          <t>APR</t>
        </is>
      </c>
      <c r="AV189" t="n">
        <v>2020</v>
      </c>
      <c r="AW189" t="n">
        <v>12</v>
      </c>
      <c r="AX189" t="n">
        <v>7</v>
      </c>
      <c r="BE189" t="n">
        <v>3056</v>
      </c>
      <c r="BF189" t="inlineStr">
        <is>
          <t>10.3390/su12073056</t>
        </is>
      </c>
      <c r="BG189">
        <f>HYPERLINK("http://dx.doi.org/10.3390/su12073056","http://dx.doi.org/10.3390/su12073056")</f>
        <v/>
      </c>
      <c r="BJ189" t="n">
        <v>23</v>
      </c>
      <c r="BK189" t="inlineStr">
        <is>
          <t>Green &amp; Sustainable Science &amp; Technology; Environmental Sciences; Environmental Studies</t>
        </is>
      </c>
      <c r="BL189" t="inlineStr">
        <is>
          <t>Science Citation Index Expanded (SCI-EXPANDED); Social Science Citation Index (SSCI)</t>
        </is>
      </c>
      <c r="BM189" t="inlineStr">
        <is>
          <t>Science &amp; Technology - Other Topics; Environmental Sciences &amp; Ecology</t>
        </is>
      </c>
      <c r="BN189" t="inlineStr">
        <is>
          <t>LL4WR</t>
        </is>
      </c>
      <c r="BP189" t="inlineStr">
        <is>
          <t>Green Published, gold</t>
        </is>
      </c>
      <c r="BS189" t="inlineStr">
        <is>
          <t>2023-10-26</t>
        </is>
      </c>
      <c r="BT189" t="inlineStr">
        <is>
          <t>WOS:000531558100481</t>
        </is>
      </c>
      <c r="BU189">
        <f>HYPERLINK("https%3A%2F%2Fwww.webofscience.com%2Fwos%2Fwoscc%2Ffull-record%2FWOS:000531558100481","View Full Record in Web of Science")</f>
        <v/>
      </c>
    </row>
    <row r="190">
      <c r="A190" t="inlineStr">
        <is>
          <t>J</t>
        </is>
      </c>
      <c r="B190" t="inlineStr">
        <is>
          <t>Jin, S; Lee, C; Kim, D; Lee, D; Do, S</t>
        </is>
      </c>
      <c r="F190" t="inlineStr">
        <is>
          <t>Jin, San; Lee, Chanuk; Kim, Dongsu; Lee, Donghoon; Do, Sunglok</t>
        </is>
      </c>
      <c r="J190" t="inlineStr">
        <is>
          <t>SUSTAINABILITY</t>
        </is>
      </c>
      <c r="M190" t="inlineStr">
        <is>
          <t>English</t>
        </is>
      </c>
      <c r="N190" t="inlineStr">
        <is>
          <t>Article</t>
        </is>
      </c>
      <c r="T190" t="inlineStr">
        <is>
          <t>Indoor Thermal Environment and Energy Characteristics with Varying Cooling System Capacity and Restart Time</t>
        </is>
      </c>
      <c r="U190" t="inlineStr">
        <is>
          <t>office cooling system; recovery time; indoor thermal environment; energy consumption; restart time; capacity; energy simulation</t>
        </is>
      </c>
      <c r="V190" t="inlineStr">
        <is>
          <t>ARTIFICIAL NEURAL-NETWORK; EFFICIENCY; BUILDINGS</t>
        </is>
      </c>
      <c r="W190" t="inlineStr">
        <is>
          <t>Office cooling systems are controlled with on/off control according to typical occupancy patterns. During unoccupancy, the cooling systems remain switched off to reduce unnecessary energy consumption. During occupancy, however, the cooling systems are in operation to decrease the indoor air temperature, which is increased during unoccupancy, to the cooling set-point temperature. The time required to decrease the indoor air temperature to the cooling set-point temperature is defined as the recovery time. According to the recovery time, the indoor thermal comfort at the occupancy start time may worsen, and unnecessary energy may be consumed. Moreover, a cooling system capacity affects the recovery time and the energy consumption because the amount of heat that the cooling system can remove varies according to its size. Therefore, it is necessary to analyze the indoor thermal environment and the energy consumption according to the capacity and the restart time of the cooling system. This study implemented a building system energy simulation using EnergyPlus to evaluate the indoor air temperature, recovery time, and energy consumption of the cooling system while varying the capacity and restart time. As a result, the recovery time was between 49 and 425 min. and energy consumption varied between 419.0 and 521.4 kWh for various capacities. The recovery time was between 26 and 153 min. and energy consumption was between 426.0 and 439.0 kWh for various restart times.</t>
        </is>
      </c>
      <c r="X190" t="inlineStr">
        <is>
          <t>[Jin, San; Lee, Chanuk; Do, Sunglok] Hanbat Natl Univ, Dept Bldg &amp; Plant Engn, Daejeon 34158, South Korea; [Kim, Dongsu; Lee, Donghoon] Hanbat Natl Univ, Dept Architectural Engn, Daejeon 34158, South Korea</t>
        </is>
      </c>
      <c r="Y190" t="inlineStr">
        <is>
          <t>Hanbat National University; Hanbat National University</t>
        </is>
      </c>
      <c r="Z190" t="inlineStr">
        <is>
          <t>Do, S (corresponding author), Hanbat Natl Univ, Dept Bldg &amp; Plant Engn, Daejeon 34158, South Korea.</t>
        </is>
      </c>
      <c r="AA190" t="inlineStr">
        <is>
          <t>jinsan9708@naver.com; hyundoc123@naver.com; dongsu.kim@hanbat.ac.kr; donghoon@hanbat.ac.kr; sunglokdo@hanbat.ac.kr</t>
        </is>
      </c>
      <c r="AC190" t="inlineStr">
        <is>
          <t>Lee, Donghoon/0000-0002-4044-9959; Do, Sunglok/0000-0003-1039-2856</t>
        </is>
      </c>
      <c r="AD190" t="inlineStr">
        <is>
          <t>National Research Foundation of Korea (NRF) - Korea government (MSIT) [2021R1C1C1010231]; Korea Institute of Energy Technology Evaluation and Planning (KETEP); Ministry of Trade, Industry &amp; Energy (MOTIE) of the Republic of Korea [20204030200080]; National Research Foundation of Korea [2021R1C1C1010231] Funding Source: Korea Institute of Science &amp; Technology Information (KISTI), National Science &amp; Technology Information Service (NTIS)</t>
        </is>
      </c>
      <c r="AE190" t="inlineStr">
        <is>
          <t>National Research Foundation of Korea (NRF) - Korea government (MSIT)(National Research Foundation of KoreaMinistry of Science, ICT &amp; Future Planning, Republic of KoreaMinistry of Science &amp; ICT (MSIT), Republic of Korea); Korea Institute of Energy Technology Evaluation and Planning (KETEP)(Korea Institute of Energy Technology Evaluation &amp; Planning (KETEP)); Ministry of Trade, Industry &amp; Energy (MOTIE) of the Republic of Korea(Ministry of Trade, Industry &amp; Energy (MOTIE), Republic of Korea); National Research Foundation of Korea(National Research Foundation of Korea)</t>
        </is>
      </c>
      <c r="AF190" t="inlineStr">
        <is>
          <t>This work was supported by the National Research Foundation of Korea (NRF) grant funded by the Korea government (MSIT) (No. 2021R1C1C1010231), the Korea Institute of Energy Technology Evaluation and Planning (KETEP) and the Ministry of Trade, Industry &amp; Energy (MOTIE) of the Republic of Korea (No. 20204030200080).</t>
        </is>
      </c>
      <c r="AH190" t="n">
        <v>16</v>
      </c>
      <c r="AI190" t="n">
        <v>0</v>
      </c>
      <c r="AJ190" t="n">
        <v>0</v>
      </c>
      <c r="AK190" t="n">
        <v>2</v>
      </c>
      <c r="AL190" t="n">
        <v>4</v>
      </c>
      <c r="AM190" t="inlineStr">
        <is>
          <t>MDPI</t>
        </is>
      </c>
      <c r="AN190" t="inlineStr">
        <is>
          <t>BASEL</t>
        </is>
      </c>
      <c r="AO190" t="inlineStr">
        <is>
          <t>ST ALBAN-ANLAGE 66, CH-4052 BASEL, SWITZERLAND</t>
        </is>
      </c>
      <c r="AQ190" t="inlineStr">
        <is>
          <t>2071-1050</t>
        </is>
      </c>
      <c r="AS190" t="inlineStr">
        <is>
          <t>SUSTAINABILITY-BASEL</t>
        </is>
      </c>
      <c r="AT190" t="inlineStr">
        <is>
          <t>Sustainability</t>
        </is>
      </c>
      <c r="AU190" t="inlineStr">
        <is>
          <t>AUG</t>
        </is>
      </c>
      <c r="AV190" t="n">
        <v>2022</v>
      </c>
      <c r="AW190" t="n">
        <v>14</v>
      </c>
      <c r="AX190" t="n">
        <v>15</v>
      </c>
      <c r="BE190" t="n">
        <v>9392</v>
      </c>
      <c r="BF190" t="inlineStr">
        <is>
          <t>10.3390/su14159392</t>
        </is>
      </c>
      <c r="BG190">
        <f>HYPERLINK("http://dx.doi.org/10.3390/su14159392","http://dx.doi.org/10.3390/su14159392")</f>
        <v/>
      </c>
      <c r="BJ190" t="n">
        <v>16</v>
      </c>
      <c r="BK190" t="inlineStr">
        <is>
          <t>Green &amp; Sustainable Science &amp; Technology; Environmental Sciences; Environmental Studies</t>
        </is>
      </c>
      <c r="BL190" t="inlineStr">
        <is>
          <t>Science Citation Index Expanded (SCI-EXPANDED); Social Science Citation Index (SSCI)</t>
        </is>
      </c>
      <c r="BM190" t="inlineStr">
        <is>
          <t>Science &amp; Technology - Other Topics; Environmental Sciences &amp; Ecology</t>
        </is>
      </c>
      <c r="BN190" t="inlineStr">
        <is>
          <t>3R7DW</t>
        </is>
      </c>
      <c r="BP190" t="inlineStr">
        <is>
          <t>gold</t>
        </is>
      </c>
      <c r="BS190" t="inlineStr">
        <is>
          <t>2023-10-26</t>
        </is>
      </c>
      <c r="BT190" t="inlineStr">
        <is>
          <t>WOS:000839069700001</t>
        </is>
      </c>
      <c r="BU190">
        <f>HYPERLINK("https%3A%2F%2Fwww.webofscience.com%2Fwos%2Fwoscc%2Ffull-record%2FWOS:000839069700001","View Full Record in Web of Science")</f>
        <v/>
      </c>
    </row>
    <row r="191">
      <c r="A191" t="inlineStr">
        <is>
          <t>J</t>
        </is>
      </c>
      <c r="B191" t="inlineStr">
        <is>
          <t>Gardezi, SSS; Shafiq, N; Khan, MWA</t>
        </is>
      </c>
      <c r="F191" t="inlineStr">
        <is>
          <t>Gardezi, Syed Shujaa Safdar; Shafiq, Nasir; Khan, Muhammad Waris Ali</t>
        </is>
      </c>
      <c r="J191" t="inlineStr">
        <is>
          <t>ENVIRONMENT DEVELOPMENT AND SUSTAINABILITY</t>
        </is>
      </c>
      <c r="M191" t="inlineStr">
        <is>
          <t>English</t>
        </is>
      </c>
      <c r="N191" t="inlineStr">
        <is>
          <t>Article</t>
        </is>
      </c>
      <c r="T191" t="inlineStr">
        <is>
          <t>Relational pre-impact assessment of conventional housing features and carbon footprint for achieving sustainable built environment</t>
        </is>
      </c>
      <c r="U191" t="inlineStr">
        <is>
          <t>Built environment; Building information modeling; Carbon footprint; Environmental impact; Housing sector; Operational CO2; Tropical climate</t>
        </is>
      </c>
      <c r="V191" t="inlineStr">
        <is>
          <t>LIFE-CYCLE ASSESSMENT; RESOURCE-BASED VIEW; EMBODIED ENERGY; RESIDENTIAL BUILDINGS; PASSIVE HOUSE; CO2 EMISSIONS; MODEL; CONSTRUCTION; CONSUMPTION; DESIGN</t>
        </is>
      </c>
      <c r="W191" t="inlineStr">
        <is>
          <t>Sustainable comfortable living requires comprehensive energy consumption planning for the housing habitat. Besides other energy planning considerations, the variations in physical features of built facilities, their environmental interaction, and resulting operational life cycle carbon footprint are an important focus in contemporary research. Therefore, this research aims to explore the relationship between the physical features of the built facility and the resulting carbon footprint for conventional housing designs. A combination of conventional Malaysian model housing units was developed in 3D virtual prototypes by building information modeling, and regression analysis was used to investigate the environmental impact paradigm of the built facility. Correspondingly, an operational CO2 pre-assessment was also examined by the partial life cycle assessment technique during the early stages of design and planning. The results of this study show a positive and statistically significant linear relation of carbon footprint with the area, volume, and power rating parameters. The outcome of this study is imperative for designing resource-efficient living facilities and achieving a sustainable built environment through a proactive life cycle assessment of housing construction projects.</t>
        </is>
      </c>
      <c r="X191" t="inlineStr">
        <is>
          <t>[Gardezi, Syed Shujaa Safdar] Capital Univ Sci &amp; Technol CUST, Dept Civil Engn, Islamabad Expressway,Kahuta Rd,Zone 5, Islamabad 44000, Pakistan; [Shafiq, Nasir] Univ Teknol PETRONAS, Dept Civil &amp; Environm Engn, Seri Iskandar 32610, Perak Darul Rid, Malaysia; [Khan, Muhammad Waris Ali] Univ Malaysia Pahang UMP, Fac Ind Management, Gambang 26300, Kuantan, Malaysia</t>
        </is>
      </c>
      <c r="Y191" t="inlineStr">
        <is>
          <t>Capital University of Science &amp; Technology; Universiti Teknologi Petronas; Universiti Malaysia Pahang Al-Sultan Abdullah (UMPSA)</t>
        </is>
      </c>
      <c r="Z191" t="inlineStr">
        <is>
          <t>Gardezi, SSS (corresponding author), Capital Univ Sci &amp; Technol CUST, Dept Civil Engn, Islamabad Expressway,Kahuta Rd,Zone 5, Islamabad 44000, Pakistan.</t>
        </is>
      </c>
      <c r="AA191" t="inlineStr">
        <is>
          <t>dr.shujaasafdar@cust.edu.pk</t>
        </is>
      </c>
      <c r="AC191" t="inlineStr">
        <is>
          <t>Gardezi, Syed Shujaa Safdar/0000-0001-7477-8745</t>
        </is>
      </c>
      <c r="AD191" t="inlineStr">
        <is>
          <t>Ministry of Education (Higher Education Department), Malaysia under MyRA Incentive Grant [0153AB-J11]; Infrastructure Model Program</t>
        </is>
      </c>
      <c r="AE191" t="inlineStr">
        <is>
          <t>Ministry of Education (Higher Education Department), Malaysia under MyRA Incentive Grant; Infrastructure Model Program</t>
        </is>
      </c>
      <c r="AF191" t="inlineStr">
        <is>
          <t>Research study was supported by Ministry of Education (Higher Education Department), Malaysia under MyRA Incentive Grant (0153AB-J11) for Smart Integrated Low Carbon. Infrastructure Model Program.</t>
        </is>
      </c>
      <c r="AH191" t="n">
        <v>71</v>
      </c>
      <c r="AI191" t="n">
        <v>1</v>
      </c>
      <c r="AJ191" t="n">
        <v>1</v>
      </c>
      <c r="AK191" t="n">
        <v>11</v>
      </c>
      <c r="AL191" t="n">
        <v>35</v>
      </c>
      <c r="AM191" t="inlineStr">
        <is>
          <t>SPRINGER</t>
        </is>
      </c>
      <c r="AN191" t="inlineStr">
        <is>
          <t>DORDRECHT</t>
        </is>
      </c>
      <c r="AO191" t="inlineStr">
        <is>
          <t>VAN GODEWIJCKSTRAAT 30, 3311 GZ DORDRECHT, NETHERLANDS</t>
        </is>
      </c>
      <c r="AP191" t="inlineStr">
        <is>
          <t>1387-585X</t>
        </is>
      </c>
      <c r="AQ191" t="inlineStr">
        <is>
          <t>1573-2975</t>
        </is>
      </c>
      <c r="AS191" t="inlineStr">
        <is>
          <t>ENVIRON DEV SUSTAIN</t>
        </is>
      </c>
      <c r="AT191" t="inlineStr">
        <is>
          <t>Environ. Dev. Sustain.</t>
        </is>
      </c>
      <c r="AU191" t="inlineStr">
        <is>
          <t>JUN</t>
        </is>
      </c>
      <c r="AV191" t="n">
        <v>2022</v>
      </c>
      <c r="AW191" t="n">
        <v>24</v>
      </c>
      <c r="AX191" t="n">
        <v>6</v>
      </c>
      <c r="BC191" t="n">
        <v>8441</v>
      </c>
      <c r="BD191" t="n">
        <v>8463</v>
      </c>
      <c r="BF191" t="inlineStr">
        <is>
          <t>10.1007/s10668-021-01793-3</t>
        </is>
      </c>
      <c r="BG191">
        <f>HYPERLINK("http://dx.doi.org/10.1007/s10668-021-01793-3","http://dx.doi.org/10.1007/s10668-021-01793-3")</f>
        <v/>
      </c>
      <c r="BI191" t="inlineStr">
        <is>
          <t>SEP 2021</t>
        </is>
      </c>
      <c r="BJ191" t="n">
        <v>23</v>
      </c>
      <c r="BK191" t="inlineStr">
        <is>
          <t>Green &amp; Sustainable Science &amp; Technology; Environmental Sciences</t>
        </is>
      </c>
      <c r="BL191" t="inlineStr">
        <is>
          <t>Science Citation Index Expanded (SCI-EXPANDED)</t>
        </is>
      </c>
      <c r="BM191" t="inlineStr">
        <is>
          <t>Science &amp; Technology - Other Topics; Environmental Sciences &amp; Ecology</t>
        </is>
      </c>
      <c r="BN191" t="inlineStr">
        <is>
          <t>1D7GD</t>
        </is>
      </c>
      <c r="BS191" t="inlineStr">
        <is>
          <t>2023-10-26</t>
        </is>
      </c>
      <c r="BT191" t="inlineStr">
        <is>
          <t>WOS:000691923700002</t>
        </is>
      </c>
      <c r="BU191">
        <f>HYPERLINK("https%3A%2F%2Fwww.webofscience.com%2Fwos%2Fwoscc%2Ffull-record%2FWOS:000691923700002","View Full Record in Web of Science")</f>
        <v/>
      </c>
    </row>
    <row r="192">
      <c r="A192" t="inlineStr">
        <is>
          <t>J</t>
        </is>
      </c>
      <c r="B192" t="inlineStr">
        <is>
          <t>Li, HM; Han, L; Ao, YB; Wang, Y; Wang, T</t>
        </is>
      </c>
      <c r="F192" t="inlineStr">
        <is>
          <t>Li, Haimei; Han, Li; Ao, Yibin; Wang, Yan; Wang, Tong</t>
        </is>
      </c>
      <c r="J192" t="inlineStr">
        <is>
          <t>INTERNATIONAL JOURNAL OF ENVIRONMENTAL RESEARCH AND PUBLIC HEALTH</t>
        </is>
      </c>
      <c r="M192" t="inlineStr">
        <is>
          <t>English</t>
        </is>
      </c>
      <c r="N192" t="inlineStr">
        <is>
          <t>Article</t>
        </is>
      </c>
      <c r="T192" t="inlineStr">
        <is>
          <t>Influences of the Built Environment on Rural School Children's Travel Mode Choice: The Case of Chengdu</t>
        </is>
      </c>
      <c r="U192" t="inlineStr">
        <is>
          <t>urbanization; rural built environment; school travel; the multinomial logit model</t>
        </is>
      </c>
      <c r="V192" t="inlineStr">
        <is>
          <t>ACTIVE TRAVEL; MOBILITY; ASSOCIATIONS; DISTANCE; WALKING; TIME</t>
        </is>
      </c>
      <c r="W192" t="inlineStr">
        <is>
          <t>Since the reform and opening up of China, the rural built environment has changed dramatically. There is a need to understand how such changes have impacted rural children's school travel mode choice to design the built environment and plan schools accordingly. This paper combines field measurement methods and questionnaires to obtain data on rural children's school travel behavior and uses the multinomial logit (MNL) model to investigate the impacting factors. The results show the following insights: Age has a significant positive impact on children's choice of bicycles and buses. The improvements in road layout and facility conditions are significantly and positively associated with children's choice of electric bicycles for school. There is a significant positive correlation between a good and safe public environment and children's choice of cycling. Furthermore, distance from home to school has a significant impact on the choice of children's school travel mode: the greater the distance to school, the higher the probability that children will choose motorized modes of travel such as buses and private cars. This study provides empirical data and evidence in designing rural transport systems for school children based on their preferences concerning built environment factors.</t>
        </is>
      </c>
      <c r="X192" t="inlineStr">
        <is>
          <t>[Li, Haimei] Chengdu Univ Technol, Humanities &amp; Law Sch, Chengdu 610059, Peoples R China; [Han, Li; Ao, Yibin] Chengdu Univ Technol, Coll Environm &amp; Civil Engn, Chengdu 610059, Peoples R China; [Wang, Yan] Sichuan Coll Architectural Technol, Dept Engn Management, Deyang 618014, Peoples R China; [Wang, Tong] Delft Univ Technol, Fac Architecture &amp; Built Environm, NL-2600 GA Delft, Netherlands</t>
        </is>
      </c>
      <c r="Y192" t="inlineStr">
        <is>
          <t>Chengdu University of Technology; Chengdu University of Technology; Delft University of Technology</t>
        </is>
      </c>
      <c r="Z192" t="inlineStr">
        <is>
          <t>Ao, YB (corresponding author), Chengdu Univ Technol, Coll Environm &amp; Civil Engn, Chengdu 610059, Peoples R China.;Wang, T (corresponding author), Delft Univ Technol, Fac Architecture &amp; Built Environm, NL-2600 GA Delft, Netherlands.</t>
        </is>
      </c>
      <c r="AA192" t="inlineStr">
        <is>
          <t>lihaimei2012@cdut.edu.cn; hanli0713@163.com; aoyibin10@mail.cdut.edu.cn; wangyan@scac.edu.cn; t.wang-12@tudelft.nl</t>
        </is>
      </c>
      <c r="AB192" t="inlineStr">
        <is>
          <t>Wang, Tong/HPD-4929-2023</t>
        </is>
      </c>
      <c r="AC192" t="inlineStr">
        <is>
          <t>Wang, Tong/0000-0003-2599-5000</t>
        </is>
      </c>
      <c r="AD192" t="inlineStr">
        <is>
          <t>National Natural Science Foundation of China [72171028]; Sichuan Child Protection and Development Center [ETBH2021-YB004]; Delft University of Technology</t>
        </is>
      </c>
      <c r="AE192" t="inlineStr">
        <is>
          <t>National Natural Science Foundation of China(National Natural Science Foundation of China (NSFC)); Sichuan Child Protection and Development Center; Delft University of Technology</t>
        </is>
      </c>
      <c r="AF192" t="inlineStr">
        <is>
          <t>This research was funded by National Natural Science Foundation of China, grant number 72171028; Sichuan Child Protection and Development Center, grant number ETBH2021-YB004, and the article processing costs was funded by Delft University of Technology.</t>
        </is>
      </c>
      <c r="AH192" t="n">
        <v>62</v>
      </c>
      <c r="AI192" t="n">
        <v>1</v>
      </c>
      <c r="AJ192" t="n">
        <v>1</v>
      </c>
      <c r="AK192" t="n">
        <v>13</v>
      </c>
      <c r="AL192" t="n">
        <v>42</v>
      </c>
      <c r="AM192" t="inlineStr">
        <is>
          <t>MDPI</t>
        </is>
      </c>
      <c r="AN192" t="inlineStr">
        <is>
          <t>BASEL</t>
        </is>
      </c>
      <c r="AO192" t="inlineStr">
        <is>
          <t>ST ALBAN-ANLAGE 66, CH-4052 BASEL, SWITZERLAND</t>
        </is>
      </c>
      <c r="AQ192" t="inlineStr">
        <is>
          <t>1660-4601</t>
        </is>
      </c>
      <c r="AS192" t="inlineStr">
        <is>
          <t>INT J ENV RES PUB HE</t>
        </is>
      </c>
      <c r="AT192" t="inlineStr">
        <is>
          <t>Int. J. Environ. Res. Public Health</t>
        </is>
      </c>
      <c r="AU192" t="inlineStr">
        <is>
          <t>AUG</t>
        </is>
      </c>
      <c r="AV192" t="n">
        <v>2022</v>
      </c>
      <c r="AW192" t="n">
        <v>19</v>
      </c>
      <c r="AX192" t="n">
        <v>15</v>
      </c>
      <c r="BE192" t="n">
        <v>9008</v>
      </c>
      <c r="BF192" t="inlineStr">
        <is>
          <t>10.3390/ijerph19159008</t>
        </is>
      </c>
      <c r="BG192">
        <f>HYPERLINK("http://dx.doi.org/10.3390/ijerph19159008","http://dx.doi.org/10.3390/ijerph19159008")</f>
        <v/>
      </c>
      <c r="BJ192" t="n">
        <v>18</v>
      </c>
      <c r="BK192" t="inlineStr">
        <is>
          <t>Environmental Sciences; Public, Environmental &amp; Occupational Health</t>
        </is>
      </c>
      <c r="BL192" t="inlineStr">
        <is>
          <t>Science Citation Index Expanded (SCI-EXPANDED); Social Science Citation Index (SSCI)</t>
        </is>
      </c>
      <c r="BM192" t="inlineStr">
        <is>
          <t>Environmental Sciences &amp; Ecology; Public, Environmental &amp; Occupational Health</t>
        </is>
      </c>
      <c r="BN192" t="inlineStr">
        <is>
          <t>3S1HF</t>
        </is>
      </c>
      <c r="BO192" t="n">
        <v>35897380</v>
      </c>
      <c r="BP192" t="inlineStr">
        <is>
          <t>gold, Green Published</t>
        </is>
      </c>
      <c r="BS192" t="inlineStr">
        <is>
          <t>2023-10-26</t>
        </is>
      </c>
      <c r="BT192" t="inlineStr">
        <is>
          <t>WOS:000839352900001</t>
        </is>
      </c>
      <c r="BU192">
        <f>HYPERLINK("https%3A%2F%2Fwww.webofscience.com%2Fwos%2Fwoscc%2Ffull-record%2FWOS:000839352900001","View Full Record in Web of Science")</f>
        <v/>
      </c>
    </row>
    <row r="193">
      <c r="A193" t="inlineStr">
        <is>
          <t>J</t>
        </is>
      </c>
      <c r="B193" t="inlineStr">
        <is>
          <t>Villanueva, K; Alderton, A; Higgs, C; Badland, H; Goldfeld, S</t>
        </is>
      </c>
      <c r="F193" t="inlineStr">
        <is>
          <t>Villanueva, Karen; Alderton, Amanda; Higgs, Carl; Badland, Hannah; Goldfeld, Sharon</t>
        </is>
      </c>
      <c r="J193" t="inlineStr">
        <is>
          <t>INTERNATIONAL JOURNAL OF ENVIRONMENTAL RESEARCH AND PUBLIC HEALTH</t>
        </is>
      </c>
      <c r="M193" t="inlineStr">
        <is>
          <t>English</t>
        </is>
      </c>
      <c r="N193" t="inlineStr">
        <is>
          <t>Article</t>
        </is>
      </c>
      <c r="T193" t="inlineStr">
        <is>
          <t>Data to Decisions: Methods to Create Neighbourhood Built Environment Indicators Relevant for Early Childhood Development</t>
        </is>
      </c>
      <c r="U193" t="inlineStr">
        <is>
          <t>built environment; data linkage; early childhood development; neighbourhood; indicators</t>
        </is>
      </c>
      <c r="V193" t="inlineStr">
        <is>
          <t>AUSTRALIAN EARLY DEVELOPMENT; PHYSICAL-ACTIVITY; SOCIAL DETERMINANTS; SEDENTARY BEHAVIOR; AIR-POLLUTION; HEALTH; EDUCATION; POLICY; INDEX; DISADVANTAGE</t>
        </is>
      </c>
      <c r="W193" t="inlineStr">
        <is>
          <t>Healthy development in the early years lays the foundations for children's ongoing physical, emotional, and social development. Children develop in multiple contexts, including their local neighbourhood. Neighbourhood-built environment characteristics, such as housing, walkability, traffic exposure, availability of services, facilities, and parks, are associated with a range of health and wellbeing outcomes across the life course, but evidence with early years' outcomes is still emerging. Data linkage techniques were used to assemble a dataset of spatial (objectively-measured) neighbourhood-built environment (BE) measures linked to participant addresses in the 2015 Australian Early Development Census (AEDC) for children living in the 21 most populous urban and regional Australian cities (n = 235,655) to help address this gap. This paper describes the methods used to develop this dataset. This linked dataset (AEDC-BE) is the first of its kind worldwide, enabling opportunities for identifying which features of the built environment are associated with ECD across Australia at scale, allow comparisons between diverse contexts, and the identification of where best to intervene. National data coverage provides statistical power to model real-world complexities, such as differences by city, state/territory, and remoteness. The neighbourhood-built environment can be modified by policy and practice at scale, and has been identified as a way to help reduce inequitable early childhood development outcomes.</t>
        </is>
      </c>
      <c r="X193" t="inlineStr">
        <is>
          <t>[Villanueva, Karen; Alderton, Amanda; Higgs, Carl; Badland, Hannah] Univ Melbourne, Royal Melbourne Inst Technol RMIT, Ctr Urban Res, Melbourne, Vic 3000, Australia; [Villanueva, Karen; Goldfeld, Sharon] Murdoch Childrens Res Inst, Parkville, Vic 3052, Australia; [Goldfeld, Sharon] Univ Melbourne, Dept Paediat, Parkville, Vic 3052, Australia</t>
        </is>
      </c>
      <c r="Y193" t="inlineStr">
        <is>
          <t>Royal Melbourne Institute of Technology (RMIT); University of Melbourne; Murdoch Children's Research Institute; University of Melbourne</t>
        </is>
      </c>
      <c r="Z193" t="inlineStr">
        <is>
          <t>Villanueva, K (corresponding author), Univ Melbourne, Royal Melbourne Inst Technol RMIT, Ctr Urban Res, Melbourne, Vic 3000, Australia.;Villanueva, K (corresponding author), Murdoch Childrens Res Inst, Parkville, Vic 3052, Australia.</t>
        </is>
      </c>
      <c r="AA193" t="inlineStr">
        <is>
          <t>karen.villanueva@mcri.edu.au; amanda.alderton@rmit.edu.au; carl.higgs@rmit.edu.au; hannah.badland@rmit.edu.au; sharon.goldfeld@rch.org.au</t>
        </is>
      </c>
      <c r="AB193" t="inlineStr">
        <is>
          <t>Badland, Hannah/AAY-3329-2021; Higgs, Carl/AAM-8622-2020</t>
        </is>
      </c>
      <c r="AC193" t="inlineStr">
        <is>
          <t>Badland, Hannah/0000-0002-8936-2715; Higgs, Carl/0000-0002-5903-9095; Alderton, Amanda/0000-0002-4598-2381; Goldfeld, Sharon/0000-0001-6520-7094</t>
        </is>
      </c>
      <c r="AD193" t="inlineStr">
        <is>
          <t>Social Research Centre; Australian Institute of Family Studies</t>
        </is>
      </c>
      <c r="AE193" t="inlineStr">
        <is>
          <t>Social Research Centre; Australian Institute of Family Studies</t>
        </is>
      </c>
      <c r="AF193" t="inlineStr">
        <is>
          <t>This project is a collaboration between researchers at Murdoch Children's Research Institute (the Royal Children's Hospital) and at the Centre for Urban Research, RMIT University. We would like to thank our funders and other contributors to the project, including the Social Research Centre and the Australian Institute of Family Studies. The Social Research Centre provided in-kind support to provide the 2015 AEDC data for linkage and reviewed this manuscript. We are grateful to other researchers who have been involved: Jonathan Arundel, Rebecca Roberts, Julianna Rozek, Meredith O'Connor, Claire Boulange, and Billie Giles-Corti.</t>
        </is>
      </c>
      <c r="AH193" t="n">
        <v>78</v>
      </c>
      <c r="AI193" t="n">
        <v>7</v>
      </c>
      <c r="AJ193" t="n">
        <v>7</v>
      </c>
      <c r="AK193" t="n">
        <v>1</v>
      </c>
      <c r="AL193" t="n">
        <v>5</v>
      </c>
      <c r="AM193" t="inlineStr">
        <is>
          <t>MDPI</t>
        </is>
      </c>
      <c r="AN193" t="inlineStr">
        <is>
          <t>BASEL</t>
        </is>
      </c>
      <c r="AO193" t="inlineStr">
        <is>
          <t>ST ALBAN-ANLAGE 66, CH-4052 BASEL, SWITZERLAND</t>
        </is>
      </c>
      <c r="AQ193" t="inlineStr">
        <is>
          <t>1660-4601</t>
        </is>
      </c>
      <c r="AS193" t="inlineStr">
        <is>
          <t>INT J ENV RES PUB HE</t>
        </is>
      </c>
      <c r="AT193" t="inlineStr">
        <is>
          <t>Int. J. Environ. Res. Public Health</t>
        </is>
      </c>
      <c r="AU193" t="inlineStr">
        <is>
          <t>MAY</t>
        </is>
      </c>
      <c r="AV193" t="n">
        <v>2022</v>
      </c>
      <c r="AW193" t="n">
        <v>19</v>
      </c>
      <c r="AX193" t="n">
        <v>9</v>
      </c>
      <c r="BE193" t="n">
        <v>5549</v>
      </c>
      <c r="BF193" t="inlineStr">
        <is>
          <t>10.3390/ijerph19095549</t>
        </is>
      </c>
      <c r="BG193">
        <f>HYPERLINK("http://dx.doi.org/10.3390/ijerph19095549","http://dx.doi.org/10.3390/ijerph19095549")</f>
        <v/>
      </c>
      <c r="BJ193" t="n">
        <v>18</v>
      </c>
      <c r="BK193" t="inlineStr">
        <is>
          <t>Environmental Sciences; Public, Environmental &amp; Occupational Health</t>
        </is>
      </c>
      <c r="BL193" t="inlineStr">
        <is>
          <t>Science Citation Index Expanded (SCI-EXPANDED); Social Science Citation Index (SSCI)</t>
        </is>
      </c>
      <c r="BM193" t="inlineStr">
        <is>
          <t>Environmental Sciences &amp; Ecology; Public, Environmental &amp; Occupational Health</t>
        </is>
      </c>
      <c r="BN193" t="inlineStr">
        <is>
          <t>1E7TP</t>
        </is>
      </c>
      <c r="BO193" t="n">
        <v>35564944</v>
      </c>
      <c r="BP193" t="inlineStr">
        <is>
          <t>Green Published, gold</t>
        </is>
      </c>
      <c r="BS193" t="inlineStr">
        <is>
          <t>2023-10-26</t>
        </is>
      </c>
      <c r="BT193" t="inlineStr">
        <is>
          <t>WOS:000794686300001</t>
        </is>
      </c>
      <c r="BU193">
        <f>HYPERLINK("https%3A%2F%2Fwww.webofscience.com%2Fwos%2Fwoscc%2Ffull-record%2FWOS:000794686300001","View Full Record in Web of Science")</f>
        <v/>
      </c>
    </row>
    <row r="194">
      <c r="A194" t="inlineStr">
        <is>
          <t>J</t>
        </is>
      </c>
      <c r="B194" t="inlineStr">
        <is>
          <t>Kanai, M; Izawa, KP; Kubo, H; Nozoe, M; Mase, K; Koohsari, MJ; Oka, K; Shimada, S</t>
        </is>
      </c>
      <c r="F194" t="inlineStr">
        <is>
          <t>Kanai, Masashi; Izawa, Kazuhiro P.; Kubo, Hiroki; Nozoe, Masafumi; Mase, Kyoshi; Koohsari, Mohammad Javad; Oka, Koichiro; Shimada, Shinichi</t>
        </is>
      </c>
      <c r="J194" t="inlineStr">
        <is>
          <t>INTERNATIONAL JOURNAL OF ENVIRONMENTAL RESEARCH AND PUBLIC HEALTH</t>
        </is>
      </c>
      <c r="M194" t="inlineStr">
        <is>
          <t>English</t>
        </is>
      </c>
      <c r="N194" t="inlineStr">
        <is>
          <t>Article</t>
        </is>
      </c>
      <c r="T194" t="inlineStr">
        <is>
          <t>Association of Perceived Built Environment Attributes with Objectively Measured Physical Activity in Community-Dwelling Ambulatory Patients with Stroke</t>
        </is>
      </c>
      <c r="U194" t="inlineStr">
        <is>
          <t>physical activity; urban design; cerebrovascular disease; stroke rehabilitation</t>
        </is>
      </c>
      <c r="V194" t="inlineStr">
        <is>
          <t>NEIGHBORHOOD ENVIRONMENT; VASCULAR EVENTS; BARRIERS; WALKING; MORTALITY; SURVIVORS; PEOPLE; TIME</t>
        </is>
      </c>
      <c r="W194" t="inlineStr">
        <is>
          <t>There is little evidence on how perceptions of the built environment may influence physical activity among post-stroke patients. This study aimed to explore the associations between perceived built environment attributes and objectively measured physical activity outcomes in community-dwelling ambulatory patients with stroke. This cross-sectional study recruited patients who could walk outside without assistance. We assessed both objectively measured physical activity outcomes such as number of steps and duration of moderate-to-vigorous physical activity (MVPA) with an accelerometer and the patients' perceived surrounding built environment with the International Physical Activity Questionnaire Environmental Module. Sixty-one patients (67.0 years old) were included. The multiple linear regression analysis showed significant associations of the presence of sidewalks (beta = 0.274, p = 0.016) and access to recreational facilities (beta = 0.284, p = 0.010) with the number of steps taken (adjusted R-2 = 0.33). In contrast, no significant associations were found between perceived built environment attributes and MVPA. These findings may help to suggest an approach to promote appropriate physical activity in patients with stroke depending on their surrounding built environment.</t>
        </is>
      </c>
      <c r="X194" t="inlineStr">
        <is>
          <t>[Kanai, Masashi; Kubo, Hiroki] Itami Kousei Neurosurg Hosp, Dept Rehabil, Itami, Hyogo 6640028, Japan; [Kanai, Masashi; Izawa, Kazuhiro P.; Shimada, Shinichi] Kobe Univ, Dept Publ Hlth, Grad Sch Hlth Sci, Kobe, Hyogo 6540142, Japan; [Kanai, Masashi; Izawa, Kazuhiro P.; Oka, Koichiro; Shimada, Shinichi] Cardiovasc Stroke Renal Project CRP, Kobe, Hyogo 6540142, Japan; [Kanai, Masashi] PREVENT Inc, Nagoya, Aichi 4610004, Japan; [Izawa, Kazuhiro P.; Koohsari, Mohammad Javad; Oka, Koichiro] Waseda Univ, Fac Sport Sci, Tokorozawa, Saitama 3591192, Japan; [Nozoe, Masafumi; Mase, Kyoshi] Konan Womens Univ, Dept Phys Therapy, Fac Nursing &amp; Rehabil, Kobe, Hyogo 6580001, Japan; [Koohsari, Mohammad Javad] Baker Heart &amp; Diabet Inst, Behav Epidemiol Lab, Melbourne, Vic 3004, Australia; [Koohsari, Mohammad Javad] Univ Melbourne, Melbourne Sch Populat &amp; Global Hlth, Melbourne, Vic 3010, Australia; [Shimada, Shinichi] Itami Kousei Neurosurg Hosp, Dept Neurosurg, Itami, Hyogo 6640028, Japan</t>
        </is>
      </c>
      <c r="Y194" t="inlineStr">
        <is>
          <t>Kobe University; Waseda University; University of Melbourne</t>
        </is>
      </c>
      <c r="Z194" t="inlineStr">
        <is>
          <t>Izawa, KP (corresponding author), Kobe Univ, Dept Publ Hlth, Grad Sch Hlth Sci, Kobe, Hyogo 6540142, Japan.;Izawa, KP (corresponding author), Cardiovasc Stroke Renal Project CRP, Kobe, Hyogo 6540142, Japan.;Izawa, KP (corresponding author), Waseda Univ, Fac Sport Sci, Tokorozawa, Saitama 3591192, Japan.</t>
        </is>
      </c>
      <c r="AA194" t="inlineStr">
        <is>
          <t>kanaimasa07@gmail.com; izawapk@harbor.kobe-u.ac.jp; hiro.k16862@gmail.com; nozoe@konan-wu.ac.jp; tkjwg268@yahoo.co.jp; javad.koohsari@baker.edu.au; koka@waseda.jp; itamikousei1@yahoo.co.jp</t>
        </is>
      </c>
      <c r="AB194" t="inlineStr">
        <is>
          <t>Koohsari, Javad/A-4613-2009</t>
        </is>
      </c>
      <c r="AC194" t="inlineStr">
        <is>
          <t>Koohsari, Javad/0000-0001-9384-5456; Oka, Koichiro/0000-0001-5571-042X; , Kazuhiro/0000-0001-7262-8903</t>
        </is>
      </c>
      <c r="AD194" t="inlineStr">
        <is>
          <t>Sasakawa Scientific Research Grant from the Japan Science Society [28-622]</t>
        </is>
      </c>
      <c r="AE194" t="inlineStr">
        <is>
          <t>Sasakawa Scientific Research Grant from the Japan Science Society</t>
        </is>
      </c>
      <c r="AF194" t="inlineStr">
        <is>
          <t>This research was funded by a Sasakawa Scientific Research Grant from the Japan Science Society [grant no. 28-622].</t>
        </is>
      </c>
      <c r="AH194" t="n">
        <v>37</v>
      </c>
      <c r="AI194" t="n">
        <v>12</v>
      </c>
      <c r="AJ194" t="n">
        <v>12</v>
      </c>
      <c r="AK194" t="n">
        <v>1</v>
      </c>
      <c r="AL194" t="n">
        <v>6</v>
      </c>
      <c r="AM194" t="inlineStr">
        <is>
          <t>MDPI</t>
        </is>
      </c>
      <c r="AN194" t="inlineStr">
        <is>
          <t>BASEL</t>
        </is>
      </c>
      <c r="AO194" t="inlineStr">
        <is>
          <t>ST ALBAN-ANLAGE 66, CH-4052 BASEL, SWITZERLAND</t>
        </is>
      </c>
      <c r="AQ194" t="inlineStr">
        <is>
          <t>1660-4601</t>
        </is>
      </c>
      <c r="AS194" t="inlineStr">
        <is>
          <t>INT J ENV RES PUB HE</t>
        </is>
      </c>
      <c r="AT194" t="inlineStr">
        <is>
          <t>Int. J. Environ. Res. Public Health</t>
        </is>
      </c>
      <c r="AU194" t="inlineStr">
        <is>
          <t>OCT</t>
        </is>
      </c>
      <c r="AV194" t="n">
        <v>2019</v>
      </c>
      <c r="AW194" t="n">
        <v>16</v>
      </c>
      <c r="AX194" t="n">
        <v>20</v>
      </c>
      <c r="BE194" t="n">
        <v>3908</v>
      </c>
      <c r="BF194" t="inlineStr">
        <is>
          <t>10.3390/ijerph16203908</t>
        </is>
      </c>
      <c r="BG194">
        <f>HYPERLINK("http://dx.doi.org/10.3390/ijerph16203908","http://dx.doi.org/10.3390/ijerph16203908")</f>
        <v/>
      </c>
      <c r="BJ194" t="n">
        <v>8</v>
      </c>
      <c r="BK194" t="inlineStr">
        <is>
          <t>Environmental Sciences; Public, Environmental &amp; Occupational Health</t>
        </is>
      </c>
      <c r="BL194" t="inlineStr">
        <is>
          <t>Science Citation Index Expanded (SCI-EXPANDED); Social Science Citation Index (SSCI)</t>
        </is>
      </c>
      <c r="BM194" t="inlineStr">
        <is>
          <t>Environmental Sciences &amp; Ecology; Public, Environmental &amp; Occupational Health</t>
        </is>
      </c>
      <c r="BN194" t="inlineStr">
        <is>
          <t>JK3XV</t>
        </is>
      </c>
      <c r="BO194" t="n">
        <v>31618860</v>
      </c>
      <c r="BP194" t="inlineStr">
        <is>
          <t>Green Published, gold</t>
        </is>
      </c>
      <c r="BS194" t="inlineStr">
        <is>
          <t>2023-10-26</t>
        </is>
      </c>
      <c r="BT194" t="inlineStr">
        <is>
          <t>WOS:000494779100122</t>
        </is>
      </c>
      <c r="BU194">
        <f>HYPERLINK("https%3A%2F%2Fwww.webofscience.com%2Fwos%2Fwoscc%2Ffull-record%2FWOS:000494779100122","View Full Record in Web of Science")</f>
        <v/>
      </c>
    </row>
    <row r="195">
      <c r="A195" t="inlineStr">
        <is>
          <t>J</t>
        </is>
      </c>
      <c r="B195" t="inlineStr">
        <is>
          <t>Khalid, A</t>
        </is>
      </c>
      <c r="F195" t="inlineStr">
        <is>
          <t>Khalid, Asma</t>
        </is>
      </c>
      <c r="J195" t="inlineStr">
        <is>
          <t>EUROPEAN JOURNAL OF SUSTAINABLE DEVELOPMENT</t>
        </is>
      </c>
      <c r="M195" t="inlineStr">
        <is>
          <t>English</t>
        </is>
      </c>
      <c r="N195" t="inlineStr">
        <is>
          <t>Article</t>
        </is>
      </c>
      <c r="T195" t="inlineStr">
        <is>
          <t>Passive Design, Urban-Rural Architectural Morphology for Subtropics</t>
        </is>
      </c>
      <c r="U195" t="inlineStr">
        <is>
          <t>Architectural-morphology; Urban; Housing; Vernacular; Passive Design; Built Environment</t>
        </is>
      </c>
      <c r="W195" t="inlineStr">
        <is>
          <t>Built environment is a function of man-made setting, surroundings, conditions which is the center of human activity in architectural places. The integration of nature into the built environment determines the urban or the rural form of settlements. The present research aims to specify architectural morphology of sub-tropical region through a case analysis of the situation in Pakistan. The field study analyses the existing housing stock in Pakistan, in urban settings and as a result of vernacular traditions in the villages. The paper identifies the regional characteristic behaviour of highland, lowland, coastal and arid region. It gives an overview of the current urban housing situation in Pakistan. It discusses the type of housing unit, the occupant behaviour, lifestyle of the people, It also identifies the pattern of energy used within the residential buildings of Pakistan. The architectural planning in urban and rural regions, their long term passive design techniques to cope with the climate challenges of a particular area have been discussed in detail. The paper recommend some contextual and adapted passive features of vernacular architecture in urban houses.</t>
        </is>
      </c>
      <c r="X195" t="inlineStr">
        <is>
          <t>[Khalid, Asma] Univ Engn &amp; Technol Lahore, Dept Prod &amp; Ind Design, Lahore, Pakistan</t>
        </is>
      </c>
      <c r="Y195" t="inlineStr">
        <is>
          <t>University of Engineering &amp; Technology Lahore</t>
        </is>
      </c>
      <c r="Z195" t="inlineStr">
        <is>
          <t>Khalid, A (corresponding author), Univ Engn &amp; Technol Lahore, Dept Prod &amp; Ind Design, Lahore, Pakistan.</t>
        </is>
      </c>
      <c r="AB195" t="inlineStr">
        <is>
          <t>Khalid, Asma/ABL-5793-2022</t>
        </is>
      </c>
      <c r="AC195" t="inlineStr">
        <is>
          <t>Khalid, Asma/0000-0003-4689-6132</t>
        </is>
      </c>
      <c r="AH195" t="n">
        <v>21</v>
      </c>
      <c r="AI195" t="n">
        <v>1</v>
      </c>
      <c r="AJ195" t="n">
        <v>1</v>
      </c>
      <c r="AK195" t="n">
        <v>1</v>
      </c>
      <c r="AL195" t="n">
        <v>9</v>
      </c>
      <c r="AM195" t="inlineStr">
        <is>
          <t>EUROPEAN CENTER SUSTAINABLE DEVELOPMENT</t>
        </is>
      </c>
      <c r="AN195" t="inlineStr">
        <is>
          <t>ROME</t>
        </is>
      </c>
      <c r="AO195" t="inlineStr">
        <is>
          <t>VIA DEI FIORI 34, ROME, 00172, ITALY</t>
        </is>
      </c>
      <c r="AP195" t="inlineStr">
        <is>
          <t>2239-5938</t>
        </is>
      </c>
      <c r="AQ195" t="inlineStr">
        <is>
          <t>2239-6101</t>
        </is>
      </c>
      <c r="AS195" t="inlineStr">
        <is>
          <t>EUR J SUSTAIN DEV</t>
        </is>
      </c>
      <c r="AT195" t="inlineStr">
        <is>
          <t>Eur. J. Sustain. Dev.</t>
        </is>
      </c>
      <c r="AV195" t="n">
        <v>2020</v>
      </c>
      <c r="AW195" t="n">
        <v>9</v>
      </c>
      <c r="AX195" t="n">
        <v>3</v>
      </c>
      <c r="BC195" t="n">
        <v>376</v>
      </c>
      <c r="BD195" t="n">
        <v>399</v>
      </c>
      <c r="BF195" t="inlineStr">
        <is>
          <t>10.14207/ejsd.2020.v9n3p376</t>
        </is>
      </c>
      <c r="BG195">
        <f>HYPERLINK("http://dx.doi.org/10.14207/ejsd.2020.v9n3p376","http://dx.doi.org/10.14207/ejsd.2020.v9n3p376")</f>
        <v/>
      </c>
      <c r="BJ195" t="n">
        <v>24</v>
      </c>
      <c r="BK195" t="inlineStr">
        <is>
          <t>Environmental Sciences</t>
        </is>
      </c>
      <c r="BL195" t="inlineStr">
        <is>
          <t>Emerging Sources Citation Index (ESCI)</t>
        </is>
      </c>
      <c r="BM195" t="inlineStr">
        <is>
          <t>Environmental Sciences &amp; Ecology</t>
        </is>
      </c>
      <c r="BN195" t="inlineStr">
        <is>
          <t>NZ0RH</t>
        </is>
      </c>
      <c r="BP195" t="inlineStr">
        <is>
          <t>gold</t>
        </is>
      </c>
      <c r="BS195" t="inlineStr">
        <is>
          <t>2023-10-26</t>
        </is>
      </c>
      <c r="BT195" t="inlineStr">
        <is>
          <t>WOS:000576799500028</t>
        </is>
      </c>
      <c r="BU195">
        <f>HYPERLINK("https%3A%2F%2Fwww.webofscience.com%2Fwos%2Fwoscc%2Ffull-record%2FWOS:000576799500028","View Full Record in Web of Science")</f>
        <v/>
      </c>
    </row>
    <row r="196">
      <c r="A196" t="inlineStr">
        <is>
          <t>J</t>
        </is>
      </c>
      <c r="B196" t="inlineStr">
        <is>
          <t>Portegijs, E; Keskinen, KE; Tsai, LT; Rantanen, T; Rantakokko, M</t>
        </is>
      </c>
      <c r="F196" t="inlineStr">
        <is>
          <t>Portegijs, Erja; Keskinen, Kirsi E.; Tsai, Li-Tang; Rantanen, Taina; Rantakokko, Merja</t>
        </is>
      </c>
      <c r="J196" t="inlineStr">
        <is>
          <t>INTERNATIONAL JOURNAL OF ENVIRONMENTAL RESEARCH AND PUBLIC HEALTH</t>
        </is>
      </c>
      <c r="M196" t="inlineStr">
        <is>
          <t>English</t>
        </is>
      </c>
      <c r="N196" t="inlineStr">
        <is>
          <t>Article</t>
        </is>
      </c>
      <c r="T196" t="inlineStr">
        <is>
          <t>Physical Limitations, Walkability, Perceived Environmental Facilitators and Physical Activity of Older Adults in Finland</t>
        </is>
      </c>
      <c r="U196" t="inlineStr">
        <is>
          <t>walking; physical function; walk-friendly environment; mobility limitation; age-friendly environment; physical activity; perceived environment; GIS; aging</t>
        </is>
      </c>
      <c r="V196" t="inlineStr">
        <is>
          <t>LIFE-SPACE MOBILITY; LAND-USE MIX; NEIGHBORHOOD WALKABILITY; WALKING; ASSOCIATIONS; DISABILITY; DESIGN; BUFFER; PERFORMANCE; PEOPLE</t>
        </is>
      </c>
      <c r="W196" t="inlineStr">
        <is>
          <t>The aim was to study objectively assessed walkability of the environment and participant perceived environmental facilitators for outdoor mobility as predictors of physical activity in older adults with and without physical limitations. 75-90-year-old adults living independently in Central Finland were interviewed (n = 839) and reassessed for self-reported physical activity one or two years later (n = 787). Lower-extremity physical limitations were defined as Short Physical Performance Battery score &lt;= 9. Number of perceived environmental facilitators was calculated from a 16-item checklist. Walkability index (land use mix, street connectivity, population density) of the home environment was calculated from geographic information and categorized into tertiles. Accelerometer-based step counts were registered for one week (n = 174). Better walkability was associated with higher numbers of perceived environmental facilitators (p &lt; 0.001) and higher physical activity (self-reported p = 0.021, step count p = 0.010). Especially among those with physical limitations, reporting more environmental facilitators was associated with higher odds for reporting at least moderate physical activity (p &lt; 0.001), but not step counts. Perceived environmental facilitators only predicted self-reported physical activity at follow-up. To conclude, high walkability of the living environment provides opportunities for physical activity in old age, but among those with physical limitations especially, awareness of environmental facilitators may be needed to promote physical activity.</t>
        </is>
      </c>
      <c r="X196" t="inlineStr">
        <is>
          <t>[Portegijs, Erja; Keskinen, Kirsi E.; Tsai, Li-Tang; Rantanen, Taina; Rantakokko, Merja] Univ Jyvaskyla, Fac Sport &amp; Hlth Sci, Gerontol Res Ctr, Jyvaskyla 40014, Finland; [Tsai, Li-Tang] Univ Southern Denmark, Dept Sports Sci &amp; Clin Biomech, DK-5230 Odense M, Denmark</t>
        </is>
      </c>
      <c r="Y196" t="inlineStr">
        <is>
          <t>University of Jyvaskyla; University of Southern Denmark</t>
        </is>
      </c>
      <c r="Z196" t="inlineStr">
        <is>
          <t>Portegijs, E (corresponding author), Univ Jyvaskyla, Fac Sport &amp; Hlth Sci, Gerontol Res Ctr, Jyvaskyla 40014, Finland.</t>
        </is>
      </c>
      <c r="AA196" t="inlineStr">
        <is>
          <t>erja.portegijs@jyu.fi; kirsi.e.keskinen@jyu.fi; ltsai@health.sdu.dk; taina.rantanen@jyu.fi; merja.rantakokko@jyu.fi</t>
        </is>
      </c>
      <c r="AB196" t="inlineStr">
        <is>
          <t>Rantakokko, Merja/I-9779-2019; Tsai, Li-Tang/AAE-7900-2021; Rantakokko, Merja/HHC-5689-2022; Rantanen, Taina/O-6579-2016</t>
        </is>
      </c>
      <c r="AC196" t="inlineStr">
        <is>
          <t>Rantakokko, Merja/0000-0003-3546-1600; Tsai, Li-Tang/0000-0001-6571-3376; Rantanen, Taina/0000-0002-1604-1945; Portegijs, Erja/0000-0002-5205-9616; Keskinen, Kirsi/0000-0001-9876-5658</t>
        </is>
      </c>
      <c r="AD196" t="inlineStr">
        <is>
          <t>Finnish Ministry of Education and Culture; Academy of Finland [255403, 285747]; Academy of Finland (AKA) [285747, 285747] Funding Source: Academy of Finland (AKA)</t>
        </is>
      </c>
      <c r="AE196" t="inlineStr">
        <is>
          <t>Finnish Ministry of Education and Culture; Academy of Finland(Research Council of Finland); Academy of Finland (AKA)(Research Council of Finland)</t>
        </is>
      </c>
      <c r="AF196" t="inlineStr">
        <is>
          <t>We thank the participants for their time and effort to participate in our study. This work was financially supported by grants of the Finnish Ministry of Education and Culture (to E.P. and M.R.); and the Academy of Finland [grant no 255403 (to T.R.), no 285747 (to M.R.)]. Gerontology Research Center is a joint effort between the University of Jyvaskyla and the University of Tampere.</t>
        </is>
      </c>
      <c r="AH196" t="n">
        <v>48</v>
      </c>
      <c r="AI196" t="n">
        <v>44</v>
      </c>
      <c r="AJ196" t="n">
        <v>47</v>
      </c>
      <c r="AK196" t="n">
        <v>2</v>
      </c>
      <c r="AL196" t="n">
        <v>40</v>
      </c>
      <c r="AM196" t="inlineStr">
        <is>
          <t>MDPI</t>
        </is>
      </c>
      <c r="AN196" t="inlineStr">
        <is>
          <t>BASEL</t>
        </is>
      </c>
      <c r="AO196" t="inlineStr">
        <is>
          <t>ST ALBAN-ANLAGE 66, CH-4052 BASEL, SWITZERLAND</t>
        </is>
      </c>
      <c r="AQ196" t="inlineStr">
        <is>
          <t>1660-4601</t>
        </is>
      </c>
      <c r="AS196" t="inlineStr">
        <is>
          <t>INT J ENV RES PUB HE</t>
        </is>
      </c>
      <c r="AT196" t="inlineStr">
        <is>
          <t>Int. J. Environ. Res. Public Health</t>
        </is>
      </c>
      <c r="AU196" t="inlineStr">
        <is>
          <t>MAR</t>
        </is>
      </c>
      <c r="AV196" t="n">
        <v>2017</v>
      </c>
      <c r="AW196" t="n">
        <v>14</v>
      </c>
      <c r="AX196" t="n">
        <v>3</v>
      </c>
      <c r="BE196" t="n">
        <v>333</v>
      </c>
      <c r="BF196" t="inlineStr">
        <is>
          <t>10.3390/ijerph14030333</t>
        </is>
      </c>
      <c r="BG196">
        <f>HYPERLINK("http://dx.doi.org/10.3390/ijerph14030333","http://dx.doi.org/10.3390/ijerph14030333")</f>
        <v/>
      </c>
      <c r="BJ196" t="n">
        <v>14</v>
      </c>
      <c r="BK196" t="inlineStr">
        <is>
          <t>Environmental Sciences; Public, Environmental &amp; Occupational Health</t>
        </is>
      </c>
      <c r="BL196" t="inlineStr">
        <is>
          <t>Science Citation Index Expanded (SCI-EXPANDED); Social Science Citation Index (SSCI)</t>
        </is>
      </c>
      <c r="BM196" t="inlineStr">
        <is>
          <t>Environmental Sciences &amp; Ecology; Public, Environmental &amp; Occupational Health</t>
        </is>
      </c>
      <c r="BN196" t="inlineStr">
        <is>
          <t>ER1BN</t>
        </is>
      </c>
      <c r="BO196" t="n">
        <v>28327543</v>
      </c>
      <c r="BP196" t="inlineStr">
        <is>
          <t>Green Published, Green Submitted, gold</t>
        </is>
      </c>
      <c r="BS196" t="inlineStr">
        <is>
          <t>2023-10-26</t>
        </is>
      </c>
      <c r="BT196" t="inlineStr">
        <is>
          <t>WOS:000398524100115</t>
        </is>
      </c>
      <c r="BU196">
        <f>HYPERLINK("https%3A%2F%2Fwww.webofscience.com%2Fwos%2Fwoscc%2Ffull-record%2FWOS:000398524100115","View Full Record in Web of Science")</f>
        <v/>
      </c>
    </row>
    <row r="197">
      <c r="A197" t="inlineStr">
        <is>
          <t>J</t>
        </is>
      </c>
      <c r="B197" t="inlineStr">
        <is>
          <t>Kim, H; Choi, J; Nam, Y; Youn, JH</t>
        </is>
      </c>
      <c r="F197" t="inlineStr">
        <is>
          <t>Kim, Hwayoung; Choi, Jungyeon; Nam, Yunwoo; Youn, Jong-Hoon</t>
        </is>
      </c>
      <c r="J197" t="inlineStr">
        <is>
          <t>SUSTAINABILITY</t>
        </is>
      </c>
      <c r="M197" t="inlineStr">
        <is>
          <t>English</t>
        </is>
      </c>
      <c r="N197" t="inlineStr">
        <is>
          <t>Article</t>
        </is>
      </c>
      <c r="T197" t="inlineStr">
        <is>
          <t>Characteristic Analysis of the Built Environment of Ferry Terminals: A Case Study of Mokpo, South Korea</t>
        </is>
      </c>
      <c r="U197" t="inlineStr">
        <is>
          <t>ferry terminal; built environment; walking path environment; importance-performance analysis; ANOVA analysis</t>
        </is>
      </c>
      <c r="V197" t="inlineStr">
        <is>
          <t>PHYSICAL-ACTIVITY; PUBLIC-HEALTH; WALKING</t>
        </is>
      </c>
      <c r="W197" t="inlineStr">
        <is>
          <t>Ferry terminals are an essential facility for those frequently commuting between islands or towns ashore. Therefore, it is crucial to ensure a smooth and efficient flow of passengers and vehicles while guaranteeing safety and convenience at the ferry terminal. This study investigates and evaluates the walking path environment and determines the passengers' walkability and walking satisfaction of ferry terminals in Korea. As a case study, to measure the passenger's overall perception and satisfaction of the built environment of the ferry terminal, we conducted an importance-performance analysis for two ferry terminals located in Mokpo city of Korea. The segments of the poor built environment in terms of walking were found. Furthermore, the ANOVA and t-test results confirmed that the satisfaction level of the built environment varied by age and residential location of passengers. There was a significant difference in satisfaction between the groups (age and residential location) in the walking path segments while embarking and disembarking the ferry. Passengers' perceptions and walking satisfaction were different depending on the features of the built environment, including public transport accessibility, layout, distance, and surface condition of the walking path of the ferry terminal. As a limitation of the study, the case study was conducted only in the Mokpo region due to the impact of COVID-19, and the sample survey was also conducted in a short period of time. In addition, further studies are needed on the generalization of passengers' walkability in ferry terminals.</t>
        </is>
      </c>
      <c r="X197" t="inlineStr">
        <is>
          <t>[Kim, Hwayoung] Mokpo Natl Maritime Univ, Dept Maritime Transportat, Mokpo 58628, South Korea; [Choi, Jungyeon] Univ Nebraska Omaha, Coll Informat Sci &amp; Technol, Omaha, NE 68182 USA; [Nam, Yunwoo] Univ Nebraska Lincoln, Dept Community &amp; Reg Planning, Lincoln, NE 68588 USA; [Youn, Jong-Hoon] Univ Nebraska Omaha, Dept Comp Sci, Omaha, NE 68182 USA</t>
        </is>
      </c>
      <c r="Y197" t="inlineStr">
        <is>
          <t>Mokpo National Maritime University; University of Nebraska System; University of Nebraska Omaha; University of Nebraska System; University of Nebraska Lincoln; University of Nebraska System; University of Nebraska Omaha</t>
        </is>
      </c>
      <c r="Z197" t="inlineStr">
        <is>
          <t>Youn, JH (corresponding author), Univ Nebraska Omaha, Dept Comp Sci, Omaha, NE 68182 USA.</t>
        </is>
      </c>
      <c r="AA197" t="inlineStr">
        <is>
          <t>hwayoung@mmu.ac.kr; jungyeonchoi@unomaha.edu; ynam2@unl.edu; jyoun@unomaha.edu</t>
        </is>
      </c>
      <c r="AB197" t="inlineStr">
        <is>
          <t>Choi, Jungyeon/HNQ-0275-2023</t>
        </is>
      </c>
      <c r="AC197" t="inlineStr">
        <is>
          <t>Choi, Jungyeon/0000-0001-9612-3029</t>
        </is>
      </c>
      <c r="AH197" t="n">
        <v>34</v>
      </c>
      <c r="AI197" t="n">
        <v>0</v>
      </c>
      <c r="AJ197" t="n">
        <v>0</v>
      </c>
      <c r="AK197" t="n">
        <v>1</v>
      </c>
      <c r="AL197" t="n">
        <v>1</v>
      </c>
      <c r="AM197" t="inlineStr">
        <is>
          <t>MDPI</t>
        </is>
      </c>
      <c r="AN197" t="inlineStr">
        <is>
          <t>BASEL</t>
        </is>
      </c>
      <c r="AO197" t="inlineStr">
        <is>
          <t>ST ALBAN-ANLAGE 66, CH-4052 BASEL, SWITZERLAND</t>
        </is>
      </c>
      <c r="AQ197" t="inlineStr">
        <is>
          <t>2071-1050</t>
        </is>
      </c>
      <c r="AS197" t="inlineStr">
        <is>
          <t>SUSTAINABILITY-BASEL</t>
        </is>
      </c>
      <c r="AT197" t="inlineStr">
        <is>
          <t>Sustainability</t>
        </is>
      </c>
      <c r="AU197" t="inlineStr">
        <is>
          <t>FEB</t>
        </is>
      </c>
      <c r="AV197" t="n">
        <v>2022</v>
      </c>
      <c r="AW197" t="n">
        <v>14</v>
      </c>
      <c r="AX197" t="n">
        <v>4</v>
      </c>
      <c r="BE197" t="n">
        <v>2115</v>
      </c>
      <c r="BF197" t="inlineStr">
        <is>
          <t>10.3390/su14042115</t>
        </is>
      </c>
      <c r="BG197">
        <f>HYPERLINK("http://dx.doi.org/10.3390/su14042115","http://dx.doi.org/10.3390/su14042115")</f>
        <v/>
      </c>
      <c r="BJ197" t="n">
        <v>16</v>
      </c>
      <c r="BK197" t="inlineStr">
        <is>
          <t>Green &amp; Sustainable Science &amp; Technology; Environmental Sciences; Environmental Studies</t>
        </is>
      </c>
      <c r="BL197" t="inlineStr">
        <is>
          <t>Science Citation Index Expanded (SCI-EXPANDED); Social Science Citation Index (SSCI)</t>
        </is>
      </c>
      <c r="BM197" t="inlineStr">
        <is>
          <t>Science &amp; Technology - Other Topics; Environmental Sciences &amp; Ecology</t>
        </is>
      </c>
      <c r="BN197" t="inlineStr">
        <is>
          <t>ZK6BN</t>
        </is>
      </c>
      <c r="BP197" t="inlineStr">
        <is>
          <t>Green Published, gold</t>
        </is>
      </c>
      <c r="BS197" t="inlineStr">
        <is>
          <t>2023-10-26</t>
        </is>
      </c>
      <c r="BT197" t="inlineStr">
        <is>
          <t>WOS:000763071900001</t>
        </is>
      </c>
      <c r="BU197">
        <f>HYPERLINK("https%3A%2F%2Fwww.webofscience.com%2Fwos%2Fwoscc%2Ffull-record%2FWOS:000763071900001","View Full Record in Web of Science")</f>
        <v/>
      </c>
    </row>
    <row r="198">
      <c r="A198" t="inlineStr">
        <is>
          <t>J</t>
        </is>
      </c>
      <c r="B198" t="inlineStr">
        <is>
          <t>Macintyre, VG; Cotterill, S; Anderson, J; Phillipson, C; Benton, JS; French, DP</t>
        </is>
      </c>
      <c r="F198" t="inlineStr">
        <is>
          <t>Macintyre, Vanessa G.; Cotterill, Sarah; Anderson, Jamie; Phillipson, Chris; Benton, Jack S.; French, David P.</t>
        </is>
      </c>
      <c r="J198" t="inlineStr">
        <is>
          <t>INTERNATIONAL JOURNAL OF ENVIRONMENTAL RESEARCH AND PUBLIC HEALTH</t>
        </is>
      </c>
      <c r="M198" t="inlineStr">
        <is>
          <t>English</t>
        </is>
      </c>
      <c r="N198" t="inlineStr">
        <is>
          <t>Article</t>
        </is>
      </c>
      <c r="T198" t="inlineStr">
        <is>
          <t>I Would Never Come Here Because I've Got My Own Garden: Older Adults' Perceptions of Small Urban Green Spaces</t>
        </is>
      </c>
      <c r="U198" t="inlineStr">
        <is>
          <t>urban greening; well-being; physical activity; qualitative; older adults; physical environment</t>
        </is>
      </c>
      <c r="V198" t="inlineStr">
        <is>
          <t>ENVIRONMENT TYPE CONGRUENCE; PHYSICAL-ACTIVITY; THERAPEUTIC LANDSCAPES; HEALTH; PLACE; RESTORATION; PREFERENCE; BENEFITS; BEHAVIOR; IMPACTS</t>
        </is>
      </c>
      <c r="W198" t="inlineStr">
        <is>
          <t>Green spaces are known to improve health and wellbeing via several mechanisms, such as by reducing stress and facilitating physical activity. However, little is known about the impact of the smaller green spaces typically found in urban environments on wellbeing, especially for older adults. This study investigated experiences in adults (5 males and 10 females) aged 60 years and over of small urban green spaces in a large UK city. Fifteen older adults were interviewed using semi-structured walk-along interviews and photo elicitation methods in Old Moat, Greater Manchester. Twelve of the participants lived in Old Moat at the time of the study, and the remaining three participants previously lived in Old Moat and were frequent visitors. Transcribed interviews were analyzed using Thematic Analysis. Smaller urban green spaces were perceived differently to large green spaces, and participants were more likely to use larger green spaces such as parks. The smaller green spaces were perceived as belonging to other people, which discouraged the older adults from using them. The older adults also emphasized the importance of taking care of small urban green spaces and preventing them from becoming overgrown. Urban planners should consider these factors, since they indicate that the size and type of urban green spaces may influence whether they improve health and wellbeing. Further research should investigate in more detail which types of urban green space are most conducive to facilitating physical activity and improving wellbeing.</t>
        </is>
      </c>
      <c r="X198" t="inlineStr">
        <is>
          <t>[Macintyre, Vanessa G.; Benton, Jack S.; French, David P.] Univ Manchester, Sch Hlth Sci, Manchester Ctr Hlth Psychol, Manchester M13 9PL, Lancs, England; [Cotterill, Sarah] Univ Manchester, Sch Hlth Sci, Ctr Biostat, Manchester M13 9PL, Lancs, England; [Anderson, Jamie] Univ Manchester, Sch Environm Educ &amp; Dev, Manchester Urban Inst, Manchester M13 9PL, Lancs, England; [Phillipson, Chris] Univ Manchester, Sch Social Sci, Manchester Inst Collaborat Res Ageing, Manchester M13 9PL, Lancs, England</t>
        </is>
      </c>
      <c r="Y198" t="inlineStr">
        <is>
          <t>University of Manchester; University of Manchester; University of Manchester; University of Manchester</t>
        </is>
      </c>
      <c r="Z198" t="inlineStr">
        <is>
          <t>Macintyre, VG; French, DP (corresponding author), Univ Manchester, Sch Hlth Sci, Manchester Ctr Hlth Psychol, Manchester M13 9PL, Lancs, England.</t>
        </is>
      </c>
      <c r="AA198" t="inlineStr">
        <is>
          <t>vanessa.macintyre@manchester.ac.uk; sarah.cotterill@manchester.ac.uk; jamie.anderson@manchester.ac.uk; christopher.phillipson@manchester.ac.uk; jack.benton@manchester.ac.uk; david.french@manchester.ac.uk</t>
        </is>
      </c>
      <c r="AB198" t="inlineStr">
        <is>
          <t>Macintyre, Vanessa/JDM-3985-2023; French, David P/K-7283-2012; Cotterill, Sarah/AAG-2036-2020</t>
        </is>
      </c>
      <c r="AC198" t="inlineStr">
        <is>
          <t>Macintyre, Vanessa/0000-0002-2818-9576; French, David P/0000-0002-7663-7804; Cotterill, Sarah/0000-0001-5136-390X; Benton, Jack/0000-0002-7129-550X</t>
        </is>
      </c>
      <c r="AD198" t="inlineStr">
        <is>
          <t>Natural Environment Research Council [NE/N013530/1]; Arts and Humanities Research Council [NE/N013530/1]; Economic and Social Research Council [NE/N013530/1]; Economic and Social Research Council as part of the North-West Social Science Doctoral Training Partnership [ES/P000665/1]; NIHR Manchester Biomedical Research Centre; NERC [NE/N013530/1] Funding Source: UKRI</t>
        </is>
      </c>
      <c r="AE198" t="inlineStr">
        <is>
          <t>Natural Environment Research Council(UK Research &amp; Innovation (UKRI)Natural Environment Research Council (NERC)); Arts and Humanities Research Council(UK Research &amp; Innovation (UKRI)Arts &amp; Humanities Research Council (AHRC)); Economic and Social Research Council(UK Research &amp; Innovation (UKRI)Economic &amp; Social Research Council (ESRC)); Economic and Social Research Council as part of the North-West Social Science Doctoral Training Partnership; NIHR Manchester Biomedical Research Centre(National Institutes of Health Research (NIHR)); NERC(UK Research &amp; Innovation (UKRI)Natural Environment Research Council (NERC))</t>
        </is>
      </c>
      <c r="AF198" t="inlineStr">
        <is>
          <t>This research was funded as part of the GHIA project by the Natural Environment Research Council, the Arts and Humanities Research Council and the Economic and Social Research Council under the Valuing Nature Programme, grant number NE/N013530/1. J.S.B. contributed to this research while completing his PhD, which was funded by the Economic and Social Research Council as part of the North-West Social Science Doctoral Training Partnership (ES/P000665/1). Prof. French was supported by the NIHR Manchester Biomedical Research Centre.</t>
        </is>
      </c>
      <c r="AH198" t="n">
        <v>46</v>
      </c>
      <c r="AI198" t="n">
        <v>14</v>
      </c>
      <c r="AJ198" t="n">
        <v>14</v>
      </c>
      <c r="AK198" t="n">
        <v>8</v>
      </c>
      <c r="AL198" t="n">
        <v>80</v>
      </c>
      <c r="AM198" t="inlineStr">
        <is>
          <t>MDPI</t>
        </is>
      </c>
      <c r="AN198" t="inlineStr">
        <is>
          <t>BASEL</t>
        </is>
      </c>
      <c r="AO198" t="inlineStr">
        <is>
          <t>ST ALBAN-ANLAGE 66, CH-4052 BASEL, SWITZERLAND</t>
        </is>
      </c>
      <c r="AQ198" t="inlineStr">
        <is>
          <t>1660-4601</t>
        </is>
      </c>
      <c r="AS198" t="inlineStr">
        <is>
          <t>INT J ENV RES PUB HE</t>
        </is>
      </c>
      <c r="AT198" t="inlineStr">
        <is>
          <t>Int. J. Environ. Res. Public Health</t>
        </is>
      </c>
      <c r="AU198" t="inlineStr">
        <is>
          <t>JUN 1</t>
        </is>
      </c>
      <c r="AV198" t="n">
        <v>2019</v>
      </c>
      <c r="AW198" t="n">
        <v>16</v>
      </c>
      <c r="AX198" t="n">
        <v>11</v>
      </c>
      <c r="BE198" t="n">
        <v>1994</v>
      </c>
      <c r="BF198" t="inlineStr">
        <is>
          <t>10.3390/ijerph16111994</t>
        </is>
      </c>
      <c r="BG198">
        <f>HYPERLINK("http://dx.doi.org/10.3390/ijerph16111994","http://dx.doi.org/10.3390/ijerph16111994")</f>
        <v/>
      </c>
      <c r="BJ198" t="n">
        <v>18</v>
      </c>
      <c r="BK198" t="inlineStr">
        <is>
          <t>Environmental Sciences; Public, Environmental &amp; Occupational Health</t>
        </is>
      </c>
      <c r="BL198" t="inlineStr">
        <is>
          <t>Science Citation Index Expanded (SCI-EXPANDED); Social Science Citation Index (SSCI)</t>
        </is>
      </c>
      <c r="BM198" t="inlineStr">
        <is>
          <t>Environmental Sciences &amp; Ecology; Public, Environmental &amp; Occupational Health</t>
        </is>
      </c>
      <c r="BN198" t="inlineStr">
        <is>
          <t>IE1GB</t>
        </is>
      </c>
      <c r="BO198" t="n">
        <v>31195595</v>
      </c>
      <c r="BP198" t="inlineStr">
        <is>
          <t>Green Published, Green Submitted, gold</t>
        </is>
      </c>
      <c r="BS198" t="inlineStr">
        <is>
          <t>2023-10-26</t>
        </is>
      </c>
      <c r="BT198" t="inlineStr">
        <is>
          <t>WOS:000472132900122</t>
        </is>
      </c>
      <c r="BU198">
        <f>HYPERLINK("https%3A%2F%2Fwww.webofscience.com%2Fwos%2Fwoscc%2Ffull-record%2FWOS:000472132900122","View Full Record in Web of Science")</f>
        <v/>
      </c>
    </row>
    <row r="199">
      <c r="A199" t="inlineStr">
        <is>
          <t>J</t>
        </is>
      </c>
      <c r="B199" t="inlineStr">
        <is>
          <t>Liu, YP</t>
        </is>
      </c>
      <c r="F199" t="inlineStr">
        <is>
          <t>Liu, Yaping</t>
        </is>
      </c>
      <c r="J199" t="inlineStr">
        <is>
          <t>FRESENIUS ENVIRONMENTAL BULLETIN</t>
        </is>
      </c>
      <c r="M199" t="inlineStr">
        <is>
          <t>English</t>
        </is>
      </c>
      <c r="N199" t="inlineStr">
        <is>
          <t>Article</t>
        </is>
      </c>
      <c r="T199" t="inlineStr">
        <is>
          <t>RESEARCH ON ENVIRONMENT DESIGN BASED ON GREEN AND ECOLOGICAL PERSPECTIVE</t>
        </is>
      </c>
      <c r="U199" t="inlineStr">
        <is>
          <t>Ecological Civilization; Green and Harmonious; Environment Design; Green Design</t>
        </is>
      </c>
      <c r="V199" t="inlineStr">
        <is>
          <t>QUALITY; PERFORMANCE; SYSTEMS</t>
        </is>
      </c>
      <c r="W199" t="inlineStr">
        <is>
          <t>From the perspective of ecological civilization construction, this paper explores the research on interior environment design based the concept of green and harmonious ecology, discusses and studies the current situation of indoor environment decoration in China, and analyzes the main problems of green indoor environment design at present, such as unsatisfying the basic indoor physical conditions, over-decoration and the lack of green design concept by consumers. Based on the introduction of green and harmonious ecological concept design, this paper summarizes four main green and harmonious ecological indoor environment design concepts, and through the form of questionnaire survey, makes statistical analysis on consumers' preference for the four green interior design concepts, which is helpful for green interior environment designers to grasp the psychological dynamics of consumers and green design concepts in the future, find out the new trend of green interior design and design the indoor environment more in line with the needs of consumers.</t>
        </is>
      </c>
      <c r="X199" t="inlineStr">
        <is>
          <t>[Liu, Yaping] North China Univ Water Conservancy &amp; Elect Power, Sch Art &amp; Design, Zhengzhou 450046, Henan, Peoples R China</t>
        </is>
      </c>
      <c r="Y199" t="inlineStr">
        <is>
          <t>North China University of Water Resources &amp; Electric Power</t>
        </is>
      </c>
      <c r="Z199" t="inlineStr">
        <is>
          <t>Liu, YP (corresponding author), North China Univ Water Conservancy &amp; Elect Power, Sch Art &amp; Design, Zhengzhou 450046, Henan, Peoples R China.</t>
        </is>
      </c>
      <c r="AA199" t="inlineStr">
        <is>
          <t>niulixin998@163.com</t>
        </is>
      </c>
      <c r="AH199" t="n">
        <v>21</v>
      </c>
      <c r="AI199" t="n">
        <v>0</v>
      </c>
      <c r="AJ199" t="n">
        <v>0</v>
      </c>
      <c r="AK199" t="n">
        <v>5</v>
      </c>
      <c r="AL199" t="n">
        <v>15</v>
      </c>
      <c r="AM199" t="inlineStr">
        <is>
          <t>PARLAR SCIENTIFIC PUBLICATIONS (P S P)</t>
        </is>
      </c>
      <c r="AN199" t="inlineStr">
        <is>
          <t>FREISING</t>
        </is>
      </c>
      <c r="AO199" t="inlineStr">
        <is>
          <t>ANGERSTR. 12, 85354 FREISING, GERMANY</t>
        </is>
      </c>
      <c r="AP199" t="inlineStr">
        <is>
          <t>1018-4619</t>
        </is>
      </c>
      <c r="AQ199" t="inlineStr">
        <is>
          <t>1610-2304</t>
        </is>
      </c>
      <c r="AS199" t="inlineStr">
        <is>
          <t>FRESEN ENVIRON BULL</t>
        </is>
      </c>
      <c r="AT199" t="inlineStr">
        <is>
          <t>Fresenius Environ. Bull.</t>
        </is>
      </c>
      <c r="AV199" t="n">
        <v>2022</v>
      </c>
      <c r="AW199" t="n">
        <v>31</v>
      </c>
      <c r="AX199" t="n">
        <v>5</v>
      </c>
      <c r="BC199" t="n">
        <v>4677</v>
      </c>
      <c r="BD199" t="n">
        <v>4683</v>
      </c>
      <c r="BJ199" t="n">
        <v>7</v>
      </c>
      <c r="BK199" t="inlineStr">
        <is>
          <t>Environmental Sciences</t>
        </is>
      </c>
      <c r="BL199" t="inlineStr">
        <is>
          <t>Science Citation Index Expanded (SCI-EXPANDED)</t>
        </is>
      </c>
      <c r="BM199" t="inlineStr">
        <is>
          <t>Environmental Sciences &amp; Ecology</t>
        </is>
      </c>
      <c r="BN199" t="inlineStr">
        <is>
          <t>0Z1CQ</t>
        </is>
      </c>
      <c r="BS199" t="inlineStr">
        <is>
          <t>2023-10-26</t>
        </is>
      </c>
      <c r="BT199" t="inlineStr">
        <is>
          <t>WOS:000790818100002</t>
        </is>
      </c>
      <c r="BU199">
        <f>HYPERLINK("https%3A%2F%2Fwww.webofscience.com%2Fwos%2Fwoscc%2Ffull-record%2FWOS:000790818100002","View Full Record in Web of Science")</f>
        <v/>
      </c>
    </row>
    <row r="200">
      <c r="A200" t="inlineStr">
        <is>
          <t>J</t>
        </is>
      </c>
      <c r="B200" t="inlineStr">
        <is>
          <t>Han, HR; Yang, K; Yang, CF; Yang, G; Xu, LY</t>
        </is>
      </c>
      <c r="F200" t="inlineStr">
        <is>
          <t>Han, Huiran; Yang, Kai; Yang, Chengfeng; Yang, Gang; Xu, Lingyi</t>
        </is>
      </c>
      <c r="J200" t="inlineStr">
        <is>
          <t>INTERNATIONAL JOURNAL OF ENVIRONMENTAL RESEARCH AND PUBLIC HEALTH</t>
        </is>
      </c>
      <c r="M200" t="inlineStr">
        <is>
          <t>English</t>
        </is>
      </c>
      <c r="N200" t="inlineStr">
        <is>
          <t>Article</t>
        </is>
      </c>
      <c r="T200" t="inlineStr">
        <is>
          <t>Influence and Mechanism of a Multi-Scale Built Environment on the Leisure Activities of the Elderly: Evidence from Hefei City in China</t>
        </is>
      </c>
      <c r="U200" t="inlineStr">
        <is>
          <t>built environment; leisure activity; multi-scale; the elderly; Hefei city</t>
        </is>
      </c>
      <c r="V200" t="inlineStr">
        <is>
          <t>PHYSICAL-ACTIVITY; OLDER-ADULTS; TRAVEL; ASSOCIATIONS; DENSITY; WALKING</t>
        </is>
      </c>
      <c r="W200" t="inlineStr">
        <is>
          <t>Built environment characteristics such as walkability, land use diversity, infrastructure accessibility and attractiveness may support or hinder the elderly's leisure activities, which in turn affects their health. Promoting the elderly's leisure activities through the creation of a positive built environment is of great relevance to healthy aging. In the context of the continuous increasing of aging in China, promoting leisure activities for the elderly through improving the built environment has become an essential issue in urban geography and urban planning. Based on the questionnaire survey data of the elderly in Hefei City, a multilevel ordered probit regression model was used to investigate the mechanism of the multi-scale built environment on leisure activities of the elderly. The results show that: (1) more than 60% of the elderly can carry out leisure activities more than seven times a week, more than 50% of the elderly have a duration of fewer than 30 min for each leisure activity, and there are significant spatial differences in the frequency and duration of their trips at multiple scales in city, community and residential district. (2) Residential quality and community-level land use mixture, the density of leisure facilities, proximity to high-level urban roads, community security, living in the old city, and individual characteristic variables such as age, education, and satisfaction with neighborhood interaction positively contribute to the leisure activities of the elderly. In contrast, the community activity participation and the location close to expressways and railway lines have a significantly negative impact on the leisure activities of the elderly. (3) The mechanism of interactions between multi-scale built environments on the leisure activities of the elderly is mainly summarized as the transmission effect and substitution effect. The transmission effect shows that the differences in the community-level built environment are primarily caused by the differences in the city-level built environment. In contrast, the substitution effect shows that the multi-scale built environment such as residential districts, communities, and cities jointly affect the leisure activities of the elderly. Based on the mechanism of the built environment at different scales, this study can provide theoretical references and planning implications to improve the built environment through planning means such as enhancing the walkability of streets, the accessibility of facilities and the scale of greenery in order to promote active leisure activities and improve the health of the elderly.</t>
        </is>
      </c>
      <c r="X200" t="inlineStr">
        <is>
          <t>[Han, Huiran; Yang, Kai; Yang, Chengfeng; Yang, Gang; Xu, Lingyi] Anhui Normal Univ, Sch Geog &amp; Tourism, 189 Huajinnan St, Yijiang Dist 241002, Wuhu, Peoples R China</t>
        </is>
      </c>
      <c r="Y200" t="inlineStr">
        <is>
          <t>Anhui Normal University</t>
        </is>
      </c>
      <c r="Z200" t="inlineStr">
        <is>
          <t>Yang, CF (corresponding author), Anhui Normal Univ, Sch Geog &amp; Tourism, 189 Huajinnan St, Yijiang Dist 241002, Wuhu, Peoples R China.</t>
        </is>
      </c>
      <c r="AA200" t="inlineStr">
        <is>
          <t>hanhuiran@163.com; yangkaidlcg@163.com; phoenixycf@163.com; 2021011423@ahnu.edu.cn; xlyib8503@ahnu.edu.cn</t>
        </is>
      </c>
      <c r="AB200" t="inlineStr">
        <is>
          <t>Yang, Kai/HOA-7144-2023</t>
        </is>
      </c>
      <c r="AC200" t="inlineStr">
        <is>
          <t>Yang, Kai/0000-0003-0140-3111; HAN, HUIRAN/0000-0003-1192-9627</t>
        </is>
      </c>
      <c r="AD200" t="inlineStr">
        <is>
          <t>National Natural Science Foundation of China [41801154, 41901193]; Natural Science Foundation of Anhui Province [1908085QD148]; Humanities and Social Sciences Research Project of the Ministry of Education [17YJC790185]</t>
        </is>
      </c>
      <c r="AE200" t="inlineStr">
        <is>
          <t>National Natural Science Foundation of China(National Natural Science Foundation of China (NSFC)); Natural Science Foundation of Anhui Province(Natural Science Foundation of Anhui Province); Humanities and Social Sciences Research Project of the Ministry of Education</t>
        </is>
      </c>
      <c r="AF200" t="inlineStr">
        <is>
          <t>This research was funded by the National Natural Science Foundation of China (No. 41801154 and 41901193); Natural Science Foundation of Anhui Province (No. 1908085QD148); and the Humanities and Social Sciences Research Project of the Ministry of Education (No. 17YJC790185).</t>
        </is>
      </c>
      <c r="AH200" t="n">
        <v>55</v>
      </c>
      <c r="AI200" t="n">
        <v>2</v>
      </c>
      <c r="AJ200" t="n">
        <v>3</v>
      </c>
      <c r="AK200" t="n">
        <v>57</v>
      </c>
      <c r="AL200" t="n">
        <v>111</v>
      </c>
      <c r="AM200" t="inlineStr">
        <is>
          <t>MDPI</t>
        </is>
      </c>
      <c r="AN200" t="inlineStr">
        <is>
          <t>BASEL</t>
        </is>
      </c>
      <c r="AO200" t="inlineStr">
        <is>
          <t>ST ALBAN-ANLAGE 66, CH-4052 BASEL, SWITZERLAND</t>
        </is>
      </c>
      <c r="AQ200" t="inlineStr">
        <is>
          <t>1660-4601</t>
        </is>
      </c>
      <c r="AS200" t="inlineStr">
        <is>
          <t>INT J ENV RES PUB HE</t>
        </is>
      </c>
      <c r="AT200" t="inlineStr">
        <is>
          <t>Int. J. Environ. Res. Public Health</t>
        </is>
      </c>
      <c r="AU200" t="inlineStr">
        <is>
          <t>AUG</t>
        </is>
      </c>
      <c r="AV200" t="n">
        <v>2022</v>
      </c>
      <c r="AW200" t="n">
        <v>19</v>
      </c>
      <c r="AX200" t="n">
        <v>15</v>
      </c>
      <c r="BE200" t="n">
        <v>9237</v>
      </c>
      <c r="BF200" t="inlineStr">
        <is>
          <t>10.3390/ijerph19159237</t>
        </is>
      </c>
      <c r="BG200">
        <f>HYPERLINK("http://dx.doi.org/10.3390/ijerph19159237","http://dx.doi.org/10.3390/ijerph19159237")</f>
        <v/>
      </c>
      <c r="BJ200" t="n">
        <v>24</v>
      </c>
      <c r="BK200" t="inlineStr">
        <is>
          <t>Environmental Sciences; Public, Environmental &amp; Occupational Health</t>
        </is>
      </c>
      <c r="BL200" t="inlineStr">
        <is>
          <t>Science Citation Index Expanded (SCI-EXPANDED); Social Science Citation Index (SSCI)</t>
        </is>
      </c>
      <c r="BM200" t="inlineStr">
        <is>
          <t>Environmental Sciences &amp; Ecology; Public, Environmental &amp; Occupational Health</t>
        </is>
      </c>
      <c r="BN200" t="inlineStr">
        <is>
          <t>3R9KK</t>
        </is>
      </c>
      <c r="BO200" t="n">
        <v>35954590</v>
      </c>
      <c r="BP200" t="inlineStr">
        <is>
          <t>Green Published, gold</t>
        </is>
      </c>
      <c r="BS200" t="inlineStr">
        <is>
          <t>2023-10-26</t>
        </is>
      </c>
      <c r="BT200" t="inlineStr">
        <is>
          <t>WOS:000839223300001</t>
        </is>
      </c>
      <c r="BU200">
        <f>HYPERLINK("https%3A%2F%2Fwww.webofscience.com%2Fwos%2Fwoscc%2Ffull-record%2FWOS:000839223300001","View Full Record in Web of Science")</f>
        <v/>
      </c>
    </row>
    <row r="201">
      <c r="A201" t="inlineStr">
        <is>
          <t>J</t>
        </is>
      </c>
      <c r="B201" t="inlineStr">
        <is>
          <t>Weng, JT; Zhang, YH; Chen, ZF; Ying, XY; Zhu, W; Sun, YK</t>
        </is>
      </c>
      <c r="F201" t="inlineStr">
        <is>
          <t>Weng, Jiantao; Zhang, Yuhan; Chen, Zefeng; Ying, Xiaoyu; Zhu, Wei; Sun, Yukai</t>
        </is>
      </c>
      <c r="J201" t="inlineStr">
        <is>
          <t>INTERNATIONAL JOURNAL OF ENVIRONMENTAL RESEARCH AND PUBLIC HEALTH</t>
        </is>
      </c>
      <c r="M201" t="inlineStr">
        <is>
          <t>English</t>
        </is>
      </c>
      <c r="N201" t="inlineStr">
        <is>
          <t>Article</t>
        </is>
      </c>
      <c r="T201" t="inlineStr">
        <is>
          <t>Field Measurements and Analysis of Indoor Environment, Occupant Satisfaction, and Sick Building Syndrome in University Buildings in Hot Summer and Cold Winter Regions in China</t>
        </is>
      </c>
      <c r="U201" t="inlineStr">
        <is>
          <t>indoor environment quality; occupant satisfaction; sick building syndrome; classroom; green building; retrofitted</t>
        </is>
      </c>
      <c r="V201" t="inlineStr">
        <is>
          <t>GREEN BUILDINGS; QUALITY ASSESSMENT; AIR-TEMPERATURE; CARBON-DIOXIDE; COMFORT; HEALTH; ASSOCIATIONS; PRODUCTIVITY; CLASSROOMS; SYMPTOMS</t>
        </is>
      </c>
      <c r="W201" t="inlineStr">
        <is>
          <t>Teachers and students work and study in classrooms for long durations. The indoor environment directly affects the health and satisfaction of teachers and students. To explore the performance differences between green buildings, conventional buildings, and retrofitted buildings in terms of their indoor environment, occupant satisfaction, and sick building syndrome (SBS), as well as the correlation between these different aspects, three university teaching buildings were selected in hot summer and cold winter regions in China. These included a green building (GB), a retrofitted building (RB), and a conventional building (CB). Long-term indoor environment monitoring and point-to-point measurements were conducted during the transition season and winter and the indoor environment, satisfaction, and SBS in the three buildings were compared. A sample of 399 point-to-point questionnaires was collected. A subjective-objective indoor environmental quality (IEQ) evaluation model for schools in China was established, covering satisfaction and the indoor environment. The results showed that the compliance rate of the indoor environment in the GB and RB was generally superior to that of the CB. The overall satisfaction was the highest for the GB, followed by the CB, and then the RB. The GB had the highest overall indoor environment quality score, followed by the RB and then the CB. The occurrence of SBS was lowest in the CB, followed by the GB, and then the RB. It was determined that the design of natural ventilation should be improved and that building users should be given the right to autonomous window control and temperature control. To reduce the occurrence of SBS symptoms, attention should be paid to the control of temperature and CO2 concentration. To improve learning efficiency, it suggests reducing indoor CO2 concentrations and improving desktop illuminance. This study provides a reference for improving the indoor environment and health performance of existing university teaching buildings.</t>
        </is>
      </c>
      <c r="X201" t="inlineStr">
        <is>
          <t>[Weng, Jiantao; Zhang, Yuhan; Chen, Zefeng; Ying, Xiaoyu; Zhu, Wei] Zhejiang Univ City Coll, Sch Spatial Planning &amp; Design, Hangzhou 310015, Peoples R China; [Weng, Jiantao; Zhang, Yuhan; Chen, Zefeng; Ying, Xiaoyu; Zhu, Wei] Zhejiang Engn Res Ctr Bldg Digital Carbon Neutral, Hangzhou 310015, Peoples R China; [Weng, Jiantao] China Univ Min &amp; Technol, Sch Econ &amp; Management, Xuzhou 221116, Peoples R China; [Weng, Jiantao] Huahui Engn Design Grp Co Ltd, Shaoxing 312000, Peoples R China; [Sun, Yukai] Hangzhou Integrat Med Hosp, Hangzhou 310064, Peoples R China</t>
        </is>
      </c>
      <c r="Y201" t="inlineStr">
        <is>
          <t>Hangzhou City University; China University of Mining &amp; Technology</t>
        </is>
      </c>
      <c r="Z201" t="inlineStr">
        <is>
          <t>Weng, JT; Ying, XY (corresponding author), Zhejiang Univ City Coll, Sch Spatial Planning &amp; Design, Hangzhou 310015, Peoples R China.;Weng, JT; Ying, XY (corresponding author), Zhejiang Engn Res Ctr Bldg Digital Carbon Neutral, Hangzhou 310015, Peoples R China.;Weng, JT (corresponding author), China Univ Min &amp; Technol, Sch Econ &amp; Management, Xuzhou 221116, Peoples R China.;Weng, JT (corresponding author), Huahui Engn Design Grp Co Ltd, Shaoxing 312000, Peoples R China.</t>
        </is>
      </c>
      <c r="AA201" t="inlineStr">
        <is>
          <t>wengjt@zucc.edu.cn; yingxiaoyu@zucc.edu.cn</t>
        </is>
      </c>
      <c r="AB201" t="inlineStr">
        <is>
          <t>Weng, Jiantao/IRZ-6163-2023; zhang, yuhan/HLH-1222-2023</t>
        </is>
      </c>
      <c r="AC201" t="inlineStr">
        <is>
          <t>Weng, Jiantao/0000-0001-8807-8256</t>
        </is>
      </c>
      <c r="AH201" t="n">
        <v>55</v>
      </c>
      <c r="AI201" t="n">
        <v>1</v>
      </c>
      <c r="AJ201" t="n">
        <v>1</v>
      </c>
      <c r="AK201" t="n">
        <v>10</v>
      </c>
      <c r="AL201" t="n">
        <v>22</v>
      </c>
      <c r="AM201" t="inlineStr">
        <is>
          <t>MDPI</t>
        </is>
      </c>
      <c r="AN201" t="inlineStr">
        <is>
          <t>BASEL</t>
        </is>
      </c>
      <c r="AO201" t="inlineStr">
        <is>
          <t>ST ALBAN-ANLAGE 66, CH-4052 BASEL, SWITZERLAND</t>
        </is>
      </c>
      <c r="AQ201" t="inlineStr">
        <is>
          <t>1660-4601</t>
        </is>
      </c>
      <c r="AS201" t="inlineStr">
        <is>
          <t>INT J ENV RES PUB HE</t>
        </is>
      </c>
      <c r="AT201" t="inlineStr">
        <is>
          <t>Int. J. Environ. Res. Public Health</t>
        </is>
      </c>
      <c r="AU201" t="inlineStr">
        <is>
          <t>JAN</t>
        </is>
      </c>
      <c r="AV201" t="n">
        <v>2023</v>
      </c>
      <c r="AW201" t="n">
        <v>20</v>
      </c>
      <c r="AX201" t="n">
        <v>1</v>
      </c>
      <c r="BE201" t="n">
        <v>554</v>
      </c>
      <c r="BF201" t="inlineStr">
        <is>
          <t>10.3390/ijerph20010554</t>
        </is>
      </c>
      <c r="BG201">
        <f>HYPERLINK("http://dx.doi.org/10.3390/ijerph20010554","http://dx.doi.org/10.3390/ijerph20010554")</f>
        <v/>
      </c>
      <c r="BJ201" t="n">
        <v>22</v>
      </c>
      <c r="BK201" t="inlineStr">
        <is>
          <t>Environmental Sciences; Public, Environmental &amp; Occupational Health</t>
        </is>
      </c>
      <c r="BL201" t="inlineStr">
        <is>
          <t>Science Citation Index Expanded (SCI-EXPANDED); Social Science Citation Index (SSCI)</t>
        </is>
      </c>
      <c r="BM201" t="inlineStr">
        <is>
          <t>Environmental Sciences &amp; Ecology; Public, Environmental &amp; Occupational Health</t>
        </is>
      </c>
      <c r="BN201" t="inlineStr">
        <is>
          <t>7Q3PM</t>
        </is>
      </c>
      <c r="BO201" t="n">
        <v>36612874</v>
      </c>
      <c r="BP201" t="inlineStr">
        <is>
          <t>gold, Green Published</t>
        </is>
      </c>
      <c r="BS201" t="inlineStr">
        <is>
          <t>2023-10-26</t>
        </is>
      </c>
      <c r="BT201" t="inlineStr">
        <is>
          <t>WOS:000909307000001</t>
        </is>
      </c>
      <c r="BU201">
        <f>HYPERLINK("https%3A%2F%2Fwww.webofscience.com%2Fwos%2Fwoscc%2Ffull-record%2FWOS:000909307000001","View Full Record in Web of Science")</f>
        <v/>
      </c>
    </row>
    <row r="202">
      <c r="A202" t="inlineStr">
        <is>
          <t>J</t>
        </is>
      </c>
      <c r="B202" t="inlineStr">
        <is>
          <t>Jenkins, GR; Yuen, HK; Vogtle, LK</t>
        </is>
      </c>
      <c r="F202" t="inlineStr">
        <is>
          <t>Jenkins, Gavin R.; Yuen, Hon K.; Vogtle, Laura K.</t>
        </is>
      </c>
      <c r="J202" t="inlineStr">
        <is>
          <t>INTERNATIONAL JOURNAL OF ENVIRONMENTAL RESEARCH AND PUBLIC HEALTH</t>
        </is>
      </c>
      <c r="M202" t="inlineStr">
        <is>
          <t>English</t>
        </is>
      </c>
      <c r="N202" t="inlineStr">
        <is>
          <t>Article</t>
        </is>
      </c>
      <c r="T202" t="inlineStr">
        <is>
          <t>Experience of Multisensory Environments in Public Space among People with Visual Impairment</t>
        </is>
      </c>
      <c r="U202" t="inlineStr">
        <is>
          <t>built environment; public spaces; sensory cues; architectural accessibility; qualitative research</t>
        </is>
      </c>
      <c r="V202" t="inlineStr">
        <is>
          <t>OCCUPATIONAL ADAPTATION; URBAN ENVIRONMENTS; HOLISTIC APPROACH; SHARED SPACE; INDIVIDUALS; DISABILITY</t>
        </is>
      </c>
      <c r="W202" t="inlineStr">
        <is>
          <t>This qualitative study explored the role of sensory characteristics embedded in the built environment and whether they support or hinder people with visual impairment in their use of public spaces. An online survey link was e-mailed to the presidents and committee members of each state's chapters and associations of the National Federation of the Blind in the United States, resulting in 451 direct invitations to participate. Written responses of the survey questions from 48 respondents with visual impairment were analyzed. Three main themes: Barriers, Supporters, and Context-Dependence emerged from the respondents' experience of multisensory characteristics within the built environment. The four subthemes subsumed in Barriers were: (1) Population specific design, (2) Extreme sensory backgrounds, (3) Uneven ground surfaces and objects, and (4) Inconsistent lighting. For Supporters, respondents provided specific examples of various sensory characteristics in built environments, including audible cues and echoes, smells, tactile quality of the ground surface, and temperature. Context-Dependence referred to the effects of sensory characteristics embedded in public spaces depending on one's vision condition, the proximity to the sensory cues and the purpose of the activities one was performing at that moment. Findings provide occupational therapy practitioners an in-depth understanding of the transactional relationship between embedded sensory characteristics in the built environment, occupations, and people with visual impairment in order to make appropriate modifications or removal of barriers that affect occupational performance and engagement. Suggestions for occupational therapists as well as architects, designers, planners, policy makers/legislators related to functional sensory cues in the design of built environments were provided to increase accessibility in the use of public spaces by people with visual impairment.</t>
        </is>
      </c>
      <c r="X202" t="inlineStr">
        <is>
          <t>[Jenkins, Gavin R.; Yuen, Hon K.; Vogtle, Laura K.] Univ Alabama Birmingham, Sch Hlth Profess, Dept Occupat Therapy, Birmingham, AL 35294 USA</t>
        </is>
      </c>
      <c r="Y202" t="inlineStr">
        <is>
          <t>University of Alabama System; University of Alabama Birmingham</t>
        </is>
      </c>
      <c r="Z202" t="inlineStr">
        <is>
          <t>Yuen, HK (corresponding author), Univ Alabama Birmingham, Sch Hlth Profess, Dept Occupat Therapy, Birmingham, AL 35294 USA.</t>
        </is>
      </c>
      <c r="AA202" t="inlineStr">
        <is>
          <t>jenkinsg@uab.edu; yuen@uab.edu; lvogtle@uab.edu</t>
        </is>
      </c>
      <c r="AB202" t="inlineStr">
        <is>
          <t>yuen/AAB-6219-2021</t>
        </is>
      </c>
      <c r="AC202" t="inlineStr">
        <is>
          <t>yuen/0000-0001-5696-1845; Vogtle, Laura/0000-0003-4559-0537</t>
        </is>
      </c>
      <c r="AH202" t="n">
        <v>45</v>
      </c>
      <c r="AI202" t="n">
        <v>13</v>
      </c>
      <c r="AJ202" t="n">
        <v>13</v>
      </c>
      <c r="AK202" t="n">
        <v>4</v>
      </c>
      <c r="AL202" t="n">
        <v>33</v>
      </c>
      <c r="AM202" t="inlineStr">
        <is>
          <t>MDPI</t>
        </is>
      </c>
      <c r="AN202" t="inlineStr">
        <is>
          <t>BASEL</t>
        </is>
      </c>
      <c r="AO202" t="inlineStr">
        <is>
          <t>ST ALBAN-ANLAGE 66, CH-4052 BASEL, SWITZERLAND</t>
        </is>
      </c>
      <c r="AQ202" t="inlineStr">
        <is>
          <t>1660-4601</t>
        </is>
      </c>
      <c r="AS202" t="inlineStr">
        <is>
          <t>INT J ENV RES PUB HE</t>
        </is>
      </c>
      <c r="AT202" t="inlineStr">
        <is>
          <t>Int. J. Environ. Res. Public Health</t>
        </is>
      </c>
      <c r="AU202" t="inlineStr">
        <is>
          <t>AUG</t>
        </is>
      </c>
      <c r="AV202" t="n">
        <v>2015</v>
      </c>
      <c r="AW202" t="n">
        <v>12</v>
      </c>
      <c r="AX202" t="n">
        <v>8</v>
      </c>
      <c r="BC202" t="n">
        <v>8644</v>
      </c>
      <c r="BD202" t="n">
        <v>8657</v>
      </c>
      <c r="BF202" t="inlineStr">
        <is>
          <t>10.3390/ijerph120808644</t>
        </is>
      </c>
      <c r="BG202">
        <f>HYPERLINK("http://dx.doi.org/10.3390/ijerph120808644","http://dx.doi.org/10.3390/ijerph120808644")</f>
        <v/>
      </c>
      <c r="BJ202" t="n">
        <v>14</v>
      </c>
      <c r="BK202" t="inlineStr">
        <is>
          <t>Environmental Sciences; Public, Environmental &amp; Occupational Health</t>
        </is>
      </c>
      <c r="BL202" t="inlineStr">
        <is>
          <t>Science Citation Index Expanded (SCI-EXPANDED); Social Science Citation Index (SSCI)</t>
        </is>
      </c>
      <c r="BM202" t="inlineStr">
        <is>
          <t>Environmental Sciences &amp; Ecology; Public, Environmental &amp; Occupational Health</t>
        </is>
      </c>
      <c r="BN202" t="inlineStr">
        <is>
          <t>CQ4PT</t>
        </is>
      </c>
      <c r="BO202" t="n">
        <v>26213952</v>
      </c>
      <c r="BP202" t="inlineStr">
        <is>
          <t>Green Submitted, Green Published, gold</t>
        </is>
      </c>
      <c r="BS202" t="inlineStr">
        <is>
          <t>2023-10-26</t>
        </is>
      </c>
      <c r="BT202" t="inlineStr">
        <is>
          <t>WOS:000360587800003</t>
        </is>
      </c>
      <c r="BU202">
        <f>HYPERLINK("https%3A%2F%2Fwww.webofscience.com%2Fwos%2Fwoscc%2Ffull-record%2FWOS:000360587800003","View Full Record in Web of Science")</f>
        <v/>
      </c>
    </row>
    <row r="203">
      <c r="A203" t="inlineStr">
        <is>
          <t>J</t>
        </is>
      </c>
      <c r="B203" t="inlineStr">
        <is>
          <t>Ao, YB; Chen, C; Yang, DJ; Wang, Y</t>
        </is>
      </c>
      <c r="F203" t="inlineStr">
        <is>
          <t>Ao, Yibin; Chen, Chuan; Yang, Dujuan; Wang, Yan</t>
        </is>
      </c>
      <c r="J203" t="inlineStr">
        <is>
          <t>SUSTAINABILITY</t>
        </is>
      </c>
      <c r="M203" t="inlineStr">
        <is>
          <t>English</t>
        </is>
      </c>
      <c r="N203" t="inlineStr">
        <is>
          <t>Article</t>
        </is>
      </c>
      <c r="T203" t="inlineStr">
        <is>
          <t>Relationship between Rural Built Environment and Household Vehicle Ownership: An Empirical Analysis in Rural Sichuan, China</t>
        </is>
      </c>
      <c r="U203" t="inlineStr">
        <is>
          <t>rural built environment; vehicle ownership; sustainable transportation; transport policy; multinomial logit model; China</t>
        </is>
      </c>
      <c r="V203" t="inlineStr">
        <is>
          <t>ZHONGSHAN METROPOLITAN-AREA; TRAVEL MODE CHOICE; CAR OWNERSHIP; URBAN FORM; AUTO OWNERSHIP; COMMUTING EVIDENCE; NEIGHBORHOOD; BEHAVIOR; IMPACT; PERCEPTIONS</t>
        </is>
      </c>
      <c r="W203" t="inlineStr">
        <is>
          <t>With the rapid rural urbanization and new rural construction in China, tremendous changes are occurring in rural built environments and rural household vehicle ownership. However, few studies have examined the relationship between rural built environments and rural household vehicle ownership. In this study, a questionnaire survey of 374 rural households was conducted and the built environment data of seven typical villages in rural Sichuan were collected using Geographic Information System (GIS) technology and on-site measurement. This study aimed to investigate the relationship between the rural built environment and rural household vehicle ownership in China through a multinomial logit (MNL) model. Results show that household structure attributes have the most significant relationship with vehicle ownership, followed by rural built environment attributes and the respondents' driving skills. In the process of urbanization, with increases in building density, road density, and destination accessibility, an increase in high-carbon vehicle ownership is an inevitable trend among rural households. However, low-carbon-oriented rural planning can effectively control the increase in high-carbon vehicle ownership. For example, the distance between rural households and important destinations, such as hospitals, schools, and markets, should be shortened and rural residents should be encouraged to learn to ride bicycles. Moreover, rural residents riding motorcycles can effectively reduce household car ownership.</t>
        </is>
      </c>
      <c r="X203" t="inlineStr">
        <is>
          <t>[Ao, Yibin; Chen, Chuan] Sichuan Univ, Business Sch, Chengdu 610065, Sichuan, Peoples R China; [Ao, Yibin] Chengdu Univ Technol, Coll Environm &amp; Civil Engn, Chengdu 610059, Sichuan, Peoples R China; [Yang, Dujuan] Eindhoven Univ Technol, Dept Built Environm, NL-5600 MB Eindhoven, Netherlands; [Wang, Yan] Sichuan Coll Architectural Technol, Dept Engn Management, Deyang 618000, Sichuan, Peoples R China</t>
        </is>
      </c>
      <c r="Y203" t="inlineStr">
        <is>
          <t>Sichuan University; Chengdu University of Technology; Eindhoven University of Technology</t>
        </is>
      </c>
      <c r="Z203" t="inlineStr">
        <is>
          <t>Ao, YB; Chen, C (corresponding author), Sichuan Univ, Business Sch, Chengdu 610065, Sichuan, Peoples R China.;Ao, YB (corresponding author), Chengdu Univ Technol, Coll Environm &amp; Civil Engn, Chengdu 610059, Sichuan, Peoples R China.</t>
        </is>
      </c>
      <c r="AA203" t="inlineStr">
        <is>
          <t>aoyibin10@mail.cdut.edu.cn; chenchuan@scu.edu.cn; d.yang@tue.nl; aoyibin10@mail.cdut.edu.cn</t>
        </is>
      </c>
      <c r="AC203" t="inlineStr">
        <is>
          <t>Ao, Yibin/0000-0001-7288-638X</t>
        </is>
      </c>
      <c r="AD203" t="inlineStr">
        <is>
          <t>Government of Sichuan Province [0050205502123]; Fundamental Research Funds for the Central Universities [2012017yjsy215]; Natural Science Key Project from the Sichuan Provincial Department of Education [18ZA0048]; Fundamental Philosophy and Social Science Research Fund for Chengdu University of Technology [YJ2017-NS011]; Research on BIM Technology Resource Sharing Platform Construction and Cooperation Mechanism [CHJK{2017} 119]; Development Research Center of Oil and Gas, Sichuan [CYQK-SKB17-04]; Social Capital [0050205502123]</t>
        </is>
      </c>
      <c r="AE203" t="inlineStr">
        <is>
          <t>Government of Sichuan Province; Fundamental Research Funds for the Central Universities(Fundamental Research Funds for the Central Universities); Natural Science Key Project from the Sichuan Provincial Department of Education; Fundamental Philosophy and Social Science Research Fund for Chengdu University of Technology; Research on BIM Technology Resource Sharing Platform Construction and Cooperation Mechanism; Development Research Center of Oil and Gas, Sichuan; Social Capital</t>
        </is>
      </c>
      <c r="AF203" t="inlineStr">
        <is>
          <t>The authors appreciate financial support from (Jian Qi 666) Promoting the Cooperation 24 between the Government of Sichuan Province and Social Capital (0050205502123), the Fundamental Research Funds for the Central Universities (2012017yjsy215), the Natural Science Key Project from the Sichuan Provincial Department of Education (18ZA0048), the Fundamental Philosophy and Social Science Research Fund for Chengdu University of Technology (YJ2017-NS011), the Research on BIM Technology Resource Sharing Platform Construction and Cooperation Mechanism (CHJK{2017} 119), and the Development Research Center of Oil and Gas, Sichuan (CYQK-SKB17-04).</t>
        </is>
      </c>
      <c r="AH203" t="n">
        <v>56</v>
      </c>
      <c r="AI203" t="n">
        <v>12</v>
      </c>
      <c r="AJ203" t="n">
        <v>13</v>
      </c>
      <c r="AK203" t="n">
        <v>3</v>
      </c>
      <c r="AL203" t="n">
        <v>60</v>
      </c>
      <c r="AM203" t="inlineStr">
        <is>
          <t>MDPI</t>
        </is>
      </c>
      <c r="AN203" t="inlineStr">
        <is>
          <t>BASEL</t>
        </is>
      </c>
      <c r="AO203" t="inlineStr">
        <is>
          <t>ST ALBAN-ANLAGE 66, CH-4052 BASEL, SWITZERLAND</t>
        </is>
      </c>
      <c r="AQ203" t="inlineStr">
        <is>
          <t>2071-1050</t>
        </is>
      </c>
      <c r="AS203" t="inlineStr">
        <is>
          <t>SUSTAINABILITY-BASEL</t>
        </is>
      </c>
      <c r="AT203" t="inlineStr">
        <is>
          <t>Sustainability</t>
        </is>
      </c>
      <c r="AU203" t="inlineStr">
        <is>
          <t>MAY</t>
        </is>
      </c>
      <c r="AV203" t="n">
        <v>2018</v>
      </c>
      <c r="AW203" t="n">
        <v>10</v>
      </c>
      <c r="AX203" t="n">
        <v>5</v>
      </c>
      <c r="BE203" t="n">
        <v>1566</v>
      </c>
      <c r="BF203" t="inlineStr">
        <is>
          <t>10.3390/su10051566</t>
        </is>
      </c>
      <c r="BG203">
        <f>HYPERLINK("http://dx.doi.org/10.3390/su10051566","http://dx.doi.org/10.3390/su10051566")</f>
        <v/>
      </c>
      <c r="BJ203" t="n">
        <v>18</v>
      </c>
      <c r="BK203" t="inlineStr">
        <is>
          <t>Green &amp; Sustainable Science &amp; Technology; Environmental Sciences; Environmental Studies</t>
        </is>
      </c>
      <c r="BL203" t="inlineStr">
        <is>
          <t>Science Citation Index Expanded (SCI-EXPANDED); Social Science Citation Index (SSCI)</t>
        </is>
      </c>
      <c r="BM203" t="inlineStr">
        <is>
          <t>Science &amp; Technology - Other Topics; Environmental Sciences &amp; Ecology</t>
        </is>
      </c>
      <c r="BN203" t="inlineStr">
        <is>
          <t>GJ7RP</t>
        </is>
      </c>
      <c r="BP203" t="inlineStr">
        <is>
          <t>gold, Green Published</t>
        </is>
      </c>
      <c r="BS203" t="inlineStr">
        <is>
          <t>2023-10-26</t>
        </is>
      </c>
      <c r="BT203" t="inlineStr">
        <is>
          <t>WOS:000435587100262</t>
        </is>
      </c>
      <c r="BU203">
        <f>HYPERLINK("https%3A%2F%2Fwww.webofscience.com%2Fwos%2Fwoscc%2Ffull-record%2FWOS:000435587100262","View Full Record in Web of Science")</f>
        <v/>
      </c>
    </row>
    <row r="204">
      <c r="A204" t="inlineStr">
        <is>
          <t>J</t>
        </is>
      </c>
      <c r="B204" t="inlineStr">
        <is>
          <t>Yu, HT</t>
        </is>
      </c>
      <c r="F204" t="inlineStr">
        <is>
          <t>Yu, Haitao</t>
        </is>
      </c>
      <c r="J204" t="inlineStr">
        <is>
          <t>JOURNAL OF COASTAL RESEARCH</t>
        </is>
      </c>
      <c r="M204" t="inlineStr">
        <is>
          <t>English</t>
        </is>
      </c>
      <c r="N204" t="inlineStr">
        <is>
          <t>Article</t>
        </is>
      </c>
      <c r="T204" t="inlineStr">
        <is>
          <t>Key Technologies for Anticorrosion and Reinforcement of Coastal Building Structures in Alkaline Environment</t>
        </is>
      </c>
      <c r="U204" t="inlineStr">
        <is>
          <t>Coastal building; alkaline environment; anticorrosion and reinforcement</t>
        </is>
      </c>
      <c r="V204" t="inlineStr">
        <is>
          <t>DIP GALVANIZED REINFORCEMENT; CORROSION PROTECTION; BOND STRENGTH; CONCRETE; STEEL; RESISTANCE; BARS</t>
        </is>
      </c>
      <c r="W204" t="inlineStr">
        <is>
          <t>The steel structure and reinforcement concrete structure have been applied in industry architecture widely. Due to the long time exposure to the alkaline environment, the corrosion of structure could not be ignored in coastal building. The following paper attempt to analysis the chemical and physical reason of structure corrosion and evaluate the broken structure strength to figure out the key technique of anti-corrosion and strengthening steel and reinforce concrete structure. Increasing cross section area, repair concrete surface, adding protection layer and enhance structure components are four key technique for anti-corrosion and structure strength, in where the carbon fiber sheet is the most effective material for component enhance.</t>
        </is>
      </c>
      <c r="X204" t="inlineStr">
        <is>
          <t>[Yu, Haitao] Jilin Inst Chem Technol, Sch Econ &amp; Management, Jilin 132022, Jilin, Peoples R China</t>
        </is>
      </c>
      <c r="Y204" t="inlineStr">
        <is>
          <t>Jilin Institute of Chemical Technology</t>
        </is>
      </c>
      <c r="Z204" t="inlineStr">
        <is>
          <t>Yu, HT (corresponding author), Jilin Inst Chem Technol, Sch Econ &amp; Management, Jilin 132022, Jilin, Peoples R China.</t>
        </is>
      </c>
      <c r="AA204" t="inlineStr">
        <is>
          <t>yuhaitao1021@jlict.edu.cn</t>
        </is>
      </c>
      <c r="AH204" t="n">
        <v>12</v>
      </c>
      <c r="AI204" t="n">
        <v>0</v>
      </c>
      <c r="AJ204" t="n">
        <v>0</v>
      </c>
      <c r="AK204" t="n">
        <v>0</v>
      </c>
      <c r="AL204" t="n">
        <v>22</v>
      </c>
      <c r="AM204" t="inlineStr">
        <is>
          <t>COASTAL EDUCATION &amp; RESEARCH FOUNDATION</t>
        </is>
      </c>
      <c r="AN204" t="inlineStr">
        <is>
          <t>COCONUT CREEK</t>
        </is>
      </c>
      <c r="AO204" t="inlineStr">
        <is>
          <t>5130 NW 54TH STREET, COCONUT CREEK, FL 33073 USA</t>
        </is>
      </c>
      <c r="AP204" t="inlineStr">
        <is>
          <t>0749-0208</t>
        </is>
      </c>
      <c r="AQ204" t="inlineStr">
        <is>
          <t>1551-5036</t>
        </is>
      </c>
      <c r="AS204" t="inlineStr">
        <is>
          <t>J COASTAL RES</t>
        </is>
      </c>
      <c r="AT204" t="inlineStr">
        <is>
          <t>J. Coast. Res.</t>
        </is>
      </c>
      <c r="AU204" t="inlineStr">
        <is>
          <t>FAL</t>
        </is>
      </c>
      <c r="AV204" t="n">
        <v>2020</v>
      </c>
      <c r="BA204" t="n">
        <v>110</v>
      </c>
      <c r="BC204" t="n">
        <v>239</v>
      </c>
      <c r="BD204" t="n">
        <v>242</v>
      </c>
      <c r="BF204" t="inlineStr">
        <is>
          <t>10.2112/JCR-SI110-057.1</t>
        </is>
      </c>
      <c r="BG204">
        <f>HYPERLINK("http://dx.doi.org/10.2112/JCR-SI110-057.1","http://dx.doi.org/10.2112/JCR-SI110-057.1")</f>
        <v/>
      </c>
      <c r="BJ204" t="n">
        <v>4</v>
      </c>
      <c r="BK204" t="inlineStr">
        <is>
          <t>Environmental Sciences; Geography, Physical; Geosciences, Multidisciplinary</t>
        </is>
      </c>
      <c r="BL204" t="inlineStr">
        <is>
          <t>Science Citation Index Expanded (SCI-EXPANDED)</t>
        </is>
      </c>
      <c r="BM204" t="inlineStr">
        <is>
          <t>Environmental Sciences &amp; Ecology; Physical Geography; Geology</t>
        </is>
      </c>
      <c r="BN204" t="inlineStr">
        <is>
          <t>NY9CO</t>
        </is>
      </c>
      <c r="BS204" t="inlineStr">
        <is>
          <t>2023-10-26</t>
        </is>
      </c>
      <c r="BT204" t="inlineStr">
        <is>
          <t>WOS:000576681900057</t>
        </is>
      </c>
      <c r="BU204">
        <f>HYPERLINK("https%3A%2F%2Fwww.webofscience.com%2Fwos%2Fwoscc%2Ffull-record%2FWOS:000576681900057","View Full Record in Web of Science")</f>
        <v/>
      </c>
    </row>
    <row r="205">
      <c r="A205" t="inlineStr">
        <is>
          <t>J</t>
        </is>
      </c>
      <c r="B205" t="inlineStr">
        <is>
          <t>Obi, NI; Obi, JSC; Okeke, FO; Nnaemeka-Okeke, RC</t>
        </is>
      </c>
      <c r="F205" t="inlineStr">
        <is>
          <t>Obi, Nicholas I.; Obi, Joy Sylvia C.; Okeke, Francis O.; Nnaemeka-Okeke, Rosemary C.</t>
        </is>
      </c>
      <c r="J205" t="inlineStr">
        <is>
          <t>EUROPEAN JOURNAL OF SUSTAINABLE DEVELOPMENT</t>
        </is>
      </c>
      <c r="M205" t="inlineStr">
        <is>
          <t>English</t>
        </is>
      </c>
      <c r="N205" t="inlineStr">
        <is>
          <t>Article</t>
        </is>
      </c>
      <c r="T205" t="inlineStr">
        <is>
          <t>Pedagogical Challenges of Architectural Education in Nigeria; Study of Curriculum Contents and Physical Learning Environment</t>
        </is>
      </c>
      <c r="U205" t="inlineStr">
        <is>
          <t>curriculum contents; architecture; global trends; learning environment; practicing graduates</t>
        </is>
      </c>
      <c r="W205" t="inlineStr">
        <is>
          <t>The current curriculum design, program and the state of the physical learning environment in the Nigerian schools of architecture seem inadequate and ineffective. The study examined the teaching of architecture in Nigerian tertiary institutions. The aim is to ascertain the state of the present curriculum contents and learning facilities. Major Challenges identified in this study include dearth of learning facilities, inability to reform the curriculum contents and limited financial resources allocation to run the schools. Also increasing unemployment for architecture graduates and unskilled nature of practicing graduates were also included. Highlighted in the discussion for necessary intervention by stakeholders of Nigerian tertiary institutions includes review and upgrading of existing curriculum, efficient time-management skills and collaborative teaching and learning techniques. For physical learning environment, literature points that a clean, bright, organized and open-plan ventilated space strengthens learning by motivation. The result from the survey carried out on physical classroom environment among students of tertiary institutions, indicates that the level of satisfaction was fairly satisfactory and that the students expressed that large halls, large corridors were the most available facilities (63.2% and 52.8% respectively). The major equipment in the classroom were whiteboards (100%), personal computers (47.2%) and digital projector or smart board (30.4%), while the available facilities for pleasant environment were attractive surroundings (100.0%). Adjustment of training methodology, improving training skills, retraining the trained, upgrading infrastructure and facilities; expansion of the curriculum and training program were recommended in order to comply with the current global trends.</t>
        </is>
      </c>
      <c r="X205" t="inlineStr">
        <is>
          <t>[Obi, Nicholas I.; Okeke, Francis O.; Nnaemeka-Okeke, Rosemary C.] Univ Nigeria, Dept Architecture, Enugu Campus, Nsukka, Nigeria; [Obi, Joy Sylvia C.] Nnamdi Azikiwe Univ, Dept Guidance &amp; Counselling, Awka, Nigeria</t>
        </is>
      </c>
      <c r="Y205" t="inlineStr">
        <is>
          <t>University of Nigeria</t>
        </is>
      </c>
      <c r="Z205" t="inlineStr">
        <is>
          <t>Okeke, FO (corresponding author), Univ Nigeria, Dept Architecture, Enugu Campus, Nsukka, Nigeria.</t>
        </is>
      </c>
      <c r="AB205" t="inlineStr">
        <is>
          <t>Okeke, Francis Ogochukwu/ABB-5399-2021</t>
        </is>
      </c>
      <c r="AC205" t="inlineStr">
        <is>
          <t>Okeke, Francis Ogochukwu/0000-0002-1948-4485</t>
        </is>
      </c>
      <c r="AH205" t="n">
        <v>34</v>
      </c>
      <c r="AI205" t="n">
        <v>0</v>
      </c>
      <c r="AJ205" t="n">
        <v>0</v>
      </c>
      <c r="AK205" t="n">
        <v>0</v>
      </c>
      <c r="AL205" t="n">
        <v>5</v>
      </c>
      <c r="AM205" t="inlineStr">
        <is>
          <t>EUROPEAN CENTER SUSTAINABLE DEVELOPMENT</t>
        </is>
      </c>
      <c r="AN205" t="inlineStr">
        <is>
          <t>ROME</t>
        </is>
      </c>
      <c r="AO205" t="inlineStr">
        <is>
          <t>VIA DEI FIORI 34, ROME, 00172, ITALY</t>
        </is>
      </c>
      <c r="AP205" t="inlineStr">
        <is>
          <t>2239-5938</t>
        </is>
      </c>
      <c r="AQ205" t="inlineStr">
        <is>
          <t>2239-6101</t>
        </is>
      </c>
      <c r="AS205" t="inlineStr">
        <is>
          <t>EUR J SUSTAIN DEV</t>
        </is>
      </c>
      <c r="AT205" t="inlineStr">
        <is>
          <t>Eur. J. Sustain. Dev.</t>
        </is>
      </c>
      <c r="AV205" t="n">
        <v>2022</v>
      </c>
      <c r="AW205" t="n">
        <v>11</v>
      </c>
      <c r="AX205" t="n">
        <v>4</v>
      </c>
      <c r="BC205" t="n">
        <v>32</v>
      </c>
      <c r="BD205" t="n">
        <v>46</v>
      </c>
      <c r="BF205" t="inlineStr">
        <is>
          <t>10.14207/ejsd.2022.v11n4p32</t>
        </is>
      </c>
      <c r="BG205">
        <f>HYPERLINK("http://dx.doi.org/10.14207/ejsd.2022.v11n4p32","http://dx.doi.org/10.14207/ejsd.2022.v11n4p32")</f>
        <v/>
      </c>
      <c r="BJ205" t="n">
        <v>15</v>
      </c>
      <c r="BK205" t="inlineStr">
        <is>
          <t>Environmental Sciences</t>
        </is>
      </c>
      <c r="BL205" t="inlineStr">
        <is>
          <t>Emerging Sources Citation Index (ESCI)</t>
        </is>
      </c>
      <c r="BM205" t="inlineStr">
        <is>
          <t>Environmental Sciences &amp; Ecology</t>
        </is>
      </c>
      <c r="BN205" t="inlineStr">
        <is>
          <t>5L6ME</t>
        </is>
      </c>
      <c r="BP205" t="inlineStr">
        <is>
          <t>gold</t>
        </is>
      </c>
      <c r="BS205" t="inlineStr">
        <is>
          <t>2023-10-26</t>
        </is>
      </c>
      <c r="BT205" t="inlineStr">
        <is>
          <t>WOS:000870524800004</t>
        </is>
      </c>
      <c r="BU205">
        <f>HYPERLINK("https%3A%2F%2Fwww.webofscience.com%2Fwos%2Fwoscc%2Ffull-record%2FWOS:000870524800004","View Full Record in Web of Science")</f>
        <v/>
      </c>
    </row>
    <row r="206">
      <c r="A206" t="inlineStr">
        <is>
          <t>J</t>
        </is>
      </c>
      <c r="B206" t="inlineStr">
        <is>
          <t>Cerin, E; Barnett, A; Wu, YT; Martino, E; Shaw, JE; Knibbs, LD; Poudel, G; Jalaludin, B; Anstey, KJ</t>
        </is>
      </c>
      <c r="F206" t="inlineStr">
        <is>
          <t>Cerin, Ester; Barnett, Anthony; Wu, Yu-Tzu; Martino, Erika; Shaw, Jonathan E.; Knibbs, Luke D.; Poudel, Govinda; Jalaludin, Bin; Anstey, Kaarin J.</t>
        </is>
      </c>
      <c r="J206" t="inlineStr">
        <is>
          <t>SCIENCE OF THE TOTAL ENVIRONMENT</t>
        </is>
      </c>
      <c r="M206" t="inlineStr">
        <is>
          <t>English</t>
        </is>
      </c>
      <c r="N206" t="inlineStr">
        <is>
          <t>Article</t>
        </is>
      </c>
      <c r="T206" t="inlineStr">
        <is>
          <t>Do neighbourhood traffic-related air pollution and socio-economic status moderate the associations of the neighbourhood physical environment with cognitive function? Findings from the AusDiab study</t>
        </is>
      </c>
      <c r="U206" t="inlineStr">
        <is>
          <t>Walkability; Greenspace; Disadvantage; Mid-aged and older adults; Memory; Processing speed</t>
        </is>
      </c>
      <c r="V206" t="inlineStr">
        <is>
          <t>OLDER-ADULTS; BUILT ENVIRONMENT; EXPOSURE; DEMENTIA; HEALTH; TIME; PARTICIPATION; IMPAIRMENT; DECLINE; BRAIN</t>
        </is>
      </c>
      <c r="W206" t="inlineStr">
        <is>
          <t>Characteristics of the neighbourhood environment, including the built and natural environment, area-level socio-economic status (SES) and air pollution, have been linked to cognitive health. However, most studies have focused on single neighbourhood characteristics and have not considered the extent to which the effects of environmental fac-tors may interact. We examined the associations of measures of the neighbourhood built and natural environment, area-level SES and traffic-related air pollution (TRAP) with two cognitive function domains (memory and processing speed), and the extent to which area-level SES and TRAP moderated the associations. We used cross-sectional data from the AusDiab3 study, an Australian cohort study of adults (mean age: 61 years) in 2011-12 (N = 4141) for which geocoded residential addresses were available. Spatial data were used to create com-posite indices of built environment complexity (population density, intersection density, non-commercial land use mix, commercial land use) and natural environment (parkland and blue spaces). Area-level SES was obtained from na-tional census indices and TRAP was based on estimates of annual average levels of nitrogen dioxide (NO2). Confounder-adjusted generalised additive mixed models were used to estimate the independent associations of the en-vironmental measures with cognitive function and the moderating effects of area-level SES and TRAP. The positive as-sociations between built environment complexity and memory were stronger in those living in areas with higher SES and lower NO2 concentrations. A positive association between the natural environment and memory was found only in those living in areas with lower NO2 concentrations and average or below-average SES. Built environment complexity and the natural environment were positively related to processing speed. Complex urban environments and access to nature may benefit cognitive health in ageing populations. For higher-order cognitive abilities, such as memory, these positive effects may be stronger in areas with lower levels of TRAP.</t>
        </is>
      </c>
      <c r="X206" t="inlineStr">
        <is>
          <t>[Cerin, Ester; Barnett, Anthony; Poudel, Govinda] Australian Catholic Univ, Mary MacKillop Inst Hlth Res, 215 Spring St, Melbourne, Vic, Australia; [Cerin, Ester] Univ Hong Kong, Sch Publ Hlth, 7 Sassoon Rd, Hong Kong, Peoples R China; [Cerin, Ester; Shaw, Jonathan E.] Baker Heart &amp; Diabet Inst, Melbourne, Vic, Australia; [Cerin, Ester] UiT Artic Univ Norway, Dept Community Med, Tromso, Norway; [Wu, Yu-Tzu] Newcastle Univ, Populat Hlth Sci Inst, Newcastle NE4 5PL, England; [Martino, Erika] Univ Melbourne, Sch Populat &amp; Global Hlth, Melbourne, Vic, Australia; [Shaw, Jonathan E.] Monash Univ, Sch Publ Hlth &amp; Prevent Med, Melbourne, Vic, Australia; [Shaw, Jonathan E.] La Trobe Univ, Sch Life Sci, Melbourne, Vic, Australia; [Knibbs, Luke D.] Univ Sydney, Sydney Sch Publ Hlth, Camperdown, NSW, Australia; [Knibbs, Luke D.] Sydney Local Hlth Dist, Publ Hlth Unit, Camperdown, NSW, Australia; [Jalaludin, Bin] Univ New South Wales, Sch Populat Hlth, Randwick, NSW, Australia; [Anstey, Kaarin J.] Univ New South Wales, Sch Psychol, Randwick, NSW, Australia; [Anstey, Kaarin J.] Neurosci Res Australia NeuRA, Sydney, Australia; [Anstey, Kaarin J.] UNSW Ageing Futures Inst, Sydney, Australia; [Cerin, Ester] Australian Catholic Univ, Mary MacKillop Inst Hlth Res, Level 5,215 Spring St, Melbourne, Vic 3000, Australia</t>
        </is>
      </c>
      <c r="Y206" t="inlineStr">
        <is>
          <t>Australian Catholic University; University of Hong Kong; Baker Heart and Diabetes Institute; UiT The Arctic University of Tromso; Newcastle University - UK; University of Melbourne; Monash University; La Trobe University; University of Sydney; University of New South Wales Sydney; University of New South Wales Sydney; Neuroscience Research Australia; Australian Catholic University</t>
        </is>
      </c>
      <c r="Z206" t="inlineStr">
        <is>
          <t>Cerin, E (corresponding author), Australian Catholic Univ, Mary MacKillop Inst Hlth Res, Level 5,215 Spring St, Melbourne, Vic 3000, Australia.</t>
        </is>
      </c>
      <c r="AA206" t="inlineStr">
        <is>
          <t>ester.cerin@acu.edu.au</t>
        </is>
      </c>
      <c r="AB206" t="inlineStr">
        <is>
          <t>Barnett, Tony P/J-7591-2014; Anstey, Kaarin/A-3852-2008</t>
        </is>
      </c>
      <c r="AC206" t="inlineStr">
        <is>
          <t>Barnett, Tony P/0000-0002-1376-6414; Anstey, Kaarin/0000-0002-9706-9316; Wu, Yu-Tzu/0000-0002-0874-4448</t>
        </is>
      </c>
      <c r="AD206" t="inlineStr">
        <is>
          <t>grant (The environment, activeliving and cognitive health: building the evidence base) from the Australian Catholic University [ACURF18]; National Health and Medical Research Council (NHMRC) [1173952, 233200, 1007544]; Australian Research Council Laureate Fellowship [FL190100011]; Australian Government Department of Health and Ageing; Abbott Australasia Pty Ltd.; Alphapharm Pty Ltd.; Amgen Australia; AstraZeneca; Bristol-Myers Squibb; City Health Centre-Diabetes Service-Canberra; Department of Health and Community Services - Northern Territory; Department of Health and Human Services-Tasmania; Department of Health-New South Wales; Department of Health-Western Australia; Department of Health-South Australia; Department of Human Services-Victoria; Diabetes Australia; Diabetes Australia Northern Territory; Eli Lilly Australia; Estate of the Late Edward Wilson; GlaxoSmithKline; JackBrockhoff Foundation; Janssen-Cilag; Kidney Health Australia; MarianFH Flack Trust; Menzies Research Institute; Merck Sharp Dohme; Novartis Pharmaceuticals; Novo Nordisk Pharmaceuticals; Pfizer Pty Ltd.; Pratt Foundation; Queensland Health; Roche Diagnostics Australia; Royal Prince Alfred Hospital, Sydney; SanofiAventis; sanofi-synthelabo; Victorian Government's OIS Program; Australian Research Council Centre of Excellence in Population Ageing Research</t>
        </is>
      </c>
      <c r="AE206" t="inlineStr">
        <is>
          <t>grant (The environment, activeliving and cognitive health: building the evidence base) from the Australian Catholic University; National Health and Medical Research Council (NHMRC)(National Health and Medical Research Council (NHMRC) of Australia); Australian Research Council Laureate Fellowship(Australian Research Council); Australian Government Department of Health and Ageing(Australian GovernmentDepartment of Health &amp; Ageing); Abbott Australasia Pty Ltd.(Abbott Laboratories); Alphapharm Pty Ltd.; Amgen Australia(Amgen); AstraZeneca(AstraZeneca); Bristol-Myers Squibb(Bristol-Myers Squibb); City Health Centre-Diabetes Service-Canberra; Department of Health and Community Services - Northern Territory; Department of Health and Human Services-Tasmania; Department of Health-New South Wales; Department of Health-Western Australia; Department of Health-South Australia; Department of Human Services-Victoria; Diabetes Australia; Diabetes Australia Northern Territory; Eli Lilly Australia(Eli Lilly); Estate of the Late Edward Wilson; GlaxoSmithKline(GlaxoSmithKline); JackBrockhoff Foundation; Janssen-Cilag(Johnson &amp; JohnsonJohnson &amp; Johnson USAJanssen Biotech Inc); Kidney Health Australia; MarianFH Flack Trust; Menzies Research Institute; Merck Sharp Dohme(Merck &amp; Company); Novartis Pharmaceuticals(Novartis); Novo Nordisk Pharmaceuticals(Novo Nordisk); Pfizer Pty Ltd.(Pfizer); Pratt Foundation; Queensland Health; Roche Diagnostics Australia; Royal Prince Alfred Hospital, Sydney(University of Sydney); SanofiAventis(Sanofi-Aventis); sanofi-synthelabo; Victorian Government's OIS Program; Australian Research Council Centre of Excellence in Population Ageing Research(Australian Research Council)</t>
        </is>
      </c>
      <c r="AF206" t="inlineStr">
        <is>
          <t>This work was supported by a program grant (The environment, activeliving and cognitive health: building the evidence base) from theAustralian Catholic University [grant number ACURF18]. Jonathan E.Shaw is supported by a National Health and Medical Research Council (NHMRC) Investigator Grant [grant number 1173952]. Kaarin J. Ansteyis funded by an Australian Research Council Laureate Fellowship [grantnumber FL190100011]. The funders had no role in study design, data anal-ysis, interpretation of the results, the decision to publish, or preparation ofthe manuscriptThe AusDiab study, initiated and coordinated by the International Dia-betes Institute, and subsequently coordinated by the Baker Heart and Dia-betes Institute, gratefully acknowledges the support and assistance givenby: B Atkins, B Balkau, E Barr, A Cameron, S Chadban, M de Courten, DDunstan, A Kavanagh, D Magliano, S Murray, N Owen, K Polkinghorne, TWelborn, P Zimmet and all the study participants.Also, for funding or logistical support, we are grateful to: National Health and Medical Research Council (NHMRC grants 233200 and 1007544), Australian Government Department of Health and Ageing, Abbott Australasia Pty Ltd., Alphapharm Pty Ltd., Amgen Australia,AstraZeneca, Bristol-Myers Squibb, City Health Centre-Diabetes Service-Canberra, Department of Health and Community Services - Northern Territory, Department of Health and Human Services-Tasmania, Department of Health-New South Wales, Department of Health-Western Australia, Department of Health-South Australia, Department of Human Services-Victoria, Diabetes Australia, Diabetes Australia Northern Territory, Eli Lilly Australia, Estate of the Late Edward Wilson, GlaxoSmithKline, JackBrockhoff Foundation, Janssen-Cilag, Kidney Health Australia, Marian&amp;FH Flack Trust, Menzies Research Institute, Merck Sharp &amp; Dohme, Novartis Pharmaceuticals, Novo Nordisk Pharmaceuticals, Pfizer Pty Ltd.,Pratt Foundation, Queensland Health, Roche Diagnostics Australia, Royal Prince Alfred Hospital, Sydney, SanofiAventis, sanofi-synthelabo, and theVictorian Government's OIS ProgramWe also acknowledge the support from the Australian Research Council Centre of Excellence in Population Ageing Research. We are grateful to Ms.Karen Biddiscombe, Dr. Yih-kai Chan, Ms. Kimberley Keates, Ms. SoniaMarchionda, Ms. Hannah Richards and Dr. Mark Symmons for assistingwith the literature searches and summaries of relevant systematic reviewscovering the various researchfields included in this study, and to Mr. DavidH. Lee for contributing to the computation of environmental data.</t>
        </is>
      </c>
      <c r="AH206" t="n">
        <v>100</v>
      </c>
      <c r="AI206" t="n">
        <v>1</v>
      </c>
      <c r="AJ206" t="n">
        <v>1</v>
      </c>
      <c r="AK206" t="n">
        <v>6</v>
      </c>
      <c r="AL206" t="n">
        <v>28</v>
      </c>
      <c r="AM206" t="inlineStr">
        <is>
          <t>ELSEVIER</t>
        </is>
      </c>
      <c r="AN206" t="inlineStr">
        <is>
          <t>AMSTERDAM</t>
        </is>
      </c>
      <c r="AO206" t="inlineStr">
        <is>
          <t>RADARWEG 29, 1043 NX AMSTERDAM, NETHERLANDS</t>
        </is>
      </c>
      <c r="AP206" t="inlineStr">
        <is>
          <t>0048-9697</t>
        </is>
      </c>
      <c r="AQ206" t="inlineStr">
        <is>
          <t>1879-1026</t>
        </is>
      </c>
      <c r="AS206" t="inlineStr">
        <is>
          <t>SCI TOTAL ENVIRON</t>
        </is>
      </c>
      <c r="AT206" t="inlineStr">
        <is>
          <t>Sci. Total Environ.</t>
        </is>
      </c>
      <c r="AU206" t="inlineStr">
        <is>
          <t>FEB 1</t>
        </is>
      </c>
      <c r="AV206" t="n">
        <v>2023</v>
      </c>
      <c r="AW206" t="n">
        <v>858</v>
      </c>
      <c r="AY206" t="n">
        <v>3</v>
      </c>
      <c r="BE206" t="n">
        <v>160028</v>
      </c>
      <c r="BF206" t="inlineStr">
        <is>
          <t>10.1016/j.scitotenv.2022.160028</t>
        </is>
      </c>
      <c r="BG206">
        <f>HYPERLINK("http://dx.doi.org/10.1016/j.scitotenv.2022.160028","http://dx.doi.org/10.1016/j.scitotenv.2022.160028")</f>
        <v/>
      </c>
      <c r="BI206" t="inlineStr">
        <is>
          <t>NOV 2022</t>
        </is>
      </c>
      <c r="BJ206" t="n">
        <v>10</v>
      </c>
      <c r="BK206" t="inlineStr">
        <is>
          <t>Environmental Sciences</t>
        </is>
      </c>
      <c r="BL206" t="inlineStr">
        <is>
          <t>Science Citation Index Expanded (SCI-EXPANDED)</t>
        </is>
      </c>
      <c r="BM206" t="inlineStr">
        <is>
          <t>Environmental Sciences &amp; Ecology</t>
        </is>
      </c>
      <c r="BN206" t="inlineStr">
        <is>
          <t>7K4BH</t>
        </is>
      </c>
      <c r="BO206" t="n">
        <v>36368384</v>
      </c>
      <c r="BS206" t="inlineStr">
        <is>
          <t>2023-10-26</t>
        </is>
      </c>
      <c r="BT206" t="inlineStr">
        <is>
          <t>WOS:000905229500006</t>
        </is>
      </c>
      <c r="BU206">
        <f>HYPERLINK("https%3A%2F%2Fwww.webofscience.com%2Fwos%2Fwoscc%2Ffull-record%2FWOS:000905229500006","View Full Record in Web of Science")</f>
        <v/>
      </c>
    </row>
    <row r="207">
      <c r="A207" t="inlineStr">
        <is>
          <t>J</t>
        </is>
      </c>
      <c r="B207" t="inlineStr">
        <is>
          <t>Zhang, SY; Wang, ZY; Helbich, M; Ettema, D</t>
        </is>
      </c>
      <c r="F207" t="inlineStr">
        <is>
          <t>Zhang, Shiyuan; Wang, Zhiyong; Helbich, Marco; Ettema, Dick</t>
        </is>
      </c>
      <c r="J207" t="inlineStr">
        <is>
          <t>INTERNATIONAL JOURNAL OF ENVIRONMENTAL HEALTH RESEARCH</t>
        </is>
      </c>
      <c r="M207" t="inlineStr">
        <is>
          <t>English</t>
        </is>
      </c>
      <c r="N207" t="inlineStr">
        <is>
          <t>Article; Early Access</t>
        </is>
      </c>
      <c r="T207" t="inlineStr">
        <is>
          <t>Assessing runners' exposure to natural and built environments in the Netherlands: A descriptive assessment based on GPS tracking</t>
        </is>
      </c>
      <c r="U207" t="inlineStr">
        <is>
          <t>Built and natural environments; running; The Netherlands</t>
        </is>
      </c>
      <c r="V207" t="inlineStr">
        <is>
          <t>PHYSICAL-ACTIVITY LEVELS; URBAN SPRAWL; LIFE-STYLE; ASSOCIATIONS; OBESITY; CHILDREN</t>
        </is>
      </c>
      <c r="W207" t="inlineStr">
        <is>
          <t>Running is a convenient physical activity that has gained popularity. However, little is known about runners' running environments and how they differ from their residential environments. To fill this gap, this study examines runners' exposure to natural and built environments along their running routes and assesses the difference between running and residential environments. We collected running track data from Endmondo, a fitness data platform, and used it to determine runners' residency. Moreover, we used open geographical data to calculate a range of environmental variables within their residential areas and along their running trajectories. We applied t-tests to assess differences across objectively measured environmental variables between urban and rural runners, considering geographic, temporal and track-specific strata. We found that the running environments of urban and rural runners were diverse and had distinct characteristics. The results suggest policies to promote running acknowledging these differences between running environments in urban and rural areas.</t>
        </is>
      </c>
      <c r="X207" t="inlineStr">
        <is>
          <t>[Zhang, Shiyuan; Helbich, Marco; Ettema, Dick] Univ Utrecht, Fac Geosci, Dept Human Geog &amp; Spatial Planning, Utrecht, Netherlands; [Wang, Zhiyong] South China Univ Technol, Sch Civil Engn &amp; Transportat, Guangzhou, Guangdong, Peoples R China; [Wang, Zhiyong] South China Univ Technol, Sch Civil Engn &amp; Transportat, Wushan 381, Guangzhou, Guangdong, Peoples R China</t>
        </is>
      </c>
      <c r="Y207" t="inlineStr">
        <is>
          <t>Utrecht University; South China University of Technology; South China University of Technology</t>
        </is>
      </c>
      <c r="Z207" t="inlineStr">
        <is>
          <t>Wang, ZY (corresponding author), South China Univ Technol, Sch Civil Engn &amp; Transportat, Wushan 381, Guangzhou, Guangdong, Peoples R China.</t>
        </is>
      </c>
      <c r="AA207" t="inlineStr">
        <is>
          <t>zwang1984@scut.edu.cn</t>
        </is>
      </c>
      <c r="AD207" t="inlineStr">
        <is>
          <t>SURFsara [40362]</t>
        </is>
      </c>
      <c r="AE207" t="inlineStr">
        <is>
          <t>SURFsara</t>
        </is>
      </c>
      <c r="AF207" t="inlineStr">
        <is>
          <t>The work was supported by the~SURFsara [40362].</t>
        </is>
      </c>
      <c r="AH207" t="n">
        <v>36</v>
      </c>
      <c r="AI207" t="n">
        <v>0</v>
      </c>
      <c r="AJ207" t="n">
        <v>0</v>
      </c>
      <c r="AK207" t="n">
        <v>6</v>
      </c>
      <c r="AL207" t="n">
        <v>6</v>
      </c>
      <c r="AM207" t="inlineStr">
        <is>
          <t>TAYLOR &amp; FRANCIS LTD</t>
        </is>
      </c>
      <c r="AN207" t="inlineStr">
        <is>
          <t>ABINGDON</t>
        </is>
      </c>
      <c r="AO207" t="inlineStr">
        <is>
          <t>2-4 PARK SQUARE, MILTON PARK, ABINGDON OR14 4RN, OXON, ENGLAND</t>
        </is>
      </c>
      <c r="AP207" t="inlineStr">
        <is>
          <t>0960-3123</t>
        </is>
      </c>
      <c r="AQ207" t="inlineStr">
        <is>
          <t>1369-1619</t>
        </is>
      </c>
      <c r="AS207" t="inlineStr">
        <is>
          <t>INT J ENVIRON HEAL R</t>
        </is>
      </c>
      <c r="AT207" t="inlineStr">
        <is>
          <t>Int. J. Environ. Health Res.</t>
        </is>
      </c>
      <c r="AU207" t="inlineStr">
        <is>
          <t>2023 MAY 31</t>
        </is>
      </c>
      <c r="AV207" t="n">
        <v>2023</v>
      </c>
      <c r="BF207" t="inlineStr">
        <is>
          <t>10.1080/09603123.2023.2212890</t>
        </is>
      </c>
      <c r="BG207">
        <f>HYPERLINK("http://dx.doi.org/10.1080/09603123.2023.2212890","http://dx.doi.org/10.1080/09603123.2023.2212890")</f>
        <v/>
      </c>
      <c r="BI207" t="inlineStr">
        <is>
          <t>MAY 2023</t>
        </is>
      </c>
      <c r="BJ207" t="n">
        <v>20</v>
      </c>
      <c r="BK207" t="inlineStr">
        <is>
          <t>Environmental Sciences; Public, Environmental &amp; Occupational Health</t>
        </is>
      </c>
      <c r="BL207" t="inlineStr">
        <is>
          <t>Science Citation Index Expanded (SCI-EXPANDED)</t>
        </is>
      </c>
      <c r="BM207" t="inlineStr">
        <is>
          <t>Environmental Sciences &amp; Ecology; Public, Environmental &amp; Occupational Health</t>
        </is>
      </c>
      <c r="BN207" t="inlineStr">
        <is>
          <t>H9FL8</t>
        </is>
      </c>
      <c r="BO207" t="n">
        <v>37248711</v>
      </c>
      <c r="BS207" t="inlineStr">
        <is>
          <t>2023-10-26</t>
        </is>
      </c>
      <c r="BT207" t="inlineStr">
        <is>
          <t>WOS:000998933200001</t>
        </is>
      </c>
      <c r="BU207">
        <f>HYPERLINK("https%3A%2F%2Fwww.webofscience.com%2Fwos%2Fwoscc%2Ffull-record%2FWOS:000998933200001","View Full Record in Web of Science")</f>
        <v/>
      </c>
    </row>
    <row r="208">
      <c r="A208" t="inlineStr">
        <is>
          <t>J</t>
        </is>
      </c>
      <c r="B208" t="inlineStr">
        <is>
          <t>Pinheiro, MD; Luís, NC</t>
        </is>
      </c>
      <c r="F208" t="inlineStr">
        <is>
          <t>Pinheiro, Manuel Duarte; Luis, Nuno Cardoso</t>
        </is>
      </c>
      <c r="J208" t="inlineStr">
        <is>
          <t>SUSTAINABILITY</t>
        </is>
      </c>
      <c r="M208" t="inlineStr">
        <is>
          <t>English</t>
        </is>
      </c>
      <c r="N208" t="inlineStr">
        <is>
          <t>Review</t>
        </is>
      </c>
      <c r="T208" t="inlineStr">
        <is>
          <t>COVID-19 Could Leverage a Sustainable Built Environment</t>
        </is>
      </c>
      <c r="U208" t="inlineStr">
        <is>
          <t>COVID-19; infection risks; built environment; buildings; urban areas; resilience; sustainability</t>
        </is>
      </c>
      <c r="V208" t="inlineStr">
        <is>
          <t>PUBLIC-HEALTH; URBANIZATION; DEATH; SARS</t>
        </is>
      </c>
      <c r="W208" t="inlineStr">
        <is>
          <t>The health system's response to the COVID-19 pandemic has involved research into diagnoses and vaccines, but primarily it has required specific treatments, facilities and equipment, together with the control of individual behaviour and a period of collective confinement. The aim of this particular research, therefore, is to discover whether COVID-19 is capable of changing the built environment (BE) and leveraging specific solutions for sustainable buildings or urban areas. Some historical reviews of infectious pandemics have highlighted the development of new solutions in the BE as an additional contribution towards preventing the spread of infection. The BE has an important role to play in supporting public health measures and reducing the risk of infections. The review of potential COVID-19 measures shows the existence of well-referenced solutions, ranging from incremental alterations (organisation of spaces, erection of physical barriers) to structural alterations (windows, balconies) with different timeframes and scales (ranging from changes in building materials to the design of urban areas). A critical exploratory assessment makes it possible to identify measures that may help not only to reduce the risk of COVID-19 transmission (or even prevent it), but also to increase resilience, improve air quality and lower energy requirements or the use of materials, and thus potentially increase the sustainability of the BE. COVID-19 measures challenge us to rethink buildings and urban areas and potentially leverage sustainable BE solutions with win-win outcomes (minimalist design and other solutions). The specific composition of this set of measures must, however, be further researched.</t>
        </is>
      </c>
      <c r="X208" t="inlineStr">
        <is>
          <t>[Pinheiro, Manuel Duarte; Luis, Nuno Cardoso] Univ Lisbon, CERIS, Tecn, Av Rovisco Pais 1, P-1049001 Lisbon, Portugal</t>
        </is>
      </c>
      <c r="Y208" t="inlineStr">
        <is>
          <t>Universidade de Lisboa</t>
        </is>
      </c>
      <c r="Z208" t="inlineStr">
        <is>
          <t>Pinheiro, MD (corresponding author), Univ Lisbon, CERIS, Tecn, Av Rovisco Pais 1, P-1049001 Lisbon, Portugal.</t>
        </is>
      </c>
      <c r="AA208" t="inlineStr">
        <is>
          <t>manuel.pinheiro@tecnico.ulisboa.pt; nunoluis@tecnico.ulisboa.pt</t>
        </is>
      </c>
      <c r="AB208" t="inlineStr">
        <is>
          <t>Pinheiro, Manuel/E-1860-2013</t>
        </is>
      </c>
      <c r="AC208" t="inlineStr">
        <is>
          <t>Pinheiro, Manuel/0000-0001-5963-8947</t>
        </is>
      </c>
      <c r="AH208" t="n">
        <v>95</v>
      </c>
      <c r="AI208" t="n">
        <v>70</v>
      </c>
      <c r="AJ208" t="n">
        <v>70</v>
      </c>
      <c r="AK208" t="n">
        <v>3</v>
      </c>
      <c r="AL208" t="n">
        <v>51</v>
      </c>
      <c r="AM208" t="inlineStr">
        <is>
          <t>MDPI</t>
        </is>
      </c>
      <c r="AN208" t="inlineStr">
        <is>
          <t>BASEL</t>
        </is>
      </c>
      <c r="AO208" t="inlineStr">
        <is>
          <t>ST ALBAN-ANLAGE 66, CH-4052 BASEL, SWITZERLAND</t>
        </is>
      </c>
      <c r="AQ208" t="inlineStr">
        <is>
          <t>2071-1050</t>
        </is>
      </c>
      <c r="AS208" t="inlineStr">
        <is>
          <t>SUSTAINABILITY-BASEL</t>
        </is>
      </c>
      <c r="AT208" t="inlineStr">
        <is>
          <t>Sustainability</t>
        </is>
      </c>
      <c r="AU208" t="inlineStr">
        <is>
          <t>JUL</t>
        </is>
      </c>
      <c r="AV208" t="n">
        <v>2020</v>
      </c>
      <c r="AW208" t="n">
        <v>12</v>
      </c>
      <c r="AX208" t="n">
        <v>14</v>
      </c>
      <c r="BE208" t="n">
        <v>5863</v>
      </c>
      <c r="BF208" t="inlineStr">
        <is>
          <t>10.3390/su12145863</t>
        </is>
      </c>
      <c r="BG208">
        <f>HYPERLINK("http://dx.doi.org/10.3390/su12145863","http://dx.doi.org/10.3390/su12145863")</f>
        <v/>
      </c>
      <c r="BJ208" t="n">
        <v>27</v>
      </c>
      <c r="BK208" t="inlineStr">
        <is>
          <t>Green &amp; Sustainable Science &amp; Technology; Environmental Sciences; Environmental Studies</t>
        </is>
      </c>
      <c r="BL208" t="inlineStr">
        <is>
          <t>Science Citation Index Expanded (SCI-EXPANDED); Social Science Citation Index (SSCI)</t>
        </is>
      </c>
      <c r="BM208" t="inlineStr">
        <is>
          <t>Science &amp; Technology - Other Topics; Environmental Sciences &amp; Ecology</t>
        </is>
      </c>
      <c r="BN208" t="inlineStr">
        <is>
          <t>MU8PY</t>
        </is>
      </c>
      <c r="BP208" t="inlineStr">
        <is>
          <t>gold, Green Submitted</t>
        </is>
      </c>
      <c r="BS208" t="inlineStr">
        <is>
          <t>2023-10-26</t>
        </is>
      </c>
      <c r="BT208" t="inlineStr">
        <is>
          <t>WOS:000555930700001</t>
        </is>
      </c>
      <c r="BU208">
        <f>HYPERLINK("https%3A%2F%2Fwww.webofscience.com%2Fwos%2Fwoscc%2Ffull-record%2FWOS:000555930700001","View Full Record in Web of Science")</f>
        <v/>
      </c>
    </row>
    <row r="209">
      <c r="A209" t="inlineStr">
        <is>
          <t>J</t>
        </is>
      </c>
      <c r="B209" t="inlineStr">
        <is>
          <t>Ferrari, G; Werneck, AO; da Silva, DR; Kovalskys, I; Gómez, G; Rigotti, A; Sanabria, LYC; García, MCY; Pareja, RG; Herrera-Cuenca, M; Zimberg, IZ; Guajardo, V; Pratt, M; Bolados, CC; Saldía, EJ; Pires, C; Marques, A; Peralta, M; de Victo, ER; Fisberg, M</t>
        </is>
      </c>
      <c r="F209" t="inlineStr">
        <is>
          <t>Ferrari, Gerson; Oliveira Werneck, Andre; Rodrigues da Silva, Danilo; Kovalskys, Irina; Gomez, Georgina; Rigotti, Attilio; Yadira Cortes Sanabria, Lilia; Garcia, Martha Cecilia Yepez; Pareja, Rossina G.; Herrera-Cuenca, Marianella; Zimberg, Iona Zalcman; Guajardo, Viviana; Pratt, Michael; Cofre Bolados, Cristian; Saldia, Emilio Jofre; Pires, Carlos; Marques, Adilson; Peralta, Miguel; Rossato de Victo, Eduardo; Fisberg, Mauro</t>
        </is>
      </c>
      <c r="J209" t="inlineStr">
        <is>
          <t>INTERNATIONAL JOURNAL OF ENVIRONMENTAL RESEARCH AND PUBLIC HEALTH</t>
        </is>
      </c>
      <c r="M209" t="inlineStr">
        <is>
          <t>English</t>
        </is>
      </c>
      <c r="N209" t="inlineStr">
        <is>
          <t>Article</t>
        </is>
      </c>
      <c r="T209" t="inlineStr">
        <is>
          <t>Association between Perceived Neighborhood Built Environment and Walking and Cycling for Transport among Inhabitants from Latin America: The ELANS Study</t>
        </is>
      </c>
      <c r="U209" t="inlineStr">
        <is>
          <t>transport physical activity; walking; cycling; neighborhood built environment; Latin America</t>
        </is>
      </c>
      <c r="V209" t="inlineStr">
        <is>
          <t>PHYSICAL-ACTIVITY QUESTIONNAIRE; POPULATION HEALTH; ACTIVE TRAVEL; LOW-INCOME; TIME; ACCESSIBILITY; PERCEPTIONS; RELIABILITY; VALIDITY; SAFETY</t>
        </is>
      </c>
      <c r="W209" t="inlineStr">
        <is>
          <t>Purpose: This study aimed to examine the associations of the perceived neighborhood built environment with walking and cycling for transport in inhabitants from Latin American countries. Methods: This cross-sectional study involved 9218 participants (15-65 years) from the Latin American Study of Nutrition and Health, which included a nationally representative sample of eight countries. All participants completed the International Physical Activity Questionnaire-Long Form for measure walking and cycling for transport and the Neighborhood Environment Walkability Scale-Abbreviated. Furthermore, perceived proximity from home to public open spaces and shopping centers was assessed. Results: Perceived land use mix-access (OR: 1.32; 95%CI: 1.16,1.50) and the existence of many alternative routes in the neighbourhood (1.09 1.01,1.17) were associated with higher odds of reporting any walking for transport (&gt;= 10 min/week). Perceived slow speed of traffic (1.88 1.82,1.93) and few drivers exceeding the speed limits (1.92; 1.86,1.98) were also related to higher odds of reporting any walking for transport. The odds of reporting any cycling for transport (&gt;= 10 min/week) were higher in participants perceiving more walking/cycling facilities (1.87 1.76,1.99), and better aesthetics (1.22 1.09,1.38). Conclusions: Dissimilar perceived neighborhood built environment characteristics were associated with walking and cycling for transport among inhabitants from Latin America.</t>
        </is>
      </c>
      <c r="X209" t="inlineStr">
        <is>
          <t>[Ferrari, Gerson; Cofre Bolados, Cristian; Saldia, Emilio Jofre] Univ Santiago Chile, Fac Ciencias Med, Lab Ciencias Act Fis Deporte &amp; Salud, Santiago 7500618, Chile; [Oliveira Werneck, Andre] Univ Sao Paulo, Sch Publ Hlth, Dept Nutr, BR-01246904 Sao Paulo, Brazil; [Rodrigues da Silva, Danilo] Fed Univ Sergipe UFS, Dept Phys Educ, BR-49100000 Sao Cristovao, Brazil; [Kovalskys, Irina] Pontificia Univ Catolica Argentina, Fac Ciencias Med, Carrera Nutr, C1107 AAZ, Buenos Aires, DF, Argentina; [Gomez, Georgina] Univ Costa Rica, Dept Bioquim, Escuela Med, San Jose 115012060, Costa Rica; [Rigotti, Attilio] Pontificia Univ Catolica, Dept Nutr Diabet &amp; Metab, Ctr Nutr Mol &amp; Enfermedades Cron, Escuela Med, Santiago 8330024, Chile; [Yadira Cortes Sanabria, Lilia] Pontificia Univ Javeriana, Dept Nutr &amp; Bioquim, Bogota 110231, Colombia; [Garcia, Martha Cecilia Yepez] Univ San Francisco Quito, Colegio Ciencias Salud, Quito 171200841, Ecuador; [Pareja, Rossina G.] Inst Invest Nutr, Lima 15026, Peru; [Herrera-Cuenca, Marianella] Univ Cent Venezuela CENDES UCV Fdn Bengoa, Ctr Estudios Desarrollo, Caracas 1053, Venezuela; [Zimberg, Iona Zalcman] Univ Fed Sao Paulo, Dept Psicobiol, BR-04023062 Sao Paulo, Brazil; [Guajardo, Viviana] Int Life Sci Inst ILSI Argentina, Nutr Hlth &amp; Wellbeing Area, Santa Fe Ave 1145,C1059ABF, Caba, Argentina; [Pratt, Michael] Univ Calif San Diego, Inst Publ Hlth, La Jolla, CA 92093 USA; [Cofre Bolados, Cristian] Univ Santo Tomas Santiago Chile, Inst Ciencias Deporte, Fac Salud, Escuela Ciencias Deporte &amp; Act Fis, Santiago 5520540, Chile; [Pires, Carlos] Univ Coimbra, Fac Psychol &amp; Educ Sci, Ctr Res Neuropsychol &amp; Cognit &amp; Behav Intervent C, P-3000115 Coimbra, Portugal; [Marques, Adilson; Peralta, Miguel] Univ Lisbon, CIPER, Fac Motricidade Humana, P-1499002 Lisbon, Portugal; [Marques, Adilson; Peralta, Miguel] Univ Lisbon, ISAMB, Fac Med, P-1649028 Lisbon, Portugal; [Rossato de Victo, Eduardo; Fisberg, Mauro] Univ Fed Sao Paulo, Dept Pediat, BR-04023061 Sao Paulo, Brazil; [Fisberg, Mauro] Hosp Infantil Sabara, Inst Pensi, Fundacao Jose Luiz Egydio Setubal, BR-01227200 Sao Paulo, Brazil</t>
        </is>
      </c>
      <c r="Y209" t="inlineStr">
        <is>
          <t>Universidad de Santiago de Chile; Universidade de Sao Paulo; Pontificia Universidad Catolica Argentina; Universidad Costa Rica; Pontificia Universidad Catolica de Chile; Pontificia Universidad Javeriana; Universidade Federal de Sao Paulo (UNIFESP); Public Health Institute; University of California System; University of California San Diego; Universidade de Coimbra; Universidade de Lisboa; Universidade de Lisboa; Universidade Federal de Sao Paulo (UNIFESP)</t>
        </is>
      </c>
      <c r="Z209" t="inlineStr">
        <is>
          <t>Ferrari, G (corresponding author), Univ Santiago Chile, Fac Ciencias Med, Lab Ciencias Act Fis Deporte &amp; Salud, Santiago 7500618, Chile.</t>
        </is>
      </c>
      <c r="AA209" t="inlineStr">
        <is>
          <t>gerson.demoraes@usach.cl; andreowerneck@gmail.com; danilorpsilva@gmail.com; ikovalskys@gmail.com; georgina.gomez@ucr.ac.cr; arigotti@med.puc.cl; ycortes@javeriana.edu.co; myepez@usfq.edu.ec; rpareja@iin.sld.pe; manyma@gmail.com; iona.zimberg@gmail.com; viviana.guajardo@comunidad.ub.edu.ar; mipratt@health.ucsd.edu; cristian.cofre@usach.cl; emilio.jofre.s@usach.cl; carlosandrepires@gmail.com; adncmpt@gmail.com; miguel.peralta14@gmail.com; eduardorossato93@gmail.com; mauro.fisberg@gmail.com</t>
        </is>
      </c>
      <c r="AB209" t="inlineStr">
        <is>
          <t>Pires, Carlos/N-9271-2014; Ferrari, Gerson/ABG-6635-2021; Peralta, Miguel/H-1666-2017; da Silva, Danilo Rodrigues Pereira/E-3747-2018; Ferrari, Gerson/HHM-6173-2022; Fisberg, Mauro/E-7149-2010; de Oliveira Werneck, André/N-5006-2016; Marques, Adilson/K-4529-2014; Pareja, Rossina/D-9892-2018</t>
        </is>
      </c>
      <c r="AC209" t="inlineStr">
        <is>
          <t>Pires, Carlos/0000-0001-9190-1119; Ferrari, Gerson/0000-0003-3177-6576; Peralta, Miguel/0000-0001-6072-6012; da Silva, Danilo Rodrigues Pereira/0000-0003-3995-4795; Ferrari, Gerson/0000-0003-3177-6576; Fisberg, Mauro/0000-0003-2992-3215; de Oliveira Werneck, André/0000-0002-9166-4376; Marques, Adilson/0000-0001-9850-7771; Cortes, Lilia Yadira/0000-0003-2789-3219; Pareja, Rossina/0000-0001-7523-3181; Rossato de Victo, Eduardo/0000-0002-4409-741X; Yepez, Martha Cecilia/0000-0003-4119-238X; Gomez, Georgina/0000-0003-3514-2984</t>
        </is>
      </c>
      <c r="AD209" t="inlineStr">
        <is>
          <t>Coca Cola Company; Instituto Pensi/Hospital Infantil Sabara; International Life Science Institute of Argentina; Universidad de Costa Rica; Pontificia Universidad Catolica de Chile; Pontificia Universidad Javeriana; Universidad Central de Venezuela (CENDES-UCV)/Fundacion Bengoa; Universidad San Francisco de Quito; Instituto de Investigacion Nutricional de Peru; Sao Paulo Research Foundation (FAPESP) [2019/24124-7]</t>
        </is>
      </c>
      <c r="AE209" t="inlineStr">
        <is>
          <t>Coca Cola Company; Instituto Pensi/Hospital Infantil Sabara; International Life Science Institute of Argentina; Universidad de Costa Rica; Pontificia Universidad Catolica de Chile; Pontificia Universidad Javeriana; Universidad Central de Venezuela (CENDES-UCV)/Fundacion Bengoa; Universidad San Francisco de Quito; Instituto de Investigacion Nutricional de Peru; Sao Paulo Research Foundation (FAPESP)(Fundacao de Amparo a Pesquisa do Estado de Sao Paulo (FAPESP))</t>
        </is>
      </c>
      <c r="AF209" t="inlineStr">
        <is>
          <t>Fieldwork and data analysis compromised in ELANS protocol was supported by a scientific grant from the Coca Cola Company, and by grant and/or support from Instituto Pensi/Hospital Infantil Sabara, International Life Science Institute of Argentina, Universidad de Costa Rica, Pontificia Universidad Catolica de Chile, Pontificia Universidad Javeriana, Universidad Central de Venezuela (CENDES-UCV)/Fundacion Bengoa, Universidad San Francisco de Quito, and Instituto de Investigacion Nutricional de Peru. Andre Werneck is supported by the Sao Paulo Research Foundation (FAPESP) with a PhDscholarship (FAPESP process: 2019/24124-7). This paper presents independent research. The views expressed in this publication are those of the authors and not necessarily those of the acknowledged institutions. The funding sponsors had no role in study design; the collection, analyses, or interpretation of data; writing of the manuscript; or in the decision to publish the results.</t>
        </is>
      </c>
      <c r="AH209" t="n">
        <v>57</v>
      </c>
      <c r="AI209" t="n">
        <v>10</v>
      </c>
      <c r="AJ209" t="n">
        <v>10</v>
      </c>
      <c r="AK209" t="n">
        <v>3</v>
      </c>
      <c r="AL209" t="n">
        <v>29</v>
      </c>
      <c r="AM209" t="inlineStr">
        <is>
          <t>MDPI</t>
        </is>
      </c>
      <c r="AN209" t="inlineStr">
        <is>
          <t>BASEL</t>
        </is>
      </c>
      <c r="AO209" t="inlineStr">
        <is>
          <t>ST ALBAN-ANLAGE 66, CH-4052 BASEL, SWITZERLAND</t>
        </is>
      </c>
      <c r="AQ209" t="inlineStr">
        <is>
          <t>1660-4601</t>
        </is>
      </c>
      <c r="AS209" t="inlineStr">
        <is>
          <t>INT J ENV RES PUB HE</t>
        </is>
      </c>
      <c r="AT209" t="inlineStr">
        <is>
          <t>Int. J. Environ. Res. Public Health</t>
        </is>
      </c>
      <c r="AU209" t="inlineStr">
        <is>
          <t>SEP</t>
        </is>
      </c>
      <c r="AV209" t="n">
        <v>2020</v>
      </c>
      <c r="AW209" t="n">
        <v>17</v>
      </c>
      <c r="AX209" t="n">
        <v>18</v>
      </c>
      <c r="BE209" t="n">
        <v>6858</v>
      </c>
      <c r="BF209" t="inlineStr">
        <is>
          <t>10.3390/ijerph17186858</t>
        </is>
      </c>
      <c r="BG209">
        <f>HYPERLINK("http://dx.doi.org/10.3390/ijerph17186858","http://dx.doi.org/10.3390/ijerph17186858")</f>
        <v/>
      </c>
      <c r="BJ209" t="n">
        <v>19</v>
      </c>
      <c r="BK209" t="inlineStr">
        <is>
          <t>Environmental Sciences; Public, Environmental &amp; Occupational Health</t>
        </is>
      </c>
      <c r="BL209" t="inlineStr">
        <is>
          <t>Science Citation Index Expanded (SCI-EXPANDED); Social Science Citation Index (SSCI)</t>
        </is>
      </c>
      <c r="BM209" t="inlineStr">
        <is>
          <t>Environmental Sciences &amp; Ecology; Public, Environmental &amp; Occupational Health</t>
        </is>
      </c>
      <c r="BN209" t="inlineStr">
        <is>
          <t>OD7KB</t>
        </is>
      </c>
      <c r="BO209" t="n">
        <v>32961771</v>
      </c>
      <c r="BP209" t="inlineStr">
        <is>
          <t>gold, Green Published</t>
        </is>
      </c>
      <c r="BS209" t="inlineStr">
        <is>
          <t>2023-10-26</t>
        </is>
      </c>
      <c r="BT209" t="inlineStr">
        <is>
          <t>WOS:000580026900001</t>
        </is>
      </c>
      <c r="BU209">
        <f>HYPERLINK("https%3A%2F%2Fwww.webofscience.com%2Fwos%2Fwoscc%2Ffull-record%2FWOS:000580026900001","View Full Record in Web of Science")</f>
        <v/>
      </c>
    </row>
    <row r="210">
      <c r="A210" t="inlineStr">
        <is>
          <t>J</t>
        </is>
      </c>
      <c r="B210" t="inlineStr">
        <is>
          <t>Hinojosa, AMO; MacLeod, KE; Balmes, J; Jerrett, M</t>
        </is>
      </c>
      <c r="F210" t="inlineStr">
        <is>
          <t>Hinojosa, Alberto M. Ortega; MacLeod, Kara E.; Balmes, John; Jerrett, Michael</t>
        </is>
      </c>
      <c r="J210" t="inlineStr">
        <is>
          <t>ENVIRONMENTAL RESEARCH</t>
        </is>
      </c>
      <c r="M210" t="inlineStr">
        <is>
          <t>English</t>
        </is>
      </c>
      <c r="N210" t="inlineStr">
        <is>
          <t>Article</t>
        </is>
      </c>
      <c r="T210" t="inlineStr">
        <is>
          <t>Influence of school environments on childhood obesity in California</t>
        </is>
      </c>
      <c r="U210" t="inlineStr">
        <is>
          <t>Obesity; Schools; Built environment; Social environment; Surveillance</t>
        </is>
      </c>
      <c r="V210" t="inlineStr">
        <is>
          <t>BODY-MASS INDEX; AIR-POLLUTION; PHYSICAL-ACTIVITY; UNITED-STATES; US CHILDREN; OVERWEIGHT; ADOLESCENTS; PREVALENCE; INTERVENTIONS; NEIGHBORHOOD</t>
        </is>
      </c>
      <c r="W210" t="inlineStr">
        <is>
          <t>Objective: To conduct a state-wide examination of public schools and the school neighborhood as potential targets for environmental public health tracking to address childhood obesity. Methods: We examined the relationship of social and physical environmental attributes of the school environment (within school and neighborhood) and childhood obesity in California with machine learning (Random Forest) and multilevel methods. We used data compiled from the California Department of Education, the U.S. Geological Survey, ESRI's Business Analyst, the U.S. Census, and other public sources for ecologic level variables for various years and assessed their relative importance to obesity as determined from the statewide Physical Fitness Test 2003 through 2007 for grades 5, 7, and 9 (n = 5,265,265). Results: In addition to individual-level race and gender, the following within and school neighborhood variables ranked as the most important model contributors based on the Random Forest analysis and were included in multilevel regressions clustered on the county. Violent crime, English learners, socioeconomic disadvantage, fewer physical education (PE) and fully credentialed teachers, and diversity index were positively associated with obesity while academic performance index, PE participation, mean educational attainment and per capita income were negatively associated with obesity. The most highly ranked built or physical environment variables were distance to the nearest highway and greenness, which were 10th and 11th most important, respectively. Conclusions: Many states in the U.S. do not have school-based surveillance programs that collect body mass index data. System-level determinants of obesity can be important for tracking and intervention. The results of these analyses suggest that the school social environment factors may be especially important. Disadvantaged and low academic performing schools have a higher risk for obesity. Supporting such schools in a targeted way may be an efficient way to intervene and could impact both health and academic outcomes. Some of the more important variables, such as having credentialed teachers and participating in PE, are modifiable risk factors.</t>
        </is>
      </c>
      <c r="X210" t="inlineStr">
        <is>
          <t>[Hinojosa, Alberto M. Ortega; Balmes, John; Jerrett, Michael] Univ Calif Berkeley, Sch Publ Hlth, Berkeley, CA 94720 USA; [Hinojosa, Alberto M. Ortega] IMPAQ Int LLC, Oakland, CA 94612 USA; [MacLeod, Kara E.; Jerrett, Michael] Univ Calif Los Angeles, Fielding Sch Publ Hlth, Los Angeles, CA 90095 USA</t>
        </is>
      </c>
      <c r="Y210" t="inlineStr">
        <is>
          <t>University of California System; University of California Berkeley; American Institutes for Research; University of California System; University of California Los Angeles</t>
        </is>
      </c>
      <c r="Z210" t="inlineStr">
        <is>
          <t>Jerrett, M (corresponding author), Univ Calif Los Angeles, Dept Environm Hlth Sci, Ctr Occupat &amp; Environm Hlth, Fielding Sch Publ Hlth, 650 Charles E Young Dr S,Rm 56-070 CHS, Los Angeles, CA 90095 USA.</t>
        </is>
      </c>
      <c r="AA210" t="inlineStr">
        <is>
          <t>mjerrett@ucla.edu</t>
        </is>
      </c>
      <c r="AB210" t="inlineStr">
        <is>
          <t>Jerrett, Michael/CAA-2482-2022; Balmes, John/L-6281-2019</t>
        </is>
      </c>
      <c r="AC210" t="inlineStr">
        <is>
          <t>MacLeod, Kara/0000-0003-0971-3288</t>
        </is>
      </c>
      <c r="AD210" t="inlineStr">
        <is>
          <t>U.S. Centers for Disease Control and Prevention [200-2010-37394]</t>
        </is>
      </c>
      <c r="AE210" t="inlineStr">
        <is>
          <t>U.S. Centers for Disease Control and Prevention(United States Department of Health &amp; Human ServicesCenters for Disease Control &amp; Prevention - USA)</t>
        </is>
      </c>
      <c r="AF210" t="inlineStr">
        <is>
          <t>This work was supported by the U.S. Centers for Disease Control and Prevention (award 200-2010-37394: A Multilevel Geographic Model for Environmental Public Health Tracking). This work is the sole responsibility of the authors and does not necessarily reflect the viewpoint of the U.S. Centers for Disease Control and Prevention.</t>
        </is>
      </c>
      <c r="AH210" t="n">
        <v>40</v>
      </c>
      <c r="AI210" t="n">
        <v>22</v>
      </c>
      <c r="AJ210" t="n">
        <v>22</v>
      </c>
      <c r="AK210" t="n">
        <v>2</v>
      </c>
      <c r="AL210" t="n">
        <v>60</v>
      </c>
      <c r="AM210" t="inlineStr">
        <is>
          <t>ACADEMIC PRESS INC ELSEVIER SCIENCE</t>
        </is>
      </c>
      <c r="AN210" t="inlineStr">
        <is>
          <t>SAN DIEGO</t>
        </is>
      </c>
      <c r="AO210" t="inlineStr">
        <is>
          <t>525 B ST, STE 1900, SAN DIEGO, CA 92101-4495 USA</t>
        </is>
      </c>
      <c r="AP210" t="inlineStr">
        <is>
          <t>0013-9351</t>
        </is>
      </c>
      <c r="AQ210" t="inlineStr">
        <is>
          <t>1096-0953</t>
        </is>
      </c>
      <c r="AS210" t="inlineStr">
        <is>
          <t>ENVIRON RES</t>
        </is>
      </c>
      <c r="AT210" t="inlineStr">
        <is>
          <t>Environ. Res.</t>
        </is>
      </c>
      <c r="AU210" t="inlineStr">
        <is>
          <t>OCT</t>
        </is>
      </c>
      <c r="AV210" t="n">
        <v>2018</v>
      </c>
      <c r="AW210" t="n">
        <v>166</v>
      </c>
      <c r="BC210" t="n">
        <v>100</v>
      </c>
      <c r="BD210" t="n">
        <v>107</v>
      </c>
      <c r="BF210" t="inlineStr">
        <is>
          <t>10.1016/j.envres.2018.04.022</t>
        </is>
      </c>
      <c r="BG210">
        <f>HYPERLINK("http://dx.doi.org/10.1016/j.envres.2018.04.022","http://dx.doi.org/10.1016/j.envres.2018.04.022")</f>
        <v/>
      </c>
      <c r="BJ210" t="n">
        <v>8</v>
      </c>
      <c r="BK210" t="inlineStr">
        <is>
          <t>Environmental Sciences; Public, Environmental &amp; Occupational Health</t>
        </is>
      </c>
      <c r="BL210" t="inlineStr">
        <is>
          <t>Science Citation Index Expanded (SCI-EXPANDED); Social Science Citation Index (SSCI)</t>
        </is>
      </c>
      <c r="BM210" t="inlineStr">
        <is>
          <t>Environmental Sciences &amp; Ecology; Public, Environmental &amp; Occupational Health</t>
        </is>
      </c>
      <c r="BN210" t="inlineStr">
        <is>
          <t>GU5IC</t>
        </is>
      </c>
      <c r="BO210" t="n">
        <v>29883903</v>
      </c>
      <c r="BS210" t="inlineStr">
        <is>
          <t>2023-10-26</t>
        </is>
      </c>
      <c r="BT210" t="inlineStr">
        <is>
          <t>WOS:000445318200013</t>
        </is>
      </c>
      <c r="BU210">
        <f>HYPERLINK("https%3A%2F%2Fwww.webofscience.com%2Fwos%2Fwoscc%2Ffull-record%2FWOS:000445318200013","View Full Record in Web of Science")</f>
        <v/>
      </c>
    </row>
    <row r="211">
      <c r="A211" t="inlineStr">
        <is>
          <t>J</t>
        </is>
      </c>
      <c r="B211" t="inlineStr">
        <is>
          <t>Wallmann-Sperlich, B; Froboese, I; Schantz, P</t>
        </is>
      </c>
      <c r="F211" t="inlineStr">
        <is>
          <t>Wallmann-Sperlich, Birgit; Froboese, Ingo; Schantz, Peter</t>
        </is>
      </c>
      <c r="J211" t="inlineStr">
        <is>
          <t>INTERNATIONAL JOURNAL OF ENVIRONMENTAL RESEARCH AND PUBLIC HEALTH</t>
        </is>
      </c>
      <c r="M211" t="inlineStr">
        <is>
          <t>English</t>
        </is>
      </c>
      <c r="N211" t="inlineStr">
        <is>
          <t>Article</t>
        </is>
      </c>
      <c r="T211" t="inlineStr">
        <is>
          <t>Physical Activity and the Perceived Neighbourhood Environment - Looking at the Association the Other Way Around</t>
        </is>
      </c>
      <c r="U211" t="inlineStr">
        <is>
          <t>physical activity; perceived physical environment; sex; association; socio-demographic; correlates; Europe; Germany; transport-related physical activity; recreation-related physical activity</t>
        </is>
      </c>
      <c r="V211" t="inlineStr">
        <is>
          <t>ACTIVITY QUESTIONNAIRE; BUILT ENVIRONMENT; WALKING; ADULTS</t>
        </is>
      </c>
      <c r="W211" t="inlineStr">
        <is>
          <t>The association between physical activity (PA) and variables of the perceived environment mainly originate from cross-sectional studies that introduced the idea that the environment influences the PA level of residents. However, the direction of cause and effect has not been solved with finality. The aim of this study was to investigate whether residents' perception of their proximate environment differs depending on their level of PA in transport and recreation. We conducted a cross-sectional survey with residents of six different parts of the city of Cologne, Germany. The sample of 470 adults (52.8% females; mean age = 35.5 +/- 13.8 years) filled in the Global Physical Activity Questionnaire (GPAQ), as well as the European Environmental Questionnaire ALPHA. To distinguish between residents with low and high PA, we split the samples into two on the basis of the specific median in transport-and recreation-related PA. In the high vs. low PA group of the overall sample, we noted 4%-16% more PA favourable environmental perceptions in seven of the 15 environmental variables. Multiple linear regression analyses were performed to investigate associations of socio-demographic correlates and transport- and recreation-related PA on the dependent variables of the environmental perception. In this case, levels of PA were significant predictors for eight of the 15 items concerning environmental perceptions. Thus, the present study introduces the idea that residents with higher levels of transport and recreational PA may perceive their environment in a more PA-favourable way than residents with lower levels.</t>
        </is>
      </c>
      <c r="X211" t="inlineStr">
        <is>
          <t>[Wallmann-Sperlich, Birgit] Univ Wurzburg, Inst Sport Sci, D-97082 Wurzburg, Germany; [Wallmann-Sperlich, Birgit; Froboese, Ingo] German Sport Univ Cologne, Inst Hlth Promot &amp; Clin Movement Sci, D-50933 Cologne, Germany; [Schantz, Peter] GIH, Swedish Sch Sport &amp; Hlth Sci, Res Unit Movement Hlth &amp; Environm, SE-11486 Stockholm, Sweden; [Schantz, Peter] Mid Sweden Univ, Dept Hlth Sci, SE-83125 Ostersund, Sweden</t>
        </is>
      </c>
      <c r="Y211" t="inlineStr">
        <is>
          <t>University of Wurzburg; German Sport University Cologne; Swedish School of Sport &amp; Health Sciences; Mid-Sweden University</t>
        </is>
      </c>
      <c r="Z211" t="inlineStr">
        <is>
          <t>Wallmann-Sperlich, B (corresponding author), Univ Wurzburg, Inst Sport Sci, D-97082 Wurzburg, Germany.</t>
        </is>
      </c>
      <c r="AA211" t="inlineStr">
        <is>
          <t>birgit.sperlich@uni-wuerzburg.de; froboese@dshs-koeln.de; peter.schantz@gih.se</t>
        </is>
      </c>
      <c r="AC211" t="inlineStr">
        <is>
          <t>Sperlich, Birgit/0000-0002-0338-7357</t>
        </is>
      </c>
      <c r="AD211" t="inlineStr">
        <is>
          <t>Swedish School of Sport and Health Sciences, GIH, Stockholm, Sweden; Bavarian State Government</t>
        </is>
      </c>
      <c r="AE211" t="inlineStr">
        <is>
          <t>Swedish School of Sport and Health Sciences, GIH, Stockholm, Sweden; Bavarian State Government</t>
        </is>
      </c>
      <c r="AF211" t="inlineStr">
        <is>
          <t>This study was supported by a grant from the Swedish School of Sport and Health Sciences, GIH, Stockholm, Sweden, by institutional resources of the German Sport University within the research project, Modulation of Metabolic Fluxes by Physical Activity Patterns, and by the programme, Equal Opportunities for Women in Research and Teaching, of the Bavarian State Government.</t>
        </is>
      </c>
      <c r="AH211" t="n">
        <v>23</v>
      </c>
      <c r="AI211" t="n">
        <v>8</v>
      </c>
      <c r="AJ211" t="n">
        <v>9</v>
      </c>
      <c r="AK211" t="n">
        <v>0</v>
      </c>
      <c r="AL211" t="n">
        <v>11</v>
      </c>
      <c r="AM211" t="inlineStr">
        <is>
          <t>MDPI AG</t>
        </is>
      </c>
      <c r="AN211" t="inlineStr">
        <is>
          <t>BASEL</t>
        </is>
      </c>
      <c r="AO211" t="inlineStr">
        <is>
          <t>POSTFACH, CH-4005 BASEL, SWITZERLAND</t>
        </is>
      </c>
      <c r="AP211" t="inlineStr">
        <is>
          <t>1660-4601</t>
        </is>
      </c>
      <c r="AS211" t="inlineStr">
        <is>
          <t>INT J ENV RES PUB HE</t>
        </is>
      </c>
      <c r="AT211" t="inlineStr">
        <is>
          <t>Int. J. Environ. Res. Public Health</t>
        </is>
      </c>
      <c r="AU211" t="inlineStr">
        <is>
          <t>AUG</t>
        </is>
      </c>
      <c r="AV211" t="n">
        <v>2014</v>
      </c>
      <c r="AW211" t="n">
        <v>11</v>
      </c>
      <c r="AX211" t="n">
        <v>8</v>
      </c>
      <c r="BC211" t="n">
        <v>8093</v>
      </c>
      <c r="BD211" t="n">
        <v>8111</v>
      </c>
      <c r="BF211" t="inlineStr">
        <is>
          <t>10.3390/ijerph110808093</t>
        </is>
      </c>
      <c r="BG211">
        <f>HYPERLINK("http://dx.doi.org/10.3390/ijerph110808093","http://dx.doi.org/10.3390/ijerph110808093")</f>
        <v/>
      </c>
      <c r="BJ211" t="n">
        <v>19</v>
      </c>
      <c r="BK211" t="inlineStr">
        <is>
          <t>Environmental Sciences; Public, Environmental &amp; Occupational Health</t>
        </is>
      </c>
      <c r="BL211" t="inlineStr">
        <is>
          <t>Science Citation Index Expanded (SCI-EXPANDED)</t>
        </is>
      </c>
      <c r="BM211" t="inlineStr">
        <is>
          <t>Environmental Sciences &amp; Ecology; Public, Environmental &amp; Occupational Health</t>
        </is>
      </c>
      <c r="BN211" t="inlineStr">
        <is>
          <t>AO1UX</t>
        </is>
      </c>
      <c r="BO211" t="n">
        <v>25111877</v>
      </c>
      <c r="BP211" t="inlineStr">
        <is>
          <t>Green Published, Green Submitted, gold</t>
        </is>
      </c>
      <c r="BS211" t="inlineStr">
        <is>
          <t>2023-10-26</t>
        </is>
      </c>
      <c r="BT211" t="inlineStr">
        <is>
          <t>WOS:000341101700034</t>
        </is>
      </c>
      <c r="BU211">
        <f>HYPERLINK("https%3A%2F%2Fwww.webofscience.com%2Fwos%2Fwoscc%2Ffull-record%2FWOS:000341101700034","View Full Record in Web of Science")</f>
        <v/>
      </c>
    </row>
    <row r="212">
      <c r="A212" t="inlineStr">
        <is>
          <t>J</t>
        </is>
      </c>
      <c r="B212" t="inlineStr">
        <is>
          <t>Shao, T; Zheng, WX; Jin, H</t>
        </is>
      </c>
      <c r="F212" t="inlineStr">
        <is>
          <t>Shao, Teng; Zheng, Wuxing; Jin, Hong</t>
        </is>
      </c>
      <c r="J212" t="inlineStr">
        <is>
          <t>SUSTAINABILITY</t>
        </is>
      </c>
      <c r="M212" t="inlineStr">
        <is>
          <t>English</t>
        </is>
      </c>
      <c r="N212" t="inlineStr">
        <is>
          <t>Article</t>
        </is>
      </c>
      <c r="T212" t="inlineStr">
        <is>
          <t>Analysis of the Indoor Thermal Environment and Passive Energy-Saving Optimization Design of Rural Dwellings in Zhalantun, Inner Mongolia, China</t>
        </is>
      </c>
      <c r="U212" t="inlineStr">
        <is>
          <t>severe cold region; rural dwellings; energy-saving design; indoor thermal environment; orthogonal experiment</t>
        </is>
      </c>
      <c r="V212" t="inlineStr">
        <is>
          <t>RESIDENTIAL HOUSES; PERFORMANCE; SIMULATION; COMFORT</t>
        </is>
      </c>
      <c r="W212" t="inlineStr">
        <is>
          <t>Zhalantun city is located in a severely cold region of China. The cold climate and long winter bring challenges to the energy-saving design of rural dwellings in this area, while the poor economic conditions restrict the application of energy-saving technology. This paper aims to propose an optimal combination of passive design parameters by investigating, testing, and analyzing simulations of Zhalantun rural dwellings, which have a particular architectural pattern. Field measurements during winter show that the indoor temperature of a traditional house is low and fluctuates greatly, and the inner surface is prone to easy condensation. Through thermal comfort surveys, neutral and acceptable temperature ranges were obtained to provide indoor calculation parameters for an energy-saving design. Numerical simulations of heating energy consumption were conducted on the typical building models using DesignBuilder. The influence of different design factors on energy consumption was evaluated. Orthogonal experiments were designed to optimize a series of design parameter combinations to reduce the energy consumption of Zhalantun rural houses and to determine the sequence and significance of the effect of these design factors on energy consumption. Results show that the optimal parameter combination based on orthogonal experiments can obviously reduce energy consumption and have better economic benefits without considering mechanical methods. This can provide a basis for improved energy-saving designs and indoor thermal environments in such rural dwellings.</t>
        </is>
      </c>
      <c r="X212" t="inlineStr">
        <is>
          <t>[Shao, Teng; Zheng, Wuxing] Northwestern Polytech Univ, Sch Mech Civil Engn &amp; Architecture, Xian 710000, Peoples R China; [Jin, Hong] Harbin Inst Technol, Sch Architecture, Harbin 150000, Peoples R China</t>
        </is>
      </c>
      <c r="Y212" t="inlineStr">
        <is>
          <t>Northwestern Polytechnical University; Harbin Institute of Technology</t>
        </is>
      </c>
      <c r="Z212" t="inlineStr">
        <is>
          <t>Shao, T (corresponding author), Northwestern Polytech Univ, Sch Mech Civil Engn &amp; Architecture, Xian 710000, Peoples R China.</t>
        </is>
      </c>
      <c r="AA212" t="inlineStr">
        <is>
          <t>shaoteng@nwpu.edu.cn; wxzheng@nwpu.edu.cn; jinhong@hit.edu.cn</t>
        </is>
      </c>
      <c r="AB212" t="inlineStr">
        <is>
          <t>shao, teng/GMX-0584-2022</t>
        </is>
      </c>
      <c r="AC212" t="inlineStr">
        <is>
          <t>shao, teng/0000-0003-3583-2539; Zheng, Wuxing/0000-0002-6437-5659</t>
        </is>
      </c>
      <c r="AD212" t="inlineStr">
        <is>
          <t>National Natural Science Foundation of China [51378136]; Science and Technology Program of Ministry of Housing and Urban-Rural Development of the PRC [2019-K-126]; China Postdoctoral Science Foundation [2019M663820]; Fundamental Research Funds for the Central Universities [3102018xyzzlzOO2]</t>
        </is>
      </c>
      <c r="AE212" t="inlineStr">
        <is>
          <t>National Natural Science Foundation of China(National Natural Science Foundation of China (NSFC)); Science and Technology Program of Ministry of Housing and Urban-Rural Development of the PRC; China Postdoctoral Science Foundation(China Postdoctoral Science Foundation); Fundamental Research Funds for the Central Universities(Fundamental Research Funds for the Central Universities)</t>
        </is>
      </c>
      <c r="AF212" t="inlineStr">
        <is>
          <t>This research was funded by the National Natural Science Foundation of China, grant number 51378136; the Science and Technology Program of Ministry of Housing and Urban-Rural Development of the PRC, grant number 2019-K-126; the China Postdoctoral Science Foundation, grant number 2019M663820; and the Fundamental Research Funds for the Central Universities, grant number 3102018xyzzlzOO2.</t>
        </is>
      </c>
      <c r="AH212" t="n">
        <v>67</v>
      </c>
      <c r="AI212" t="n">
        <v>15</v>
      </c>
      <c r="AJ212" t="n">
        <v>15</v>
      </c>
      <c r="AK212" t="n">
        <v>11</v>
      </c>
      <c r="AL212" t="n">
        <v>86</v>
      </c>
      <c r="AM212" t="inlineStr">
        <is>
          <t>MDPI</t>
        </is>
      </c>
      <c r="AN212" t="inlineStr">
        <is>
          <t>BASEL</t>
        </is>
      </c>
      <c r="AO212" t="inlineStr">
        <is>
          <t>ST ALBAN-ANLAGE 66, CH-4052 BASEL, SWITZERLAND</t>
        </is>
      </c>
      <c r="AQ212" t="inlineStr">
        <is>
          <t>2071-1050</t>
        </is>
      </c>
      <c r="AS212" t="inlineStr">
        <is>
          <t>SUSTAINABILITY-BASEL</t>
        </is>
      </c>
      <c r="AT212" t="inlineStr">
        <is>
          <t>Sustainability</t>
        </is>
      </c>
      <c r="AU212" t="inlineStr">
        <is>
          <t>FEB</t>
        </is>
      </c>
      <c r="AV212" t="n">
        <v>2020</v>
      </c>
      <c r="AW212" t="n">
        <v>12</v>
      </c>
      <c r="AX212" t="n">
        <v>3</v>
      </c>
      <c r="BE212" t="n">
        <v>1103</v>
      </c>
      <c r="BF212" t="inlineStr">
        <is>
          <t>10.3390/su12031103</t>
        </is>
      </c>
      <c r="BG212">
        <f>HYPERLINK("http://dx.doi.org/10.3390/su12031103","http://dx.doi.org/10.3390/su12031103")</f>
        <v/>
      </c>
      <c r="BJ212" t="n">
        <v>34</v>
      </c>
      <c r="BK212" t="inlineStr">
        <is>
          <t>Green &amp; Sustainable Science &amp; Technology; Environmental Sciences; Environmental Studies</t>
        </is>
      </c>
      <c r="BL212" t="inlineStr">
        <is>
          <t>Science Citation Index Expanded (SCI-EXPANDED); Social Science Citation Index (SSCI)</t>
        </is>
      </c>
      <c r="BM212" t="inlineStr">
        <is>
          <t>Science &amp; Technology - Other Topics; Environmental Sciences &amp; Ecology</t>
        </is>
      </c>
      <c r="BN212" t="inlineStr">
        <is>
          <t>LB8SF</t>
        </is>
      </c>
      <c r="BP212" t="inlineStr">
        <is>
          <t>gold, Green Submitted</t>
        </is>
      </c>
      <c r="BS212" t="inlineStr">
        <is>
          <t>2023-10-26</t>
        </is>
      </c>
      <c r="BT212" t="inlineStr">
        <is>
          <t>WOS:000524899601046</t>
        </is>
      </c>
      <c r="BU212">
        <f>HYPERLINK("https%3A%2F%2Fwww.webofscience.com%2Fwos%2Fwoscc%2Ffull-record%2FWOS:000524899601046","View Full Record in Web of Science")</f>
        <v/>
      </c>
    </row>
    <row r="213">
      <c r="A213" t="inlineStr">
        <is>
          <t>J</t>
        </is>
      </c>
      <c r="B213" t="inlineStr">
        <is>
          <t>Seo, Y; Kim, M; Shin, H; Won, C</t>
        </is>
      </c>
      <c r="F213" t="inlineStr">
        <is>
          <t>Seo, Yuri; Kim, Miji; Shin, Hyungeun; Won, Changwon</t>
        </is>
      </c>
      <c r="J213" t="inlineStr">
        <is>
          <t>INTERNATIONAL JOURNAL OF ENVIRONMENTAL RESEARCH AND PUBLIC HEALTH</t>
        </is>
      </c>
      <c r="M213" t="inlineStr">
        <is>
          <t>English</t>
        </is>
      </c>
      <c r="N213" t="inlineStr">
        <is>
          <t>Article</t>
        </is>
      </c>
      <c r="T213" t="inlineStr">
        <is>
          <t>Perceived Neighborhood Environment Associated with Sarcopenia in Urban-Dwelling Older Adults: The Korean Frailty and Aging Cohort Study (KFACS)</t>
        </is>
      </c>
      <c r="U213" t="inlineStr">
        <is>
          <t>environment; sarcopenia; cohort study; aging</t>
        </is>
      </c>
      <c r="V213" t="inlineStr">
        <is>
          <t>LOWER-EXTREMITY FUNCTION; PHYSICAL-ACTIVITY; BUILT ENVIRONMENT; HEALTH; DISABILITY; TRANSPORTATION; OVERWEIGHT; LITERACY; BATTERY; PEOPLE</t>
        </is>
      </c>
      <c r="W213" t="inlineStr">
        <is>
          <t>Sarcopenia is associated with adverse health outcomes among older individuals. However, little is known about its association with neighborhood environmental factors. We explored the relationship between sarcopenia and perceived neighborhood environmental factors among community-dwelling older adults aged 70-84 years. We analyzed 1778 participants (mean age of 75.9 +/- 3.8 years; 54.0% women) who lived in urban areas and underwent dual-energy X-ray absorptiometry from the Korean Frailty and Aging Cohort Study. Sarcopenia was defined according to the Asian Working Group for Sarcopenia 2019 definition. Perceived neighborhood environmental factors were assessed using the Environmental Module of the International Physical Activity Questionnaire (IPAQ-E). In the multivariate analysis, compared to the fifth quintile of the IPAQ-E score, the odds ratios (ORs) and 95% confidence intervals (CIs) for sarcopenia in the first, second, third, and fourth quintiles were 2.13 (1.40-3.24), 1.72 (1.12-2.64), 1.75 (1.15-2.66), and 1.62 (1.06-2.47), respectively. These neighborhood environmental characteristics were linked with an increased likelihood of sarcopenia: no public transportation access (OR = 2.04; 95% CI = 1.19-3.48), poor recreational facilities access (OR = 1.39; 95% CI = 1.01-1.90), absence of destination (OR = 1.53; 95% CI = 1.06-2.20), many hill hazards (OR = 1.36; 95% CI = 1.03-1.78), and lack of traffic safety (OR = 1.35; 95% CI = 1.02-1.78). Thus, better neighborhood environmental strategies may help prevent sarcopenia among urban-dwelling older adults.</t>
        </is>
      </c>
      <c r="X213" t="inlineStr">
        <is>
          <t>[Seo, Yuri; Shin, Hyungeun] Kyung Hee Univ, Grad Sch, Dept Biomed Sci &amp; Technol, Seoul 02447, South Korea; [Kim, Miji] Kyung Hee Univ, East West Med Res Inst, Dept Biomed Sci &amp; Technol, Coll Med, Seoul 02447, South Korea; [Won, Changwon] Kyung Hee Univ, Dept Family Med, Coll Med, Elderly Frailty Res Ctr, Seoul 02447, South Korea</t>
        </is>
      </c>
      <c r="Y213" t="inlineStr">
        <is>
          <t>Kyung Hee University; Kyung Hee University; Kyung Hee University</t>
        </is>
      </c>
      <c r="Z213" t="inlineStr">
        <is>
          <t>Kim, M (corresponding author), Kyung Hee Univ, East West Med Res Inst, Dept Biomed Sci &amp; Technol, Coll Med, Seoul 02447, South Korea.;Won, C (corresponding author), Kyung Hee Univ, Dept Family Med, Coll Med, Elderly Frailty Res Ctr, Seoul 02447, South Korea.</t>
        </is>
      </c>
      <c r="AA213" t="inlineStr">
        <is>
          <t>dkddkkd55@naver.com; mijiak@khu.ac.kr; she9310@hanmail.net; chunwon62@naver.com</t>
        </is>
      </c>
      <c r="AC213" t="inlineStr">
        <is>
          <t>Kim, Miji/0000-0002-0852-8825; Won, Chang Won/0000-0002-6429-4461; Seo, Yuri/0000-0003-2832-8131</t>
        </is>
      </c>
      <c r="AD213" t="inlineStr">
        <is>
          <t>Korea Health Technology R&amp;D Project through the Korea Health Industry Development Institute (KHIDI) - Ministry of Health andWelfare, Republic of Korea [HI15C3153]</t>
        </is>
      </c>
      <c r="AE213" t="inlineStr">
        <is>
          <t>Korea Health Technology R&amp;D Project through the Korea Health Industry Development Institute (KHIDI) - Ministry of Health andWelfare, Republic of Korea</t>
        </is>
      </c>
      <c r="AF213" t="inlineStr">
        <is>
          <t>This research was supported by a grant from the Korea Health Technology R&amp;D Project through the Korea Health Industry Development Institute (KHIDI), funded by the Ministry of Health andWelfare, Republic of Korea (grant number: HI15C3153).</t>
        </is>
      </c>
      <c r="AH213" t="n">
        <v>51</v>
      </c>
      <c r="AI213" t="n">
        <v>3</v>
      </c>
      <c r="AJ213" t="n">
        <v>3</v>
      </c>
      <c r="AK213" t="n">
        <v>4</v>
      </c>
      <c r="AL213" t="n">
        <v>15</v>
      </c>
      <c r="AM213" t="inlineStr">
        <is>
          <t>MDPI</t>
        </is>
      </c>
      <c r="AN213" t="inlineStr">
        <is>
          <t>BASEL</t>
        </is>
      </c>
      <c r="AO213" t="inlineStr">
        <is>
          <t>ST ALBAN-ANLAGE 66, CH-4052 BASEL, SWITZERLAND</t>
        </is>
      </c>
      <c r="AQ213" t="inlineStr">
        <is>
          <t>1660-4601</t>
        </is>
      </c>
      <c r="AS213" t="inlineStr">
        <is>
          <t>INT J ENV RES PUB HE</t>
        </is>
      </c>
      <c r="AT213" t="inlineStr">
        <is>
          <t>Int. J. Environ. Res. Public Health</t>
        </is>
      </c>
      <c r="AU213" t="inlineStr">
        <is>
          <t>JUN</t>
        </is>
      </c>
      <c r="AV213" t="n">
        <v>2021</v>
      </c>
      <c r="AW213" t="n">
        <v>18</v>
      </c>
      <c r="AX213" t="n">
        <v>12</v>
      </c>
      <c r="BE213" t="n">
        <v>6292</v>
      </c>
      <c r="BF213" t="inlineStr">
        <is>
          <t>10.3390/ijerph18126292</t>
        </is>
      </c>
      <c r="BG213">
        <f>HYPERLINK("http://dx.doi.org/10.3390/ijerph18126292","http://dx.doi.org/10.3390/ijerph18126292")</f>
        <v/>
      </c>
      <c r="BJ213" t="n">
        <v>15</v>
      </c>
      <c r="BK213" t="inlineStr">
        <is>
          <t>Environmental Sciences; Public, Environmental &amp; Occupational Health</t>
        </is>
      </c>
      <c r="BL213" t="inlineStr">
        <is>
          <t>Science Citation Index Expanded (SCI-EXPANDED); Social Science Citation Index (SSCI)</t>
        </is>
      </c>
      <c r="BM213" t="inlineStr">
        <is>
          <t>Environmental Sciences &amp; Ecology; Public, Environmental &amp; Occupational Health</t>
        </is>
      </c>
      <c r="BN213" t="inlineStr">
        <is>
          <t>SY4ZV</t>
        </is>
      </c>
      <c r="BO213" t="n">
        <v>34200703</v>
      </c>
      <c r="BP213" t="inlineStr">
        <is>
          <t>gold, Green Published</t>
        </is>
      </c>
      <c r="BS213" t="inlineStr">
        <is>
          <t>2023-10-26</t>
        </is>
      </c>
      <c r="BT213" t="inlineStr">
        <is>
          <t>WOS:000665899000001</t>
        </is>
      </c>
      <c r="BU213">
        <f>HYPERLINK("https%3A%2F%2Fwww.webofscience.com%2Fwos%2Fwoscc%2Ffull-record%2FWOS:000665899000001","View Full Record in Web of Science")</f>
        <v/>
      </c>
    </row>
    <row r="214">
      <c r="A214" t="inlineStr">
        <is>
          <t>J</t>
        </is>
      </c>
      <c r="B214" t="inlineStr">
        <is>
          <t>Zhou, YS; Buck, C; Maier, W; von Lengerke, T; Walter, U; Dreier, M</t>
        </is>
      </c>
      <c r="F214" t="inlineStr">
        <is>
          <t>Zhou, Yusheng; Buck, Christoph; Maier, Werner; von Lengerke, Thomas; Walter, Ulla; Dreier, Maren</t>
        </is>
      </c>
      <c r="J214" t="inlineStr">
        <is>
          <t>INTERNATIONAL JOURNAL OF ENVIRONMENTAL RESEARCH AND PUBLIC HEALTH</t>
        </is>
      </c>
      <c r="M214" t="inlineStr">
        <is>
          <t>English</t>
        </is>
      </c>
      <c r="N214" t="inlineStr">
        <is>
          <t>Article</t>
        </is>
      </c>
      <c r="T214" t="inlineStr">
        <is>
          <t>Built Environment and Childhood Weight Status: A Multi-Level Study Using Population-Based Data in the City of Hannover, Germany</t>
        </is>
      </c>
      <c r="U214" t="inlineStr">
        <is>
          <t>obesity; overweight; childhood; built environment; walkability</t>
        </is>
      </c>
      <c r="V214" t="inlineStr">
        <is>
          <t>BODY-MASS INDEX; PHYSICAL-ACTIVITY; NEIGHBORHOOD WALKABILITY; SOCIOECONOMIC-STATUS; OBESITY; CHILDREN; ASSOCIATIONS; OVERWEIGHT; YOUTH; ADOLESCENTS</t>
        </is>
      </c>
      <c r="W214" t="inlineStr">
        <is>
          <t>In recent years, built environmental characteristics have been linked to childhood overweight, but the results remain inconsistent across studies. The present study examines associations between several built environmental features and body weight status (BMI) z-score among a large sample of preschool children in the city of Hannover, Germany. Walkability (Index), green space availability, and playground availability related to preschool children's home environments were measured using data from OpenStreetMap (OSM). These built environment characteristics were linked to the data from the 2010-2014 school entry examinations in the Hannover city (n = 22,678), and analysed using multilevel linear regression models to examine associations between the built environment features and the BMI z-score of these children (4-8 years old). No significant associations of built environmental factors on children's BMI were detected, but the effect between green space availability and BMI was modified by the parental educational level. In children with lower compared to higher educated parents, a higher spatial availability of greenspace was significantly associated with reduced body weight. Future research should continue to monitor the disparities in diverse built environment features and how these are related to children's health.</t>
        </is>
      </c>
      <c r="X214" t="inlineStr">
        <is>
          <t>[Zhou, Yusheng; Walter, Ulla; Dreier, Maren] Hannover Med Sch, Inst Epidemiol Social Med &amp; Hlth Syst Res, D-30625 Hannover, Germany; [Buck, Christoph] Leibniz Inst Prevent Res &amp; Epidemiol BIPS, D-8359 Bremen, Germany; [Maier, Werner] Helmholtz Zentrum Munchen, Inst Hlth Econ &amp; Hlth Care Management, German Res Ctr Environm Hlth GmbH, D-85764 Neuherberg, Germany; [von Lengerke, Thomas] Hannover Med Sch, Dept Med Psychol, D-30625 Hannover, Germany</t>
        </is>
      </c>
      <c r="Y214" t="inlineStr">
        <is>
          <t>Hannover Medical School; Leibniz Institute for Prevention Research &amp; Epidemiology (BIPS); Helmholtz Association; Helmholtz-Center Munich - German Research Center for Environmental Health; Hannover Medical School</t>
        </is>
      </c>
      <c r="Z214" t="inlineStr">
        <is>
          <t>Zhou, YS (corresponding author), Hannover Med Sch, Inst Epidemiol Social Med &amp; Hlth Syst Res, D-30625 Hannover, Germany.</t>
        </is>
      </c>
      <c r="AA214" t="inlineStr">
        <is>
          <t>Zhou.Yusheng@mh-hannover.de; buck@leibniz-bips.de; werner.maier@helmholtz-muenchen.de; lengerke.thomas@mh-hannover.de; Walter.Ulla@mh-hannover.de; Dreier.Maren@mh-hannover.de</t>
        </is>
      </c>
      <c r="AC214" t="inlineStr">
        <is>
          <t>von Lengerke, Thomas/0000-0002-1269-3479; Buck, Christoph/0000-0003-0261-704X</t>
        </is>
      </c>
      <c r="AD214" t="inlineStr">
        <is>
          <t>German Research Foundation (DFG); Open Access Publication Fund of Hannover Medical School (MHH)</t>
        </is>
      </c>
      <c r="AE214" t="inlineStr">
        <is>
          <t>German Research Foundation (DFG)(German Research Foundation (DFG)); Open Access Publication Fund of Hannover Medical School (MHH)</t>
        </is>
      </c>
      <c r="AF214" t="inlineStr">
        <is>
          <t>The authors would like to thank the team of the Hannover Region Social Pediatrics and Youth Medicine Office and the Statistics Office of State Capital Hannover for providing the valuable data, respectively. We also acknowledge support by the German Research Foundation (DFG) and the Open Access Publication Fund of Hannover Medical School (MHH).</t>
        </is>
      </c>
      <c r="AH214" t="n">
        <v>61</v>
      </c>
      <c r="AI214" t="n">
        <v>8</v>
      </c>
      <c r="AJ214" t="n">
        <v>9</v>
      </c>
      <c r="AK214" t="n">
        <v>0</v>
      </c>
      <c r="AL214" t="n">
        <v>19</v>
      </c>
      <c r="AM214" t="inlineStr">
        <is>
          <t>MDPI</t>
        </is>
      </c>
      <c r="AN214" t="inlineStr">
        <is>
          <t>BASEL</t>
        </is>
      </c>
      <c r="AO214" t="inlineStr">
        <is>
          <t>ST ALBAN-ANLAGE 66, CH-4052 BASEL, SWITZERLAND</t>
        </is>
      </c>
      <c r="AQ214" t="inlineStr">
        <is>
          <t>1660-4601</t>
        </is>
      </c>
      <c r="AS214" t="inlineStr">
        <is>
          <t>INT J ENV RES PUB HE</t>
        </is>
      </c>
      <c r="AT214" t="inlineStr">
        <is>
          <t>Int. J. Environ. Res. Public Health</t>
        </is>
      </c>
      <c r="AU214" t="inlineStr">
        <is>
          <t>APR</t>
        </is>
      </c>
      <c r="AV214" t="n">
        <v>2020</v>
      </c>
      <c r="AW214" t="n">
        <v>17</v>
      </c>
      <c r="AX214" t="n">
        <v>8</v>
      </c>
      <c r="BE214" t="n">
        <v>2694</v>
      </c>
      <c r="BF214" t="inlineStr">
        <is>
          <t>10.3390/ijerph17082694</t>
        </is>
      </c>
      <c r="BG214">
        <f>HYPERLINK("http://dx.doi.org/10.3390/ijerph17082694","http://dx.doi.org/10.3390/ijerph17082694")</f>
        <v/>
      </c>
      <c r="BJ214" t="n">
        <v>15</v>
      </c>
      <c r="BK214" t="inlineStr">
        <is>
          <t>Environmental Sciences; Public, Environmental &amp; Occupational Health</t>
        </is>
      </c>
      <c r="BL214" t="inlineStr">
        <is>
          <t>Science Citation Index Expanded (SCI-EXPANDED); Social Science Citation Index (SSCI)</t>
        </is>
      </c>
      <c r="BM214" t="inlineStr">
        <is>
          <t>Environmental Sciences &amp; Ecology; Public, Environmental &amp; Occupational Health</t>
        </is>
      </c>
      <c r="BN214" t="inlineStr">
        <is>
          <t>LR5OL</t>
        </is>
      </c>
      <c r="BO214" t="n">
        <v>32295200</v>
      </c>
      <c r="BP214" t="inlineStr">
        <is>
          <t>gold, Green Published</t>
        </is>
      </c>
      <c r="BS214" t="inlineStr">
        <is>
          <t>2023-10-26</t>
        </is>
      </c>
      <c r="BT214" t="inlineStr">
        <is>
          <t>WOS:000535744100079</t>
        </is>
      </c>
      <c r="BU214">
        <f>HYPERLINK("https%3A%2F%2Fwww.webofscience.com%2Fwos%2Fwoscc%2Ffull-record%2FWOS:000535744100079","View Full Record in Web of Science")</f>
        <v/>
      </c>
    </row>
    <row r="215">
      <c r="A215" t="inlineStr">
        <is>
          <t>J</t>
        </is>
      </c>
      <c r="B215" t="inlineStr">
        <is>
          <t>Zheng, LW</t>
        </is>
      </c>
      <c r="F215" t="inlineStr">
        <is>
          <t>Zheng Liwei</t>
        </is>
      </c>
      <c r="J215" t="inlineStr">
        <is>
          <t>JOURNAL OF ENVIRONMENTAL PROTECTION AND ECOLOGY</t>
        </is>
      </c>
      <c r="M215" t="inlineStr">
        <is>
          <t>English</t>
        </is>
      </c>
      <c r="N215" t="inlineStr">
        <is>
          <t>Article</t>
        </is>
      </c>
      <c r="T215" t="inlineStr">
        <is>
          <t>KEY FACTORS IN VISUAL PREFERENCE FOR GREEN BUILDING ENVIRONMENT APPEARANCE</t>
        </is>
      </c>
      <c r="U215" t="inlineStr">
        <is>
          <t>green building; environmental appearance; visual preference; key influencing factors</t>
        </is>
      </c>
      <c r="W215" t="inlineStr">
        <is>
          <t>To slow down the damage to the earth and improve the quality of the living environment, the concept of sustainable ecology has been gradually applied to architectural design and urban planning, and green buildings that emphasise ecology, environmental protection, sustainability, and symbiosis with the environment have become the most important means in developing architectural strategies in various countries. This study takes the general public in the Jiyuan City of Henan Province as the object for the questionnaire analysis. In this study, 400 research samples are distributed and 334 valid questionnaires are recovered, with a recovery rate of 84%. The more the appearance of the building environment can show the regional characteristics of the integration with the natural environment, the higher its preference value and the more positive image appear. According to the result, it is expected that the public can directly feel the image of green building, thus accepting the green building environment consistent with cognition, promoting green building more effectively, and achieving the goals of unity of knowledge and practice and sustainable development.</t>
        </is>
      </c>
      <c r="X215" t="inlineStr">
        <is>
          <t>[Zheng Liwei] Jiyuan Vocat &amp; Tech Coll, Dept Art &amp; Design, Jiyuan, Peoples R China</t>
        </is>
      </c>
      <c r="Z215" t="inlineStr">
        <is>
          <t>Zheng, LW (corresponding author), Jiyuan Vocat &amp; Tech Coll, Dept Art &amp; Design, Jiyuan, Peoples R China.</t>
        </is>
      </c>
      <c r="AA215" t="inlineStr">
        <is>
          <t>854494906@qq.com</t>
        </is>
      </c>
      <c r="AH215" t="n">
        <v>14</v>
      </c>
      <c r="AI215" t="n">
        <v>1</v>
      </c>
      <c r="AJ215" t="n">
        <v>1</v>
      </c>
      <c r="AK215" t="n">
        <v>1</v>
      </c>
      <c r="AL215" t="n">
        <v>5</v>
      </c>
      <c r="AM215" t="inlineStr">
        <is>
          <t>SCIBULCOM LTD</t>
        </is>
      </c>
      <c r="AN215" t="inlineStr">
        <is>
          <t>SOFIA</t>
        </is>
      </c>
      <c r="AO215" t="inlineStr">
        <is>
          <t>PO BOX 249, 1113 SOFIA, BULGARIA</t>
        </is>
      </c>
      <c r="AP215" t="inlineStr">
        <is>
          <t>1311-5065</t>
        </is>
      </c>
      <c r="AS215" t="inlineStr">
        <is>
          <t>J ENVIRON PROT ECOL</t>
        </is>
      </c>
      <c r="AT215" t="inlineStr">
        <is>
          <t>J. Environ. Prot. Ecol.</t>
        </is>
      </c>
      <c r="AV215" t="n">
        <v>2021</v>
      </c>
      <c r="AW215" t="n">
        <v>22</v>
      </c>
      <c r="AX215" t="n">
        <v>4</v>
      </c>
      <c r="BC215" t="n">
        <v>1450</v>
      </c>
      <c r="BD215" t="n">
        <v>1457</v>
      </c>
      <c r="BJ215" t="n">
        <v>8</v>
      </c>
      <c r="BK215" t="inlineStr">
        <is>
          <t>Environmental Sciences</t>
        </is>
      </c>
      <c r="BL215" t="inlineStr">
        <is>
          <t>Science Citation Index Expanded (SCI-EXPANDED)</t>
        </is>
      </c>
      <c r="BM215" t="inlineStr">
        <is>
          <t>Environmental Sciences &amp; Ecology</t>
        </is>
      </c>
      <c r="BN215" t="inlineStr">
        <is>
          <t>WZ9UW</t>
        </is>
      </c>
      <c r="BS215" t="inlineStr">
        <is>
          <t>2023-10-26</t>
        </is>
      </c>
      <c r="BT215" t="inlineStr">
        <is>
          <t>WOS:000720305600008</t>
        </is>
      </c>
      <c r="BU215">
        <f>HYPERLINK("https%3A%2F%2Fwww.webofscience.com%2Fwos%2Fwoscc%2Ffull-record%2FWOS:000720305600008","View Full Record in Web of Science")</f>
        <v/>
      </c>
    </row>
    <row r="216">
      <c r="A216" t="inlineStr">
        <is>
          <t>J</t>
        </is>
      </c>
      <c r="B216" t="inlineStr">
        <is>
          <t>Jain, N; Burman, E; Stamp, S; Shrubsole, C; Bunn, R; Oberman, T; Barrett, E; Aletta, F; Kang, J; Raynham, P; Mumovic, D; Davies, M</t>
        </is>
      </c>
      <c r="F216" t="inlineStr">
        <is>
          <t>Jain, Nishesh; Burman, Esfand; Stamp, Samuel; Shrubsole, Clive; Bunn, Roderic; Oberman, Tin; Barrett, Edward; Aletta, Francesco; Kang, Jian; Raynham, Peter; Mumovic, Dejan; Davies, Mike</t>
        </is>
      </c>
      <c r="J216" t="inlineStr">
        <is>
          <t>ATMOSPHERE</t>
        </is>
      </c>
      <c r="M216" t="inlineStr">
        <is>
          <t>English</t>
        </is>
      </c>
      <c r="N216" t="inlineStr">
        <is>
          <t>Article</t>
        </is>
      </c>
      <c r="T216" t="inlineStr">
        <is>
          <t>Building Performance Evaluation of a New Hospital Building in the UK: Balancing Indoor Environmental Quality and Energy Performance</t>
        </is>
      </c>
      <c r="U216" t="inlineStr">
        <is>
          <t>building performance evaluation; indoor environmental quality (IEQ); indoor air quality (IAQ); energy performance; hospitals</t>
        </is>
      </c>
      <c r="W216" t="inlineStr">
        <is>
          <t>Hospitals are controlled yet complex ecosystems which provide a therapeutic environment that promotes healing, wellbeing and work efficiency for patients and staff. As these buildings accommodate the sick and vulnerable, occupant wellbeing and good indoor environmental quality (IEQ) that deals with indoor air quality (IAQ), thermal comfort, lighting and acoustics are important objectives. As the specialist nature of hospital function demands highly controlled indoor environments, this makes them energy intensive buildings due to the complex and varying specifications for their functions and operations. This paper reports on a holistic building performance evaluation covering aspects of indoor air quality, thermal comfort, lighting, acoustics, and energy use. It assesses the performance issues and inter-relationships between IEQ and energy in a new building on a hospital campus in the city of Bristol, United Kingdom. The empirical evidence collated from this case study and the feedback received from the hospital staff help identify the endemic issues and constraints related to hospital buildings, such as the need for robust ventilation strategies in hospitals in urban areas that mitigate the effect of indoor and outdoor air pollution and ensuring the use of planned new low-carbon technologies. Whilst the existing guidelines for building design provide useful instructions for the protection of hospital buildings against ingress of particulate matter from outdoors, more advanced filtration strategies may be required to enact chemical reactions required to control the concentration levels of pollutants such as nitrogen dioxide and benzene. Further lessons for improved performance in operation and maintenance of hospitals are highlighted. These include ensuring that the increasingly available metering and monitoring data in new buildings, through building management systems, is used for efficient and optimal building operations for better IEQ and energy management. Overall, the study highlights the need for an integrated and holistic approach to building performance to ensure that healthy environments are provided while energy efficiency targets are met.</t>
        </is>
      </c>
      <c r="X216" t="inlineStr">
        <is>
          <t>[Jain, Nishesh; Burman, Esfand; Stamp, Samuel; Shrubsole, Clive; Oberman, Tin; Barrett, Edward; Aletta, Francesco; Kang, Jian; Raynham, Peter; Mumovic, Dejan; Davies, Mike] UCL Inst Environm Design &amp; Engn, 14 Upper Woburn Pl, London WC1H 0NN, England; [Jain, Nishesh] DesignBuilder Software Ltd, Stroud GL5 2AD, England; [Bunn, Roderic] WMEboom, 114 Whitechapel High St, London E1 7PT, England</t>
        </is>
      </c>
      <c r="Y216" t="inlineStr">
        <is>
          <t>University of London; University College London</t>
        </is>
      </c>
      <c r="Z216" t="inlineStr">
        <is>
          <t>Jain, N (corresponding author), UCL Inst Environm Design &amp; Engn, 14 Upper Woburn Pl, London WC1H 0NN, England.;Jain, N (corresponding author), DesignBuilder Software Ltd, Stroud GL5 2AD, England.</t>
        </is>
      </c>
      <c r="AA216" t="inlineStr">
        <is>
          <t>n.jain@ucl.ac.uk; esfand.burman@ucl.ac.uk; samuel.stamp@ucl.ac.uk; clive.shrubsole.09@alumni.ucl.ac.uk; roderic.bunn.13@alumni.ucl.ac.uk; t.oberman@ucl.ac.uk; edward.barrett@ucl.ac.uk; f.aletta@ucl.ac.uk; j.kang@ucl.ac.uk; p.raynham@ucl.ac.uk; d.mumovic@ucl.ac.uk; michael.davies@ucl.ac.uk</t>
        </is>
      </c>
      <c r="AB216" t="inlineStr">
        <is>
          <t>Davies, Michael/GWV-2527-2022; Aletta, Francesco/U-4821-2017; Oberman, Tin/I-7565-2019; Shrubsole, Clive/L-7783-2018</t>
        </is>
      </c>
      <c r="AC216" t="inlineStr">
        <is>
          <t>Aletta, Francesco/0000-0003-0351-3189; Oberman, Tin/0000-0002-0014-0383; Mumovic, Dejan/0000-0002-4914-9004; Burman, Esfandiar/0000-0002-3180-3231; Jain, Nishesh/0000-0002-4116-0903; Shrubsole, Clive/0000-0003-1212-3668; Kang, Jian/0000-0001-8995-5636</t>
        </is>
      </c>
      <c r="AD216" t="inlineStr">
        <is>
          <t>UCL Overseas Research Scholarships (UCL-ORS); DesignBuilder Software Ltd.; Innovate UK KTP project [11615]; 'Total Performance' of Low Carbon Buildings in China and the UK ('TOP') project - EPSRC [EP/N009703/1]; ERC [55 740696]; EPSRC [EP/N009703/1, EP/P022405/1] Funding Source: UKRI</t>
        </is>
      </c>
      <c r="AE216" t="inlineStr">
        <is>
          <t>UCL Overseas Research Scholarships (UCL-ORS); DesignBuilder Software Ltd.; Innovate UK KTP project(UK Research &amp; Innovation (UKRI)Innovate UK); 'Total Performance' of Low Carbon Buildings in China and the UK ('TOP') project - EPSRC(UK Research &amp; Innovation (UKRI)Engineering &amp; Physical Sciences Research Council (EPSRC)); ERC(European Research Council (ERC)); EPSRC(UK Research &amp; Innovation (UKRI)Engineering &amp; Physical Sciences Research Council (EPSRC))</t>
        </is>
      </c>
      <c r="AF216" t="inlineStr">
        <is>
          <t>The authors gratefully acknowledge the financial support from UCL Overseas Research Scholarships (UCL-ORS), DesignBuilder Software Ltd., Innovate UK KTP project (Partnership number 11615); the 'Total Performance' of Low Carbon Buildings in China and the UK (`TOP') project funded by EPSRC (EP/N009703/1) and the ERC Advanced Grant (55 740696).</t>
        </is>
      </c>
      <c r="AH216" t="n">
        <v>66</v>
      </c>
      <c r="AI216" t="n">
        <v>14</v>
      </c>
      <c r="AJ216" t="n">
        <v>14</v>
      </c>
      <c r="AK216" t="n">
        <v>7</v>
      </c>
      <c r="AL216" t="n">
        <v>36</v>
      </c>
      <c r="AM216" t="inlineStr">
        <is>
          <t>MDPI</t>
        </is>
      </c>
      <c r="AN216" t="inlineStr">
        <is>
          <t>BASEL</t>
        </is>
      </c>
      <c r="AO216" t="inlineStr">
        <is>
          <t>ST ALBAN-ANLAGE 66, CH-4052 BASEL, SWITZERLAND</t>
        </is>
      </c>
      <c r="AQ216" t="inlineStr">
        <is>
          <t>2073-4433</t>
        </is>
      </c>
      <c r="AS216" t="inlineStr">
        <is>
          <t>ATMOSPHERE-BASEL</t>
        </is>
      </c>
      <c r="AT216" t="inlineStr">
        <is>
          <t>Atmosphere</t>
        </is>
      </c>
      <c r="AU216" t="inlineStr">
        <is>
          <t>JAN</t>
        </is>
      </c>
      <c r="AV216" t="n">
        <v>2021</v>
      </c>
      <c r="AW216" t="n">
        <v>12</v>
      </c>
      <c r="AX216" t="n">
        <v>1</v>
      </c>
      <c r="BE216" t="n">
        <v>115</v>
      </c>
      <c r="BF216" t="inlineStr">
        <is>
          <t>10.3390/atmos12010115</t>
        </is>
      </c>
      <c r="BG216">
        <f>HYPERLINK("http://dx.doi.org/10.3390/atmos12010115","http://dx.doi.org/10.3390/atmos12010115")</f>
        <v/>
      </c>
      <c r="BJ216" t="n">
        <v>22</v>
      </c>
      <c r="BK216" t="inlineStr">
        <is>
          <t>Environmental Sciences; Meteorology &amp; Atmospheric Sciences</t>
        </is>
      </c>
      <c r="BL216" t="inlineStr">
        <is>
          <t>Science Citation Index Expanded (SCI-EXPANDED)</t>
        </is>
      </c>
      <c r="BM216" t="inlineStr">
        <is>
          <t>Environmental Sciences &amp; Ecology; Meteorology &amp; Atmospheric Sciences</t>
        </is>
      </c>
      <c r="BN216" t="inlineStr">
        <is>
          <t>PW9SW</t>
        </is>
      </c>
      <c r="BP216" t="inlineStr">
        <is>
          <t>gold, Green Published</t>
        </is>
      </c>
      <c r="BS216" t="inlineStr">
        <is>
          <t>2023-10-26</t>
        </is>
      </c>
      <c r="BT216" t="inlineStr">
        <is>
          <t>WOS:000611008000001</t>
        </is>
      </c>
      <c r="BU216">
        <f>HYPERLINK("https%3A%2F%2Fwww.webofscience.com%2Fwos%2Fwoscc%2Ffull-record%2FWOS:000611008000001","View Full Record in Web of Science")</f>
        <v/>
      </c>
    </row>
    <row r="217">
      <c r="A217" t="inlineStr">
        <is>
          <t>J</t>
        </is>
      </c>
      <c r="B217" t="inlineStr">
        <is>
          <t>Nundy, S; Ghosh, A; Mesloub, A; Albaqawy, GA; Alnaim, MM</t>
        </is>
      </c>
      <c r="F217" t="inlineStr">
        <is>
          <t>Nundy, Srijita; Ghosh, Aritra; Mesloub, Abdelhakim; Albaqawy, Ghazy Abdullah; Alnaim, Mohammed Mashary</t>
        </is>
      </c>
      <c r="J217" t="inlineStr">
        <is>
          <t>JOURNAL OF CLEANER PRODUCTION</t>
        </is>
      </c>
      <c r="M217" t="inlineStr">
        <is>
          <t>English</t>
        </is>
      </c>
      <c r="N217" t="inlineStr">
        <is>
          <t>Article</t>
        </is>
      </c>
      <c r="T217" t="inlineStr">
        <is>
          <t>Impact of COVID-19 pandemic on socio-economic, energy-environment and transport sector globally and sustainable development goal (SDG)</t>
        </is>
      </c>
      <c r="U217" t="inlineStr">
        <is>
          <t>COVID-19; Pandemic; Social; Economic; Environment; Energy; Transport; Lockdown; Quarantine; Sustainable development goal (SDG); United nation (UN)</t>
        </is>
      </c>
      <c r="V217" t="inlineStr">
        <is>
          <t>FREE PUBLIC TRANSPORT; THERMAL PERFORMANCE; SWITCHING BEHAVIOR; COLOR PROPERTIES; TEMPERATURE; LOCKDOWN; TIME; TRANSMISSION; CORONAVIRUS; INFECTIONS</t>
        </is>
      </c>
      <c r="W217" t="inlineStr">
        <is>
          <t>The United Nation's Sustainable Development Goals (SDGs) want to have a peaceful world where human life will be in a safe, healthy, sustainable environment without any inequalities. However, the year 2020 experienced a global pandemic due to COVID-19. This COVID-19 created an adverse impact on human life, economic, environment, and energy and transport sector compared to the pre-COVID-19 scenario. These above-mentioned sectors are interrelated and thus lockdown strategy and stay at home rules to reduce the COVID-19 transmission had a drastic effect on them. With lockdown, all industry and transport sectors were closed, energy demand reduced greatly but the time shift of energy demand had a critical impact on grid and energy generation. Decreased energy demand caused a silver lining with an improved environment. However, drowned economy creating a negative impact on the human mind and financial condition, which at times led to life-ending decisions. Transport sector which faced a financial dip last year trying to coming out from the losses which are not feasible without government aid and a new customer-friendly policy. Sustainable transport and the electric vehicle should take high gear. While people are staying at home or using work from home scheme, building indoor environment must specially be taken care of as a compromised indoor environment affects and increases the risk of many diseases. Also, the energy-efficient building will play a key role to abate the enhanced building energy demand and more generation from renewable sources should be in priority. It is still too early to predict any forecast about the regain period of all those sectors but with vaccination now being introduced and implemented but still, it can be considered as an ongoing process as its final results are yet to be seen. As of now, COVID-19 still continue to grow in certain areas causing anxiety and destruction. With all these causes, effects, and restoration plans, still SDGs will be suffered in great order to attain their target by 2030 and collaborative support from all countries can only help in this time.</t>
        </is>
      </c>
      <c r="X217" t="inlineStr">
        <is>
          <t>[Nundy, Srijita] Sungkyunkwan Univ, Adv Mat Sci &amp; Engn, Suwon 16419, South Korea; [Ghosh, Aritra] Univ Exeter, Renewable Energy, Coll Engn Math &amp; Phys Sci, Penryn TR10 9FE, Cornwall, England; [Mesloub, Abdelhakim; Albaqawy, Ghazy Abdullah; Alnaim, Mohammed Mashary] Hail Univ, Dept Architectural Engn, Hail 2440, Saudi Arabia</t>
        </is>
      </c>
      <c r="Y217" t="inlineStr">
        <is>
          <t>Sungkyunkwan University (SKKU); University of Exeter; University Ha'il</t>
        </is>
      </c>
      <c r="Z217" t="inlineStr">
        <is>
          <t>Ghosh, A (corresponding author), Univ Exeter, Renewable Energy, Coll Engn Math &amp; Phys Sci, Penryn TR10 9FE, Cornwall, England.</t>
        </is>
      </c>
      <c r="AA217" t="inlineStr">
        <is>
          <t>ghosh@exeter.ac.uk</t>
        </is>
      </c>
      <c r="AB217" t="inlineStr">
        <is>
          <t>Mesloub, Abdelhakim/AAZ-1981-2020; Ghosh, Aritra/AGU-0899-2022; AlNaim, Mohammed Mashary/AAB-7709-2022; Alnaim, Mohammed/GPX-1050-2022; AlNaim, Mohammed Mashary/ISV-0599-2023; Albaqawy, Ghazy/AAP-4257-2021; Albaqawy, Ghazy/GSN-9606-2022</t>
        </is>
      </c>
      <c r="AC217" t="inlineStr">
        <is>
          <t>Mesloub, Abdelhakim/0000-0002-4513-8105; AlNaim, Mohammed Mashary/0000-0003-3591-4323; AlNaim, Mohammed Mashary/0000-0003-3591-4323; Albaqawy, Ghazy/0000-0001-9232-216X; Nundy, Srijta/0000-0002-9885-9432</t>
        </is>
      </c>
      <c r="AH217" t="n">
        <v>310</v>
      </c>
      <c r="AI217" t="n">
        <v>104</v>
      </c>
      <c r="AJ217" t="n">
        <v>105</v>
      </c>
      <c r="AK217" t="n">
        <v>18</v>
      </c>
      <c r="AL217" t="n">
        <v>82</v>
      </c>
      <c r="AM217" t="inlineStr">
        <is>
          <t>ELSEVIER SCI LTD</t>
        </is>
      </c>
      <c r="AN217" t="inlineStr">
        <is>
          <t>OXFORD</t>
        </is>
      </c>
      <c r="AO217" t="inlineStr">
        <is>
          <t>THE BOULEVARD, LANGFORD LANE, KIDLINGTON, OXFORD OX5 1GB, OXON, ENGLAND</t>
        </is>
      </c>
      <c r="AP217" t="inlineStr">
        <is>
          <t>0959-6526</t>
        </is>
      </c>
      <c r="AQ217" t="inlineStr">
        <is>
          <t>1879-1786</t>
        </is>
      </c>
      <c r="AS217" t="inlineStr">
        <is>
          <t>J CLEAN PROD</t>
        </is>
      </c>
      <c r="AT217" t="inlineStr">
        <is>
          <t>J. Clean Prod.</t>
        </is>
      </c>
      <c r="AU217" t="inlineStr">
        <is>
          <t>AUG 20</t>
        </is>
      </c>
      <c r="AV217" t="n">
        <v>2021</v>
      </c>
      <c r="AW217" t="n">
        <v>312</v>
      </c>
      <c r="BE217" t="n">
        <v>127705</v>
      </c>
      <c r="BF217" t="inlineStr">
        <is>
          <t>10.1016/j.jclepro.2021.127705</t>
        </is>
      </c>
      <c r="BG217">
        <f>HYPERLINK("http://dx.doi.org/10.1016/j.jclepro.2021.127705","http://dx.doi.org/10.1016/j.jclepro.2021.127705")</f>
        <v/>
      </c>
      <c r="BI217" t="inlineStr">
        <is>
          <t>JUN 2021</t>
        </is>
      </c>
      <c r="BJ217" t="n">
        <v>24</v>
      </c>
      <c r="BK217" t="inlineStr">
        <is>
          <t>Green &amp; Sustainable Science &amp; Technology; Engineering, Environmental; Environmental Sciences</t>
        </is>
      </c>
      <c r="BL217" t="inlineStr">
        <is>
          <t>Science Citation Index Expanded (SCI-EXPANDED); Social Science Citation Index (SSCI)</t>
        </is>
      </c>
      <c r="BM217" t="inlineStr">
        <is>
          <t>Science &amp; Technology - Other Topics; Engineering; Environmental Sciences &amp; Ecology</t>
        </is>
      </c>
      <c r="BN217" t="inlineStr">
        <is>
          <t>TI2BF</t>
        </is>
      </c>
      <c r="BO217" t="n">
        <v>36471816</v>
      </c>
      <c r="BP217" t="inlineStr">
        <is>
          <t>Bronze, Green Published</t>
        </is>
      </c>
      <c r="BS217" t="inlineStr">
        <is>
          <t>2023-10-26</t>
        </is>
      </c>
      <c r="BT217" t="inlineStr">
        <is>
          <t>WOS:000672590600005</t>
        </is>
      </c>
      <c r="BU217">
        <f>HYPERLINK("https%3A%2F%2Fwww.webofscience.com%2Fwos%2Fwoscc%2Ffull-record%2FWOS:000672590600005","View Full Record in Web of Science")</f>
        <v/>
      </c>
    </row>
    <row r="218">
      <c r="A218" t="inlineStr">
        <is>
          <t>J</t>
        </is>
      </c>
      <c r="B218" t="inlineStr">
        <is>
          <t>Han, MJN; Kim, MJ</t>
        </is>
      </c>
      <c r="F218" t="inlineStr">
        <is>
          <t>Han, Min Jee Nikki; Kim, Mi Jeong</t>
        </is>
      </c>
      <c r="J218" t="inlineStr">
        <is>
          <t>SUSTAINABILITY</t>
        </is>
      </c>
      <c r="M218" t="inlineStr">
        <is>
          <t>English</t>
        </is>
      </c>
      <c r="N218" t="inlineStr">
        <is>
          <t>Review</t>
        </is>
      </c>
      <c r="T218" t="inlineStr">
        <is>
          <t>A Critical Review of Child-Friendly Environments, Focusing on Children's Experiential Perspectives on the Physical World for Sustainability</t>
        </is>
      </c>
      <c r="U218" t="inlineStr">
        <is>
          <t>child-friendly environments; sustainable development; children's experience; physical activity; environmental consciousness; user experience; evaluation framework</t>
        </is>
      </c>
      <c r="V218" t="inlineStr">
        <is>
          <t>URBAN NEIGHBORHOODS; BUILT ENVIRONMENT; CITIES; PLACE</t>
        </is>
      </c>
      <c r="W218" t="inlineStr">
        <is>
          <t>The concept of child-friendliness has appeared in numerous research studies concerning sustainability and the wellbeing of children. For this critical review of child-friendly environments (CFEs), an evaluation framework of CFEs has been developed, consisting of four principal experiential categories: sociality, wellness, development, and independence of children. Despite considerable research on CFEs since the middle of the twentieth century, there have been few evaluations of CFEs focusing on children's experiences in relation to the physical environment. Through an exhaustive analysis of selected papers in this research, it was found that most papers have focused on the physical experiences of children, rarely mentioning the emotional experiences of children in relation to the physical environment. The environmental experiences of children are very critical for a balanced development in their emotional, physical, and intellectual comprehension. Therefore, research on CFEs should consider the balanced emotional, physical, and intellectual development of children. This research critically highlights the aspects of children's experiences to be addressed in CFEs research, exploring valuable insights into the environmental cognition of children and their development. A better understanding of children and an interpretative analysis of their experiences will lead to adequately balanced CFEs, creating sustainable environments.</t>
        </is>
      </c>
      <c r="X218" t="inlineStr">
        <is>
          <t>[Han, Min Jee Nikki; Kim, Mi Jeong] Kyung Hee Univ, Dept Housing &amp; Interior Design, Seoul 02447, South Korea</t>
        </is>
      </c>
      <c r="Y218" t="inlineStr">
        <is>
          <t>Kyung Hee University</t>
        </is>
      </c>
      <c r="Z218" t="inlineStr">
        <is>
          <t>Kim, MJ (corresponding author), Kyung Hee Univ, Dept Housing &amp; Interior Design, Seoul 02447, South Korea.</t>
        </is>
      </c>
      <c r="AA218" t="inlineStr">
        <is>
          <t>minjee83@hotmail.com; mijeongkim@khu.ac.kr</t>
        </is>
      </c>
      <c r="AB218" t="inlineStr">
        <is>
          <t>Kim, Mi Jeong/Z-6248-2019</t>
        </is>
      </c>
      <c r="AC218" t="inlineStr">
        <is>
          <t>Kim, Mi Jeong/0000-0002-0727-2741; Han, Min Jee Nikki/0000-0002-2762-2825</t>
        </is>
      </c>
      <c r="AD218" t="inlineStr">
        <is>
          <t>National Research Foundation of Korea (NRF) - Korean government [NRF-2016R1A2B4007752]</t>
        </is>
      </c>
      <c r="AE218" t="inlineStr">
        <is>
          <t>National Research Foundation of Korea (NRF) - Korean government</t>
        </is>
      </c>
      <c r="AF218" t="inlineStr">
        <is>
          <t>This work was supported by the National Research Foundation of Korea (NRF) grant funded by the Korean government (NRF-2016R1A2B4007752).</t>
        </is>
      </c>
      <c r="AH218" t="n">
        <v>27</v>
      </c>
      <c r="AI218" t="n">
        <v>7</v>
      </c>
      <c r="AJ218" t="n">
        <v>7</v>
      </c>
      <c r="AK218" t="n">
        <v>7</v>
      </c>
      <c r="AL218" t="n">
        <v>80</v>
      </c>
      <c r="AM218" t="inlineStr">
        <is>
          <t>MDPI</t>
        </is>
      </c>
      <c r="AN218" t="inlineStr">
        <is>
          <t>BASEL</t>
        </is>
      </c>
      <c r="AO218" t="inlineStr">
        <is>
          <t>ST ALBAN-ANLAGE 66, CH-4052 BASEL, SWITZERLAND</t>
        </is>
      </c>
      <c r="AQ218" t="inlineStr">
        <is>
          <t>2071-1050</t>
        </is>
      </c>
      <c r="AS218" t="inlineStr">
        <is>
          <t>SUSTAINABILITY-BASEL</t>
        </is>
      </c>
      <c r="AT218" t="inlineStr">
        <is>
          <t>Sustainability</t>
        </is>
      </c>
      <c r="AU218" t="inlineStr">
        <is>
          <t>OCT</t>
        </is>
      </c>
      <c r="AV218" t="n">
        <v>2018</v>
      </c>
      <c r="AW218" t="n">
        <v>10</v>
      </c>
      <c r="AX218" t="n">
        <v>10</v>
      </c>
      <c r="BE218" t="n">
        <v>3725</v>
      </c>
      <c r="BF218" t="inlineStr">
        <is>
          <t>10.3390/su10103725</t>
        </is>
      </c>
      <c r="BG218">
        <f>HYPERLINK("http://dx.doi.org/10.3390/su10103725","http://dx.doi.org/10.3390/su10103725")</f>
        <v/>
      </c>
      <c r="BJ218" t="n">
        <v>14</v>
      </c>
      <c r="BK218" t="inlineStr">
        <is>
          <t>Green &amp; Sustainable Science &amp; Technology; Environmental Sciences; Environmental Studies</t>
        </is>
      </c>
      <c r="BL218" t="inlineStr">
        <is>
          <t>Science Citation Index Expanded (SCI-EXPANDED); Social Science Citation Index (SSCI)</t>
        </is>
      </c>
      <c r="BM218" t="inlineStr">
        <is>
          <t>Science &amp; Technology - Other Topics; Environmental Sciences &amp; Ecology</t>
        </is>
      </c>
      <c r="BN218" t="inlineStr">
        <is>
          <t>GY4UB</t>
        </is>
      </c>
      <c r="BP218" t="inlineStr">
        <is>
          <t>Green Submitted, gold</t>
        </is>
      </c>
      <c r="BS218" t="inlineStr">
        <is>
          <t>2023-10-26</t>
        </is>
      </c>
      <c r="BT218" t="inlineStr">
        <is>
          <t>WOS:000448559400367</t>
        </is>
      </c>
      <c r="BU218">
        <f>HYPERLINK("https%3A%2F%2Fwww.webofscience.com%2Fwos%2Fwoscc%2Ffull-record%2FWOS:000448559400367","View Full Record in Web of Science")</f>
        <v/>
      </c>
    </row>
    <row r="219">
      <c r="A219" t="inlineStr">
        <is>
          <t>J</t>
        </is>
      </c>
      <c r="B219" t="inlineStr">
        <is>
          <t>García-Esquinas, E; Téllez-Plaza, M; Pastor-Barriuso, R; Ortolá, R; Olmedo, P; Gil, F; López-García, E; Navas-Acien, A; Rodríguez-Artalejo, F</t>
        </is>
      </c>
      <c r="F219" t="inlineStr">
        <is>
          <t>Garcia-Esquinas, Esther; Tellez-Plaza, Maria; Pastor-Barriuso, Roberto; Ortola, Rosario; Olmedo, Pablo; Gil, Fernando; Lopez-Garcia, Esther; Navas-Acien, Ana; Rodriguez-Artalejo, Fernando</t>
        </is>
      </c>
      <c r="J219" t="inlineStr">
        <is>
          <t>ENVIRONMENTAL POLLUTION</t>
        </is>
      </c>
      <c r="M219" t="inlineStr">
        <is>
          <t>English</t>
        </is>
      </c>
      <c r="N219" t="inlineStr">
        <is>
          <t>Article</t>
        </is>
      </c>
      <c r="T219" t="inlineStr">
        <is>
          <t>Blood cadmium and physical function limitations in older adults</t>
        </is>
      </c>
      <c r="U219" t="inlineStr">
        <is>
          <t>Cadmium; Functional impairment; Disability; Older adults</t>
        </is>
      </c>
      <c r="V219" t="inlineStr">
        <is>
          <t>OXIDATIVE STRESS; NATIONAL-HEALTH; URINARY CADMIUM; US ADULTS; EXPOSURE; POPULATION; MORTALITY; FRAILTY; ASSOCIATION; LEAD</t>
        </is>
      </c>
      <c r="W219" t="inlineStr">
        <is>
          <t>Background: Cadmium (Cd) is a toxic metal found in tobacco, air and food. Recent cross-sectional studies have suggested that Cd negatively impacts physical performance, but the prospective association is uncertain. Methods: We used data from 2548 older adults from the Seniors-ENRICA II cohort in Madrid, Spain. Whole blood Cd levels were measured at baseline using inductively coupled plasma-mass spectrometry. At baseline (2017) and follow-up (2019), overall physical function was evaluated using the physical component summary (PCS) of the SF 12-Item Health questionnaire, lower-extremity performance with the Short Physical Performance Battery (SPPB), muscle weakness with a hand dynamometer, and frailty with a Deficit Accumulation index. Mobility limitations and disability in instrumental activities of daily living (IADL) were ascertained with standardized questionnaires. Analyses were adjusted for relevant confounders, including tobacco smoke, number of cigarettes smoked per day and time since cessation in former smokers. Results: In cross-sectional analyses, odds ratios (95% confidence interval) per two-fold increase in blood Cd were 1.16 (1.03; 1.31) for low PCS scores, 1.08 (0.97; 1.20) for impaired lower-extremity performance, 1.10 (0.98; 1.23) for low grip strength,111 (1.02; 1.20) for mobility limitations, 1.16 (1.02; 1.31) for frailty, and 1.26 (1.08; 1.47) for IADL disability. In longitudinal analyses, corresponding hazard ratios were 1.25 (1.03; 1.51) for low PCS scores, 1.14 (1.03; 1.27) for impaired lower-extremity performance, 1.02 (0.92; 1.13) for low grip strength, 1.03 (0.91; 1.16) for mobility limitations, and 1.16 (1.00; 1.35) for frailty. All the associations where consistent when current smokers were excluded from the analyses. Conclusions: Our results support the role of Cd as a risk factor for physical function impairments in older adults. (C) 2021 Elsevier Ltd. All rights reserved.</t>
        </is>
      </c>
      <c r="X219" t="inlineStr">
        <is>
          <t>[Garcia-Esquinas, Esther; Tellez-Plaza, Maria; Ortola, Rosario; Lopez-Garcia, Esther; Rodriguez-Artalejo, Fernando] Univ Autonoma Madrid, Dept Prevent Med &amp; Publ Hlth, Sch Med, Calle Arzobispo Morcillo 4, Madrid 28029, Spain; [Garcia-Esquinas, Esther; Ortola, Rosario; Lopez-Garcia, Esther; Rodriguez-Artalejo, Fernando] Univ Autonoma Madrid, IdiPaz Hosp Univ La Paz, Madrid, Spain; [Garcia-Esquinas, Esther; Pastor-Barriuso, Roberto; Ortola, Rosario; Lopez-Garcia, Esther; Rodriguez-Artalejo, Fernando] CIBERESP CIBER Epidemiol &amp; Publ Hlth, Madrid, Spain; [Tellez-Plaza, Maria; Pastor-Barriuso, Roberto] Carlos III Hlth Inst, Natl Ctr Epidemiol, Madrid, Spain; [Tellez-Plaza, Maria] Hosp Clin Valencia INCLIVA, Biomed Res Inst, Valencia, Spain; [Olmedo, Pablo; Gil, Fernando] Univ Granada, Sch Med, Dept Legal Med Toxicol &amp; Phys Anthropol, Granada, Spain; [Lopez-Garcia, Esther; Rodriguez-Artalejo, Fernando] CEI UAM CSIC, IMDEA Food Inst, Madrid, Spain; [Navas-Acien, Ana] Columbia Univ, Mailman Sch Publ Hlth, Dept Environm Hlth Sci, New York, NY USA</t>
        </is>
      </c>
      <c r="Y219" t="inlineStr">
        <is>
          <t>Autonomous University of Madrid; Hospital Universitario La Paz; Autonomous University of Madrid; CIBER - Centro de Investigacion Biomedica en Red; CIBERESP; University of Granada; IMDEA Food Institute; Consejo Superior de Investigaciones Cientificas (CSIC); Columbia University</t>
        </is>
      </c>
      <c r="Z219" t="inlineStr">
        <is>
          <t>García-Esquinas, E (corresponding author), Univ Autonoma Madrid, Dept Prevent Med &amp; Publ Hlth, Sch Med, Calle Arzobispo Morcillo 4, Madrid 28029, Spain.</t>
        </is>
      </c>
      <c r="AA219" t="inlineStr">
        <is>
          <t>esthergge@gmail.com</t>
        </is>
      </c>
      <c r="AB219" t="inlineStr">
        <is>
          <t>Tellez-Plaza, Maria/AAL-9820-2021; Ortolá, Rosario/V-4807-2019; Pastor-Barriuso, Roberto/AAA-6746-2019; garcia, esther/AAR-8372-2021; n, a/HRA-1392-2023; Gil, Fernando/AAS-6458-2020</t>
        </is>
      </c>
      <c r="AC219" t="inlineStr">
        <is>
          <t>Tellez-Plaza, Maria/0000-0002-3850-1228; Ortolá, Rosario/0000-0001-6952-9533; Pastor-Barriuso, Roberto/0000-0002-7325-3960; Rodriguez Artalejo, Fernando/0000-0001-9317-5755; garcia-esquinas, Esther/0000-0002-8688-5174; Olmedo Palma, Pablo/0000-0001-5022-6495</t>
        </is>
      </c>
      <c r="AD219" t="inlineStr">
        <is>
          <t>State Secretary of R + D + I; FEDER/FSE [PI19/319, 18/287, 16/609, 15/75]</t>
        </is>
      </c>
      <c r="AE219" t="inlineStr">
        <is>
          <t>State Secretary of R + D + I; FEDER/FSE(European Union (EU)European Social Fund (ESF))</t>
        </is>
      </c>
      <c r="AF219" t="inlineStr">
        <is>
          <t>This work was supported by the State Secretary of R + D + I, and FEDER/FSE [PI19/319, 18/287, 16/609 and 15/75].</t>
        </is>
      </c>
      <c r="AH219" t="n">
        <v>64</v>
      </c>
      <c r="AI219" t="n">
        <v>5</v>
      </c>
      <c r="AJ219" t="n">
        <v>5</v>
      </c>
      <c r="AK219" t="n">
        <v>1</v>
      </c>
      <c r="AL219" t="n">
        <v>10</v>
      </c>
      <c r="AM219" t="inlineStr">
        <is>
          <t>ELSEVIER SCI LTD</t>
        </is>
      </c>
      <c r="AN219" t="inlineStr">
        <is>
          <t>OXFORD</t>
        </is>
      </c>
      <c r="AO219" t="inlineStr">
        <is>
          <t>THE BOULEVARD, LANGFORD LANE, KIDLINGTON, OXFORD OX5 1GB, OXON, ENGLAND</t>
        </is>
      </c>
      <c r="AP219" t="inlineStr">
        <is>
          <t>0269-7491</t>
        </is>
      </c>
      <c r="AQ219" t="inlineStr">
        <is>
          <t>1873-6424</t>
        </is>
      </c>
      <c r="AS219" t="inlineStr">
        <is>
          <t>ENVIRON POLLUT</t>
        </is>
      </c>
      <c r="AT219" t="inlineStr">
        <is>
          <t>Environ. Pollut.</t>
        </is>
      </c>
      <c r="AU219" t="inlineStr">
        <is>
          <t>MAY 1</t>
        </is>
      </c>
      <c r="AV219" t="n">
        <v>2021</v>
      </c>
      <c r="AW219" t="n">
        <v>276</v>
      </c>
      <c r="BE219" t="n">
        <v>116748</v>
      </c>
      <c r="BF219" t="inlineStr">
        <is>
          <t>10.1016/j.envpol.2021.116748</t>
        </is>
      </c>
      <c r="BG219">
        <f>HYPERLINK("http://dx.doi.org/10.1016/j.envpol.2021.116748","http://dx.doi.org/10.1016/j.envpol.2021.116748")</f>
        <v/>
      </c>
      <c r="BI219" t="inlineStr">
        <is>
          <t>FEB 2021</t>
        </is>
      </c>
      <c r="BJ219" t="n">
        <v>12</v>
      </c>
      <c r="BK219" t="inlineStr">
        <is>
          <t>Environmental Sciences</t>
        </is>
      </c>
      <c r="BL219" t="inlineStr">
        <is>
          <t>Science Citation Index Expanded (SCI-EXPANDED); Social Science Citation Index (SSCI)</t>
        </is>
      </c>
      <c r="BM219" t="inlineStr">
        <is>
          <t>Environmental Sciences &amp; Ecology</t>
        </is>
      </c>
      <c r="BN219" t="inlineStr">
        <is>
          <t>QZ5OA</t>
        </is>
      </c>
      <c r="BO219" t="n">
        <v>33639488</v>
      </c>
      <c r="BS219" t="inlineStr">
        <is>
          <t>2023-10-26</t>
        </is>
      </c>
      <c r="BT219" t="inlineStr">
        <is>
          <t>WOS:000630774100072</t>
        </is>
      </c>
      <c r="BU219">
        <f>HYPERLINK("https%3A%2F%2Fwww.webofscience.com%2Fwos%2Fwoscc%2Ffull-record%2FWOS:000630774100072","View Full Record in Web of Science")</f>
        <v/>
      </c>
    </row>
    <row r="220">
      <c r="A220" t="inlineStr">
        <is>
          <t>J</t>
        </is>
      </c>
      <c r="B220" t="inlineStr">
        <is>
          <t>Liu, KS; Chen, CC</t>
        </is>
      </c>
      <c r="F220" t="inlineStr">
        <is>
          <t>Liu, K. S.; Chen, C. C.</t>
        </is>
      </c>
      <c r="J220" t="inlineStr">
        <is>
          <t>APPLIED ECOLOGY AND ENVIRONMENTAL RESEARCH</t>
        </is>
      </c>
      <c r="M220" t="inlineStr">
        <is>
          <t>English</t>
        </is>
      </c>
      <c r="N220" t="inlineStr">
        <is>
          <t>Article</t>
        </is>
      </c>
      <c r="T220" t="inlineStr">
        <is>
          <t>THE EFFECTS OF DEEP BALCONY OF DIFFERENT BUILDING HEIGHTS ON INDOOR LIGHTING AND THERMO-ENVIRONMENT</t>
        </is>
      </c>
      <c r="U220" t="inlineStr">
        <is>
          <t>deep shade type balcony; fenestration rate; building high-rise; building energy simulation; building Information Model (BIM); ECO-Efficiency model</t>
        </is>
      </c>
      <c r="V220" t="inlineStr">
        <is>
          <t>EXISTING BUILDINGS; SYSTEMS</t>
        </is>
      </c>
      <c r="W220" t="inlineStr">
        <is>
          <t>The plan for the  Kaohsiung area building was based on the  different building height depth research on indoor warm sun sets and lighting environmental benefits of Planning design evaluation. Kaohsiung houses' existing buildingswere studied for building information model of  building energy simulation so as to simulate and evaluate the effectiveness of deep shade type balcony design. The purpose of studying both Houses of different types of buildings in Kaohsiung is to design energy-efficient building exterior balconies with improved planning and designsso as to improve simulation predictions and improve measures and deliberations. It is also expected to develop design principles of renovations, including the focus on the consolidation and transformation of energy-saving design details of the housing on the practical application of the analysis withcollocation and verified by simulation. The results of the imported ECO-efficiency model (EEM) was used to assess its life-cycle costs and benefits(LCCE) and the research results can providea different building height depth research on indoor warm sun sets and the environmental benefits of daylighting toward the reference design criteria of sustainable building renovation.</t>
        </is>
      </c>
      <c r="X220" t="inlineStr">
        <is>
          <t>[Liu, K. S.; Chen, C. C.] Tung Fang Design Inst, Dept Interior Design, 110 Dongfang Rd, Kaohsiung 82941, Taiwan</t>
        </is>
      </c>
      <c r="Y220" t="inlineStr">
        <is>
          <t>Tung Fang Design University</t>
        </is>
      </c>
      <c r="Z220" t="inlineStr">
        <is>
          <t>Liu, KS (corresponding author), Tung Fang Design Inst, Dept Interior Design, 110 Dongfang Rd, Kaohsiung 82941, Taiwan.</t>
        </is>
      </c>
      <c r="AA220" t="inlineStr">
        <is>
          <t>kliu1219@yahoo.com.tw</t>
        </is>
      </c>
      <c r="AH220" t="n">
        <v>12</v>
      </c>
      <c r="AI220" t="n">
        <v>4</v>
      </c>
      <c r="AJ220" t="n">
        <v>4</v>
      </c>
      <c r="AK220" t="n">
        <v>3</v>
      </c>
      <c r="AL220" t="n">
        <v>13</v>
      </c>
      <c r="AM220" t="inlineStr">
        <is>
          <t>CORVINUS UNIV BUDAPEST</t>
        </is>
      </c>
      <c r="AN220" t="inlineStr">
        <is>
          <t>BUDAPEST</t>
        </is>
      </c>
      <c r="AO220" t="inlineStr">
        <is>
          <t>VILLANYI UT 29/43, BUDAPEST, H-1118, HUNGARY</t>
        </is>
      </c>
      <c r="AP220" t="inlineStr">
        <is>
          <t>1589-1623</t>
        </is>
      </c>
      <c r="AQ220" t="inlineStr">
        <is>
          <t>1785-0037</t>
        </is>
      </c>
      <c r="AS220" t="inlineStr">
        <is>
          <t>APPL ECOL ENV RES</t>
        </is>
      </c>
      <c r="AT220" t="inlineStr">
        <is>
          <t>Appl. Ecol. Environ. Res.</t>
        </is>
      </c>
      <c r="AV220" t="n">
        <v>2017</v>
      </c>
      <c r="AW220" t="n">
        <v>15</v>
      </c>
      <c r="AX220" t="n">
        <v>2</v>
      </c>
      <c r="BC220" t="n">
        <v>103</v>
      </c>
      <c r="BD220" t="n">
        <v>109</v>
      </c>
      <c r="BF220" t="inlineStr">
        <is>
          <t>10.15666/aeer/1502_103109</t>
        </is>
      </c>
      <c r="BG220">
        <f>HYPERLINK("http://dx.doi.org/10.15666/aeer/1502_103109","http://dx.doi.org/10.15666/aeer/1502_103109")</f>
        <v/>
      </c>
      <c r="BJ220" t="n">
        <v>7</v>
      </c>
      <c r="BK220" t="inlineStr">
        <is>
          <t>Ecology; Environmental Sciences</t>
        </is>
      </c>
      <c r="BL220" t="inlineStr">
        <is>
          <t>Science Citation Index Expanded (SCI-EXPANDED)</t>
        </is>
      </c>
      <c r="BM220" t="inlineStr">
        <is>
          <t>Environmental Sciences &amp; Ecology</t>
        </is>
      </c>
      <c r="BN220" t="inlineStr">
        <is>
          <t>EV6UV</t>
        </is>
      </c>
      <c r="BP220" t="inlineStr">
        <is>
          <t>gold</t>
        </is>
      </c>
      <c r="BS220" t="inlineStr">
        <is>
          <t>2023-10-26</t>
        </is>
      </c>
      <c r="BT220" t="inlineStr">
        <is>
          <t>WOS:000401910900009</t>
        </is>
      </c>
      <c r="BU220">
        <f>HYPERLINK("https%3A%2F%2Fwww.webofscience.com%2Fwos%2Fwoscc%2Ffull-record%2FWOS:000401910900009","View Full Record in Web of Science")</f>
        <v/>
      </c>
    </row>
    <row r="221">
      <c r="A221" t="inlineStr">
        <is>
          <t>J</t>
        </is>
      </c>
      <c r="B221" t="inlineStr">
        <is>
          <t>Sekine, Y; Katori, R; Tsuda, Y; Kitahara, T</t>
        </is>
      </c>
      <c r="F221" t="inlineStr">
        <is>
          <t>Sekine, Yoshika; Katori, Risa; Tsuda, Yuko; Kitahara, Takio</t>
        </is>
      </c>
      <c r="J221" t="inlineStr">
        <is>
          <t>ENVIRONMENTAL TECHNOLOGY</t>
        </is>
      </c>
      <c r="M221" t="inlineStr">
        <is>
          <t>English</t>
        </is>
      </c>
      <c r="N221" t="inlineStr">
        <is>
          <t>Article</t>
        </is>
      </c>
      <c r="T221" t="inlineStr">
        <is>
          <t>Colorimetric monitoring of formaldehyde in indoor environment using built-in camera on mobile phone</t>
        </is>
      </c>
      <c r="U221" t="inlineStr">
        <is>
          <t>Formaldehyde; colorimetric detection; mobile phone; indoor environment; home testing</t>
        </is>
      </c>
      <c r="V221" t="inlineStr">
        <is>
          <t>RESIDENTIAL INDOOR; AIR</t>
        </is>
      </c>
      <c r="W221" t="inlineStr">
        <is>
          <t>A simple monitoring system of indoor air pollution is proposed by integrating a novel colorimetric detector of formaldehyde (HCHO) and a function of a built-in camera on mobile phone. The colorimetric detector employs a solid phase colorimetric reagent made from 4-amino-3-hydrazino-5-mercapto-1,2,4-triazole, ZnO, KIO4 and agar, and changes colour from white to purple by exposure to HCHO gas. The degree of colour changes expressed in Red, Green and Blue model model responded to the HCHO concentration levels both in air and from building materials. Limit of quantitation of the detector with 24 h-exposure resulted in 0.011 mg/m(3) of air concentration which meets a requirement of methodology to detect indoor air quality guideline level of HCHO set by World Health Organization. The detector is also applicable to classify HCHO-emitting materials at least into Type 1, whose emission flux is greater than 120 mu g/m(2)/h, and others. Then, variation of the acquired photo images was investigated by using various mobile phones and changing conditions of photography. As a result, the calibration of the measured colour intensity with a colour standard reduced the variation of the results and gave a significant output when the auto-focused images were taken under the condition of common indoor environment.</t>
        </is>
      </c>
      <c r="X221" t="inlineStr">
        <is>
          <t>[Sekine, Yoshika; Katori, Risa; Tsuda, Yuko; Kitahara, Takio] Tokai Univ, Sch Sci, Dept Chem, Kanagawa 2591100, Japan</t>
        </is>
      </c>
      <c r="Y221" t="inlineStr">
        <is>
          <t>Tokai University</t>
        </is>
      </c>
      <c r="Z221" t="inlineStr">
        <is>
          <t>Sekine, Y (corresponding author), Tokai Univ, Sch Sci, Dept Chem, Kanagawa 2591100, Japan.</t>
        </is>
      </c>
      <c r="AA221" t="inlineStr">
        <is>
          <t>sekine@keyaki.cc.u-tokai.ac.jp</t>
        </is>
      </c>
      <c r="AB221" t="inlineStr">
        <is>
          <t>Sekine, Yoshika/K-2972-2019</t>
        </is>
      </c>
      <c r="AH221" t="n">
        <v>20</v>
      </c>
      <c r="AI221" t="n">
        <v>18</v>
      </c>
      <c r="AJ221" t="n">
        <v>22</v>
      </c>
      <c r="AK221" t="n">
        <v>3</v>
      </c>
      <c r="AL221" t="n">
        <v>59</v>
      </c>
      <c r="AM221" t="inlineStr">
        <is>
          <t>TAYLOR &amp; FRANCIS LTD</t>
        </is>
      </c>
      <c r="AN221" t="inlineStr">
        <is>
          <t>ABINGDON</t>
        </is>
      </c>
      <c r="AO221" t="inlineStr">
        <is>
          <t>2-4 PARK SQUARE, MILTON PARK, ABINGDON OR14 4RN, OXON, ENGLAND</t>
        </is>
      </c>
      <c r="AP221" t="inlineStr">
        <is>
          <t>0959-3330</t>
        </is>
      </c>
      <c r="AQ221" t="inlineStr">
        <is>
          <t>1479-487X</t>
        </is>
      </c>
      <c r="AS221" t="inlineStr">
        <is>
          <t>ENVIRON TECHNOL</t>
        </is>
      </c>
      <c r="AT221" t="inlineStr">
        <is>
          <t>Environ. Technol.</t>
        </is>
      </c>
      <c r="AV221" t="n">
        <v>2016</v>
      </c>
      <c r="AW221" t="n">
        <v>37</v>
      </c>
      <c r="AX221" t="n">
        <v>13</v>
      </c>
      <c r="BC221" t="n">
        <v>1647</v>
      </c>
      <c r="BD221" t="n">
        <v>1655</v>
      </c>
      <c r="BF221" t="inlineStr">
        <is>
          <t>10.1080/09593330.2015.1125394</t>
        </is>
      </c>
      <c r="BG221">
        <f>HYPERLINK("http://dx.doi.org/10.1080/09593330.2015.1125394","http://dx.doi.org/10.1080/09593330.2015.1125394")</f>
        <v/>
      </c>
      <c r="BJ221" t="n">
        <v>9</v>
      </c>
      <c r="BK221" t="inlineStr">
        <is>
          <t>Environmental Sciences</t>
        </is>
      </c>
      <c r="BL221" t="inlineStr">
        <is>
          <t>Science Citation Index Expanded (SCI-EXPANDED)</t>
        </is>
      </c>
      <c r="BM221" t="inlineStr">
        <is>
          <t>Environmental Sciences &amp; Ecology</t>
        </is>
      </c>
      <c r="BN221" t="inlineStr">
        <is>
          <t>DL9GM</t>
        </is>
      </c>
      <c r="BO221" t="n">
        <v>26616679</v>
      </c>
      <c r="BS221" t="inlineStr">
        <is>
          <t>2023-10-26</t>
        </is>
      </c>
      <c r="BT221" t="inlineStr">
        <is>
          <t>WOS:000375949800006</t>
        </is>
      </c>
      <c r="BU221">
        <f>HYPERLINK("https%3A%2F%2Fwww.webofscience.com%2Fwos%2Fwoscc%2Ffull-record%2FWOS:000375949800006","View Full Record in Web of Science")</f>
        <v/>
      </c>
    </row>
    <row r="222">
      <c r="A222" t="inlineStr">
        <is>
          <t>J</t>
        </is>
      </c>
      <c r="B222" t="inlineStr">
        <is>
          <t>Nguyen, LM; Mertens, L</t>
        </is>
      </c>
      <c r="F222" t="inlineStr">
        <is>
          <t>Nguyen, Linda M.; Mertens, Lieze</t>
        </is>
      </c>
      <c r="J222" t="inlineStr">
        <is>
          <t>INTERNATIONAL JOURNAL OF ENVIRONMENTAL RESEARCH AND PUBLIC HEALTH</t>
        </is>
      </c>
      <c r="M222" t="inlineStr">
        <is>
          <t>English</t>
        </is>
      </c>
      <c r="N222" t="inlineStr">
        <is>
          <t>Article</t>
        </is>
      </c>
      <c r="T222" t="inlineStr">
        <is>
          <t>Psychosocial and Social Environmental Factors as Moderators in the Relation between the Objective Environment and Older Adults' Active Transport</t>
        </is>
      </c>
      <c r="U222" t="inlineStr">
        <is>
          <t>walking; cycling; elderly; neighborhood; interaction effects; socio-ecological model</t>
        </is>
      </c>
      <c r="V222" t="inlineStr">
        <is>
          <t>PHYSICAL-ACTIVITY; BUILT ENVIRONMENT; WALKING; NEIGHBORHOOD; DESTINATIONS; PREFERENCES; WALKABILITY; POPULATION; ATTRIBUTES; MULTILEVEL</t>
        </is>
      </c>
      <c r="W222" t="inlineStr">
        <is>
          <t>In order to develop tailored interventions aiming to encourage active transport among older adults, it is important to gain insights into the modifiable moderators affecting active transport behavior considering the neighborhood in which one lives. Therefore, this study aimed to determine which objective physical environmental factors have an impact on the active transport behavior of Belgian older adults (&gt;= 65 years old) and which psychosocial and social environmental moderators influence those relationships. Data from 503 independent living older adults who participated the Belgian Environmental Physical Activity Study in Seniors were included. Multilevel negative binominal regression models (participants nested in neighborhoods) with log link function were fitted for the analyses. Our resulted indicated that older adults living in an environment with higher residential density, higher park density, lower public transport density, and more entropy index had higher active transport levels. Furthermore, different types of neighborhood in which older adults live can lead to different moderators that are decisive for increasing older adults' active transport behavior. Therefore, based on our results some recommendations towards tailored interventions could be given to increase older adults' active transport behavior depending on the environment in which one lives.</t>
        </is>
      </c>
      <c r="X222" t="inlineStr">
        <is>
          <t>[Nguyen, Linda M.] Maastricht Univ, Fac Hlth Med &amp; Life Sci, Univ Singel 40, NL-6229 ER Maastricht, Netherlands; [Mertens, Lieze] Univ Ghent, Dept Movement &amp; Sport Sci, Fac Med &amp; Hlth Sci, Watersportlaan 2, B-9000 Ghent, Belgium; [Mertens, Lieze] Res Fdn Flanders FWO, Egmontstr 5, B-1000 Brussels, Belgium</t>
        </is>
      </c>
      <c r="Y222" t="inlineStr">
        <is>
          <t>Maastricht University; Ghent University</t>
        </is>
      </c>
      <c r="Z222" t="inlineStr">
        <is>
          <t>Mertens, L (corresponding author), Univ Ghent, Dept Movement &amp; Sport Sci, Fac Med &amp; Hlth Sci, Watersportlaan 2, B-9000 Ghent, Belgium.;Mertens, L (corresponding author), Res Fdn Flanders FWO, Egmontstr 5, B-1000 Brussels, Belgium.</t>
        </is>
      </c>
      <c r="AA222" t="inlineStr">
        <is>
          <t>lindanguyen395@gmail.com; lieze.mertens@ugent.be</t>
        </is>
      </c>
      <c r="AB222" t="inlineStr">
        <is>
          <t>Nguyen, Linda/HLX-8542-2023</t>
        </is>
      </c>
      <c r="AC222" t="inlineStr">
        <is>
          <t>Mertens, Lieze/0000-0001-7144-2656</t>
        </is>
      </c>
      <c r="AD222" t="inlineStr">
        <is>
          <t>Research Foundation Flanders (FWO) [B/13018/01]; Research Foundation Flanders [FWO17/PDO/140]</t>
        </is>
      </c>
      <c r="AE222" t="inlineStr">
        <is>
          <t>Research Foundation Flanders (FWO)(FWO); Research Foundation Flanders(FWO)</t>
        </is>
      </c>
      <c r="AF222" t="inlineStr">
        <is>
          <t>This work was funded by the Research Foundation Flanders (FWO) [grant number B/13018/01]. Lieze Mertens is supported by a postdoctoral fellowship of the Research Foundation Flanders [grant number FWO17/PDO/140].</t>
        </is>
      </c>
      <c r="AH222" t="n">
        <v>59</v>
      </c>
      <c r="AI222" t="n">
        <v>3</v>
      </c>
      <c r="AJ222" t="n">
        <v>3</v>
      </c>
      <c r="AK222" t="n">
        <v>3</v>
      </c>
      <c r="AL222" t="n">
        <v>22</v>
      </c>
      <c r="AM222" t="inlineStr">
        <is>
          <t>MDPI</t>
        </is>
      </c>
      <c r="AN222" t="inlineStr">
        <is>
          <t>BASEL</t>
        </is>
      </c>
      <c r="AO222" t="inlineStr">
        <is>
          <t>ST ALBAN-ANLAGE 66, CH-4052 BASEL, SWITZERLAND</t>
        </is>
      </c>
      <c r="AQ222" t="inlineStr">
        <is>
          <t>1660-4601</t>
        </is>
      </c>
      <c r="AS222" t="inlineStr">
        <is>
          <t>INT J ENV RES PUB HE</t>
        </is>
      </c>
      <c r="AT222" t="inlineStr">
        <is>
          <t>Int. J. Environ. Res. Public Health</t>
        </is>
      </c>
      <c r="AU222" t="inlineStr">
        <is>
          <t>MAR</t>
        </is>
      </c>
      <c r="AV222" t="n">
        <v>2021</v>
      </c>
      <c r="AW222" t="n">
        <v>18</v>
      </c>
      <c r="AX222" t="n">
        <v>5</v>
      </c>
      <c r="BE222" t="n">
        <v>2647</v>
      </c>
      <c r="BF222" t="inlineStr">
        <is>
          <t>10.3390/ijerph18052647</t>
        </is>
      </c>
      <c r="BG222">
        <f>HYPERLINK("http://dx.doi.org/10.3390/ijerph18052647","http://dx.doi.org/10.3390/ijerph18052647")</f>
        <v/>
      </c>
      <c r="BJ222" t="n">
        <v>17</v>
      </c>
      <c r="BK222" t="inlineStr">
        <is>
          <t>Environmental Sciences; Public, Environmental &amp; Occupational Health</t>
        </is>
      </c>
      <c r="BL222" t="inlineStr">
        <is>
          <t>Science Citation Index Expanded (SCI-EXPANDED); Social Science Citation Index (SSCI)</t>
        </is>
      </c>
      <c r="BM222" t="inlineStr">
        <is>
          <t>Environmental Sciences &amp; Ecology; Public, Environmental &amp; Occupational Health</t>
        </is>
      </c>
      <c r="BN222" t="inlineStr">
        <is>
          <t>QV6VY</t>
        </is>
      </c>
      <c r="BO222" t="n">
        <v>33808014</v>
      </c>
      <c r="BP222" t="inlineStr">
        <is>
          <t>Green Published, gold</t>
        </is>
      </c>
      <c r="BS222" t="inlineStr">
        <is>
          <t>2023-10-26</t>
        </is>
      </c>
      <c r="BT222" t="inlineStr">
        <is>
          <t>WOS:000628107700001</t>
        </is>
      </c>
      <c r="BU222">
        <f>HYPERLINK("https%3A%2F%2Fwww.webofscience.com%2Fwos%2Fwoscc%2Ffull-record%2FWOS:000628107700001","View Full Record in Web of Science")</f>
        <v/>
      </c>
    </row>
    <row r="223">
      <c r="A223" t="inlineStr">
        <is>
          <t>J</t>
        </is>
      </c>
      <c r="B223" t="inlineStr">
        <is>
          <t>Nguyen, QC; Huang, YR; Kumar, A; Duan, HS; Keralis, JM; Dwivedi, P; Meng, HW; Brunisholz, KD; Jay, J; Javanmardi, M; Tasdizen, T</t>
        </is>
      </c>
      <c r="F223" t="inlineStr">
        <is>
          <t>Quynh C Nguyen; Huang, Yuru; Kumar, Abhinav; Duan, Haoshu; Keralis, Jessica M.; Dwivedi, Pallavi; Meng, Hsien-Wen; Brunisholz, Kimberly D.; Jay, Jonathan; Javanmardi, Mehran; Tasdizen, Tolga</t>
        </is>
      </c>
      <c r="J223" t="inlineStr">
        <is>
          <t>INTERNATIONAL JOURNAL OF ENVIRONMENTAL RESEARCH AND PUBLIC HEALTH</t>
        </is>
      </c>
      <c r="M223" t="inlineStr">
        <is>
          <t>English</t>
        </is>
      </c>
      <c r="N223" t="inlineStr">
        <is>
          <t>Article</t>
        </is>
      </c>
      <c r="T223" t="inlineStr">
        <is>
          <t>Using 164 Million Google Street View Images to Derive Built Environment Predictors of COVID-19 Cases</t>
        </is>
      </c>
      <c r="U223" t="inlineStr">
        <is>
          <t>COVID-19; built environment; big data; GIS; computer vision; machine learning</t>
        </is>
      </c>
      <c r="V223" t="inlineStr">
        <is>
          <t>NEIGHBORHOOD DISORDER; AIR-POLLUTION</t>
        </is>
      </c>
      <c r="W223" t="inlineStr">
        <is>
          <t>The spread of COVID-19 is not evenly distributed. Neighborhood environments may structure risks and resources that produce COVID-19 disparities. Neighborhood built environments that allow greater flow of people into an area or impede social distancing practices may increase residents' risk for contracting the virus. We leveraged Google Street View (GSV) images and computer vision to detect built environment features (presence of a crosswalk, non-single family home, single-lane roads, dilapidated building and visible wires). We utilized Poisson regression models to determine associations of built environment characteristics with COVID-19 cases. Indicators of mixed land use (non-single family home), walkability (sidewalks), and physical disorder (dilapidated buildings and visible wires) were connected with higher COVID-19 cases. Indicators of lower urban development (single lane roads and green streets) were connected with fewer COVID-19 cases. Percent black and percent with less than a high school education were associated with more COVID-19 cases. Our findings suggest that built environment characteristics can help characterize community-level COVID-19 risk. Sociodemographic disparities also highlight differential COVID-19 risk across groups of people. Computer vision and big data image sources make national studies of built environment effects on COVID-19 risk possible, to inform local area decision-making.</t>
        </is>
      </c>
      <c r="X223" t="inlineStr">
        <is>
          <t>[Quynh C Nguyen; Huang, Yuru; Keralis, Jessica M.; Dwivedi, Pallavi; Meng, Hsien-Wen] Univ Maryland, Dept Epidemiol &amp; Biostat, Sch Publ Hlth, College Pk, MD 20742 USA; [Kumar, Abhinav] Univ Utah, Sch Comp, Sci Comp &amp; Imaging Inst, Salt Lake City, UT 84112 USA; [Duan, Haoshu] Univ Maryland, Dept Sociol, College Pk, MD 20742 USA; [Brunisholz, Kimberly D.] Intermt Healthcare, Intermt Healthcare Delivery Inst, Murray, UT 84107 USA; [Jay, Jonathan] Boston Univ, Dept Community Hlth Sci, Sch Publ Hlth, Boston, MA 02118 USA; [Javanmardi, Mehran; Tasdizen, Tolga] Univ Utah, Sci Comp &amp; Imaging Inst, Dept Elect &amp; Comp Engn, Salt Lake City, UT 84112 USA</t>
        </is>
      </c>
      <c r="Y223" t="inlineStr">
        <is>
          <t>University System of Maryland; University of Maryland College Park; Utah System of Higher Education; University of Utah; University System of Maryland; University of Maryland College Park; Intermountain Healthcare; Intermountain Medical Center; Boston University; Utah System of Higher Education; University of Utah</t>
        </is>
      </c>
      <c r="Z223" t="inlineStr">
        <is>
          <t>Nguyen, QC (corresponding author), Univ Maryland, Dept Epidemiol &amp; Biostat, Sch Publ Hlth, College Pk, MD 20742 USA.</t>
        </is>
      </c>
      <c r="AA223" t="inlineStr">
        <is>
          <t>qtriguyen@umd.edu; yorohuang@gmail.com; abhinav3663@gmail.com; hduan1@umd.edu; jkeralis@umd.edu; dwvdpallavi@gmail.com; sherrytpe@gmail.com; Kim.Brunisholz@imail.org; jonjay@bu.edu; mehjavan@gmail.com; tolga@sci.utah.edu</t>
        </is>
      </c>
      <c r="AC223" t="inlineStr">
        <is>
          <t>Dwivedi, Pallavi/0000-0001-6658-334X; Jay, Jonathan/0000-0002-7543-4247; Keralis, Jessica/0000-0003-3178-180X; Tasdizen, Tolga/0000-0001-6574-0366; Nguyen, Quynh C/0000-0003-4745-6681</t>
        </is>
      </c>
      <c r="AD223" t="inlineStr">
        <is>
          <t>National Library of Medicine of the National Institutes of Health [R01LM012849]</t>
        </is>
      </c>
      <c r="AE223" t="inlineStr">
        <is>
          <t>National Library of Medicine of the National Institutes of Health(United States Department of Health &amp; Human ServicesNational Institutes of Health (NIH) - USANIH National Library of Medicine (NLM))</t>
        </is>
      </c>
      <c r="AF223" t="inlineStr">
        <is>
          <t>This research was funded by National Library of Medicine of the National Institutes of Health under award number [R01LM012849]; PI, Q. Nguyen.</t>
        </is>
      </c>
      <c r="AH223" t="n">
        <v>46</v>
      </c>
      <c r="AI223" t="n">
        <v>45</v>
      </c>
      <c r="AJ223" t="n">
        <v>45</v>
      </c>
      <c r="AK223" t="n">
        <v>4</v>
      </c>
      <c r="AL223" t="n">
        <v>78</v>
      </c>
      <c r="AM223" t="inlineStr">
        <is>
          <t>MDPI</t>
        </is>
      </c>
      <c r="AN223" t="inlineStr">
        <is>
          <t>BASEL</t>
        </is>
      </c>
      <c r="AO223" t="inlineStr">
        <is>
          <t>ST ALBAN-ANLAGE 66, CH-4052 BASEL, SWITZERLAND</t>
        </is>
      </c>
      <c r="AQ223" t="inlineStr">
        <is>
          <t>1660-4601</t>
        </is>
      </c>
      <c r="AS223" t="inlineStr">
        <is>
          <t>INT J ENV RES PUB HE</t>
        </is>
      </c>
      <c r="AT223" t="inlineStr">
        <is>
          <t>Int. J. Environ. Res. Public Health</t>
        </is>
      </c>
      <c r="AU223" t="inlineStr">
        <is>
          <t>SEP</t>
        </is>
      </c>
      <c r="AV223" t="n">
        <v>2020</v>
      </c>
      <c r="AW223" t="n">
        <v>17</v>
      </c>
      <c r="AX223" t="n">
        <v>17</v>
      </c>
      <c r="BE223" t="n">
        <v>6359</v>
      </c>
      <c r="BF223" t="inlineStr">
        <is>
          <t>10.3390/ijerph17176359</t>
        </is>
      </c>
      <c r="BG223">
        <f>HYPERLINK("http://dx.doi.org/10.3390/ijerph17176359","http://dx.doi.org/10.3390/ijerph17176359")</f>
        <v/>
      </c>
      <c r="BJ223" t="n">
        <v>13</v>
      </c>
      <c r="BK223" t="inlineStr">
        <is>
          <t>Environmental Sciences; Public, Environmental &amp; Occupational Health</t>
        </is>
      </c>
      <c r="BL223" t="inlineStr">
        <is>
          <t>Science Citation Index Expanded (SCI-EXPANDED); Social Science Citation Index (SSCI)</t>
        </is>
      </c>
      <c r="BM223" t="inlineStr">
        <is>
          <t>Environmental Sciences &amp; Ecology; Public, Environmental &amp; Occupational Health</t>
        </is>
      </c>
      <c r="BN223" t="inlineStr">
        <is>
          <t>NO8BP</t>
        </is>
      </c>
      <c r="BO223" t="n">
        <v>32882867</v>
      </c>
      <c r="BP223" t="inlineStr">
        <is>
          <t>Green Published, gold</t>
        </is>
      </c>
      <c r="BS223" t="inlineStr">
        <is>
          <t>2023-10-26</t>
        </is>
      </c>
      <c r="BT223" t="inlineStr">
        <is>
          <t>WOS:000569713200001</t>
        </is>
      </c>
      <c r="BU223">
        <f>HYPERLINK("https%3A%2F%2Fwww.webofscience.com%2Fwos%2Fwoscc%2Ffull-record%2FWOS:000569713200001","View Full Record in Web of Science")</f>
        <v/>
      </c>
    </row>
    <row r="224">
      <c r="A224" t="inlineStr">
        <is>
          <t>J</t>
        </is>
      </c>
      <c r="B224" t="inlineStr">
        <is>
          <t>Wang, Y; He, G; Ma, KY; Li, DS; Wang, C</t>
        </is>
      </c>
      <c r="F224" t="inlineStr">
        <is>
          <t>Wang, Yu; He, Gang; Ma, Kaiyue; Li, Dongsheng; Wang, Chao</t>
        </is>
      </c>
      <c r="J224" t="inlineStr">
        <is>
          <t>INTERNATIONAL JOURNAL OF ENVIRONMENTAL RESEARCH AND PUBLIC HEALTH</t>
        </is>
      </c>
      <c r="M224" t="inlineStr">
        <is>
          <t>English</t>
        </is>
      </c>
      <c r="N224" t="inlineStr">
        <is>
          <t>Article</t>
        </is>
      </c>
      <c r="T224" t="inlineStr">
        <is>
          <t>Preschool Children's Physical Activity and Community Environment: A Cross-Sectional Study of Two Cities in China</t>
        </is>
      </c>
      <c r="U224" t="inlineStr">
        <is>
          <t>physical activity; accelerometer; built environment; preschool children</t>
        </is>
      </c>
      <c r="V224" t="inlineStr">
        <is>
          <t>NEIGHBORHOOD SAFETY</t>
        </is>
      </c>
      <c r="W224" t="inlineStr">
        <is>
          <t>Research on the relationship between preschool children's physical activity (PA) and community environment is limited and inconclusive, yet understanding this relationship is important to acquire sufficient information to guide the development of intervention programs. This study aims to objectively measure preschool children's PA and examine associations between PA and the community environments. A total of 471 preschool children aged 3-6 years old were recruited from eight kindergartens in Beijing and Zhengzhou. PA was measured by accelerometers. Light PA (LPA), moderate PA (MPA), and vigorous PA (VPA) were computed on the basis of cutoff points developed for preschool children. Moderate-to-vigorous PA (MVPA), and total PA (TPA) were obtained by calculation. Children's active transportation modes were indicated by the frequency of active trips (FAT) reported by parents. The community environment was collected by parental scales. Multivariate linear regression was used to analyze the associations between PA and the community environment. In total, 304 preschool children (mean age 5.07 +/- 0.94 years, 50.66% boys) were included in the final analysis. Children spent an average of 77.58 +/- 18.78 min/day in MVPA and 173.26 +/- 30.38 min/day in TPA. Linear regression showed that 'parental perception of appropriate walking distance' was associated with nearly half of the indicators of the children's PA. 'Public activity facilities near the community' was associated with FAT for overall children (B = 0.099, 95% CI = 0.014, 0.183). 'Community transportation environment' was associated with overall children's average day LPA (B = 4.034, 95% CI = 0.012, 8.056), weekend LPA (B = 8.278, 95% CI = 1.900, 14.657), MPA (B = 4.485, 95% CI = 0.613, 8.357), TPA (B = 14.777, 95% CI = 2.130, 27.424), and FAT for girls (B = -0.223, 95% CI = -0.443, -0.003). Furthermore, 'community personal safety' was associated with boys' weekday VPA (B = -3.012, 95% CI = -5.946, 0.079). Parental perception of appropriate walking distances, improvement of PA facilities, community personal safety, and the community transportation environment all contribute to the prevention of preschool children's PA patterns deterioration.</t>
        </is>
      </c>
      <c r="X224" t="inlineStr">
        <is>
          <t>[Wang, Yu; He, Gang; Ma, Kaiyue; Li, Dongsheng; Wang, Chao] Capital Univ Phys Educ &amp; Sports, Sch Kinesiol &amp; Hlth, Beijing 100191, Peoples R China</t>
        </is>
      </c>
      <c r="Y224" t="inlineStr">
        <is>
          <t>CAPITAL UNIVERSITY OF PHYSICAL EDUCATION AND SPORTS</t>
        </is>
      </c>
      <c r="Z224" t="inlineStr">
        <is>
          <t>Wang, C (corresponding author), Capital Univ Phys Educ &amp; Sports, Sch Kinesiol &amp; Hlth, Beijing 100191, Peoples R China.</t>
        </is>
      </c>
      <c r="AA224" t="inlineStr">
        <is>
          <t>wangchao@cupes.edu.cn</t>
        </is>
      </c>
      <c r="AB224" t="inlineStr">
        <is>
          <t>Wang, Yu/HCI-1447-2022; Li, Dongsheng/HHC-4903-2022</t>
        </is>
      </c>
      <c r="AC224" t="inlineStr">
        <is>
          <t>Wang, Yu/0000-0002-7413-4816; Ma, Kaiyue/0000-0002-3322-9296</t>
        </is>
      </c>
      <c r="AD224" t="inlineStr">
        <is>
          <t>Beijing Social Science Foundation [16YTC037]; Beijing Chaoyang District Social Development Science and Technology Plan Project [CYSF2010]</t>
        </is>
      </c>
      <c r="AE224" t="inlineStr">
        <is>
          <t>Beijing Social Science Foundation; Beijing Chaoyang District Social Development Science and Technology Plan Project</t>
        </is>
      </c>
      <c r="AF224" t="inlineStr">
        <is>
          <t>This research was funded by the Beijing Social Science Foundation (No. 16YTC037), and Beijing Chaoyang District Social Development Science and Technology Plan Project (No. CYSF2010).</t>
        </is>
      </c>
      <c r="AH224" t="n">
        <v>43</v>
      </c>
      <c r="AI224" t="n">
        <v>0</v>
      </c>
      <c r="AJ224" t="n">
        <v>0</v>
      </c>
      <c r="AK224" t="n">
        <v>11</v>
      </c>
      <c r="AL224" t="n">
        <v>19</v>
      </c>
      <c r="AM224" t="inlineStr">
        <is>
          <t>MDPI</t>
        </is>
      </c>
      <c r="AN224" t="inlineStr">
        <is>
          <t>BASEL</t>
        </is>
      </c>
      <c r="AO224" t="inlineStr">
        <is>
          <t>ST ALBAN-ANLAGE 66, CH-4052 BASEL, SWITZERLAND</t>
        </is>
      </c>
      <c r="AQ224" t="inlineStr">
        <is>
          <t>1660-4601</t>
        </is>
      </c>
      <c r="AS224" t="inlineStr">
        <is>
          <t>INT J ENV RES PUB HE</t>
        </is>
      </c>
      <c r="AT224" t="inlineStr">
        <is>
          <t>Int. J. Environ. Res. Public Health</t>
        </is>
      </c>
      <c r="AU224" t="inlineStr">
        <is>
          <t>NOV</t>
        </is>
      </c>
      <c r="AV224" t="n">
        <v>2022</v>
      </c>
      <c r="AW224" t="n">
        <v>19</v>
      </c>
      <c r="AX224" t="n">
        <v>22</v>
      </c>
      <c r="BE224" t="n">
        <v>14797</v>
      </c>
      <c r="BF224" t="inlineStr">
        <is>
          <t>10.3390/ijerph192214797</t>
        </is>
      </c>
      <c r="BG224">
        <f>HYPERLINK("http://dx.doi.org/10.3390/ijerph192214797","http://dx.doi.org/10.3390/ijerph192214797")</f>
        <v/>
      </c>
      <c r="BJ224" t="n">
        <v>14</v>
      </c>
      <c r="BK224" t="inlineStr">
        <is>
          <t>Environmental Sciences; Public, Environmental &amp; Occupational Health</t>
        </is>
      </c>
      <c r="BL224" t="inlineStr">
        <is>
          <t>Science Citation Index Expanded (SCI-EXPANDED); Social Science Citation Index (SSCI)</t>
        </is>
      </c>
      <c r="BM224" t="inlineStr">
        <is>
          <t>Environmental Sciences &amp; Ecology; Public, Environmental &amp; Occupational Health</t>
        </is>
      </c>
      <c r="BN224" t="inlineStr">
        <is>
          <t>6K0EO</t>
        </is>
      </c>
      <c r="BO224" t="n">
        <v>36429514</v>
      </c>
      <c r="BP224" t="inlineStr">
        <is>
          <t>gold, Green Published</t>
        </is>
      </c>
      <c r="BS224" t="inlineStr">
        <is>
          <t>2023-10-26</t>
        </is>
      </c>
      <c r="BT224" t="inlineStr">
        <is>
          <t>WOS:000887187200001</t>
        </is>
      </c>
      <c r="BU224">
        <f>HYPERLINK("https%3A%2F%2Fwww.webofscience.com%2Fwos%2Fwoscc%2Ffull-record%2FWOS:000887187200001","View Full Record in Web of Science")</f>
        <v/>
      </c>
    </row>
    <row r="225">
      <c r="A225" t="inlineStr">
        <is>
          <t>J</t>
        </is>
      </c>
      <c r="B225" t="inlineStr">
        <is>
          <t>Ou, JY; Levy, JI; Peters, JL; Bongiovanni, R; Garcia-Soto, J; Medina, R; Scammell, MK</t>
        </is>
      </c>
      <c r="F225" t="inlineStr">
        <is>
          <t>Ou, Judy Y.; Levy, Jonathan I.; Peters, Junenette L.; Bongiovanni, Roseann; Garcia-Soto, Jovanna; Medina, Rafael; Scammell, Madeleine K.</t>
        </is>
      </c>
      <c r="J225" t="inlineStr">
        <is>
          <t>INTERNATIONAL JOURNAL OF ENVIRONMENTAL RESEARCH AND PUBLIC HEALTH</t>
        </is>
      </c>
      <c r="M225" t="inlineStr">
        <is>
          <t>English</t>
        </is>
      </c>
      <c r="N225" t="inlineStr">
        <is>
          <t>Article</t>
        </is>
      </c>
      <c r="T225" t="inlineStr">
        <is>
          <t>A Walk in the Park: The Influence of Urban Parks and Community Violence on Physical Activity in Chelsea, MA</t>
        </is>
      </c>
      <c r="U225" t="inlineStr">
        <is>
          <t>built environment; physical activity; safety; parks; urban environment; Latino</t>
        </is>
      </c>
      <c r="V225" t="inlineStr">
        <is>
          <t>BUILT ENVIRONMENT; PERCEPTIONS</t>
        </is>
      </c>
      <c r="W225" t="inlineStr">
        <is>
          <t>Proximity to a park does not necessarily imply access or use, and the social environment may positively or negatively influence the positive intentions of the built environment. To investigate parks, park use and physical activity, and their associations with exposure to community violence, we interviewed residents (n = 354) of a densely populated urban community. Our findings indicate that proximity to any park is not associated with physical activity. However, proximity to the preferred park reported by residents to be conducive for physical activity (with walking paths, large fields, playgrounds for children and tennis courts) was associated with physical activity. Conversely, knowledge of sexual assault or rape in the neighborhood is inversely associated with every type of physical activity (park-based, outdoor, and indoor). Our findings suggest that improvements to the built environment (parks, green spaces) may be hindered by adverse social environments and both are necessary for consideration in the design of public health interventions.</t>
        </is>
      </c>
      <c r="X225" t="inlineStr">
        <is>
          <t>[Ou, Judy Y.; Levy, Jonathan I.; Peters, Junenette L.; Scammell, Madeleine K.] Boston Univ, Sch Publ Hlth, Boston, MA 02118 USA; [Bongiovanni, Roseann; Garcia-Soto, Jovanna; Medina, Rafael] Chelsea Collaborat, Chelsea, MA 02150 USA</t>
        </is>
      </c>
      <c r="Y225" t="inlineStr">
        <is>
          <t>Boston University</t>
        </is>
      </c>
      <c r="Z225" t="inlineStr">
        <is>
          <t>Ou, JY (corresponding author), Boston Univ, Sch Publ Hlth, Boston, MA 02118 USA.</t>
        </is>
      </c>
      <c r="AA225" t="inlineStr">
        <is>
          <t>jou@bu.edu; jonlevy@bu.edu; petersj@bu.edu; Roseannb@chelseacollab.org; Jgarciasoto@grassrootsonline.org; rafaelmariomedina@gmail.com; mls@bu.edu</t>
        </is>
      </c>
      <c r="AB225" t="inlineStr">
        <is>
          <t>Hibert, Alexander/HSH-5495-2023; Levy, Jon/B-4542-2011</t>
        </is>
      </c>
      <c r="AC225" t="inlineStr">
        <is>
          <t>Levy, Jon/0000-0002-1116-4006; Scammell, Madeleine/0000-0003-3836-083X; /0000-0003-4542-4563</t>
        </is>
      </c>
      <c r="AD225" t="inlineStr">
        <is>
          <t>National Center for Environmental Research, Environmental Protection Agency [RD83458201]</t>
        </is>
      </c>
      <c r="AE225" t="inlineStr">
        <is>
          <t>National Center for Environmental Research, Environmental Protection Agency(United States Environmental Protection Agency)</t>
        </is>
      </c>
      <c r="AF225" t="inlineStr">
        <is>
          <t>We would like to acknowledge the staff at the Chelsea Collaborative, resident volunteers, and Boston University School of Public Health students who recruited participants, conducted interviews and input data: Grace Agosto, Flor Amaya, Jennifer Ames, Cindy Flores, Sara Gille, Elyse Judge, Rebecca Laws, Daniel Mojica, Sonia Nixon, Maria Belen Power, Kathryn Rodgers, and Alina Rossini. We also thank Carol Dolan for her comments on this manuscript. This work was funded by the National Center for Environmental Research, Environmental Protection Agency grant number RD83458201.</t>
        </is>
      </c>
      <c r="AH225" t="n">
        <v>29</v>
      </c>
      <c r="AI225" t="n">
        <v>36</v>
      </c>
      <c r="AJ225" t="n">
        <v>41</v>
      </c>
      <c r="AK225" t="n">
        <v>2</v>
      </c>
      <c r="AL225" t="n">
        <v>51</v>
      </c>
      <c r="AM225" t="inlineStr">
        <is>
          <t>MDPI</t>
        </is>
      </c>
      <c r="AN225" t="inlineStr">
        <is>
          <t>BASEL</t>
        </is>
      </c>
      <c r="AO225" t="inlineStr">
        <is>
          <t>ST ALBAN-ANLAGE 66, CH-4052 BASEL, SWITZERLAND</t>
        </is>
      </c>
      <c r="AP225" t="inlineStr">
        <is>
          <t>1660-4601</t>
        </is>
      </c>
      <c r="AS225" t="inlineStr">
        <is>
          <t>INT J ENV RES PUB HE</t>
        </is>
      </c>
      <c r="AT225" t="inlineStr">
        <is>
          <t>Int. J. Environ. Res. Public Health</t>
        </is>
      </c>
      <c r="AU225" t="inlineStr">
        <is>
          <t>JAN</t>
        </is>
      </c>
      <c r="AV225" t="n">
        <v>2016</v>
      </c>
      <c r="AW225" t="n">
        <v>13</v>
      </c>
      <c r="AX225" t="n">
        <v>1</v>
      </c>
      <c r="BE225" t="n">
        <v>97</v>
      </c>
      <c r="BF225" t="inlineStr">
        <is>
          <t>10.3390/ijerph13010097</t>
        </is>
      </c>
      <c r="BG225">
        <f>HYPERLINK("http://dx.doi.org/10.3390/ijerph13010097","http://dx.doi.org/10.3390/ijerph13010097")</f>
        <v/>
      </c>
      <c r="BJ225" t="n">
        <v>12</v>
      </c>
      <c r="BK225" t="inlineStr">
        <is>
          <t>Environmental Sciences; Public, Environmental &amp; Occupational Health</t>
        </is>
      </c>
      <c r="BL225" t="inlineStr">
        <is>
          <t>Science Citation Index Expanded (SCI-EXPANDED); Social Science Citation Index (SSCI)</t>
        </is>
      </c>
      <c r="BM225" t="inlineStr">
        <is>
          <t>Environmental Sciences &amp; Ecology; Public, Environmental &amp; Occupational Health</t>
        </is>
      </c>
      <c r="BN225" t="inlineStr">
        <is>
          <t>DJ4OO</t>
        </is>
      </c>
      <c r="BO225" t="n">
        <v>26742051</v>
      </c>
      <c r="BP225" t="inlineStr">
        <is>
          <t>Green Published, gold</t>
        </is>
      </c>
      <c r="BS225" t="inlineStr">
        <is>
          <t>2023-10-26</t>
        </is>
      </c>
      <c r="BT225" t="inlineStr">
        <is>
          <t>WOS:000374186100004</t>
        </is>
      </c>
      <c r="BU225">
        <f>HYPERLINK("https%3A%2F%2Fwww.webofscience.com%2Fwos%2Fwoscc%2Ffull-record%2FWOS:000374186100004","View Full Record in Web of Science")</f>
        <v/>
      </c>
    </row>
    <row r="226">
      <c r="A226" t="inlineStr">
        <is>
          <t>J</t>
        </is>
      </c>
      <c r="B226" t="inlineStr">
        <is>
          <t>Molina-García, J; García-Massó, X; Estevan, I; Queralt, A</t>
        </is>
      </c>
      <c r="F226" t="inlineStr">
        <is>
          <t>Molina-Garcia, Javier; Garcia-Masso, Xavier; Estevan, Isaac; Queralt, Ana</t>
        </is>
      </c>
      <c r="J226" t="inlineStr">
        <is>
          <t>INTERNATIONAL JOURNAL OF ENVIRONMENTAL RESEARCH AND PUBLIC HEALTH</t>
        </is>
      </c>
      <c r="M226" t="inlineStr">
        <is>
          <t>English</t>
        </is>
      </c>
      <c r="N226" t="inlineStr">
        <is>
          <t>Article</t>
        </is>
      </c>
      <c r="T226" t="inlineStr">
        <is>
          <t>Built Environment, Psychosocial Factors and Active Commuting to School in Adolescents: Clustering a Self-Organizing Map Analysis</t>
        </is>
      </c>
      <c r="U226" t="inlineStr">
        <is>
          <t>transportation; environment design; neighborhood; walkability; physical activity; social environment; artificial neural network; clustering; cycling; health disparities</t>
        </is>
      </c>
      <c r="V226" t="inlineStr">
        <is>
          <t>PHYSICAL-ACTIVITY; NEIGHBORHOOD WALKABILITY; SOCIOECONOMIC-STATUS; RESIDENTIAL DENSITY; SAFE ROUTES; WALKING; HEALTH; TIME; CHILDREN; ADULTS</t>
        </is>
      </c>
      <c r="W226" t="inlineStr">
        <is>
          <t>Although the built environment and certain psychosocial factors are related to adolescents' active commuting to and from school (ACS), their interrelationships have not been explored in depth. This study describes these interrelationships and behavioral profiles via a self-organizing map (SOM) analysis. The sample comprised 465 adolescents from the IPEN (International Physical Activity and the Environment Network) Adolescent study in Valencia, Spain. ACS, barriers to ACS, physical self-efficacy, social support and sociodemographics were measured by questionnaire. Street-network distance to school, net residential density and street intersection density were calculated from the Geographic Information System. The clustering of the SOM outcomes resulted in eight areas or clusters. The clusters which correspond to the lowest and highest ACS levels were then explored in depth. The lowest ACS levels presented interactions between the less supportive built environments (i.e., low levels of residential density and street connectivity in the neighborhood and greater distances to school) and unfavorable psychosocial variables (i.e., low values of physical self-efficacy and medium social support for ACS) and good access to private motorized transport at home. The adolescents with the lowest ACS values exhibited high ACS environment/safety and planning/psychosocial barrier values. Future interventions should be designed to encourage ACS and change multiple levels of influence, such as individual, psychosocial and environmental factors.</t>
        </is>
      </c>
      <c r="X226" t="inlineStr">
        <is>
          <t>[Molina-Garcia, Javier; Garcia-Masso, Xavier; Estevan, Isaac] Univ Valencia, Dept Teaching Mus Visual &amp; Corporal Express, Avda Dels Tarongers 4, Valencia 46022, Spain; [Molina-Garcia, Javier; Estevan, Isaac; Queralt, Ana] Univ Valencia, AFIPS Res Grp, Valencia 46022, Spain; [Garcia-Masso, Xavier] Univ Valencia, HUMAG Res Grp, Valencia 46010, Spain; [Queralt, Ana] Univ Valencia, Dept Nursing, Jaume Roig S-N, Valencia 46010, Spain</t>
        </is>
      </c>
      <c r="Y226" t="inlineStr">
        <is>
          <t>University of Valencia; University of Valencia; University of Valencia; University of Valencia</t>
        </is>
      </c>
      <c r="Z226" t="inlineStr">
        <is>
          <t>Molina-García, J (corresponding author), Univ Valencia, Dept Teaching Mus Visual &amp; Corporal Express, Avda Dels Tarongers 4, Valencia 46022, Spain.;Molina-García, J (corresponding author), Univ Valencia, AFIPS Res Grp, Valencia 46022, Spain.</t>
        </is>
      </c>
      <c r="AA226" t="inlineStr">
        <is>
          <t>javier.molina@uv.es; xavier.garcia@uv.es; isaac.estevan@uv.es; ana.queralt@uv.es</t>
        </is>
      </c>
      <c r="AB226" t="inlineStr">
        <is>
          <t>Estevan, Isaac/AAG-4285-2021; García-Massó, Xavier/L-8222-2014; Queralt, Ana/G-4929-2017; Molina-Garcia, Javier/F-7320-2016</t>
        </is>
      </c>
      <c r="AC226" t="inlineStr">
        <is>
          <t>Estevan, Isaac/0000-0003-3748-2288; Queralt, Ana/0000-0003-4933-0003; Molina-Garcia, Javier/0000-0001-6713-5936; Garcia-Masso, Xavier/0000-0002-5925-4537</t>
        </is>
      </c>
      <c r="AD226" t="inlineStr">
        <is>
          <t>Generalitat Valenciana, Spain [GV-2013-087]</t>
        </is>
      </c>
      <c r="AE226" t="inlineStr">
        <is>
          <t>Generalitat Valenciana, Spain(Center for Forestry Research &amp; Experimentation (CIEF))</t>
        </is>
      </c>
      <c r="AF226" t="inlineStr">
        <is>
          <t>This research was partially funded by the Generalitat Valenciana, Spain [grant number GV-2013-087].</t>
        </is>
      </c>
      <c r="AH226" t="n">
        <v>63</v>
      </c>
      <c r="AI226" t="n">
        <v>40</v>
      </c>
      <c r="AJ226" t="n">
        <v>40</v>
      </c>
      <c r="AK226" t="n">
        <v>3</v>
      </c>
      <c r="AL226" t="n">
        <v>23</v>
      </c>
      <c r="AM226" t="inlineStr">
        <is>
          <t>MDPI</t>
        </is>
      </c>
      <c r="AN226" t="inlineStr">
        <is>
          <t>BASEL</t>
        </is>
      </c>
      <c r="AO226" t="inlineStr">
        <is>
          <t>ST ALBAN-ANLAGE 66, CH-4052 BASEL, SWITZERLAND</t>
        </is>
      </c>
      <c r="AP226" t="inlineStr">
        <is>
          <t>1660-4601</t>
        </is>
      </c>
      <c r="AS226" t="inlineStr">
        <is>
          <t>INT J ENV RES PUB HE</t>
        </is>
      </c>
      <c r="AT226" t="inlineStr">
        <is>
          <t>Int. J. Environ. Res. Public Health</t>
        </is>
      </c>
      <c r="AU226" t="inlineStr">
        <is>
          <t>JAN 1</t>
        </is>
      </c>
      <c r="AV226" t="n">
        <v>2019</v>
      </c>
      <c r="AW226" t="n">
        <v>16</v>
      </c>
      <c r="AX226" t="n">
        <v>1</v>
      </c>
      <c r="BE226" t="n">
        <v>83</v>
      </c>
      <c r="BF226" t="inlineStr">
        <is>
          <t>10.3390/ijerph16010083</t>
        </is>
      </c>
      <c r="BG226">
        <f>HYPERLINK("http://dx.doi.org/10.3390/ijerph16010083","http://dx.doi.org/10.3390/ijerph16010083")</f>
        <v/>
      </c>
      <c r="BJ226" t="n">
        <v>14</v>
      </c>
      <c r="BK226" t="inlineStr">
        <is>
          <t>Environmental Sciences; Public, Environmental &amp; Occupational Health</t>
        </is>
      </c>
      <c r="BL226" t="inlineStr">
        <is>
          <t>Science Citation Index Expanded (SCI-EXPANDED); Social Science Citation Index (SSCI)</t>
        </is>
      </c>
      <c r="BM226" t="inlineStr">
        <is>
          <t>Environmental Sciences &amp; Ecology; Public, Environmental &amp; Occupational Health</t>
        </is>
      </c>
      <c r="BN226" t="inlineStr">
        <is>
          <t>HM0BZ</t>
        </is>
      </c>
      <c r="BO226" t="n">
        <v>30597975</v>
      </c>
      <c r="BP226" t="inlineStr">
        <is>
          <t>gold, Green Published, Green Submitted</t>
        </is>
      </c>
      <c r="BS226" t="inlineStr">
        <is>
          <t>2023-10-26</t>
        </is>
      </c>
      <c r="BT226" t="inlineStr">
        <is>
          <t>WOS:000459111400083</t>
        </is>
      </c>
      <c r="BU226">
        <f>HYPERLINK("https%3A%2F%2Fwww.webofscience.com%2Fwos%2Fwoscc%2Ffull-record%2FWOS:000459111400083","View Full Record in Web of Science")</f>
        <v/>
      </c>
    </row>
    <row r="227">
      <c r="A227" t="inlineStr">
        <is>
          <t>J</t>
        </is>
      </c>
      <c r="B227" t="inlineStr">
        <is>
          <t>Oh, S; Lee, D; Kim, M; Kim, T; Cho, H</t>
        </is>
      </c>
      <c r="F227" t="inlineStr">
        <is>
          <t>Oh, Sangmin; Lee, Dongmin; Kim, Minju; Kim, Taehoon; Cho, Hunhee</t>
        </is>
      </c>
      <c r="J227" t="inlineStr">
        <is>
          <t>REMOTE SENSING</t>
        </is>
      </c>
      <c r="M227" t="inlineStr">
        <is>
          <t>English</t>
        </is>
      </c>
      <c r="N227" t="inlineStr">
        <is>
          <t>Article</t>
        </is>
      </c>
      <c r="T227" t="inlineStr">
        <is>
          <t>Building Component Detection on Unstructured 3D Indoor Point Clouds Using RANSAC-Based Region Growing</t>
        </is>
      </c>
      <c r="U227" t="inlineStr">
        <is>
          <t>building component detection; indoor point cloud; mobile laser scanner; random sample consensus; region growing</t>
        </is>
      </c>
      <c r="W227" t="inlineStr">
        <is>
          <t>With the advancement of light detection and ranging (LiDAR) technology, the mobile laser scanner (MLS) has been regarded as an important technology to collect geometric representations of the indoor environment. In particular, methods for detecting indoor objects from indoor point cloud data (PCD) captured through MLS have thus far been developed based on the trajectory of MLS. However, the existing methods have a limitation on applying to an indoor environment where the building components made by concrete impede obtaining the information of trajectory. Thus, this study aims to propose a building component detection algorithm for MLS-based indoor PCD without trajectory using random sample consensus (RANSAC)-based region growth. The proposed algorithm used the RANSAC and region growing to overcome the low accuracy and uniformity of MLS caused by the movement of LiDAR. This study ensures over 90% precision, recall, and proper segmentation rate of building component detection by testing the algorithm using the indoor PCD. The result of the case study shows that the proposed algorithm opens the possibility of accurately detecting interior objects from indoor PCD without trajectory information of MLS.</t>
        </is>
      </c>
      <c r="X227" t="inlineStr">
        <is>
          <t>[Oh, Sangmin; Kim, Minju; Kim, Taehoon; Cho, Hunhee] Korea Univ, Sch Civil Environm &amp; Architectural Engn, 145 Anam Ro, Seoul 02841, South Korea; [Lee, Dongmin] Univ Michigan, Dept Civil &amp; Environm Engn, 2350 Hayward St,GG Brown Bldg, Ann Arbor, MI 48109 USA</t>
        </is>
      </c>
      <c r="Y227" t="inlineStr">
        <is>
          <t>Korea University; University of Michigan System; University of Michigan</t>
        </is>
      </c>
      <c r="Z227" t="inlineStr">
        <is>
          <t>Cho, H (corresponding author), Korea Univ, Sch Civil Environm &amp; Architectural Engn, 145 Anam Ro, Seoul 02841, South Korea.</t>
        </is>
      </c>
      <c r="AA227" t="inlineStr">
        <is>
          <t>timgemk47@korea.ac.kr; dongminl@umich.edu; minju830@korea.ac.kr; kimth0930@korea.ac.kr; hhcho@korea.ac.kr</t>
        </is>
      </c>
      <c r="AC227" t="inlineStr">
        <is>
          <t>Kim, Minju/0000-0002-9507-1965</t>
        </is>
      </c>
      <c r="AD227" t="inlineStr">
        <is>
          <t>National Research Foundation of Korea (NRF) - Korea government (MSIT) [2018R1A4A1026027]; National Research Foundation of Korea [2018R1A4A1026027] Funding Source: Korea Institute of Science &amp; Technology Information (KISTI), National Science &amp; Technology Information Service (NTIS)</t>
        </is>
      </c>
      <c r="AE227" t="inlineStr">
        <is>
          <t>National Research Foundation of Korea (NRF) - Korea government (MSIT); National Research Foundation of Korea(National Research Foundation of Korea)</t>
        </is>
      </c>
      <c r="AF227" t="inlineStr">
        <is>
          <t>This work was supported by the National Research Foundation of Korea (NRF) grant funded by the Korea government (MSIT) (No. 2018R1A4A1026027).</t>
        </is>
      </c>
      <c r="AH227" t="n">
        <v>64</v>
      </c>
      <c r="AI227" t="n">
        <v>4</v>
      </c>
      <c r="AJ227" t="n">
        <v>4</v>
      </c>
      <c r="AK227" t="n">
        <v>3</v>
      </c>
      <c r="AL227" t="n">
        <v>29</v>
      </c>
      <c r="AM227" t="inlineStr">
        <is>
          <t>MDPI</t>
        </is>
      </c>
      <c r="AN227" t="inlineStr">
        <is>
          <t>BASEL</t>
        </is>
      </c>
      <c r="AO227" t="inlineStr">
        <is>
          <t>ST ALBAN-ANLAGE 66, CH-4052 BASEL, SWITZERLAND</t>
        </is>
      </c>
      <c r="AQ227" t="inlineStr">
        <is>
          <t>2072-4292</t>
        </is>
      </c>
      <c r="AS227" t="inlineStr">
        <is>
          <t>REMOTE SENS-BASEL</t>
        </is>
      </c>
      <c r="AT227" t="inlineStr">
        <is>
          <t>Remote Sens.</t>
        </is>
      </c>
      <c r="AU227" t="inlineStr">
        <is>
          <t>JAN</t>
        </is>
      </c>
      <c r="AV227" t="n">
        <v>2021</v>
      </c>
      <c r="AW227" t="n">
        <v>13</v>
      </c>
      <c r="AX227" t="n">
        <v>2</v>
      </c>
      <c r="BE227" t="n">
        <v>161</v>
      </c>
      <c r="BF227" t="inlineStr">
        <is>
          <t>10.3390/rs13020161</t>
        </is>
      </c>
      <c r="BG227">
        <f>HYPERLINK("http://dx.doi.org/10.3390/rs13020161","http://dx.doi.org/10.3390/rs13020161")</f>
        <v/>
      </c>
      <c r="BJ227" t="n">
        <v>20</v>
      </c>
      <c r="BK227" t="inlineStr">
        <is>
          <t>Environmental Sciences; Geosciences, Multidisciplinary; Remote Sensing; Imaging Science &amp; Photographic Technology</t>
        </is>
      </c>
      <c r="BL227" t="inlineStr">
        <is>
          <t>Science Citation Index Expanded (SCI-EXPANDED)</t>
        </is>
      </c>
      <c r="BM227" t="inlineStr">
        <is>
          <t>Environmental Sciences &amp; Ecology; Geology; Remote Sensing; Imaging Science &amp; Photographic Technology</t>
        </is>
      </c>
      <c r="BN227" t="inlineStr">
        <is>
          <t>PX7UW</t>
        </is>
      </c>
      <c r="BP227" t="inlineStr">
        <is>
          <t>gold</t>
        </is>
      </c>
      <c r="BS227" t="inlineStr">
        <is>
          <t>2023-10-26</t>
        </is>
      </c>
      <c r="BT227" t="inlineStr">
        <is>
          <t>WOS:000611560500001</t>
        </is>
      </c>
      <c r="BU227">
        <f>HYPERLINK("https%3A%2F%2Fwww.webofscience.com%2Fwos%2Fwoscc%2Ffull-record%2FWOS:000611560500001","View Full Record in Web of Science")</f>
        <v/>
      </c>
    </row>
    <row r="228">
      <c r="A228" t="inlineStr">
        <is>
          <t>J</t>
        </is>
      </c>
      <c r="B228" t="inlineStr">
        <is>
          <t>Paydar, M; Fard, AK; Khaghani, MM</t>
        </is>
      </c>
      <c r="F228" t="inlineStr">
        <is>
          <t>Paydar, Mohammad; Fard, Asal Kamani; Khaghani, Mohammad Mehdi</t>
        </is>
      </c>
      <c r="J228" t="inlineStr">
        <is>
          <t>SUSTAINABILITY</t>
        </is>
      </c>
      <c r="M228" t="inlineStr">
        <is>
          <t>English</t>
        </is>
      </c>
      <c r="N228" t="inlineStr">
        <is>
          <t>Article</t>
        </is>
      </c>
      <c r="T228" t="inlineStr">
        <is>
          <t>Walking toward Metro Stations: the Contribution of Distance, Attitudes, and Perceived Built Environment</t>
        </is>
      </c>
      <c r="U228" t="inlineStr">
        <is>
          <t>walking for transport; average walking distance; perceived built environment; metro stations; aesthetic attributes; land use type</t>
        </is>
      </c>
      <c r="V228" t="inlineStr">
        <is>
          <t>SOCIOECONOMIC-STATUS DIFFERENCES; PHYSICAL-ACTIVITY; NEIGHBORHOOD ENVIRONMENT; LAND-USE; URBAN DESIGN; PATH CHOICE; TRAVEL; TRANSPORT; BEHAVIOR; WALKABILITY</t>
        </is>
      </c>
      <c r="W228" t="inlineStr">
        <is>
          <t>Walking as an active means of travel is important as a sustainable mode of transport. Moreover, the level of walking in the surrounding areas of metro stations would contribute to maintaining the minimum rate of physical activity and, therefore, inhabitants' general health. This study examined the impacts of walking attitude, walking distance, and perceived built environment on walking behavior for reaching the metro stations in Shiraz, Iran. Three metro stations were selected and a quantitative approach was used to examine the objectives. It was found that the average walking distance is less than the average in developed countries, such as the United States. People walked more when there was a shorter distance between their starting points and the metro stations. The contribution of walking attitudes and several built environment attributes to walking behavior was demonstrated. Finding the contribution of aesthetic attributes, such as accessibility to parks and housing types of the starting points of the walking trips, to walking for transport are taken into account as the novelties of this study. Policy makers of this city may apply the findings of this study-especially around the metro stations-to improve the average walking distance as well as walking behavior.</t>
        </is>
      </c>
      <c r="X228" t="inlineStr">
        <is>
          <t>[Paydar, Mohammad] Univ Mayor, Fac Humanidades, Escuela Arquitectura Temuco, Av Alemania 281, Temuco 4780000, Chile; [Fard, Asal Kamani] Univ Catolica Maule, Talca 3605, Chile; [Khaghani, Mohammad Mehdi] Apadana Inst Higher Educ, Dept Urban Studies, Shiraz 7187985443, Iran</t>
        </is>
      </c>
      <c r="Y228" t="inlineStr">
        <is>
          <t>Universidad Mayor; Universidad Catolica del Maule</t>
        </is>
      </c>
      <c r="Z228" t="inlineStr">
        <is>
          <t>Paydar, M (corresponding author), Univ Mayor, Fac Humanidades, Escuela Arquitectura Temuco, Av Alemania 281, Temuco 4780000, Chile.</t>
        </is>
      </c>
      <c r="AA228" t="inlineStr">
        <is>
          <t>mohammad.paydar@umayor.cl; asal.kamanifard@gmail.com; mehdi.khaghani@yahoo.com</t>
        </is>
      </c>
      <c r="AB228" t="inlineStr">
        <is>
          <t>Paydar, Mohammad/AAF-2666-2020</t>
        </is>
      </c>
      <c r="AC228" t="inlineStr">
        <is>
          <t>Kamani Fard, Asal/0000-0002-5741-5712; Paydar, Mohammad/0000-0002-8693-9750</t>
        </is>
      </c>
      <c r="AD228" t="inlineStr">
        <is>
          <t>School of Architecture, Temuco, Universidad Mayor</t>
        </is>
      </c>
      <c r="AE228" t="inlineStr">
        <is>
          <t>School of Architecture, Temuco, Universidad Mayor</t>
        </is>
      </c>
      <c r="AF228" t="inlineStr">
        <is>
          <t>We are grateful for the support from the School of Architecture, Temuco, Universidad Mayor. We would also like to thank Javier Arangua Calzado, Director of the School of Architecture, Temuco, Universidad Mayor; Elizabeth Wagemann Farfan, Research Coordinator of the School of Architecture, Universidad Mayor; and Gonzalo Verdugo Navarrete, Regional Vice Chancellor, Temuco Headquarters, Universidad Mayor, for their supports in finalizing this article.</t>
        </is>
      </c>
      <c r="AH228" t="n">
        <v>69</v>
      </c>
      <c r="AI228" t="n">
        <v>15</v>
      </c>
      <c r="AJ228" t="n">
        <v>15</v>
      </c>
      <c r="AK228" t="n">
        <v>9</v>
      </c>
      <c r="AL228" t="n">
        <v>42</v>
      </c>
      <c r="AM228" t="inlineStr">
        <is>
          <t>MDPI</t>
        </is>
      </c>
      <c r="AN228" t="inlineStr">
        <is>
          <t>BASEL</t>
        </is>
      </c>
      <c r="AO228" t="inlineStr">
        <is>
          <t>ST ALBAN-ANLAGE 66, CH-4052 BASEL, SWITZERLAND</t>
        </is>
      </c>
      <c r="AQ228" t="inlineStr">
        <is>
          <t>2071-1050</t>
        </is>
      </c>
      <c r="AS228" t="inlineStr">
        <is>
          <t>SUSTAINABILITY-BASEL</t>
        </is>
      </c>
      <c r="AT228" t="inlineStr">
        <is>
          <t>Sustainability</t>
        </is>
      </c>
      <c r="AU228" t="inlineStr">
        <is>
          <t>DEC</t>
        </is>
      </c>
      <c r="AV228" t="n">
        <v>2020</v>
      </c>
      <c r="AW228" t="n">
        <v>12</v>
      </c>
      <c r="AX228" t="n">
        <v>24</v>
      </c>
      <c r="BE228" t="n">
        <v>10291</v>
      </c>
      <c r="BF228" t="inlineStr">
        <is>
          <t>10.3390/su122410291</t>
        </is>
      </c>
      <c r="BG228">
        <f>HYPERLINK("http://dx.doi.org/10.3390/su122410291","http://dx.doi.org/10.3390/su122410291")</f>
        <v/>
      </c>
      <c r="BJ228" t="n">
        <v>19</v>
      </c>
      <c r="BK228" t="inlineStr">
        <is>
          <t>Green &amp; Sustainable Science &amp; Technology; Environmental Sciences; Environmental Studies</t>
        </is>
      </c>
      <c r="BL228" t="inlineStr">
        <is>
          <t>Science Citation Index Expanded (SCI-EXPANDED); Social Science Citation Index (SSCI)</t>
        </is>
      </c>
      <c r="BM228" t="inlineStr">
        <is>
          <t>Science &amp; Technology - Other Topics; Environmental Sciences &amp; Ecology</t>
        </is>
      </c>
      <c r="BN228" t="inlineStr">
        <is>
          <t>PL8BQ</t>
        </is>
      </c>
      <c r="BP228" t="inlineStr">
        <is>
          <t>Green Published, gold</t>
        </is>
      </c>
      <c r="BS228" t="inlineStr">
        <is>
          <t>2023-10-26</t>
        </is>
      </c>
      <c r="BT228" t="inlineStr">
        <is>
          <t>WOS:000603340500001</t>
        </is>
      </c>
      <c r="BU228">
        <f>HYPERLINK("https%3A%2F%2Fwww.webofscience.com%2Fwos%2Fwoscc%2Ffull-record%2FWOS:000603340500001","View Full Record in Web of Science")</f>
        <v/>
      </c>
    </row>
    <row r="229">
      <c r="A229" t="inlineStr">
        <is>
          <t>J</t>
        </is>
      </c>
      <c r="B229" t="inlineStr">
        <is>
          <t>Cho, MJ</t>
        </is>
      </c>
      <c r="F229" t="inlineStr">
        <is>
          <t>Cho, Minjung</t>
        </is>
      </c>
      <c r="J229" t="inlineStr">
        <is>
          <t>INTERNATIONAL JOURNAL OF ENVIRONMENTAL RESEARCH AND PUBLIC HEALTH</t>
        </is>
      </c>
      <c r="M229" t="inlineStr">
        <is>
          <t>English</t>
        </is>
      </c>
      <c r="N229" t="inlineStr">
        <is>
          <t>Article</t>
        </is>
      </c>
      <c r="T229" t="inlineStr">
        <is>
          <t>Evaluating Therapeutic Healthcare Environmental Criteria: Architectural Designers' Perspectives</t>
        </is>
      </c>
      <c r="U229" t="inlineStr">
        <is>
          <t>therapeutic healthcare environment; healthcare facility design; architectural designer; evidence-based healthcare design practice</t>
        </is>
      </c>
      <c r="V229" t="inlineStr">
        <is>
          <t>FACILITY DESIGN; POSTOCCUPANCY EVALUATION; HEALING ENVIRONMENT; HOSPITAL DESIGN; THERMAL COMFORT; SOCIAL RELATIONSHIPS; INDOOR ENVIRONMENT; STAFF PERCEPTIONS; PERCEIVED QUALITY; SERVICE QUALITY</t>
        </is>
      </c>
      <c r="W229" t="inlineStr">
        <is>
          <t>This study presents architectural designers' perception of the importance of healthcare environmental criteria in the implementation of user-centered, therapeutic hospital design. Architectural designers with over three years of professional experience (N = 182) in South Korea were surveyed using an empirical questionnaire. The extensive interviews of 15 hospital design experts followed to interpret the survey results and discuss the barriers and suggestions for the successful delivery of therapeutic healthcare design practice. Among the 27 variables selected from the preliminary literature review, factor analyses revealed seven important therapeutic environmental criteria (i.e., management, interior design, spatial quality, service, nature and rest, ambient indoor comfort, and social program and space; chi(2) = 1783.088, df = 300, p &lt; 0.001). Analyses of variance revealed the level of importance among these criteria related to respondents' personal and professional characteristics. Significant differences were found for the variables from the management, interior design, and spatial quality factors in relation to the respondents sex and age. For the successful delivery of therapeutic healthcare design, the design experts highlighted the implementation of evidence-based design practice that integrates local and international knowledge from various hospital users and multi-disciplinary specialists participating in the healthcare design process.</t>
        </is>
      </c>
      <c r="X229" t="inlineStr">
        <is>
          <t>[Cho, Minjung] Inha Univ, Dept Architecture, 100 Inharo, Incheon 22212, South Korea</t>
        </is>
      </c>
      <c r="Y229" t="inlineStr">
        <is>
          <t>Inha University</t>
        </is>
      </c>
      <c r="Z229" t="inlineStr">
        <is>
          <t>Cho, MJ (corresponding author), Inha Univ, Dept Architecture, 100 Inharo, Incheon 22212, South Korea.</t>
        </is>
      </c>
      <c r="AA229" t="inlineStr">
        <is>
          <t>minc@inha.ac.kr</t>
        </is>
      </c>
      <c r="AH229" t="n">
        <v>165</v>
      </c>
      <c r="AI229" t="n">
        <v>0</v>
      </c>
      <c r="AJ229" t="n">
        <v>0</v>
      </c>
      <c r="AK229" t="n">
        <v>8</v>
      </c>
      <c r="AL229" t="n">
        <v>13</v>
      </c>
      <c r="AM229" t="inlineStr">
        <is>
          <t>MDPI</t>
        </is>
      </c>
      <c r="AN229" t="inlineStr">
        <is>
          <t>BASEL</t>
        </is>
      </c>
      <c r="AO229" t="inlineStr">
        <is>
          <t>ST ALBAN-ANLAGE 66, CH-4052 BASEL, SWITZERLAND</t>
        </is>
      </c>
      <c r="AQ229" t="inlineStr">
        <is>
          <t>1660-4601</t>
        </is>
      </c>
      <c r="AS229" t="inlineStr">
        <is>
          <t>INT J ENV RES PUB HE</t>
        </is>
      </c>
      <c r="AT229" t="inlineStr">
        <is>
          <t>Int. J. Environ. Res. Public Health</t>
        </is>
      </c>
      <c r="AU229" t="inlineStr">
        <is>
          <t>JAN</t>
        </is>
      </c>
      <c r="AV229" t="n">
        <v>2023</v>
      </c>
      <c r="AW229" t="n">
        <v>20</v>
      </c>
      <c r="AX229" t="n">
        <v>2</v>
      </c>
      <c r="BE229" t="n">
        <v>1540</v>
      </c>
      <c r="BF229" t="inlineStr">
        <is>
          <t>10.3390/ijerph20021540</t>
        </is>
      </c>
      <c r="BG229">
        <f>HYPERLINK("http://dx.doi.org/10.3390/ijerph20021540","http://dx.doi.org/10.3390/ijerph20021540")</f>
        <v/>
      </c>
      <c r="BJ229" t="n">
        <v>34</v>
      </c>
      <c r="BK229" t="inlineStr">
        <is>
          <t>Environmental Sciences; Public, Environmental &amp; Occupational Health</t>
        </is>
      </c>
      <c r="BL229" t="inlineStr">
        <is>
          <t>Science Citation Index Expanded (SCI-EXPANDED); Social Science Citation Index (SSCI)</t>
        </is>
      </c>
      <c r="BM229" t="inlineStr">
        <is>
          <t>Environmental Sciences &amp; Ecology; Public, Environmental &amp; Occupational Health</t>
        </is>
      </c>
      <c r="BN229" t="inlineStr">
        <is>
          <t>7Y6PC</t>
        </is>
      </c>
      <c r="BO229" t="n">
        <v>36674294</v>
      </c>
      <c r="BP229" t="inlineStr">
        <is>
          <t>Green Published, gold</t>
        </is>
      </c>
      <c r="BS229" t="inlineStr">
        <is>
          <t>2023-10-26</t>
        </is>
      </c>
      <c r="BT229" t="inlineStr">
        <is>
          <t>WOS:000914997700001</t>
        </is>
      </c>
      <c r="BU229">
        <f>HYPERLINK("https%3A%2F%2Fwww.webofscience.com%2Fwos%2Fwoscc%2Ffull-record%2FWOS:000914997700001","View Full Record in Web of Science")</f>
        <v/>
      </c>
    </row>
    <row r="230">
      <c r="A230" t="inlineStr">
        <is>
          <t>J</t>
        </is>
      </c>
      <c r="B230" t="inlineStr">
        <is>
          <t>Amaya, V; Chardon, M; Klein, H; Moulaert, T; Vuillerme, N</t>
        </is>
      </c>
      <c r="F230" t="inlineStr">
        <is>
          <t>Amaya, Valkiria; Chardon, Matthias; Klein, Helen; Moulaert, Thibauld; Vuillerme, Nicolas</t>
        </is>
      </c>
      <c r="J230" t="inlineStr">
        <is>
          <t>SUSTAINABILITY</t>
        </is>
      </c>
      <c r="M230" t="inlineStr">
        <is>
          <t>English</t>
        </is>
      </c>
      <c r="N230" t="inlineStr">
        <is>
          <t>Review</t>
        </is>
      </c>
      <c r="T230" t="inlineStr">
        <is>
          <t>What Do We Know about the Use of the Walk-along Method to Identify the Perceived Neighborhood Environment Correlates of Walking Activity in Healthy Older Adults: Methodological Considerations Related to Data Collection-A Systematic Review</t>
        </is>
      </c>
      <c r="U230" t="inlineStr">
        <is>
          <t>walk-along interview; parcours commentes; go-along interview; qualitative methods; older adults; elderly; walking; neighborhood environment; pedestrian; systematic review</t>
        </is>
      </c>
      <c r="V230" t="inlineStr">
        <is>
          <t>PHYSICAL-ACTIVITY; BUILT ENVIRONMENT; FALL RISK; GO-ALONG; PLACE; MOBILITY; PEOPLE; BARRIERS; OBESITY; INDIVIDUALS</t>
        </is>
      </c>
      <c r="W230" t="inlineStr">
        <is>
          <t>Background: The walk-along interview (WAI) is a qualitative spatial method that consists of a researcher walking alongside a participant during the time of an interview to identify perceived neighborhood environments. The use of the WAI method increased in various disciplines, including the fields of public health and gerontology, to assess the relationship between the individual, spaces, and walking activity. However, how and in what settings the WAI method has been implemented with healthy older adults needs to be documented and synthesized. Objective: Our aim is to conduct a systematic review of published studies that have used the WAI method to identify the perceived neighborhood environment correlates of walking activity in healthy older adults, with a specific focus on the methodological aspects related to the data collection of this method. Methods: Following the PRISMA guidelines, PubMed, Web of Science, Scopus, and SocINDEX databases were systematically searched with no limitations on publication date. Results: From 99 articles identified, 31 met all inclusion criteria, totalizing 1207 participants. Description of the method through the assessment of participants and environmental characteristics and the data collection (before, during, and after WAI characteristics). Conclusions: This review provides detailed information WAI method to assess perceived neighborhood and walk activity among healthy older adults. WAI provides different sets of opportunities and challenges. Some suggestions, such as exhaustive participants' socio-demographics, anthropometric descriptions and data collection methods, were highlighted to be essential elements when conducting WAIs. In addition, the current findings of this review could serve as a basis for researchers, students, and the professional community who wish to apply the WAI.</t>
        </is>
      </c>
      <c r="X230" t="inlineStr">
        <is>
          <t>[Amaya, Valkiria; Chardon, Matthias; Vuillerme, Nicolas] Univ Grenoble Alpes, AGEIS Auton Gerontol E Sante Imagerie &amp; Soc, F-38000 Grenoble, France; [Amaya, Valkiria; Klein, Helen; Moulaert, Thibauld] Univ Grenoble Alpes, PACTE Lab Sci Sociales, CNRS, Sci Po Grenoble, F-38000 Grenoble, France; [Vuillerme, Nicolas] Inst Univ France, F-75005 Paris, France</t>
        </is>
      </c>
      <c r="Y230" t="inlineStr">
        <is>
          <t>Communaute Universite Grenoble Alpes; UDICE-French Research Universities; Universite Grenoble Alpes (UGA); Communaute Universite Grenoble Alpes; UDICE-French Research Universities; Universite Grenoble Alpes (UGA); Centre National de la Recherche Scientifique (CNRS); Institut Universitaire de France</t>
        </is>
      </c>
      <c r="Z230" t="inlineStr">
        <is>
          <t>Amaya, V; Vuillerme, N (corresponding author), Univ Grenoble Alpes, AGEIS Auton Gerontol E Sante Imagerie &amp; Soc, F-38000 Grenoble, France.;Amaya, V (corresponding author), Univ Grenoble Alpes, PACTE Lab Sci Sociales, CNRS, Sci Po Grenoble, F-38000 Grenoble, France.;Vuillerme, N (corresponding author), Inst Univ France, F-75005 Paris, France.</t>
        </is>
      </c>
      <c r="AA230" t="inlineStr">
        <is>
          <t>valkiria.amaya@umrpacte.fr; nicolas.vuillerme@univ-grenoble-alpes.fr</t>
        </is>
      </c>
      <c r="AB230" t="inlineStr">
        <is>
          <t>VUILLERME, Nicolas/U-5767-2019</t>
        </is>
      </c>
      <c r="AC230" t="inlineStr">
        <is>
          <t>VUILLERME, Nicolas/0000-0003-3773-393X; Moulaert, Thibauld/0000-0003-2460-6384; Klein, Helen/0000-0001-7180-8849; Chardon, Matthias/0000-0002-9806-0639</t>
        </is>
      </c>
      <c r="AD230" t="inlineStr">
        <is>
          <t>Caisse Nationale de Solidarite pour l'Autonomie (CNSA); French Institute for Public Health Research (IReSP) [BLANC21_254987]; French National Research Agency program [ANR-19-CE22-0002]; Agence Nationale de la Recherche (ANR) [ANR-19-CE22-0002] Funding Source: Agence Nationale de la Recherche (ANR)</t>
        </is>
      </c>
      <c r="AE230" t="inlineStr">
        <is>
          <t>Caisse Nationale de Solidarite pour l'Autonomie (CNSA); French Institute for Public Health Research (IReSP); French National Research Agency program(Agence Nationale de la Recherche (ANR)); Agence Nationale de la Recherche (ANR)(Agence Nationale de la Recherche (ANR))</t>
        </is>
      </c>
      <c r="AF230" t="inlineStr">
        <is>
          <t>This study is part of the first author's Ph.D. thesis (V.A., Universite Grenoble Alpes, France). This work was supported by the Caisse Nationale de Solidarite pour l'Autonomie (CNSA) in the framework of the call for projects Blanc (session 12) 2021 of the French Institute for Public Health Research (IReSP) (ADAM project, grant BLANC21_254987) and by the French National Research Agency program (Early-Career Researcher (JCJC) Citizenbench project, grant ANR-19-CE22-0002). The funders had no role in the design of the study; in the collection, analyses, or interpretation of data; in the writing of the manuscript; or in the decision to publish the results. This work further forms part of a broader, translational, interdisciplinary research program called GaitAlps (N.V.).</t>
        </is>
      </c>
      <c r="AH230" t="n">
        <v>101</v>
      </c>
      <c r="AI230" t="n">
        <v>2</v>
      </c>
      <c r="AJ230" t="n">
        <v>2</v>
      </c>
      <c r="AK230" t="n">
        <v>8</v>
      </c>
      <c r="AL230" t="n">
        <v>21</v>
      </c>
      <c r="AM230" t="inlineStr">
        <is>
          <t>MDPI</t>
        </is>
      </c>
      <c r="AN230" t="inlineStr">
        <is>
          <t>BASEL</t>
        </is>
      </c>
      <c r="AO230" t="inlineStr">
        <is>
          <t>ST ALBAN-ANLAGE 66, CH-4052 BASEL, SWITZERLAND</t>
        </is>
      </c>
      <c r="AQ230" t="inlineStr">
        <is>
          <t>2071-1050</t>
        </is>
      </c>
      <c r="AS230" t="inlineStr">
        <is>
          <t>SUSTAINABILITY-BASEL</t>
        </is>
      </c>
      <c r="AT230" t="inlineStr">
        <is>
          <t>Sustainability</t>
        </is>
      </c>
      <c r="AU230" t="inlineStr">
        <is>
          <t>SEP</t>
        </is>
      </c>
      <c r="AV230" t="n">
        <v>2022</v>
      </c>
      <c r="AW230" t="n">
        <v>14</v>
      </c>
      <c r="AX230" t="n">
        <v>18</v>
      </c>
      <c r="BE230" t="n">
        <v>11792</v>
      </c>
      <c r="BF230" t="inlineStr">
        <is>
          <t>10.3390/su141811792</t>
        </is>
      </c>
      <c r="BG230">
        <f>HYPERLINK("http://dx.doi.org/10.3390/su141811792","http://dx.doi.org/10.3390/su141811792")</f>
        <v/>
      </c>
      <c r="BJ230" t="n">
        <v>37</v>
      </c>
      <c r="BK230" t="inlineStr">
        <is>
          <t>Green &amp; Sustainable Science &amp; Technology; Environmental Sciences; Environmental Studies</t>
        </is>
      </c>
      <c r="BL230" t="inlineStr">
        <is>
          <t>Science Citation Index Expanded (SCI-EXPANDED); Social Science Citation Index (SSCI)</t>
        </is>
      </c>
      <c r="BM230" t="inlineStr">
        <is>
          <t>Science &amp; Technology - Other Topics; Environmental Sciences &amp; Ecology</t>
        </is>
      </c>
      <c r="BN230" t="inlineStr">
        <is>
          <t>4S7JL</t>
        </is>
      </c>
      <c r="BP230" t="inlineStr">
        <is>
          <t>gold</t>
        </is>
      </c>
      <c r="BS230" t="inlineStr">
        <is>
          <t>2023-10-26</t>
        </is>
      </c>
      <c r="BT230" t="inlineStr">
        <is>
          <t>WOS:000857612400001</t>
        </is>
      </c>
      <c r="BU230">
        <f>HYPERLINK("https%3A%2F%2Fwww.webofscience.com%2Fwos%2Fwoscc%2Ffull-record%2FWOS:000857612400001","View Full Record in Web of Science")</f>
        <v/>
      </c>
    </row>
    <row r="231">
      <c r="A231" t="inlineStr">
        <is>
          <t>J</t>
        </is>
      </c>
      <c r="B231" t="inlineStr">
        <is>
          <t>Zhao, PX; Kwan, MP; Zhou, SH</t>
        </is>
      </c>
      <c r="F231" t="inlineStr">
        <is>
          <t>Zhao, Pengxiang; Kwan, Mei-Po; Zhou, Suhong</t>
        </is>
      </c>
      <c r="J231" t="inlineStr">
        <is>
          <t>INTERNATIONAL JOURNAL OF ENVIRONMENTAL RESEARCH AND PUBLIC HEALTH</t>
        </is>
      </c>
      <c r="M231" t="inlineStr">
        <is>
          <t>English</t>
        </is>
      </c>
      <c r="N231" t="inlineStr">
        <is>
          <t>Article</t>
        </is>
      </c>
      <c r="T231" t="inlineStr">
        <is>
          <t>The Uncertain Geographic Context Problem in the Analysis of the Relationships between Obesity and the Built Environment in Guangzhou</t>
        </is>
      </c>
      <c r="U231" t="inlineStr">
        <is>
          <t>obesity; built environment; activity space; regression analysis; UGCoP</t>
        </is>
      </c>
      <c r="V231" t="inlineStr">
        <is>
          <t>BODY-MASS INDEX; PHYSICAL-ACTIVITY; FOOD ENVIRONMENT; LAND-USE; HEALTH; NEIGHBORHOOD; PLACE; DISPARITIES; ADULTS; TRAVEL</t>
        </is>
      </c>
      <c r="W231" t="inlineStr">
        <is>
          <t>Traditionally, static units of analysis such as administrative units are used when studying obesity. However, using these fixed contextual units ignores environmental influences experienced by individuals in areas beyond their residential neighborhood and may render the results unreliable. This problem has been articulated as the uncertain geographic context problem (UGCoP). This study investigates the UGCoP through exploring the relationships between the built environment and obesity based on individuals' activity space. First, a survey was conducted to collect individuals' daily activity and weight information in Guangzhou in January 2016. Then, the data were used to calculate and compare the values of several built environment variables based on seven activity space delineations, including home buffers, workplace buffers (WPB), fitness place buffers (FPB), the standard deviational ellipse at two standard deviations (SDE2), the weighted standard deviational ellipse at two standard deviations (WSDE2), the minimum convex polygon (MCP), and road network buffers (RNB). Lastly, we conducted comparative analysis and regression analysis based on different activity space measures. The results indicate that significant differences exist between variables obtained with different activity space delineations. Further, regression analyses show that the activity space delineations used in the analysis have a significant influence on the results concerning the relationships between the built environment and obesity. The study sheds light on the UGCoP in analyzing the relationships between obesity and the built environment.</t>
        </is>
      </c>
      <c r="X231" t="inlineStr">
        <is>
          <t>[Zhao, Pengxiang] Hong Kong Polytech Univ, Dept Land Surveying &amp; Geoinformat, Hong Kong, Hong Kong, Peoples R China; [Kwan, Mei-Po] Univ Illinois, Dept Geog &amp; Geog Informat Sci, Nat Hist Bldg,MC 150,1301 W Green St, Urbana, IL 61801 USA; [Kwan, Mei-Po] Univ Utrecht, Fac Geosci, Dept Human Geog &amp; Spatial Planning, POB 80125, NL-3508 TC Utrecht, Netherlands; [Zhou, Suhong] Sun Yat Sen Univ, Sch Geog &amp; Planning, Guangzhou 510275, Guangdong, Peoples R China; [Zhou, Suhong] Guangdong Key Lab Urbanizat &amp; Geosimulat, Guangzhou 510275, Guangdong, Peoples R China</t>
        </is>
      </c>
      <c r="Y231" t="inlineStr">
        <is>
          <t>Hong Kong Polytechnic University; University of Illinois System; University of Illinois Urbana-Champaign; Utrecht University; Sun Yat Sen University</t>
        </is>
      </c>
      <c r="Z231" t="inlineStr">
        <is>
          <t>Zhou, SH (corresponding author), Sun Yat Sen Univ, Sch Geog &amp; Planning, Guangzhou 510275, Guangdong, Peoples R China.;Zhou, SH (corresponding author), Guangdong Key Lab Urbanizat &amp; Geosimulat, Guangzhou 510275, Guangdong, Peoples R China.</t>
        </is>
      </c>
      <c r="AA231" t="inlineStr">
        <is>
          <t>peng.x.zhao@polyu.edu.hk; mpk654@gmail.com; eeszsh@mail.sysu.edu.cn</t>
        </is>
      </c>
      <c r="AB231" t="inlineStr">
        <is>
          <t>Kwan, Mei-Po/S-4162-2016; Zhao, Peng/HDO-7507-2022</t>
        </is>
      </c>
      <c r="AC231" t="inlineStr">
        <is>
          <t>Kwan, Mei-Po/0000-0001-8602-9258; Zhao, Pengxiang/0000-0002-5279-9331</t>
        </is>
      </c>
      <c r="AD231" t="inlineStr">
        <is>
          <t>National Natural Science Foundation of China [41522104, 41529101]; Natural Science Foundation of Guangdong Province, China [2017A030313228]; John Simon Guggenheim Memorial Foundation Fellowship</t>
        </is>
      </c>
      <c r="AE231" t="inlineStr">
        <is>
          <t>National Natural Science Foundation of China(National Natural Science Foundation of China (NSFC)); Natural Science Foundation of Guangdong Province, China(National Natural Science Foundation of Guangdong Province); John Simon Guggenheim Memorial Foundation Fellowship</t>
        </is>
      </c>
      <c r="AF231" t="inlineStr">
        <is>
          <t>This research was supported by two grants from the National Natural Science Foundation of China (41522104 and 41529101) and a grant from the Natural Science Foundation of Guangdong Province, China (2017A030313228). In addition, Mei-Po Kwan was supported by a John Simon Guggenheim Memorial Foundation Fellowship.</t>
        </is>
      </c>
      <c r="AH231" t="n">
        <v>68</v>
      </c>
      <c r="AI231" t="n">
        <v>57</v>
      </c>
      <c r="AJ231" t="n">
        <v>63</v>
      </c>
      <c r="AK231" t="n">
        <v>2</v>
      </c>
      <c r="AL231" t="n">
        <v>42</v>
      </c>
      <c r="AM231" t="inlineStr">
        <is>
          <t>MDPI</t>
        </is>
      </c>
      <c r="AN231" t="inlineStr">
        <is>
          <t>BASEL</t>
        </is>
      </c>
      <c r="AO231" t="inlineStr">
        <is>
          <t>ST ALBAN-ANLAGE 66, CH-4052 BASEL, SWITZERLAND</t>
        </is>
      </c>
      <c r="AQ231" t="inlineStr">
        <is>
          <t>1660-4601</t>
        </is>
      </c>
      <c r="AS231" t="inlineStr">
        <is>
          <t>INT J ENV RES PUB HE</t>
        </is>
      </c>
      <c r="AT231" t="inlineStr">
        <is>
          <t>Int. J. Environ. Res. Public Health</t>
        </is>
      </c>
      <c r="AU231" t="inlineStr">
        <is>
          <t>FEB</t>
        </is>
      </c>
      <c r="AV231" t="n">
        <v>2018</v>
      </c>
      <c r="AW231" t="n">
        <v>15</v>
      </c>
      <c r="AX231" t="n">
        <v>2</v>
      </c>
      <c r="BE231" t="n">
        <v>308</v>
      </c>
      <c r="BF231" t="inlineStr">
        <is>
          <t>10.3390/ijerph15020308</t>
        </is>
      </c>
      <c r="BG231">
        <f>HYPERLINK("http://dx.doi.org/10.3390/ijerph15020308","http://dx.doi.org/10.3390/ijerph15020308")</f>
        <v/>
      </c>
      <c r="BJ231" t="n">
        <v>20</v>
      </c>
      <c r="BK231" t="inlineStr">
        <is>
          <t>Environmental Sciences; Public, Environmental &amp; Occupational Health</t>
        </is>
      </c>
      <c r="BL231" t="inlineStr">
        <is>
          <t>Science Citation Index Expanded (SCI-EXPANDED); Social Science Citation Index (SSCI)</t>
        </is>
      </c>
      <c r="BM231" t="inlineStr">
        <is>
          <t>Environmental Sciences &amp; Ecology; Public, Environmental &amp; Occupational Health</t>
        </is>
      </c>
      <c r="BN231" t="inlineStr">
        <is>
          <t>FY3LM</t>
        </is>
      </c>
      <c r="BO231" t="n">
        <v>29439392</v>
      </c>
      <c r="BP231" t="inlineStr">
        <is>
          <t>Green Submitted, Green Published, gold</t>
        </is>
      </c>
      <c r="BS231" t="inlineStr">
        <is>
          <t>2023-10-26</t>
        </is>
      </c>
      <c r="BT231" t="inlineStr">
        <is>
          <t>WOS:000426721400133</t>
        </is>
      </c>
      <c r="BU231">
        <f>HYPERLINK("https%3A%2F%2Fwww.webofscience.com%2Fwos%2Fwoscc%2Ffull-record%2FWOS:000426721400133","View Full Record in Web of Science")</f>
        <v/>
      </c>
    </row>
    <row r="232">
      <c r="A232" t="inlineStr">
        <is>
          <t>J</t>
        </is>
      </c>
      <c r="B232" t="inlineStr">
        <is>
          <t>Wang, JJ; Wu, XY; Wang, RY; He, DS; Li, DY; Yang, LCA; Yang, YY; Lu, Y</t>
        </is>
      </c>
      <c r="F232" t="inlineStr">
        <is>
          <t>Wang, Jingjing; Wu, Xueying; Wang, Ruoyu; He, Dongsheng; Li, Dongying; Yang, Linchuan; Yang, Yiyang; Lu, Yi</t>
        </is>
      </c>
      <c r="J232" t="inlineStr">
        <is>
          <t>INTERNATIONAL JOURNAL OF ENVIRONMENTAL RESEARCH AND PUBLIC HEALTH</t>
        </is>
      </c>
      <c r="M232" t="inlineStr">
        <is>
          <t>English</t>
        </is>
      </c>
      <c r="N232" t="inlineStr">
        <is>
          <t>Review</t>
        </is>
      </c>
      <c r="T232" t="inlineStr">
        <is>
          <t>Review of Associations between Built Environment Characteristics and Severe Acute Respiratory Syndrome Coronavirus 2 Infection Risk</t>
        </is>
      </c>
      <c r="U232" t="inlineStr">
        <is>
          <t>SARS-CoV-2; COVID-19; built environment</t>
        </is>
      </c>
      <c r="V232" t="inlineStr">
        <is>
          <t>PHYSICAL-ACTIVITY; PUBLIC-HEALTH; PATHWAYS; BEHAVIOR; OBESITY; WALKING; TRAVEL</t>
        </is>
      </c>
      <c r="W232" t="inlineStr">
        <is>
          <t>The coronavirus disease 2019 pandemic has stimulated intensive research interest in its transmission pathways and infection factors, e.g., socioeconomic and demographic characteristics, climatology, baseline health conditions or pre-existing diseases, and government policies. Meanwhile, some empirical studies suggested that built environment attributes may be associated with the transmission mechanism and infection risk of severe acute respiratory syndrome coronavirus 2 (SARS-CoV-2). However, no review has been conducted to explore the effect of built environment characteristics on the infection risk. This research gap prevents government officials and urban planners from creating effective urban design guidelines to contain SARS-CoV-2 infections and face future pandemic challenges. This review summarizes evidence from 25 empirical studies and provides an overview of the effect of built environment on SARS-CoV-2 infection risk. Virus infection risk was positively associated with the density of commercial facilities, roads, and schools and with public transit accessibility, whereas it was negatively associated with the availability of green spaces. This review recommends several directions for future studies, namely using longitudinal research design and individual-level data, considering multilevel factors and extending to diversified geographic areas.</t>
        </is>
      </c>
      <c r="X232" t="inlineStr">
        <is>
          <t>[Wang, Jingjing; Wu, Xueying; Yang, Yiyang; Lu, Yi] City Univ Hong Kong, Dept Architecture &amp; Civil Engn, Kowloon Tong, Hong Kong 999077, Peoples R China; [Wang, Jingjing] Wuhan Univ, Sch Urban Design, Wuhan 430072, Peoples R China; [Wang, Ruoyu] Univ Edinburgh, Sch GeoSci, Inst Geog, Edinburgh EH8 9XP, Midlothian, Scotland; [He, Dongsheng] Univ Cambridge, Dept Architecture, Cambridge CB2 1PX, England; [Li, Dongying] Texas A&amp;M Univ, Dept Landscape Architecture &amp; Urban Planning, College Stn, TX 77843 USA; [Yang, Linchuan] Southwest Jiaotong Univ, Dept Urban &amp; Rural Planning, Chengdu 610031, Peoples R China; [Lu, Yi] City Univ Hong Kong, Shenzhen Res Inst, Shenzhen 518057, Peoples R China</t>
        </is>
      </c>
      <c r="Y232" t="inlineStr">
        <is>
          <t>City University of Hong Kong; Wuhan University; University of Edinburgh; University of Cambridge; Texas A&amp;M University System; Texas A&amp;M University College Station; Southwest Jiaotong University; Shenzhen Research Institute, City University of Hong Kong; City University of Hong Kong</t>
        </is>
      </c>
      <c r="Z232" t="inlineStr">
        <is>
          <t>Yang, YY; Lu, Y (corresponding author), City Univ Hong Kong, Dept Architecture &amp; Civil Engn, Kowloon Tong, Hong Kong 999077, Peoples R China.;Lu, Y (corresponding author), City Univ Hong Kong, Shenzhen Res Inst, Shenzhen 518057, Peoples R China.</t>
        </is>
      </c>
      <c r="AA232" t="inlineStr">
        <is>
          <t>jwang586-c@my.cityu.edu.hk; xueyingwu8-c@my.cityu.edu.hk; R.Wang-54@sms.ed.ac.uk; hedsh3@mail2.sysu.edu.cn; dli@arch.tamu.edu; yanglc0125@swjtu.edu.cn; yiyayang-c@my.cityu.edu.hk; yilu24@cityu.edu.hk</t>
        </is>
      </c>
      <c r="AB232" t="inlineStr">
        <is>
          <t>Yang, Yiyang/GZH-1168-2022; Yang, Linchuan/ABF-1874-2021; LU, Yi/AAD-7750-2020; YANG, Yiyang/AAU-6715-2020; Wang, Ruoyu/S-3360-2019; Wang, Jingjing/B-7476-2016</t>
        </is>
      </c>
      <c r="AC232" t="inlineStr">
        <is>
          <t>Yang, Linchuan/0000-0001-6070-9044; LU, Yi/0000-0001-7614-6661; YANG, Yiyang/0000-0003-2705-0238; Wang, Ruoyu/0000-0002-7240-558X; Wang, Jingjing/0000-0003-3170-8952; Li, Dongying/0000-0002-2273-8079; WANG, Jingjing/0000-0001-6190-3009; WU, Xueying/0000-0002-2997-6037</t>
        </is>
      </c>
      <c r="AD232" t="inlineStr">
        <is>
          <t>National Natural Science Foundation of China [51778552]; Research Grants Council of the Hong Kong SAR [CityU11207520]</t>
        </is>
      </c>
      <c r="AE232" t="inlineStr">
        <is>
          <t>National Natural Science Foundation of China(National Natural Science Foundation of China (NSFC)); Research Grants Council of the Hong Kong SAR(Hong Kong Research Grants Council)</t>
        </is>
      </c>
      <c r="AF232" t="inlineStr">
        <is>
          <t>The work described in this paper was fully supported by the grants from National Natural Science Foundation of China (Project No. 51778552) and the Research Grants Council of the Hong Kong SAR (Project No. CityU11207520).</t>
        </is>
      </c>
      <c r="AH232" t="n">
        <v>75</v>
      </c>
      <c r="AI232" t="n">
        <v>20</v>
      </c>
      <c r="AJ232" t="n">
        <v>20</v>
      </c>
      <c r="AK232" t="n">
        <v>1</v>
      </c>
      <c r="AL232" t="n">
        <v>42</v>
      </c>
      <c r="AM232" t="inlineStr">
        <is>
          <t>MDPI</t>
        </is>
      </c>
      <c r="AN232" t="inlineStr">
        <is>
          <t>BASEL</t>
        </is>
      </c>
      <c r="AO232" t="inlineStr">
        <is>
          <t>ST ALBAN-ANLAGE 66, CH-4052 BASEL, SWITZERLAND</t>
        </is>
      </c>
      <c r="AQ232" t="inlineStr">
        <is>
          <t>1660-4601</t>
        </is>
      </c>
      <c r="AS232" t="inlineStr">
        <is>
          <t>INT J ENV RES PUB HE</t>
        </is>
      </c>
      <c r="AT232" t="inlineStr">
        <is>
          <t>Int. J. Environ. Res. Public Health</t>
        </is>
      </c>
      <c r="AU232" t="inlineStr">
        <is>
          <t>JUL</t>
        </is>
      </c>
      <c r="AV232" t="n">
        <v>2021</v>
      </c>
      <c r="AW232" t="n">
        <v>18</v>
      </c>
      <c r="AX232" t="n">
        <v>14</v>
      </c>
      <c r="BE232" t="n">
        <v>7561</v>
      </c>
      <c r="BF232" t="inlineStr">
        <is>
          <t>10.3390/ijerph18147561</t>
        </is>
      </c>
      <c r="BG232">
        <f>HYPERLINK("http://dx.doi.org/10.3390/ijerph18147561","http://dx.doi.org/10.3390/ijerph18147561")</f>
        <v/>
      </c>
      <c r="BJ232" t="n">
        <v>16</v>
      </c>
      <c r="BK232" t="inlineStr">
        <is>
          <t>Environmental Sciences; Public, Environmental &amp; Occupational Health</t>
        </is>
      </c>
      <c r="BL232" t="inlineStr">
        <is>
          <t>Science Citation Index Expanded (SCI-EXPANDED); Social Science Citation Index (SSCI)</t>
        </is>
      </c>
      <c r="BM232" t="inlineStr">
        <is>
          <t>Environmental Sciences &amp; Ecology; Public, Environmental &amp; Occupational Health</t>
        </is>
      </c>
      <c r="BN232" t="inlineStr">
        <is>
          <t>TN5YM</t>
        </is>
      </c>
      <c r="BO232" t="n">
        <v>34300011</v>
      </c>
      <c r="BP232" t="inlineStr">
        <is>
          <t>gold, Green Published</t>
        </is>
      </c>
      <c r="BS232" t="inlineStr">
        <is>
          <t>2023-10-26</t>
        </is>
      </c>
      <c r="BT232" t="inlineStr">
        <is>
          <t>WOS:000676309900001</t>
        </is>
      </c>
      <c r="BU232">
        <f>HYPERLINK("https%3A%2F%2Fwww.webofscience.com%2Fwos%2Fwoscc%2Ffull-record%2FWOS:000676309900001","View Full Record in Web of Science")</f>
        <v/>
      </c>
    </row>
    <row r="233">
      <c r="A233" t="inlineStr">
        <is>
          <t>J</t>
        </is>
      </c>
      <c r="B233" t="inlineStr">
        <is>
          <t>Mahmoudi, J; Zhang, L</t>
        </is>
      </c>
      <c r="F233" t="inlineStr">
        <is>
          <t>Mahmoudi, Jina; Zhang, Lei</t>
        </is>
      </c>
      <c r="J233" t="inlineStr">
        <is>
          <t>SUSTAINABILITY</t>
        </is>
      </c>
      <c r="M233" t="inlineStr">
        <is>
          <t>English</t>
        </is>
      </c>
      <c r="N233" t="inlineStr">
        <is>
          <t>Article</t>
        </is>
      </c>
      <c r="T233" t="inlineStr">
        <is>
          <t>Impact of the Built Environment Measured at Multiple Levels on Nonmotorized Travel Behavior: An Ecological Approach to a Florida Case Study</t>
        </is>
      </c>
      <c r="U233" t="inlineStr">
        <is>
          <t>nonmotorized travel behavior; walking; bicycling; built environment; ecological model</t>
        </is>
      </c>
      <c r="V233" t="inlineStr">
        <is>
          <t>RESIDENTIAL SELF-SELECTION; PHYSICAL-ACTIVITY; URBAN SPRAWL; NEIGHBORHOOD DESIGN; PEDESTRIAN TRAVEL; WALKING BEHAVIOR; NORTH-AMERICA; MODE CHOICE; TRANSPORTATION; OBESITY</t>
        </is>
      </c>
      <c r="W233" t="inlineStr">
        <is>
          <t>Research continues to reveal the benefits of nonmotorized travel modes such as walking and bicycling. Therefore, identification of the factors that nurture these activities is essential in developing sustainable urban planning policies and designs. Among those factors are the built environment characteristics of the place of residence. To date, research on the role of the built environment in nonmotorized travel has focused on neighborhood-level factors. However, people do not stay within their neighborhoods; they live and work at a regional scale and travel to various destinations and distances each day. Nonetheless, little is known about the impact of built environment factors at larger spatial scales on nonmotorized travel behavior. Guided by the principles of the ecological model of behavior, this study investigates the role of the built environment at hierarchical spatial scales in nonmotorized travel behavior. Multilevel Structural Equation Models have been developed to comprehensively examine the complex links between the built environment and individuals' nonmotorized travel. Findings indicate that built environment factors at multiple spatial scales can influence nonmotorized travel behavior. Thus, to promote walking and bicycling, more effective policies are those that include multilevel built environment and land use interventions and consider the overall physical form of urban areas.</t>
        </is>
      </c>
      <c r="X233" t="inlineStr">
        <is>
          <t>[Mahmoudi, Jina; Zhang, Lei] Univ Maryland, Maryland Transportat Inst, College Pk, MD 20742 USA</t>
        </is>
      </c>
      <c r="Y233" t="inlineStr">
        <is>
          <t>University System of Maryland; University of Maryland College Park</t>
        </is>
      </c>
      <c r="Z233" t="inlineStr">
        <is>
          <t>Mahmoudi, J (corresponding author), Univ Maryland, Maryland Transportat Inst, College Pk, MD 20742 USA.</t>
        </is>
      </c>
      <c r="AA233" t="inlineStr">
        <is>
          <t>zhina@umd.edu; lei@umd.edu</t>
        </is>
      </c>
      <c r="AH233" t="n">
        <v>89</v>
      </c>
      <c r="AI233" t="n">
        <v>4</v>
      </c>
      <c r="AJ233" t="n">
        <v>4</v>
      </c>
      <c r="AK233" t="n">
        <v>5</v>
      </c>
      <c r="AL233" t="n">
        <v>21</v>
      </c>
      <c r="AM233" t="inlineStr">
        <is>
          <t>MDPI</t>
        </is>
      </c>
      <c r="AN233" t="inlineStr">
        <is>
          <t>BASEL</t>
        </is>
      </c>
      <c r="AO233" t="inlineStr">
        <is>
          <t>ST ALBAN-ANLAGE 66, CH-4052 BASEL, SWITZERLAND</t>
        </is>
      </c>
      <c r="AQ233" t="inlineStr">
        <is>
          <t>2071-1050</t>
        </is>
      </c>
      <c r="AS233" t="inlineStr">
        <is>
          <t>SUSTAINABILITY-BASEL</t>
        </is>
      </c>
      <c r="AT233" t="inlineStr">
        <is>
          <t>Sustainability</t>
        </is>
      </c>
      <c r="AU233" t="inlineStr">
        <is>
          <t>NOV</t>
        </is>
      </c>
      <c r="AV233" t="n">
        <v>2020</v>
      </c>
      <c r="AW233" t="n">
        <v>12</v>
      </c>
      <c r="AX233" t="n">
        <v>21</v>
      </c>
      <c r="BE233" t="n">
        <v>8837</v>
      </c>
      <c r="BF233" t="inlineStr">
        <is>
          <t>10.3390/su12218837</t>
        </is>
      </c>
      <c r="BG233">
        <f>HYPERLINK("http://dx.doi.org/10.3390/su12218837","http://dx.doi.org/10.3390/su12218837")</f>
        <v/>
      </c>
      <c r="BJ233" t="n">
        <v>39</v>
      </c>
      <c r="BK233" t="inlineStr">
        <is>
          <t>Green &amp; Sustainable Science &amp; Technology; Environmental Sciences; Environmental Studies</t>
        </is>
      </c>
      <c r="BL233" t="inlineStr">
        <is>
          <t>Science Citation Index Expanded (SCI-EXPANDED); Social Science Citation Index (SSCI)</t>
        </is>
      </c>
      <c r="BM233" t="inlineStr">
        <is>
          <t>Science &amp; Technology - Other Topics; Environmental Sciences &amp; Ecology</t>
        </is>
      </c>
      <c r="BN233" t="inlineStr">
        <is>
          <t>OR3UK</t>
        </is>
      </c>
      <c r="BP233" t="inlineStr">
        <is>
          <t>gold, Green Submitted</t>
        </is>
      </c>
      <c r="BS233" t="inlineStr">
        <is>
          <t>2023-10-26</t>
        </is>
      </c>
      <c r="BT233" t="inlineStr">
        <is>
          <t>WOS:000589398700001</t>
        </is>
      </c>
      <c r="BU233">
        <f>HYPERLINK("https%3A%2F%2Fwww.webofscience.com%2Fwos%2Fwoscc%2Ffull-record%2FWOS:000589398700001","View Full Record in Web of Science")</f>
        <v/>
      </c>
    </row>
    <row r="234">
      <c r="A234" t="inlineStr">
        <is>
          <t>J</t>
        </is>
      </c>
      <c r="B234" t="inlineStr">
        <is>
          <t>Lolli, F; Marinello, S; Coruzzolo, AM; Butturi, MA</t>
        </is>
      </c>
      <c r="F234" t="inlineStr">
        <is>
          <t>Lolli, Francesco; Marinello, Samuele; Coruzzolo, Antonio Maria; Butturi, Maria Angela</t>
        </is>
      </c>
      <c r="J234" t="inlineStr">
        <is>
          <t>TOXICS</t>
        </is>
      </c>
      <c r="M234" t="inlineStr">
        <is>
          <t>English</t>
        </is>
      </c>
      <c r="N234" t="inlineStr">
        <is>
          <t>Review</t>
        </is>
      </c>
      <c r="T234" t="inlineStr">
        <is>
          <t>Post-Occupancy Evaluation's (POE) Applications for Improving Indoor Environment Quality (IEQ)</t>
        </is>
      </c>
      <c r="U234" t="inlineStr">
        <is>
          <t>post-occupancy evaluation; building performance; indoor environment quality; occupants' comfort; literature analysis</t>
        </is>
      </c>
      <c r="V234" t="inlineStr">
        <is>
          <t>POST OCCUPANCY EVALUATION; BUILDING OCCUPANTS; GREEN BUILDINGS; MAINTENANCE MANAGEMENT; ENERGY PERFORMANCE; DISCOMFORT GLARE; AIR-QUALITY; SATISFACTION; COMFORT; DESIGN</t>
        </is>
      </c>
      <c r="W234" t="inlineStr">
        <is>
          <t>To improve buildings and their characteristics, the feedback provided directly by users is generally fundamental in order to be able to adapt the technical and structural functions to the well-being of users. The post-occupancy evaluation (POE) fits perfectly into this context. The POE, through qualitative and quantitative information on the interior environment, makes it possible to identify the differences between the performances modeled in the design phase and the real performances experienced by the occupants. This review of 234 articles, published between 2006 and 2022, aims to analyze and compare the recent literature on the application of the POE methodology. The aim was to provide both a qualitative and quantitative assessment of the main factors that comprise the indoor environmental quality (IEQ). The study highlighted the factors that comprise the quality of the indoor environment, as well as the variables that are usually analyzed to describe the well-being of the occupants. The results suggested which are the most common approaches in carrying out POE studies and will identify the factors that most influence the determination of the good quality of an indoor environment.</t>
        </is>
      </c>
      <c r="X234" t="inlineStr">
        <is>
          <t>[Lolli, Francesco; Marinello, Samuele; Coruzzolo, Antonio Maria; Butturi, Maria Angela] Univ Modena &amp; Reggio Emilia, Dept Sci &amp; Methods Engn, Via Amendola 2, I-42122 Reggio Emilia, Italy</t>
        </is>
      </c>
      <c r="Y234" t="inlineStr">
        <is>
          <t>Universita di Modena e Reggio Emilia</t>
        </is>
      </c>
      <c r="Z234" t="inlineStr">
        <is>
          <t>Lolli, F (corresponding author), Univ Modena &amp; Reggio Emilia, Dept Sci &amp; Methods Engn, Via Amendola 2, I-42122 Reggio Emilia, Italy.</t>
        </is>
      </c>
      <c r="AA234" t="inlineStr">
        <is>
          <t>francesco.lolli@unimore.it</t>
        </is>
      </c>
      <c r="AB234" t="inlineStr">
        <is>
          <t>Butturi, Maria/AAQ-6864-2020</t>
        </is>
      </c>
      <c r="AC234" t="inlineStr">
        <is>
          <t>Butturi, Maria/0000-0003-1639-6065; Lolli, Francesco/0000-0003-3967-091X; Marinello, Samuele/0000-0003-0792-0478; Coruzzolo, Antonio Maria/0000-0002-9252-4260</t>
        </is>
      </c>
      <c r="AH234" t="n">
        <v>169</v>
      </c>
      <c r="AI234" t="n">
        <v>11</v>
      </c>
      <c r="AJ234" t="n">
        <v>11</v>
      </c>
      <c r="AK234" t="n">
        <v>3</v>
      </c>
      <c r="AL234" t="n">
        <v>11</v>
      </c>
      <c r="AM234" t="inlineStr">
        <is>
          <t>MDPI</t>
        </is>
      </c>
      <c r="AN234" t="inlineStr">
        <is>
          <t>BASEL</t>
        </is>
      </c>
      <c r="AO234" t="inlineStr">
        <is>
          <t>ST ALBAN-ANLAGE 66, CH-4052 BASEL, SWITZERLAND</t>
        </is>
      </c>
      <c r="AQ234" t="inlineStr">
        <is>
          <t>2305-6304</t>
        </is>
      </c>
      <c r="AS234" t="inlineStr">
        <is>
          <t>TOXICS</t>
        </is>
      </c>
      <c r="AT234" t="inlineStr">
        <is>
          <t>Toxics</t>
        </is>
      </c>
      <c r="AU234" t="inlineStr">
        <is>
          <t>OCT</t>
        </is>
      </c>
      <c r="AV234" t="n">
        <v>2022</v>
      </c>
      <c r="AW234" t="n">
        <v>10</v>
      </c>
      <c r="AX234" t="n">
        <v>10</v>
      </c>
      <c r="BE234" t="n">
        <v>626</v>
      </c>
      <c r="BF234" t="inlineStr">
        <is>
          <t>10.3390/toxics10100626</t>
        </is>
      </c>
      <c r="BG234">
        <f>HYPERLINK("http://dx.doi.org/10.3390/toxics10100626","http://dx.doi.org/10.3390/toxics10100626")</f>
        <v/>
      </c>
      <c r="BJ234" t="n">
        <v>24</v>
      </c>
      <c r="BK234" t="inlineStr">
        <is>
          <t>Environmental Sciences; Toxicology</t>
        </is>
      </c>
      <c r="BL234" t="inlineStr">
        <is>
          <t>Science Citation Index Expanded (SCI-EXPANDED)</t>
        </is>
      </c>
      <c r="BM234" t="inlineStr">
        <is>
          <t>Environmental Sciences &amp; Ecology; Toxicology</t>
        </is>
      </c>
      <c r="BN234" t="inlineStr">
        <is>
          <t>5P9UO</t>
        </is>
      </c>
      <c r="BO234" t="n">
        <v>36287906</v>
      </c>
      <c r="BP234" t="inlineStr">
        <is>
          <t>gold, Green Published</t>
        </is>
      </c>
      <c r="BS234" t="inlineStr">
        <is>
          <t>2023-10-26</t>
        </is>
      </c>
      <c r="BT234" t="inlineStr">
        <is>
          <t>WOS:000873487600001</t>
        </is>
      </c>
      <c r="BU234">
        <f>HYPERLINK("https%3A%2F%2Fwww.webofscience.com%2Fwos%2Fwoscc%2Ffull-record%2FWOS:000873487600001","View Full Record in Web of Science")</f>
        <v/>
      </c>
    </row>
    <row r="235">
      <c r="A235" t="inlineStr">
        <is>
          <t>J</t>
        </is>
      </c>
      <c r="B235" t="inlineStr">
        <is>
          <t>Santinha, G; Costa, C; Diogo, S</t>
        </is>
      </c>
      <c r="F235" t="inlineStr">
        <is>
          <t>Santinha, Goncalo; Costa, Catarina; Diogo, Sara</t>
        </is>
      </c>
      <c r="J235" t="inlineStr">
        <is>
          <t>URBAN SCIENCE</t>
        </is>
      </c>
      <c r="M235" t="inlineStr">
        <is>
          <t>English</t>
        </is>
      </c>
      <c r="N235" t="inlineStr">
        <is>
          <t>Article</t>
        </is>
      </c>
      <c r="T235" t="inlineStr">
        <is>
          <t>How Are Local Policies Promoting Older People's Mobility? A Case Study</t>
        </is>
      </c>
      <c r="U235" t="inlineStr">
        <is>
          <t>local policies; old-aged people; built environment; walkable environment; activities</t>
        </is>
      </c>
      <c r="V235" t="inlineStr">
        <is>
          <t>PHYSICAL-ACTIVITY; NEIGHBORHOOD WALKABILITY; WALKING; ADULTS; ACCESSIBILITY; INTERVENTIONS; FALLS; LIFE</t>
        </is>
      </c>
      <c r="W235" t="inlineStr">
        <is>
          <t>Aging populations pose a challenge to many policy areas. Although the importance of the built environment on citizens' mobility and quality of life has been widely acknowledged in the literature, research focusing on elderly people is relatively recent and still scarce namely in Portugal. This article aims at understanding how local stakeholders perceive the built environment and occupational activities targeted to the elderly. The article focuses on the municipality of Viseu, a medium-sized city located in the NUTSII Centro Region of Portugal, considered twice to be the best city to live in in Portugal. Document analysis and face-to-face semi-structured interviews of local stakeholders were conducted. Findings show that there is still a need to take further policy steps to allow older adults to be more active and to promote the neighbourhood's walkability.</t>
        </is>
      </c>
      <c r="X235" t="inlineStr">
        <is>
          <t>[Santinha, Goncalo; Diogo, Sara] GOVCOPP Governance Competitiveness &amp; Publ Policie, P-3810193 Aveiro, Portugal; [Santinha, Goncalo] CEGOT Ctr Studies Geog &amp; Spatial Planning, P-4150564 Porto, Portugal; [Santinha, Goncalo; Costa, Catarina; Diogo, Sara] Univ Aveiro, Dept Social Polit &amp; Terr Sci, P-3810193 Aveiro, Portugal; [Diogo, Sara] CIPES Res Ctr Higher Educ Policies, P-4450227 Matosinhos, Portugal</t>
        </is>
      </c>
      <c r="Y235" t="inlineStr">
        <is>
          <t>Universidade do Porto; Universidade de Aveiro</t>
        </is>
      </c>
      <c r="Z235" t="inlineStr">
        <is>
          <t>Diogo, S (corresponding author), GOVCOPP Governance Competitiveness &amp; Publ Policie, P-3810193 Aveiro, Portugal.;Diogo, S (corresponding author), Univ Aveiro, Dept Social Polit &amp; Terr Sci, P-3810193 Aveiro, Portugal.;Diogo, S (corresponding author), CIPES Res Ctr Higher Educ Policies, P-4450227 Matosinhos, Portugal.</t>
        </is>
      </c>
      <c r="AA235" t="inlineStr">
        <is>
          <t>g.santinha@ua.pt; catarina.viana.costa@gmail.com; sara.diogo@ua.pt</t>
        </is>
      </c>
      <c r="AB235" t="inlineStr">
        <is>
          <t>Diogo, Sara Margarida/D-3646-2017; Santinha, Gonçalo/K-4224-2014</t>
        </is>
      </c>
      <c r="AC235" t="inlineStr">
        <is>
          <t>Diogo, Sara Margarida/0000-0001-7212-8626; Santinha, Gonçalo/0000-0002-4732-5959</t>
        </is>
      </c>
      <c r="AH235" t="n">
        <v>49</v>
      </c>
      <c r="AI235" t="n">
        <v>4</v>
      </c>
      <c r="AJ235" t="n">
        <v>4</v>
      </c>
      <c r="AK235" t="n">
        <v>0</v>
      </c>
      <c r="AL235" t="n">
        <v>2</v>
      </c>
      <c r="AM235" t="inlineStr">
        <is>
          <t>MDPI</t>
        </is>
      </c>
      <c r="AN235" t="inlineStr">
        <is>
          <t>BASEL</t>
        </is>
      </c>
      <c r="AO235" t="inlineStr">
        <is>
          <t>ST ALBAN-ANLAGE 66, CH-4052 BASEL, SWITZERLAND</t>
        </is>
      </c>
      <c r="AQ235" t="inlineStr">
        <is>
          <t>2413-8851</t>
        </is>
      </c>
      <c r="AS235" t="inlineStr">
        <is>
          <t>URBAN SCI</t>
        </is>
      </c>
      <c r="AT235" t="inlineStr">
        <is>
          <t>Urban Sci.</t>
        </is>
      </c>
      <c r="AU235" t="inlineStr">
        <is>
          <t>SEP</t>
        </is>
      </c>
      <c r="AV235" t="n">
        <v>2018</v>
      </c>
      <c r="AW235" t="n">
        <v>2</v>
      </c>
      <c r="AX235" t="n">
        <v>3</v>
      </c>
      <c r="BE235" t="n">
        <v>63</v>
      </c>
      <c r="BF235" t="inlineStr">
        <is>
          <t>10.3390/urbansci2030063</t>
        </is>
      </c>
      <c r="BG235">
        <f>HYPERLINK("http://dx.doi.org/10.3390/urbansci2030063","http://dx.doi.org/10.3390/urbansci2030063")</f>
        <v/>
      </c>
      <c r="BJ235" t="n">
        <v>14</v>
      </c>
      <c r="BK235" t="inlineStr">
        <is>
          <t>Environmental Sciences; Environmental Studies; Geography; Regional &amp; Urban Planning; Urban Studies</t>
        </is>
      </c>
      <c r="BL235" t="inlineStr">
        <is>
          <t>Emerging Sources Citation Index (ESCI)</t>
        </is>
      </c>
      <c r="BM235" t="inlineStr">
        <is>
          <t>Environmental Sciences &amp; Ecology; Geography; Public Administration; Urban Studies</t>
        </is>
      </c>
      <c r="BN235" t="inlineStr">
        <is>
          <t>VJ7PE</t>
        </is>
      </c>
      <c r="BP235" t="inlineStr">
        <is>
          <t>gold</t>
        </is>
      </c>
      <c r="BS235" t="inlineStr">
        <is>
          <t>2023-10-26</t>
        </is>
      </c>
      <c r="BT235" t="inlineStr">
        <is>
          <t>WOS:000621632500013</t>
        </is>
      </c>
      <c r="BU235">
        <f>HYPERLINK("https%3A%2F%2Fwww.webofscience.com%2Fwos%2Fwoscc%2Ffull-record%2FWOS:000621632500013","View Full Record in Web of Science")</f>
        <v/>
      </c>
    </row>
    <row r="236">
      <c r="A236" t="inlineStr">
        <is>
          <t>J</t>
        </is>
      </c>
      <c r="B236" t="inlineStr">
        <is>
          <t>Qiu, YZ; Liu, YQ; Liu, Y; Li, ZG</t>
        </is>
      </c>
      <c r="F236" t="inlineStr">
        <is>
          <t>Qiu, Yingzhi; Liu, Yuqi; Liu, Yi; Li, Zhigang</t>
        </is>
      </c>
      <c r="J236" t="inlineStr">
        <is>
          <t>INTERNATIONAL JOURNAL OF ENVIRONMENTAL RESEARCH AND PUBLIC HEALTH</t>
        </is>
      </c>
      <c r="M236" t="inlineStr">
        <is>
          <t>English</t>
        </is>
      </c>
      <c r="N236" t="inlineStr">
        <is>
          <t>Article</t>
        </is>
      </c>
      <c r="T236" t="inlineStr">
        <is>
          <t>Exploring the Linkage between the Neighborhood Environment and Mental Health in Guangzhou, China</t>
        </is>
      </c>
      <c r="U236" t="inlineStr">
        <is>
          <t>built-environment; social environment; mental health; neighborhood boundary; China</t>
        </is>
      </c>
      <c r="V236" t="inlineStr">
        <is>
          <t>RURAL-URBAN MIGRANTS; PHYSICAL-ACTIVITY; GREEN SPACE; SOCIOECONOMIC-STATUS; DEPRESSIVE SYMPTOMS; SOCIAL COHESION; OLDER-ADULTS; STRESS; ASSOCIATION; DEPRIVATION</t>
        </is>
      </c>
      <c r="W236" t="inlineStr">
        <is>
          <t>The relationship between the neighborhood environment and mental health has been investigated mostly in developed countries. Yet few studies have systematically examined the impact of the neighborhood-level built-environment and social environment on mental health within different localities in the Chinese context. Based on a household survey and geographical data in Guangzhou, China, this study aimed to explore the linkage between the neighborhood environment and mental health, with a particular focus on aspects of the built-environment that are related to new urbanism or compact cities and contextual social capital, using three geographic delineations. Our findings indicated that built-environment indicators based on a road network buffer had a higher explanatory power towards residents' mental health than did those based on a circular buffer. The analytical models demonstrated that neighborhood floor-area ratio, building density, and per capita green area were positively correlated with mental health. Neighborhood safety and contextual neighborhood interactions and reciprocity had positive associations with mental health. These findings provide policy makers and urban planners with valuable information on the role of the compact city strategy and the neighborhood social environment to improve the mental health of residents.</t>
        </is>
      </c>
      <c r="X236" t="inlineStr">
        <is>
          <t>[Qiu, Yingzhi] Peking Univ, Coll Urban &amp; Environm Sci, Beijing 100871, Peoples R China; [Liu, Yuqi] Univ Hong Kong, Dept Urban Planning &amp; Design, Hong Kong 999077, Peoples R China; [Liu, Yi] Anhui Inst Urban Construct &amp; Design, Inst Planning &amp; Design, Hefei 230051, Anhui, Peoples R China; [Li, Zhigang] Wuhan Univ, Sch Urban Design, Wuhan 430072, Hubei, Peoples R China; [Li, Zhigang] Inst Hubei Human Habitat Engn &amp; Technol, Wuhan 430072, Hubei, Peoples R China</t>
        </is>
      </c>
      <c r="Y236" t="inlineStr">
        <is>
          <t>Peking University; University of Hong Kong; Wuhan University</t>
        </is>
      </c>
      <c r="Z236" t="inlineStr">
        <is>
          <t>Liu, YQ (corresponding author), Univ Hong Kong, Dept Urban Planning &amp; Design, Hong Kong 999077, Peoples R China.;Li, ZG (corresponding author), Wuhan Univ, Sch Urban Design, Wuhan 430072, Hubei, Peoples R China.;Li, ZG (corresponding author), Inst Hubei Human Habitat Engn &amp; Technol, Wuhan 430072, Hubei, Peoples R China.</t>
        </is>
      </c>
      <c r="AA236" t="inlineStr">
        <is>
          <t>yuqiliu6@hku.hk; zhigangli@whu.edu.cn</t>
        </is>
      </c>
      <c r="AB236" t="inlineStr">
        <is>
          <t>li, zhigang/AFT-5267-2022</t>
        </is>
      </c>
      <c r="AC236" t="inlineStr">
        <is>
          <t>LI, Zhigang/0000-0002-4679-4622; Qiu, Yingzhi/0000-0001-9941-5713</t>
        </is>
      </c>
      <c r="AD236" t="inlineStr">
        <is>
          <t>National Natural Science Foundation of China [41422103, 41771167, 41871161]</t>
        </is>
      </c>
      <c r="AE236" t="inlineStr">
        <is>
          <t>National Natural Science Foundation of China(National Natural Science Foundation of China (NSFC))</t>
        </is>
      </c>
      <c r="AF236" t="inlineStr">
        <is>
          <t>This research was funded by the National Natural Science Foundation of China (number 41422103, number 41771167, and number 41871161).</t>
        </is>
      </c>
      <c r="AH236" t="n">
        <v>68</v>
      </c>
      <c r="AI236" t="n">
        <v>28</v>
      </c>
      <c r="AJ236" t="n">
        <v>29</v>
      </c>
      <c r="AK236" t="n">
        <v>16</v>
      </c>
      <c r="AL236" t="n">
        <v>97</v>
      </c>
      <c r="AM236" t="inlineStr">
        <is>
          <t>MDPI</t>
        </is>
      </c>
      <c r="AN236" t="inlineStr">
        <is>
          <t>BASEL</t>
        </is>
      </c>
      <c r="AO236" t="inlineStr">
        <is>
          <t>ST ALBAN-ANLAGE 66, CH-4052 BASEL, SWITZERLAND</t>
        </is>
      </c>
      <c r="AQ236" t="inlineStr">
        <is>
          <t>1660-4601</t>
        </is>
      </c>
      <c r="AS236" t="inlineStr">
        <is>
          <t>INT J ENV RES PUB HE</t>
        </is>
      </c>
      <c r="AT236" t="inlineStr">
        <is>
          <t>Int. J. Environ. Res. Public Health</t>
        </is>
      </c>
      <c r="AU236" t="inlineStr">
        <is>
          <t>SEP 1</t>
        </is>
      </c>
      <c r="AV236" t="n">
        <v>2019</v>
      </c>
      <c r="AW236" t="n">
        <v>16</v>
      </c>
      <c r="AX236" t="n">
        <v>17</v>
      </c>
      <c r="BE236" t="n">
        <v>3206</v>
      </c>
      <c r="BF236" t="inlineStr">
        <is>
          <t>10.3390/ijerph16173206</t>
        </is>
      </c>
      <c r="BG236">
        <f>HYPERLINK("http://dx.doi.org/10.3390/ijerph16173206","http://dx.doi.org/10.3390/ijerph16173206")</f>
        <v/>
      </c>
      <c r="BJ236" t="n">
        <v>15</v>
      </c>
      <c r="BK236" t="inlineStr">
        <is>
          <t>Environmental Sciences; Public, Environmental &amp; Occupational Health</t>
        </is>
      </c>
      <c r="BL236" t="inlineStr">
        <is>
          <t>Science Citation Index Expanded (SCI-EXPANDED); Social Science Citation Index (SSCI)</t>
        </is>
      </c>
      <c r="BM236" t="inlineStr">
        <is>
          <t>Environmental Sciences &amp; Ecology; Public, Environmental &amp; Occupational Health</t>
        </is>
      </c>
      <c r="BN236" t="inlineStr">
        <is>
          <t>IZ4EQ</t>
        </is>
      </c>
      <c r="BO236" t="n">
        <v>31480781</v>
      </c>
      <c r="BP236" t="inlineStr">
        <is>
          <t>gold, Green Published, Green Submitted</t>
        </is>
      </c>
      <c r="BS236" t="inlineStr">
        <is>
          <t>2023-10-26</t>
        </is>
      </c>
      <c r="BT236" t="inlineStr">
        <is>
          <t>WOS:000487037500201</t>
        </is>
      </c>
      <c r="BU236">
        <f>HYPERLINK("https%3A%2F%2Fwww.webofscience.com%2Fwos%2Fwoscc%2Ffull-record%2FWOS:000487037500201","View Full Record in Web of Science")</f>
        <v/>
      </c>
    </row>
    <row r="237">
      <c r="A237" t="inlineStr">
        <is>
          <t>J</t>
        </is>
      </c>
      <c r="B237" t="inlineStr">
        <is>
          <t>Almatawah, QA; Al-Rashidi, MS; Yassin, MF; Varghese, JS</t>
        </is>
      </c>
      <c r="F237" t="inlineStr">
        <is>
          <t>Almatawah, Qadreyah A.; Al-Rashidi, Mufaerh S.; Yassin, Mohamed F.; Varghese, Julie S.</t>
        </is>
      </c>
      <c r="J237" t="inlineStr">
        <is>
          <t>ENVIRONMENTAL MONITORING AND ASSESSMENT</t>
        </is>
      </c>
      <c r="M237" t="inlineStr">
        <is>
          <t>English</t>
        </is>
      </c>
      <c r="N237" t="inlineStr">
        <is>
          <t>Article</t>
        </is>
      </c>
      <c r="T237" t="inlineStr">
        <is>
          <t>Microbiological contamination of indoor and outdoor environments in a desert climate</t>
        </is>
      </c>
      <c r="U237" t="inlineStr">
        <is>
          <t>Air-borne microorganisms; Indoor air contamination; Office building; Desert environment</t>
        </is>
      </c>
      <c r="V237" t="inlineStr">
        <is>
          <t>AIR-QUALITY; PUBLIC BUILDINGS; DAMAGED BUILDINGS; OFFICE BUILDINGS; PARTICLES</t>
        </is>
      </c>
      <c r="W237" t="inlineStr">
        <is>
          <t>Microbiological air contamination in the desert environment is becoming an essential subject for the health of office building occupants and public health. In this study, the concentrations and compositions of airborne microorganisms (bacteria and fungi) were assessed in indoor and outdoor environments using a multistory building complex in Kuwait as a case study. Airborne microorganism samples were collected from 12 sites within the building complex containing nineteen stories over four seasons. Culturable airborne bacteria and fungi were impacted on selected media to determine their concentrations and compositions with a Biolog Omnilog GEN III system and Biolog MicroStation. The indoor mean airborne bacterial count concentrations ranged from 35 to 18,463 CFU/m(3), concentrations that are higher than 2,000 CFU/m(3), demonstrating high-very high contamination levels in all seasons. Fungal contamination was high in winter and summer, with detected concentrations &gt; 2,000 CFU/m(3). Indoor-to-outdoor (I/O) ratios showed that airborne microbial contamination inside building floors originated from indoor air contamination. All the building floors showed bacterial and fungal concentrations ranging from less than 2,000 to more than 2,000 CFU/m(3), indicative of a high to very high air contamination level. Statistical analysis showed no correlation between bacterial and fungal concentrations, demonstrating that they originated from unrelated sources. In the indoor building air, the most prevalent bacterial isolate was Bacillus pseudomycoides/cereus, whereas the most dominant fungal isolate was Aspergillus spp. The low count for indoor air bacterial species suggested no particular health risk for the occupants. In contrast, the high count of indoor air fungal species in the winter samples and the presence of potentially allergenic genera detected may suggest possible health risks for the occupants. The results obtained are the basis for the recommendation that the maintenance activities of the HVAC system and the periodical cleaning operation program be revised and preplanned as protective measures.</t>
        </is>
      </c>
      <c r="X237" t="inlineStr">
        <is>
          <t>[Almatawah, Qadreyah A.; Yassin, Mohamed F.; Varghese, Julie S.] Kuwait Inst Sci Res, Environm &amp; Life Sci Res Ctr, POB 24885, Safat 13109, Kuwait; [Al-Rashidi, Mufaerh S.] Kuwait Inst Sci Res, Safety &amp; Work Environm Dept QHSWED, Qual, Hlth, POB 24885, Safat 13109, Kuwait</t>
        </is>
      </c>
      <c r="Y237" t="inlineStr">
        <is>
          <t>Kuwait Institute for Scientific Research; Kuwait Institute for Scientific Research</t>
        </is>
      </c>
      <c r="Z237" t="inlineStr">
        <is>
          <t>Almatawah, QA (corresponding author), Kuwait Inst Sci Res, Environm &amp; Life Sci Res Ctr, POB 24885, Safat 13109, Kuwait.</t>
        </is>
      </c>
      <c r="AA237" t="inlineStr">
        <is>
          <t>qmutawa@kisr.edu.kw</t>
        </is>
      </c>
      <c r="AB237" t="inlineStr">
        <is>
          <t>Yassin, Mohamed F./I-9567-2019</t>
        </is>
      </c>
      <c r="AC237" t="inlineStr">
        <is>
          <t>Almatawah, Qadreyah/0000-0002-2881-0553</t>
        </is>
      </c>
      <c r="AD237" t="inlineStr">
        <is>
          <t>Kuwait Petroleum Corporation (KPC); Kuwait Institute for Scientific Research (KISR)</t>
        </is>
      </c>
      <c r="AE237" t="inlineStr">
        <is>
          <t>Kuwait Petroleum Corporation (KPC); Kuwait Institute for Scientific Research (KISR)</t>
        </is>
      </c>
      <c r="AF237" t="inlineStr">
        <is>
          <t>This study was funded by the Kuwait Petroleum Corporation (KPC) and Kuwait Institute for Scientific Research (KISR).</t>
        </is>
      </c>
      <c r="AH237" t="n">
        <v>54</v>
      </c>
      <c r="AI237" t="n">
        <v>2</v>
      </c>
      <c r="AJ237" t="n">
        <v>2</v>
      </c>
      <c r="AK237" t="n">
        <v>1</v>
      </c>
      <c r="AL237" t="n">
        <v>5</v>
      </c>
      <c r="AM237" t="inlineStr">
        <is>
          <t>SPRINGER</t>
        </is>
      </c>
      <c r="AN237" t="inlineStr">
        <is>
          <t>DORDRECHT</t>
        </is>
      </c>
      <c r="AO237" t="inlineStr">
        <is>
          <t>VAN GODEWIJCKSTRAAT 30, 3311 GZ DORDRECHT, NETHERLANDS</t>
        </is>
      </c>
      <c r="AP237" t="inlineStr">
        <is>
          <t>0167-6369</t>
        </is>
      </c>
      <c r="AQ237" t="inlineStr">
        <is>
          <t>1573-2959</t>
        </is>
      </c>
      <c r="AS237" t="inlineStr">
        <is>
          <t>ENVIRON MONIT ASSESS</t>
        </is>
      </c>
      <c r="AT237" t="inlineStr">
        <is>
          <t>Environ. Monit. Assess.</t>
        </is>
      </c>
      <c r="AU237" t="inlineStr">
        <is>
          <t>MAY</t>
        </is>
      </c>
      <c r="AV237" t="n">
        <v>2022</v>
      </c>
      <c r="AW237" t="n">
        <v>194</v>
      </c>
      <c r="AX237" t="n">
        <v>5</v>
      </c>
      <c r="BE237" t="n">
        <v>355</v>
      </c>
      <c r="BF237" t="inlineStr">
        <is>
          <t>10.1007/s10661-022-10032-9</t>
        </is>
      </c>
      <c r="BG237">
        <f>HYPERLINK("http://dx.doi.org/10.1007/s10661-022-10032-9","http://dx.doi.org/10.1007/s10661-022-10032-9")</f>
        <v/>
      </c>
      <c r="BJ237" t="n">
        <v>16</v>
      </c>
      <c r="BK237" t="inlineStr">
        <is>
          <t>Environmental Sciences</t>
        </is>
      </c>
      <c r="BL237" t="inlineStr">
        <is>
          <t>Science Citation Index Expanded (SCI-EXPANDED)</t>
        </is>
      </c>
      <c r="BM237" t="inlineStr">
        <is>
          <t>Environmental Sciences &amp; Ecology</t>
        </is>
      </c>
      <c r="BN237" t="inlineStr">
        <is>
          <t>0K7BP</t>
        </is>
      </c>
      <c r="BO237" t="n">
        <v>35403921</v>
      </c>
      <c r="BP237" t="inlineStr">
        <is>
          <t>Green Published, Bronze</t>
        </is>
      </c>
      <c r="BS237" t="inlineStr">
        <is>
          <t>2023-10-26</t>
        </is>
      </c>
      <c r="BT237" t="inlineStr">
        <is>
          <t>WOS:000780945400001</t>
        </is>
      </c>
      <c r="BU237">
        <f>HYPERLINK("https%3A%2F%2Fwww.webofscience.com%2Fwos%2Fwoscc%2Ffull-record%2FWOS:000780945400001","View Full Record in Web of Science")</f>
        <v/>
      </c>
    </row>
    <row r="238">
      <c r="A238" t="inlineStr">
        <is>
          <t>J</t>
        </is>
      </c>
      <c r="B238" t="inlineStr">
        <is>
          <t>Salonen, H; Salthammer, T; Morawska, L</t>
        </is>
      </c>
      <c r="F238" t="inlineStr">
        <is>
          <t>Salonen, Heidi; Salthammer, Tunga; Morawska, Lidia</t>
        </is>
      </c>
      <c r="J238" t="inlineStr">
        <is>
          <t>ENVIRONMENT INTERNATIONAL</t>
        </is>
      </c>
      <c r="M238" t="inlineStr">
        <is>
          <t>English</t>
        </is>
      </c>
      <c r="N238" t="inlineStr">
        <is>
          <t>Review</t>
        </is>
      </c>
      <c r="T238" t="inlineStr">
        <is>
          <t>Human exposure to ozone in school and office indoor environments</t>
        </is>
      </c>
      <c r="U238" t="inlineStr">
        <is>
          <t>Air pollution; Ozone; Indoor sources; Outdoor sources; School environments; Office environments</t>
        </is>
      </c>
      <c r="V238" t="inlineStr">
        <is>
          <t>PERCEIVED AIR-QUALITY; SECONDARY ORGANIC AEROSOLS; ULTRAFINE PARTICLE REMOVAL; SYNDROME SBS SYMPTOMS; LONG-TERM EXPOSURE; CLIMATE-CHANGE; MEXICO-CITY; DEPOSITION VELOCITIES; TROPOSPHERIC OZONE; HUMAN HEALTH</t>
        </is>
      </c>
      <c r="W238" t="inlineStr">
        <is>
          <t>Background: Although it is recognized that ozone causes acute and chronic health effects and that even trace amounts of ozone are potentially deleterious to human health, information about global and local exposures to ozone in different indoor environments is limited. To synthesize the existing knowledge, this review analyzes the magnitude of and the trends in global and local exposure to ozone in schools and offices and the factors controlling the exposures. Methods: In conducting the literature review, Web of Science, SCOPUS, Google Scholar, and PubMed were searched using 38 search terms and their combinations to identify manuscripts, reports, and directives published between 1973 and 2018. The search was then extended to the reference lists of relevant articles. Results: The calculated median concentration of ozone both in school (8.50 mu g/m(3)) and office (9.04 mu g/m(3)) settings was well below the WHO guideline value of 100 mu g/m(3) as a maximum 8 h mean concentration. However, a large range of average concentrations of ozone was reported, from 0.8-114 mu g/m(3) and from 0 to 96.8 mu g/m(3) for school and office environments, respectively, indicating situations where the WHO values are exceeded. Outdoor ozone penetrating into the indoor environment is the main source of indoor ozone, with median I/O ratios of 0.21 and 0.29 in school and office environments, respectively. The absence of major indoor ozone sources and ozone sinks, including gas-phase reactions and deposition, are the reasons for lower indoor than outdoor ozone concentrations. However, there are indoor sources of ozone that are of significance in certain indoor environments, including printers, photocopiers, and many other devices and appliances designed for indoor use (e.g., air cleaners), that release ozone either intentionally or unintentionally. Due to significantly elevated outdoor ozone concentrations during summer, summer indoor concentrations are typically elevated. In addition, the age of a building and various housing aspects (carpeting, air conditioning, window fans, and window openings) have been significantly associated with indoor ozone levels. Conclusions: The existing means for reducing ozone and ozone reaction products in school and office settings are as follows: 1) reduce penetration of outdoor ozone indoors by filtering ozone from the supply air; 2) limit the use of printers, photocopiers, and other devices and appliances that emit ozone indoors; 3) limit gas-phase reactions by limiting the use of materials and products (e.g. cleaning chemicals) the emissions of which react with ozone.</t>
        </is>
      </c>
      <c r="X238" t="inlineStr">
        <is>
          <t>[Salonen, Heidi] Aalto Univ, Dept Civil Engn, POB 12100, FI-00076 Aalto, Finland; [Salonen, Heidi; Salthammer, Tunga; Morawska, Lidia] Queensland Univ Technol, Int Lab Air Qual &amp; Hlth, 2 George St, Brisbane, Qld 4001, Australia; [Salthammer, Tunga] Fraunhofer WKI, Dept Mat Anal &amp; Indoor Chem, D-38108 Braunschweig, Germany</t>
        </is>
      </c>
      <c r="Y238" t="inlineStr">
        <is>
          <t>Aalto University; Queensland University of Technology (QUT)</t>
        </is>
      </c>
      <c r="Z238" t="inlineStr">
        <is>
          <t>Salthammer, T (corresponding author), Fraunhofer WKI, Dept Mat Anal &amp; Indoor Chem, D-38108 Braunschweig, Germany.;Salonen, H (corresponding author), Aalto Univ, Dept Civil &amp; Struct Engn, POB 12100, FI-00076 Aalto, Finland.</t>
        </is>
      </c>
      <c r="AA238" t="inlineStr">
        <is>
          <t>heidi.salonen@aalto.fi; tunga.salthammer@wki.fraunhofer.de</t>
        </is>
      </c>
      <c r="AB238" t="inlineStr">
        <is>
          <t>Salthammer, Tunga/F-6638-2013; Salonen, Heidi/G-4685-2016; Morawska, Lidia/B-4140-2011</t>
        </is>
      </c>
      <c r="AC238" t="inlineStr">
        <is>
          <t>Salthammer, Tunga/0000-0002-2370-8664; Morawska, Lidia/0000-0002-0594-9683; Salonen, Heidi/0000-0002-3807-4895</t>
        </is>
      </c>
      <c r="AD238" t="inlineStr">
        <is>
          <t>German Federal Ministry for the Environment, Nature Conservation and Nuclear Safety (BMU) (BMUB) [IG II 2 - 03030/0 (2017)]</t>
        </is>
      </c>
      <c r="AE238" t="inlineStr">
        <is>
          <t>German Federal Ministry for the Environment, Nature Conservation and Nuclear Safety (BMU) (BMUB)</t>
        </is>
      </c>
      <c r="AF238" t="inlineStr">
        <is>
          <t>T. Salthammer and L. Morawska are grateful to the German Federal Ministry for the Environment, Nature Conservation and Nuclear Safety (BMU) (BMUB, IG II 2 - 03030/0 (2017)) for financial support. The authors also thank PhD (Tech) Tuomas Tala for his help with Figs. 4-6 and PhD student Katja Tahtinen for her help with the SM Table S3. In addition, H. Salonen thanks Professor Richard Corsi for his valuable advice and support during her stay at the University of Texas.</t>
        </is>
      </c>
      <c r="AH238" t="n">
        <v>142</v>
      </c>
      <c r="AI238" t="n">
        <v>96</v>
      </c>
      <c r="AJ238" t="n">
        <v>98</v>
      </c>
      <c r="AK238" t="n">
        <v>9</v>
      </c>
      <c r="AL238" t="n">
        <v>116</v>
      </c>
      <c r="AM238" t="inlineStr">
        <is>
          <t>PERGAMON-ELSEVIER SCIENCE LTD</t>
        </is>
      </c>
      <c r="AN238" t="inlineStr">
        <is>
          <t>OXFORD</t>
        </is>
      </c>
      <c r="AO238" t="inlineStr">
        <is>
          <t>THE BOULEVARD, LANGFORD LANE, KIDLINGTON, OXFORD OX5 1GB, ENGLAND</t>
        </is>
      </c>
      <c r="AP238" t="inlineStr">
        <is>
          <t>0160-4120</t>
        </is>
      </c>
      <c r="AQ238" t="inlineStr">
        <is>
          <t>1873-6750</t>
        </is>
      </c>
      <c r="AS238" t="inlineStr">
        <is>
          <t>ENVIRON INT</t>
        </is>
      </c>
      <c r="AT238" t="inlineStr">
        <is>
          <t>Environ. Int.</t>
        </is>
      </c>
      <c r="AU238" t="inlineStr">
        <is>
          <t>OCT</t>
        </is>
      </c>
      <c r="AV238" t="n">
        <v>2018</v>
      </c>
      <c r="AW238" t="n">
        <v>119</v>
      </c>
      <c r="BC238" t="n">
        <v>503</v>
      </c>
      <c r="BD238" t="n">
        <v>514</v>
      </c>
      <c r="BF238" t="inlineStr">
        <is>
          <t>10.1016/j.envint.2018.07.012</t>
        </is>
      </c>
      <c r="BG238">
        <f>HYPERLINK("http://dx.doi.org/10.1016/j.envint.2018.07.012","http://dx.doi.org/10.1016/j.envint.2018.07.012")</f>
        <v/>
      </c>
      <c r="BJ238" t="n">
        <v>12</v>
      </c>
      <c r="BK238" t="inlineStr">
        <is>
          <t>Environmental Sciences</t>
        </is>
      </c>
      <c r="BL238" t="inlineStr">
        <is>
          <t>Science Citation Index Expanded (SCI-EXPANDED)</t>
        </is>
      </c>
      <c r="BM238" t="inlineStr">
        <is>
          <t>Environmental Sciences &amp; Ecology</t>
        </is>
      </c>
      <c r="BN238" t="inlineStr">
        <is>
          <t>GU0DJ</t>
        </is>
      </c>
      <c r="BO238" t="n">
        <v>30053738</v>
      </c>
      <c r="BP238" t="inlineStr">
        <is>
          <t>Green Published, hybrid</t>
        </is>
      </c>
      <c r="BS238" t="inlineStr">
        <is>
          <t>2023-10-26</t>
        </is>
      </c>
      <c r="BT238" t="inlineStr">
        <is>
          <t>WOS:000444918100055</t>
        </is>
      </c>
      <c r="BU238">
        <f>HYPERLINK("https%3A%2F%2Fwww.webofscience.com%2Fwos%2Fwoscc%2Ffull-record%2FWOS:000444918100055","View Full Record in Web of Science")</f>
        <v/>
      </c>
    </row>
    <row r="239">
      <c r="A239" t="inlineStr">
        <is>
          <t>J</t>
        </is>
      </c>
      <c r="B239" t="inlineStr">
        <is>
          <t>Carroll, SJ; Niyonsenga, T; Coffee, NT; Taylor, AW; Daniel, M</t>
        </is>
      </c>
      <c r="F239" t="inlineStr">
        <is>
          <t>Carroll, Suzanne J.; Niyonsenga, Theo; Coffee, Neil T.; Taylor, Anne W.; Daniel, Mark</t>
        </is>
      </c>
      <c r="J239" t="inlineStr">
        <is>
          <t>INTERNATIONAL JOURNAL OF ENVIRONMENTAL RESEARCH AND PUBLIC HEALTH</t>
        </is>
      </c>
      <c r="M239" t="inlineStr">
        <is>
          <t>English</t>
        </is>
      </c>
      <c r="N239" t="inlineStr">
        <is>
          <t>Article</t>
        </is>
      </c>
      <c r="T239" t="inlineStr">
        <is>
          <t>Does Physical Activity Mediate the Associations between Local-Area Descriptive Norms, Built Environment Walkability, and Glycosylated Hemoglobin?</t>
        </is>
      </c>
      <c r="U239" t="inlineStr">
        <is>
          <t>physical activity; cardiometabolic disease; residential environments; descriptive norms; built environment; walkability; mediation; glycosylated hemoglobin</t>
        </is>
      </c>
      <c r="V239" t="inlineStr">
        <is>
          <t>HEALTH-BENEFITS; 10-YEAR CHANGE; ADULTS; OBESITY; PATHWAYS; WALKING; PARTICIPATION; DETERMINANTS; BEHAVIORS; MORTALITY</t>
        </is>
      </c>
      <c r="W239" t="inlineStr">
        <is>
          <t>Associations between local-area residential features and glycosylated hemoglobin (HbA(1c)) may be mediated by individual-level health behaviors. Such indirect effects have rarely been tested. This study assessed whether individual-level self-reported physical activity mediated the influence of local-area descriptive norms and objectively expressed walkability on 10-year change in HbA(1c). HbA(1c) was assessed three times for adults in a 10-year population-based biomedical cohort (n = 4056). Local-area norms specific to each participant were calculated, aggregating responses from a separate statewide surveillance survey for 1600 m road-network buffers centered on participant addresses (local prevalence of overweight/obesity (body mass index &gt;= 25 kg/m(2)) and physical inactivity (&lt; 150 min/week)). Separate latent growth models estimated direct and indirect (through physical activity) effects of local-area exposures on change in HbA(1c), accounting for spatial clustering and covariates (individual-level age, sex, smoking status, marital status, employment and education, and area-level median household income). HbA(1c) worsened over time. Local-area norms directly and indirectly predicted worsening HbA(1c) trajectories. Walkability was directly and indirectly protective of worsening HbA(1c). Local-area descriptive norms and walkability influence cardiometabolic risk trajectory through individual-level physical activity. Efforts to reduce population cardiometabolic risk should consider the extent of local-area unhealthful behavioral norms and walkability in tailoring strategies to improve physical activity.</t>
        </is>
      </c>
      <c r="X239" t="inlineStr">
        <is>
          <t>[Carroll, Suzanne J.; Niyonsenga, Theo; Coffee, Neil T.; Daniel, Mark] Univ Canberra, Hlth Res Inst, Ctr Res &amp; Act Publ Hlth, Univ Dr, Bruce 2617, Australia; [Carroll, Suzanne J.; Niyonsenga, Theo; Coffee, Neil T.; Daniel, Mark] Univ South Australia, Sch Hlth Sci, Spatial Epidemiol &amp; Evaluat Res Grp, North Terrace, Adelaide, SA 5001, Australia; [Carroll, Suzanne J.; Niyonsenga, Theo; Coffee, Neil T.; Daniel, Mark] Univ South Australia, Ctr Populat Hlth Res, North Terrace, Adelaide, SA 5001, Australia; [Taylor, Anne W.] Univ Adelaide, Discipline Med, North Terrace, Adelaide, SA 5005, Australia; [Daniel, Mark] Univ Melbourne, St Vincents Hosp, Dept Med, Melbourne, Vic 3010, Australia</t>
        </is>
      </c>
      <c r="Y239" t="inlineStr">
        <is>
          <t>University of Canberra; University of South Australia; University of South Australia; University of Adelaide; St Vincent's Hospital Melbourne; University of Melbourne</t>
        </is>
      </c>
      <c r="Z239" t="inlineStr">
        <is>
          <t>Carroll, SJ (corresponding author), Univ Canberra, Hlth Res Inst, Ctr Res &amp; Act Publ Hlth, Univ Dr, Bruce 2617, Australia.;Carroll, SJ (corresponding author), Univ South Australia, Sch Hlth Sci, Spatial Epidemiol &amp; Evaluat Res Grp, North Terrace, Adelaide, SA 5001, Australia.;Carroll, SJ (corresponding author), Univ South Australia, Ctr Populat Hlth Res, North Terrace, Adelaide, SA 5001, Australia.</t>
        </is>
      </c>
      <c r="AA239" t="inlineStr">
        <is>
          <t>suzanne.carroll@canberra.edu.au; theo.niyonsenga@canberra.edu.au; neil.coffee@canberra.edu.au; anne.taylor@adelaide.edu.au; mark.daniel@canberra.edu.au</t>
        </is>
      </c>
      <c r="AB239" t="inlineStr">
        <is>
          <t>Coffee, Neil T/F-4357-2013; Taylor, Anne w/F-5708-2010; Carroll, Suzanne J/AAN-1552-2020; Niyonsenga, Theo/C-3759-2014</t>
        </is>
      </c>
      <c r="AC239" t="inlineStr">
        <is>
          <t>Coffee, Neil T/0000-0002-5075-0737; Taylor, Anne w/0000-0002-4422-7974; Carroll, Suzanne J/0000-0002-9767-2860; Niyonsenga, Theo/0000-0002-6723-0316; Daniel, Mark/0000-0001-9112-134X</t>
        </is>
      </c>
      <c r="AD239" t="inlineStr">
        <is>
          <t>National Health and Medical Research Council (NHMRC) [57015, 631917]</t>
        </is>
      </c>
      <c r="AE239" t="inlineStr">
        <is>
          <t>National Health and Medical Research Council (NHMRC)(National Health and Medical Research Council (NHMRC) of Australia)</t>
        </is>
      </c>
      <c r="AF239" t="inlineStr">
        <is>
          <t>The authors wish to acknowledge the contributions of Eleonora Dal Grande and Simon Fullerton in preparation of the SAMSS data. SAMSS is owned by SA Health, Adelaide, South Australia. All collected source data are maintained and managed by Population Research and Outcomes Studies, The University of Adelaide. The opinions expressed in this work are those of the authors and may not represent the position or policy of SA Health. We are grateful for the interest and commitment of NWAHS cohort participants. We appreciate the contributions of research support staff involved in NWAHS recruitment and clinical follow up. The PAMS project was funded by National Health and Medical Research Council (NHMRC) projects (#57015 and #631917).</t>
        </is>
      </c>
      <c r="AH239" t="n">
        <v>91</v>
      </c>
      <c r="AI239" t="n">
        <v>12</v>
      </c>
      <c r="AJ239" t="n">
        <v>12</v>
      </c>
      <c r="AK239" t="n">
        <v>2</v>
      </c>
      <c r="AL239" t="n">
        <v>7</v>
      </c>
      <c r="AM239" t="inlineStr">
        <is>
          <t>MDPI</t>
        </is>
      </c>
      <c r="AN239" t="inlineStr">
        <is>
          <t>BASEL</t>
        </is>
      </c>
      <c r="AO239" t="inlineStr">
        <is>
          <t>ST ALBAN-ANLAGE 66, CH-4052 BASEL, SWITZERLAND</t>
        </is>
      </c>
      <c r="AQ239" t="inlineStr">
        <is>
          <t>1660-4601</t>
        </is>
      </c>
      <c r="AS239" t="inlineStr">
        <is>
          <t>INT J ENV RES PUB HE</t>
        </is>
      </c>
      <c r="AT239" t="inlineStr">
        <is>
          <t>Int. J. Environ. Res. Public Health</t>
        </is>
      </c>
      <c r="AU239" t="inlineStr">
        <is>
          <t>SEP</t>
        </is>
      </c>
      <c r="AV239" t="n">
        <v>2017</v>
      </c>
      <c r="AW239" t="n">
        <v>14</v>
      </c>
      <c r="AX239" t="n">
        <v>9</v>
      </c>
      <c r="BE239" t="n">
        <v>953</v>
      </c>
      <c r="BF239" t="inlineStr">
        <is>
          <t>10.3390/ijerph14090953</t>
        </is>
      </c>
      <c r="BG239">
        <f>HYPERLINK("http://dx.doi.org/10.3390/ijerph14090953","http://dx.doi.org/10.3390/ijerph14090953")</f>
        <v/>
      </c>
      <c r="BJ239" t="n">
        <v>17</v>
      </c>
      <c r="BK239" t="inlineStr">
        <is>
          <t>Environmental Sciences; Public, Environmental &amp; Occupational Health</t>
        </is>
      </c>
      <c r="BL239" t="inlineStr">
        <is>
          <t>Science Citation Index Expanded (SCI-EXPANDED); Social Science Citation Index (SSCI)</t>
        </is>
      </c>
      <c r="BM239" t="inlineStr">
        <is>
          <t>Environmental Sciences &amp; Ecology; Public, Environmental &amp; Occupational Health</t>
        </is>
      </c>
      <c r="BN239" t="inlineStr">
        <is>
          <t>FH9YO</t>
        </is>
      </c>
      <c r="BO239" t="n">
        <v>28832552</v>
      </c>
      <c r="BP239" t="inlineStr">
        <is>
          <t>Green Published, Green Submitted, gold</t>
        </is>
      </c>
      <c r="BS239" t="inlineStr">
        <is>
          <t>2023-10-26</t>
        </is>
      </c>
      <c r="BT239" t="inlineStr">
        <is>
          <t>WOS:000411574400005</t>
        </is>
      </c>
      <c r="BU239">
        <f>HYPERLINK("https%3A%2F%2Fwww.webofscience.com%2Fwos%2Fwoscc%2Ffull-record%2FWOS:000411574400005","View Full Record in Web of Science")</f>
        <v/>
      </c>
    </row>
    <row r="240">
      <c r="A240" t="inlineStr">
        <is>
          <t>J</t>
        </is>
      </c>
      <c r="B240" t="inlineStr">
        <is>
          <t>Mahmoudi, J; Zhang, L</t>
        </is>
      </c>
      <c r="F240" t="inlineStr">
        <is>
          <t>Mahmoudi, Jina; Zhang, Lei</t>
        </is>
      </c>
      <c r="J240" t="inlineStr">
        <is>
          <t>INTERNATIONAL JOURNAL OF ENVIRONMENTAL RESEARCH AND PUBLIC HEALTH</t>
        </is>
      </c>
      <c r="M240" t="inlineStr">
        <is>
          <t>English</t>
        </is>
      </c>
      <c r="N240" t="inlineStr">
        <is>
          <t>Article</t>
        </is>
      </c>
      <c r="T240" t="inlineStr">
        <is>
          <t>Health Impacts of the Built and Social Environments, and Travel Behavior: The Case of the Sunshine State</t>
        </is>
      </c>
      <c r="U240" t="inlineStr">
        <is>
          <t>health; built environment; urban form; socioeconomic factors; ecological model; active travel; walking; bicycling; telecommuting; teleshopping</t>
        </is>
      </c>
      <c r="V240" t="inlineStr">
        <is>
          <t>PHYSICAL-ACTIVITY; URBAN SPRAWL; DIABETES-MELLITUS; COMMUNITY DESIGN; ACTIVE TRAVEL; OBESITY; TRANSPORTATION; NEIGHBORHOOD; WALKING; ASSOCIATIONS</t>
        </is>
      </c>
      <c r="W240" t="inlineStr">
        <is>
          <t>As physical inactivity statistics for the U.S. population show an alarming trend, many health problems have been increasing among Americans in recent decades. Thus, identification of the factors that influence people's physical activity levels and health outcomes has become ever more essential to promote public health. The built envSFironment is among the main factors that impact individuals' health outcomes. However, little is known about the health impacts of built environment factors at large geographical scales such as those of the metropolitan area of residence. Further, the health impacts of travel behavior such as telecommuting and teleshopping remain unclear. This study uses an ecological model framework to probe the roles of travel behavior and built as well as social environments at different spatial levels in health. Instrumental variable binary probit models have been developed to examine the complex interlinks between measures of travel behavior, physical activity levels, built and social environment characteristics, and individuals' health outcomes. Findings indicate that built and social environment factors at different spatial levels, including the metropolitan area, are correlated with individuals' health outcomes. Additionally, the findings suggest that increased levels of telecommuting and teleshopping within communities may lead to unfavorable health outcomes. The findings shed light on the most promising policy interventions that can promote public health through modifications targeting people's travel choices as well as the built and social environments within urban areas.</t>
        </is>
      </c>
      <c r="X240" t="inlineStr">
        <is>
          <t>[Mahmoudi, Jina; Zhang, Lei] Univ Maryland, Maryland Transportat Inst, College Pk, MD 20742 USA</t>
        </is>
      </c>
      <c r="Y240" t="inlineStr">
        <is>
          <t>University System of Maryland; University of Maryland College Park</t>
        </is>
      </c>
      <c r="Z240" t="inlineStr">
        <is>
          <t>Mahmoudi, J (corresponding author), Univ Maryland, Maryland Transportat Inst, College Pk, MD 20742 USA.</t>
        </is>
      </c>
      <c r="AA240" t="inlineStr">
        <is>
          <t>zhina@umd.edu; lei@umd.edu</t>
        </is>
      </c>
      <c r="AH240" t="n">
        <v>108</v>
      </c>
      <c r="AI240" t="n">
        <v>1</v>
      </c>
      <c r="AJ240" t="n">
        <v>1</v>
      </c>
      <c r="AK240" t="n">
        <v>3</v>
      </c>
      <c r="AL240" t="n">
        <v>14</v>
      </c>
      <c r="AM240" t="inlineStr">
        <is>
          <t>MDPI</t>
        </is>
      </c>
      <c r="AN240" t="inlineStr">
        <is>
          <t>BASEL</t>
        </is>
      </c>
      <c r="AO240" t="inlineStr">
        <is>
          <t>ST ALBAN-ANLAGE 66, CH-4052 BASEL, SWITZERLAND</t>
        </is>
      </c>
      <c r="AQ240" t="inlineStr">
        <is>
          <t>1660-4601</t>
        </is>
      </c>
      <c r="AS240" t="inlineStr">
        <is>
          <t>INT J ENV RES PUB HE</t>
        </is>
      </c>
      <c r="AT240" t="inlineStr">
        <is>
          <t>Int. J. Environ. Res. Public Health</t>
        </is>
      </c>
      <c r="AU240" t="inlineStr">
        <is>
          <t>AUG</t>
        </is>
      </c>
      <c r="AV240" t="n">
        <v>2022</v>
      </c>
      <c r="AW240" t="n">
        <v>19</v>
      </c>
      <c r="AX240" t="n">
        <v>15</v>
      </c>
      <c r="BE240" t="n">
        <v>9102</v>
      </c>
      <c r="BF240" t="inlineStr">
        <is>
          <t>10.3390/ijerph19159102</t>
        </is>
      </c>
      <c r="BG240">
        <f>HYPERLINK("http://dx.doi.org/10.3390/ijerph19159102","http://dx.doi.org/10.3390/ijerph19159102")</f>
        <v/>
      </c>
      <c r="BJ240" t="n">
        <v>42</v>
      </c>
      <c r="BK240" t="inlineStr">
        <is>
          <t>Environmental Sciences; Public, Environmental &amp; Occupational Health</t>
        </is>
      </c>
      <c r="BL240" t="inlineStr">
        <is>
          <t>Science Citation Index Expanded (SCI-EXPANDED); Social Science Citation Index (SSCI)</t>
        </is>
      </c>
      <c r="BM240" t="inlineStr">
        <is>
          <t>Environmental Sciences &amp; Ecology; Public, Environmental &amp; Occupational Health</t>
        </is>
      </c>
      <c r="BN240" t="inlineStr">
        <is>
          <t>3R7TX</t>
        </is>
      </c>
      <c r="BO240" t="n">
        <v>35897467</v>
      </c>
      <c r="BP240" t="inlineStr">
        <is>
          <t>gold, Green Published</t>
        </is>
      </c>
      <c r="BS240" t="inlineStr">
        <is>
          <t>2023-10-26</t>
        </is>
      </c>
      <c r="BT240" t="inlineStr">
        <is>
          <t>WOS:000839111600001</t>
        </is>
      </c>
      <c r="BU240">
        <f>HYPERLINK("https%3A%2F%2Fwww.webofscience.com%2Fwos%2Fwoscc%2Ffull-record%2FWOS:000839111600001","View Full Record in Web of Science")</f>
        <v/>
      </c>
    </row>
    <row r="241">
      <c r="A241" t="inlineStr">
        <is>
          <t>J</t>
        </is>
      </c>
      <c r="B241" t="inlineStr">
        <is>
          <t>Kim, SR; Choi, D; Choi, S; Kim, K; Lee, G; Son, JS; Kim, KH; Park, SM</t>
        </is>
      </c>
      <c r="F241" t="inlineStr">
        <is>
          <t>Kim, Seong Rae; Choi, Daein; Choi, Seulggie; Kim, Kyuwoong; Lee, Gyeongsil; Son, Joung Sik; Kim, Kyae Hyung; Park, Sang Min</t>
        </is>
      </c>
      <c r="J241" t="inlineStr">
        <is>
          <t>ENVIRONMENT INTERNATIONAL</t>
        </is>
      </c>
      <c r="M241" t="inlineStr">
        <is>
          <t>English</t>
        </is>
      </c>
      <c r="N241" t="inlineStr">
        <is>
          <t>Article</t>
        </is>
      </c>
      <c r="T241" t="inlineStr">
        <is>
          <t>Association of combined effects of physical activity and air pollution with diabetes in older adults</t>
        </is>
      </c>
      <c r="U241" t="inlineStr">
        <is>
          <t>Air pollution; Particulate matter; Physical activity; Diabetes; Older adults; Epidemiology</t>
        </is>
      </c>
      <c r="V241" t="inlineStr">
        <is>
          <t>LONG-TERM EXPOSURE; INSULIN-RESISTANCE; LUNG-CANCER; INFLAMMATION; RISK; METAANALYSIS; MORTALITY; EXERCISE; MELLITUS; IMPACT</t>
        </is>
      </c>
      <c r="W241" t="inlineStr">
        <is>
          <t>Background: Physical activity (PA), especially outdoor PA, may have twofold effects on diabetes risk: the health benefits of PA and the potential detrimental effects caused by augmented exposure to air pollution. We examined the association of combined effects of PA and air pollution with diabetes in older adults. Methods: The study participants consisted of 1,259,871 older adults aged 58 years or more from the Korean National Health Insurance Service database. The exposure to air pollution was estimated by the average ambient levels of particulate matter (PM) of the participants' residence area. Cox proportional hazards models were used to evaluate the adjusted hazard ratios and 95% confidence intervals of developing diabetes according to the combined effect of moderate to vigorous physical activity (MVPA) and air pollution exposure. Results: Engaging in 5 or more times of MVPA/week was associated with decreased risk of diabetes within groups with both high and low/moderate levels of exposure to PM10 (low/moderate PM10 aHR 0.91, 95% CI 0.89-0.93; high PM10 aHR 0.97, 95% CI 0.94-0.99) or PM2.5 (low/moderate PM2.5 aHR 0.88, 95% CI 0.85-0.90; high PM10 aHR 0.95, 95% CI 0.91-0.99) exposure. The risk-reducing effects upon MVPA tended to be slightly attenuated, which showed the reverse J-shaped association, but still significant, among those who were exposed to a high level of air pollution. The association was consistent among stratified analyses according to the possible confounders. Conclusion: MVPA may be inversely associated with the risk of diabetes development within groups with both high and low/moderate levels of exposure to PM10 or PM2.5 in older adults. Future studies are necessary to validate whether the positive health effects of MVPA outweigh the potential detrimental effects due to augmented exposure to air pollution during MVPA.</t>
        </is>
      </c>
      <c r="X241" t="inlineStr">
        <is>
          <t>[Kim, Seong Rae] Seoul Natl Univ, Dept Med, Coll Med, Seoul, South Korea; [Choi, Daein] Icahn Sch Med Mt Sinai, Dept Med, Mt Sinai Beth Israel, New York, NY 10029 USA; [Choi, Daein; Choi, Seulggie; Park, Sang Min] Seoul Natl Univ, Dept Biomed Sci, Grad Sch, Seoul, South Korea; [Kim, Kyuwoong] Natl Canc Ctr, Natl Canc Control Inst, Goyang, South Korea; [Lee, Gyeongsil; Son, Joung Sik; Kim, Kyae Hyung; Park, Sang Min] Seoul Natl Univ, Seoul Natl Univ Hosp, Dept Family Med, Coll Med, 28 Yunkeon Dong, Seoul 110744, South Korea; [Kim, Kyae Hyung] Seoul Natl Univ Hosp, Inst Publ Hlth &amp; Med Serv, Seoul, South Korea</t>
        </is>
      </c>
      <c r="Y241" t="inlineStr">
        <is>
          <t>Seoul National University (SNU); Icahn School of Medicine at Mount Sinai; Seoul National University (SNU); National Cancer Center - Korea (NCC); Seoul National University (SNU); Seoul National University Hospital; Seoul National University (SNU); Seoul National University Hospital</t>
        </is>
      </c>
      <c r="Z241" t="inlineStr">
        <is>
          <t>Park, SM (corresponding author), Seoul Natl Univ, Seoul Natl Univ Hosp, Dept Family Med, Coll Med, 28 Yunkeon Dong, Seoul 110744, South Korea.;Park, SM (corresponding author), Seoul Natl Univ, Seoul Natl Univ Hosp, Dept Biomed Sci, Coll Med, 28 Yunkeon Dong, Seoul 110744, South Korea.</t>
        </is>
      </c>
      <c r="AA241" t="inlineStr">
        <is>
          <t>smpark.snuh@gmail.com</t>
        </is>
      </c>
      <c r="AC241" t="inlineStr">
        <is>
          <t>Kim, Kyae Hyung/0000-0001-9954-6422; Choi, Daein/0000-0001-7135-3784</t>
        </is>
      </c>
      <c r="AD241" t="inlineStr">
        <is>
          <t>Korea Centers for Disease Control and Prevention [2019-ER6304-00]; Human Resource Development Program (Specific Subject Research) 2019 by the Korea Safety Health Environment Foundation; Korea Health Promotion Institute [2019-ER6304-00] Funding Source: Korea Institute of Science &amp; Technology Information (KISTI), National Science &amp; Technology Information Service (NTIS)</t>
        </is>
      </c>
      <c r="AE241" t="inlineStr">
        <is>
          <t>Korea Centers for Disease Control and Prevention; Human Resource Development Program (Specific Subject Research) 2019 by the Korea Safety Health Environment Foundation; Korea Health Promotion Institute(Korea Health Promotion Institute)</t>
        </is>
      </c>
      <c r="AF241" t="inlineStr">
        <is>
          <t>This study was supported by Korea Centers for Disease Control and Prevention (grant number: 2019-ER6304-00) and the Human Resource Development Program (Specific Subject Research) 2019 by the Korea Safety Health Environment Foundation.</t>
        </is>
      </c>
      <c r="AH241" t="n">
        <v>39</v>
      </c>
      <c r="AI241" t="n">
        <v>21</v>
      </c>
      <c r="AJ241" t="n">
        <v>21</v>
      </c>
      <c r="AK241" t="n">
        <v>3</v>
      </c>
      <c r="AL241" t="n">
        <v>19</v>
      </c>
      <c r="AM241" t="inlineStr">
        <is>
          <t>PERGAMON-ELSEVIER SCIENCE LTD</t>
        </is>
      </c>
      <c r="AN241" t="inlineStr">
        <is>
          <t>OXFORD</t>
        </is>
      </c>
      <c r="AO241" t="inlineStr">
        <is>
          <t>THE BOULEVARD, LANGFORD LANE, KIDLINGTON, OXFORD OX5 1GB, ENGLAND</t>
        </is>
      </c>
      <c r="AP241" t="inlineStr">
        <is>
          <t>0160-4120</t>
        </is>
      </c>
      <c r="AQ241" t="inlineStr">
        <is>
          <t>1873-6750</t>
        </is>
      </c>
      <c r="AS241" t="inlineStr">
        <is>
          <t>ENVIRON INT</t>
        </is>
      </c>
      <c r="AT241" t="inlineStr">
        <is>
          <t>Environ. Int.</t>
        </is>
      </c>
      <c r="AU241" t="inlineStr">
        <is>
          <t>DEC</t>
        </is>
      </c>
      <c r="AV241" t="n">
        <v>2020</v>
      </c>
      <c r="AW241" t="n">
        <v>145</v>
      </c>
      <c r="BE241" t="n">
        <v>106161</v>
      </c>
      <c r="BF241" t="inlineStr">
        <is>
          <t>10.1016/j.envint.2020.106161</t>
        </is>
      </c>
      <c r="BG241">
        <f>HYPERLINK("http://dx.doi.org/10.1016/j.envint.2020.106161","http://dx.doi.org/10.1016/j.envint.2020.106161")</f>
        <v/>
      </c>
      <c r="BJ241" t="n">
        <v>9</v>
      </c>
      <c r="BK241" t="inlineStr">
        <is>
          <t>Environmental Sciences</t>
        </is>
      </c>
      <c r="BL241" t="inlineStr">
        <is>
          <t>Science Citation Index Expanded (SCI-EXPANDED)</t>
        </is>
      </c>
      <c r="BM241" t="inlineStr">
        <is>
          <t>Environmental Sciences &amp; Ecology</t>
        </is>
      </c>
      <c r="BN241" t="inlineStr">
        <is>
          <t>OE6IJ</t>
        </is>
      </c>
      <c r="BO241" t="n">
        <v>33035891</v>
      </c>
      <c r="BP241" t="inlineStr">
        <is>
          <t>gold</t>
        </is>
      </c>
      <c r="BS241" t="inlineStr">
        <is>
          <t>2023-10-26</t>
        </is>
      </c>
      <c r="BT241" t="inlineStr">
        <is>
          <t>WOS:000580632000070</t>
        </is>
      </c>
      <c r="BU241">
        <f>HYPERLINK("https%3A%2F%2Fwww.webofscience.com%2Fwos%2Fwoscc%2Ffull-record%2FWOS:000580632000070","View Full Record in Web of Science")</f>
        <v/>
      </c>
    </row>
    <row r="242">
      <c r="A242" t="inlineStr">
        <is>
          <t>J</t>
        </is>
      </c>
      <c r="B242" t="inlineStr">
        <is>
          <t>Wang, L; Chen, R; Sun, WY; Yang, XM; Li, XH</t>
        </is>
      </c>
      <c r="F242" t="inlineStr">
        <is>
          <t>Wang, Lan; Chen, Rui; Sun, Wenyao; Yang, Xiaoming; Li, Xinhu</t>
        </is>
      </c>
      <c r="J242" t="inlineStr">
        <is>
          <t>INTERNATIONAL JOURNAL OF ENVIRONMENTAL RESEARCH AND PUBLIC HEALTH</t>
        </is>
      </c>
      <c r="M242" t="inlineStr">
        <is>
          <t>English</t>
        </is>
      </c>
      <c r="N242" t="inlineStr">
        <is>
          <t>Article</t>
        </is>
      </c>
      <c r="T242" t="inlineStr">
        <is>
          <t>Impact of High-Density Urban Built Environment on Chronic Obstructive Pulmonary Disease: A Case Study of Jing'an District, Shanghai</t>
        </is>
      </c>
      <c r="U242" t="inlineStr">
        <is>
          <t>built environment; COPD; respiratory health; geographically weighted regression</t>
        </is>
      </c>
      <c r="V242" t="inlineStr">
        <is>
          <t>AIR-POLLUTION; HEALTH; COPD; MORTALITY; DEATH; RISK</t>
        </is>
      </c>
      <c r="W242" t="inlineStr">
        <is>
          <t>Respiratory health is a focus of interdisciplinary studies involving urban planning and public health. Studies have noted that urban built environments have impacts on respiratory health by influencing air quality and human behavior such as physical activity. The aim of this paper was to explore the impact of urban built environments on respiratory health, taking chronic obstructive pulmonary disease (COPD) as one of the typical respiratory diseases for study. A cross-sectional study was conducted including all cases (N = 1511) of death from COPD in the high-density Jing'an district of Shanghai from 2001 to 2010. Proxy variables were selected to measure modifiable features of urban built environments within this typical high-density district in Shanghai. A geographically weighted regression (GWR) model was used to explore the effects of the built environment on the mortality of COPD and the geographical variation in the effects. This study found that land use mix, building width-height ratio, frontal area density, and arterial road density were significantly correlated to the mortality of COPD in high-density urban area. By identifying built environment elements adjustable by urban planning and public policy, this study proposes corresponding environmental intervention for respiratory health.</t>
        </is>
      </c>
      <c r="X242" t="inlineStr">
        <is>
          <t>[Wang, Lan; Sun, Wenyao; Li, Xinhu] Tongji Univ, Coll Architecture &amp; Urban Planning, 1239 Siping Rd, Shanghai 200092, Peoples R China; [Chen, Rui] Tongji Univ, Inst Engn &amp; Ind, 1239 Siping Rd, Shanghai 200092, Peoples R China; [Yang, Xiaoming] Jingan Dist Ctr Dis Control &amp; Prevent, Shanghai 200072, Peoples R China</t>
        </is>
      </c>
      <c r="Y242" t="inlineStr">
        <is>
          <t>Tongji University; Tongji University; Shanghai Center for Disease Control &amp; Prevention</t>
        </is>
      </c>
      <c r="Z242" t="inlineStr">
        <is>
          <t>Li, XH (corresponding author), Tongji Univ, Coll Architecture &amp; Urban Planning, 1239 Siping Rd, Shanghai 200092, Peoples R China.;Yang, XM (corresponding author), Jingan Dist Ctr Dis Control &amp; Prevent, Shanghai 200072, Peoples R China.</t>
        </is>
      </c>
      <c r="AA242" t="inlineStr">
        <is>
          <t>wanglan@tongji.edu.cn; chenrui_tongji@163.com; 1630043@tongji.edu.cn; yangjiewater@163.com; xhli@tongji.edu.cn</t>
        </is>
      </c>
      <c r="AB242" t="inlineStr">
        <is>
          <t>Li, Xinhu/AAS-6125-2020</t>
        </is>
      </c>
      <c r="AD242" t="inlineStr">
        <is>
          <t>NNSFC [41871359, 51578384, 41671444]; Beijing Advanced Innovation Center for Future Urban Design, Beijing University of City Engineering and Architecture [udc2018010921]</t>
        </is>
      </c>
      <c r="AE242" t="inlineStr">
        <is>
          <t>NNSFC(National Natural Science Foundation of China (NSFC)); Beijing Advanced Innovation Center for Future Urban Design, Beijing University of City Engineering and Architecture</t>
        </is>
      </c>
      <c r="AF242" t="inlineStr">
        <is>
          <t>This research was funded by NNSFC, 41871359, 51578384, 41671444 and Beijing Advanced Innovation Center for Future Urban Design, Beijing University of City Engineering and Architecture, udc2018010921.</t>
        </is>
      </c>
      <c r="AH242" t="n">
        <v>66</v>
      </c>
      <c r="AI242" t="n">
        <v>9</v>
      </c>
      <c r="AJ242" t="n">
        <v>12</v>
      </c>
      <c r="AK242" t="n">
        <v>12</v>
      </c>
      <c r="AL242" t="n">
        <v>70</v>
      </c>
      <c r="AM242" t="inlineStr">
        <is>
          <t>MDPI</t>
        </is>
      </c>
      <c r="AN242" t="inlineStr">
        <is>
          <t>BASEL</t>
        </is>
      </c>
      <c r="AO242" t="inlineStr">
        <is>
          <t>ST ALBAN-ANLAGE 66, CH-4052 BASEL, SWITZERLAND</t>
        </is>
      </c>
      <c r="AQ242" t="inlineStr">
        <is>
          <t>1660-4601</t>
        </is>
      </c>
      <c r="AS242" t="inlineStr">
        <is>
          <t>INT J ENV RES PUB HE</t>
        </is>
      </c>
      <c r="AT242" t="inlineStr">
        <is>
          <t>Int. J. Environ. Res. Public Health</t>
        </is>
      </c>
      <c r="AU242" t="inlineStr">
        <is>
          <t>JAN</t>
        </is>
      </c>
      <c r="AV242" t="n">
        <v>2020</v>
      </c>
      <c r="AW242" t="n">
        <v>17</v>
      </c>
      <c r="AX242" t="n">
        <v>1</v>
      </c>
      <c r="BE242" t="n">
        <v>252</v>
      </c>
      <c r="BF242" t="inlineStr">
        <is>
          <t>10.3390/ijerph17010252</t>
        </is>
      </c>
      <c r="BG242">
        <f>HYPERLINK("http://dx.doi.org/10.3390/ijerph17010252","http://dx.doi.org/10.3390/ijerph17010252")</f>
        <v/>
      </c>
      <c r="BJ242" t="n">
        <v>15</v>
      </c>
      <c r="BK242" t="inlineStr">
        <is>
          <t>Environmental Sciences; Public, Environmental &amp; Occupational Health</t>
        </is>
      </c>
      <c r="BL242" t="inlineStr">
        <is>
          <t>Science Citation Index Expanded (SCI-EXPANDED); Social Science Citation Index (SSCI)</t>
        </is>
      </c>
      <c r="BM242" t="inlineStr">
        <is>
          <t>Environmental Sciences &amp; Ecology; Public, Environmental &amp; Occupational Health</t>
        </is>
      </c>
      <c r="BN242" t="inlineStr">
        <is>
          <t>KF7AG</t>
        </is>
      </c>
      <c r="BO242" t="n">
        <v>31905874</v>
      </c>
      <c r="BP242" t="inlineStr">
        <is>
          <t>gold, Green Published</t>
        </is>
      </c>
      <c r="BS242" t="inlineStr">
        <is>
          <t>2023-10-26</t>
        </is>
      </c>
      <c r="BT242" t="inlineStr">
        <is>
          <t>WOS:000509391500252</t>
        </is>
      </c>
      <c r="BU242">
        <f>HYPERLINK("https%3A%2F%2Fwww.webofscience.com%2Fwos%2Fwoscc%2Ffull-record%2FWOS:000509391500252","View Full Record in Web of Science")</f>
        <v/>
      </c>
    </row>
    <row r="243">
      <c r="A243" t="inlineStr">
        <is>
          <t>J</t>
        </is>
      </c>
      <c r="B243" t="inlineStr">
        <is>
          <t>Carroll, SJ; Dale, MJ; Taylor, AW; Daniel, M</t>
        </is>
      </c>
      <c r="F243" t="inlineStr">
        <is>
          <t>Carroll, Suzanne J.; Dale, Michael J.; Taylor, Anne W.; Daniel, Mark</t>
        </is>
      </c>
      <c r="J243" t="inlineStr">
        <is>
          <t>INTERNATIONAL JOURNAL OF ENVIRONMENTAL RESEARCH AND PUBLIC HEALTH</t>
        </is>
      </c>
      <c r="M243" t="inlineStr">
        <is>
          <t>English</t>
        </is>
      </c>
      <c r="N243" t="inlineStr">
        <is>
          <t>Article</t>
        </is>
      </c>
      <c r="T243" t="inlineStr">
        <is>
          <t>Contributions of Multiple Built Environment Features to 10-Year Change in Body Mass Index and Waist Circumference in a South Australian Middle-Aged Cohort</t>
        </is>
      </c>
      <c r="U243" t="inlineStr">
        <is>
          <t>built environment; physical activity environment; food environment; longitudinal; body mass index; waist circumference; area socioeconomic status</t>
        </is>
      </c>
      <c r="V243" t="inlineStr">
        <is>
          <t>PUBLIC OPEN SPACES; FAST-FOOD OUTLETS; PHYSICAL-ACTIVITY; NEIGHBORHOOD WALKABILITY; OBESITY; HEALTH; RISK; DEPRESSION; DESIGN; ASSOCIATIONS</t>
        </is>
      </c>
      <c r="W243" t="inlineStr">
        <is>
          <t>Residential areas may shape health, yet few studies are longitudinal or concurrently test relationships between multiple residential features and health. This longitudinal study concurrently assessed the contributions of multiple environmental features to 10-year change in clinically measured body mass index (BMI) and waist circumference (WC). Longitudinal data for adults (18+ years of age, n = 2253) from the north-west of Adelaide, Australia were linked to built environment measures representing the physical activity and food environment (expressed for residence-based 1600 m road-network buffers) and area education. Associations were concurrently estimated using latent growth models. In models including all environmental exposure measures, area education was associated with change in BMI and WC (protective effects). Dwelling density was associated with worsening BMI and WC but also highly correlated with area education and moderately correlated with count of fast food outlets. Public open space (POS) area was associated with worsening WC. Intersection density, land use mix, greenness, and a retail food environment index were not associated with change in BMI or WC. This study found greater dwelling density and POS area exacerbated increases in BMI and WC. Greater area education was protective against worsening body size. Interventions should consider dwelling density and POS, and target areas with low SES.</t>
        </is>
      </c>
      <c r="X243" t="inlineStr">
        <is>
          <t>[Carroll, Suzanne J.; Dale, Michael J.; Daniel, Mark] Univ Canberra, Hlth Res Inst, Bruce, ACT 2617, Australia; [Taylor, Anne W.] Univ Adelaide, Discipline Med, Adelaide, SA 5000, Australia; [Daniel, Mark] Univ Melbourne, St Vincents Hosp, Dept Med, Fitzroy, Vic 3065, Australia</t>
        </is>
      </c>
      <c r="Y243" t="inlineStr">
        <is>
          <t>University of Canberra; University of Adelaide; St Vincent's Hospital Melbourne; University of Melbourne</t>
        </is>
      </c>
      <c r="Z243" t="inlineStr">
        <is>
          <t>Carroll, SJ (corresponding author), Univ Canberra, Hlth Res Inst, Bruce, ACT 2617, Australia.</t>
        </is>
      </c>
      <c r="AA243" t="inlineStr">
        <is>
          <t>suzanne.carroll@canberra.edu.au; michael.dale@canberra.edu.au; anne.taylor@adelaide.edu.au; mark.daniel@canberra.edu.au</t>
        </is>
      </c>
      <c r="AB243" t="inlineStr">
        <is>
          <t>Dale, Michael/K-9820-2019; Carroll, Suzanne J/AAN-1552-2020; Taylor, Anne/F-5708-2010</t>
        </is>
      </c>
      <c r="AC243" t="inlineStr">
        <is>
          <t>Dale, Michael/0000-0003-4285-1842; Carroll, Suzanne J/0000-0002-9767-2860; Taylor, Anne/0000-0002-4422-7974; Daniel, Mark/0000-0001-9112-134X</t>
        </is>
      </c>
      <c r="AD243" t="inlineStr">
        <is>
          <t>National Health and Medical Research Council (NHMRC) [570150, 631917]</t>
        </is>
      </c>
      <c r="AE243" t="inlineStr">
        <is>
          <t>National Health and Medical Research Council (NHMRC)(National Health and Medical Research Council (NHMRC) of Australia)</t>
        </is>
      </c>
      <c r="AF243" t="inlineStr">
        <is>
          <t>The PAMS project was funded by National Health and Medical Research Council (NHMRC) projects (#570150 and #631917).</t>
        </is>
      </c>
      <c r="AH243" t="n">
        <v>61</v>
      </c>
      <c r="AI243" t="n">
        <v>9</v>
      </c>
      <c r="AJ243" t="n">
        <v>10</v>
      </c>
      <c r="AK243" t="n">
        <v>0</v>
      </c>
      <c r="AL243" t="n">
        <v>10</v>
      </c>
      <c r="AM243" t="inlineStr">
        <is>
          <t>MDPI</t>
        </is>
      </c>
      <c r="AN243" t="inlineStr">
        <is>
          <t>BASEL</t>
        </is>
      </c>
      <c r="AO243" t="inlineStr">
        <is>
          <t>ST ALBAN-ANLAGE 66, CH-4052 BASEL, SWITZERLAND</t>
        </is>
      </c>
      <c r="AQ243" t="inlineStr">
        <is>
          <t>1660-4601</t>
        </is>
      </c>
      <c r="AS243" t="inlineStr">
        <is>
          <t>INT J ENV RES PUB HE</t>
        </is>
      </c>
      <c r="AT243" t="inlineStr">
        <is>
          <t>Int. J. Environ. Res. Public Health</t>
        </is>
      </c>
      <c r="AU243" t="inlineStr">
        <is>
          <t>FEB 1</t>
        </is>
      </c>
      <c r="AV243" t="n">
        <v>2020</v>
      </c>
      <c r="AW243" t="n">
        <v>17</v>
      </c>
      <c r="AX243" t="n">
        <v>3</v>
      </c>
      <c r="BE243" t="n">
        <v>870</v>
      </c>
      <c r="BF243" t="inlineStr">
        <is>
          <t>10.3390/ijerph17030870</t>
        </is>
      </c>
      <c r="BG243">
        <f>HYPERLINK("http://dx.doi.org/10.3390/ijerph17030870","http://dx.doi.org/10.3390/ijerph17030870")</f>
        <v/>
      </c>
      <c r="BJ243" t="n">
        <v>18</v>
      </c>
      <c r="BK243" t="inlineStr">
        <is>
          <t>Environmental Sciences; Public, Environmental &amp; Occupational Health</t>
        </is>
      </c>
      <c r="BL243" t="inlineStr">
        <is>
          <t>Science Citation Index Expanded (SCI-EXPANDED); Social Science Citation Index (SSCI)</t>
        </is>
      </c>
      <c r="BM243" t="inlineStr">
        <is>
          <t>Environmental Sciences &amp; Ecology; Public, Environmental &amp; Occupational Health</t>
        </is>
      </c>
      <c r="BN243" t="inlineStr">
        <is>
          <t>KR7GF</t>
        </is>
      </c>
      <c r="BO243" t="n">
        <v>32019246</v>
      </c>
      <c r="BP243" t="inlineStr">
        <is>
          <t>Green Published, gold</t>
        </is>
      </c>
      <c r="BS243" t="inlineStr">
        <is>
          <t>2023-10-26</t>
        </is>
      </c>
      <c r="BT243" t="inlineStr">
        <is>
          <t>WOS:000517783300195</t>
        </is>
      </c>
      <c r="BU243">
        <f>HYPERLINK("https%3A%2F%2Fwww.webofscience.com%2Fwos%2Fwoscc%2Ffull-record%2FWOS:000517783300195","View Full Record in Web of Science")</f>
        <v/>
      </c>
    </row>
    <row r="244">
      <c r="A244" t="inlineStr">
        <is>
          <t>J</t>
        </is>
      </c>
      <c r="B244" t="inlineStr">
        <is>
          <t>Watanabe, M; Shobugawa, Y; Tashiro, A; Ota, A; Suzuki, T; Tsubokawa, T; Kondo, K; Saito, R</t>
        </is>
      </c>
      <c r="F244" t="inlineStr">
        <is>
          <t>Watanabe, Michiko; Shobugawa, Yugo; Tashiro, Atsushi; Ota, Asami; Suzuki, Tsubasa; Tsubokawa, Tomoko; Kondo, Katsunori; Saito, Reiko</t>
        </is>
      </c>
      <c r="J244" t="inlineStr">
        <is>
          <t>INTERNATIONAL JOURNAL OF ENVIRONMENTAL RESEARCH AND PUBLIC HEALTH</t>
        </is>
      </c>
      <c r="M244" t="inlineStr">
        <is>
          <t>English</t>
        </is>
      </c>
      <c r="N244" t="inlineStr">
        <is>
          <t>Article</t>
        </is>
      </c>
      <c r="T244" t="inlineStr">
        <is>
          <t>Association between Neighborhood Environment and Quality of Sleep in Older Adult Residents Living in Japan: The JAGES 2010 Cross-Sectional Study</t>
        </is>
      </c>
      <c r="U244" t="inlineStr">
        <is>
          <t>multilevel Poisson regression; older adults; physical environment; sleep quality; social environment</t>
        </is>
      </c>
      <c r="V244" t="inlineStr">
        <is>
          <t>DEPRESSIVE SYMPTOMS; INSOMNIA SYMPTOMS; MENTAL-HEALTH; POPULATION; DISPARITIES; DISTURBANCE; DURATION; INCOME; IMPAIRMENT; IMPACTS</t>
        </is>
      </c>
      <c r="W244" t="inlineStr">
        <is>
          <t>Poor sleep is associated with lifestyle, however, few studies have addressed the association between sleep quality and the neighborhood environment. This study aimed to investigate the associations between living environment factors and sleep quality in older people. Participants were community-dwelling people aged &gt;= 65 years who participated in the 2010 Japanese Gerontological Evaluation Study. The data of 16,650 people (8102 men, 8548 women) were analyzed. Sleep quality (good or poor) was evaluated using a self-administered questionnaire. Multilevel Poisson regression analysis stratified by depressive status (measured by the Geriatric Depression Scale-15 [GDS]) was conducted with sleep quality as the dependent variable and social and physical environmental factors as explanatory variables. The 12,469 non-depressive respondents and 4181 depressive respondents were evaluated. The regression analysis indicated that non-depressive participants slept better if they lived in environments with few hills or steps (prevalence ratio [PR] = 0.75, 95% CI: 0.56-0.9) and with places where they felt free to drop in (PR = 0.51, 95% CI: 0.26-0.98). For depressive participants, these associations were not evident. Living alone, poor self-rated health, low income, and unemployment were associated with poor sleep quality. In addition to support with these individual factors, improving environmental factors at the neighborhood level may improve the sleep quality of community-dwelling older adults.</t>
        </is>
      </c>
      <c r="X244" t="inlineStr">
        <is>
          <t>[Watanabe, Michiko; Shobugawa, Yugo; Tsubokawa, Tomoko; Saito, Reiko] Niigata Univ, Grad Sch Med &amp; Dent Sci, Div Int Hlth, Chuo Ku, 1-757 Asahimachi Dori, Niigata, Niigata 9518510, Japan; [Watanabe, Michiko; Tsubokawa, Tomoko] Niigata Seiryo Univ, Fac Nursing, Dept Nursing, Chuo Ku, 1-5939 Suidocho, Niigata 9518121, Japan; [Shobugawa, Yugo] Niigata Univ, Grad Sch Med &amp; Dent Sci, Dept Act Aging, Chuo Ku, 1-757 Asahimachi Dori, Niigata, Niigata 9518510, Japan; [Tashiro, Atsushi] Niigata City Publ Hlth Ctr, Chuo Ku, 3-1-1 Shichikuyama, Niigata 9500914, Japan; [Ota, Asami] Univ Niigata Prefecture, Div Hlth &amp; Nutr, Higashi Ku, 471 Ebigase, Niigata, Niigata 9508680, Japan; [Suzuki, Tsubasa] Niigata Hlth Serv Ctr, Chuo Ku, 2-180-5 Hakusanu Ura, Niigata, Niigata 9518680, Japan; [Kondo, Katsunori] Chiba Univ, Ctr Prevent Med Sci, Chuo Ku, 1-8-1 Inohana, Chiba, Chiba 2608670, Japan; [Kondo, Katsunori] Natl Ctr Geriatr &amp; Gerontol, Ctr Gerontol &amp; Social Sci, Dept Gerontol &amp; Evaluat Study, 7-430 Morioka Cho, Obu City, Aichi 4748511, Japan</t>
        </is>
      </c>
      <c r="Y244" t="inlineStr">
        <is>
          <t>Niigata University; Niigata University; University Niigata Prefecture; Chiba University; National Center for Geriatrics &amp; Gerontology</t>
        </is>
      </c>
      <c r="Z244" t="inlineStr">
        <is>
          <t>Shobugawa, Y (corresponding author), Niigata Univ, Grad Sch Med &amp; Dent Sci, Div Int Hlth, Chuo Ku, 1-757 Asahimachi Dori, Niigata, Niigata 9518510, Japan.;Shobugawa, Y (corresponding author), Niigata Univ, Grad Sch Med &amp; Dent Sci, Dept Act Aging, Chuo Ku, 1-757 Asahimachi Dori, Niigata, Niigata 9518510, Japan.</t>
        </is>
      </c>
      <c r="AA244" t="inlineStr">
        <is>
          <t>miwatanabe@n-seiryo.ac.jp; yugo@med.niigata-u.ac.jp; a.tashiro11@city.niigata.lg.jp; asammy@unii.ac.jp; tsubasa.szk@gmail.com; tsubokawa@n-seiryo.ac.jp; kkondo@chiba-u.jp; jasmine@med.niigata-u.ac.jp</t>
        </is>
      </c>
      <c r="AC244" t="inlineStr">
        <is>
          <t>Watanabe, Michiko/0000-0002-6181-920X</t>
        </is>
      </c>
      <c r="AD244" t="inlineStr">
        <is>
          <t>JSPS KAKENHI [JP16k16000]; MEXT (Ministry of Education, Culture, Sports, Science and Technology-Japan)-Supported Program for the Strategic Research Foundation at Private Universities (2009-2013); JSPS (Japan Society for the Promotion of Science) KAKENHI [JP18390200, JP22330172, JP22390400, JP23243070, JP23590786, JP23790710, JP24390469, JP24530698, JP24683018, JP25253052, JP25870573, JP25870881, JP26285138, JP26882010, JP15H01972]; Health Labor Sciences Research Grants [H22-Choju-Shitei-008, H24-Junkanki [Seishu]-Ippan-007, H24-Chikyukibo-Ippan-009, H24-Choju-Wakate-009]; Japan Agency for Medical Research and development (AMED) [171s0110002, 18le0110009]; Research Funding for Longevity Sciences from National Center for Geriatrics and Gerontology [24-17, 24-23, 29-42]; World Health Organization Centre for Health Development (WHO Kobe Centre) [WHO APW 2017/713981]; [H25-Kenki-Wakate-015]; [H25-Choju-Ippan-003]; [H26-Irryo-Shitei-003 [Fukkou]]; [H26-Choju-Ippan-006]; [H27-Ninch isyou-Ippan-001]; [H28-choju-Ippan-002]; [H30-Kenki-Ippan-006]; [H30-Junkanki-Ippan-004]</t>
        </is>
      </c>
      <c r="AE244" t="inlineStr">
        <is>
          <t>JSPS KAKENHI(Ministry of Education, Culture, Sports, Science and Technology, Japan (MEXT)Japan Society for the Promotion of ScienceGrants-in-Aid for Scientific Research (KAKENHI)); MEXT (Ministry of Education, Culture, Sports, Science and Technology-Japan)-Supported Program for the Strategic Research Foundation at Private Universities (2009-2013)(Ministry of Education, Culture, Sports, Science and Technology, Japan (MEXT)); JSPS (Japan Society for the Promotion of Science) KAKENHI(Ministry of Education, Culture, Sports, Science and Technology, Japan (MEXT)Japan Society for the Promotion of ScienceGrants-in-Aid for Scientific Research (KAKENHI)); Health Labor Sciences Research Grants; Japan Agency for Medical Research and development (AMED)(Japan Agency for Medical Research and Development (AMED)); Research Funding for Longevity Sciences from National Center for Geriatrics and Gerontology; World Health Organization Centre for Health Development (WHO Kobe Centre); ; ; ; ; ; ; ;</t>
        </is>
      </c>
      <c r="AF244" t="inlineStr">
        <is>
          <t>This research was funded by JSPS KAKENHI grant number JP16k16000. This study used data from JAGES (the Japan Gerontological Evaluation Study), which was supported by a MEXT (Ministry of Education, Culture, Sports, Science and Technology-Japan)-Supported Program for the Strategic Research Foundation at Private Universities (2009-2013), JSPS (Japan Society for the Promotion of Science) KAKENHI grant numbers (JP18390200, JP22330172, JP22390400, JP23243070, JP23590786, JP23790710, JP24390469, JP24530698, JP24683018, JP25253052, JP25870573, JP25870881,JP26285138, JP26882010,JP15H01972), Health Labor Sciences Research Grants (H22-Choju-Shitei-008, H24-Junkanki [Seishu]-Ippan-007, H24-Chikyukibo-Ippan-009, H24-Choju-Wakate-009, H25-Kenki-Wakate-015, H25-Choju-Ippan-003, H26-Irryo-Shitei-003 [Fukkou], H26-Choju-Ippan-006, H27-Ninch isyou-Ippan-001, H28-choju-Ippan-002, H30-Kenki-Ippan-006, H30-Junkanki-Ippan-004), Japan Agency for Medical Research and development (AMED) (171s0110002, 18le0110009), the Research Funding for Longevity Sciences from National Center for Geriatrics and Gerontology (24-17, 24-23, 29-42), and World Health Organization Centre for Health Development (WHO Kobe Centre) (WHO APW 2017/713981). The views and opinions expressed in this article are those of the authors and do not necessarily reflect the official policy or position of the respective funding organizations.</t>
        </is>
      </c>
      <c r="AH244" t="n">
        <v>64</v>
      </c>
      <c r="AI244" t="n">
        <v>8</v>
      </c>
      <c r="AJ244" t="n">
        <v>8</v>
      </c>
      <c r="AK244" t="n">
        <v>3</v>
      </c>
      <c r="AL244" t="n">
        <v>3</v>
      </c>
      <c r="AM244" t="inlineStr">
        <is>
          <t>MDPI</t>
        </is>
      </c>
      <c r="AN244" t="inlineStr">
        <is>
          <t>BASEL</t>
        </is>
      </c>
      <c r="AO244" t="inlineStr">
        <is>
          <t>ST ALBAN-ANLAGE 66, CH-4052 BASEL, SWITZERLAND</t>
        </is>
      </c>
      <c r="AQ244" t="inlineStr">
        <is>
          <t>1660-4601</t>
        </is>
      </c>
      <c r="AS244" t="inlineStr">
        <is>
          <t>INT J ENV RES PUB HE</t>
        </is>
      </c>
      <c r="AT244" t="inlineStr">
        <is>
          <t>Int. J. Environ. Res. Public Health</t>
        </is>
      </c>
      <c r="AU244" t="inlineStr">
        <is>
          <t>FEB</t>
        </is>
      </c>
      <c r="AV244" t="n">
        <v>2020</v>
      </c>
      <c r="AW244" t="n">
        <v>17</v>
      </c>
      <c r="AX244" t="n">
        <v>4</v>
      </c>
      <c r="BE244" t="n">
        <v>1398</v>
      </c>
      <c r="BF244" t="inlineStr">
        <is>
          <t>10.3390/ijerph17041398</t>
        </is>
      </c>
      <c r="BG244">
        <f>HYPERLINK("http://dx.doi.org/10.3390/ijerph17041398","http://dx.doi.org/10.3390/ijerph17041398")</f>
        <v/>
      </c>
      <c r="BJ244" t="n">
        <v>24</v>
      </c>
      <c r="BK244" t="inlineStr">
        <is>
          <t>Environmental Sciences; Public, Environmental &amp; Occupational Health</t>
        </is>
      </c>
      <c r="BL244" t="inlineStr">
        <is>
          <t>Science Citation Index Expanded (SCI-EXPANDED); Social Science Citation Index (SSCI)</t>
        </is>
      </c>
      <c r="BM244" t="inlineStr">
        <is>
          <t>Environmental Sciences &amp; Ecology; Public, Environmental &amp; Occupational Health</t>
        </is>
      </c>
      <c r="BN244" t="inlineStr">
        <is>
          <t>KY2GF</t>
        </is>
      </c>
      <c r="BO244" t="n">
        <v>32098114</v>
      </c>
      <c r="BP244" t="inlineStr">
        <is>
          <t>gold, Green Published</t>
        </is>
      </c>
      <c r="BS244" t="inlineStr">
        <is>
          <t>2023-10-26</t>
        </is>
      </c>
      <c r="BT244" t="inlineStr">
        <is>
          <t>WOS:000522388500274</t>
        </is>
      </c>
      <c r="BU244">
        <f>HYPERLINK("https%3A%2F%2Fwww.webofscience.com%2Fwos%2Fwoscc%2Ffull-record%2FWOS:000522388500274","View Full Record in Web of Science")</f>
        <v/>
      </c>
    </row>
    <row r="245">
      <c r="A245" t="inlineStr">
        <is>
          <t>J</t>
        </is>
      </c>
      <c r="B245" t="inlineStr">
        <is>
          <t>Parra, MT; De Moraes, ACF; Nascimento-Ferreira, MV; Mills, PJ; Allison, M</t>
        </is>
      </c>
      <c r="F245" t="inlineStr">
        <is>
          <t>Parra, Maira Tristao; Ferreira De Moraes, Augusto Cesar; Nascimento-Ferreira, Marcus Vinicius; Mills, Paul J.; Allison, Matthew</t>
        </is>
      </c>
      <c r="J245" t="inlineStr">
        <is>
          <t>INTERNATIONAL JOURNAL OF ENVIRONMENTAL RESEARCH AND PUBLIC HEALTH</t>
        </is>
      </c>
      <c r="M245" t="inlineStr">
        <is>
          <t>English</t>
        </is>
      </c>
      <c r="N245" t="inlineStr">
        <is>
          <t>Article</t>
        </is>
      </c>
      <c r="T245" t="inlineStr">
        <is>
          <t>Longitudinal Associations of Physical Activity Patterns and the Environment: An 18-Year Follow-Up to the MESA Study</t>
        </is>
      </c>
      <c r="U245" t="inlineStr">
        <is>
          <t>cohort studies; physical activity; environment; walkability; perceived environment</t>
        </is>
      </c>
      <c r="V245" t="inlineStr">
        <is>
          <t>NEIGHBORHOOD RESOURCES; HEALTHY FOODS; ATHEROSCLEROSIS; LEISURE; ADULTS</t>
        </is>
      </c>
      <c r="W245" t="inlineStr">
        <is>
          <t>Introduction: Cross-sectional association between the neighborhood-built environment and physical activity (PA) has been demonstrated previously, indicating the importance of neighborhood perception characteristics such as walkability, safety, and the connectivity of streets on PA levels. Our study aimed to assess the longitudinal data from participants of the Multi-Ethnic Study of Atherosclerosis (MESA) to evaluate the potential relationship between perceived environment and PA patterns. Methods: We analyzed data from a subset of participants (n = 3097) with available PA data who participated in a prospective cohort conducted from 2000 to 2018. The exposure variables were the perceived aspects of the neighborhood environment and the perception of safety, and the outcome was patterns of PA. Patterns were defined as categories reflecting meeting versus not meeting PA guidelines over time. We created the following categories: adopters (individuals who did not meet guidelines at baseline but met guidelines at Exam 6), relapsers (individuals who met guidelines at baseline but did not meet guidelines at Exam 6), maintainers (individuals who met guidelines both at baseline and Exam 6), and insufficiently active (individuals who did not meet guidelines at either baseline or Exam 6). The maintainers' group was considered the reference category. We estimated the relative risk to assess the magnitude effect of the association between environmental perceptions and the outcome. Results: Individuals who reported that lack of parks and playgrounds was not a problem in their neighborhood had a 2.3-times higher risk of decreasing their physical activity (i.e., the relapser category) compared to maintainers. After full adjustment, perceiving poor sidewalks as somewhat a serious problem was associated with a 64% lower risk of becoming an adopter than a maintainer. When compared to those who perceive the neighborhood as very safe, perception of the neighborhood as safe to not at all safe (ratings 3, 4, and 5, respectively, on the perceived safety scale) was significantly associated with being classified in the adopter category. Conclusions: As the first longitudinal study of the association of perceived environment and physical activity within the MESA cohort, we conclude that a few aspects are longitudinally associated with being physically active among adults.</t>
        </is>
      </c>
      <c r="X245" t="inlineStr">
        <is>
          <t>[Parra, Maira Tristao; Mills, Paul J.] Univ Calif San Diego, Hebert Wertheim Sch Publ Hlth &amp; Longev Sci, San Diego, CA 92093 USA; [Ferreira De Moraes, Augusto Cesar] Univ Texas Hlth Sci Ctr, Michael &amp; Susan Dee Ctr Hlth Living, Houston Sch Publ Hlth, UTHlth Sch Publ Hlth,Dept Epidemiol Human Genet &amp;, Austin Campus, Austin, TX 78701 USA; [Ferreira De Moraes, Augusto Cesar] Univ Sao Paulo, Sch Publ Hlth, Dept Epidemiol, BR-05508060 Sao Paulo, Brazil; [Ferreira De Moraes, Augusto Cesar; Nascimento-Ferreira, Marcus Vinicius] Univ Sao Paulo, Fac Med, YCARE Youth Child cArdiovasc Risk &amp; Environm Res, BR-05508060 Sao Paulo, Brazil; [Nascimento-Ferreira, Marcus Vinicius] Univ Fed Tocantins, Phys Act &amp; Behav Res HLTH BRA Grp, BR-77650000 Miracema, Brazil; [Allison, Matthew] Univ Calif San Diego, Dept Prevent Med, Sch Med, San Diego, CA 92093 USA</t>
        </is>
      </c>
      <c r="Y245" t="inlineStr">
        <is>
          <t>University of California System; University of California San Diego; Universidade de Sao Paulo; Universidade de Sao Paulo; Universidade Federal do Tocantins (UFT); University of California System; University of California San Diego</t>
        </is>
      </c>
      <c r="Z245" t="inlineStr">
        <is>
          <t>De Moraes, ACF (corresponding author), Univ Texas Hlth Sci Ctr, Michael &amp; Susan Dee Ctr Hlth Living, Houston Sch Publ Hlth, UTHlth Sch Publ Hlth,Dept Epidemiol Human Genet &amp;, Austin Campus, Austin, TX 78701 USA.;De Moraes, ACF (corresponding author), Univ Sao Paulo, Sch Publ Hlth, Dept Epidemiol, BR-05508060 Sao Paulo, Brazil.;De Moraes, ACF (corresponding author), Univ Sao Paulo, Fac Med, YCARE Youth Child cArdiovasc Risk &amp; Environm Res, BR-05508060 Sao Paulo, Brazil.</t>
        </is>
      </c>
      <c r="AA245" t="inlineStr">
        <is>
          <t>Augusto.DeMoraes@uth.tmc.edu</t>
        </is>
      </c>
      <c r="AB245" t="inlineStr">
        <is>
          <t>Ferreira De Moraes, Augusto César/D-2198-2009; Nascimento-Ferreira, Marcus/F-7531-2018</t>
        </is>
      </c>
      <c r="AC245" t="inlineStr">
        <is>
          <t>Ferreira De Moraes, Augusto César/0000-0002-5763-435X; Nascimento-Ferreira, Marcus/0000-0002-6344-1044; Tristao Parra, Maira/0000-0002-5734-4272</t>
        </is>
      </c>
      <c r="AD245" t="inlineStr">
        <is>
          <t>National Heart, Lung, and Blood Institute [75N92020D00001, HHSN268201500003I, N01-HC95159, 75N92020D00005, N01-HC-95160, 75N92020D00002, N01-HC-95161, 75N92020D00003, N01HC-95162, 75N92020D00006, N01-HC-95163, 75N92020D00004, N01-HC-95164, 75N92020D00007, N01-HC-95165]; National Center for Advancing Translational Sciences (NCATS) [UL1-TR-000040, UL1-TR-001079, UL1-TR-001420]; National Institutes of Health (NIH); National Heart, Lung and Blood Institute (NHLBI) [N01-HC-95166, N01-HC-95167, N01-HC-95168, N01-HC-95169, 5T32hl079891-13]</t>
        </is>
      </c>
      <c r="AE245" t="inlineStr">
        <is>
          <t>National Heart, Lung, and Blood Institute(United States Department of Health &amp; Human ServicesNational Institutes of Health (NIH) - USANIH National Heart Lung &amp; Blood Institute (NHLBI)); National Center for Advancing Translational Sciences (NCATS)(United States Department of Health &amp; Human ServicesNational Institutes of Health (NIH) - USANIH National Center for Advancing Translational Sciences (NCATS)); National Institutes of Health (NIH)(United States Department of Health &amp; Human ServicesNational Institutes of Health (NIH) - USA); National Heart, Lung and Blood Institute (NHLBI)(United States Department of Health &amp; Human ServicesNational Institutes of Health (NIH) - USANIH National Heart Lung &amp; Blood Institute (NHLBI))</t>
        </is>
      </c>
      <c r="AF245" t="inlineStr">
        <is>
          <t>This research was supported by contracts 75N92020D00001, HHSN268201500003I, N01-HC95159, 75N92020D00005, N01-HC-95160, 75N92020D00002, N01-HC-95161, 75N92020D00003, N01HC-95162, 75N92020D00006, N01-HC-95163, 75N92020D00004, N01-HC-95164, 75N92020D00007, N01-HC-95165, N01-HC-95166, N01-HC-95167, N01-HC-95168 and N01-HC-95169 from the National Heart, Lung, and Blood Institute, and by grants UL1-TR-000040, UL1-TR-001079, and UL1-TR-001420 from the National Center for Advancing Translational Sciences (NCATS). Additionally, the National Institutes of Health (NIH), the National Heart, Lung and Blood Institute (NHLBI) through the T32 post-doctoral fellowship in Cardiovascular Epidemiology and Prevention [5T32hl079891-13] provided to Maira Tristao Parra.</t>
        </is>
      </c>
      <c r="AH245" t="n">
        <v>29</v>
      </c>
      <c r="AI245" t="n">
        <v>0</v>
      </c>
      <c r="AJ245" t="n">
        <v>0</v>
      </c>
      <c r="AK245" t="n">
        <v>2</v>
      </c>
      <c r="AL245" t="n">
        <v>8</v>
      </c>
      <c r="AM245" t="inlineStr">
        <is>
          <t>MDPI</t>
        </is>
      </c>
      <c r="AN245" t="inlineStr">
        <is>
          <t>BASEL</t>
        </is>
      </c>
      <c r="AO245" t="inlineStr">
        <is>
          <t>ST ALBAN-ANLAGE 66, CH-4052 BASEL, SWITZERLAND</t>
        </is>
      </c>
      <c r="AQ245" t="inlineStr">
        <is>
          <t>1660-4601</t>
        </is>
      </c>
      <c r="AS245" t="inlineStr">
        <is>
          <t>INT J ENV RES PUB HE</t>
        </is>
      </c>
      <c r="AT245" t="inlineStr">
        <is>
          <t>Int. J. Environ. Res. Public Health</t>
        </is>
      </c>
      <c r="AU245" t="inlineStr">
        <is>
          <t>SEP</t>
        </is>
      </c>
      <c r="AV245" t="n">
        <v>2022</v>
      </c>
      <c r="AW245" t="n">
        <v>19</v>
      </c>
      <c r="AX245" t="n">
        <v>17</v>
      </c>
      <c r="BE245" t="n">
        <v>10925</v>
      </c>
      <c r="BF245" t="inlineStr">
        <is>
          <t>10.3390/ijerph191710925</t>
        </is>
      </c>
      <c r="BG245">
        <f>HYPERLINK("http://dx.doi.org/10.3390/ijerph191710925","http://dx.doi.org/10.3390/ijerph191710925")</f>
        <v/>
      </c>
      <c r="BJ245" t="n">
        <v>18</v>
      </c>
      <c r="BK245" t="inlineStr">
        <is>
          <t>Environmental Sciences; Public, Environmental &amp; Occupational Health</t>
        </is>
      </c>
      <c r="BL245" t="inlineStr">
        <is>
          <t>Science Citation Index Expanded (SCI-EXPANDED); Social Science Citation Index (SSCI)</t>
        </is>
      </c>
      <c r="BM245" t="inlineStr">
        <is>
          <t>Environmental Sciences &amp; Ecology; Public, Environmental &amp; Occupational Health</t>
        </is>
      </c>
      <c r="BN245" t="inlineStr">
        <is>
          <t>4J2YH</t>
        </is>
      </c>
      <c r="BO245" t="n">
        <v>36078632</v>
      </c>
      <c r="BP245" t="inlineStr">
        <is>
          <t>gold, Green Published</t>
        </is>
      </c>
      <c r="BS245" t="inlineStr">
        <is>
          <t>2023-10-26</t>
        </is>
      </c>
      <c r="BT245" t="inlineStr">
        <is>
          <t>WOS:000851133600001</t>
        </is>
      </c>
      <c r="BU245">
        <f>HYPERLINK("https%3A%2F%2Fwww.webofscience.com%2Fwos%2Fwoscc%2Ffull-record%2FWOS:000851133600001","View Full Record in Web of Science")</f>
        <v/>
      </c>
    </row>
    <row r="246">
      <c r="A246" t="inlineStr">
        <is>
          <t>J</t>
        </is>
      </c>
      <c r="B246" t="inlineStr">
        <is>
          <t>Williams, AA; Spengler, JD; Catalano, P; Allen, JG; Cedeno-Laurent, JG</t>
        </is>
      </c>
      <c r="F246" t="inlineStr">
        <is>
          <t>Williams, Augusta A.; Spengler, John D.; Catalano, Paul; Allen, Joseph G.; Cedeno-Laurent, Jose G.</t>
        </is>
      </c>
      <c r="J246" t="inlineStr">
        <is>
          <t>INTERNATIONAL JOURNAL OF ENVIRONMENTAL RESEARCH AND PUBLIC HEALTH</t>
        </is>
      </c>
      <c r="M246" t="inlineStr">
        <is>
          <t>English</t>
        </is>
      </c>
      <c r="N246" t="inlineStr">
        <is>
          <t>Article</t>
        </is>
      </c>
      <c r="T246" t="inlineStr">
        <is>
          <t>Building Vulnerability in a Changing Climate: Indoor Temperature Exposures and Health Outcomes in Older Adults Living in Public Housing during an Extreme Heat Event in Cambridge, MA</t>
        </is>
      </c>
      <c r="U246" t="inlineStr">
        <is>
          <t>health; heat; vulnerability; built environment; public housing; indoor environmental quality; temperature</t>
        </is>
      </c>
      <c r="V246" t="inlineStr">
        <is>
          <t>RISK-FACTORS; MORTALITY; BEHAVIORS; WAVE; ENVIRONMENT; ILLNESS; STRESS; PEOPLE; INDEX</t>
        </is>
      </c>
      <c r="W246" t="inlineStr">
        <is>
          <t>In the Northeastern U.S., future heatwaves will increase in frequency, duration, and intensity due to climate change. A great deal of the research about the health impacts from extreme heat has used ambient meteorological measurements, which can result in exposure misclassification because buildings alter indoor temperatures and ambient temperatures are not uniform across cities. To characterize indoor temperature exposures during an extreme heat event in buildings with and without central air conditioning (AC), personal monitoring was conducted with 51 (central AC, n = 24; non-central AC, n = 27) low-income senior residents of public housing in Cambridge, Massachusetts in 2015, to comprehensively assess indoor temperatures, sleep, and physiological outcomes of galvanic skin response (GSR) and heart rate (HR), along with daily surveys of adaptive behaviors and health symptoms. As expected, non-central AC units (T-mean = 25.6 degrees C) were significantly warmer than those with central AC (T-mean = 23.2 degrees C, p &lt; 0.001). With higher indoor temperatures, sleep was more disrupted and GSR and HR both increased (p &lt; 0.001). However, there were no changes in hydration behaviors between residents of different buildings over time and few moderate/several health symptoms were reported. This suggests both a lack of behavioral adaptation and thermal decompensation beginning, highlighting the need to improve building cooling strategies and heat education to low-income senior residents, especially in historically cooler climates.</t>
        </is>
      </c>
      <c r="X246" t="inlineStr">
        <is>
          <t>[Williams, Augusta A.; Spengler, John D.; Allen, Joseph G.; Cedeno-Laurent, Jose G.] Harvard TH Chan Sch Publ Hlth, Dept Environm Hlth, Boston, MA 02115 USA; [Catalano, Paul] Harvard TH Chan Sch Publ Hlth, Dept Biostat, Boston, MA 02115 USA</t>
        </is>
      </c>
      <c r="Y246" t="inlineStr">
        <is>
          <t>Harvard University; Harvard T.H. Chan School of Public Health; Harvard University; Harvard T.H. Chan School of Public Health</t>
        </is>
      </c>
      <c r="Z246" t="inlineStr">
        <is>
          <t>Cedeno-Laurent, JG (corresponding author), Harvard TH Chan Sch Publ Hlth, Dept Environm Hlth, Boston, MA 02115 USA.</t>
        </is>
      </c>
      <c r="AA246" t="inlineStr">
        <is>
          <t>memocedeno@mail.harvard.edu</t>
        </is>
      </c>
      <c r="AC246" t="inlineStr">
        <is>
          <t>Williams, Augusta/0000-0002-1496-8931; Cedeno Laurent, Jose Guillermo/0000-0001-7098-0954</t>
        </is>
      </c>
      <c r="AD246" t="inlineStr">
        <is>
          <t>Harvard University Climate Change Solutions Fund; Harvard University Joint Center for Housing Studies</t>
        </is>
      </c>
      <c r="AE246" t="inlineStr">
        <is>
          <t>Harvard University Climate Change Solutions Fund; Harvard University Joint Center for Housing Studies</t>
        </is>
      </c>
      <c r="AF246" t="inlineStr">
        <is>
          <t>This research was funded by the Harvard University Climate Change Solutions Fund, awarded in 2015 to J.G.C.-L. and the Harvard University Joint Center for Housing Studies.</t>
        </is>
      </c>
      <c r="AH246" t="n">
        <v>46</v>
      </c>
      <c r="AI246" t="n">
        <v>29</v>
      </c>
      <c r="AJ246" t="n">
        <v>29</v>
      </c>
      <c r="AK246" t="n">
        <v>3</v>
      </c>
      <c r="AL246" t="n">
        <v>41</v>
      </c>
      <c r="AM246" t="inlineStr">
        <is>
          <t>MDPI</t>
        </is>
      </c>
      <c r="AN246" t="inlineStr">
        <is>
          <t>BASEL</t>
        </is>
      </c>
      <c r="AO246" t="inlineStr">
        <is>
          <t>ST ALBAN-ANLAGE 66, CH-4052 BASEL, SWITZERLAND</t>
        </is>
      </c>
      <c r="AP246" t="inlineStr">
        <is>
          <t>1661-7827</t>
        </is>
      </c>
      <c r="AQ246" t="inlineStr">
        <is>
          <t>1660-4601</t>
        </is>
      </c>
      <c r="AS246" t="inlineStr">
        <is>
          <t>INT J ENV RES PUB HE</t>
        </is>
      </c>
      <c r="AT246" t="inlineStr">
        <is>
          <t>Int. J. Environ. Res. Public Health</t>
        </is>
      </c>
      <c r="AU246" t="inlineStr">
        <is>
          <t>JUL 1</t>
        </is>
      </c>
      <c r="AV246" t="n">
        <v>2019</v>
      </c>
      <c r="AW246" t="n">
        <v>16</v>
      </c>
      <c r="AX246" t="n">
        <v>13</v>
      </c>
      <c r="BE246" t="n">
        <v>2373</v>
      </c>
      <c r="BF246" t="inlineStr">
        <is>
          <t>10.3390/ijerph16132373</t>
        </is>
      </c>
      <c r="BG246">
        <f>HYPERLINK("http://dx.doi.org/10.3390/ijerph16132373","http://dx.doi.org/10.3390/ijerph16132373")</f>
        <v/>
      </c>
      <c r="BJ246" t="n">
        <v>15</v>
      </c>
      <c r="BK246" t="inlineStr">
        <is>
          <t>Environmental Sciences; Public, Environmental &amp; Occupational Health</t>
        </is>
      </c>
      <c r="BL246" t="inlineStr">
        <is>
          <t>Science Citation Index Expanded (SCI-EXPANDED); Social Science Citation Index (SSCI)</t>
        </is>
      </c>
      <c r="BM246" t="inlineStr">
        <is>
          <t>Environmental Sciences &amp; Ecology; Public, Environmental &amp; Occupational Health</t>
        </is>
      </c>
      <c r="BN246" t="inlineStr">
        <is>
          <t>IL1DA</t>
        </is>
      </c>
      <c r="BO246" t="n">
        <v>31277359</v>
      </c>
      <c r="BP246" t="inlineStr">
        <is>
          <t>Green Published, gold</t>
        </is>
      </c>
      <c r="BS246" t="inlineStr">
        <is>
          <t>2023-10-26</t>
        </is>
      </c>
      <c r="BT246" t="inlineStr">
        <is>
          <t>WOS:000477037900118</t>
        </is>
      </c>
      <c r="BU246">
        <f>HYPERLINK("https%3A%2F%2Fwww.webofscience.com%2Fwos%2Fwoscc%2Ffull-record%2FWOS:000477037900118","View Full Record in Web of Science")</f>
        <v/>
      </c>
    </row>
    <row r="247">
      <c r="A247" t="inlineStr">
        <is>
          <t>J</t>
        </is>
      </c>
      <c r="B247" t="inlineStr">
        <is>
          <t>Li, LQ; Yu, LY</t>
        </is>
      </c>
      <c r="F247" t="inlineStr">
        <is>
          <t>Li, Liqing; Yu, Luyao</t>
        </is>
      </c>
      <c r="J247" t="inlineStr">
        <is>
          <t>INTERNATIONAL JOURNAL OF ENVIRONMENTAL RESEARCH AND PUBLIC HEALTH</t>
        </is>
      </c>
      <c r="M247" t="inlineStr">
        <is>
          <t>English</t>
        </is>
      </c>
      <c r="N247" t="inlineStr">
        <is>
          <t>Article</t>
        </is>
      </c>
      <c r="T247" t="inlineStr">
        <is>
          <t>The Influence of Pension Mode on the Mental Health of Older Adults-Evidence from Older Adults in China</t>
        </is>
      </c>
      <c r="U247" t="inlineStr">
        <is>
          <t>successful aging; old-age care methods; mental health; older adult</t>
        </is>
      </c>
      <c r="V247" t="inlineStr">
        <is>
          <t>LIVING ARRANGEMENTS; DEPRESSIVE SYMPTOMS; SUPPORT; PEOPLE; ENVIRONMENT; CHILDREN</t>
        </is>
      </c>
      <c r="W247" t="inlineStr">
        <is>
          <t>Successful aging is achieved throughout the life course, and successful aging groups tend to have good psychosocial and physical conditions and are active in social activities. With increasing age, the mental health problems of older adults have become increasingly prominent, and the choice of pension mode is closely related to the mental health of older adults. Starting from the psychological level of the older adult, this paper used data from the 2018 Chinese Longitudinal Healthy Longevity Survey to study the impact of three pension methods on the mental health of older adults. The study found that, at present, there are three types of pension modes in China: living alone, family pension, and institutional care, and family pensions are still the mainstream pension mode. Older adults with deeper negative feelings are more inclined to family pensions than to live alone, but the spiritual comfort provided by family members does not improve the negative feelings of older adults. Institutional care deepens the negative feeling and reduces the positive feeling of older adults. In addition, retirement or pension and medical insurance, as life security in old age, can effectively reduce the negative feelings of old age and promote positive feelings. In view of the present situation of China's pension mode and the psychological characteristics of the older adults, we should further build a perfect family pension security system, promote the personalized service construction of older adult care institutions, promote applicable aging renovation of existing residential areas, and encourage older adults to engage in healthy exercise.</t>
        </is>
      </c>
      <c r="X247" t="inlineStr">
        <is>
          <t>[Li, Liqing; Yu, Luyao] Hunan Agr Univ, Sch Publ Management &amp; Law, Changsha 410125, Peoples R China</t>
        </is>
      </c>
      <c r="Y247" t="inlineStr">
        <is>
          <t>Hunan Agricultural University</t>
        </is>
      </c>
      <c r="Z247" t="inlineStr">
        <is>
          <t>Yu, LY (corresponding author), Hunan Agr Univ, Sch Publ Management &amp; Law, Changsha 410125, Peoples R China.</t>
        </is>
      </c>
      <c r="AA247" t="inlineStr">
        <is>
          <t>liliqing1136@163.com; yuluyao1997@163.com</t>
        </is>
      </c>
      <c r="AD247" t="inlineStr">
        <is>
          <t>National Social Science Foundation Key Project [21AZD049]; Hunan Provincial Natural Science Founding Project [2021JJ30366]; Hunan Postgraduate Research Innovation Funding Project [QL20210160]; Hunan Science and Technology Innovation Talent Program Project [2021RC1004]</t>
        </is>
      </c>
      <c r="AE247" t="inlineStr">
        <is>
          <t>National Social Science Foundation Key Project; Hunan Provincial Natural Science Founding Project; Hunan Postgraduate Research Innovation Funding Project; Hunan Science and Technology Innovation Talent Program Project</t>
        </is>
      </c>
      <c r="AF247" t="inlineStr">
        <is>
          <t>This research was funded by the National Social Science Foundation Key Project (number 21AZD049), the Hunan Provincial Natural Science Founding Project ( number 2021JJ30366), and the Hunan Postgraduate Research Innovation Funding Project, (number QL20210160), the Hunan Science and Technology Innovation Talent Program Project (number 2021RC1004).</t>
        </is>
      </c>
      <c r="AH247" t="n">
        <v>43</v>
      </c>
      <c r="AI247" t="n">
        <v>2</v>
      </c>
      <c r="AJ247" t="n">
        <v>2</v>
      </c>
      <c r="AK247" t="n">
        <v>16</v>
      </c>
      <c r="AL247" t="n">
        <v>79</v>
      </c>
      <c r="AM247" t="inlineStr">
        <is>
          <t>MDPI</t>
        </is>
      </c>
      <c r="AN247" t="inlineStr">
        <is>
          <t>BASEL</t>
        </is>
      </c>
      <c r="AO247" t="inlineStr">
        <is>
          <t>ST ALBAN-ANLAGE 66, CH-4052 BASEL, SWITZERLAND</t>
        </is>
      </c>
      <c r="AQ247" t="inlineStr">
        <is>
          <t>1660-4601</t>
        </is>
      </c>
      <c r="AS247" t="inlineStr">
        <is>
          <t>INT J ENV RES PUB HE</t>
        </is>
      </c>
      <c r="AT247" t="inlineStr">
        <is>
          <t>Int. J. Environ. Res. Public Health</t>
        </is>
      </c>
      <c r="AU247" t="inlineStr">
        <is>
          <t>JAN</t>
        </is>
      </c>
      <c r="AV247" t="n">
        <v>2022</v>
      </c>
      <c r="AW247" t="n">
        <v>19</v>
      </c>
      <c r="AX247" t="n">
        <v>1</v>
      </c>
      <c r="BE247" t="n">
        <v>119</v>
      </c>
      <c r="BF247" t="inlineStr">
        <is>
          <t>10.3390/ijerph19010119</t>
        </is>
      </c>
      <c r="BG247">
        <f>HYPERLINK("http://dx.doi.org/10.3390/ijerph19010119","http://dx.doi.org/10.3390/ijerph19010119")</f>
        <v/>
      </c>
      <c r="BJ247" t="n">
        <v>15</v>
      </c>
      <c r="BK247" t="inlineStr">
        <is>
          <t>Environmental Sciences; Public, Environmental &amp; Occupational Health</t>
        </is>
      </c>
      <c r="BL247" t="inlineStr">
        <is>
          <t>Science Citation Index Expanded (SCI-EXPANDED); Social Science Citation Index (SSCI)</t>
        </is>
      </c>
      <c r="BM247" t="inlineStr">
        <is>
          <t>Environmental Sciences &amp; Ecology; Public, Environmental &amp; Occupational Health</t>
        </is>
      </c>
      <c r="BN247" t="inlineStr">
        <is>
          <t>YF3NO</t>
        </is>
      </c>
      <c r="BO247" t="n">
        <v>35010386</v>
      </c>
      <c r="BP247" t="inlineStr">
        <is>
          <t>Green Published, gold</t>
        </is>
      </c>
      <c r="BS247" t="inlineStr">
        <is>
          <t>2023-10-26</t>
        </is>
      </c>
      <c r="BT247" t="inlineStr">
        <is>
          <t>WOS:000741717900001</t>
        </is>
      </c>
      <c r="BU247">
        <f>HYPERLINK("https%3A%2F%2Fwww.webofscience.com%2Fwos%2Fwoscc%2Ffull-record%2FWOS:000741717900001","View Full Record in Web of Science")</f>
        <v/>
      </c>
    </row>
    <row r="248">
      <c r="A248" t="inlineStr">
        <is>
          <t>J</t>
        </is>
      </c>
      <c r="B248" t="inlineStr">
        <is>
          <t>Quagliarini, E; Fatiguso, F; Lucesoli, M; Bernardini, G; Cantatore, E</t>
        </is>
      </c>
      <c r="F248" t="inlineStr">
        <is>
          <t>Quagliarini, Enrico; Fatiguso, Fabio; Lucesoli, Michele; Bernardini, Gabriele; Cantatore, Elena</t>
        </is>
      </c>
      <c r="J248" t="inlineStr">
        <is>
          <t>SUSTAINABILITY</t>
        </is>
      </c>
      <c r="M248" t="inlineStr">
        <is>
          <t>English</t>
        </is>
      </c>
      <c r="N248" t="inlineStr">
        <is>
          <t>Review</t>
        </is>
      </c>
      <c r="T248" t="inlineStr">
        <is>
          <t>Risk Reduction Strategies against Terrorist Acts in Urban Built Environments: Towards Sustainable and Human-Centred Challenges</t>
        </is>
      </c>
      <c r="U248" t="inlineStr">
        <is>
          <t>terrorist attack; sustainability; risk reduction; classification; Built Environment; emergency management; human-centred factors; open spaces</t>
        </is>
      </c>
      <c r="W248" t="inlineStr">
        <is>
          <t>Terrorist impacts have been increasing over time in many countries, being one of the most significant threats for the Built Environment (BE), intended as a network of open spaces (streets, squares) and facing buildings, and their users. Such risk is affected by a combination of strategic functions and crowd conditions. This work traces, for the first time, the state-of-the-art consolidated Risk Mitigation and Reduction Strategies (RMRSs). Solid RMRS regulatory frameworks from all over the world are collected. The results show how classification criteria distinguish them by attack targets and typologies, effectiveness over time/space, and physical implementation versus management-based deployment. Nevertheless, these criteria seem to be too fragmented, failing in pursuing RMRSs selection in a holistic outlook. Thus, a new classification adopting the BE composing elements (physical elements, layout, access/surveillance systems, safety/security management) as key-factors is provided. Features, dependencies and coordination among them are discussed in a sustainability-based perspective, by showing how the main challenges for RMRSs' design concern applicability, redundancy, and users' emergency support. Safety/security management strategies have the overall highest sustainability level and play a pivotal role with respect to the other BE composing elements, which should be planned in reference to them. In addition, a human-centred approach (individuals' interactions with BEs and RMRSs) will also be needed. These results will support efforts to include simulation-oriented approaches into RMRSs selection, effectiveness and feasibility analyses.</t>
        </is>
      </c>
      <c r="X248" t="inlineStr">
        <is>
          <t>[Quagliarini, Enrico; Lucesoli, Michele; Bernardini, Gabriele] Univ Politecn Marche, DICEA Dept, I-60131 Ancona, Italy; [Fatiguso, Fabio; Cantatore, Elena] Politecn Bari, Dipartimento Ingn Civile Ambientale Terr Edile &amp;, I-70125 Bari, Italy</t>
        </is>
      </c>
      <c r="Y248" t="inlineStr">
        <is>
          <t>Marche Polytechnic University; Politecnico di Bari</t>
        </is>
      </c>
      <c r="Z248" t="inlineStr">
        <is>
          <t>Quagliarini, E (corresponding author), Univ Politecn Marche, DICEA Dept, I-60131 Ancona, Italy.</t>
        </is>
      </c>
      <c r="AA248" t="inlineStr">
        <is>
          <t>e.quagliarini@staff.univpm.it; fabio.fatiguso@poliba.it; m.lucesoli@pm.univpm.it; g.bernardini@staff.univpm.it; elena.cantatore@poliba.it</t>
        </is>
      </c>
      <c r="AB248" t="inlineStr">
        <is>
          <t>Bernardini, Gabriele/S-6283-2017</t>
        </is>
      </c>
      <c r="AC248" t="inlineStr">
        <is>
          <t>Bernardini, Gabriele/0000-0002-7381-4537; FATIGUSO, Fabio/0000-0003-4584-3776; Lucesoli, Michele/0000-0003-3983-3803; quagliarini, enrico/0000-0002-1091-8929; CANTATORE, Elena/0000-0003-2294-6561</t>
        </is>
      </c>
      <c r="AD248" t="inlineStr">
        <is>
          <t>MIUR (the Italian Ministry of Education, University, and Research) Project BE S2ECURe-(make) Built Environment Safer in Slow and Emergency Conditions through behavioural assessed/designed Resilient solutions [2017LR75XK]</t>
        </is>
      </c>
      <c r="AE248" t="inlineStr">
        <is>
          <t>MIUR (the Italian Ministry of Education, University, and Research) Project BE S2ECURe-(make) Built Environment Safer in Slow and Emergency Conditions through behavioural assessed/designed Resilient solutions</t>
        </is>
      </c>
      <c r="AF248" t="inlineStr">
        <is>
          <t>This research was funded by the MIUR (the Italian Ministry of Education, University, and Research) Project BE S2ECURe-(make) Built Environment Safer in Slow and Emergency Conditions through behavioural assessed/designed Resilient solutions (Grant number: 2017LR75XK).</t>
        </is>
      </c>
      <c r="AH248" t="n">
        <v>71</v>
      </c>
      <c r="AI248" t="n">
        <v>8</v>
      </c>
      <c r="AJ248" t="n">
        <v>8</v>
      </c>
      <c r="AK248" t="n">
        <v>1</v>
      </c>
      <c r="AL248" t="n">
        <v>13</v>
      </c>
      <c r="AM248" t="inlineStr">
        <is>
          <t>MDPI</t>
        </is>
      </c>
      <c r="AN248" t="inlineStr">
        <is>
          <t>BASEL</t>
        </is>
      </c>
      <c r="AO248" t="inlineStr">
        <is>
          <t>ST ALBAN-ANLAGE 66, CH-4052 BASEL, SWITZERLAND</t>
        </is>
      </c>
      <c r="AQ248" t="inlineStr">
        <is>
          <t>2071-1050</t>
        </is>
      </c>
      <c r="AS248" t="inlineStr">
        <is>
          <t>SUSTAINABILITY-BASEL</t>
        </is>
      </c>
      <c r="AT248" t="inlineStr">
        <is>
          <t>Sustainability</t>
        </is>
      </c>
      <c r="AU248" t="inlineStr">
        <is>
          <t>JAN</t>
        </is>
      </c>
      <c r="AV248" t="n">
        <v>2021</v>
      </c>
      <c r="AW248" t="n">
        <v>13</v>
      </c>
      <c r="AX248" t="n">
        <v>2</v>
      </c>
      <c r="BE248" t="n">
        <v>901</v>
      </c>
      <c r="BF248" t="inlineStr">
        <is>
          <t>10.3390/su13020901</t>
        </is>
      </c>
      <c r="BG248">
        <f>HYPERLINK("http://dx.doi.org/10.3390/su13020901","http://dx.doi.org/10.3390/su13020901")</f>
        <v/>
      </c>
      <c r="BJ248" t="n">
        <v>29</v>
      </c>
      <c r="BK248" t="inlineStr">
        <is>
          <t>Green &amp; Sustainable Science &amp; Technology; Environmental Sciences; Environmental Studies</t>
        </is>
      </c>
      <c r="BL248" t="inlineStr">
        <is>
          <t>Science Citation Index Expanded (SCI-EXPANDED); Social Science Citation Index (SSCI)</t>
        </is>
      </c>
      <c r="BM248" t="inlineStr">
        <is>
          <t>Science &amp; Technology - Other Topics; Environmental Sciences &amp; Ecology</t>
        </is>
      </c>
      <c r="BN248" t="inlineStr">
        <is>
          <t>PY4ZQ</t>
        </is>
      </c>
      <c r="BP248" t="inlineStr">
        <is>
          <t>gold, Green Published</t>
        </is>
      </c>
      <c r="BS248" t="inlineStr">
        <is>
          <t>2023-10-26</t>
        </is>
      </c>
      <c r="BT248" t="inlineStr">
        <is>
          <t>WOS:000612054700001</t>
        </is>
      </c>
      <c r="BU248">
        <f>HYPERLINK("https%3A%2F%2Fwww.webofscience.com%2Fwos%2Fwoscc%2Ffull-record%2FWOS:000612054700001","View Full Record in Web of Science")</f>
        <v/>
      </c>
    </row>
    <row r="249">
      <c r="A249" t="inlineStr">
        <is>
          <t>J</t>
        </is>
      </c>
      <c r="B249" t="inlineStr">
        <is>
          <t>Pun, VC; Manjourides, J; Suh, HH</t>
        </is>
      </c>
      <c r="F249" t="inlineStr">
        <is>
          <t>Pun, Vivian C.; Manjourides, Justin; Suh, Helen H.</t>
        </is>
      </c>
      <c r="J249" t="inlineStr">
        <is>
          <t>SCIENCE OF THE TOTAL ENVIRONMENT</t>
        </is>
      </c>
      <c r="M249" t="inlineStr">
        <is>
          <t>English</t>
        </is>
      </c>
      <c r="N249" t="inlineStr">
        <is>
          <t>Article</t>
        </is>
      </c>
      <c r="T249" t="inlineStr">
        <is>
          <t>Close proximity to roadway and urbanicity associated with mental ill-health in older adults</t>
        </is>
      </c>
      <c r="U249" t="inlineStr">
        <is>
          <t>Roadway distance; Urbanicity; Depression; Anxiety; Perceived stress; Older adults</t>
        </is>
      </c>
      <c r="V249" t="inlineStr">
        <is>
          <t>AMBIENT AIR-POLLUTION; NATIONAL SOCIAL-LIFE; DEPRESSIVE SYMPTOMS; COGNITIVE FUNCTION; PERCEIVED STRESS; ANXIETY SYMPTOMS; HOSPITAL ANXIETY; AGING PROJECT; SCALE; VALIDITY</t>
        </is>
      </c>
      <c r="W249" t="inlineStr">
        <is>
          <t>Evidence fur the association between built environment and mental ill health, especially in older population where menial ill health is common, remains inconclusive. We examined the association of roadway distance and uthanicity, measured as percentage of urban land use within 1 km from participants residence, with mental ill-health in a longitudinal study of community-dwelling older adults in the United Slates between 2005 and 2006 and 2011-2012. We evaluated perceived stress, depression and anxiety symptoms using the Cohen's Perceived Stress Scale, the Center for Epidemiological Studies - Depression, and the Hospital Anxiety and Depression Scale anxiety subscale, respectively. Increment in roadway distance was significantly associated with -0.03 point (95% CI: -0.05, 0.01) change in depressive score, with loneliness and PM2.5 partially mediating the observed associations. Age, gender, race/ethnicity, and physical activity significantly modified the distance depression association. Anxiety was inversely associated with roadway distance (-0.02; 95% CI: -0.03, 0.00), though the associations became insignificant upon adjusting for road traffic or noise. Urbanicity was significantly associated with 029 (95% CI: 0.10, 0.57) point increase in depressive symptoms in multivariable model; the association was partly mediated by loneliness, physical activity, social support and aft pollution. No association was found between roadway distance and perceived stress, and between urbanicity, and anxiety and perceived stress. Built environment was associated with mental ill health, partially through pathways related to air pollution and certain individual characteristics (e.g. loneliness). Our study warrants further examination of the mediation and interaction of the built environment-mental health association. (C) 2018 Published by Elsevier B.V.</t>
        </is>
      </c>
      <c r="X249" t="inlineStr">
        <is>
          <t>[Pun, Vivian C.] Chinese Univ Hong Kong, Jockey Club Sch Publ Hlth &amp; Primary Care, Hong Kong, Peoples R China; [Manjourides, Justin] Northeastern Univ, Dept Hlth Sci, Boston, MA 02115 USA; [Suh, Helen H.] Tufts Univ, Dept Civil &amp; Environm Engn, Medford, MA 02153 USA</t>
        </is>
      </c>
      <c r="Y249" t="inlineStr">
        <is>
          <t>Chinese University of Hong Kong; Northeastern University; Tufts University</t>
        </is>
      </c>
      <c r="Z249" t="inlineStr">
        <is>
          <t>Suh, HH (corresponding author), Tufts Univ, Dept Civil &amp; Environm Engn, Medford, MA 02153 USA.</t>
        </is>
      </c>
      <c r="AA249" t="inlineStr">
        <is>
          <t>helen.suh@tufts.edu</t>
        </is>
      </c>
      <c r="AD249" t="inlineStr">
        <is>
          <t>NIEHS [1R01ES022657-01A1]; NIH [R01-AG021487, R37-AG030481, R01-AG033903, R01-ES019168]</t>
        </is>
      </c>
      <c r="AE249" t="inlineStr">
        <is>
          <t>NIEHS(United States Department of Health &amp; Human ServicesNational Institutes of Health (NIH) - USANIH National Institute of Environmental Health Sciences (NIEHS)); NIH(United States Department of Health &amp; Human ServicesNational Institutes of Health (NIH) - USA)</t>
        </is>
      </c>
      <c r="AF249" t="inlineStr">
        <is>
          <t>This work was supported by NIEHS grant 1R01ES022657-01A1, with health and other covariate data obtained through NIH R01-AG021487, R37-AG030481, R01-AG033903, and R01-ES019168.</t>
        </is>
      </c>
      <c r="AH249" t="n">
        <v>38</v>
      </c>
      <c r="AI249" t="n">
        <v>35</v>
      </c>
      <c r="AJ249" t="n">
        <v>35</v>
      </c>
      <c r="AK249" t="n">
        <v>2</v>
      </c>
      <c r="AL249" t="n">
        <v>52</v>
      </c>
      <c r="AM249" t="inlineStr">
        <is>
          <t>ELSEVIER</t>
        </is>
      </c>
      <c r="AN249" t="inlineStr">
        <is>
          <t>AMSTERDAM</t>
        </is>
      </c>
      <c r="AO249" t="inlineStr">
        <is>
          <t>RADARWEG 29, 1043 NX AMSTERDAM, NETHERLANDS</t>
        </is>
      </c>
      <c r="AP249" t="inlineStr">
        <is>
          <t>0048-9697</t>
        </is>
      </c>
      <c r="AQ249" t="inlineStr">
        <is>
          <t>1879-1026</t>
        </is>
      </c>
      <c r="AS249" t="inlineStr">
        <is>
          <t>SCI TOTAL ENVIRON</t>
        </is>
      </c>
      <c r="AT249" t="inlineStr">
        <is>
          <t>Sci. Total Environ.</t>
        </is>
      </c>
      <c r="AU249" t="inlineStr">
        <is>
          <t>MAR 25</t>
        </is>
      </c>
      <c r="AV249" t="n">
        <v>2019</v>
      </c>
      <c r="AW249" t="n">
        <v>658</v>
      </c>
      <c r="BC249" t="n">
        <v>854</v>
      </c>
      <c r="BD249" t="n">
        <v>860</v>
      </c>
      <c r="BF249" t="inlineStr">
        <is>
          <t>10.1016/j.scitotenv.2018.12.221</t>
        </is>
      </c>
      <c r="BG249">
        <f>HYPERLINK("http://dx.doi.org/10.1016/j.scitotenv.2018.12.221","http://dx.doi.org/10.1016/j.scitotenv.2018.12.221")</f>
        <v/>
      </c>
      <c r="BJ249" t="n">
        <v>7</v>
      </c>
      <c r="BK249" t="inlineStr">
        <is>
          <t>Environmental Sciences</t>
        </is>
      </c>
      <c r="BL249" t="inlineStr">
        <is>
          <t>Science Citation Index Expanded (SCI-EXPANDED); Social Science Citation Index (SSCI)</t>
        </is>
      </c>
      <c r="BM249" t="inlineStr">
        <is>
          <t>Environmental Sciences &amp; Ecology</t>
        </is>
      </c>
      <c r="BN249" t="inlineStr">
        <is>
          <t>HI1AI</t>
        </is>
      </c>
      <c r="BO249" t="n">
        <v>30583181</v>
      </c>
      <c r="BP249" t="inlineStr">
        <is>
          <t>Green Accepted</t>
        </is>
      </c>
      <c r="BS249" t="inlineStr">
        <is>
          <t>2023-10-26</t>
        </is>
      </c>
      <c r="BT249" t="inlineStr">
        <is>
          <t>WOS:000456175700082</t>
        </is>
      </c>
      <c r="BU249">
        <f>HYPERLINK("https%3A%2F%2Fwww.webofscience.com%2Fwos%2Fwoscc%2Ffull-record%2FWOS:000456175700082","View Full Record in Web of Science")</f>
        <v/>
      </c>
    </row>
    <row r="250">
      <c r="A250" t="inlineStr">
        <is>
          <t>J</t>
        </is>
      </c>
      <c r="B250" t="inlineStr">
        <is>
          <t>Goon, S; Kontulainen, S; Muhajarine, N</t>
        </is>
      </c>
      <c r="F250" t="inlineStr">
        <is>
          <t>Goon, Shatabdi; Kontulainen, Saija; Muhajarine, Nazeem</t>
        </is>
      </c>
      <c r="J250" t="inlineStr">
        <is>
          <t>INTERNATIONAL JOURNAL OF ENVIRONMENTAL RESEARCH AND PUBLIC HEALTH</t>
        </is>
      </c>
      <c r="M250" t="inlineStr">
        <is>
          <t>English</t>
        </is>
      </c>
      <c r="N250" t="inlineStr">
        <is>
          <t>Article</t>
        </is>
      </c>
      <c r="T250" t="inlineStr">
        <is>
          <t>Neighborhood Built Environment Measures and Association with Physical Activity and Sedentary Time in 9-14-Year-Old Children in Saskatoon, Canada</t>
        </is>
      </c>
      <c r="U250" t="inlineStr">
        <is>
          <t>children; physical activity; sedentary time; neighborhood; built environment; audit tools; NALP; IMI; perception; researcher-rated</t>
        </is>
      </c>
      <c r="V250" t="inlineStr">
        <is>
          <t>IRVINE-MINNESOTA INVENTORY; LOCAL NEIGHBORHOOD; WALKING; FEATURES; SAFETY; PERCEPTIONS; VALIDITY; BARRIERS; YOUTH; PLAY</t>
        </is>
      </c>
      <c r="W250" t="inlineStr">
        <is>
          <t>This study assessed whether perceptual and researcher-rated measures of neighborhood-built environments (BEs) predict device-based multiple activity-related outcomes, specifically: moderate-to-vigorous physical activity (MVPA), light physical activity (LPA), and sedentary time (ST), in children. Eight hundred and sixteen children aged 9-14 years from Saskatoon, Canada, were surveyed on their perceptions of BE, and their PA outcomes were objectively monitored for one week at three different time frames over a one-year period, September 2014 to August 2015. The researcher-rated BE measures were collected by trained researchers using multiple BE audit tools: neighborhood active living potential (NALP) and Irvine Minnesota inventory (IMI), 2009-2010. A multilevel modeling approach was taken to understand BE influences of children's PA outcomes. Children's perceived availability of parks and sidewalks predicted a higher accumulation of MVPA and a lower accumulation of ST. Children's report of the absence of neighborhood social disorder (e.g., threats from scary dogs/people) predicted a higher LPA, while reported concern about crime predicted a lower MVPA. Researcher-rated neighborhood activity friendliness predicted a lower ST, however, researcher-rated safety from crime predicted a higher ST. Perceived BE characteristic were stronger predictors of children's PA outcomes compared to researcher-rated BE factors.</t>
        </is>
      </c>
      <c r="X250" t="inlineStr">
        <is>
          <t>[Goon, Shatabdi; Muhajarine, Nazeem] Univ Saskatchewan, Community Hlth &amp; Epidemiol, Saskatoon, SK S7N 2Z4, Canada; [Kontulainen, Saija] Univ Saskatchewan, Coll Kinesiol, Saskatoon, SK S7N 5B2, Canada; [Muhajarine, Nazeem] Univ Saskatchewan, Saskatchewan Populat Hlth &amp; Evaluat Res Unit, Saskatoon, SK S7N 2Z4, Canada</t>
        </is>
      </c>
      <c r="Y250" t="inlineStr">
        <is>
          <t>University of Saskatchewan; University of Saskatchewan; University of Saskatchewan</t>
        </is>
      </c>
      <c r="Z250" t="inlineStr">
        <is>
          <t>Muhajarine, N (corresponding author), Univ Saskatchewan, Community Hlth &amp; Epidemiol, Saskatoon, SK S7N 2Z4, Canada.;Muhajarine, N (corresponding author), Univ Saskatchewan, Saskatchewan Populat Hlth &amp; Evaluat Res Unit, Saskatoon, SK S7N 2Z4, Canada.</t>
        </is>
      </c>
      <c r="AA250" t="inlineStr">
        <is>
          <t>shg345@mail.usask.ca; saija.kontulainen@usask.ca; nazeem.muhajarine@usask.ca</t>
        </is>
      </c>
      <c r="AC250" t="inlineStr">
        <is>
          <t>Kontulainen, Saija/0000-0002-3678-0542; Muhajarine, Nazeem/0000-0001-6781-5421</t>
        </is>
      </c>
      <c r="AD250" t="inlineStr">
        <is>
          <t>Canadian Institutes of Health Research [313310]; N Muhajarine's research funds</t>
        </is>
      </c>
      <c r="AE250" t="inlineStr">
        <is>
          <t>Canadian Institutes of Health Research(Canadian Institutes of Health Research (CIHR)); N Muhajarine's research funds</t>
        </is>
      </c>
      <c r="AF250" t="inlineStr">
        <is>
          <t>This research was funded by Canadian Institutes of Health Research, Open Operating Grant (application #313310) and the APC was funded by N Muhajarine's research funds.</t>
        </is>
      </c>
      <c r="AH250" t="n">
        <v>43</v>
      </c>
      <c r="AI250" t="n">
        <v>4</v>
      </c>
      <c r="AJ250" t="n">
        <v>4</v>
      </c>
      <c r="AK250" t="n">
        <v>2</v>
      </c>
      <c r="AL250" t="n">
        <v>9</v>
      </c>
      <c r="AM250" t="inlineStr">
        <is>
          <t>MDPI</t>
        </is>
      </c>
      <c r="AN250" t="inlineStr">
        <is>
          <t>BASEL</t>
        </is>
      </c>
      <c r="AO250" t="inlineStr">
        <is>
          <t>ST ALBAN-ANLAGE 66, CH-4052 BASEL, SWITZERLAND</t>
        </is>
      </c>
      <c r="AQ250" t="inlineStr">
        <is>
          <t>1660-4601</t>
        </is>
      </c>
      <c r="AS250" t="inlineStr">
        <is>
          <t>INT J ENV RES PUB HE</t>
        </is>
      </c>
      <c r="AT250" t="inlineStr">
        <is>
          <t>Int. J. Environ. Res. Public Health</t>
        </is>
      </c>
      <c r="AU250" t="inlineStr">
        <is>
          <t>JUN</t>
        </is>
      </c>
      <c r="AV250" t="n">
        <v>2020</v>
      </c>
      <c r="AW250" t="n">
        <v>17</v>
      </c>
      <c r="AX250" t="n">
        <v>11</v>
      </c>
      <c r="BE250" t="n">
        <v>3837</v>
      </c>
      <c r="BF250" t="inlineStr">
        <is>
          <t>10.3390/ijerph17113837</t>
        </is>
      </c>
      <c r="BG250">
        <f>HYPERLINK("http://dx.doi.org/10.3390/ijerph17113837","http://dx.doi.org/10.3390/ijerph17113837")</f>
        <v/>
      </c>
      <c r="BJ250" t="n">
        <v>13</v>
      </c>
      <c r="BK250" t="inlineStr">
        <is>
          <t>Environmental Sciences; Public, Environmental &amp; Occupational Health</t>
        </is>
      </c>
      <c r="BL250" t="inlineStr">
        <is>
          <t>Science Citation Index Expanded (SCI-EXPANDED); Social Science Citation Index (SSCI)</t>
        </is>
      </c>
      <c r="BM250" t="inlineStr">
        <is>
          <t>Environmental Sciences &amp; Ecology; Public, Environmental &amp; Occupational Health</t>
        </is>
      </c>
      <c r="BN250" t="inlineStr">
        <is>
          <t>MB5FY</t>
        </is>
      </c>
      <c r="BO250" t="n">
        <v>32481683</v>
      </c>
      <c r="BP250" t="inlineStr">
        <is>
          <t>Green Published, gold</t>
        </is>
      </c>
      <c r="BS250" t="inlineStr">
        <is>
          <t>2023-10-26</t>
        </is>
      </c>
      <c r="BT250" t="inlineStr">
        <is>
          <t>WOS:000542629600090</t>
        </is>
      </c>
      <c r="BU250">
        <f>HYPERLINK("https%3A%2F%2Fwww.webofscience.com%2Fwos%2Fwoscc%2Ffull-record%2FWOS:000542629600090","View Full Record in Web of Science")</f>
        <v/>
      </c>
    </row>
    <row r="251">
      <c r="A251" t="inlineStr">
        <is>
          <t>J</t>
        </is>
      </c>
      <c r="B251" t="inlineStr">
        <is>
          <t>Ye, WS; Zhang, XF</t>
        </is>
      </c>
      <c r="F251" t="inlineStr">
        <is>
          <t>Ye, Weisen; Zhang, Xianfa</t>
        </is>
      </c>
      <c r="J251" t="inlineStr">
        <is>
          <t>FRESENIUS ENVIRONMENTAL BULLETIN</t>
        </is>
      </c>
      <c r="M251" t="inlineStr">
        <is>
          <t>English</t>
        </is>
      </c>
      <c r="N251" t="inlineStr">
        <is>
          <t>Article</t>
        </is>
      </c>
      <c r="T251" t="inlineStr">
        <is>
          <t>SUSTAINABLE APPLICATION OF ECO-ENVIRONMENTAL PROTECTION MATERIALS IN HOUSE INTERIOR DESIGN</t>
        </is>
      </c>
      <c r="U251" t="inlineStr">
        <is>
          <t>Ecology; environmentally friendly materials; interior design; sustainable application</t>
        </is>
      </c>
      <c r="V251" t="inlineStr">
        <is>
          <t>PERFORMANCE</t>
        </is>
      </c>
      <c r="W251" t="inlineStr">
        <is>
          <t>In the building decoration industry, many owners who want to renovate have proposed green, ecological, energy-saving and environmentally-friendly decoration designs, so green materials are widely used. In interior decoration, green environmental protection and energy-saving materials play an important role in human health. Based on this, this article discusses the application of environmental protection materials in interior decoration design. Through the investigation and thinking of environmental protection issues in the current decorative materials industry, the analysis of environmental protection concepts and values, and the review of relevant information about modem green design, and the investigation of the current decorative materials market, the sustainable development of environmentally friendly materials in interior design are given. With a relatively deep and systematic understanding of the application, the importance and modem value of environmental protection materials, renewable resources, and smart materials in the design and application of human settlements have been systematically explained in terms of form and concept. This paper sets the centroid coordinates of the reference environment node as the initial value of the iteration. The simulation results show that the improved iterative positioning accuracy is significantly improved. Starting from the perceptual cognition of materials, thinking about the environmental protection issues of the current decoration materials industry, analyzing the current development of the decoration materials industry at home and abroad, understanding people's attitudes towards the environmental protection of interior decoration materials, we are clarifying the importance of environmental protection of decoration materials, and guiding people how to choose environmentally friendly decorative materials. Therefore, in the selection of decorative materials, we must first consider materials that emit no toxic gas, are non-irritating, non-radioactive, and have low carbon dioxide emissions. Moreover, greening and ecological design can be introduced into the indoor environment to improve indoor air quality and the integration of indoor space and nature. Through the analysis of environmentally friendly materials in interior decoration, the hazards and measures caused by fake and inferior interior decoration materials to the human body are explained, and the modem concept of environmental protection is established for people. Finally, it points out the ecological thinking of the sustainable development and utilization of low-carbon, environmentally friendly, and smart materials that adapt to the modem trend. From the environmental protection point of view of renewable resources, people-oriented, harmoniously handle the relationship between man and nature, rational use and development of resources and energy, form the style of the times, and take the road of sustainable development.</t>
        </is>
      </c>
      <c r="X251" t="inlineStr">
        <is>
          <t>[Ye, Weisen; Zhang, Xianfa] Guangzhou Huashang Coll, Fac Creat &amp; Design, Guangzhou 1300, Guangdong, Peoples R China</t>
        </is>
      </c>
      <c r="Z251" t="inlineStr">
        <is>
          <t>Zhang, XF (corresponding author), Guangzhou Huashang Coll, Fac Creat &amp; Design, Guangzhou 1300, Guangdong, Peoples R China.</t>
        </is>
      </c>
      <c r="AA251" t="inlineStr">
        <is>
          <t>zxfdesign@163.com</t>
        </is>
      </c>
      <c r="AH251" t="n">
        <v>22</v>
      </c>
      <c r="AI251" t="n">
        <v>0</v>
      </c>
      <c r="AJ251" t="n">
        <v>0</v>
      </c>
      <c r="AK251" t="n">
        <v>4</v>
      </c>
      <c r="AL251" t="n">
        <v>13</v>
      </c>
      <c r="AM251" t="inlineStr">
        <is>
          <t>PARLAR SCIENTIFIC PUBLICATIONS (P S P)</t>
        </is>
      </c>
      <c r="AN251" t="inlineStr">
        <is>
          <t>FREISING</t>
        </is>
      </c>
      <c r="AO251" t="inlineStr">
        <is>
          <t>ANGERSTR. 12, 85354 FREISING, GERMANY</t>
        </is>
      </c>
      <c r="AP251" t="inlineStr">
        <is>
          <t>1018-4619</t>
        </is>
      </c>
      <c r="AQ251" t="inlineStr">
        <is>
          <t>1610-2304</t>
        </is>
      </c>
      <c r="AS251" t="inlineStr">
        <is>
          <t>FRESEN ENVIRON BULL</t>
        </is>
      </c>
      <c r="AT251" t="inlineStr">
        <is>
          <t>Fresenius Environ. Bull.</t>
        </is>
      </c>
      <c r="AV251" t="n">
        <v>2022</v>
      </c>
      <c r="AW251" t="n">
        <v>31</v>
      </c>
      <c r="AX251" t="inlineStr">
        <is>
          <t>6A</t>
        </is>
      </c>
      <c r="BC251" t="n">
        <v>6104</v>
      </c>
      <c r="BD251" t="n">
        <v>6114</v>
      </c>
      <c r="BJ251" t="n">
        <v>11</v>
      </c>
      <c r="BK251" t="inlineStr">
        <is>
          <t>Environmental Sciences</t>
        </is>
      </c>
      <c r="BL251" t="inlineStr">
        <is>
          <t>Science Citation Index Expanded (SCI-EXPANDED)</t>
        </is>
      </c>
      <c r="BM251" t="inlineStr">
        <is>
          <t>Environmental Sciences &amp; Ecology</t>
        </is>
      </c>
      <c r="BN251" t="inlineStr">
        <is>
          <t>2D5LL</t>
        </is>
      </c>
      <c r="BS251" t="inlineStr">
        <is>
          <t>2023-10-26</t>
        </is>
      </c>
      <c r="BT251" t="inlineStr">
        <is>
          <t>WOS:000811588300014</t>
        </is>
      </c>
      <c r="BU251">
        <f>HYPERLINK("https%3A%2F%2Fwww.webofscience.com%2Fwos%2Fwoscc%2Ffull-record%2FWOS:000811588300014","View Full Record in Web of Science")</f>
        <v/>
      </c>
    </row>
    <row r="252">
      <c r="A252" t="inlineStr">
        <is>
          <t>J</t>
        </is>
      </c>
      <c r="B252" t="inlineStr">
        <is>
          <t>Jia, P; Xue, H; Cheng, X; Wang, YG; Wang, YF</t>
        </is>
      </c>
      <c r="F252" t="inlineStr">
        <is>
          <t>Jia, Peng; Xue, Hong; Cheng, Xi; Wang, Yaogang; Wang, Youfa</t>
        </is>
      </c>
      <c r="J252" t="inlineStr">
        <is>
          <t>ENVIRONMENT INTERNATIONAL</t>
        </is>
      </c>
      <c r="M252" t="inlineStr">
        <is>
          <t>English</t>
        </is>
      </c>
      <c r="N252" t="inlineStr">
        <is>
          <t>Article</t>
        </is>
      </c>
      <c r="T252" t="inlineStr">
        <is>
          <t>Association of neighborhood built environments with childhood obesity: Evidence from a 9-year longitudinal, nationally representative survey in the US</t>
        </is>
      </c>
      <c r="U252" t="inlineStr">
        <is>
          <t>Body mass index; Obesity; Built environment; Children; Adolescents; GIS</t>
        </is>
      </c>
      <c r="V252" t="inlineStr">
        <is>
          <t>BODY-MASS INDEX; PHYSICAL-ACTIVITY; PREVENTION PROGRAMS; SOCIAL-ENVIRONMENT; UNITED-STATES; OVERWEIGHT; RISK; BMI; CHILDREN</t>
        </is>
      </c>
      <c r="W252" t="inlineStr">
        <is>
          <t>Background: The built environment is an important contributor to childhood obesity; however, large-scale and longitudinal studies designed to examine their associations remain limited. This study aimed to examine whether walkable neighborhoods were associated with childhood obesity risk over a 9-year period. Methods: We used data collected in the US nationally representative Early Childhood Longitudinal Study - Kindergarten (ECLS-K) Cohort, with 9440 kindergarteners followed up until their 8th grade (1998-2007). Four built environmental variables, street intersection density, residential density, fitness facility density, and recreational facility density, were calculated from national census, business, and road network datasets, and then matched with ECLS-K samples. Mixed-effect models were performed to estimate associations between built environments and child weight status. Results: Children who experienced increased intersection density during 1998-2007 had a lower BMI in 2007 (beta = - 0.49, p &lt; 0.01), especially girls (beta = - 0.79, p &lt; 0.01) and suburban children (beta = - 0.66, p &lt; 0.05). They also had lower obesity risk in 2007 (OR = 0.79 [95% CI = 0.66-0.94]), especially girls (OR = 0.68 [95% CI = 0.52-0.88]). Girls and boys who lived in neighborhoods with the higher (but not highest) residential density in 1998 showed lower obesity risk (OR = 0.54 [95% CI = 0.30-0.98]) and overweight risk (OR = 0.54 [95% CI = 0.30-0.95]) in 2007, respectively. Conclusions: National data indicate that in the US greater walkability in residential neighborhoods may lead to lower child BMI and obesity risk after nine years, and the association was stronger among girls and in suburban regions. This provides useful evidence for future obesity prevention and urban planning.</t>
        </is>
      </c>
      <c r="X252" t="inlineStr">
        <is>
          <t>[Jia, Peng] Univ Twente, Fac Geoinformat Sci &amp; Earth Observat ITC, Dept Earth Observat Sci, NL-7500 AE Enschede, Netherlands; [Jia, Peng] Int Initiat Spatial Lifecourse Epidemiol ISLE, Enschede, Netherlands; [Xue, Hong; Wang, Youfa] Virginia Commonwealth Univ, Sch Med, Dept Hlth Behav &amp; Policy, Richmond, VA 23298 USA; [Cheng, Xi] Univ Buffalo State Univ New York, Dept Geog, Buffalo, NY USA; [Wang, Yaogang] Tianjin Med Univ, Dept Hlth Serv Management, Sch Publ Hlth, Tianjin 300070, Peoples R China; [Wang, Youfa] Ball State Univ, Coll Hlth, Dept Nutr &amp; Hlth Sci, Muncie, IN 47306 USA</t>
        </is>
      </c>
      <c r="Y252" t="inlineStr">
        <is>
          <t>University of Twente; Virginia Commonwealth University; State University of New York (SUNY) System; State University of New York (SUNY) Buffalo; Tianjin Medical University; Ball State University</t>
        </is>
      </c>
      <c r="Z252" t="inlineStr">
        <is>
          <t>Jia, P (corresponding author), Univ Twente, Fac Geoinformat Sci &amp; Earth Observat ITC, Dept Earth Observat Sci, NL-7500 AE Enschede, Netherlands.;Wang, YF (corresponding author), Ball State Univ, Coll Hlth, Fisher Inst Hlth &amp; Well Being,Dept Nutr &amp; Hlth Sc, Syst Oriented Global Childhood Obes Intervent Pro, Muncie, IN 47306 USA.</t>
        </is>
      </c>
      <c r="AA252" t="inlineStr">
        <is>
          <t>jiapengff@hotmail.com; youfawang@gmail.com</t>
        </is>
      </c>
      <c r="AB252" t="inlineStr">
        <is>
          <t>liu, huan/JEO-4705-2023; Jia, Peng/K-1446-2017</t>
        </is>
      </c>
      <c r="AC252" t="inlineStr">
        <is>
          <t>Jia, Peng/0000-0003-0110-3637</t>
        </is>
      </c>
      <c r="AD252" t="inlineStr">
        <is>
          <t>National Institutes of Health (NIH) [U54 HD070725]; State Key Laboratory of Urban and Regional Ecology of China [SKLURE2018-2-5]; Eunice Kennedy Shriver National Institute of Child Health and Human Development (NICHD) [U54 HD070725]; Office of the Director (OD), National Institutes of Health [U54 HD070725]; Lorentz Center; Netherlands Organization for Scientific Research; Royal Netherlands Academy of Arts and Sciences; Chinese Center for Disease Control and Prevention; West China School of Public Health in Sichuan University</t>
        </is>
      </c>
      <c r="AE252" t="inlineStr">
        <is>
          <t>National Institutes of Health (NIH)(United States Department of Health &amp; Human ServicesNational Institutes of Health (NIH) - USA); State Key Laboratory of Urban and Regional Ecology of China; Eunice Kennedy Shriver National Institute of Child Health and Human Development (NICHD)(United States Department of Health &amp; Human ServicesNational Institutes of Health (NIH) - USANIH Eunice Kennedy Shriver National Institute of Child Health &amp; Human Development (NICHD)); Office of the Director (OD), National Institutes of Health(United States Department of Health &amp; Human ServicesNational Institutes of Health (NIH) - USA); Lorentz Center; Netherlands Organization for Scientific Research(Netherlands Organization for Scientific Research (NWO)); Royal Netherlands Academy of Arts and Sciences; Chinese Center for Disease Control and Prevention; West China School of Public Health in Sichuan University</t>
        </is>
      </c>
      <c r="AF252" t="inlineStr">
        <is>
          <t>This work was supported in part by the National Institutes of Health (NIH, U54 HD070725) and the State Key Laboratory of Urban and Regional Ecology of China (SKLURE2018-2-5). The U54 project (U54 HD070725) is funded by the Eunice Kennedy Shriver National Institute of Child Health and Human Development (NICHD) and the Office of the Director (OD), National Institutes of Health. Dr. Youfa Wang is the principle investigator of the U54 project. Peng Jia, Director of the International Initiative on Spatial Lifecourse Epidemiology (ISLE), thanks Lorentz Center, the Netherlands Organization for Scientific Research, the Royal Netherlands Academy of Arts and Sciences, the Chinese Center for Disease Control and Prevention, and the West China School of Public Health in Sichuan University for funding the ISLE and supporting ISLE's research activities.</t>
        </is>
      </c>
      <c r="AH252" t="n">
        <v>51</v>
      </c>
      <c r="AI252" t="n">
        <v>45</v>
      </c>
      <c r="AJ252" t="n">
        <v>46</v>
      </c>
      <c r="AK252" t="n">
        <v>5</v>
      </c>
      <c r="AL252" t="n">
        <v>50</v>
      </c>
      <c r="AM252" t="inlineStr">
        <is>
          <t>PERGAMON-ELSEVIER SCIENCE LTD</t>
        </is>
      </c>
      <c r="AN252" t="inlineStr">
        <is>
          <t>OXFORD</t>
        </is>
      </c>
      <c r="AO252" t="inlineStr">
        <is>
          <t>THE BOULEVARD, LANGFORD LANE, KIDLINGTON, OXFORD OX5 1GB, ENGLAND</t>
        </is>
      </c>
      <c r="AP252" t="inlineStr">
        <is>
          <t>0160-4120</t>
        </is>
      </c>
      <c r="AQ252" t="inlineStr">
        <is>
          <t>1873-6750</t>
        </is>
      </c>
      <c r="AS252" t="inlineStr">
        <is>
          <t>ENVIRON INT</t>
        </is>
      </c>
      <c r="AT252" t="inlineStr">
        <is>
          <t>Environ. Int.</t>
        </is>
      </c>
      <c r="AU252" t="inlineStr">
        <is>
          <t>JUL</t>
        </is>
      </c>
      <c r="AV252" t="n">
        <v>2019</v>
      </c>
      <c r="AW252" t="n">
        <v>128</v>
      </c>
      <c r="BC252" t="n">
        <v>158</v>
      </c>
      <c r="BD252" t="n">
        <v>164</v>
      </c>
      <c r="BF252" t="inlineStr">
        <is>
          <t>10.1016/j.envint.2019.03.067</t>
        </is>
      </c>
      <c r="BG252">
        <f>HYPERLINK("http://dx.doi.org/10.1016/j.envint.2019.03.067","http://dx.doi.org/10.1016/j.envint.2019.03.067")</f>
        <v/>
      </c>
      <c r="BJ252" t="n">
        <v>7</v>
      </c>
      <c r="BK252" t="inlineStr">
        <is>
          <t>Environmental Sciences</t>
        </is>
      </c>
      <c r="BL252" t="inlineStr">
        <is>
          <t>Science Citation Index Expanded (SCI-EXPANDED); Social Science Citation Index (SSCI)</t>
        </is>
      </c>
      <c r="BM252" t="inlineStr">
        <is>
          <t>Environmental Sciences &amp; Ecology</t>
        </is>
      </c>
      <c r="BN252" t="inlineStr">
        <is>
          <t>HY2GY</t>
        </is>
      </c>
      <c r="BO252" t="n">
        <v>31055202</v>
      </c>
      <c r="BP252" t="inlineStr">
        <is>
          <t>gold, Green Published</t>
        </is>
      </c>
      <c r="BS252" t="inlineStr">
        <is>
          <t>2023-10-26</t>
        </is>
      </c>
      <c r="BT252" t="inlineStr">
        <is>
          <t>WOS:000467938500019</t>
        </is>
      </c>
      <c r="BU252">
        <f>HYPERLINK("https%3A%2F%2Fwww.webofscience.com%2Fwos%2Fwoscc%2Ffull-record%2FWOS:000467938500019","View Full Record in Web of Science")</f>
        <v/>
      </c>
    </row>
    <row r="253">
      <c r="A253" t="inlineStr">
        <is>
          <t>J</t>
        </is>
      </c>
      <c r="B253" t="inlineStr">
        <is>
          <t>Wende, ME; Stowe, EW; Eberth, JM; McLain, AC; Liese, AD; Breneman, CB; Josey, MJ; Hughey, SM; Kaczynski, AT</t>
        </is>
      </c>
      <c r="F253" t="inlineStr">
        <is>
          <t>Wende, Marilyn E.; Stowe, Ellen W.; Eberth, Jan M.; McLain, Alexander C.; Liese, Angela D.; Breneman, Charity B.; Josey, Michele J.; Hughey, S. Morgan; Kaczynski, Andrew T.</t>
        </is>
      </c>
      <c r="J253" t="inlineStr">
        <is>
          <t>INTERNATIONAL JOURNAL OF ENVIRONMENTAL HEALTH RESEARCH</t>
        </is>
      </c>
      <c r="M253" t="inlineStr">
        <is>
          <t>English</t>
        </is>
      </c>
      <c r="N253" t="inlineStr">
        <is>
          <t>Article</t>
        </is>
      </c>
      <c r="T253" t="inlineStr">
        <is>
          <t>Spatial clustering patterns and regional variations for food and physical activity environments across the United States</t>
        </is>
      </c>
      <c r="U253" t="inlineStr">
        <is>
          <t>Obesogenic environment; physical activity; healthy eating; index measurement; spatial clustering</t>
        </is>
      </c>
      <c r="V253" t="inlineStr">
        <is>
          <t>BUILT-ENVIRONMENT; CHILDHOOD OBESITY; OBESOGENIC ENVIRONMENTS; NEIGHBORHOOD ENVIRONMENTS; ADOLESCENT OBESITY; ENERGY-INTAKE; DISPARITIES; CHILDREN; PREVALENCE; OVERWEIGHT</t>
        </is>
      </c>
      <c r="W253" t="inlineStr">
        <is>
          <t>This study examined spatial patterns of obesogenic environments for US counties. We mapped the geographic dispersion of food and physical activity (PA) environments, assessed spatial clustering, and identified food and PA environment differences across U.S. regions and rurality categories. Substantial low food score clusters were located in the South and high score clusters in the Midwest and West. Low PA score clusters were located in the South and high score clusters in the Northeast and Midwest (p &lt; .0001). For region, the South had significantly lower food and PA environment scores. For rurality, rural counties had significantly higher food environment scores and metropolitan counties had significantly higher PA environment scores (p &lt; .0001). This study highlights geographic clustering and disparities in food and PA access nationwide. State and region-wide environmental inequalities may be targeted using structural interventions and policy initiatives to improve food and PA access.</t>
        </is>
      </c>
      <c r="X253" t="inlineStr">
        <is>
          <t>[Wende, Marilyn E.; Stowe, Ellen W.; Kaczynski, Andrew T.] Univ South Carolina, Dept Hlth Promot Educ &amp; Behav, Arnold Sch Publ Hlth, 915 Greene St Room 529, Columbia, SC 29208 USA; [Eberth, Jan M.; McLain, Alexander C.; Liese, Angela D.; Josey, Michele J.] Univ South Carolina, Dept Epidemiol &amp; Biostat, Arnold Sch Publ Hlth, Columbia, SC 29208 USA; [Eberth, Jan M.; Breneman, Charity B.; Josey, Michele J.] Univ South Carolina, Rural &amp; Minor Hlth Res Ctr, Arnold Sch Publ Hlth, Columbia, SC 29208 USA; [Hughey, S. Morgan] Coll Charleston, Dept Hlth &amp; Human Performance, Charleston, SC 29401 USA; [Kaczynski, Andrew T.] Univ South Carolina, Prevent Res Ctr, Arnold Sch Publ Hlth, Columbia, SC 29208 USA</t>
        </is>
      </c>
      <c r="Y253" t="inlineStr">
        <is>
          <t>University of South Carolina System; University of South Carolina Columbia; University of South Carolina System; University of South Carolina Columbia; University of South Carolina System; University of South Carolina Columbia; College of Charleston; University of South Carolina System; University of South Carolina Columbia</t>
        </is>
      </c>
      <c r="Z253" t="inlineStr">
        <is>
          <t>Kaczynski, AT (corresponding author), Univ South Carolina, Dept Hlth Promot Educ &amp; Behav, Arnold Sch Publ Hlth, 915 Greene St Room 529, Columbia, SC 29208 USA.</t>
        </is>
      </c>
      <c r="AA253" t="inlineStr">
        <is>
          <t>atkaczyn@mailbox.sc.edu</t>
        </is>
      </c>
      <c r="AB253" t="inlineStr">
        <is>
          <t>McLain, Alexander/AFD-8215-2022; Eberth, Jan M./A-1335-2014</t>
        </is>
      </c>
      <c r="AC253" t="inlineStr">
        <is>
          <t>McLain, Alexander/0000-0002-5475-0670; Eberth, Jan M./0000-0001-9500-4212; Wende, Marilyn/0000-0001-7397-7048; Stowe, Ellen/0000-0002-8587-0501</t>
        </is>
      </c>
      <c r="AD253" t="inlineStr">
        <is>
          <t>Federal Office of Rural Health Policy (FORHP), Health Resources and Services Administration (HRSA), U.S. Department of Health and Human Services (HHS) [U1CRH30539]</t>
        </is>
      </c>
      <c r="AE253" t="inlineStr">
        <is>
          <t>Federal Office of Rural Health Policy (FORHP), Health Resources and Services Administration (HRSA), U.S. Department of Health and Human Services (HHS)</t>
        </is>
      </c>
      <c r="AF253" t="inlineStr">
        <is>
          <t>This study was supported by the Federal Office of Rural Health Policy (FORHP), Health Resources and Services Administration (HRSA), U.S. Department of Health and Human Services (HHS) under cooperative agreement #U1CRH30539. The information, conclusions, and opinions expressed in this brief are those of the authors and no endorsement by FORHP, HRSA, or HHS is intended or should be inferred.</t>
        </is>
      </c>
      <c r="AH253" t="n">
        <v>92</v>
      </c>
      <c r="AI253" t="n">
        <v>9</v>
      </c>
      <c r="AJ253" t="n">
        <v>9</v>
      </c>
      <c r="AK253" t="n">
        <v>0</v>
      </c>
      <c r="AL253" t="n">
        <v>12</v>
      </c>
      <c r="AM253" t="inlineStr">
        <is>
          <t>TAYLOR &amp; FRANCIS LTD</t>
        </is>
      </c>
      <c r="AN253" t="inlineStr">
        <is>
          <t>ABINGDON</t>
        </is>
      </c>
      <c r="AO253" t="inlineStr">
        <is>
          <t>2-4 PARK SQUARE, MILTON PARK, ABINGDON OR14 4RN, OXON, ENGLAND</t>
        </is>
      </c>
      <c r="AP253" t="inlineStr">
        <is>
          <t>0960-3123</t>
        </is>
      </c>
      <c r="AQ253" t="inlineStr">
        <is>
          <t>1369-1619</t>
        </is>
      </c>
      <c r="AS253" t="inlineStr">
        <is>
          <t>INT J ENVIRON HEAL R</t>
        </is>
      </c>
      <c r="AT253" t="inlineStr">
        <is>
          <t>Int. J. Environ. Health Res.</t>
        </is>
      </c>
      <c r="AU253" t="inlineStr">
        <is>
          <t>NOV 17</t>
        </is>
      </c>
      <c r="AV253" t="n">
        <v>2021</v>
      </c>
      <c r="AW253" t="n">
        <v>31</v>
      </c>
      <c r="AX253" t="n">
        <v>8</v>
      </c>
      <c r="BC253" t="n">
        <v>976</v>
      </c>
      <c r="BD253" t="n">
        <v>990</v>
      </c>
      <c r="BF253" t="inlineStr">
        <is>
          <t>10.1080/09603123.2020.1713304</t>
        </is>
      </c>
      <c r="BG253">
        <f>HYPERLINK("http://dx.doi.org/10.1080/09603123.2020.1713304","http://dx.doi.org/10.1080/09603123.2020.1713304")</f>
        <v/>
      </c>
      <c r="BI253" t="inlineStr">
        <is>
          <t>JAN 2020</t>
        </is>
      </c>
      <c r="BJ253" t="n">
        <v>15</v>
      </c>
      <c r="BK253" t="inlineStr">
        <is>
          <t>Environmental Sciences; Public, Environmental &amp; Occupational Health</t>
        </is>
      </c>
      <c r="BL253" t="inlineStr">
        <is>
          <t>Science Citation Index Expanded (SCI-EXPANDED); Social Science Citation Index (SSCI)</t>
        </is>
      </c>
      <c r="BM253" t="inlineStr">
        <is>
          <t>Environmental Sciences &amp; Ecology; Public, Environmental &amp; Occupational Health</t>
        </is>
      </c>
      <c r="BN253" t="inlineStr">
        <is>
          <t>WK8UV</t>
        </is>
      </c>
      <c r="BO253" t="n">
        <v>31964175</v>
      </c>
      <c r="BS253" t="inlineStr">
        <is>
          <t>2023-10-26</t>
        </is>
      </c>
      <c r="BT253" t="inlineStr">
        <is>
          <t>WOS:000508759900001</t>
        </is>
      </c>
      <c r="BU253">
        <f>HYPERLINK("https%3A%2F%2Fwww.webofscience.com%2Fwos%2Fwoscc%2Ffull-record%2FWOS:000508759900001","View Full Record in Web of Science")</f>
        <v/>
      </c>
    </row>
    <row r="254">
      <c r="A254" t="inlineStr">
        <is>
          <t>J</t>
        </is>
      </c>
      <c r="B254" t="inlineStr">
        <is>
          <t>James, P; Hart, JE; Arcaya, MC; Feskanich, D; Laden, F; Subramanian, SV</t>
        </is>
      </c>
      <c r="F254" t="inlineStr">
        <is>
          <t>James, Peter; Hart, Jaime E.; Arcaya, Mariana C.; Feskanich, Diane; Laden, Francine; Subramanian, S. V.</t>
        </is>
      </c>
      <c r="J254" t="inlineStr">
        <is>
          <t>INTERNATIONAL JOURNAL OF ENVIRONMENTAL RESEARCH AND PUBLIC HEALTH</t>
        </is>
      </c>
      <c r="M254" t="inlineStr">
        <is>
          <t>English</t>
        </is>
      </c>
      <c r="N254" t="inlineStr">
        <is>
          <t>Article</t>
        </is>
      </c>
      <c r="T254" t="inlineStr">
        <is>
          <t>Neighborhood Self-Selection: The Role of Pre-Move Health Factors on the Built and Socioeconomic Environment</t>
        </is>
      </c>
      <c r="U254" t="inlineStr">
        <is>
          <t>residential self-selection; built environment; socioeconomic status; body mass index; physical activity</t>
        </is>
      </c>
      <c r="V254" t="inlineStr">
        <is>
          <t>BODY-MASS INDEX; PHYSICAL-ACTIVITY; URBAN SPRAWL; OBESITY; WEIGHT; CAUSAL; TRAVEL; BIAS</t>
        </is>
      </c>
      <c r="W254" t="inlineStr">
        <is>
          <t>Residential self-selection bias is a concern in studies of neighborhoods and health. This bias results from health behaviors predicting neighborhood choice. To quantify this bias, we examined associations between pre-move health factors (body mass index, walking, and total physical activity) and post-move neighborhood factors (County Sprawl Index, Census tract socioeconomic status (SES)) in the Nurses' Health Study (n = 14,159 moves from 1986-2008). Individuals in the highest quartile of pre-move BMI (BMI &gt; 28.4) compared to the lowest quartile (BMI &lt; 22.5) moved to counties that averaged 2.57 points lower on the sprawl index (95% confidence interval -3.55, -1.59) indicating that individuals moved to less dense counties; however, no associations were observed for pre-move walking nor total physical activity. Individuals with higher pre-move BMI tended to move to Census tracts with lower median income and home values and higher levels of poverty. Analyses examining the change in neighborhood environments after a move demonstrated that healthy pre-move behaviors were associated with moves to worse socioeconomic environments. This type of self-selection would bias results downward, underestimating the true relationship between SES and physical activity. Generally, the magnitudes of associations between pre-move health factors and neighborhood measures were small and indicated that residential self-selection was not a major source of bias in analyses in this population.</t>
        </is>
      </c>
      <c r="X254" t="inlineStr">
        <is>
          <t>[James, Peter; Laden, Francine] Harvard Univ, TH Chan Sch Publ Hlth, Dept Epidemiol, Boston, MA 02215 USA; [James, Peter; Hart, Jaime E.; Laden, Francine] Harvard Univ, TH Chan Sch Publ Hlth, Dept Environm Hlth, Boston, MA 02115 USA; [Hart, Jaime E.; Feskanich, Diane; Laden, Francine] Harvard Univ, Brigham &amp; Womens Hosp, Sch Med, Channing Div Network Med,Dept Med, Boston, MA 02215 USA; [Arcaya, Mariana C.; Subramanian, S. V.] Harvard Univ, TH Chan Sch Publ Hlth, Dept Social &amp; Behav Sci, Boston, MA 02215 USA</t>
        </is>
      </c>
      <c r="Y254" t="inlineStr">
        <is>
          <t>Harvard University; Harvard T.H. Chan School of Public Health; Harvard University; Harvard T.H. Chan School of Public Health; Harvard University; Harvard Medical School; Brigham &amp; Women's Hospital; Harvard University; Harvard T.H. Chan School of Public Health</t>
        </is>
      </c>
      <c r="Z254" t="inlineStr">
        <is>
          <t>James, P (corresponding author), Harvard Univ, TH Chan Sch Publ Hlth, Dept Epidemiol, Boston, MA 02215 USA.</t>
        </is>
      </c>
      <c r="AA254" t="inlineStr">
        <is>
          <t>pjames@hsph.harvard.edu; jaime.hart@channing.harvard.edu; marcaya@hsph.harvard.edu; hpdif@channing.harvard.edu; francine.laden@channing.harvard.edu; svsubram@hsph.harvard.edu</t>
        </is>
      </c>
      <c r="AD254" t="inlineStr">
        <is>
          <t>Harvard NHLBI Cardiovascular Epidemiology Training Grant [T32 HL 098048]; NIH [UM1 CA186107, R01 ES017017]; Robert Wood Johnson Investigator Award in Health Policy Research</t>
        </is>
      </c>
      <c r="AE254" t="inlineStr">
        <is>
          <t>Harvard NHLBI Cardiovascular Epidemiology Training Grant; NIH(United States Department of Health &amp; Human ServicesNational Institutes of Health (NIH) - USA); Robert Wood Johnson Investigator Award in Health Policy Research</t>
        </is>
      </c>
      <c r="AF254" t="inlineStr">
        <is>
          <t>The research conducted for this manuscript was supported by the Harvard NHLBI Cardiovascular Epidemiology Training Grant T32 HL 098048, NIH Grants UM1 CA186107 and R01 ES017017, and the Robert Wood Johnson Investigator Award in Health Policy Research.</t>
        </is>
      </c>
      <c r="AH254" t="n">
        <v>30</v>
      </c>
      <c r="AI254" t="n">
        <v>55</v>
      </c>
      <c r="AJ254" t="n">
        <v>55</v>
      </c>
      <c r="AK254" t="n">
        <v>0</v>
      </c>
      <c r="AL254" t="n">
        <v>14</v>
      </c>
      <c r="AM254" t="inlineStr">
        <is>
          <t>MDPI</t>
        </is>
      </c>
      <c r="AN254" t="inlineStr">
        <is>
          <t>BASEL</t>
        </is>
      </c>
      <c r="AO254" t="inlineStr">
        <is>
          <t>ST ALBAN-ANLAGE 66, CH-4052 BASEL, SWITZERLAND</t>
        </is>
      </c>
      <c r="AQ254" t="inlineStr">
        <is>
          <t>1660-4601</t>
        </is>
      </c>
      <c r="AS254" t="inlineStr">
        <is>
          <t>INT J ENV RES PUB HE</t>
        </is>
      </c>
      <c r="AT254" t="inlineStr">
        <is>
          <t>Int. J. Environ. Res. Public Health</t>
        </is>
      </c>
      <c r="AU254" t="inlineStr">
        <is>
          <t>OCT</t>
        </is>
      </c>
      <c r="AV254" t="n">
        <v>2015</v>
      </c>
      <c r="AW254" t="n">
        <v>12</v>
      </c>
      <c r="AX254" t="n">
        <v>10</v>
      </c>
      <c r="BC254" t="n">
        <v>12489</v>
      </c>
      <c r="BD254" t="n">
        <v>12504</v>
      </c>
      <c r="BF254" t="inlineStr">
        <is>
          <t>10.3390/ijerph121012489</t>
        </is>
      </c>
      <c r="BG254">
        <f>HYPERLINK("http://dx.doi.org/10.3390/ijerph121012489","http://dx.doi.org/10.3390/ijerph121012489")</f>
        <v/>
      </c>
      <c r="BJ254" t="n">
        <v>16</v>
      </c>
      <c r="BK254" t="inlineStr">
        <is>
          <t>Environmental Sciences; Public, Environmental &amp; Occupational Health</t>
        </is>
      </c>
      <c r="BL254" t="inlineStr">
        <is>
          <t>Science Citation Index Expanded (SCI-EXPANDED); Social Science Citation Index (SSCI)</t>
        </is>
      </c>
      <c r="BM254" t="inlineStr">
        <is>
          <t>Environmental Sciences &amp; Ecology; Public, Environmental &amp; Occupational Health</t>
        </is>
      </c>
      <c r="BN254" t="inlineStr">
        <is>
          <t>CX1RE</t>
        </is>
      </c>
      <c r="BO254" t="n">
        <v>26457712</v>
      </c>
      <c r="BP254" t="inlineStr">
        <is>
          <t>Green Published, gold</t>
        </is>
      </c>
      <c r="BS254" t="inlineStr">
        <is>
          <t>2023-10-26</t>
        </is>
      </c>
      <c r="BT254" t="inlineStr">
        <is>
          <t>WOS:000365472500032</t>
        </is>
      </c>
      <c r="BU254">
        <f>HYPERLINK("https%3A%2F%2Fwww.webofscience.com%2Fwos%2Fwoscc%2Ffull-record%2FWOS:000365472500032","View Full Record in Web of Science")</f>
        <v/>
      </c>
    </row>
    <row r="255">
      <c r="A255" t="inlineStr">
        <is>
          <t>J</t>
        </is>
      </c>
      <c r="B255" t="inlineStr">
        <is>
          <t>De Vita, M; Rotilio, M; Marchionni, C; De Berardinis, P</t>
        </is>
      </c>
      <c r="F255" t="inlineStr">
        <is>
          <t>De Vita, Mariangela; Rotilio, Marianna; Marchionni, Chiara; De Berardinis, Pierluigi</t>
        </is>
      </c>
      <c r="J255" t="inlineStr">
        <is>
          <t>SUSTAINABILITY</t>
        </is>
      </c>
      <c r="M255" t="inlineStr">
        <is>
          <t>English</t>
        </is>
      </c>
      <c r="N255" t="inlineStr">
        <is>
          <t>Article</t>
        </is>
      </c>
      <c r="T255" t="inlineStr">
        <is>
          <t>Architectural Heritage Indoor Comfort after Retrofit Works: The Case Study of S. Vito Church in L'Aquila, Italy</t>
        </is>
      </c>
      <c r="U255" t="inlineStr">
        <is>
          <t>architectural heritage; conservation; non-destructive diagnostic techniques; energy simulations; indoor comfort</t>
        </is>
      </c>
      <c r="V255" t="inlineStr">
        <is>
          <t>IN-SITU MEASUREMENT; THERMAL TRANSMITTANCE; ENVIRONMENT; BUILDINGS; DIAGNOSIS</t>
        </is>
      </c>
      <c r="W255" t="inlineStr">
        <is>
          <t>The performance redevelopment of Architectural Heritage is a current research topic, in particular for the impact on energy saving and, consequently, on the comfort management of historical buildings. In order to evaluate the energy performance of the built environment and to optimize it in the retrofit, the way of using the heritage structures is fundamental. In particular, the retrofit in religious buildings through the installation of a new heating system often modifies the original microclimate of the internal environment without guaranteeing adequate comfort conditions, due to the peculiarities of these artifacts way of use and to their geometric and construction features. This contribution illustrates analysis on the internal comfort of a church after the retrofit intervention, which has shown energetic and comfort critical issues in relation to the discontinuous use type of the structure. The results of the analysis on the case-study, the church of San Vito in L'Aquila, have shown that the use of systems that exploit the thermal mass is not always sustainable and that it is before essential to in-depth investigate the fruition mode of the environments in order to identify suitable retrofit strategies.</t>
        </is>
      </c>
      <c r="X255" t="inlineStr">
        <is>
          <t>[De Vita, Mariangela; Rotilio, Marianna; De Berardinis, Pierluigi] Univ Aquila, Dept Civil, Bldg &amp; Environm Engn, I-67100 Laquila, Italy</t>
        </is>
      </c>
      <c r="Y255" t="inlineStr">
        <is>
          <t>University of L'Aquila</t>
        </is>
      </c>
      <c r="Z255" t="inlineStr">
        <is>
          <t>De Vita, M (corresponding author), Univ Aquila, Dept Civil, Bldg &amp; Environm Engn, I-67100 Laquila, Italy.</t>
        </is>
      </c>
      <c r="AA255" t="inlineStr">
        <is>
          <t>mariangela.devita@univaq.it; marianna.rotilio@univaq.it; ing.chiaramarchionni@gmail.com; pierluigi.deberardinis@univaq.it</t>
        </is>
      </c>
      <c r="AC255" t="inlineStr">
        <is>
          <t>rotilio, marianna/0000-0002-9343-0768</t>
        </is>
      </c>
      <c r="AH255" t="n">
        <v>48</v>
      </c>
      <c r="AI255" t="n">
        <v>0</v>
      </c>
      <c r="AJ255" t="n">
        <v>0</v>
      </c>
      <c r="AK255" t="n">
        <v>6</v>
      </c>
      <c r="AL255" t="n">
        <v>6</v>
      </c>
      <c r="AM255" t="inlineStr">
        <is>
          <t>MDPI</t>
        </is>
      </c>
      <c r="AN255" t="inlineStr">
        <is>
          <t>BASEL</t>
        </is>
      </c>
      <c r="AO255" t="inlineStr">
        <is>
          <t>ST ALBAN-ANLAGE 66, CH-4052 BASEL, SWITZERLAND</t>
        </is>
      </c>
      <c r="AQ255" t="inlineStr">
        <is>
          <t>2071-1050</t>
        </is>
      </c>
      <c r="AS255" t="inlineStr">
        <is>
          <t>SUSTAINABILITY-BASEL</t>
        </is>
      </c>
      <c r="AT255" t="inlineStr">
        <is>
          <t>Sustainability</t>
        </is>
      </c>
      <c r="AU255" t="inlineStr">
        <is>
          <t>MAY 18</t>
        </is>
      </c>
      <c r="AV255" t="n">
        <v>2023</v>
      </c>
      <c r="AW255" t="n">
        <v>15</v>
      </c>
      <c r="AX255" t="n">
        <v>10</v>
      </c>
      <c r="BE255" t="n">
        <v>8239</v>
      </c>
      <c r="BF255" t="inlineStr">
        <is>
          <t>10.3390/su15108239</t>
        </is>
      </c>
      <c r="BG255">
        <f>HYPERLINK("http://dx.doi.org/10.3390/su15108239","http://dx.doi.org/10.3390/su15108239")</f>
        <v/>
      </c>
      <c r="BJ255" t="n">
        <v>17</v>
      </c>
      <c r="BK255" t="inlineStr">
        <is>
          <t>Green &amp; Sustainable Science &amp; Technology; Environmental Sciences; Environmental Studies</t>
        </is>
      </c>
      <c r="BL255" t="inlineStr">
        <is>
          <t>Science Citation Index Expanded (SCI-EXPANDED); Social Science Citation Index (SSCI)</t>
        </is>
      </c>
      <c r="BM255" t="inlineStr">
        <is>
          <t>Science &amp; Technology - Other Topics; Environmental Sciences &amp; Ecology</t>
        </is>
      </c>
      <c r="BN255" t="inlineStr">
        <is>
          <t>H6WM7</t>
        </is>
      </c>
      <c r="BP255" t="inlineStr">
        <is>
          <t>gold</t>
        </is>
      </c>
      <c r="BS255" t="inlineStr">
        <is>
          <t>2023-10-26</t>
        </is>
      </c>
      <c r="BT255" t="inlineStr">
        <is>
          <t>WOS:000997342400001</t>
        </is>
      </c>
      <c r="BU255">
        <f>HYPERLINK("https%3A%2F%2Fwww.webofscience.com%2Fwos%2Fwoscc%2Ffull-record%2FWOS:000997342400001","View Full Record in Web of Science")</f>
        <v/>
      </c>
    </row>
    <row r="256">
      <c r="A256" t="inlineStr">
        <is>
          <t>J</t>
        </is>
      </c>
      <c r="B256" t="inlineStr">
        <is>
          <t>Robinson, T; Nathan, A; Murray, K; Christian, H</t>
        </is>
      </c>
      <c r="F256" t="inlineStr">
        <is>
          <t>Robinson, Trina; Nathan, Andrea; Murray, Kevin; Christian, Hayley</t>
        </is>
      </c>
      <c r="J256" t="inlineStr">
        <is>
          <t>INTERNATIONAL JOURNAL OF ENVIRONMENTAL RESEARCH AND PUBLIC HEALTH</t>
        </is>
      </c>
      <c r="M256" t="inlineStr">
        <is>
          <t>English</t>
        </is>
      </c>
      <c r="N256" t="inlineStr">
        <is>
          <t>Article</t>
        </is>
      </c>
      <c r="T256" t="inlineStr">
        <is>
          <t>Parents' Perceptions of the Neighbourhood Built Environment Are Associated with the Social and Emotional Development of Young Children</t>
        </is>
      </c>
      <c r="U256" t="inlineStr">
        <is>
          <t>social-emotional development; child development; neighbourhood; built environment; parent; perceptions; children</t>
        </is>
      </c>
      <c r="V256" t="inlineStr">
        <is>
          <t>PHYSICAL-ACTIVITY; GREEN SPACE; HEALTH; IMPACT; QUANTITY; MISMATCH; QUALITY; WALKING; SCALE; YOUTH</t>
        </is>
      </c>
      <c r="W256" t="inlineStr">
        <is>
          <t>The influence of the neighbourhood built environment on young children's physical development has been well-documented; however, there is limited empirical evidence of an association with social and emotional development. Parental perceptions of the neighbourhood built environment may act as facilitators or barriers to young children's play and interactions in their local environment. The aim of this study was to examine the associations between parents' perceptions of the neighbourhood built environment and the social-emotional development of children aged two-to-five years. Parents' positive perceptions of traffic safety (OR 0.74; 95% CI 0.55, 0.98), crime safety (OR 0.79; 95% CI 0.64, 0.99) and land use mix-access (OR 0.74; 95% CI 0.56, 0.98) were associated with lower odds of social-emotional difficulties, while positive perceptions of walking and cycling facilities were associated with higher odds of difficulties (OR 1.26; 95% CI 1.02, 1.55). Positive perceptions of land use mix-access (OR 1.32; 95% CI 1.03, 1.69), street connectivity (OR 1.35; 95% CI 1.10, 1.66) and neighbourhood aesthetics (OR 1.27; 95% CI 1.01, 1.60) were associated with higher odds of prosocial behaviours. Interventions to improve parents' perceptions of built environment features may facilitate opportunities for play and interactions which contribute to healthy social-emotional development.</t>
        </is>
      </c>
      <c r="X256" t="inlineStr">
        <is>
          <t>[Robinson, Trina; Nathan, Andrea; Christian, Hayley] Univ Western Australia, Telethon Kids Inst, Nedlands, WA 6009, Australia; [Robinson, Trina; Murray, Kevin; Christian, Hayley] Univ Western Australia, Sch Populat &amp; Global Hlth, Nedlands, WA 6009, Australia</t>
        </is>
      </c>
      <c r="Y256" t="inlineStr">
        <is>
          <t>University of Western Australia; Telethon Kids Institute; University of Western Australia</t>
        </is>
      </c>
      <c r="Z256" t="inlineStr">
        <is>
          <t>Robinson, T (corresponding author), Univ Western Australia, Telethon Kids Inst, Nedlands, WA 6009, Australia.;Robinson, T (corresponding author), Univ Western Australia, Sch Populat &amp; Global Hlth, Nedlands, WA 6009, Australia.</t>
        </is>
      </c>
      <c r="AA256" t="inlineStr">
        <is>
          <t>trina.robinson@telethonkids.org.au; andrea.nathan@telethonkids.org.au; kevin.murray@uwa.edu.au; hayley.christian@uwa.edu.au</t>
        </is>
      </c>
      <c r="AB256" t="inlineStr">
        <is>
          <t>Christian, Hayley/AAU-6163-2020; Nathan, Andrea/HNI-3366-2023; Robinson, Trina/AGZ-4636-2022; Murray, Kevin/H-5503-2014</t>
        </is>
      </c>
      <c r="AC256" t="inlineStr">
        <is>
          <t>Christian, Hayley/0000-0001-8486-5746; Robinson, Trina/0000-0003-2638-958X; Nathan, Andrea/0000-0002-9360-7228; Murray, Kevin/0000-0002-8856-6046</t>
        </is>
      </c>
      <c r="AD256" t="inlineStr">
        <is>
          <t>Western Australian Health Promotion Foundation [32018]; Australian National Heart Foundation Future Leader Fellowship [100794, 102549]; Australian Government through the Australian Research Council's Centre of Excellence for Children and Families over the Life Course [CE200100025]</t>
        </is>
      </c>
      <c r="AE256" t="inlineStr">
        <is>
          <t>Western Australian Health Promotion Foundation; Australian National Heart Foundation Future Leader Fellowship; Australian Government through the Australian Research Council's Centre of Excellence for Children and Families over the Life Course</t>
        </is>
      </c>
      <c r="AF256" t="inlineStr">
        <is>
          <t>The PLAYCE Study was funded by the Western Australian Health Promotion Foundation (Healthway; No. 32018). Hayley Christian is supported by an Australian National Heart Foundation Future Leader Fellowship (100794 and 102549). This research was supported (partially) by the Australian Government through the Australian Research Council's Centre of Excellence for Children and Families over the Life Course (CE200100025).</t>
        </is>
      </c>
      <c r="AH256" t="n">
        <v>62</v>
      </c>
      <c r="AI256" t="n">
        <v>1</v>
      </c>
      <c r="AJ256" t="n">
        <v>1</v>
      </c>
      <c r="AK256" t="n">
        <v>5</v>
      </c>
      <c r="AL256" t="n">
        <v>18</v>
      </c>
      <c r="AM256" t="inlineStr">
        <is>
          <t>MDPI</t>
        </is>
      </c>
      <c r="AN256" t="inlineStr">
        <is>
          <t>BASEL</t>
        </is>
      </c>
      <c r="AO256" t="inlineStr">
        <is>
          <t>ST ALBAN-ANLAGE 66, CH-4052 BASEL, SWITZERLAND</t>
        </is>
      </c>
      <c r="AQ256" t="inlineStr">
        <is>
          <t>1660-4601</t>
        </is>
      </c>
      <c r="AS256" t="inlineStr">
        <is>
          <t>INT J ENV RES PUB HE</t>
        </is>
      </c>
      <c r="AT256" t="inlineStr">
        <is>
          <t>Int. J. Environ. Res. Public Health</t>
        </is>
      </c>
      <c r="AU256" t="inlineStr">
        <is>
          <t>JUN</t>
        </is>
      </c>
      <c r="AV256" t="n">
        <v>2022</v>
      </c>
      <c r="AW256" t="n">
        <v>19</v>
      </c>
      <c r="AX256" t="n">
        <v>11</v>
      </c>
      <c r="BE256" t="n">
        <v>6476</v>
      </c>
      <c r="BF256" t="inlineStr">
        <is>
          <t>10.3390/ijerph19116476</t>
        </is>
      </c>
      <c r="BG256">
        <f>HYPERLINK("http://dx.doi.org/10.3390/ijerph19116476","http://dx.doi.org/10.3390/ijerph19116476")</f>
        <v/>
      </c>
      <c r="BJ256" t="n">
        <v>14</v>
      </c>
      <c r="BK256" t="inlineStr">
        <is>
          <t>Environmental Sciences; Public, Environmental &amp; Occupational Health</t>
        </is>
      </c>
      <c r="BL256" t="inlineStr">
        <is>
          <t>Science Citation Index Expanded (SCI-EXPANDED); Social Science Citation Index (SSCI)</t>
        </is>
      </c>
      <c r="BM256" t="inlineStr">
        <is>
          <t>Environmental Sciences &amp; Ecology; Public, Environmental &amp; Occupational Health</t>
        </is>
      </c>
      <c r="BN256" t="inlineStr">
        <is>
          <t>1Z4VW</t>
        </is>
      </c>
      <c r="BO256" t="n">
        <v>35682060</v>
      </c>
      <c r="BP256" t="inlineStr">
        <is>
          <t>Green Published, gold</t>
        </is>
      </c>
      <c r="BS256" t="inlineStr">
        <is>
          <t>2023-10-26</t>
        </is>
      </c>
      <c r="BT256" t="inlineStr">
        <is>
          <t>WOS:000808825300001</t>
        </is>
      </c>
      <c r="BU256">
        <f>HYPERLINK("https%3A%2F%2Fwww.webofscience.com%2Fwos%2Fwoscc%2Ffull-record%2FWOS:000808825300001","View Full Record in Web of Science")</f>
        <v/>
      </c>
    </row>
    <row r="257">
      <c r="A257" t="inlineStr">
        <is>
          <t>J</t>
        </is>
      </c>
      <c r="B257" t="inlineStr">
        <is>
          <t>Wu, KM; Wang, Y; Ye, YY; Zhang, OG; Huang, GQ</t>
        </is>
      </c>
      <c r="F257" t="inlineStr">
        <is>
          <t>Wu, Kangmin; Wang, Yang; Ye, Yuyao; Zhang, Hongou; Huang, Guangqing</t>
        </is>
      </c>
      <c r="J257" t="inlineStr">
        <is>
          <t>SUSTAINABILITY</t>
        </is>
      </c>
      <c r="M257" t="inlineStr">
        <is>
          <t>English</t>
        </is>
      </c>
      <c r="N257" t="inlineStr">
        <is>
          <t>Article</t>
        </is>
      </c>
      <c r="T257" t="inlineStr">
        <is>
          <t>Relationship Between the Built Environment and the Location Choice of High-Tech Firms: Evidence from the Pearl River Delta</t>
        </is>
      </c>
      <c r="U257" t="inlineStr">
        <is>
          <t>innovation; high-tech firms; built environment; Pearl River Delta</t>
        </is>
      </c>
      <c r="V257" t="inlineStr">
        <is>
          <t>FOREIGN DIRECT-INVESTMENT; EMPIRICAL-EVIDENCE; INNOVATION DISTRICTS; KNOWLEDGE ECONOMY; PLACE QUALITY; GROWTH; CITY; HETEROGENEITY; DETERMINANTS; INDUSTRY</t>
        </is>
      </c>
      <c r="W257" t="inlineStr">
        <is>
          <t>With the transition in the regional development discourse to knowledge- and innovation-based economics, the cultivation of innovation capacity has gained importance as an initiative to enhance regional sustainability and has emerged as a policy goal. An understanding of the formation of innovation clusters is critical to the cultivation of regional innovation capabilities. Except for the location and regional development conditions' factors, researchers emphasize a built environment's role in the formation of innovation clusters. Based on the spatial database of 12,516 high-tech firms in 2017 in the Pearl River Delta (PRD), this study developed a conceptual framework for the built environment. The framework comprises living, service, perceptual, industrial, and physical aspects. The direction and intensity of the correlation between built environment factors and high-tech firms are discussed using the spatial regression model and geographical detector (GD) technique. The results show a highly concentrated spatial distribution pattern of high-tech firms in the PRD. A significant county-level spatial autocorrelation is revealed through Moran's I. According to the model, we determine the positive impacts of technology support, transport infrastructure, and living service levels on the agglomeration of high-tech firms as well as the negative impact of the public service level. The GD's result demonstrates different levels of impact intensity of built environmental factors. We argue that a comprehensive understanding of the influence of built environment factors on innovation agglomeration will help policymakers develop targeted policies to foster local innovation capabilities and promote sustainable regional development.</t>
        </is>
      </c>
      <c r="X257" t="inlineStr">
        <is>
          <t>[Wu, Kangmin] Chinese Acad Sci, Guangzhou Inst Geochem, Guangzhou 510640, Guangdong, Peoples R China; [Wu, Kangmin; Wang, Yang; Ye, Yuyao; Zhang, Hongou; Huang, Guangqing] Guangzhou Inst Geog, Guangdong Open Lab Geospatial Informat Technol &amp;, Guangzhou 510070, Guangdong, Peoples R China; [Wu, Kangmin] Univ Chinese Acad Sci, Coll Resources &amp; Environm, Beijing 100049, Peoples R China</t>
        </is>
      </c>
      <c r="Y257" t="inlineStr">
        <is>
          <t>Chinese Academy of Sciences; Guangzhou Institute of Geochemistry, CAS; Guangdong Academy of Sciences; Guangzhou Institute of Geography, Guangdong Academy of Sciences; Chinese Academy of Sciences; University of Chinese Academy of Sciences, CAS</t>
        </is>
      </c>
      <c r="Z257" t="inlineStr">
        <is>
          <t>Wang, Y; Ye, YY (corresponding author), Guangzhou Inst Geog, Guangdong Open Lab Geospatial Informat Technol &amp;, Guangzhou 510070, Guangdong, Peoples R China.</t>
        </is>
      </c>
      <c r="AA257" t="inlineStr">
        <is>
          <t>wyxkwy@163.com; yeyuyao@gdas.ac.cn</t>
        </is>
      </c>
      <c r="AB257" t="inlineStr">
        <is>
          <t>吴, 康敏/P-6938-2014</t>
        </is>
      </c>
      <c r="AC257" t="inlineStr">
        <is>
          <t>wang, yang/0000-0002-3651-7517</t>
        </is>
      </c>
      <c r="AD257" t="inlineStr">
        <is>
          <t>Open Fund of Guangdong Provincial Key Laboratory of Urbanization and Geo-simulation [2018-02]; National Natural Science Foundation of China [41871150, 41671128, 41671130]; GDAS' Project of Science and Technology Development [2016GDASRC-0101, 2017GDASCX-0806]</t>
        </is>
      </c>
      <c r="AE257" t="inlineStr">
        <is>
          <t>Open Fund of Guangdong Provincial Key Laboratory of Urbanization and Geo-simulation; National Natural Science Foundation of China(National Natural Science Foundation of China (NSFC)); GDAS' Project of Science and Technology Development</t>
        </is>
      </c>
      <c r="AF257" t="inlineStr">
        <is>
          <t>This research was funded by Open Fund of Guangdong Provincial Key Laboratory of Urbanization and Geo-simulation (2018-02), the National Natural Science Foundation of China (No. 41871150, 41671128 and 41671130); GDAS' Project of Science and Technology Development (2016GDASRC-0101, 2017GDASCX-0806).</t>
        </is>
      </c>
      <c r="AH257" t="n">
        <v>86</v>
      </c>
      <c r="AI257" t="n">
        <v>13</v>
      </c>
      <c r="AJ257" t="n">
        <v>16</v>
      </c>
      <c r="AK257" t="n">
        <v>9</v>
      </c>
      <c r="AL257" t="n">
        <v>40</v>
      </c>
      <c r="AM257" t="inlineStr">
        <is>
          <t>MDPI</t>
        </is>
      </c>
      <c r="AN257" t="inlineStr">
        <is>
          <t>BASEL</t>
        </is>
      </c>
      <c r="AO257" t="inlineStr">
        <is>
          <t>ST ALBAN-ANLAGE 66, CH-4052 BASEL, SWITZERLAND</t>
        </is>
      </c>
      <c r="AP257" t="inlineStr">
        <is>
          <t>2071-1050</t>
        </is>
      </c>
      <c r="AS257" t="inlineStr">
        <is>
          <t>SUSTAINABILITY-BASEL</t>
        </is>
      </c>
      <c r="AT257" t="inlineStr">
        <is>
          <t>Sustainability</t>
        </is>
      </c>
      <c r="AU257" t="inlineStr">
        <is>
          <t>JUL 1</t>
        </is>
      </c>
      <c r="AV257" t="n">
        <v>2019</v>
      </c>
      <c r="AW257" t="n">
        <v>11</v>
      </c>
      <c r="AX257" t="n">
        <v>13</v>
      </c>
      <c r="BE257" t="n">
        <v>3689</v>
      </c>
      <c r="BF257" t="inlineStr">
        <is>
          <t>10.3390/su11133689</t>
        </is>
      </c>
      <c r="BG257">
        <f>HYPERLINK("http://dx.doi.org/10.3390/su11133689","http://dx.doi.org/10.3390/su11133689")</f>
        <v/>
      </c>
      <c r="BJ257" t="n">
        <v>21</v>
      </c>
      <c r="BK257" t="inlineStr">
        <is>
          <t>Green &amp; Sustainable Science &amp; Technology; Environmental Sciences; Environmental Studies</t>
        </is>
      </c>
      <c r="BL257" t="inlineStr">
        <is>
          <t>Science Citation Index Expanded (SCI-EXPANDED); Social Science Citation Index (SSCI)</t>
        </is>
      </c>
      <c r="BM257" t="inlineStr">
        <is>
          <t>Science &amp; Technology - Other Topics; Environmental Sciences &amp; Ecology</t>
        </is>
      </c>
      <c r="BN257" t="inlineStr">
        <is>
          <t>IL1IB</t>
        </is>
      </c>
      <c r="BP257" t="inlineStr">
        <is>
          <t>gold, Green Published</t>
        </is>
      </c>
      <c r="BS257" t="inlineStr">
        <is>
          <t>2023-10-26</t>
        </is>
      </c>
      <c r="BT257" t="inlineStr">
        <is>
          <t>WOS:000477051900183</t>
        </is>
      </c>
      <c r="BU257">
        <f>HYPERLINK("https%3A%2F%2Fwww.webofscience.com%2Fwos%2Fwoscc%2Ffull-record%2FWOS:000477051900183","View Full Record in Web of Science")</f>
        <v/>
      </c>
    </row>
    <row r="258">
      <c r="A258" t="inlineStr">
        <is>
          <t>J</t>
        </is>
      </c>
      <c r="B258" t="inlineStr">
        <is>
          <t>Alhmoud, SH; Çagnan, Ç; Arcan, EF</t>
        </is>
      </c>
      <c r="F258" t="inlineStr">
        <is>
          <t>Alhmoud, Saeed Hussein; Cagnan, Cigdem; Arcan, Enis Faik</t>
        </is>
      </c>
      <c r="J258" t="inlineStr">
        <is>
          <t>EUROPEAN JOURNAL OF SUSTAINABLE DEVELOPMENT</t>
        </is>
      </c>
      <c r="M258" t="inlineStr">
        <is>
          <t>English</t>
        </is>
      </c>
      <c r="N258" t="inlineStr">
        <is>
          <t>Article</t>
        </is>
      </c>
      <c r="T258" t="inlineStr">
        <is>
          <t>Improving Interior Environmental Quality Using Sustainable Design in Jordanian Hospital Bedrooms</t>
        </is>
      </c>
      <c r="U258" t="inlineStr">
        <is>
          <t>Jordan hospital; IEQ; bedroom; interior design; healthcare; green building assessment; DGNB</t>
        </is>
      </c>
      <c r="V258" t="inlineStr">
        <is>
          <t>HEALTH</t>
        </is>
      </c>
      <c r="W258" t="inlineStr">
        <is>
          <t>As the wave of sustainability is sweeping across the major countries and cities of the world, the effect of the inevitable change is finding its way through to the health sector as well. Since the main functions of the hospital include healing the patient, it aims to provide adequate health services to people. Hospitals managers should strive to realize facilities that meet a certain level of demand. This study aims to present the interior environmental quality (IEQ) of bedrooms in Jordanian hospitals and propose a solution to improve indoor environment quality using sustainable design principles. A qualitative research methodology is used in this study. A comparative analysis is made between the original set up of the hospital buildings and the present conditions in which they are in. During the research, it was found that the design to be applied for a hospital should be following the healing environmental characteristics. Besides, the design of hospitals should be made with the climatic conditions of the area in mind. In the advanced countries of the world, hospitals are generally built with extensive research and important factors such as temperature, wind direction and humidity are taken into consideration. The design for a hospital building should be assessed according to the German Green Building Assessment (DGNB) criteria. It has been found that the one-bedroom is ideal for patients because it provides the necessary privacy and also greatly reduces the spread of the disease. In hygienic practices, there should be a first-class healing environment with evidence-based medical research. It was concluded that the practices involving the use of sustainable designs can be followed with the hints received from hospitals in the advanced countries of the world.</t>
        </is>
      </c>
      <c r="X258" t="inlineStr">
        <is>
          <t>[Alhmoud, Saeed Hussein; Cagnan, Cigdem; Arcan, Enis Faik] Near East Univ, Fac Architecture, Dept Architecture, Nicosia, North Cyprus, Turkey</t>
        </is>
      </c>
      <c r="Y258" t="inlineStr">
        <is>
          <t>Near East University</t>
        </is>
      </c>
      <c r="Z258" t="inlineStr">
        <is>
          <t>Alhmoud, SH (corresponding author), Near East Univ, Fac Architecture, Dept Architecture, Nicosia, North Cyprus, Turkey.</t>
        </is>
      </c>
      <c r="AH258" t="n">
        <v>24</v>
      </c>
      <c r="AI258" t="n">
        <v>2</v>
      </c>
      <c r="AJ258" t="n">
        <v>2</v>
      </c>
      <c r="AK258" t="n">
        <v>1</v>
      </c>
      <c r="AL258" t="n">
        <v>12</v>
      </c>
      <c r="AM258" t="inlineStr">
        <is>
          <t>EUROPEAN CENTER SUSTAINABLE DEVELOPMENT</t>
        </is>
      </c>
      <c r="AN258" t="inlineStr">
        <is>
          <t>ROME</t>
        </is>
      </c>
      <c r="AO258" t="inlineStr">
        <is>
          <t>VIA DEI FIORI 34, ROME, 00172, ITALY</t>
        </is>
      </c>
      <c r="AP258" t="inlineStr">
        <is>
          <t>2239-5938</t>
        </is>
      </c>
      <c r="AQ258" t="inlineStr">
        <is>
          <t>2239-6101</t>
        </is>
      </c>
      <c r="AS258" t="inlineStr">
        <is>
          <t>EUR J SUSTAIN DEV</t>
        </is>
      </c>
      <c r="AT258" t="inlineStr">
        <is>
          <t>Eur. J. Sustain. Dev.</t>
        </is>
      </c>
      <c r="AV258" t="n">
        <v>2020</v>
      </c>
      <c r="AW258" t="n">
        <v>9</v>
      </c>
      <c r="AX258" t="n">
        <v>3</v>
      </c>
      <c r="BC258" t="n">
        <v>443</v>
      </c>
      <c r="BD258" t="n">
        <v>456</v>
      </c>
      <c r="BF258" t="inlineStr">
        <is>
          <t>10.14207/ejsd.2020.v9n3p443</t>
        </is>
      </c>
      <c r="BG258">
        <f>HYPERLINK("http://dx.doi.org/10.14207/ejsd.2020.v9n3p443","http://dx.doi.org/10.14207/ejsd.2020.v9n3p443")</f>
        <v/>
      </c>
      <c r="BJ258" t="n">
        <v>14</v>
      </c>
      <c r="BK258" t="inlineStr">
        <is>
          <t>Environmental Sciences</t>
        </is>
      </c>
      <c r="BL258" t="inlineStr">
        <is>
          <t>Emerging Sources Citation Index (ESCI)</t>
        </is>
      </c>
      <c r="BM258" t="inlineStr">
        <is>
          <t>Environmental Sciences &amp; Ecology</t>
        </is>
      </c>
      <c r="BN258" t="inlineStr">
        <is>
          <t>NZ0RH</t>
        </is>
      </c>
      <c r="BP258" t="inlineStr">
        <is>
          <t>gold</t>
        </is>
      </c>
      <c r="BS258" t="inlineStr">
        <is>
          <t>2023-10-26</t>
        </is>
      </c>
      <c r="BT258" t="inlineStr">
        <is>
          <t>WOS:000576799500032</t>
        </is>
      </c>
      <c r="BU258">
        <f>HYPERLINK("https%3A%2F%2Fwww.webofscience.com%2Fwos%2Fwoscc%2Ffull-record%2FWOS:000576799500032","View Full Record in Web of Science")</f>
        <v/>
      </c>
    </row>
    <row r="259">
      <c r="A259" t="inlineStr">
        <is>
          <t>J</t>
        </is>
      </c>
      <c r="B259" t="inlineStr">
        <is>
          <t>Cho, JH; Moon, JW</t>
        </is>
      </c>
      <c r="F259" t="inlineStr">
        <is>
          <t>Cho, Ji Hyeon; Moon, Jin Woo</t>
        </is>
      </c>
      <c r="J259" t="inlineStr">
        <is>
          <t>JOURNAL OF CLEANER PRODUCTION</t>
        </is>
      </c>
      <c r="M259" t="inlineStr">
        <is>
          <t>English</t>
        </is>
      </c>
      <c r="N259" t="inlineStr">
        <is>
          <t>Article</t>
        </is>
      </c>
      <c r="T259" t="inlineStr">
        <is>
          <t>Integrated artificial neural network prediction model of indoor environmental quality in a school building</t>
        </is>
      </c>
      <c r="U259" t="inlineStr">
        <is>
          <t>Integrated neural network; Selective input connection; PMV; Indoor air quality; Comprehensive environments prediction</t>
        </is>
      </c>
      <c r="V259" t="inlineStr">
        <is>
          <t>FINE PARTICULATE MATTER; THERMAL-CONTROL METHODS; ENERGY OPTIMIZATION; AIR-QUALITY; GENETIC ALGORITHM; CONTROL-SYSTEM; HVAC SYSTEMS; COMFORT; FUZZY; SIMULATION</t>
        </is>
      </c>
      <c r="W259" t="inlineStr">
        <is>
          <t>Recently, artificial intelligence (AI)-based methods of building control or prediction have been confirmed to show high prediction accuracy and energy-efficient control performance of a single building environment. However, it can be difficult to optimize the indoor environments by previous approaches in a macroscopic system such as a building in which various physical factors interact according to operating HVAC (heating, ventilation, and air-conditioning). According to these reasons, an innovative integrated prediction and control solution of the building environment is required. This study aimed at developing an integrated model based on artificial neural network (ANN) in a school building, which predicts predicted mean vote (PMV) and concentrations of carbon dioxide (CO2), particulate matter 10 mu m (PM10), and particulate matter 2.5 mu m (PM2.5) after one cycle using current input variables. This model can be developed with training that prevents spurious regression while taking the advantage of supervised learning. In addition, it can overcome the limitations of existing machine learning models and, has utility in predicting the integrated environment of buildings. To achieve this goal, first, the structure of the integrated neural network was designed, and data acquisition was conducted according to the simulation of the target building. Second, the number of hidden layers was searched, which is suitable for predicting each target, by developing initial prediction models. Third, an optimal model was developed using multi-objective genetic algorithm (MOGA). Particularly, the proposed method divides the internal structure of a neural network into independent and detailed prediction models, and it can prevent spurious regression by excluding irrelevant input variables in predicting each target variable. As the accuracy analysis of the optimal prediction model, the root mean square errors (RMSEs) between the predicted data and observed data are as follows: (1) 0.2243 for PMV, (2) 0.8816 for CO2, (3) 0.4645 for PM10, (4) and 0.6646 for PM2.5. Therefore, it was concluded that the proposed model has high accuracy and applicability for building integrated control. Also, this model will be applied to the optimal integrated control of indoor environments and HVAC energy.</t>
        </is>
      </c>
      <c r="X259" t="inlineStr">
        <is>
          <t>[Cho, Ji Hyeon; Moon, Jin Woo] Chung Ang Univ, Sch Architecture &amp; Bldg Sci, Seoul 06974, South Korea</t>
        </is>
      </c>
      <c r="Y259" t="inlineStr">
        <is>
          <t>Chung Ang University</t>
        </is>
      </c>
      <c r="Z259" t="inlineStr">
        <is>
          <t>Moon, JW (corresponding author), Chung Ang Univ, Sch Architecture &amp; Bldg Sci, Seoul 06974, South Korea.</t>
        </is>
      </c>
      <c r="AA259" t="inlineStr">
        <is>
          <t>gilerbert73@cau.ac.kr</t>
        </is>
      </c>
      <c r="AC259" t="inlineStr">
        <is>
          <t>MOON, JIN WOO/0000-0003-3807-0103</t>
        </is>
      </c>
      <c r="AD259" t="inlineStr">
        <is>
          <t>National Research Foundation of Korea - Korean government (MSIT, MOE) [2019M3E7A1113095]; Chung-Ang University; National Research Foundation of Korea [2019M3E7A1113095] Funding Source: Korea Institute of Science &amp; Technology Information (KISTI), National Science &amp; Technology Information Service (NTIS)</t>
        </is>
      </c>
      <c r="AE259" t="inlineStr">
        <is>
          <t>National Research Foundation of Korea - Korean government (MSIT, MOE)(National Research Foundation of Korea); Chung-Ang University(Chung Ang University); National Research Foundation of Korea(National Research Foundation of Korea)</t>
        </is>
      </c>
      <c r="AF259" t="inlineStr">
        <is>
          <t>This work was supported by the National Research Foundation of Korea grant funded by the Korean government (MSIT, MOE) and (No. 2019M3E7A1113095) . This research was supported by the Chung-Ang University Graduate Research Scholarship in 2020.</t>
        </is>
      </c>
      <c r="AH259" t="n">
        <v>61</v>
      </c>
      <c r="AI259" t="n">
        <v>14</v>
      </c>
      <c r="AJ259" t="n">
        <v>14</v>
      </c>
      <c r="AK259" t="n">
        <v>12</v>
      </c>
      <c r="AL259" t="n">
        <v>22</v>
      </c>
      <c r="AM259" t="inlineStr">
        <is>
          <t>ELSEVIER SCI LTD</t>
        </is>
      </c>
      <c r="AN259" t="inlineStr">
        <is>
          <t>OXFORD</t>
        </is>
      </c>
      <c r="AO259" t="inlineStr">
        <is>
          <t>THE BOULEVARD, LANGFORD LANE, KIDLINGTON, OXFORD OX5 1GB, OXON, ENGLAND</t>
        </is>
      </c>
      <c r="AP259" t="inlineStr">
        <is>
          <t>0959-6526</t>
        </is>
      </c>
      <c r="AQ259" t="inlineStr">
        <is>
          <t>1879-1786</t>
        </is>
      </c>
      <c r="AS259" t="inlineStr">
        <is>
          <t>J CLEAN PROD</t>
        </is>
      </c>
      <c r="AT259" t="inlineStr">
        <is>
          <t>J. Clean Prod.</t>
        </is>
      </c>
      <c r="AU259" t="inlineStr">
        <is>
          <t>APR 10</t>
        </is>
      </c>
      <c r="AV259" t="n">
        <v>2022</v>
      </c>
      <c r="AW259" t="n">
        <v>344</v>
      </c>
      <c r="BE259" t="n">
        <v>131083</v>
      </c>
      <c r="BF259" t="inlineStr">
        <is>
          <t>10.1016/j.jclepro.2022.131083</t>
        </is>
      </c>
      <c r="BG259">
        <f>HYPERLINK("http://dx.doi.org/10.1016/j.jclepro.2022.131083","http://dx.doi.org/10.1016/j.jclepro.2022.131083")</f>
        <v/>
      </c>
      <c r="BI259" t="inlineStr">
        <is>
          <t>MAR 2022</t>
        </is>
      </c>
      <c r="BJ259" t="n">
        <v>11</v>
      </c>
      <c r="BK259" t="inlineStr">
        <is>
          <t>Green &amp; Sustainable Science &amp; Technology; Engineering, Environmental; Environmental Sciences</t>
        </is>
      </c>
      <c r="BL259" t="inlineStr">
        <is>
          <t>Science Citation Index Expanded (SCI-EXPANDED)</t>
        </is>
      </c>
      <c r="BM259" t="inlineStr">
        <is>
          <t>Science &amp; Technology - Other Topics; Engineering; Environmental Sciences &amp; Ecology</t>
        </is>
      </c>
      <c r="BN259" t="inlineStr">
        <is>
          <t>2Q1HG</t>
        </is>
      </c>
      <c r="BS259" t="inlineStr">
        <is>
          <t>2023-10-26</t>
        </is>
      </c>
      <c r="BT259" t="inlineStr">
        <is>
          <t>WOS:000820178400003</t>
        </is>
      </c>
      <c r="BU259">
        <f>HYPERLINK("https%3A%2F%2Fwww.webofscience.com%2Fwos%2Fwoscc%2Ffull-record%2FWOS:000820178400003","View Full Record in Web of Science")</f>
        <v/>
      </c>
    </row>
    <row r="260">
      <c r="A260" t="inlineStr">
        <is>
          <t>J</t>
        </is>
      </c>
      <c r="B260" t="inlineStr">
        <is>
          <t>He, N</t>
        </is>
      </c>
      <c r="F260" t="inlineStr">
        <is>
          <t>He, Na</t>
        </is>
      </c>
      <c r="J260" t="inlineStr">
        <is>
          <t>FRESENIUS ENVIRONMENTAL BULLETIN</t>
        </is>
      </c>
      <c r="M260" t="inlineStr">
        <is>
          <t>English</t>
        </is>
      </c>
      <c r="N260" t="inlineStr">
        <is>
          <t>Article</t>
        </is>
      </c>
      <c r="T260" t="inlineStr">
        <is>
          <t>APPLICATION OF ECOLOGICAL ENVIRONMENT MATERIALS IN INTERIOR DESIGN</t>
        </is>
      </c>
      <c r="U260" t="inlineStr">
        <is>
          <t>Ecology; materials; recycling; regeneration; interior design</t>
        </is>
      </c>
      <c r="W260" t="inlineStr">
        <is>
          <t>The goal of sustainable development of interior design is to discharge the least pollutants and wastes during the process, consume the least natural resources, realize the recycling of resources, and reduce the human living environment harmed by pollutants. Therefore, research on interior design materials has a certain vision for the promotion of sustainable development. The ecological research of interior design materials belongs to a branch of ecological material science. Its new developments in theory and practice have not only improved the relevant theories and research systems of ecological material science, but also promoted the fundamental transformation of space design to a certain extent. This study takes the materials in the decoration industry as the entry point, selects ecological materials with the concept of ecological sustainability, deeply excavates the natural and social attributes of the materials, and applies them to the indoor space. From space interface planning, material selection, material performance analysis, energy saving and environmental protection to the creation of indoor atmosphere, it demonstrates the superiority and forward-looking of the space generated by ecological materials.</t>
        </is>
      </c>
      <c r="X260" t="inlineStr">
        <is>
          <t>[He, Na] Changchun Univ, Tourism Coll, Environm Design Teaching &amp; Res Sect, Changchun 130000, Jilin, Peoples R China</t>
        </is>
      </c>
      <c r="Y260" t="inlineStr">
        <is>
          <t>Changchun University</t>
        </is>
      </c>
      <c r="Z260" t="inlineStr">
        <is>
          <t>He, N (corresponding author), Changchun Univ, Tourism Coll, Environm Design Teaching &amp; Res Sect, Changchun 130000, Jilin, Peoples R China.</t>
        </is>
      </c>
      <c r="AA260" t="inlineStr">
        <is>
          <t>na17790091858@163.com</t>
        </is>
      </c>
      <c r="AH260" t="n">
        <v>19</v>
      </c>
      <c r="AI260" t="n">
        <v>0</v>
      </c>
      <c r="AJ260" t="n">
        <v>0</v>
      </c>
      <c r="AK260" t="n">
        <v>5</v>
      </c>
      <c r="AL260" t="n">
        <v>12</v>
      </c>
      <c r="AM260" t="inlineStr">
        <is>
          <t>PARLAR SCIENTIFIC PUBLICATIONS (P S P)</t>
        </is>
      </c>
      <c r="AN260" t="inlineStr">
        <is>
          <t>FREISING</t>
        </is>
      </c>
      <c r="AO260" t="inlineStr">
        <is>
          <t>ANGERSTR. 12, 85354 FREISING, GERMANY</t>
        </is>
      </c>
      <c r="AP260" t="inlineStr">
        <is>
          <t>1018-4619</t>
        </is>
      </c>
      <c r="AQ260" t="inlineStr">
        <is>
          <t>1610-2304</t>
        </is>
      </c>
      <c r="AS260" t="inlineStr">
        <is>
          <t>FRESEN ENVIRON BULL</t>
        </is>
      </c>
      <c r="AT260" t="inlineStr">
        <is>
          <t>Fresenius Environ. Bull.</t>
        </is>
      </c>
      <c r="AV260" t="n">
        <v>2022</v>
      </c>
      <c r="AW260" t="n">
        <v>31</v>
      </c>
      <c r="AX260" t="n">
        <v>4</v>
      </c>
      <c r="BC260" t="n">
        <v>3902</v>
      </c>
      <c r="BD260" t="n">
        <v>3909</v>
      </c>
      <c r="BJ260" t="n">
        <v>8</v>
      </c>
      <c r="BK260" t="inlineStr">
        <is>
          <t>Environmental Sciences</t>
        </is>
      </c>
      <c r="BL260" t="inlineStr">
        <is>
          <t>Science Citation Index Expanded (SCI-EXPANDED)</t>
        </is>
      </c>
      <c r="BM260" t="inlineStr">
        <is>
          <t>Environmental Sciences &amp; Ecology</t>
        </is>
      </c>
      <c r="BN260" t="inlineStr">
        <is>
          <t>0L7DB</t>
        </is>
      </c>
      <c r="BS260" t="inlineStr">
        <is>
          <t>2023-10-26</t>
        </is>
      </c>
      <c r="BT260" t="inlineStr">
        <is>
          <t>WOS:000781629900004</t>
        </is>
      </c>
      <c r="BU260">
        <f>HYPERLINK("https%3A%2F%2Fwww.webofscience.com%2Fwos%2Fwoscc%2Ffull-record%2FWOS:000781629900004","View Full Record in Web of Science")</f>
        <v/>
      </c>
    </row>
    <row r="261">
      <c r="A261" t="inlineStr">
        <is>
          <t>J</t>
        </is>
      </c>
      <c r="B261" t="inlineStr">
        <is>
          <t>Kaushik, AK; Arif, M; Syal, MMG; Rana, MQ; Oladinrin, OT; Sharif, AA; Alshdiefat, AS</t>
        </is>
      </c>
      <c r="F261" t="inlineStr">
        <is>
          <t>Kaushik, Amit Kant; Arif, Mohammed; Syal, Matt M. G.; Rana, Muhammad Qasim; Oladinrin, Olugbenga Timo; Sharif, Ahlam Ammar; Alshdiefat, Ala'a Saleh</t>
        </is>
      </c>
      <c r="J261" t="inlineStr">
        <is>
          <t>SUSTAINABILITY</t>
        </is>
      </c>
      <c r="M261" t="inlineStr">
        <is>
          <t>English</t>
        </is>
      </c>
      <c r="N261" t="inlineStr">
        <is>
          <t>Article</t>
        </is>
      </c>
      <c r="T261" t="inlineStr">
        <is>
          <t>Effect of Indoor Environment on Occupant Air Comfort and Productivity in Office Buildings: A Response Surface Analysis Approach</t>
        </is>
      </c>
      <c r="U261" t="inlineStr">
        <is>
          <t>indoor environmental quality; occupant productivity; indoor air comfort; response surface methodology; occupant health</t>
        </is>
      </c>
      <c r="V261" t="inlineStr">
        <is>
          <t>VENTILATION SYSTEMS; POSTOCCUPANCY EVALUATION; RESIDENTIAL BUILDINGS; CO2 CONCENTRATIONS; GREEN BUILDINGS; QUALITY; HEALTH; IMPACT; METHODOLOGY; HUMIDITY</t>
        </is>
      </c>
      <c r="W261" t="inlineStr">
        <is>
          <t>Indoor air quality is a significant factor influencing occupant comfort, health and productivity. Indoor air comfort and its relationship to occupant comfort and productivity are widely documented. Statistical correlation between the two has been highlighted in scientific literature. This paper investigates any unique correlations between non-air quality parameters (such as lux level, temperature, and noise level) and indoor air comfort and presents a study investigating the effect of indoor environmental quality on occupant air comfort and productivity. This study was conducted by collecting data on indoor environmental parameters using remote sensors and an online survey for occupant responses for twelve months. Data analysis was performed using Response Surface Analysis to present mathematical relationships between indoor environmental quality parameters and occupant air comfort. Results show that carbon dioxide up to 600 ppm, VOC up to 25% (by volume) and humidity up to 60% have a positive impact on occupant air comfort and productivity. Our research highlighted that some non-air quality parameters, such as outdoor temperature and lux levels, affect occupant air comfort. These results would enable built environment professionals to design and operate offices (subtropical desert climate) conducive to occupant comfort and productivity.</t>
        </is>
      </c>
      <c r="X261" t="inlineStr">
        <is>
          <t>[Kaushik, Amit Kant] Northumbria Univ, Fac Engn &amp; Environm, Dept Architecture &amp; Built Environm, Newcastle Upon Tyne NE1 8ST, England; [Arif, Mohammed] Univ Brighton, Sch Architecture Technol &amp; Engn, C50523 Cockroft Bldg, Lewes Rd, Brighton BN2 4GJ, England; [Syal, Matt M. G.] Michigan State Univ, Sch Planning Design &amp; Construction, Dept Civil &amp; Environm Engn, Human Ecol Bldg, 552, Circle Dr, Room 213, E Lansing, MI USA; [Rana, Muhammad Qasim] Univ Coll Estate Management, Sch Built Environm, Reading RG1 4BS, England; [Oladinrin, Olugbenga Timo] Univ Plymouth, Sch Architecture &amp; Built Environm, Plymouth PL4, England; [Sharif, Ahlam Ammar] Hashemite Univ, Fac Engn, Dept Architectural Engn, Zarqa 13133, Jordan; [Alshdiefat, Ala'a Saleh] Philadelphia Univ, Fac Engn &amp; Technol, Dept Civil Engn, Amman 19392, Jordan</t>
        </is>
      </c>
      <c r="Y261" t="inlineStr">
        <is>
          <t>Northumbria University; University of Brighton; Michigan State University; University of Plymouth; Hashemite University; Philadelphia University Jordan</t>
        </is>
      </c>
      <c r="Z261" t="inlineStr">
        <is>
          <t>Kaushik, AK (corresponding author), Northumbria Univ, Fac Engn &amp; Environm, Dept Architecture &amp; Built Environm, Newcastle Upon Tyne NE1 8ST, England.</t>
        </is>
      </c>
      <c r="AA261" t="inlineStr">
        <is>
          <t>amit.kaushik@northumbria.ac.uk</t>
        </is>
      </c>
      <c r="AB261" t="inlineStr">
        <is>
          <t>Kaushik, Amit Kant/IAR-5466-2023; sharif, ahlam ammar/HZL-8420-2023</t>
        </is>
      </c>
      <c r="AC261" t="inlineStr">
        <is>
          <t>Kaushik, Amit Kant/0000-0001-6110-803X; sharif, ahlam ammar/0000-0001-7538-0966; Oladinrin, Olugbenga Timo/0000-0003-3555-2430</t>
        </is>
      </c>
      <c r="AH261" t="n">
        <v>92</v>
      </c>
      <c r="AI261" t="n">
        <v>0</v>
      </c>
      <c r="AJ261" t="n">
        <v>0</v>
      </c>
      <c r="AK261" t="n">
        <v>8</v>
      </c>
      <c r="AL261" t="n">
        <v>20</v>
      </c>
      <c r="AM261" t="inlineStr">
        <is>
          <t>MDPI</t>
        </is>
      </c>
      <c r="AN261" t="inlineStr">
        <is>
          <t>BASEL</t>
        </is>
      </c>
      <c r="AO261" t="inlineStr">
        <is>
          <t>ST ALBAN-ANLAGE 66, CH-4052 BASEL, SWITZERLAND</t>
        </is>
      </c>
      <c r="AQ261" t="inlineStr">
        <is>
          <t>2071-1050</t>
        </is>
      </c>
      <c r="AS261" t="inlineStr">
        <is>
          <t>SUSTAINABILITY-BASEL</t>
        </is>
      </c>
      <c r="AT261" t="inlineStr">
        <is>
          <t>Sustainability</t>
        </is>
      </c>
      <c r="AU261" t="inlineStr">
        <is>
          <t>DEC</t>
        </is>
      </c>
      <c r="AV261" t="n">
        <v>2022</v>
      </c>
      <c r="AW261" t="n">
        <v>14</v>
      </c>
      <c r="AX261" t="n">
        <v>23</v>
      </c>
      <c r="BE261" t="n">
        <v>15719</v>
      </c>
      <c r="BF261" t="inlineStr">
        <is>
          <t>10.3390/su142315719</t>
        </is>
      </c>
      <c r="BG261">
        <f>HYPERLINK("http://dx.doi.org/10.3390/su142315719","http://dx.doi.org/10.3390/su142315719")</f>
        <v/>
      </c>
      <c r="BJ261" t="n">
        <v>24</v>
      </c>
      <c r="BK261" t="inlineStr">
        <is>
          <t>Green &amp; Sustainable Science &amp; Technology; Environmental Sciences; Environmental Studies</t>
        </is>
      </c>
      <c r="BL261" t="inlineStr">
        <is>
          <t>Science Citation Index Expanded (SCI-EXPANDED); Social Science Citation Index (SSCI)</t>
        </is>
      </c>
      <c r="BM261" t="inlineStr">
        <is>
          <t>Science &amp; Technology - Other Topics; Environmental Sciences &amp; Ecology</t>
        </is>
      </c>
      <c r="BN261" t="inlineStr">
        <is>
          <t>6X0ZQ</t>
        </is>
      </c>
      <c r="BP261" t="inlineStr">
        <is>
          <t>Green Published, gold, Green Accepted</t>
        </is>
      </c>
      <c r="BS261" t="inlineStr">
        <is>
          <t>2023-10-26</t>
        </is>
      </c>
      <c r="BT261" t="inlineStr">
        <is>
          <t>WOS:000896152300001</t>
        </is>
      </c>
      <c r="BU261">
        <f>HYPERLINK("https%3A%2F%2Fwww.webofscience.com%2Fwos%2Fwoscc%2Ffull-record%2FWOS:000896152300001","View Full Record in Web of Science")</f>
        <v/>
      </c>
    </row>
    <row r="262">
      <c r="A262" t="inlineStr">
        <is>
          <t>J</t>
        </is>
      </c>
      <c r="B262" t="inlineStr">
        <is>
          <t>Shen, YY</t>
        </is>
      </c>
      <c r="F262" t="inlineStr">
        <is>
          <t>Shen, Yuying</t>
        </is>
      </c>
      <c r="J262" t="inlineStr">
        <is>
          <t>INTERNATIONAL JOURNAL OF ENVIRONMENTAL HEALTH RESEARCH</t>
        </is>
      </c>
      <c r="M262" t="inlineStr">
        <is>
          <t>English</t>
        </is>
      </c>
      <c r="N262" t="inlineStr">
        <is>
          <t>Article</t>
        </is>
      </c>
      <c r="T262" t="inlineStr">
        <is>
          <t>Race/ethnicity, built environment in neighborhood, and children's mental health in the US</t>
        </is>
      </c>
      <c r="U262" t="inlineStr">
        <is>
          <t>Neighborhood Built Environment; Mental Health; Children &amp; Adolescents; Race; Ethnicity; American Society</t>
        </is>
      </c>
      <c r="V262" t="inlineStr">
        <is>
          <t>ADVERSE CHILDHOOD EXPERIENCES; PHYSICAL-ACTIVITY; SOCIOECONOMIC-STATUS; RISK-FACTORS; JUSTICE; FRAMEWORK; DISPARITIES; URBAN; RACE; MALTREATMENT</t>
        </is>
      </c>
      <c r="W262" t="inlineStr">
        <is>
          <t>The prevention and treatment of mental health disorders in childhood and adolescence is one among the major public health challenges in the United States today. Prior research has suggested that neighborhood is very important for children and adolescents' mental health. The present study extends the research on neighborhood and mental health by examining the association between childhood mental health and the identified specific built environment attributes in neighborhood as well as its intersection with race/ethnicity in the United States. Statistical analyses results of data from the 2016 National Survey of Children Health (NSCH) indicate that children's mental health and the built environment in neighborhood vary across racial/ethnic groups, with minority groups being more likely to live in the disadvantaged neighborhoods and to experience more mental health disorders, particularly American Indian children. Further, the relationship between built environment neighborhood mental health among children varies across race/ethnicity in the United States.</t>
        </is>
      </c>
      <c r="X262" t="inlineStr">
        <is>
          <t>[Shen, Yuying] Norfolk State Univ, Dept Sociol, Norfolk, VA 23504 USA</t>
        </is>
      </c>
      <c r="Y262" t="inlineStr">
        <is>
          <t>Norfolk State University</t>
        </is>
      </c>
      <c r="Z262" t="inlineStr">
        <is>
          <t>Shen, YY (corresponding author), Norfolk State Univ, Dept Sociol, Norfolk, VA 23504 USA.</t>
        </is>
      </c>
      <c r="AA262" t="inlineStr">
        <is>
          <t>yshen@nsu.edu</t>
        </is>
      </c>
      <c r="AH262" t="n">
        <v>71</v>
      </c>
      <c r="AI262" t="n">
        <v>4</v>
      </c>
      <c r="AJ262" t="n">
        <v>4</v>
      </c>
      <c r="AK262" t="n">
        <v>4</v>
      </c>
      <c r="AL262" t="n">
        <v>19</v>
      </c>
      <c r="AM262" t="inlineStr">
        <is>
          <t>TAYLOR &amp; FRANCIS LTD</t>
        </is>
      </c>
      <c r="AN262" t="inlineStr">
        <is>
          <t>ABINGDON</t>
        </is>
      </c>
      <c r="AO262" t="inlineStr">
        <is>
          <t>2-4 PARK SQUARE, MILTON PARK, ABINGDON OR14 4RN, OXON, ENGLAND</t>
        </is>
      </c>
      <c r="AP262" t="inlineStr">
        <is>
          <t>0960-3123</t>
        </is>
      </c>
      <c r="AQ262" t="inlineStr">
        <is>
          <t>1369-1619</t>
        </is>
      </c>
      <c r="AS262" t="inlineStr">
        <is>
          <t>INT J ENVIRON HEAL R</t>
        </is>
      </c>
      <c r="AT262" t="inlineStr">
        <is>
          <t>Int. J. Environ. Health Res.</t>
        </is>
      </c>
      <c r="AU262" t="inlineStr">
        <is>
          <t>FEB 1</t>
        </is>
      </c>
      <c r="AV262" t="n">
        <v>2022</v>
      </c>
      <c r="AW262" t="n">
        <v>32</v>
      </c>
      <c r="AX262" t="n">
        <v>2</v>
      </c>
      <c r="BC262" t="n">
        <v>277</v>
      </c>
      <c r="BD262" t="n">
        <v>291</v>
      </c>
      <c r="BF262" t="inlineStr">
        <is>
          <t>10.1080/09603123.2020.1753663</t>
        </is>
      </c>
      <c r="BG262">
        <f>HYPERLINK("http://dx.doi.org/10.1080/09603123.2020.1753663","http://dx.doi.org/10.1080/09603123.2020.1753663")</f>
        <v/>
      </c>
      <c r="BI262" t="inlineStr">
        <is>
          <t>MAY 2020</t>
        </is>
      </c>
      <c r="BJ262" t="n">
        <v>15</v>
      </c>
      <c r="BK262" t="inlineStr">
        <is>
          <t>Environmental Sciences; Public, Environmental &amp; Occupational Health</t>
        </is>
      </c>
      <c r="BL262" t="inlineStr">
        <is>
          <t>Science Citation Index Expanded (SCI-EXPANDED)</t>
        </is>
      </c>
      <c r="BM262" t="inlineStr">
        <is>
          <t>Environmental Sciences &amp; Ecology; Public, Environmental &amp; Occupational Health</t>
        </is>
      </c>
      <c r="BN262" t="inlineStr">
        <is>
          <t>YK6MX</t>
        </is>
      </c>
      <c r="BO262" t="n">
        <v>32351120</v>
      </c>
      <c r="BS262" t="inlineStr">
        <is>
          <t>2023-10-26</t>
        </is>
      </c>
      <c r="BT262" t="inlineStr">
        <is>
          <t>WOS:000532101000001</t>
        </is>
      </c>
      <c r="BU262">
        <f>HYPERLINK("https%3A%2F%2Fwww.webofscience.com%2Fwos%2Fwoscc%2Ffull-record%2FWOS:000532101000001","View Full Record in Web of Science")</f>
        <v/>
      </c>
    </row>
    <row r="263">
      <c r="A263" t="inlineStr">
        <is>
          <t>J</t>
        </is>
      </c>
      <c r="B263" t="inlineStr">
        <is>
          <t>Xie, HJ; Shao, R; Yang, YP; Cruz, R; Zhou, XL</t>
        </is>
      </c>
      <c r="F263" t="inlineStr">
        <is>
          <t>Xie, Hongjie; Shao, Rui; Yang, Yiping; Cruz, Ramio; Zhou, Xilin</t>
        </is>
      </c>
      <c r="J263" t="inlineStr">
        <is>
          <t>INTERNATIONAL JOURNAL OF ENVIRONMENTAL RESEARCH AND PUBLIC HEALTH</t>
        </is>
      </c>
      <c r="M263" t="inlineStr">
        <is>
          <t>English</t>
        </is>
      </c>
      <c r="N263" t="inlineStr">
        <is>
          <t>Article</t>
        </is>
      </c>
      <c r="T263" t="inlineStr">
        <is>
          <t>Impacts of Built Environment on Risk of Women's Lung Cancer: A Case Study of China</t>
        </is>
      </c>
      <c r="U263" t="inlineStr">
        <is>
          <t>built environment; impact factors; lung cancer incidence; exploratory regression analysis</t>
        </is>
      </c>
      <c r="V263" t="inlineStr">
        <is>
          <t>LONG-TERM EXPOSURE; PHYSICAL-ACTIVITY; AIR-POLLUTION; EUROPEAN COHORTS; LAND-USE; HEALTH; MORTALITY; VENTILATION; PERFORMANCE</t>
        </is>
      </c>
      <c r="W263" t="inlineStr">
        <is>
          <t>Built environment factors such as air pollution are associated with the risk of respiratory disease, but few studies have carried out profound investigation. We aimed to evaluate the association between the built environment and Chinese women's lung cancer incidence data from the China Cancer Registry Annual Report 2017, which covered 345,711,600 people and 449 qualified cancer registries in mainland China. The air quality indicator (PM2.5) and other built environment data are obtained from the China Statistical Yearbook and other official approved materials. An exploratory regression tool is applied by using Chinese women's lung cancer incidence data (Segi population) as the dependent variable, PM2.5 index and other built environment factors as the independent variables. An apparent clustering region with a high incidence of women's lung cancer was discovered, including regions surrounding Bohai bay and the three Chinese northeastern provinces, Heilongjiang, Liaoning and Inner Mongolia. Besides air quality, built environment factors were found to have a weak but clear impact on lung cancer incidence. Land-use intensity and the greening coverage ratio were positive, and the urbanization rate and population density were negatively correlated with lung cancer incidence. The role of green spaces in Chinese women's lung cancer incidence has not been proven.</t>
        </is>
      </c>
      <c r="X263" t="inlineStr">
        <is>
          <t>[Xie, Hongjie; Shao, Rui; Cruz, Ramio; Zhou, Xilin] Wuhan Univ Technol, Sch Civil Engn &amp; Architecture, Wuhan 430070, Peoples R China; [Yang, Yiping] Chinese Ctr Dis Control &amp; Prevent, Wuhan Branch, Wuhan 430010, Peoples R China</t>
        </is>
      </c>
      <c r="Y263" t="inlineStr">
        <is>
          <t>Wuhan University of Technology; Chinese Center for Disease Control &amp; Prevention</t>
        </is>
      </c>
      <c r="Z263" t="inlineStr">
        <is>
          <t>Xie, HJ (corresponding author), Wuhan Univ Technol, Sch Civil Engn &amp; Architecture, Wuhan 430070, Peoples R China.</t>
        </is>
      </c>
      <c r="AA263" t="inlineStr">
        <is>
          <t>h.j.xie@whut.edu.cn; ssrui@whut.edu.cn; xyzbb@126.com; arch.ramiro@gmail.com; zhou.xilin@whut.edu.cn</t>
        </is>
      </c>
      <c r="AB263" t="inlineStr">
        <is>
          <t>zhou, xilin/GXH-1551-2022</t>
        </is>
      </c>
      <c r="AC263" t="inlineStr">
        <is>
          <t>zhou, xilin/0000-0003-3166-0194; Cruz, Ramiro/0000-0002-2096-083X; Xie, Hongjie/0000-0002-2165-0665</t>
        </is>
      </c>
      <c r="AD263" t="inlineStr">
        <is>
          <t>Research Program of Wuhan Urban Construction Bureau [201933]</t>
        </is>
      </c>
      <c r="AE263" t="inlineStr">
        <is>
          <t>Research Program of Wuhan Urban Construction Bureau</t>
        </is>
      </c>
      <c r="AF263" t="inlineStr">
        <is>
          <t>This research was funded by the Research Program of Wuhan Urban Construction Bureau. Funding number 201933.</t>
        </is>
      </c>
      <c r="AH263" t="n">
        <v>45</v>
      </c>
      <c r="AI263" t="n">
        <v>0</v>
      </c>
      <c r="AJ263" t="n">
        <v>0</v>
      </c>
      <c r="AK263" t="n">
        <v>8</v>
      </c>
      <c r="AL263" t="n">
        <v>39</v>
      </c>
      <c r="AM263" t="inlineStr">
        <is>
          <t>MDPI</t>
        </is>
      </c>
      <c r="AN263" t="inlineStr">
        <is>
          <t>BASEL</t>
        </is>
      </c>
      <c r="AO263" t="inlineStr">
        <is>
          <t>ST ALBAN-ANLAGE 66, CH-4052 BASEL, SWITZERLAND</t>
        </is>
      </c>
      <c r="AQ263" t="inlineStr">
        <is>
          <t>1660-4601</t>
        </is>
      </c>
      <c r="AS263" t="inlineStr">
        <is>
          <t>INT J ENV RES PUB HE</t>
        </is>
      </c>
      <c r="AT263" t="inlineStr">
        <is>
          <t>Int. J. Environ. Res. Public Health</t>
        </is>
      </c>
      <c r="AU263" t="inlineStr">
        <is>
          <t>JUN</t>
        </is>
      </c>
      <c r="AV263" t="n">
        <v>2022</v>
      </c>
      <c r="AW263" t="n">
        <v>19</v>
      </c>
      <c r="AX263" t="n">
        <v>12</v>
      </c>
      <c r="BE263" t="n">
        <v>7157</v>
      </c>
      <c r="BF263" t="inlineStr">
        <is>
          <t>10.3390/ijerph19127157</t>
        </is>
      </c>
      <c r="BG263">
        <f>HYPERLINK("http://dx.doi.org/10.3390/ijerph19127157","http://dx.doi.org/10.3390/ijerph19127157")</f>
        <v/>
      </c>
      <c r="BJ263" t="n">
        <v>10</v>
      </c>
      <c r="BK263" t="inlineStr">
        <is>
          <t>Environmental Sciences; Public, Environmental &amp; Occupational Health</t>
        </is>
      </c>
      <c r="BL263" t="inlineStr">
        <is>
          <t>Science Citation Index Expanded (SCI-EXPANDED); Social Science Citation Index (SSCI)</t>
        </is>
      </c>
      <c r="BM263" t="inlineStr">
        <is>
          <t>Environmental Sciences &amp; Ecology; Public, Environmental &amp; Occupational Health</t>
        </is>
      </c>
      <c r="BN263" t="inlineStr">
        <is>
          <t>2N2QJ</t>
        </is>
      </c>
      <c r="BO263" t="n">
        <v>35742401</v>
      </c>
      <c r="BP263" t="inlineStr">
        <is>
          <t>Green Published, gold</t>
        </is>
      </c>
      <c r="BS263" t="inlineStr">
        <is>
          <t>2023-10-26</t>
        </is>
      </c>
      <c r="BT263" t="inlineStr">
        <is>
          <t>WOS:000818230000001</t>
        </is>
      </c>
      <c r="BU263">
        <f>HYPERLINK("https%3A%2F%2Fwww.webofscience.com%2Fwos%2Fwoscc%2Ffull-record%2FWOS:000818230000001","View Full Record in Web of Science")</f>
        <v/>
      </c>
    </row>
    <row r="264">
      <c r="A264" t="inlineStr">
        <is>
          <t>J</t>
        </is>
      </c>
      <c r="B264" t="inlineStr">
        <is>
          <t>Li, QX; Gummidi, SRB; Lanau, M; Yu, BL; Liu, G</t>
        </is>
      </c>
      <c r="F264" t="inlineStr">
        <is>
          <t>Li, Qiaoxuan; Gummidi, Srinivasa Raghavendra Bhuvan; Lanau, Maud; Yu, Bailang; Liu, Gang</t>
        </is>
      </c>
      <c r="J264" t="inlineStr">
        <is>
          <t>ENVIRONMENTAL SCIENCE &amp; TECHNOLOGY</t>
        </is>
      </c>
      <c r="M264" t="inlineStr">
        <is>
          <t>English</t>
        </is>
      </c>
      <c r="N264" t="inlineStr">
        <is>
          <t>Article</t>
        </is>
      </c>
      <c r="T264" t="inlineStr">
        <is>
          <t>Spatiotemporally Explicit Mapping of Built Environment Stocks Reveals Two Centuries of Urban Development in a Fairytale City, Odense, Denmark</t>
        </is>
      </c>
      <c r="U264" t="inlineStr">
        <is>
          <t>built environment stocks; spatial planning; circular economy; urban sustainability; material flow analysis</t>
        </is>
      </c>
      <c r="V264" t="inlineStr">
        <is>
          <t>IN-USE STOCKS; HISTORICAL MAPS; BUILDINGS; DYNAMICS; ACCUMULATION; FLOWS; JAPAN; TIME</t>
        </is>
      </c>
      <c r="W264" t="inlineStr">
        <is>
          <t>The urban built environment stocks such as buildings and infrastructure provide essential services to urban residents, and their spatiotemporal dynamics are key to the circular and low-carbon transition of cities. However, spatiotemporally explicit characterization of urban built environment stocks remains hitherto limited, and previous studies on fine-grained mapping of built environment stocks often focus on an urban area without consideration of temporal dynamics. Here, we combined the emerging geospatial data and historical maps to quantify the spatially and temporally refined stocks of buildings and infrastructure and developed a novel indexing method to track the construction, demolition, and renovation for each building across various historical snapshots, with a case study of Odense, Denmark, from 1810 to 2018. We show that built environment stock in Odense increased from 80 t/cap in 1810 to 279 t/cap in 2018. Their dynamics appear overall in line with urban development of Odense over the past two centuries and well reflect the combined effects of industrialization, infrastructure development, socioeconomic characteristics, and policy interventions. Such spatiotemporally explicit stock mapping offers a physical and resource perspective for measuring urbanization and provides the public and government insight into urban spatial planning and related resource, waste, and climate strategies.</t>
        </is>
      </c>
      <c r="X264" t="inlineStr">
        <is>
          <t>[Li, Qiaoxuan; Yu, Bailang] East China Normal Univ, Key Lab Geog Informat Sci, Minist Educ, Shanghai 200241, Peoples R China; [Yu, Bailang] East China Normal Univ, Sch Geog Sci, Shanghai 200241, Peoples R China; [Li, Qiaoxuan; Gummidi, Srinivasa Raghavendra Bhuvan; Lanau, Maud; Liu, Gang] Univ Southern Denmark, Dept Green Technol, SDU Life Cycle Engn, DK-5230 Odense, Denmark; [Lanau, Maud] Univ Sheffield, Dept Civil &amp; Struct Engn, Sheffield S1 3JD, England; [Lanau, Maud] Chalmers Univ Technol, Dept Architecture &amp; Civil Engn, SE-41296 Gothenburg, Sweden</t>
        </is>
      </c>
      <c r="Y264" t="inlineStr">
        <is>
          <t>East China Normal University; East China Normal University; University of Southern Denmark; University of Sheffield; Chalmers University of Technology</t>
        </is>
      </c>
      <c r="Z264" t="inlineStr">
        <is>
          <t>Yu, BL (corresponding author), East China Normal Univ, Key Lab Geog Informat Sci, Minist Educ, Shanghai 200241, Peoples R China.;Yu, BL (corresponding author), East China Normal Univ, Sch Geog Sci, Shanghai 200241, Peoples R China.;Liu, G (corresponding author), Univ Southern Denmark, Dept Green Technol, SDU Life Cycle Engn, DK-5230 Odense, Denmark.</t>
        </is>
      </c>
      <c r="AA264" t="inlineStr">
        <is>
          <t>blyu@geo.ecnu.edu.cn; geoliugang@gmail.com</t>
        </is>
      </c>
      <c r="AB264" t="inlineStr">
        <is>
          <t>; Lanau, Maud/O-8914-2018</t>
        </is>
      </c>
      <c r="AC264" t="inlineStr">
        <is>
          <t>Gummidi, Srinivasa Raghavendra Bhuvan/0000-0001-9374-9528; Liu, Gang/0000-0002-7613-1985; Lanau, Maud/0000-0001-6315-2608</t>
        </is>
      </c>
      <c r="AD264" t="inlineStr">
        <is>
          <t>National Natural Science Foundation of China [71991484]; Independent Research Fund Denmark; Engineering and Physical Sciences Research Council of the United Kingdom (EPSRC) [EP/S029273/1]; Chalmers University of Technology; Danish Government Scholarships under the Cultural Agreements Programme; China Scholarship Council [201906140003]</t>
        </is>
      </c>
      <c r="AE264" t="inlineStr">
        <is>
          <t>National Natural Science Foundation of China(National Natural Science Foundation of China (NSFC)); Independent Research Fund Denmark(Det Frie Forskningsrad (DFF)); Engineering and Physical Sciences Research Council of the United Kingdom (EPSRC)(UK Research &amp; Innovation (UKRI)Engineering &amp; Physical Sciences Research Council (EPSRC)); Chalmers University of Technology; Danish Government Scholarships under the Cultural Agreements Programme; China Scholarship Council(China Scholarship Council)</t>
        </is>
      </c>
      <c r="AF264" t="inlineStr">
        <is>
          <t>This research is financially funded by the National Natural Science Foundation of China (71991484) , the Independent Research Fund Denmark (iBuildGreen and CityWeight) , Engineering and Physical Sciences Research Council of the United Kingdom (EPSRC, EP/S029273/1) , Chalmers University of Technology, Danish Government Scholarships under the Cultural Agreements Programme, and China Scholarship Council (201906140003) . We gratefully acknowledge invalu- able research assistance of Zhi Cao, Jeppe M?ller, Sven Kapfer, Luca Herbert, Julija Metic, Zuoqi Chen, and Congxiao Wang.</t>
        </is>
      </c>
      <c r="AH264" t="n">
        <v>73</v>
      </c>
      <c r="AI264" t="n">
        <v>2</v>
      </c>
      <c r="AJ264" t="n">
        <v>2</v>
      </c>
      <c r="AK264" t="n">
        <v>13</v>
      </c>
      <c r="AL264" t="n">
        <v>31</v>
      </c>
      <c r="AM264" t="inlineStr">
        <is>
          <t>AMER CHEMICAL SOC</t>
        </is>
      </c>
      <c r="AN264" t="inlineStr">
        <is>
          <t>WASHINGTON</t>
        </is>
      </c>
      <c r="AO264" t="inlineStr">
        <is>
          <t>1155 16TH ST, NW, WASHINGTON, DC 20036 USA</t>
        </is>
      </c>
      <c r="AP264" t="inlineStr">
        <is>
          <t>0013-936X</t>
        </is>
      </c>
      <c r="AQ264" t="inlineStr">
        <is>
          <t>1520-5851</t>
        </is>
      </c>
      <c r="AS264" t="inlineStr">
        <is>
          <t>ENVIRON SCI TECHNOL</t>
        </is>
      </c>
      <c r="AT264" t="inlineStr">
        <is>
          <t>Environ. Sci. Technol.</t>
        </is>
      </c>
      <c r="AU264" t="inlineStr">
        <is>
          <t>NOV 15</t>
        </is>
      </c>
      <c r="AV264" t="n">
        <v>2022</v>
      </c>
      <c r="AW264" t="n">
        <v>56</v>
      </c>
      <c r="AX264" t="n">
        <v>22</v>
      </c>
      <c r="BC264" t="n">
        <v>16369</v>
      </c>
      <c r="BD264" t="n">
        <v>16381</v>
      </c>
      <c r="BF264" t="inlineStr">
        <is>
          <t>10.1021/acs.est.2c04781</t>
        </is>
      </c>
      <c r="BG264">
        <f>HYPERLINK("http://dx.doi.org/10.1021/acs.est.2c04781","http://dx.doi.org/10.1021/acs.est.2c04781")</f>
        <v/>
      </c>
      <c r="BI264" t="inlineStr">
        <is>
          <t>OCT 2022</t>
        </is>
      </c>
      <c r="BJ264" t="n">
        <v>13</v>
      </c>
      <c r="BK264" t="inlineStr">
        <is>
          <t>Engineering, Environmental; Environmental Sciences</t>
        </is>
      </c>
      <c r="BL264" t="inlineStr">
        <is>
          <t>Science Citation Index Expanded (SCI-EXPANDED)</t>
        </is>
      </c>
      <c r="BM264" t="inlineStr">
        <is>
          <t>Engineering; Environmental Sciences &amp; Ecology</t>
        </is>
      </c>
      <c r="BN264" t="inlineStr">
        <is>
          <t>8C5RL</t>
        </is>
      </c>
      <c r="BO264" t="n">
        <v>36256736</v>
      </c>
      <c r="BS264" t="inlineStr">
        <is>
          <t>2023-10-26</t>
        </is>
      </c>
      <c r="BT264" t="inlineStr">
        <is>
          <t>WOS:000876179100001</t>
        </is>
      </c>
      <c r="BU264">
        <f>HYPERLINK("https%3A%2F%2Fwww.webofscience.com%2Fwos%2Fwoscc%2Ffull-record%2FWOS:000876179100001","View Full Record in Web of Science")</f>
        <v/>
      </c>
    </row>
    <row r="265">
      <c r="A265" t="inlineStr">
        <is>
          <t>J</t>
        </is>
      </c>
      <c r="B265" t="inlineStr">
        <is>
          <t>Al-Hunaiti, A; Arar, S; Taübel, M; Wraith, D; Maragkidou, A; Hyvärinen, A; Hussein, T</t>
        </is>
      </c>
      <c r="F265" t="inlineStr">
        <is>
          <t>Al-Hunaiti, Afnan; Arar, Sharif; Taubel, Martin; Wraith, Darren; Maragkidou, Androniki; Hyvarinen, Anne; Hussein, Tareq</t>
        </is>
      </c>
      <c r="J265" t="inlineStr">
        <is>
          <t>SCIENCE OF THE TOTAL ENVIRONMENT</t>
        </is>
      </c>
      <c r="M265" t="inlineStr">
        <is>
          <t>English</t>
        </is>
      </c>
      <c r="N265" t="inlineStr">
        <is>
          <t>Article</t>
        </is>
      </c>
      <c r="T265" t="inlineStr">
        <is>
          <t>Floor dust bacteria and fungi and their coexistence with PAHs in Jordanian indoor environments</t>
        </is>
      </c>
      <c r="U265" t="inlineStr">
        <is>
          <t>Gram-positive; Gram-negative; Penicillium/Aspergillus spp.; Total fungi; Dwellings; Educational building</t>
        </is>
      </c>
      <c r="V265" t="inlineStr">
        <is>
          <t>POLYCYCLIC AROMATIC-HYDROCARBONS; DEGRADATION; BIOAVAILABILITY; BIOREMEDIATION; BIODEGRADATION; PENICILLIUM; MICROCOSMS; OCCUPANT; SAMPLES; SOILS</t>
        </is>
      </c>
      <c r="W265" t="inlineStr">
        <is>
          <t>Floor dust samples were collected from Jordanian indoor environments (eight dwellings and an educational building) in Amman. Quantitative PCR (qPCR) analyses of selected fungal and bacterial groups were performed. The bacterial and fungal concentrations were also correlated with PAHs concentrations, which were previously measured in the same samples by using GC-MS. The bacterial and fungal concentrations varied significantly among and within the tested indoor environments. Based on the collected samples in the entrance area of the dwellings, the largest variation was found in Gram-negative bacteria and total fungi concentration. The lowest bacterial and fungal concentrations were found in the dwelling that was least occupied and the most recently built. At the educational building, the Gram-positive bacteria concentrations were lower than those observed in the dwellings. Unlike for bacteria, we observed significant negative correlation with some polycyclic aromatic hydrocarbons (PAHs). This calls for further studies investigating biodegradation of PAHs in house dust and presence of potentially health hazardous PAH metabolites. Since biocontamination in floor dust has been given relatively little to no attention in the MENA region we recommend that more extensive measurements be conducted in the future with chemical and biological analysis of floor dust contaminants and their exposure indoors. (C) 2017 Elsevier B.V. All rights reserved.</t>
        </is>
      </c>
      <c r="X265" t="inlineStr">
        <is>
          <t>[Al-Hunaiti, Afnan] Univ Petra, Dept Chem, Amman, Jordan; [Arar, Sharif] Univ Jordan, Dept Chem, Amman 11942, Jordan; [Taubel, Martin; Hyvarinen, Anne] Natl Inst Hlth &amp; Welf THL, Dept Hlth Protect, Living Environm &amp; Hlth Unit, PL 95, FI-70701 Kuopio, Finland; [Wraith, Darren] Queensland Univ Technol, IHBI, Victoria Pk Rd, Kelvin Grove, Qld 4059, Australia; [Maragkidou, Androniki] Univ Helsinki, Div Atmospher Sci, PL 48, FI-00014 Helsinki, Finland; [Hussein, Tareq] Univ Jordan, Dept Phys, Amman 11942, Jordan</t>
        </is>
      </c>
      <c r="Y265" t="inlineStr">
        <is>
          <t>Petra University; University of Jordan; Finland National Institute for Health &amp; Welfare; Queensland University of Technology (QUT); University of Helsinki; University of Jordan</t>
        </is>
      </c>
      <c r="Z265" t="inlineStr">
        <is>
          <t>Hussein, T (corresponding author), Univ Jordan, Dept Phys, Amman 11942, Jordan.</t>
        </is>
      </c>
      <c r="AA265" t="inlineStr">
        <is>
          <t>t.hussein@ju.edu.jo</t>
        </is>
      </c>
      <c r="AB265" t="inlineStr">
        <is>
          <t>Täubel, Martin/P-7059-2019; Arar, Sharif Husni/F-9337-2017; Hussein, Tareq/A-8055-2011</t>
        </is>
      </c>
      <c r="AC265" t="inlineStr">
        <is>
          <t>Täubel, Martin/0000-0001-8082-1041; Arar, Sharif Husni/0000-0001-9396-0518; Hussein, Tareq/0000-0002-0241-6435; Hyvarinen, Anne/0000-0002-2823-0866; Wraith, Darren/0000-0001-8755-6471</t>
        </is>
      </c>
      <c r="AD265" t="inlineStr">
        <is>
          <t>Deanship of Academic Research at the University of Jordan; University of Petra; European Commission (FP7-PEOPLE-ITN) Marie Curie ITN (HEXACOMM) [315760]; Academy of Finland Center of Excellence [272041]</t>
        </is>
      </c>
      <c r="AE265" t="inlineStr">
        <is>
          <t>Deanship of Academic Research at the University of Jordan; University of Petra; European Commission (FP7-PEOPLE-ITN) Marie Curie ITN (HEXACOMM); Academy of Finland Center of Excellence(Research Council of Finland)</t>
        </is>
      </c>
      <c r="AF265" t="inlineStr">
        <is>
          <t>This study was supported by the Deanship of Academic Research at the University of Jordan, University of Petra, the European Commission (FP7-PEOPLE-2012-ITN) Marie Curie ITN (HEXACOMM, project no. 315760), and the Academy of Finland Center of Excellence (grant no. 272041).</t>
        </is>
      </c>
      <c r="AH265" t="n">
        <v>40</v>
      </c>
      <c r="AI265" t="n">
        <v>14</v>
      </c>
      <c r="AJ265" t="n">
        <v>15</v>
      </c>
      <c r="AK265" t="n">
        <v>0</v>
      </c>
      <c r="AL265" t="n">
        <v>72</v>
      </c>
      <c r="AM265" t="inlineStr">
        <is>
          <t>ELSEVIER</t>
        </is>
      </c>
      <c r="AN265" t="inlineStr">
        <is>
          <t>AMSTERDAM</t>
        </is>
      </c>
      <c r="AO265" t="inlineStr">
        <is>
          <t>RADARWEG 29, 1043 NX AMSTERDAM, NETHERLANDS</t>
        </is>
      </c>
      <c r="AP265" t="inlineStr">
        <is>
          <t>0048-9697</t>
        </is>
      </c>
      <c r="AQ265" t="inlineStr">
        <is>
          <t>1879-1026</t>
        </is>
      </c>
      <c r="AS265" t="inlineStr">
        <is>
          <t>SCI TOTAL ENVIRON</t>
        </is>
      </c>
      <c r="AT265" t="inlineStr">
        <is>
          <t>Sci. Total Environ.</t>
        </is>
      </c>
      <c r="AU265" t="inlineStr">
        <is>
          <t>DEC 1</t>
        </is>
      </c>
      <c r="AV265" t="n">
        <v>2017</v>
      </c>
      <c r="AW265" t="n">
        <v>601</v>
      </c>
      <c r="BC265" t="n">
        <v>940</v>
      </c>
      <c r="BD265" t="n">
        <v>945</v>
      </c>
      <c r="BF265" t="inlineStr">
        <is>
          <t>10.1016/j.scitotenv.2017.05.211</t>
        </is>
      </c>
      <c r="BG265">
        <f>HYPERLINK("http://dx.doi.org/10.1016/j.scitotenv.2017.05.211","http://dx.doi.org/10.1016/j.scitotenv.2017.05.211")</f>
        <v/>
      </c>
      <c r="BJ265" t="n">
        <v>6</v>
      </c>
      <c r="BK265" t="inlineStr">
        <is>
          <t>Environmental Sciences</t>
        </is>
      </c>
      <c r="BL265" t="inlineStr">
        <is>
          <t>Science Citation Index Expanded (SCI-EXPANDED)</t>
        </is>
      </c>
      <c r="BM265" t="inlineStr">
        <is>
          <t>Environmental Sciences &amp; Ecology</t>
        </is>
      </c>
      <c r="BN265" t="inlineStr">
        <is>
          <t>FB7BA</t>
        </is>
      </c>
      <c r="BO265" t="n">
        <v>28582739</v>
      </c>
      <c r="BP265" t="inlineStr">
        <is>
          <t>Green Accepted</t>
        </is>
      </c>
      <c r="BS265" t="inlineStr">
        <is>
          <t>2023-10-26</t>
        </is>
      </c>
      <c r="BT265" t="inlineStr">
        <is>
          <t>WOS:000406294900092</t>
        </is>
      </c>
      <c r="BU265">
        <f>HYPERLINK("https%3A%2F%2Fwww.webofscience.com%2Fwos%2Fwoscc%2Ffull-record%2FWOS:000406294900092","View Full Record in Web of Science")</f>
        <v/>
      </c>
    </row>
    <row r="266">
      <c r="A266" t="inlineStr">
        <is>
          <t>J</t>
        </is>
      </c>
      <c r="B266" t="inlineStr">
        <is>
          <t>Zandieh, R; Flacke, J; Martinez, J; Jones, P; van Maarseveen, M</t>
        </is>
      </c>
      <c r="F266" t="inlineStr">
        <is>
          <t>Zandieh, Razieh; Flacke, Johannes; Martinez, Javier; Jones, Phil; van Maarseveen, Martin</t>
        </is>
      </c>
      <c r="J266" t="inlineStr">
        <is>
          <t>INTERNATIONAL JOURNAL OF ENVIRONMENTAL RESEARCH AND PUBLIC HEALTH</t>
        </is>
      </c>
      <c r="M266" t="inlineStr">
        <is>
          <t>English</t>
        </is>
      </c>
      <c r="N266" t="inlineStr">
        <is>
          <t>Article</t>
        </is>
      </c>
      <c r="T266" t="inlineStr">
        <is>
          <t>Do Inequalities in Neighborhood Walkability Drive Disparities in Older Adults' Outdoor Walking?</t>
        </is>
      </c>
      <c r="U266" t="inlineStr">
        <is>
          <t>physical activity; GIS; GPS; facilities; qualitative; quantitative; perception; walking interview; multilevel/hierarchical analyses; healthy urban planning</t>
        </is>
      </c>
      <c r="V266" t="inlineStr">
        <is>
          <t>PHYSICAL-ACTIVITY; BUILT ENVIRONMENT; COMMUNITY DESIGN; URBAN FORM; LAND-USE; HEALTH; ASSOCIATION; ATTRIBUTES; BEHAVIOR; OBESITY</t>
        </is>
      </c>
      <c r="W266" t="inlineStr">
        <is>
          <t>Older residents of high-deprivation areas walk less than those of low-deprivation areas. Previous research has shown that neighborhood built environment may support and encourage outdoor walking. The extent to which the built environment supports and encourages walking is called walkability. This study examines inequalities in neighborhood walkability in high-versus low-deprivation areas and their possible influences on disparities in older adults' outdoor walking levels. For this purpose, it focuses on specific neighborhood built environment attributes (residential density, land-use mix and intensity, street connectivity, and retail density) relevant to neighborhood walkability. It applied a mixed-method approach, included 173 participants (&gt;= 65 years), and used a Geographic Information System (GIS) and walking interviews (with a sub-sample) to objectively and subjectively measure neighborhood built environment attributes. Outdoor walking levels were measured by using the Geographic Positioning System (GPS) technology. Data on personal characteristics was collected by completing a questionnaire. The results show that inequalities in certain land-use intensity (i.e., green spaces, recreation centers, schools and industries) in high-versus low-deprivation areas may influence disparities in older adults' outdoor walking levels. Modifying neighborhood land use intensity may help to encourage outdoor walking in high-deprivation areas.</t>
        </is>
      </c>
      <c r="X266" t="inlineStr">
        <is>
          <t>[Zandieh, Razieh; Flacke, Johannes; Martinez, Javier; van Maarseveen, Martin] Univ Twente, Fac Geoinformat Sci &amp; Earth Observat ITC, POB 217, NL-7500 AE Enschede, Netherlands; [Jones, Phil] Univ Birmingham, Sch Geog Earth &amp; Environm Sci, Birmingham B15 2TT, W Midlands, England</t>
        </is>
      </c>
      <c r="Y266" t="inlineStr">
        <is>
          <t>University of Twente; University of Birmingham</t>
        </is>
      </c>
      <c r="Z266" t="inlineStr">
        <is>
          <t>Zandieh, R (corresponding author), Univ Twente, Fac Geoinformat Sci &amp; Earth Observat ITC, POB 217, NL-7500 AE Enschede, Netherlands.</t>
        </is>
      </c>
      <c r="AA266" t="inlineStr">
        <is>
          <t>r.zandieh@utwente.nl; j.flacke@utwente.nl; j.martinez@utwente.nl; p.i.jones@bham.ac.uk; m.f.a.m.vanmaarseveen@utwente.nl</t>
        </is>
      </c>
      <c r="AB266" t="inlineStr">
        <is>
          <t>Flacke, Johannes/C-9941-2013; Martinez, Javier A/D-3834-2009; Jones, Phil I/D-9538-2011</t>
        </is>
      </c>
      <c r="AC266" t="inlineStr">
        <is>
          <t>Flacke, Johannes/0000-0001-8906-7719; Martinez, Javier A/0000-0001-9634-3849; Zandieh, Razieh/0000-0001-9228-3076; Jones, Phil/0000-0001-6455-1184</t>
        </is>
      </c>
      <c r="AD266" t="inlineStr">
        <is>
          <t>European Union</t>
        </is>
      </c>
      <c r="AE266" t="inlineStr">
        <is>
          <t>European Union(European Union (EU))</t>
        </is>
      </c>
      <c r="AF266" t="inlineStr">
        <is>
          <t>The authors would like to thank all the older adults who spent the time and participated in this research. The authors would also like to thank Prof. Alfred Stein at the University of Twente for his generous and unsparing help and valuable comments on statistical analysis. This research was financially supported by Erasmus Mundus scholarship supplied by the European Union.</t>
        </is>
      </c>
      <c r="AH266" t="n">
        <v>70</v>
      </c>
      <c r="AI266" t="n">
        <v>36</v>
      </c>
      <c r="AJ266" t="n">
        <v>36</v>
      </c>
      <c r="AK266" t="n">
        <v>9</v>
      </c>
      <c r="AL266" t="n">
        <v>61</v>
      </c>
      <c r="AM266" t="inlineStr">
        <is>
          <t>MDPI</t>
        </is>
      </c>
      <c r="AN266" t="inlineStr">
        <is>
          <t>BASEL</t>
        </is>
      </c>
      <c r="AO266" t="inlineStr">
        <is>
          <t>ST ALBAN-ANLAGE 66, CH-4052 BASEL, SWITZERLAND</t>
        </is>
      </c>
      <c r="AQ266" t="inlineStr">
        <is>
          <t>1660-4601</t>
        </is>
      </c>
      <c r="AS266" t="inlineStr">
        <is>
          <t>INT J ENV RES PUB HE</t>
        </is>
      </c>
      <c r="AT266" t="inlineStr">
        <is>
          <t>Int. J. Environ. Res. Public Health</t>
        </is>
      </c>
      <c r="AU266" t="inlineStr">
        <is>
          <t>JUL</t>
        </is>
      </c>
      <c r="AV266" t="n">
        <v>2017</v>
      </c>
      <c r="AW266" t="n">
        <v>14</v>
      </c>
      <c r="AX266" t="n">
        <v>7</v>
      </c>
      <c r="BE266" t="n">
        <v>740</v>
      </c>
      <c r="BF266" t="inlineStr">
        <is>
          <t>10.3390/ijerph14070740</t>
        </is>
      </c>
      <c r="BG266">
        <f>HYPERLINK("http://dx.doi.org/10.3390/ijerph14070740","http://dx.doi.org/10.3390/ijerph14070740")</f>
        <v/>
      </c>
      <c r="BJ266" t="n">
        <v>22</v>
      </c>
      <c r="BK266" t="inlineStr">
        <is>
          <t>Environmental Sciences; Public, Environmental &amp; Occupational Health</t>
        </is>
      </c>
      <c r="BL266" t="inlineStr">
        <is>
          <t>Science Citation Index Expanded (SCI-EXPANDED); Social Science Citation Index (SSCI)</t>
        </is>
      </c>
      <c r="BM266" t="inlineStr">
        <is>
          <t>Environmental Sciences &amp; Ecology; Public, Environmental &amp; Occupational Health</t>
        </is>
      </c>
      <c r="BN266" t="inlineStr">
        <is>
          <t>FD2ND</t>
        </is>
      </c>
      <c r="BO266" t="n">
        <v>28686219</v>
      </c>
      <c r="BP266" t="inlineStr">
        <is>
          <t>Green Published, gold</t>
        </is>
      </c>
      <c r="BS266" t="inlineStr">
        <is>
          <t>2023-10-26</t>
        </is>
      </c>
      <c r="BT266" t="inlineStr">
        <is>
          <t>WOS:000407370700072</t>
        </is>
      </c>
      <c r="BU266">
        <f>HYPERLINK("https%3A%2F%2Fwww.webofscience.com%2Fwos%2Fwoscc%2Ffull-record%2FWOS:000407370700072","View Full Record in Web of Science")</f>
        <v/>
      </c>
    </row>
    <row r="267">
      <c r="A267" t="inlineStr">
        <is>
          <t>J</t>
        </is>
      </c>
      <c r="B267" t="inlineStr">
        <is>
          <t>Kotzias, D</t>
        </is>
      </c>
      <c r="F267" t="inlineStr">
        <is>
          <t>Kotzias, Dimitrios</t>
        </is>
      </c>
      <c r="J267" t="inlineStr">
        <is>
          <t>AIMS ENVIRONMENTAL SCIENCE</t>
        </is>
      </c>
      <c r="M267" t="inlineStr">
        <is>
          <t>English</t>
        </is>
      </c>
      <c r="N267" t="inlineStr">
        <is>
          <t>Article</t>
        </is>
      </c>
      <c r="T267" t="inlineStr">
        <is>
          <t>Built environment and indoor air quality: The case of volatile organic compounds</t>
        </is>
      </c>
      <c r="U267" t="inlineStr">
        <is>
          <t>indoor air quality; buildings; volatile organic compounds; carbonyls; benzene; formaldehyde</t>
        </is>
      </c>
      <c r="V267" t="inlineStr">
        <is>
          <t>OFFICE ENVIRONMENTS; EXPOSURE; BENZENE; ASTHMA; POLLUTANTS; ATHENS; ASSOCIATION; BUILDINGS; SYMPTOMS; CHILDREN</t>
        </is>
      </c>
      <c r="W267" t="inlineStr">
        <is>
          <t>A large number of studies indicated the presence of volatile organic compounds (VOCs) of various chemical classes in indoor environments (public buildings, homes). VOCs affect the air quality indoors having an impact on human health and wellbeing. They are the result of infiltration of polluted outdoor air and emissions from various indoor sources, including building materials, consumer products (fragrances, air fresheners), activities of the occupants (cleaning) and smoking. On average, people spend a great part of their time (85 to 90%) in confined spaces (homes, office buildings and schools) exposed to a complex mixture of air contaminants at concentration levels that are often several times higher than outdoors. For many chemicals present in indoor air (and their mixtures) the risk for human health and comfort is almost unknown and difficult to predict because of the lack of toxicological data and information on the dose-response characteristics in humans or animal models. Saving of energy for homes and public buildings becomes an additional and essential criterion for the overall quality of the built environment. The need to construct airtight buildings may lead to the accumulation of air contaminants indoors and thus changing the prevailing philosophy for a healthy indoor environmental quality. The necessity emerged, in particular, for low emitting construction and building materials along with the adaptation of appropriate ventilation regimes to ensure wellbeing and comfort for building occupants. The paper provides an overview of indoor/outdoor air concentrations of volatile organic compounds in buildings. It discusses the methodological approaches and procedures applied so far to assess VOC's presence indoors and outdoors, notably benzene and formaldehyde as model compounds for indoor air quality emphasizing the needs for future research and action plans to ensure a healthy and occupant friendly indoor environment.</t>
        </is>
      </c>
      <c r="X267" t="inlineStr">
        <is>
          <t>[Kotzias, Dimitrios] Former Sen Official European Commiss Joint Res Ct, Ispra, Italy</t>
        </is>
      </c>
      <c r="Z267" t="inlineStr">
        <is>
          <t>Kotzias, D (corresponding author), Former Sen Official European Commiss Joint Res Ct, Ispra, Italy.</t>
        </is>
      </c>
      <c r="AA267" t="inlineStr">
        <is>
          <t>dkotzias10@gmail.com</t>
        </is>
      </c>
      <c r="AH267" t="n">
        <v>42</v>
      </c>
      <c r="AI267" t="n">
        <v>8</v>
      </c>
      <c r="AJ267" t="n">
        <v>8</v>
      </c>
      <c r="AK267" t="n">
        <v>1</v>
      </c>
      <c r="AL267" t="n">
        <v>37</v>
      </c>
      <c r="AM267" t="inlineStr">
        <is>
          <t>AMER INST MATHEMATICAL SCIENCES-AIMS</t>
        </is>
      </c>
      <c r="AN267" t="inlineStr">
        <is>
          <t>SPRINGFIELD</t>
        </is>
      </c>
      <c r="AO267" t="inlineStr">
        <is>
          <t>PO BOX 2604, SPRINGFIELD, MO 65801-2604, UNITED STATES</t>
        </is>
      </c>
      <c r="AP267" t="inlineStr">
        <is>
          <t>2372-0344</t>
        </is>
      </c>
      <c r="AQ267" t="inlineStr">
        <is>
          <t>2372-0352</t>
        </is>
      </c>
      <c r="AS267" t="inlineStr">
        <is>
          <t>AIMS ENVIRON SCI</t>
        </is>
      </c>
      <c r="AT267" t="inlineStr">
        <is>
          <t>AIMS Environ. Sci.</t>
        </is>
      </c>
      <c r="AV267" t="n">
        <v>2021</v>
      </c>
      <c r="AW267" t="n">
        <v>8</v>
      </c>
      <c r="AX267" t="n">
        <v>2</v>
      </c>
      <c r="BC267" t="n">
        <v>135</v>
      </c>
      <c r="BD267" t="n">
        <v>147</v>
      </c>
      <c r="BF267" t="inlineStr">
        <is>
          <t>10.3934/environsci.2021010</t>
        </is>
      </c>
      <c r="BG267">
        <f>HYPERLINK("http://dx.doi.org/10.3934/environsci.2021010","http://dx.doi.org/10.3934/environsci.2021010")</f>
        <v/>
      </c>
      <c r="BJ267" t="n">
        <v>13</v>
      </c>
      <c r="BK267" t="inlineStr">
        <is>
          <t>Environmental Sciences</t>
        </is>
      </c>
      <c r="BL267" t="inlineStr">
        <is>
          <t>Emerging Sources Citation Index (ESCI)</t>
        </is>
      </c>
      <c r="BM267" t="inlineStr">
        <is>
          <t>Environmental Sciences &amp; Ecology</t>
        </is>
      </c>
      <c r="BN267" t="inlineStr">
        <is>
          <t>SH5OR</t>
        </is>
      </c>
      <c r="BP267" t="inlineStr">
        <is>
          <t>gold</t>
        </is>
      </c>
      <c r="BS267" t="inlineStr">
        <is>
          <t>2023-10-26</t>
        </is>
      </c>
      <c r="BT267" t="inlineStr">
        <is>
          <t>WOS:000654185800004</t>
        </is>
      </c>
      <c r="BU267">
        <f>HYPERLINK("https%3A%2F%2Fwww.webofscience.com%2Fwos%2Fwoscc%2Ffull-record%2FWOS:000654185800004","View Full Record in Web of Science")</f>
        <v/>
      </c>
    </row>
    <row r="268">
      <c r="A268" t="inlineStr">
        <is>
          <t>J</t>
        </is>
      </c>
      <c r="B268" t="inlineStr">
        <is>
          <t>Oyeyemi, AL; Kolo, SM; Rufai, AA; Oyeyemi, AY; Omotara, BA; Sallis, JF</t>
        </is>
      </c>
      <c r="F268" t="inlineStr">
        <is>
          <t>Oyeyemi, Adewale L.; Kolo, Sanda M.; Rufai, Adamu A.; Oyeyemi, Adetoyeje Y.; Omotara, Babatunji A.; Sallis, James F.</t>
        </is>
      </c>
      <c r="J268" t="inlineStr">
        <is>
          <t>INTERNATIONAL JOURNAL OF ENVIRONMENTAL RESEARCH AND PUBLIC HEALTH</t>
        </is>
      </c>
      <c r="M268" t="inlineStr">
        <is>
          <t>English</t>
        </is>
      </c>
      <c r="N268" t="inlineStr">
        <is>
          <t>Article</t>
        </is>
      </c>
      <c r="T268" t="inlineStr">
        <is>
          <t>Associations of Neighborhood Walkability with Sedentary Time in Nigerian Older Adults</t>
        </is>
      </c>
      <c r="U268" t="inlineStr">
        <is>
          <t>walkable neighborhood; sitting; elderly; built environment; non-communicable diseases; Africa</t>
        </is>
      </c>
      <c r="V268" t="inlineStr">
        <is>
          <t>PHYSICAL-ACTIVITY; ENVIRONMENTAL-FACTORS; BUILT ENVIRONMENT; SITTING TIME; PATTERNS; BEHAVIOR; AGE</t>
        </is>
      </c>
      <c r="W268" t="inlineStr">
        <is>
          <t>Previous studies have investigated the potential role of neighborhood walkability in reducing sedentary behavior. However, the majority of this research has been conducted in adults and Western developed countries. The purpose of the present study was to examine associations of neighborhood environmental attributes with sedentary time among older adults in Nigeria. Data from 353 randomly-selected community-dwelling older adults (60 years and above) in Maiduguri, Nigeria were analyzed. Perceived attributes of neighborhood environments and self-reported sedentary time were assessed using Nigerian-validated and reliable measures. Outcomes were weekly minutes of total sedentary time, minutes of sitting on a typical weekday, and minutes of sitting on a typical weekend day. In multivariate regression analyses, higher walkability index, proximity to destinations, access to services, traffic safety, and safety from crime were associated with less total sedentary time and sedentary time on both a weekday and a weekend day. Moderation analysis showed that only in men was higher walking infrastructure and safety found to be associated with less sedentary time, and higher street connectivity was associated with more sedentary time. The findings suggest that improving neighborhood walkability may be a mechanism for reducing sedentary time among older adults in Nigeria.</t>
        </is>
      </c>
      <c r="X268" t="inlineStr">
        <is>
          <t>[Oyeyemi, Adewale L.; Kolo, Sanda M.; Rufai, Adamu A.; Oyeyemi, Adetoyeje Y.] Univ Maiduguri, Dept Physiotherapy, Coll Med Sci, Maiduguri 600243, Nigeria; [Omotara, Babatunji A.] Univ Maiduguri, Dept Community Med, Coll Med Sci, Maiduguri 600243, Nigeria; [Sallis, James F.] Univ Calif San Diego, Dept Family Med &amp; Publ Hlth, La Jolla, CA 92093 USA; [Sallis, James F.] Australian Catholic Univ, Mary MacKillop Inst Hlth Res, Melbourne, Vic 3000, Australia</t>
        </is>
      </c>
      <c r="Y268" t="inlineStr">
        <is>
          <t>University of California System; University of California San Diego; Australian Catholic University</t>
        </is>
      </c>
      <c r="Z268" t="inlineStr">
        <is>
          <t>Oyeyemi, AL (corresponding author), Univ Maiduguri, Dept Physiotherapy, Coll Med Sci, Maiduguri 600243, Nigeria.</t>
        </is>
      </c>
      <c r="AA268" t="inlineStr">
        <is>
          <t>alaoyeyemi@yahoo.com; kolosanda@gmail.com; adamuarufai@gmail.com; adeoyeyemi@aol.com; atunjeba@yahoo.com; jsallis@ucsd.edu</t>
        </is>
      </c>
      <c r="AB268" t="inlineStr">
        <is>
          <t>Sallis, James F/D-3001-2014; Oyeyemi, Adetoyeje/AER-0978-2022; Oyeyemi, Adewale/AAA-2792-2019</t>
        </is>
      </c>
      <c r="AC268" t="inlineStr">
        <is>
          <t>Sallis, James F/0000-0003-2555-9452; Oyeyemi, Adetoyeje/0000-0003-4395-443X; Oyeyemi, Adewale/0000-0002-3737-2911</t>
        </is>
      </c>
      <c r="AH268" t="n">
        <v>43</v>
      </c>
      <c r="AI268" t="n">
        <v>19</v>
      </c>
      <c r="AJ268" t="n">
        <v>19</v>
      </c>
      <c r="AK268" t="n">
        <v>2</v>
      </c>
      <c r="AL268" t="n">
        <v>11</v>
      </c>
      <c r="AM268" t="inlineStr">
        <is>
          <t>MDPI</t>
        </is>
      </c>
      <c r="AN268" t="inlineStr">
        <is>
          <t>BASEL</t>
        </is>
      </c>
      <c r="AO268" t="inlineStr">
        <is>
          <t>ST ALBAN-ANLAGE 66, CH-4052 BASEL, SWITZERLAND</t>
        </is>
      </c>
      <c r="AQ268" t="inlineStr">
        <is>
          <t>1660-4601</t>
        </is>
      </c>
      <c r="AS268" t="inlineStr">
        <is>
          <t>INT J ENV RES PUB HE</t>
        </is>
      </c>
      <c r="AT268" t="inlineStr">
        <is>
          <t>Int. J. Environ. Res. Public Health</t>
        </is>
      </c>
      <c r="AU268" t="inlineStr">
        <is>
          <t>JUN 1</t>
        </is>
      </c>
      <c r="AV268" t="n">
        <v>2019</v>
      </c>
      <c r="AW268" t="n">
        <v>16</v>
      </c>
      <c r="AX268" t="n">
        <v>11</v>
      </c>
      <c r="BE268" t="n">
        <v>1879</v>
      </c>
      <c r="BF268" t="inlineStr">
        <is>
          <t>10.3390/ijerph16111879</t>
        </is>
      </c>
      <c r="BG268">
        <f>HYPERLINK("http://dx.doi.org/10.3390/ijerph16111879","http://dx.doi.org/10.3390/ijerph16111879")</f>
        <v/>
      </c>
      <c r="BJ268" t="n">
        <v>12</v>
      </c>
      <c r="BK268" t="inlineStr">
        <is>
          <t>Environmental Sciences; Public, Environmental &amp; Occupational Health</t>
        </is>
      </c>
      <c r="BL268" t="inlineStr">
        <is>
          <t>Science Citation Index Expanded (SCI-EXPANDED); Social Science Citation Index (SSCI)</t>
        </is>
      </c>
      <c r="BM268" t="inlineStr">
        <is>
          <t>Environmental Sciences &amp; Ecology; Public, Environmental &amp; Occupational Health</t>
        </is>
      </c>
      <c r="BN268" t="inlineStr">
        <is>
          <t>IE1GB</t>
        </is>
      </c>
      <c r="BO268" t="n">
        <v>31141942</v>
      </c>
      <c r="BP268" t="inlineStr">
        <is>
          <t>Green Published, gold, Green Submitted</t>
        </is>
      </c>
      <c r="BS268" t="inlineStr">
        <is>
          <t>2023-10-26</t>
        </is>
      </c>
      <c r="BT268" t="inlineStr">
        <is>
          <t>WOS:000472132900007</t>
        </is>
      </c>
      <c r="BU268">
        <f>HYPERLINK("https%3A%2F%2Fwww.webofscience.com%2Fwos%2Fwoscc%2Ffull-record%2FWOS:000472132900007","View Full Record in Web of Science")</f>
        <v/>
      </c>
    </row>
    <row r="269">
      <c r="A269" t="inlineStr">
        <is>
          <t>B</t>
        </is>
      </c>
      <c r="B269" t="inlineStr">
        <is>
          <t>Gundlach, J; Klein, J</t>
        </is>
      </c>
      <c r="D269" t="inlineStr">
        <is>
          <t>Burger, M; Gundlach, J</t>
        </is>
      </c>
      <c r="F269" t="inlineStr">
        <is>
          <t>Gundlach, Justin; Klein, Jennifer</t>
        </is>
      </c>
      <c r="J269" t="inlineStr">
        <is>
          <t>CLIMATE CHANGE, PUBLIC HEALTH, AND THE LAW</t>
        </is>
      </c>
      <c r="M269" t="inlineStr">
        <is>
          <t>English</t>
        </is>
      </c>
      <c r="N269" t="inlineStr">
        <is>
          <t>Article; Book Chapter</t>
        </is>
      </c>
      <c r="T269" t="inlineStr">
        <is>
          <t>The Built Environment</t>
        </is>
      </c>
      <c r="V269" t="inlineStr">
        <is>
          <t>CLIMATE-CHANGE ADAPTATION; VULNERABILITY; BARRIERS; IMPACTS</t>
        </is>
      </c>
      <c r="W269" t="inlineStr">
        <is>
          <t>The built environment, which includes not only buildings but infrastructure, mediates several important climate impacts on public health and is also subject to diverse legal requirements. It is a subject of particular focus for policy efforts aimed at promoting adaptive responses to climate change on the part of institutions and individuals. This chapter presents key examples of public health impacts that arise from climate change but are mediated - possibly mitigated, possibly exacerbated - by elements of the built environment. It also describes the process and substance of adaptive responses to those impacts. Having presented these physical and policy contexts in its first section, this chapter's second section considers the role the law could play as individuals, organizations, and localities react to climate-driven harms and seek to adapt.</t>
        </is>
      </c>
      <c r="X269" t="inlineStr">
        <is>
          <t>[Gundlach, Justin] Columbia Univ, New York, NY 10027 USA; [Klein, Jennifer] Kramer Levin Naftalis &amp; Frankel LLP, New York Off, New York, NY USA</t>
        </is>
      </c>
      <c r="Y269" t="inlineStr">
        <is>
          <t>Columbia University</t>
        </is>
      </c>
      <c r="Z269" t="inlineStr">
        <is>
          <t>Gundlach, J (corresponding author), Columbia Univ, New York, NY 10027 USA.</t>
        </is>
      </c>
      <c r="AH269" t="n">
        <v>123</v>
      </c>
      <c r="AI269" t="n">
        <v>1</v>
      </c>
      <c r="AJ269" t="n">
        <v>1</v>
      </c>
      <c r="AK269" t="n">
        <v>0</v>
      </c>
      <c r="AL269" t="n">
        <v>0</v>
      </c>
      <c r="AM269" t="inlineStr">
        <is>
          <t>CAMBRIDGE UNIV PRESS</t>
        </is>
      </c>
      <c r="AN269" t="inlineStr">
        <is>
          <t>CAMBRIDGE</t>
        </is>
      </c>
      <c r="AO269" t="inlineStr">
        <is>
          <t>THE PITT BUILDING, TRUMPINGTON ST, CAMBRIDGE CB2 1RP, CAMBS, ENGLAND</t>
        </is>
      </c>
      <c r="AR269" t="inlineStr">
        <is>
          <t>978-1-108-41762-4</t>
        </is>
      </c>
      <c r="AV269" t="n">
        <v>2018</v>
      </c>
      <c r="BC269" t="n">
        <v>122</v>
      </c>
      <c r="BD269" t="n">
        <v>167</v>
      </c>
      <c r="BH269" t="inlineStr">
        <is>
          <t>10.1017/9781108278010</t>
        </is>
      </c>
      <c r="BJ269" t="n">
        <v>46</v>
      </c>
      <c r="BK269" t="inlineStr">
        <is>
          <t>Environmental Sciences; Environmental Studies; Public, Environmental &amp; Occupational Health; Law</t>
        </is>
      </c>
      <c r="BL269" t="inlineStr">
        <is>
          <t>Book Citation Index – Social Sciences &amp; Humanities (BKCI-SSH); Book Citation Index – Science (BKCI-S)</t>
        </is>
      </c>
      <c r="BM269" t="inlineStr">
        <is>
          <t>Environmental Sciences &amp; Ecology; Public, Environmental &amp; Occupational Health; Government &amp; Law</t>
        </is>
      </c>
      <c r="BN269" t="inlineStr">
        <is>
          <t>BQ5TO</t>
        </is>
      </c>
      <c r="BP269" t="inlineStr">
        <is>
          <t>Green Submitted</t>
        </is>
      </c>
      <c r="BS269" t="inlineStr">
        <is>
          <t>2023-10-26</t>
        </is>
      </c>
      <c r="BT269" t="inlineStr">
        <is>
          <t>WOS:000608068900007</t>
        </is>
      </c>
      <c r="BU269">
        <f>HYPERLINK("https%3A%2F%2Fwww.webofscience.com%2Fwos%2Fwoscc%2Ffull-record%2FWOS:000608068900007","View Full Record in Web of Science")</f>
        <v/>
      </c>
    </row>
    <row r="270">
      <c r="A270" t="inlineStr">
        <is>
          <t>J</t>
        </is>
      </c>
      <c r="B270" t="inlineStr">
        <is>
          <t>Lv, MH; Wang, NC; Yao, SJ; Wu, JP; Fang, L</t>
        </is>
      </c>
      <c r="F270" t="inlineStr">
        <is>
          <t>Lv, Muhan; Wang, Ningcheng; Yao, Shenjun; Wu, Jianping; Fang, Lei</t>
        </is>
      </c>
      <c r="J270" t="inlineStr">
        <is>
          <t>INTERNATIONAL JOURNAL OF ENVIRONMENTAL RESEARCH AND PUBLIC HEALTH</t>
        </is>
      </c>
      <c r="M270" t="inlineStr">
        <is>
          <t>English</t>
        </is>
      </c>
      <c r="N270" t="inlineStr">
        <is>
          <t>Article</t>
        </is>
      </c>
      <c r="T270" t="inlineStr">
        <is>
          <t>Towards Healthy Aging: Influence of the Built Environment on Elderly Pedestrian Safety at the Micro-Level</t>
        </is>
      </c>
      <c r="U270" t="inlineStr">
        <is>
          <t>elderly; pedestrian collisions; GWPR; built environment; walk; street view; safety; health</t>
        </is>
      </c>
      <c r="V270" t="inlineStr">
        <is>
          <t>EXPOSURE; IDENTIFICATION; COLLISIONS; ACCIDENT; MODEL; RISK</t>
        </is>
      </c>
      <c r="W270" t="inlineStr">
        <is>
          <t>As vulnerable road users, elderly pedestrians are more likely to be injured in road crashes due to declining physical and perceptual capabilities. Most previous studies on the influence of the built environment on elderly pedestrian safety focused on intersections or areal units. Using a district of Shanghai as the study area, this research investigated the effects of the built environment at the road segment level with elderly pedestrian collision, taxi tracking point, point of interest, street view image, open street map, land use, housing price, and elderly population datasets. In particular, this research employed both Poisson and geographically weighted Poisson regression (GWPR) models to account for spatial nonstationarity. The Poisson model indicates that green space, sidewalks, and junctions on the roads significantly affected elderly pedestrian safety, and roads around nursing homes, schools, bus stops, metro stations, traditional markets, and supermarkets were hazardous for elderly pedestrians. The results of the GWPR model suggest that the influence of factors varied across the study area. Green space could decrease the risk of elderly pedestrian collisions only in areas without congested environments. Separations need to be installed between roadways and sidewalks to improve elderly road safety.</t>
        </is>
      </c>
      <c r="X270" t="inlineStr">
        <is>
          <t>[Lv, Muhan; Wang, Ningcheng; Yao, Shenjun; Wu, Jianping] East China Normal Univ, Minist Educ, Key Lab Geog Informat Sci, Shanghai 200241, Peoples R China; [Lv, Muhan; Wang, Ningcheng; Yao, Shenjun; Wu, Jianping] East China Normal Univ, Sch Geog Sci, Shanghai 200241, Peoples R China; [Yao, Shenjun] East China Normal Univ, Res Ctr China Adm Div, Shanghai 200241, Peoples R China; [Fang, Lei] Fudan Univ, Dept Environm Sci &amp; Engn, Shanghai 200438, Peoples R China</t>
        </is>
      </c>
      <c r="Y270" t="inlineStr">
        <is>
          <t>East China Normal University; East China Normal University; East China Normal University; Fudan University</t>
        </is>
      </c>
      <c r="Z270" t="inlineStr">
        <is>
          <t>Yao, SJ (corresponding author), East China Normal Univ, Minist Educ, Key Lab Geog Informat Sci, Shanghai 200241, Peoples R China.;Yao, SJ (corresponding author), East China Normal Univ, Sch Geog Sci, Shanghai 200241, Peoples R China.;Yao, SJ (corresponding author), East China Normal Univ, Res Ctr China Adm Div, Shanghai 200241, Peoples R China.</t>
        </is>
      </c>
      <c r="AA270" t="inlineStr">
        <is>
          <t>mhlv@stu.ecnu.edu.cn; ncwang@stu.ecnu.edu.cn; sjyao@geo.ecnu.edu.cn; jpwu@geo.ecnu.edu.cn; fanglei@fudan.edu.cn</t>
        </is>
      </c>
      <c r="AB270" t="inlineStr">
        <is>
          <t>Fang, Lei/ABG-1462-2021</t>
        </is>
      </c>
      <c r="AC270" t="inlineStr">
        <is>
          <t>Wang, Ningcheng/0000-0002-8914-9666; FANG, Lei/0000-0001-8902-1817</t>
        </is>
      </c>
      <c r="AD270" t="inlineStr">
        <is>
          <t>National Natural Science Foundation of China [41701462]; Scientific Research Innovation Fund of East China Normal University [40500-20104-222281]</t>
        </is>
      </c>
      <c r="AE270" t="inlineStr">
        <is>
          <t>National Natural Science Foundation of China(National Natural Science Foundation of China (NSFC)); Scientific Research Innovation Fund of East China Normal University</t>
        </is>
      </c>
      <c r="AF270" t="inlineStr">
        <is>
          <t>This research was funded by the National Natural Science Foundation of China, grant No. 41701462; and the Scientific Research Innovation Fund of East China Normal University, grant No. 40500-20104-222281.</t>
        </is>
      </c>
      <c r="AH270" t="n">
        <v>48</v>
      </c>
      <c r="AI270" t="n">
        <v>6</v>
      </c>
      <c r="AJ270" t="n">
        <v>6</v>
      </c>
      <c r="AK270" t="n">
        <v>9</v>
      </c>
      <c r="AL270" t="n">
        <v>72</v>
      </c>
      <c r="AM270" t="inlineStr">
        <is>
          <t>MDPI</t>
        </is>
      </c>
      <c r="AN270" t="inlineStr">
        <is>
          <t>BASEL</t>
        </is>
      </c>
      <c r="AO270" t="inlineStr">
        <is>
          <t>ST ALBAN-ANLAGE 66, CH-4052 BASEL, SWITZERLAND</t>
        </is>
      </c>
      <c r="AQ270" t="inlineStr">
        <is>
          <t>1660-4601</t>
        </is>
      </c>
      <c r="AS270" t="inlineStr">
        <is>
          <t>INT J ENV RES PUB HE</t>
        </is>
      </c>
      <c r="AT270" t="inlineStr">
        <is>
          <t>Int. J. Environ. Res. Public Health</t>
        </is>
      </c>
      <c r="AU270" t="inlineStr">
        <is>
          <t>SEP</t>
        </is>
      </c>
      <c r="AV270" t="n">
        <v>2021</v>
      </c>
      <c r="AW270" t="n">
        <v>18</v>
      </c>
      <c r="AX270" t="n">
        <v>18</v>
      </c>
      <c r="BE270" t="n">
        <v>9534</v>
      </c>
      <c r="BF270" t="inlineStr">
        <is>
          <t>10.3390/ijerph18189534</t>
        </is>
      </c>
      <c r="BG270">
        <f>HYPERLINK("http://dx.doi.org/10.3390/ijerph18189534","http://dx.doi.org/10.3390/ijerph18189534")</f>
        <v/>
      </c>
      <c r="BJ270" t="n">
        <v>14</v>
      </c>
      <c r="BK270" t="inlineStr">
        <is>
          <t>Environmental Sciences; Public, Environmental &amp; Occupational Health</t>
        </is>
      </c>
      <c r="BL270" t="inlineStr">
        <is>
          <t>Science Citation Index Expanded (SCI-EXPANDED); Social Science Citation Index (SSCI)</t>
        </is>
      </c>
      <c r="BM270" t="inlineStr">
        <is>
          <t>Environmental Sciences &amp; Ecology; Public, Environmental &amp; Occupational Health</t>
        </is>
      </c>
      <c r="BN270" t="inlineStr">
        <is>
          <t>UV5RR</t>
        </is>
      </c>
      <c r="BO270" t="n">
        <v>34574478</v>
      </c>
      <c r="BP270" t="inlineStr">
        <is>
          <t>Green Published, gold</t>
        </is>
      </c>
      <c r="BS270" t="inlineStr">
        <is>
          <t>2023-10-26</t>
        </is>
      </c>
      <c r="BT270" t="inlineStr">
        <is>
          <t>WOS:000699535800001</t>
        </is>
      </c>
      <c r="BU270">
        <f>HYPERLINK("https%3A%2F%2Fwww.webofscience.com%2Fwos%2Fwoscc%2Ffull-record%2FWOS:000699535800001","View Full Record in Web of Science")</f>
        <v/>
      </c>
    </row>
    <row r="271">
      <c r="A271" t="inlineStr">
        <is>
          <t>J</t>
        </is>
      </c>
      <c r="B271" t="inlineStr">
        <is>
          <t>Zhang, Y; Li, Y; Liu, QX; Li, CY</t>
        </is>
      </c>
      <c r="F271" t="inlineStr">
        <is>
          <t>Zhang, Yi; Li, Yuan; Liu, Qixing; Li, Chaoyang</t>
        </is>
      </c>
      <c r="J271" t="inlineStr">
        <is>
          <t>SUSTAINABILITY</t>
        </is>
      </c>
      <c r="M271" t="inlineStr">
        <is>
          <t>English</t>
        </is>
      </c>
      <c r="N271" t="inlineStr">
        <is>
          <t>Article</t>
        </is>
      </c>
      <c r="T271" t="inlineStr">
        <is>
          <t>The Built Environment and Walking Activity of the Elderly: An Empirical Analysis in the Zhongshan Metropolitan Area, China</t>
        </is>
      </c>
      <c r="U271" t="inlineStr">
        <is>
          <t>built environment; walking activity; the elderly; probability; frequency and duration; Zero-inflated Poisson Regression; sustainable transportation</t>
        </is>
      </c>
      <c r="V271" t="inlineStr">
        <is>
          <t>PHYSICAL-ACTIVITY SCALE; NEIGHBORHOOD ENVIRONMENT; OLDER-ADULTS; TRANSPORTATION; EPIDEMIOLOGY; ATTRIBUTES; EXERCISE; OBESITY; HEALTH; TRAVEL</t>
        </is>
      </c>
      <c r="W271" t="inlineStr">
        <is>
          <t>Policies and interventions involving the built environment have become a promising opportunity for the promotion of walking as a sustainable transportation mode. Among voluminous literature, few studies were found that examined the association between the built environment and walking among the elderly in China. This study investigated the relationship between the built environment and the walking activity of the elderly based on data collected in Zhongshan Metropolitan Area, China. The results suggest that abundant sidewalks, dense bus stops, easily accessible commercial establishments, and ample green land space are potentially effective to enhance walking among the elderly, albeit to varied degrees. The compact urban form, which is considered as walkability in the western context, may not necessarily play a positive role in Zhongshan's context. The findings provide insights into the policy-making to promote sustainable transportation modes and the design of interventions on health promotion of the elderly in China.</t>
        </is>
      </c>
      <c r="X271" t="inlineStr">
        <is>
          <t>[Zhang, Yi; Li, Chaoyang] Shanghai Jiao Tong Univ, Sch Naval Architecture Ocean &amp; Civil Engn, Shanghai 200240, Peoples R China; [Li, Yuan] Xiamen Univ, Sch Architecture &amp; Civil Engn, Xiamen 361005, Peoples R China; [Liu, Qixing] Erasmus Univ, Rotterdam Sch Management, NL-3062 PA Rotterdam, Netherlands</t>
        </is>
      </c>
      <c r="Y271" t="inlineStr">
        <is>
          <t>Shanghai Jiao Tong University; Xiamen University; Erasmus University Rotterdam - Excl Erasmus MC; Erasmus University Rotterdam</t>
        </is>
      </c>
      <c r="Z271" t="inlineStr">
        <is>
          <t>Li, CY (corresponding author), Shanghai Jiao Tong Univ, Sch Naval Architecture Ocean &amp; Civil Engn, 800 Dongchuan Rd, Shanghai 200240, Peoples R China.</t>
        </is>
      </c>
      <c r="AA271" t="inlineStr">
        <is>
          <t>darrenzhy@sjtu.edu.cn; liyuan79@xmu.edu.cn; qliu@mba15.rsm.nl; cyljjf@sjtu.edu.cn</t>
        </is>
      </c>
      <c r="AB271" t="inlineStr">
        <is>
          <t>Li, Chao/GSM-8117-2022; ZHANG, YI/L-7428-2019</t>
        </is>
      </c>
      <c r="AC271" t="inlineStr">
        <is>
          <t>Li, Chao/0000-0001-6110-6210;</t>
        </is>
      </c>
      <c r="AD271" t="inlineStr">
        <is>
          <t>National Social Science Foundation of China [12ZD203]; National Natural Science Foundation of China [51308336]; China Postdoctoral Science Foundation [2013M541522]; Social Science Foundation of Shanghai Jiao Tong University [12TS15]</t>
        </is>
      </c>
      <c r="AE271" t="inlineStr">
        <is>
          <t>National Social Science Foundation of China(National Office of Philosophy and Social Sciences); National Natural Science Foundation of China(National Natural Science Foundation of China (NSFC)); China Postdoctoral Science Foundation(China Postdoctoral Science Foundation); Social Science Foundation of Shanghai Jiao Tong University</t>
        </is>
      </c>
      <c r="AF271" t="inlineStr">
        <is>
          <t>The authors acknowledge the financial support of Project 12&amp;ZD203 by National Social Science Foundation of China, Project 51308336 by National Natural Science Foundation of China, Project 2013M541522 by China Postdoctoral Science Foundation, and Project 12TS15 by Social Science Foundation of Shanghai Jiao Tong University.</t>
        </is>
      </c>
      <c r="AH271" t="n">
        <v>49</v>
      </c>
      <c r="AI271" t="n">
        <v>53</v>
      </c>
      <c r="AJ271" t="n">
        <v>57</v>
      </c>
      <c r="AK271" t="n">
        <v>7</v>
      </c>
      <c r="AL271" t="n">
        <v>121</v>
      </c>
      <c r="AM271" t="inlineStr">
        <is>
          <t>MDPI</t>
        </is>
      </c>
      <c r="AN271" t="inlineStr">
        <is>
          <t>BASEL</t>
        </is>
      </c>
      <c r="AO271" t="inlineStr">
        <is>
          <t>ST ALBAN-ANLAGE 66, CH-4052 BASEL, SWITZERLAND</t>
        </is>
      </c>
      <c r="AQ271" t="inlineStr">
        <is>
          <t>2071-1050</t>
        </is>
      </c>
      <c r="AS271" t="inlineStr">
        <is>
          <t>SUSTAINABILITY-BASEL</t>
        </is>
      </c>
      <c r="AT271" t="inlineStr">
        <is>
          <t>Sustainability</t>
        </is>
      </c>
      <c r="AU271" t="inlineStr">
        <is>
          <t>FEB</t>
        </is>
      </c>
      <c r="AV271" t="n">
        <v>2014</v>
      </c>
      <c r="AW271" t="n">
        <v>6</v>
      </c>
      <c r="AX271" t="n">
        <v>2</v>
      </c>
      <c r="BC271" t="n">
        <v>1076</v>
      </c>
      <c r="BD271" t="n">
        <v>1092</v>
      </c>
      <c r="BF271" t="inlineStr">
        <is>
          <t>10.3390/su6021076</t>
        </is>
      </c>
      <c r="BG271">
        <f>HYPERLINK("http://dx.doi.org/10.3390/su6021076","http://dx.doi.org/10.3390/su6021076")</f>
        <v/>
      </c>
      <c r="BJ271" t="n">
        <v>17</v>
      </c>
      <c r="BK271" t="inlineStr">
        <is>
          <t>Green &amp; Sustainable Science &amp; Technology; Environmental Sciences; Environmental Studies</t>
        </is>
      </c>
      <c r="BL271" t="inlineStr">
        <is>
          <t>Science Citation Index Expanded (SCI-EXPANDED); Social Science Citation Index (SSCI)</t>
        </is>
      </c>
      <c r="BM271" t="inlineStr">
        <is>
          <t>Science &amp; Technology - Other Topics; Environmental Sciences &amp; Ecology</t>
        </is>
      </c>
      <c r="BN271" t="inlineStr">
        <is>
          <t>AB9OC</t>
        </is>
      </c>
      <c r="BP271" t="inlineStr">
        <is>
          <t>Green Submitted, Green Published, gold</t>
        </is>
      </c>
      <c r="BS271" t="inlineStr">
        <is>
          <t>2023-10-26</t>
        </is>
      </c>
      <c r="BT271" t="inlineStr">
        <is>
          <t>WOS:000332123100034</t>
        </is>
      </c>
      <c r="BU271">
        <f>HYPERLINK("https%3A%2F%2Fwww.webofscience.com%2Fwos%2Fwoscc%2Ffull-record%2FWOS:000332123100034","View Full Record in Web of Science")</f>
        <v/>
      </c>
    </row>
    <row r="272">
      <c r="A272" t="inlineStr">
        <is>
          <t>J</t>
        </is>
      </c>
      <c r="B272" t="inlineStr">
        <is>
          <t>Cho, HM; Lee, J; Wi, S; Kim, S</t>
        </is>
      </c>
      <c r="F272" t="inlineStr">
        <is>
          <t>Cho, Hyun Mi; Lee, Jongki; Wi, Seunghwan; Kim, Sumin</t>
        </is>
      </c>
      <c r="J272" t="inlineStr">
        <is>
          <t>JOURNAL OF CLEANER PRODUCTION</t>
        </is>
      </c>
      <c r="M272" t="inlineStr">
        <is>
          <t>English</t>
        </is>
      </c>
      <c r="N272" t="inlineStr">
        <is>
          <t>Article</t>
        </is>
      </c>
      <c r="T272" t="inlineStr">
        <is>
          <t>Field study on indoor air quality of wood remodeled welfare facilities for physical and psychological benefits</t>
        </is>
      </c>
      <c r="U272" t="inlineStr">
        <is>
          <t>Indoor air quality (IAQ); Wood remodeling; Welfare facility; Wood material; Eco-design</t>
        </is>
      </c>
      <c r="V272" t="inlineStr">
        <is>
          <t>DAY-CARE-CENTERS; PARTICULATE MATTER; HEALTH; POLLUTION; EXPOSURE; COMFORT; RESIDENCES; SCHOOLS; PM</t>
        </is>
      </c>
      <c r="W272" t="inlineStr">
        <is>
          <t>Outdoor pollutants are well documented and monitored due to existing air quality regulations in many parts of the world. However, as information regarding indoor air quality is still limited, there are not enough information for indoor air pollutants. Indoor air quality pollutants are harmful to human health and are especially dangerous to vulnerable populations, such as elderly people and children. The effects of indoor environment and indoor air pollutants on children and the elderly are being studied worldwide. Ultimately, this paper highlights the prospect of remodeling wood interior, an indoor air pollutants reduction strategy that will help improve indoor air quality and public health. Wood is an environmentally friendly building material with low thermal conductivity and humidity control, and wood interior remodeling can protect people's health from indoor air pollutants. In this paper, twelve indoor air quality factors were measured: comfort factor (temperature and relative humidity), particulate matter, biological pollutants (total airborne bacteria), Airborne asbestos fibers, and chemical pollutants (carbon monoxide and dioxide, formaldehyde, volatile organic compounds, radon, ozone and nitrogen oxides). The average value of the indoor air quality factors for 12 welfare facilities is as follows. The average particulate matter was less than 12 mu g/m', the average of carbon dioxidewas 754.2 ppm, the formaldehyde was 46.6 mu g/m', the volatile organic compounds was 335.0 mu g/m', the total airborne bacteria was 37.8 CFU/m' and the radon was 59.5Bq/m'. As a result, almost all of the measurement locations were found to satisfy the international indoor air quality guidelines. It is thus judged that interior remodeling using wood can improve the indoor air quality of welfare facilities, and that it is necessary to constantly measure indoor air quality for accurate indoor air quality analysis. (C) 2019 Elsevier Ltd. All rights reserved.</t>
        </is>
      </c>
      <c r="X272" t="inlineStr">
        <is>
          <t>[Cho, Hyun Mi; Lee, Jongki; Wi, Seunghwan; Kim, Sumin] Yonsei Univ, Dept Architecture &amp; Architectural Engn, Seoul 03722, South Korea</t>
        </is>
      </c>
      <c r="Y272" t="inlineStr">
        <is>
          <t>Yonsei University</t>
        </is>
      </c>
      <c r="Z272" t="inlineStr">
        <is>
          <t>Kim, S (corresponding author), Yonsei Univ, Dept Architecture &amp; Architectural Engn, Seoul 03722, South Korea.</t>
        </is>
      </c>
      <c r="AA272" t="inlineStr">
        <is>
          <t>kimsumin@yonsei.ac.kr</t>
        </is>
      </c>
      <c r="AB272" t="inlineStr">
        <is>
          <t>Wi, Seunghwan/ABD-6024-2021; Kim, Sumin/AAI-1978-2020</t>
        </is>
      </c>
      <c r="AC272" t="inlineStr">
        <is>
          <t>Wi, Seunghwan/0000-0002-6263-9200; Kim, Sumin/0000-0003-2278-5278</t>
        </is>
      </c>
      <c r="AD272" t="inlineStr">
        <is>
          <t>Yonsei University [2018-22-0193]; Korea Association of Wood Culture</t>
        </is>
      </c>
      <c r="AE272" t="inlineStr">
        <is>
          <t>Yonsei University; Korea Association of Wood Culture</t>
        </is>
      </c>
      <c r="AF272" t="inlineStr">
        <is>
          <t>This research was supported by the Yonsei University Research Fund of 2018 (2018-22-0193). This work was supported by Korea Association of Wood Culture.</t>
        </is>
      </c>
      <c r="AH272" t="n">
        <v>51</v>
      </c>
      <c r="AI272" t="n">
        <v>14</v>
      </c>
      <c r="AJ272" t="n">
        <v>14</v>
      </c>
      <c r="AK272" t="n">
        <v>8</v>
      </c>
      <c r="AL272" t="n">
        <v>87</v>
      </c>
      <c r="AM272" t="inlineStr">
        <is>
          <t>ELSEVIER SCI LTD</t>
        </is>
      </c>
      <c r="AN272" t="inlineStr">
        <is>
          <t>OXFORD</t>
        </is>
      </c>
      <c r="AO272" t="inlineStr">
        <is>
          <t>THE BOULEVARD, LANGFORD LANE, KIDLINGTON, OXFORD OX5 1GB, OXON, ENGLAND</t>
        </is>
      </c>
      <c r="AP272" t="inlineStr">
        <is>
          <t>0959-6526</t>
        </is>
      </c>
      <c r="AQ272" t="inlineStr">
        <is>
          <t>1879-1786</t>
        </is>
      </c>
      <c r="AS272" t="inlineStr">
        <is>
          <t>J CLEAN PROD</t>
        </is>
      </c>
      <c r="AT272" t="inlineStr">
        <is>
          <t>J. Clean Prod.</t>
        </is>
      </c>
      <c r="AU272" t="inlineStr">
        <is>
          <t>OCT 1</t>
        </is>
      </c>
      <c r="AV272" t="n">
        <v>2019</v>
      </c>
      <c r="AW272" t="n">
        <v>233</v>
      </c>
      <c r="BC272" t="n">
        <v>197</v>
      </c>
      <c r="BD272" t="n">
        <v>208</v>
      </c>
      <c r="BF272" t="inlineStr">
        <is>
          <t>10.1016/j.jclepro.2019.05.293</t>
        </is>
      </c>
      <c r="BG272">
        <f>HYPERLINK("http://dx.doi.org/10.1016/j.jclepro.2019.05.293","http://dx.doi.org/10.1016/j.jclepro.2019.05.293")</f>
        <v/>
      </c>
      <c r="BJ272" t="n">
        <v>12</v>
      </c>
      <c r="BK272" t="inlineStr">
        <is>
          <t>Green &amp; Sustainable Science &amp; Technology; Engineering, Environmental; Environmental Sciences</t>
        </is>
      </c>
      <c r="BL272" t="inlineStr">
        <is>
          <t>Science Citation Index Expanded (SCI-EXPANDED); Social Science Citation Index (SSCI)</t>
        </is>
      </c>
      <c r="BM272" t="inlineStr">
        <is>
          <t>Science &amp; Technology - Other Topics; Engineering; Environmental Sciences &amp; Ecology</t>
        </is>
      </c>
      <c r="BN272" t="inlineStr">
        <is>
          <t>IN9VC</t>
        </is>
      </c>
      <c r="BS272" t="inlineStr">
        <is>
          <t>2023-10-26</t>
        </is>
      </c>
      <c r="BT272" t="inlineStr">
        <is>
          <t>WOS:000479025500016</t>
        </is>
      </c>
      <c r="BU272">
        <f>HYPERLINK("https%3A%2F%2Fwww.webofscience.com%2Fwos%2Fwoscc%2Ffull-record%2FWOS:000479025500016","View Full Record in Web of Science")</f>
        <v/>
      </c>
    </row>
    <row r="273">
      <c r="A273" t="inlineStr">
        <is>
          <t>J</t>
        </is>
      </c>
      <c r="B273" t="inlineStr">
        <is>
          <t>Weerasinghe, NH; Silva, PK; Jayasinghe, RR; Abeyrathna, WP; John, GKP; Halwatura, RU</t>
        </is>
      </c>
      <c r="F273" t="inlineStr">
        <is>
          <t>Weerasinghe, Nilanka Harshani; Silva, Pasindu Kavishna; Jayasinghe, Rohantha Rukshan; Abeyrathna, Wasudha Prabodhani; John, Gayanthi Krishani Perera; Halwatura, Rangika Umesh</t>
        </is>
      </c>
      <c r="J273" t="inlineStr">
        <is>
          <t>CLEANER ENGINEERING AND TECHNOLOGY</t>
        </is>
      </c>
      <c r="M273" t="inlineStr">
        <is>
          <t>English</t>
        </is>
      </c>
      <c r="N273" t="inlineStr">
        <is>
          <t>Article</t>
        </is>
      </c>
      <c r="T273" t="inlineStr">
        <is>
          <t>Reducing CO2 level in the indoor urban built environment: Analysing indoor plants under different light levels</t>
        </is>
      </c>
      <c r="U273" t="inlineStr">
        <is>
          <t>Carbon dioxide; Indoor air quality; Indoor plants; Lux level</t>
        </is>
      </c>
      <c r="V273" t="inlineStr">
        <is>
          <t>SICK BUILDING SYNDROME; AIR-QUALITY; CO2; HEALTH</t>
        </is>
      </c>
      <c r="W273" t="inlineStr">
        <is>
          <t>Recent studies have highlighted that people spend most of their time indoors, making indoor air quality a critical concern. Indoor air pollution can have detrimental effects on human health, and the concentration of carbon dioxide (CO2) in indoor environments is a crucial factor that needs to be monitored and controlled. Plants have been recognized globally as environmentally friendly and natural air purification mechanisms. Therefore, the feasibility of using indoor plants as an indoor air pollution mitigation measure was investigated in this study. While several studies have been conducted in temperate regions, only a few have focused on tropical climates. Therefore, this research aims to fill this gap by assessing the capacity of selected indoor plant species popular in Sri Lanka to reduce CO2 levels in indoor environments under varying lighting. Six plant species, including Chlorophytum comosum, Spathiphyllum blandum, Philodendron hederaceum, Sansevieria trifasciata, Aglaonema commutatum, and Dracaena fragrans, were evaluated for their ability to remove CO2 from indoor environments. The study found that Spathiphyllum blandum was the most efficient species in CO2 assimilation rate under all four lighting levels. Additionally, the study revealed that CO2 assimilation rates increase with higher light intensity. The findings suggest that certain indoor plant species can effectively mitigate indoor air pollution and that supplementary lighting can improve their CO2 removal efficiency. This research is significant because it provides insight into the potential use of indoor plants in tropical climates as a sustainable and natural way of improving indoor air quality.</t>
        </is>
      </c>
      <c r="X273" t="inlineStr">
        <is>
          <t>[Weerasinghe, Nilanka Harshani; Silva, Pasindu Kavishna; Jayasinghe, Rohantha Rukshan; Abeyrathna, Wasudha Prabodhani; John, Gayanthi Krishani Perera; Halwatura, Rangika Umesh] Univ Moratuwa, Dept Civil Engn, Bandaranayake Mawatha, Katubedda, Sri Lanka</t>
        </is>
      </c>
      <c r="Y273" t="inlineStr">
        <is>
          <t>University Moratuwa</t>
        </is>
      </c>
      <c r="Z273" t="inlineStr">
        <is>
          <t>Weerasinghe, NH (corresponding author), Univ Moratuwa, Dept Civil Engn, Bandaranayake Mawatha, Katubedda, Sri Lanka.</t>
        </is>
      </c>
      <c r="AA273" t="inlineStr">
        <is>
          <t>weerasinghekgnh.20@uom.lk</t>
        </is>
      </c>
      <c r="AB273" t="inlineStr">
        <is>
          <t>Jayasinghe, Rohantha Rukshan/HKO-8184-2023</t>
        </is>
      </c>
      <c r="AC273" t="inlineStr">
        <is>
          <t>Jayasinghe, Rohantha Rukshan/0000-0001-6196-5605</t>
        </is>
      </c>
      <c r="AH273" t="n">
        <v>49</v>
      </c>
      <c r="AI273" t="n">
        <v>0</v>
      </c>
      <c r="AJ273" t="n">
        <v>0</v>
      </c>
      <c r="AK273" t="n">
        <v>0</v>
      </c>
      <c r="AL273" t="n">
        <v>0</v>
      </c>
      <c r="AM273" t="inlineStr">
        <is>
          <t>ELSEVIER</t>
        </is>
      </c>
      <c r="AN273" t="inlineStr">
        <is>
          <t>AMSTERDAM</t>
        </is>
      </c>
      <c r="AO273" t="inlineStr">
        <is>
          <t>RADARWEG 29, 1043 NX AMSTERDAM, NETHERLANDS</t>
        </is>
      </c>
      <c r="AP273" t="inlineStr">
        <is>
          <t>2666-7908</t>
        </is>
      </c>
      <c r="AS273" t="inlineStr">
        <is>
          <t>CLEAN ENG TECHNOL</t>
        </is>
      </c>
      <c r="AT273" t="inlineStr">
        <is>
          <t>Cleaner Eng. Technol.</t>
        </is>
      </c>
      <c r="AU273" t="inlineStr">
        <is>
          <t>JUN</t>
        </is>
      </c>
      <c r="AV273" t="n">
        <v>2023</v>
      </c>
      <c r="AW273" t="n">
        <v>14</v>
      </c>
      <c r="BE273" t="n">
        <v>100645</v>
      </c>
      <c r="BF273" t="inlineStr">
        <is>
          <t>10.1016/j.clet.2023.100645</t>
        </is>
      </c>
      <c r="BG273">
        <f>HYPERLINK("http://dx.doi.org/10.1016/j.clet.2023.100645","http://dx.doi.org/10.1016/j.clet.2023.100645")</f>
        <v/>
      </c>
      <c r="BI273" t="inlineStr">
        <is>
          <t>JUN 2023</t>
        </is>
      </c>
      <c r="BJ273" t="n">
        <v>10</v>
      </c>
      <c r="BK273" t="inlineStr">
        <is>
          <t>Green &amp; Sustainable Science &amp; Technology; Engineering, Environmental; Environmental Sciences</t>
        </is>
      </c>
      <c r="BL273" t="inlineStr">
        <is>
          <t>Emerging Sources Citation Index (ESCI)</t>
        </is>
      </c>
      <c r="BM273" t="inlineStr">
        <is>
          <t>Science &amp; Technology - Other Topics; Engineering; Environmental Sciences &amp; Ecology</t>
        </is>
      </c>
      <c r="BN273" t="inlineStr">
        <is>
          <t>K7UG7</t>
        </is>
      </c>
      <c r="BP273" t="inlineStr">
        <is>
          <t>gold</t>
        </is>
      </c>
      <c r="BS273" t="inlineStr">
        <is>
          <t>2023-10-26</t>
        </is>
      </c>
      <c r="BT273" t="inlineStr">
        <is>
          <t>WOS:001018447900001</t>
        </is>
      </c>
      <c r="BU273">
        <f>HYPERLINK("https%3A%2F%2Fwww.webofscience.com%2Fwos%2Fwoscc%2Ffull-record%2FWOS:001018447900001","View Full Record in Web of Science")</f>
        <v/>
      </c>
    </row>
    <row r="274">
      <c r="A274" t="inlineStr">
        <is>
          <t>J</t>
        </is>
      </c>
      <c r="B274" t="inlineStr">
        <is>
          <t>Kropat, G; Bochud, F; Jaboyedoff, M; Laedermann, JP; Murith, C; Palacios, M; Baechler, S</t>
        </is>
      </c>
      <c r="F274" t="inlineStr">
        <is>
          <t>Kropat, Georg; Bochud, Francois; Jaboyedoff, Michel; Laedermann, Jean-Pascal; Murith, Christophe; Palacios (Gruson), Martha; Baechler, Sebastien</t>
        </is>
      </c>
      <c r="J274" t="inlineStr">
        <is>
          <t>SCIENCE OF THE TOTAL ENVIRONMENT</t>
        </is>
      </c>
      <c r="M274" t="inlineStr">
        <is>
          <t>English</t>
        </is>
      </c>
      <c r="N274" t="inlineStr">
        <is>
          <t>Article</t>
        </is>
      </c>
      <c r="T274" t="inlineStr">
        <is>
          <t>Predictive analysis and mapping of indoor radon concentrations in a complex environment using kernel estimation: An application to Switzerland</t>
        </is>
      </c>
      <c r="U274" t="inlineStr">
        <is>
          <t>Indoor radon; Kernel regression; Predictive mapping; Probability mapping; Switzerland; Geology</t>
        </is>
      </c>
      <c r="V274" t="inlineStr">
        <is>
          <t>RESIDENTIAL RADON; REGION; MODEL; PART; MAP; METHODOLOGY; DWELLINGS; AUSTRIA; IMPROVE; HAZARD</t>
        </is>
      </c>
      <c r="W274" t="inlineStr">
        <is>
          <t>Purpose: The aim of this study was to develop models based on kernel regression and probability estimation in order to predict and map IRC in Switzerland by taking into account all of the following: architectural factors, spatial relationships between the measurements, as well as geological information. Methods: We looked at about 240000 IRC measurements carried out in about 150000 houses. As predictor variables we included: building type, foundation type, year of construction, detector type, geographical coordinates, altitude, temperature and lithology into the kernel estimation models. We developed predictive maps as well as a map of the local probability to exceed 300 Bq/m(3). Additionally, we developed a map of a confidence index in order to estimate the reliability of the probability map. Results: Our models were able to explain 28% of the variations of IRC data. All variables added information to the model. The model estimation revealed a bandwidth for each variable, making it possible to characterize the influence of each variable on the IRC estimation. Furthermore, we assessed the mapping characteristics of kernel estimation overall as well as by municipality. Overall, our model reproduces spatial IRC patterns which were already obtained earlier. On the municipal level, we could show that our model accounts well for IRC trends within municipal boundaries. Finally, we found that different building characteristics result in different IRC maps. Maps corresponding to detached houses with concrete foundations indicate systematically smaller IRC than maps corresponding to farms with earth foundation. Conclusions: IRC mapping based on kernel estimation is a powerful tool to predict and analyze IRC on a large-scale as well as on a local level. This approach enables to develop tailor-made maps for different architectural elements and measurement conditions and to account at the same time for geological information and spatial relations between IRC measurements. (C) 2014 Elsevier B.V. All rights reserved.</t>
        </is>
      </c>
      <c r="X274" t="inlineStr">
        <is>
          <t>[Kropat, Georg; Bochud, Francois; Laedermann, Jean-Pascal; Baechler, Sebastien] Univ Lausanne Hosp, Inst Radiat Phys, CH-1007 Lausanne, Switzerland; [Murith, Christophe; Palacios (Gruson), Martha; Baechler, Sebastien] Swiss Fed Off Publ Hlth, CH-3003 Bern, Switzerland; [Jaboyedoff, Michel] Univ Lausanne, Fac Geosci &amp; Environm, GEOPOLIS 3793, CH-1015 Lausanne, Switzerland</t>
        </is>
      </c>
      <c r="Y274" t="inlineStr">
        <is>
          <t>University of Lausanne; Centre Hospitalier Universitaire Vaudois (CHUV); University of Lausanne</t>
        </is>
      </c>
      <c r="Z274" t="inlineStr">
        <is>
          <t>Kropat, G (corresponding author), Univ Hosp Ctr Lausanne CHUV, Inst Radiat Phys, Rue Grand Pre 1, CH-1007 Lausanne, Switzerland.</t>
        </is>
      </c>
      <c r="AA274" t="inlineStr">
        <is>
          <t>georg.kropat@chuv.ch</t>
        </is>
      </c>
      <c r="AB274" t="inlineStr">
        <is>
          <t>Bochud, François O./D-1324-2009</t>
        </is>
      </c>
      <c r="AC274" t="inlineStr">
        <is>
          <t>Bochud, Francois/0000-0003-2076-0296; Jaboyedoff, Michel/0000-0002-6419-695X; Kropat, Georg/0000-0001-7523-2613</t>
        </is>
      </c>
      <c r="AH274" t="n">
        <v>55</v>
      </c>
      <c r="AI274" t="n">
        <v>27</v>
      </c>
      <c r="AJ274" t="n">
        <v>27</v>
      </c>
      <c r="AK274" t="n">
        <v>0</v>
      </c>
      <c r="AL274" t="n">
        <v>15</v>
      </c>
      <c r="AM274" t="inlineStr">
        <is>
          <t>ELSEVIER</t>
        </is>
      </c>
      <c r="AN274" t="inlineStr">
        <is>
          <t>AMSTERDAM</t>
        </is>
      </c>
      <c r="AO274" t="inlineStr">
        <is>
          <t>RADARWEG 29, 1043 NX AMSTERDAM, NETHERLANDS</t>
        </is>
      </c>
      <c r="AP274" t="inlineStr">
        <is>
          <t>0048-9697</t>
        </is>
      </c>
      <c r="AQ274" t="inlineStr">
        <is>
          <t>1879-1026</t>
        </is>
      </c>
      <c r="AS274" t="inlineStr">
        <is>
          <t>SCI TOTAL ENVIRON</t>
        </is>
      </c>
      <c r="AT274" t="inlineStr">
        <is>
          <t>Sci. Total Environ.</t>
        </is>
      </c>
      <c r="AU274" t="inlineStr">
        <is>
          <t>FEB 1</t>
        </is>
      </c>
      <c r="AV274" t="n">
        <v>2015</v>
      </c>
      <c r="AW274" t="n">
        <v>505</v>
      </c>
      <c r="BC274" t="n">
        <v>137</v>
      </c>
      <c r="BD274" t="n">
        <v>148</v>
      </c>
      <c r="BF274" t="inlineStr">
        <is>
          <t>10.1016/j.scitotenv.2014.09.064</t>
        </is>
      </c>
      <c r="BG274">
        <f>HYPERLINK("http://dx.doi.org/10.1016/j.scitotenv.2014.09.064","http://dx.doi.org/10.1016/j.scitotenv.2014.09.064")</f>
        <v/>
      </c>
      <c r="BJ274" t="n">
        <v>12</v>
      </c>
      <c r="BK274" t="inlineStr">
        <is>
          <t>Environmental Sciences</t>
        </is>
      </c>
      <c r="BL274" t="inlineStr">
        <is>
          <t>Science Citation Index Expanded (SCI-EXPANDED)</t>
        </is>
      </c>
      <c r="BM274" t="inlineStr">
        <is>
          <t>Environmental Sciences &amp; Ecology</t>
        </is>
      </c>
      <c r="BN274" t="inlineStr">
        <is>
          <t>AY6CJ</t>
        </is>
      </c>
      <c r="BO274" t="n">
        <v>25314691</v>
      </c>
      <c r="BS274" t="inlineStr">
        <is>
          <t>2023-10-26</t>
        </is>
      </c>
      <c r="BT274" t="inlineStr">
        <is>
          <t>WOS:000347654900013</t>
        </is>
      </c>
      <c r="BU274">
        <f>HYPERLINK("https%3A%2F%2Fwww.webofscience.com%2Fwos%2Fwoscc%2Ffull-record%2FWOS:000347654900013","View Full Record in Web of Science")</f>
        <v/>
      </c>
    </row>
    <row r="275">
      <c r="A275" t="inlineStr">
        <is>
          <t>J</t>
        </is>
      </c>
      <c r="B275" t="inlineStr">
        <is>
          <t>Iamtrakul, P; Chayphong, S; Jomnonkwao, S; Ratanavaraha, V</t>
        </is>
      </c>
      <c r="F275" t="inlineStr">
        <is>
          <t>Iamtrakul, Pawinee; Chayphong, Sararad; Jomnonkwao, Sajjakaj; Ratanavaraha, Vatanavongs</t>
        </is>
      </c>
      <c r="J275" t="inlineStr">
        <is>
          <t>SUSTAINABILITY</t>
        </is>
      </c>
      <c r="M275" t="inlineStr">
        <is>
          <t>English</t>
        </is>
      </c>
      <c r="N275" t="inlineStr">
        <is>
          <t>Article</t>
        </is>
      </c>
      <c r="T275" t="inlineStr">
        <is>
          <t>The Association of Falls Risk in Older Adults and Their Living Environment: A Case Study of Rural Area, Thailand</t>
        </is>
      </c>
      <c r="U275" t="inlineStr">
        <is>
          <t>accidental falls; elderly; home and environment hazards; older adults; rural area</t>
        </is>
      </c>
      <c r="V275" t="inlineStr">
        <is>
          <t>PREVENTING FALLS; ELDERLY PERSONS; HOME ACCIDENTS; PEOPLE; COMMUNITY; INJURIES; INTERVENTION; CONSEQUENCES; METAANALYSIS; POPULATION</t>
        </is>
      </c>
      <c r="W275" t="inlineStr">
        <is>
          <t>Falls in older adults have become a serious problem and a major cause of home injuries and even deaths. The increasing number of older people that will enter the older adults category in a few years' time calls for an effective plan to mitigate the risk factors to falling. This article reported on our study of the relationship between living environment hazards and fall risk in older adults to reduce and prevent the risk of falling using a specific case of a rural area in Thailand. A site investigation together with a questionnaire survey were conducted in a total of 950 homes of older people who were interviewed in conjunction with authorities from Banphaeo district of Samutsakorn Province, Thailand. Using a multinomial logistic regression model, this research found the following risk of falls based on the categorizations of the calculated risk factors among socio-economic characteristics (sex, age, marital status, income), health status (congenital diseases), and living environment characteristics (toilet availability in bedroom). The analysis identified a multifactorial relationship involving intrinsic and extrinsic factors that determined fall risk among older adults. Based on the findings of the research, risk factors associated with socioeconomic determinants in term of poverty were found as a key barrier in promoting the health and well-being of older adults. We recommend interventions for fall prevention and fall risk-reduction strategies through improvement of the physical environment in the homes of older adults as a proactive measure to lessen the causes of home injuries from falls.</t>
        </is>
      </c>
      <c r="X275" t="inlineStr">
        <is>
          <t>[Iamtrakul, Pawinee; Chayphong, Sararad] Thammasat Univ, Fac Architecture &amp; Planning, Ctr Excellence Urban Mobil Res &amp; Innovat, Pathum Thani 12120, Thailand; [Jomnonkwao, Sajjakaj; Ratanavaraha, Vatanavongs] Suranaree Univ Technol, Sch Transportat Engn, Inst Engn, Nakhon Ratchasima 30000, Thailand</t>
        </is>
      </c>
      <c r="Y275" t="inlineStr">
        <is>
          <t>Thammasat University; Suranaree University of Technology</t>
        </is>
      </c>
      <c r="Z275" t="inlineStr">
        <is>
          <t>Iamtrakul, P (corresponding author), Thammasat Univ, Fac Architecture &amp; Planning, Ctr Excellence Urban Mobil Res &amp; Innovat, Pathum Thani 12120, Thailand.</t>
        </is>
      </c>
      <c r="AA275" t="inlineStr">
        <is>
          <t>pawinee@ap.tu.ac.th; s_ararad@hotmail.com; sajjakaj@g.sut.ac.th; vatanavongs@g.sut.ac.th</t>
        </is>
      </c>
      <c r="AB275" t="inlineStr">
        <is>
          <t>Jomnonkwao, Sajjakaj/AAM-6092-2020; IAMTRAKUL, Pawinee/ADM-1059-2022</t>
        </is>
      </c>
      <c r="AC275" t="inlineStr">
        <is>
          <t>Jomnonkwao, Sajjakaj/0000-0002-9369-2741; IAMTRAKUL, Pawinee/0000-0003-1362-2995; ratanavaraha, Vatanavongs/0000-0002-4620-5058</t>
        </is>
      </c>
      <c r="AD275" t="inlineStr">
        <is>
          <t>National Research Council of Thailand [TU2017015]</t>
        </is>
      </c>
      <c r="AE275" t="inlineStr">
        <is>
          <t>National Research Council of Thailand(National Research Council of Thailand (NRCT))</t>
        </is>
      </c>
      <c r="AF275" t="inlineStr">
        <is>
          <t>This research received funding from the National Research Council of Thailand (TU2017015).</t>
        </is>
      </c>
      <c r="AH275" t="n">
        <v>73</v>
      </c>
      <c r="AI275" t="n">
        <v>3</v>
      </c>
      <c r="AJ275" t="n">
        <v>3</v>
      </c>
      <c r="AK275" t="n">
        <v>3</v>
      </c>
      <c r="AL275" t="n">
        <v>9</v>
      </c>
      <c r="AM275" t="inlineStr">
        <is>
          <t>MDPI</t>
        </is>
      </c>
      <c r="AN275" t="inlineStr">
        <is>
          <t>BASEL</t>
        </is>
      </c>
      <c r="AO275" t="inlineStr">
        <is>
          <t>ST ALBAN-ANLAGE 66, CH-4052 BASEL, SWITZERLAND</t>
        </is>
      </c>
      <c r="AQ275" t="inlineStr">
        <is>
          <t>2071-1050</t>
        </is>
      </c>
      <c r="AS275" t="inlineStr">
        <is>
          <t>SUSTAINABILITY-BASEL</t>
        </is>
      </c>
      <c r="AT275" t="inlineStr">
        <is>
          <t>Sustainability</t>
        </is>
      </c>
      <c r="AU275" t="inlineStr">
        <is>
          <t>DEC</t>
        </is>
      </c>
      <c r="AV275" t="n">
        <v>2021</v>
      </c>
      <c r="AW275" t="n">
        <v>13</v>
      </c>
      <c r="AX275" t="n">
        <v>24</v>
      </c>
      <c r="BE275" t="n">
        <v>13756</v>
      </c>
      <c r="BF275" t="inlineStr">
        <is>
          <t>10.3390/su132413756</t>
        </is>
      </c>
      <c r="BG275">
        <f>HYPERLINK("http://dx.doi.org/10.3390/su132413756","http://dx.doi.org/10.3390/su132413756")</f>
        <v/>
      </c>
      <c r="BJ275" t="n">
        <v>16</v>
      </c>
      <c r="BK275" t="inlineStr">
        <is>
          <t>Green &amp; Sustainable Science &amp; Technology; Environmental Sciences; Environmental Studies</t>
        </is>
      </c>
      <c r="BL275" t="inlineStr">
        <is>
          <t>Science Citation Index Expanded (SCI-EXPANDED); Social Science Citation Index (SSCI)</t>
        </is>
      </c>
      <c r="BM275" t="inlineStr">
        <is>
          <t>Science &amp; Technology - Other Topics; Environmental Sciences &amp; Ecology</t>
        </is>
      </c>
      <c r="BN275" t="inlineStr">
        <is>
          <t>XY9XW</t>
        </is>
      </c>
      <c r="BP275" t="inlineStr">
        <is>
          <t>gold</t>
        </is>
      </c>
      <c r="BS275" t="inlineStr">
        <is>
          <t>2023-10-26</t>
        </is>
      </c>
      <c r="BT275" t="inlineStr">
        <is>
          <t>WOS:000737318800001</t>
        </is>
      </c>
      <c r="BU275">
        <f>HYPERLINK("https%3A%2F%2Fwww.webofscience.com%2Fwos%2Fwoscc%2Ffull-record%2FWOS:000737318800001","View Full Record in Web of Science")</f>
        <v/>
      </c>
    </row>
    <row r="276">
      <c r="A276" t="inlineStr">
        <is>
          <t>J</t>
        </is>
      </c>
      <c r="B276" t="inlineStr">
        <is>
          <t>Zhang, H; Chang, PC; Tsai, MF</t>
        </is>
      </c>
      <c r="F276" t="inlineStr">
        <is>
          <t>Zhang, Heng; Chang, Po-Chien; Tsai, Ming-Fong</t>
        </is>
      </c>
      <c r="J276" t="inlineStr">
        <is>
          <t>SUSTAINABILITY</t>
        </is>
      </c>
      <c r="M276" t="inlineStr">
        <is>
          <t>English</t>
        </is>
      </c>
      <c r="N276" t="inlineStr">
        <is>
          <t>Article</t>
        </is>
      </c>
      <c r="T276" t="inlineStr">
        <is>
          <t>How Physical Environment Impacts Visitors′ Behavior in Learning-Based Tourism-The Example of Technology Museum</t>
        </is>
      </c>
      <c r="U276" t="inlineStr">
        <is>
          <t>learning-based tourism; science museum; motivation; constraint; museum planning; physical environment (PhE); visitor behavior; visitor satisfaction</t>
        </is>
      </c>
      <c r="V276" t="inlineStr">
        <is>
          <t>CONSTRAINT-NEGOTIATION PROCESS; SERVICE QUALITY; CUSTOMER SATISFACTION; CONSUMER SATISFACTION; LEISURE CONSTRAINTS; SERIOUS LEISURE; MODEL; PERFORMANCE; MOTIVATION; INTENTIONS</t>
        </is>
      </c>
      <c r="W276" t="inlineStr">
        <is>
          <t>Visiting a museum is a popular activity in the tourism industry, especially in cultural and learning-based tourism. To help plan museums effectively, this study investigated the underlying motivations and constraints and their impact on the perceived physical environment and visitor satisfaction toward a museum. The results suggest that the physical environment of museums serves as an axial mediator among motivations, constraints and visitor satisfaction. Six essential factors of physical environment are affected by motivations and constraints, further affecting visitor satisfaction in various patterns, in which architectural planning, exhibition, external environment, and entrance are clearly affected by basic motivations and constraints. Under motivations, family education and self-development are the most two profound influences on enhancing visitor satisfaction through the physical environment. Shops and cafe are worth special attention in meeting motivation of attractiveness, occasion and social interaction. The results could support the planning and design of a satisfactory museum.</t>
        </is>
      </c>
      <c r="X276" t="inlineStr">
        <is>
          <t>[Zhang, Heng; Tsai, Ming-Fong] Natl Cheng Kung Univ, Dept Architecture, 1 Univ Rd, Tainan 70101, Taiwan; [Chang, Po-Chien] Shih Hsin Univ, Dept Commun Management, 17,Lane 1,Sec 1 Mu Cha Rd, Taipei 11641, Taiwan</t>
        </is>
      </c>
      <c r="Y276" t="inlineStr">
        <is>
          <t>National Cheng Kung University; Shih Hsin University</t>
        </is>
      </c>
      <c r="Z276" t="inlineStr">
        <is>
          <t>Zhang, H (corresponding author), Natl Cheng Kung Univ, Dept Architecture, 1 Univ Rd, Tainan 70101, Taiwan.</t>
        </is>
      </c>
      <c r="AA276" t="inlineStr">
        <is>
          <t>changlin@mail.ncku.edu.tw; pochien@mail.shu.edu.tw; arch@nmth.gov.tw</t>
        </is>
      </c>
      <c r="AB276" t="inlineStr">
        <is>
          <t>Zhang, Heng/AAQ-3632-2021</t>
        </is>
      </c>
      <c r="AC276" t="inlineStr">
        <is>
          <t>Zhang, Heng/0000-0001-6574-384X</t>
        </is>
      </c>
      <c r="AD276" t="inlineStr">
        <is>
          <t>Ministry of Science and Technology Taiwan [NSC100-2511-S-006-002]</t>
        </is>
      </c>
      <c r="AE276" t="inlineStr">
        <is>
          <t>Ministry of Science and Technology Taiwan(Ministry of Science and Technology, Taiwan)</t>
        </is>
      </c>
      <c r="AF276" t="inlineStr">
        <is>
          <t>This research was funded by a grant from the Ministry of Science and Technology Taiwan with the project number: NSC100-2511-S-006-002.</t>
        </is>
      </c>
      <c r="AH276" t="n">
        <v>112</v>
      </c>
      <c r="AI276" t="n">
        <v>4</v>
      </c>
      <c r="AJ276" t="n">
        <v>5</v>
      </c>
      <c r="AK276" t="n">
        <v>12</v>
      </c>
      <c r="AL276" t="n">
        <v>81</v>
      </c>
      <c r="AM276" t="inlineStr">
        <is>
          <t>MDPI</t>
        </is>
      </c>
      <c r="AN276" t="inlineStr">
        <is>
          <t>BASEL</t>
        </is>
      </c>
      <c r="AO276" t="inlineStr">
        <is>
          <t>ST ALBAN-ANLAGE 66, CH-4052 BASEL, SWITZERLAND</t>
        </is>
      </c>
      <c r="AQ276" t="inlineStr">
        <is>
          <t>2071-1050</t>
        </is>
      </c>
      <c r="AS276" t="inlineStr">
        <is>
          <t>SUSTAINABILITY-BASEL</t>
        </is>
      </c>
      <c r="AT276" t="inlineStr">
        <is>
          <t>Sustainability</t>
        </is>
      </c>
      <c r="AU276" t="inlineStr">
        <is>
          <t>NOV</t>
        </is>
      </c>
      <c r="AV276" t="n">
        <v>2018</v>
      </c>
      <c r="AW276" t="n">
        <v>10</v>
      </c>
      <c r="AX276" t="n">
        <v>11</v>
      </c>
      <c r="BE276" t="n">
        <v>3880</v>
      </c>
      <c r="BF276" t="inlineStr">
        <is>
          <t>10.3390/su10113880</t>
        </is>
      </c>
      <c r="BG276">
        <f>HYPERLINK("http://dx.doi.org/10.3390/su10113880","http://dx.doi.org/10.3390/su10113880")</f>
        <v/>
      </c>
      <c r="BJ276" t="n">
        <v>25</v>
      </c>
      <c r="BK276" t="inlineStr">
        <is>
          <t>Green &amp; Sustainable Science &amp; Technology; Environmental Sciences; Environmental Studies</t>
        </is>
      </c>
      <c r="BL276" t="inlineStr">
        <is>
          <t>Science Citation Index Expanded (SCI-EXPANDED); Social Science Citation Index (SSCI)</t>
        </is>
      </c>
      <c r="BM276" t="inlineStr">
        <is>
          <t>Science &amp; Technology - Other Topics; Environmental Sciences &amp; Ecology</t>
        </is>
      </c>
      <c r="BN276" t="inlineStr">
        <is>
          <t>HC1AQ</t>
        </is>
      </c>
      <c r="BP276" t="inlineStr">
        <is>
          <t>gold, Green Submitted</t>
        </is>
      </c>
      <c r="BS276" t="inlineStr">
        <is>
          <t>2023-10-26</t>
        </is>
      </c>
      <c r="BT276" t="inlineStr">
        <is>
          <t>WOS:000451531700054</t>
        </is>
      </c>
      <c r="BU276">
        <f>HYPERLINK("https%3A%2F%2Fwww.webofscience.com%2Fwos%2Fwoscc%2Ffull-record%2FWOS:000451531700054","View Full Record in Web of Science")</f>
        <v/>
      </c>
    </row>
    <row r="277">
      <c r="A277" t="inlineStr">
        <is>
          <t>J</t>
        </is>
      </c>
      <c r="B277" t="inlineStr">
        <is>
          <t>Wang, P; Goggins, WB; Zhang, XY; Ren, C; Lau, KKL</t>
        </is>
      </c>
      <c r="F277" t="inlineStr">
        <is>
          <t>Wang, Pin; Goggins, William B.; Zhang, Xuyi; Ren, Chao; Lau, Kevin Ka-Lun</t>
        </is>
      </c>
      <c r="J277" t="inlineStr">
        <is>
          <t>SCIENCE OF THE TOTAL ENVIRONMENT</t>
        </is>
      </c>
      <c r="M277" t="inlineStr">
        <is>
          <t>English</t>
        </is>
      </c>
      <c r="N277" t="inlineStr">
        <is>
          <t>Article</t>
        </is>
      </c>
      <c r="T277" t="inlineStr">
        <is>
          <t>Association of urban built environment and socioeconomic factors with suicide mortality in high-density cities: A case study of Hong Kong</t>
        </is>
      </c>
      <c r="U277" t="inlineStr">
        <is>
          <t>Built environment; City development; Suicide; Ventilation; Urban heat island; Environmental change</t>
        </is>
      </c>
      <c r="V277" t="inlineStr">
        <is>
          <t>MENTAL-HEALTH; GREEN SPACE; TEMPERATURE; DEPRESSION; VEGETATION; EXPOSURE; RISK</t>
        </is>
      </c>
      <c r="W277" t="inlineStr">
        <is>
          <t>Population ageing, climate change and urbanization have been occurring rapidly globally. Evidence-based healthy city development is required to improve living quality and mitigate the adverse impact of city living on both physical and mental health. We took a high-density city as an example to explore the association of built environment and suicide mortality and preferably to offer some implications for better future city development. Poisson generalized linear models with generalized estimation equations were employed to regress suicide mortality rate on four urban built environment variables (frontal area density (FAD), sky view factor (SVF), ground coverage ratio (GCR), and street coverage ratio (SCR)), as well as socioeconomic factors, population density, and greenery. The association for different causes of death and within different subgroups was also investigated. Generally, higher FAD and GCR were associated with higher suicide mortality while higher SVF and SCR were associated with lower suicide mortality. Age was a significant effect modifier. An interquartile range increase in FAD, SVF, and GCR was associated with 0.81 (95% confidence interval (CI) 0.71-0.92), 1.41 (95% CI 1.04-1.91), and 0.70 (95% CI 0.50-0.98) times the risk of suicide among the people aged over 70, respectively. Higher population density and unmarried status were generally associated with higher suicide rate whereas higher education level was associated with a decreased risk. Unfavorable built environment could increase risks for successful suicide attempts. Better urban development with morphological control mitigating intensifying urban heat island and other micro-environment changes are warranted to promote not only physical but psychological health. (C) 2020 Elsevier B.V. All rights reserved.</t>
        </is>
      </c>
      <c r="X277" t="inlineStr">
        <is>
          <t>[Wang, Pin; Goggins, William B.] Chinese Univ Hong Kong, Prince Wales Hosp, Jockey Club Sch Publ Hlth &amp; Primary Care, Shatin, Hong Kong, Peoples R China; [Zhang, Xuyi; Ren, Chao] Univ Hong Kong, Fac Architecture, 4-F,Knowles Bldg,Pokfulam Rd, Hong Kong, Peoples R China; [Lau, Kevin Ka-Lun] Chinese Univ Hong Kong, Chung Chi Coll, Inst Future Cities, Shatin, Room 406B,Wong Foo Yuan Bldg, Hong Kong, Peoples R China</t>
        </is>
      </c>
      <c r="Y277" t="inlineStr">
        <is>
          <t>Chinese University of Hong Kong; Prince of Wales Hospital; University of Hong Kong; Chinese University of Hong Kong</t>
        </is>
      </c>
      <c r="Z277" t="inlineStr">
        <is>
          <t>Goggins, WB (corresponding author), Chinese Univ Hong Kong, Prince Wales Hosp, Jockey Club Sch Publ Hlth &amp; Primary Care, Shatin, Hong Kong, Peoples R China.</t>
        </is>
      </c>
      <c r="AA277" t="inlineStr">
        <is>
          <t>wgoggins@cuhk.edu.hk</t>
        </is>
      </c>
      <c r="AB277" t="inlineStr">
        <is>
          <t>Wang, Pin/S-6226-2016; Lau, KL/IXX-1078-2023; REN, Chao/L-8938-2019; Lau, Kevin Ka-Lun/Q-9139-2016</t>
        </is>
      </c>
      <c r="AC277" t="inlineStr">
        <is>
          <t>Wang, Pin/0000-0002-8031-8494; REN, Chao/0000-0002-8494-2585; Lau, Kevin Ka-Lun/0000-0003-3438-1182</t>
        </is>
      </c>
      <c r="AD277" t="inlineStr">
        <is>
          <t>General Research Fund of Hong Kong Research Grants Council [14165817]</t>
        </is>
      </c>
      <c r="AE277" t="inlineStr">
        <is>
          <t>General Research Fund of Hong Kong Research Grants Council</t>
        </is>
      </c>
      <c r="AF277" t="inlineStr">
        <is>
          <t>This work was supported by the General Research Fund of Hong Kong Research Grants Council [grant number 14165817].</t>
        </is>
      </c>
      <c r="AH277" t="n">
        <v>44</v>
      </c>
      <c r="AI277" t="n">
        <v>19</v>
      </c>
      <c r="AJ277" t="n">
        <v>19</v>
      </c>
      <c r="AK277" t="n">
        <v>9</v>
      </c>
      <c r="AL277" t="n">
        <v>80</v>
      </c>
      <c r="AM277" t="inlineStr">
        <is>
          <t>ELSEVIER</t>
        </is>
      </c>
      <c r="AN277" t="inlineStr">
        <is>
          <t>AMSTERDAM</t>
        </is>
      </c>
      <c r="AO277" t="inlineStr">
        <is>
          <t>RADARWEG 29, 1043 NX AMSTERDAM, NETHERLANDS</t>
        </is>
      </c>
      <c r="AP277" t="inlineStr">
        <is>
          <t>0048-9697</t>
        </is>
      </c>
      <c r="AQ277" t="inlineStr">
        <is>
          <t>1879-1026</t>
        </is>
      </c>
      <c r="AS277" t="inlineStr">
        <is>
          <t>SCI TOTAL ENVIRON</t>
        </is>
      </c>
      <c r="AT277" t="inlineStr">
        <is>
          <t>Sci. Total Environ.</t>
        </is>
      </c>
      <c r="AU277" t="inlineStr">
        <is>
          <t>OCT 15</t>
        </is>
      </c>
      <c r="AV277" t="n">
        <v>2020</v>
      </c>
      <c r="AW277" t="n">
        <v>739</v>
      </c>
      <c r="BE277" t="n">
        <v>139877</v>
      </c>
      <c r="BF277" t="inlineStr">
        <is>
          <t>10.1016/j.scitotenv.2020.139877</t>
        </is>
      </c>
      <c r="BG277">
        <f>HYPERLINK("http://dx.doi.org/10.1016/j.scitotenv.2020.139877","http://dx.doi.org/10.1016/j.scitotenv.2020.139877")</f>
        <v/>
      </c>
      <c r="BJ277" t="n">
        <v>7</v>
      </c>
      <c r="BK277" t="inlineStr">
        <is>
          <t>Environmental Sciences</t>
        </is>
      </c>
      <c r="BL277" t="inlineStr">
        <is>
          <t>Science Citation Index Expanded (SCI-EXPANDED); Social Science Citation Index (SSCI)</t>
        </is>
      </c>
      <c r="BM277" t="inlineStr">
        <is>
          <t>Environmental Sciences &amp; Ecology</t>
        </is>
      </c>
      <c r="BN277" t="inlineStr">
        <is>
          <t>ND3IX</t>
        </is>
      </c>
      <c r="BO277" t="n">
        <v>32534310</v>
      </c>
      <c r="BS277" t="inlineStr">
        <is>
          <t>2023-10-26</t>
        </is>
      </c>
      <c r="BT277" t="inlineStr">
        <is>
          <t>WOS:000561798600013</t>
        </is>
      </c>
      <c r="BU277">
        <f>HYPERLINK("https%3A%2F%2Fwww.webofscience.com%2Fwos%2Fwoscc%2Ffull-record%2FWOS:000561798600013","View Full Record in Web of Science")</f>
        <v/>
      </c>
    </row>
    <row r="278">
      <c r="A278" t="inlineStr">
        <is>
          <t>J</t>
        </is>
      </c>
      <c r="B278" t="inlineStr">
        <is>
          <t>Andersen, HV; Jorgensen, RB; Gunnarsen, L</t>
        </is>
      </c>
      <c r="F278" t="inlineStr">
        <is>
          <t>Andersen, Helle Vibeke; Jorgensen, Rikke Bramming; Gunnarsen, Lars</t>
        </is>
      </c>
      <c r="J278" t="inlineStr">
        <is>
          <t>ATMOSPHERIC ENVIRONMENT</t>
        </is>
      </c>
      <c r="M278" t="inlineStr">
        <is>
          <t>English</t>
        </is>
      </c>
      <c r="N278" t="inlineStr">
        <is>
          <t>Article</t>
        </is>
      </c>
      <c r="T278" t="inlineStr">
        <is>
          <t>Impact of smoking and candle burning on air concentrations of PCB in a PCB contaminated indoor environment</t>
        </is>
      </c>
      <c r="U278" t="inlineStr">
        <is>
          <t>Polychlorinated biphenyls; Particles; Indoor air; Cigarette smoke; Candle burning; Partitioning</t>
        </is>
      </c>
      <c r="V278" t="inlineStr">
        <is>
          <t>SEMIVOLATILE ORGANIC-COMPOUNDS; POLYCYCLIC AROMATIC-HYDROCARBONS; POLYCHLORINATED-BIPHENYLS PCBS; PARTITION-COEFFICIENT; PHTHALATE EXPOSURE; SIZE DISTRIBUTION; GAS; PARTICLES; ASTHMA; DISTRIBUTIONS</t>
        </is>
      </c>
      <c r="W278" t="inlineStr">
        <is>
          <t>Long-lasting elevated indoor air concentrations of semi-volatile organic compounds (SVOCs) can cause contamination of indoor surface materials because these compounds have physical-chemical properties causing them to be sorbed (and desorbed) from various surfaces in the indoor environment. Due to this material-gas partitioning and the extensive area of surface materials, the surfaces have the potential to counteract changes in gaseous air concentrations by re-emitting or absorbing SVOCs. In the air itself a partitioning between the gaseous and particulate bound SVOCs exists, relying on among other things the amount and characteristics of the particles. The aim of this study was to investigate the impact of increased particle matter in a contaminated environment, i.e. whether an increase in particles would increase the total air concentration of SVOC through a displacement from the gaseous to the particle phase and at the same time a re-establishment of the gaseous concentration caused by desorption from the surface materials. The study was conducted by measuring the gas and particle bound concentration of SVOCs among a range of congeners of polychlorinated biphenyls (PCBs) in indoor air and quantify the influence of an increased concentration of particulate matter. The experiments were conducted in a room within a dwelling that had elevated levels of PCBs for the last five decades. The increased amount of particulate matter was generated by burning candles and cigarettes, which was measured as particle number concentration and size fractions. Increased cigarette particle concentration increased the indoor air concentration of the sum of all congeners measured by almost 70% compared to background level. Particles from candle burning did not have a similarly significant effect, even though their number concentration was higher. This was likely due to the chemical composition of the particles; cigarette smoke consists primarily of organic particles, while the steady burning of candles produces smaller, mainly inorganic particles. The concentrations of 15 PCB congeners were determined and it was observed that their sorption to cigarette smoke increased with increasing chlorination. A partitioning model indicates absorptive behaviour of PCB to cigarette particles. The results show that smoking inside a residence with long-lasting, elevated PCB concentrations can further increase the concentration of PCB in the air due to its interaction with particulate matter.</t>
        </is>
      </c>
      <c r="X278" t="inlineStr">
        <is>
          <t>[Andersen, Helle Vibeke; Gunnarsen, Lars] Aalborg Univ, Dept Built Environm, A C Meyers Vaenge 15, DK-2450 Kobenhavn SV, Denmark; [Jorgensen, Rikke Bramming] Norwegian Univ Sci &amp; Technol, Dept Ind Econ &amp; Technol Management, N-7491 Trondheim, Norway</t>
        </is>
      </c>
      <c r="Y278" t="inlineStr">
        <is>
          <t>Aalborg University; Norwegian University of Science &amp; Technology (NTNU)</t>
        </is>
      </c>
      <c r="Z278" t="inlineStr">
        <is>
          <t>Andersen, HV (corresponding author), Aalborg Univ, Dept Built Environm, A C Meyers Vaenge 15, DK-2450 Kobenhavn SV, Denmark.</t>
        </is>
      </c>
      <c r="AA278" t="inlineStr">
        <is>
          <t>hvand@build.aau.dk</t>
        </is>
      </c>
      <c r="AC278" t="inlineStr">
        <is>
          <t>Gunnarsen, Lars/0000-0003-2227-7759</t>
        </is>
      </c>
      <c r="AH278" t="n">
        <v>51</v>
      </c>
      <c r="AI278" t="n">
        <v>0</v>
      </c>
      <c r="AJ278" t="n">
        <v>0</v>
      </c>
      <c r="AK278" t="n">
        <v>3</v>
      </c>
      <c r="AL278" t="n">
        <v>3</v>
      </c>
      <c r="AM278" t="inlineStr">
        <is>
          <t>PERGAMON-ELSEVIER SCIENCE LTD</t>
        </is>
      </c>
      <c r="AN278" t="inlineStr">
        <is>
          <t>OXFORD</t>
        </is>
      </c>
      <c r="AO278" t="inlineStr">
        <is>
          <t>THE BOULEVARD, LANGFORD LANE, KIDLINGTON, OXFORD OX5 1GB, ENGLAND</t>
        </is>
      </c>
      <c r="AP278" t="inlineStr">
        <is>
          <t>1352-2310</t>
        </is>
      </c>
      <c r="AQ278" t="inlineStr">
        <is>
          <t>1873-2844</t>
        </is>
      </c>
      <c r="AS278" t="inlineStr">
        <is>
          <t>ATMOS ENVIRON</t>
        </is>
      </c>
      <c r="AT278" t="inlineStr">
        <is>
          <t>Atmos. Environ.</t>
        </is>
      </c>
      <c r="AU278" t="inlineStr">
        <is>
          <t>SEP 15</t>
        </is>
      </c>
      <c r="AV278" t="n">
        <v>2023</v>
      </c>
      <c r="AW278" t="n">
        <v>309</v>
      </c>
      <c r="BE278" t="n">
        <v>119922</v>
      </c>
      <c r="BF278" t="inlineStr">
        <is>
          <t>10.1016/j.atmosenv.2023.119922</t>
        </is>
      </c>
      <c r="BG278">
        <f>HYPERLINK("http://dx.doi.org/10.1016/j.atmosenv.2023.119922","http://dx.doi.org/10.1016/j.atmosenv.2023.119922")</f>
        <v/>
      </c>
      <c r="BI278" t="inlineStr">
        <is>
          <t>JUL 2023</t>
        </is>
      </c>
      <c r="BJ278" t="n">
        <v>10</v>
      </c>
      <c r="BK278" t="inlineStr">
        <is>
          <t>Environmental Sciences; Meteorology &amp; Atmospheric Sciences</t>
        </is>
      </c>
      <c r="BL278" t="inlineStr">
        <is>
          <t>Science Citation Index Expanded (SCI-EXPANDED)</t>
        </is>
      </c>
      <c r="BM278" t="inlineStr">
        <is>
          <t>Environmental Sciences &amp; Ecology; Meteorology &amp; Atmospheric Sciences</t>
        </is>
      </c>
      <c r="BN278" t="inlineStr">
        <is>
          <t>M6WX3</t>
        </is>
      </c>
      <c r="BP278" t="inlineStr">
        <is>
          <t>Bronze</t>
        </is>
      </c>
      <c r="BS278" t="inlineStr">
        <is>
          <t>2023-10-26</t>
        </is>
      </c>
      <c r="BT278" t="inlineStr">
        <is>
          <t>WOS:001031611100001</t>
        </is>
      </c>
      <c r="BU278">
        <f>HYPERLINK("https%3A%2F%2Fwww.webofscience.com%2Fwos%2Fwoscc%2Ffull-record%2FWOS:001031611100001","View Full Record in Web of Science")</f>
        <v/>
      </c>
    </row>
    <row r="279">
      <c r="A279" t="inlineStr">
        <is>
          <t>J</t>
        </is>
      </c>
      <c r="B279" t="inlineStr">
        <is>
          <t>Huang, W; Wey, WM</t>
        </is>
      </c>
      <c r="F279" t="inlineStr">
        <is>
          <t>Huang, Wei; Wey, Wann-Ming</t>
        </is>
      </c>
      <c r="J279" t="inlineStr">
        <is>
          <t>SUSTAINABILITY</t>
        </is>
      </c>
      <c r="M279" t="inlineStr">
        <is>
          <t>English</t>
        </is>
      </c>
      <c r="N279" t="inlineStr">
        <is>
          <t>Article</t>
        </is>
      </c>
      <c r="T279" t="inlineStr">
        <is>
          <t>Green Urbanism Embedded in TOD for Urban Built Environment Planning and Design</t>
        </is>
      </c>
      <c r="U279" t="inlineStr">
        <is>
          <t>Green TOD; built environment; fuzzy Delphi technique; quality function deployment; fuzzy analytic network process</t>
        </is>
      </c>
      <c r="V279" t="inlineStr">
        <is>
          <t>TRANSIT-ORIENTED DEVELOPMENT; PHYSICAL-ACTIVITY; DENSITY; TRAVEL</t>
        </is>
      </c>
      <c r="W279" t="inlineStr">
        <is>
          <t>Even though the TOD (Transit-Oriented Development) concepts contribute great innovations to our next-generation metropolis, their means and focusing are primarily on the sustainable transportation dimension. It is debatable that the development mode advocated by TOD seems to lack relative considerations of both the ecological and environmental dimensions. Consequently, to achieve a better urban life, our urban planning and design should incorporate the consideration of peripheral areas that have not been further valued in the past, such as ecology diversity, natural energy recycling or reuse, and livable habitat, rather than just focusing on the sustainable transportation dimension of conventional TOD. This study thus explores and summarizes the design criteria of Green TOD through literature review and obtains the evaluation criteria via experts. Furthermore, through the FDT (fuzzy Delphi technique) method, the evaluation criteria from the expert questionnaire are screened. In turn, more important evaluation criteria are obtained objectively. Based on the screening results of FDT, we adopt the HOQ (house of quality) model integrated by FANP (fuzzy analytic network process) and QFD (quality function deployment) to allocate the weighting for each criterion scientifically. Finally, the evaluation results and hybrid decision model provided in this study can be used as an initial reference for improving the planning and design of today's built environment. We believe that these pioneered attempts will help us in attaining our ultimate pursuit of urban sustainability and livability.</t>
        </is>
      </c>
      <c r="X279" t="inlineStr">
        <is>
          <t>[Huang, Wei] Beijing Normal Univ, Coll Real Estate, Zhuhai 519085, Peoples R China; [Wey, Wann-Ming] Natl Taipei Univ, Dept Real Estate &amp; Built Environm, New Taipei 23741, Taiwan</t>
        </is>
      </c>
      <c r="Y279" t="inlineStr">
        <is>
          <t>Beijing Normal University; National Taipei University</t>
        </is>
      </c>
      <c r="Z279" t="inlineStr">
        <is>
          <t>Wey, WM (corresponding author), Natl Taipei Univ, Dept Real Estate &amp; Built Environm, New Taipei 23741, Taiwan.</t>
        </is>
      </c>
      <c r="AA279" t="inlineStr">
        <is>
          <t>huangwei@bnuz.edu.cn; wmwey@mail.ntpu.edu.tw</t>
        </is>
      </c>
      <c r="AH279" t="n">
        <v>32</v>
      </c>
      <c r="AI279" t="n">
        <v>11</v>
      </c>
      <c r="AJ279" t="n">
        <v>11</v>
      </c>
      <c r="AK279" t="n">
        <v>6</v>
      </c>
      <c r="AL279" t="n">
        <v>66</v>
      </c>
      <c r="AM279" t="inlineStr">
        <is>
          <t>MDPI</t>
        </is>
      </c>
      <c r="AN279" t="inlineStr">
        <is>
          <t>BASEL</t>
        </is>
      </c>
      <c r="AO279" t="inlineStr">
        <is>
          <t>ST ALBAN-ANLAGE 66, CH-4052 BASEL, SWITZERLAND</t>
        </is>
      </c>
      <c r="AQ279" t="inlineStr">
        <is>
          <t>2071-1050</t>
        </is>
      </c>
      <c r="AS279" t="inlineStr">
        <is>
          <t>SUSTAINABILITY-BASEL</t>
        </is>
      </c>
      <c r="AT279" t="inlineStr">
        <is>
          <t>Sustainability</t>
        </is>
      </c>
      <c r="AU279" t="inlineStr">
        <is>
          <t>OCT 1</t>
        </is>
      </c>
      <c r="AV279" t="n">
        <v>2019</v>
      </c>
      <c r="AW279" t="n">
        <v>11</v>
      </c>
      <c r="AX279" t="n">
        <v>19</v>
      </c>
      <c r="BE279" t="n">
        <v>5293</v>
      </c>
      <c r="BF279" t="inlineStr">
        <is>
          <t>10.3390/su11195293</t>
        </is>
      </c>
      <c r="BG279">
        <f>HYPERLINK("http://dx.doi.org/10.3390/su11195293","http://dx.doi.org/10.3390/su11195293")</f>
        <v/>
      </c>
      <c r="BJ279" t="n">
        <v>14</v>
      </c>
      <c r="BK279" t="inlineStr">
        <is>
          <t>Green &amp; Sustainable Science &amp; Technology; Environmental Sciences; Environmental Studies</t>
        </is>
      </c>
      <c r="BL279" t="inlineStr">
        <is>
          <t>Science Citation Index Expanded (SCI-EXPANDED); Social Science Citation Index (SSCI)</t>
        </is>
      </c>
      <c r="BM279" t="inlineStr">
        <is>
          <t>Science &amp; Technology - Other Topics; Environmental Sciences &amp; Ecology</t>
        </is>
      </c>
      <c r="BN279" t="inlineStr">
        <is>
          <t>JI5RS</t>
        </is>
      </c>
      <c r="BP279" t="inlineStr">
        <is>
          <t>gold, Green Published</t>
        </is>
      </c>
      <c r="BS279" t="inlineStr">
        <is>
          <t>2023-10-26</t>
        </is>
      </c>
      <c r="BT279" t="inlineStr">
        <is>
          <t>WOS:000493525500152</t>
        </is>
      </c>
      <c r="BU279">
        <f>HYPERLINK("https%3A%2F%2Fwww.webofscience.com%2Fwos%2Fwoscc%2Ffull-record%2FWOS:000493525500152","View Full Record in Web of Science")</f>
        <v/>
      </c>
    </row>
    <row r="280">
      <c r="A280" t="inlineStr">
        <is>
          <t>J</t>
        </is>
      </c>
      <c r="B280" t="inlineStr">
        <is>
          <t>Lee, JYY; Miao, YH; Chau, RLT; Hernandez, M; Lee, PKH</t>
        </is>
      </c>
      <c r="F280" t="inlineStr">
        <is>
          <t>Lee, Justin Y. Y.; Miao, Yanhao; Chau, Ricky L. T.; Hernandez, Mark; Lee, Patrick K. H.</t>
        </is>
      </c>
      <c r="J280" t="inlineStr">
        <is>
          <t>ENVIRONMENT INTERNATIONAL</t>
        </is>
      </c>
      <c r="M280" t="inlineStr">
        <is>
          <t>English</t>
        </is>
      </c>
      <c r="N280" t="inlineStr">
        <is>
          <t>Article</t>
        </is>
      </c>
      <c r="T280" t="inlineStr">
        <is>
          <t>Artificial intelligence-based prediction of indoor bioaerosol concentrations from indoor air quality sensor data</t>
        </is>
      </c>
      <c r="U280" t="inlineStr">
        <is>
          <t>Indoor air quality; Bioaerosols; Monitoring; Artificial intelligence; Sensors</t>
        </is>
      </c>
      <c r="V280" t="inlineStr">
        <is>
          <t>PARTICULATE MATTER; EXPOSURE; MICROORGANISMS; PARTICLES; MODEL</t>
        </is>
      </c>
      <c r="W280" t="inlineStr">
        <is>
          <t>Exposure to bioaerosols in indoor environments, especially public venues that have a high occupancy and poor ventilation, is a serious public health concern. However, it remains challenging to monitor and determine real-time or predict near-future concentrations of airborne biological matter. In this study, we developed artificial intelligence (AI) models using physical and chemical data from indoor air quality sensors and physical data from ultraviolet light-induced fluorescence observations of bioaerosols. This enabled us to effectively estimate the bioaerosol (bacteria-, fungi-and pollen-like particle) and 2.5-mu m and 10-mu m particulate matter (PM2.5 and PM10) on a real-time and near-future (&lt;= 60 min) basis. Seven AI models were developed and evaluated using measured data from an occupied commercial office and a shopping mall. A long short-term memory model required a relatively short training time and gave the highest prediction accuracy of -60 %-80 % for bioaerosols and -90 % for PM on the testing and time series datasets from the two venues. This work demonstrates how AI-based methods can leverage bioaerosol monitoring into predictive scenarios that building operators can use for improving indoor environmental quality in near real-time.</t>
        </is>
      </c>
      <c r="X280" t="inlineStr">
        <is>
          <t>[Lee, Justin Y. Y.; Miao, Yanhao; Chau, Ricky L. T.; Lee, Patrick K. H.] City Univ Hong Kong, Sch Energy &amp; Environm, Hong Kong, Peoples R China; [Hernandez, Mark] Univ Colorado, Civil Environm &amp; Architectural Engn Dept, Environm Engn Program, Boulder, CO USA; [Lee, Patrick K. H.] City Univ Hong Kong, State Key Lab Marine Pollut, Hong Kong, Peoples R China; [Lee, Patrick K. H.] City Univ Hong Kong, Sch Energy &amp; Environm, Kowloon, B5423,Yeung Kin Man Acad Bldg,Tat Chee Ave, Hong Kong, Peoples R China</t>
        </is>
      </c>
      <c r="Y280" t="inlineStr">
        <is>
          <t>City University of Hong Kong; University of Colorado System; University of Colorado Boulder; City University of Hong Kong; City University of Hong Kong</t>
        </is>
      </c>
      <c r="Z280" t="inlineStr">
        <is>
          <t>Lee, PKH (corresponding author), City Univ Hong Kong, Sch Energy &amp; Environm, Kowloon, B5423,Yeung Kin Man Acad Bldg,Tat Chee Ave, Hong Kong, Peoples R China.</t>
        </is>
      </c>
      <c r="AA280" t="inlineStr">
        <is>
          <t>patrick.kh.lee@cityu.edu.hk</t>
        </is>
      </c>
      <c r="AC280" t="inlineStr">
        <is>
          <t>Miao, Yanhao/0000-0002-6885-6580</t>
        </is>
      </c>
      <c r="AD280" t="inlineStr">
        <is>
          <t>Hong Kong Research Grants Council [R1016-20F, 11214721]</t>
        </is>
      </c>
      <c r="AE280" t="inlineStr">
        <is>
          <t>Hong Kong Research Grants Council(Hong Kong Research Grants Council)</t>
        </is>
      </c>
      <c r="AF280" t="inlineStr">
        <is>
          <t>This research was supported by the Research Impact Fund (R1016-20F) and the General Research Fund (11214721) of the Hong Kong Research Grants Council. We thank the staff of the venues for their assistance with field sampling.</t>
        </is>
      </c>
      <c r="AH280" t="n">
        <v>59</v>
      </c>
      <c r="AI280" t="n">
        <v>1</v>
      </c>
      <c r="AJ280" t="n">
        <v>1</v>
      </c>
      <c r="AK280" t="n">
        <v>20</v>
      </c>
      <c r="AL280" t="n">
        <v>22</v>
      </c>
      <c r="AM280" t="inlineStr">
        <is>
          <t>PERGAMON-ELSEVIER SCIENCE LTD</t>
        </is>
      </c>
      <c r="AN280" t="inlineStr">
        <is>
          <t>OXFORD</t>
        </is>
      </c>
      <c r="AO280" t="inlineStr">
        <is>
          <t>THE BOULEVARD, LANGFORD LANE, KIDLINGTON, OXFORD OX5 1GB, ENGLAND</t>
        </is>
      </c>
      <c r="AP280" t="inlineStr">
        <is>
          <t>0160-4120</t>
        </is>
      </c>
      <c r="AQ280" t="inlineStr">
        <is>
          <t>1873-6750</t>
        </is>
      </c>
      <c r="AS280" t="inlineStr">
        <is>
          <t>ENVIRON INT</t>
        </is>
      </c>
      <c r="AT280" t="inlineStr">
        <is>
          <t>Environ. Int.</t>
        </is>
      </c>
      <c r="AU280" t="inlineStr">
        <is>
          <t>APR</t>
        </is>
      </c>
      <c r="AV280" t="n">
        <v>2023</v>
      </c>
      <c r="AW280" t="n">
        <v>174</v>
      </c>
      <c r="BE280" t="n">
        <v>107900</v>
      </c>
      <c r="BF280" t="inlineStr">
        <is>
          <t>10.1016/j.envint.2023.107900</t>
        </is>
      </c>
      <c r="BG280">
        <f>HYPERLINK("http://dx.doi.org/10.1016/j.envint.2023.107900","http://dx.doi.org/10.1016/j.envint.2023.107900")</f>
        <v/>
      </c>
      <c r="BI280" t="inlineStr">
        <is>
          <t>APR 2023</t>
        </is>
      </c>
      <c r="BJ280" t="n">
        <v>7</v>
      </c>
      <c r="BK280" t="inlineStr">
        <is>
          <t>Environmental Sciences</t>
        </is>
      </c>
      <c r="BL280" t="inlineStr">
        <is>
          <t>Science Citation Index Expanded (SCI-EXPANDED)</t>
        </is>
      </c>
      <c r="BM280" t="inlineStr">
        <is>
          <t>Environmental Sciences &amp; Ecology</t>
        </is>
      </c>
      <c r="BN280" t="inlineStr">
        <is>
          <t>D3EN1</t>
        </is>
      </c>
      <c r="BO280" t="n">
        <v>37012194</v>
      </c>
      <c r="BP280" t="inlineStr">
        <is>
          <t>gold</t>
        </is>
      </c>
      <c r="BS280" t="inlineStr">
        <is>
          <t>2023-10-26</t>
        </is>
      </c>
      <c r="BT280" t="inlineStr">
        <is>
          <t>WOS:000967589800001</t>
        </is>
      </c>
      <c r="BU280">
        <f>HYPERLINK("https%3A%2F%2Fwww.webofscience.com%2Fwos%2Fwoscc%2Ffull-record%2FWOS:000967589800001","View Full Record in Web of Science")</f>
        <v/>
      </c>
    </row>
    <row r="281">
      <c r="A281" t="inlineStr">
        <is>
          <t>J</t>
        </is>
      </c>
      <c r="B281" t="inlineStr">
        <is>
          <t>Xie, KF; Song, Y; Liu, J; Liang, BB; Liu, X</t>
        </is>
      </c>
      <c r="F281" t="inlineStr">
        <is>
          <t>Xie, Kefan; Song, Yu; Liu, Jia; Liang, Benbu; Liu, Xiang</t>
        </is>
      </c>
      <c r="J281" t="inlineStr">
        <is>
          <t>INTERNATIONAL JOURNAL OF ENVIRONMENTAL RESEARCH AND PUBLIC HEALTH</t>
        </is>
      </c>
      <c r="M281" t="inlineStr">
        <is>
          <t>English</t>
        </is>
      </c>
      <c r="N281" t="inlineStr">
        <is>
          <t>Article</t>
        </is>
      </c>
      <c r="T281" t="inlineStr">
        <is>
          <t>Stampede Prevention Design of Primary School Buildings in China: A Sustainable Built Environment Perspective</t>
        </is>
      </c>
      <c r="U281" t="inlineStr">
        <is>
          <t>stampede prevention; sustainable layout; sustainable built environment; dynamic steady ability; step depth</t>
        </is>
      </c>
      <c r="V281" t="inlineStr">
        <is>
          <t>PEDESTRIAN EVACUATION; CELLULAR-AUTOMATON; WALKING SPEED; MODEL; SIMULATION; MOVEMENT; BEHAVIOR; POSTURE; BALANCE; LIFE</t>
        </is>
      </c>
      <c r="W281" t="inlineStr">
        <is>
          <t>In China, crowd stampede accidents usually take place within crowded areas in middle and primary schools. The crowd stampede risk is particularly related to the architectural design such as the staircase design, the layout of crowded places, obstacles, etc. Through the investigation of building design in several primary schools, the relationship between the sustainable layout of crowded places (e.g., toilets, canteens, playgrounds, staircases) and the crowd stampede risk of students are introduced via agent-based simulations. In particular, different experimental scenarios are conducted on stairs in the primary buildings. The evacuation processes are recorded by video camera and spatial stepping characteristics (e.g., foot clearance, step length, mass center, the distance between the mass center and ankle, and etc.) are extracted from the video. Dynamic steady ability is investigated by adopting the margin of stability, quantified by the instantaneous difference between the edge of the base of support and extrapolated vertical projection of the mass center. Based on the sustainable built environment principles and historical data of students, this paper focuses on an in-depth analysis of the staircase design aiming at preventing the crowd stampede risk.</t>
        </is>
      </c>
      <c r="X281" t="inlineStr">
        <is>
          <t>[Xie, Kefan; Song, Yu; Liang, Benbu] Wuhan Univ Technol, Sch Management, Wuhan 430070, Hubei, Peoples R China; [Liu, Jia] Zhongnan Univ Econ &amp; Law, Sch Informat &amp; Safety Engn, Wuhan 430073, Hubei, Peoples R China; [Liu, Xiang] Guangzhou Univ, Inst Finance, Guangzhou 510006, Guangdong, Peoples R China</t>
        </is>
      </c>
      <c r="Y281" t="inlineStr">
        <is>
          <t>Wuhan University of Technology; Zhongnan University of Economics &amp; Law; Guangzhou University</t>
        </is>
      </c>
      <c r="Z281" t="inlineStr">
        <is>
          <t>Liu, J (corresponding author), Zhongnan Univ Econ &amp; Law, Sch Informat &amp; Safety Engn, Wuhan 430073, Hubei, Peoples R China.</t>
        </is>
      </c>
      <c r="AA281" t="inlineStr">
        <is>
          <t>xkf@whut.edu.cn; songyu962@126.com; whutrobin@163.com; liangbenbu@whut.edu.cn; 18571530906@163.com</t>
        </is>
      </c>
      <c r="AD281" t="inlineStr">
        <is>
          <t>National Social Science Foundation of China [15AGL021]</t>
        </is>
      </c>
      <c r="AE281" t="inlineStr">
        <is>
          <t>National Social Science Foundation of China(National Office of Philosophy and Social Sciences)</t>
        </is>
      </c>
      <c r="AF281" t="inlineStr">
        <is>
          <t>This research was funded by National Social Science Foundation of China (Project No. 15AGL021).</t>
        </is>
      </c>
      <c r="AH281" t="n">
        <v>49</v>
      </c>
      <c r="AI281" t="n">
        <v>7</v>
      </c>
      <c r="AJ281" t="n">
        <v>8</v>
      </c>
      <c r="AK281" t="n">
        <v>5</v>
      </c>
      <c r="AL281" t="n">
        <v>50</v>
      </c>
      <c r="AM281" t="inlineStr">
        <is>
          <t>MDPI</t>
        </is>
      </c>
      <c r="AN281" t="inlineStr">
        <is>
          <t>BASEL</t>
        </is>
      </c>
      <c r="AO281" t="inlineStr">
        <is>
          <t>ST ALBAN-ANLAGE 66, CH-4052 BASEL, SWITZERLAND</t>
        </is>
      </c>
      <c r="AQ281" t="inlineStr">
        <is>
          <t>1660-4601</t>
        </is>
      </c>
      <c r="AS281" t="inlineStr">
        <is>
          <t>INT J ENV RES PUB HE</t>
        </is>
      </c>
      <c r="AT281" t="inlineStr">
        <is>
          <t>Int. J. Environ. Res. Public Health</t>
        </is>
      </c>
      <c r="AU281" t="inlineStr">
        <is>
          <t>JUL</t>
        </is>
      </c>
      <c r="AV281" t="n">
        <v>2018</v>
      </c>
      <c r="AW281" t="n">
        <v>15</v>
      </c>
      <c r="AX281" t="n">
        <v>7</v>
      </c>
      <c r="BE281" t="n">
        <v>1517</v>
      </c>
      <c r="BF281" t="inlineStr">
        <is>
          <t>10.3390/ijerph15071517</t>
        </is>
      </c>
      <c r="BG281">
        <f>HYPERLINK("http://dx.doi.org/10.3390/ijerph15071517","http://dx.doi.org/10.3390/ijerph15071517")</f>
        <v/>
      </c>
      <c r="BJ281" t="n">
        <v>21</v>
      </c>
      <c r="BK281" t="inlineStr">
        <is>
          <t>Environmental Sciences; Public, Environmental &amp; Occupational Health</t>
        </is>
      </c>
      <c r="BL281" t="inlineStr">
        <is>
          <t>Science Citation Index Expanded (SCI-EXPANDED); Social Science Citation Index (SSCI)</t>
        </is>
      </c>
      <c r="BM281" t="inlineStr">
        <is>
          <t>Environmental Sciences &amp; Ecology; Public, Environmental &amp; Occupational Health</t>
        </is>
      </c>
      <c r="BN281" t="inlineStr">
        <is>
          <t>GU7XC</t>
        </is>
      </c>
      <c r="BO281" t="n">
        <v>30021973</v>
      </c>
      <c r="BP281" t="inlineStr">
        <is>
          <t>Green Published, gold, Green Submitted</t>
        </is>
      </c>
      <c r="BS281" t="inlineStr">
        <is>
          <t>2023-10-26</t>
        </is>
      </c>
      <c r="BT281" t="inlineStr">
        <is>
          <t>WOS:000445543500224</t>
        </is>
      </c>
      <c r="BU281">
        <f>HYPERLINK("https%3A%2F%2Fwww.webofscience.com%2Fwos%2Fwoscc%2Ffull-record%2FWOS:000445543500224","View Full Record in Web of Science")</f>
        <v/>
      </c>
    </row>
    <row r="282">
      <c r="A282" t="inlineStr">
        <is>
          <t>J</t>
        </is>
      </c>
      <c r="B282" t="inlineStr">
        <is>
          <t>De Vita, M; Duronio, F; De Vita, A; De Berardinis, P</t>
        </is>
      </c>
      <c r="F282" t="inlineStr">
        <is>
          <t>De Vita, Mariangela; Duronio, Francesco; De Vita, Angelo; De Berardinis, Pierluigi</t>
        </is>
      </c>
      <c r="J282" t="inlineStr">
        <is>
          <t>SUSTAINABILITY</t>
        </is>
      </c>
      <c r="M282" t="inlineStr">
        <is>
          <t>English</t>
        </is>
      </c>
      <c r="N282" t="inlineStr">
        <is>
          <t>Article</t>
        </is>
      </c>
      <c r="T282" t="inlineStr">
        <is>
          <t>Adaptive Retrofit for Adaptive Reuse: Converting an Industrial Chimney into a Ventilation Duct to Improve Internal Comfort in a Historic Environment</t>
        </is>
      </c>
      <c r="U282" t="inlineStr">
        <is>
          <t>indoor comfort; ventilation duct; industrial heritage; adaptive retrofit; CFD analyses</t>
        </is>
      </c>
      <c r="V282" t="inlineStr">
        <is>
          <t>SOLAR CHIMNEY; BUILDINGS; HERITAGE; PERFORMANCE; MODEL; FLOW</t>
        </is>
      </c>
      <c r="W282" t="inlineStr">
        <is>
          <t>The reuse of architectural heritage is a topic of great interest for scientific research, involving aspects ranging from the architectural compatibility of the interventions to the performance updating of the artefacts, from the point of view of both energy consumption and internal comfort suitable for the new use. Compatible technological solutions exploit the passive cooling activating latent physical mechanisms of the building, of the envelope or its parts, such as openings and disused shafts. This work concerns the conversion of an old chimney, completely integrated into the historical envelope, into a ventilation duct for the air exchange and the internal comfort improvement of an old factory, proposing an adaptive retrofit solution during adaptive reuse intervention. Thermo-fluid dynamics analyses, performed with an ad hoc CFD solver for flows with flotation effects, verified the effective functionality of the device in summer and winter conditions. The results show that, in summer, the activation of passive ventilation improves the indoor comfort of the environment, while, in winter, it worsens them. This study demonstrates the usefulness of activating passive cooling phenomena in preserving historical architecture. Finally, the future potential of the application is presented by integrating the ventilation chimney with a mechanical control system to optimize its operation even in winter conditions.</t>
        </is>
      </c>
      <c r="X282" t="inlineStr">
        <is>
          <t>[De Vita, Mariangela; De Berardinis, Pierluigi] Univ Aquila, Dept Civil Bldg &amp; Environm Engn, I-67100 Laquila, Italy; [Duronio, Francesco; De Vita, Angelo] Univ Aquila, Dept Ind &amp; Informat Engn &amp; Econ, I-67100 Laquila, Italy</t>
        </is>
      </c>
      <c r="Y282" t="inlineStr">
        <is>
          <t>University of L'Aquila; University of L'Aquila</t>
        </is>
      </c>
      <c r="Z282" t="inlineStr">
        <is>
          <t>De Vita, M (corresponding author), Univ Aquila, Dept Civil Bldg &amp; Environm Engn, I-67100 Laquila, Italy.</t>
        </is>
      </c>
      <c r="AA282" t="inlineStr">
        <is>
          <t>ing.mariangeladevita@gmail.com; francesco.duronio@univaq.it; angelo.devita@univaq.it; pierluigi.deberardinis@univaq.it</t>
        </is>
      </c>
      <c r="AC282" t="inlineStr">
        <is>
          <t>Duronio, Francesco/0000-0002-1289-2590; DEVITA, MARIANGELA/0000-0002-9384-5031</t>
        </is>
      </c>
      <c r="AH282" t="n">
        <v>44</v>
      </c>
      <c r="AI282" t="n">
        <v>7</v>
      </c>
      <c r="AJ282" t="n">
        <v>7</v>
      </c>
      <c r="AK282" t="n">
        <v>8</v>
      </c>
      <c r="AL282" t="n">
        <v>23</v>
      </c>
      <c r="AM282" t="inlineStr">
        <is>
          <t>MDPI</t>
        </is>
      </c>
      <c r="AN282" t="inlineStr">
        <is>
          <t>BASEL</t>
        </is>
      </c>
      <c r="AO282" t="inlineStr">
        <is>
          <t>ST ALBAN-ANLAGE 66, CH-4052 BASEL, SWITZERLAND</t>
        </is>
      </c>
      <c r="AQ282" t="inlineStr">
        <is>
          <t>2071-1050</t>
        </is>
      </c>
      <c r="AS282" t="inlineStr">
        <is>
          <t>SUSTAINABILITY-BASEL</t>
        </is>
      </c>
      <c r="AT282" t="inlineStr">
        <is>
          <t>Sustainability</t>
        </is>
      </c>
      <c r="AU282" t="inlineStr">
        <is>
          <t>MAR</t>
        </is>
      </c>
      <c r="AV282" t="n">
        <v>2022</v>
      </c>
      <c r="AW282" t="n">
        <v>14</v>
      </c>
      <c r="AX282" t="n">
        <v>6</v>
      </c>
      <c r="BE282" t="n">
        <v>3360</v>
      </c>
      <c r="BF282" t="inlineStr">
        <is>
          <t>10.3390/su14063360</t>
        </is>
      </c>
      <c r="BG282">
        <f>HYPERLINK("http://dx.doi.org/10.3390/su14063360","http://dx.doi.org/10.3390/su14063360")</f>
        <v/>
      </c>
      <c r="BJ282" t="n">
        <v>24</v>
      </c>
      <c r="BK282" t="inlineStr">
        <is>
          <t>Green &amp; Sustainable Science &amp; Technology; Environmental Sciences; Environmental Studies</t>
        </is>
      </c>
      <c r="BL282" t="inlineStr">
        <is>
          <t>Science Citation Index Expanded (SCI-EXPANDED); Social Science Citation Index (SSCI)</t>
        </is>
      </c>
      <c r="BM282" t="inlineStr">
        <is>
          <t>Science &amp; Technology - Other Topics; Environmental Sciences &amp; Ecology</t>
        </is>
      </c>
      <c r="BN282" t="inlineStr">
        <is>
          <t>0E0UF</t>
        </is>
      </c>
      <c r="BP282" t="inlineStr">
        <is>
          <t>gold</t>
        </is>
      </c>
      <c r="BS282" t="inlineStr">
        <is>
          <t>2023-10-26</t>
        </is>
      </c>
      <c r="BT282" t="inlineStr">
        <is>
          <t>WOS:000776400300001</t>
        </is>
      </c>
      <c r="BU282">
        <f>HYPERLINK("https%3A%2F%2Fwww.webofscience.com%2Fwos%2Fwoscc%2Ffull-record%2FWOS:000776400300001","View Full Record in Web of Science")</f>
        <v/>
      </c>
    </row>
    <row r="283">
      <c r="A283" t="inlineStr">
        <is>
          <t>J</t>
        </is>
      </c>
      <c r="B283" t="inlineStr">
        <is>
          <t>Melo, J; Ribeiro, AI; Aznar, S; Pizarro, A; Santos, MP</t>
        </is>
      </c>
      <c r="F283" t="inlineStr">
        <is>
          <t>Melo, Juliana; Ribeiro, Ana Isabel; Aznar, Susana; Pizarro, Andreia; Santos, Maria Paula</t>
        </is>
      </c>
      <c r="J283" t="inlineStr">
        <is>
          <t>INTERNATIONAL JOURNAL OF ENVIRONMENTAL RESEARCH AND PUBLIC HEALTH</t>
        </is>
      </c>
      <c r="M283" t="inlineStr">
        <is>
          <t>English</t>
        </is>
      </c>
      <c r="N283" t="inlineStr">
        <is>
          <t>Article</t>
        </is>
      </c>
      <c r="T283" t="inlineStr">
        <is>
          <t>Urban Green Spaces, Greenness Exposure and Species Richness in Residential Environments and Relations with Physical Activity and BMI in Portuguese Adolescents</t>
        </is>
      </c>
      <c r="U283" t="inlineStr">
        <is>
          <t>overweight; pediatric obesity; physical activity; built environment; public green space; biodiversity</t>
        </is>
      </c>
      <c r="V283" t="inlineStr">
        <is>
          <t>HUMAN HEALTH; BUILT ENVIRONMENT; SOCIOECONOMIC-STATUS; SCHOOL-STUDENTS; FOCUS GROUPS; OBESITY; NEIGHBORHOOD; BIODIVERSITY; CHILDREN; OVERWEIGHT</t>
        </is>
      </c>
      <c r="W283" t="inlineStr">
        <is>
          <t>Environmental factors play an important role in obesity-related behaviors. Evidence indicates significant associations between weight and urban green spaces in adults, but it is not clear whether this relationship applies to adolescents. Therefore, our aim was to determine the associations between urban green spaces, greenness exposure and species richness in residential environments with physical activity and body mass index. Sixty-two adolescents between 12 and 18 years of age answered a self-administered questionnaire, providing information on height, weight, age, sex and home address. Data on socioeconomic deprivation were obtained from the European Index of Deprivation for Small Portuguese Areas. Physical activity levels were assessed using accelerometers. Urban green space counts and the normalized difference vegetation index values were measured using buffers along the roads with distances of 300, 500, 1000 and 1500 m from each participant's residence. To quantify the species richness, the species richness index was used. Linear regression models were fitted to analyze whether urban green spaces, exposure to green spaces and species richness counts for each distance were associated with physical activity and self-reported body mass index. We did not find significant associations between the independent variables and the probability of overweight or obesity. The relationship between environmental variables, adolescents' physical activity and body weight seems to be complex and further studies may contribute to better understanding of the topic.</t>
        </is>
      </c>
      <c r="X283" t="inlineStr">
        <is>
          <t>[Melo, Juliana; Pizarro, Andreia; Santos, Maria Paula] Univ Porto FADEUP, Res Ctr Phys Act Hlth &amp; Leisure CIAFEL, Fac Sports, Rua Dr Placido Costa 91, P-4200450 Porto, Portugal; [Ribeiro, Ana Isabel; Santos, Maria Paula] Univ Porto, Inst Saude Publ, EPIUnit, Rua Taipas 135, P-4050600 Porto, Portugal; [Ribeiro, Ana Isabel; Pizarro, Andreia] Lab Integrat &amp; Translat Res Populat Hlth ITR, Rua Taipas 135, P-4050600 Porto, Portugal; [Aznar, Susana] Univ Castilla La Mancha UCLM, PAFS Res Grp, Fac Sports Sci, Avda Carlos III S-N, Toledo 45071, Spain; [Aznar, Susana] Biomed Res Networking Ctr Frailty &amp; Hlth Aging CI, Madrid 28029, Spain</t>
        </is>
      </c>
      <c r="Y283" t="inlineStr">
        <is>
          <t>Universidade do Porto; Universidade do Porto; Universidad de Castilla-La Mancha</t>
        </is>
      </c>
      <c r="Z283" t="inlineStr">
        <is>
          <t>Melo, J (corresponding author), Univ Porto FADEUP, Res Ctr Phys Act Hlth &amp; Leisure CIAFEL, Fac Sports, Rua Dr Placido Costa 91, P-4200450 Porto, Portugal.</t>
        </is>
      </c>
      <c r="AA283" t="inlineStr">
        <is>
          <t>jcmedf@hotmail.com; gabrtl@fade.up.pt; susana.aznar@uclm.es; ana.isabel.ribeiro@ispup.up.pt; msantos@fade.up.pt</t>
        </is>
      </c>
      <c r="AB283" t="inlineStr">
        <is>
          <t>Aznar, Susana/AAD-9999-2021; Santos, Maria Paula/L-7533-2013; Ribeiro, Ana Cristina/HHN-7466-2022</t>
        </is>
      </c>
      <c r="AC283" t="inlineStr">
        <is>
          <t>Santos, Maria Paula/0000-0002-2182-9841; Ribeiro, Ana Cristina/0000-0002-0493-8376; Aznar Lain, Susana/0000-0001-7054-436X; Melo, Juliana/0000-0003-0127-5340; Ribeiro, Ana Isabel/0000-0001-8880-6962</t>
        </is>
      </c>
      <c r="AD283" t="inlineStr">
        <is>
          <t>FEDER through the Operational Program for Competitiveness and Internationalization; Foundation for Science and Technology-FCT (Portuguese Ministry of Science, Technology and Higher Education), under the Research Center in Physical Activity, Health and Leisure (CIAFEL) [UIDB/00617/2020]; Foundation for Science and Technology-FCT (Portuguese Ministry of Science, Technology and Higher Education) under the Epidemiology Research Unit (EPIUnit)-Institute of Public Health of the University of Porto [UIDB/04750/2020]; FCT [CEECIND/02386/2018]</t>
        </is>
      </c>
      <c r="AE283" t="inlineStr">
        <is>
          <t>FEDER through the Operational Program for Competitiveness and Internationalization; Foundation for Science and Technology-FCT (Portuguese Ministry of Science, Technology and Higher Education), under the Research Center in Physical Activity, Health and Leisure (CIAFEL); Foundation for Science and Technology-FCT (Portuguese Ministry of Science, Technology and Higher Education) under the Epidemiology Research Unit (EPIUnit)-Institute of Public Health of the University of Porto; FCT(Fundacao para a Ciencia e a Tecnologia (FCT))</t>
        </is>
      </c>
      <c r="AF283" t="inlineStr">
        <is>
          <t>This research was funded by FEDER through the Operational Program for Competitiveness and Internationalization and received national funding from the Foundation for Science and Technology-FCT (Portuguese Ministry of Science, Technology and Higher Education), under the Research Center in Physical Activity, Health and Leisure (CIAFEL) (UIDB/00617/2020) and also under the Epidemiology Research Unit (EPIUnit)-Institute of Public Health of the University of Porto (UIDB/04750/2020). Ana Isabel Ribeiro was supported by national funds through FCT, under the `Stimulus of Scientific Employment-Individual Support' program within the contract CEECIND/02386/2018.</t>
        </is>
      </c>
      <c r="AH283" t="n">
        <v>78</v>
      </c>
      <c r="AI283" t="n">
        <v>6</v>
      </c>
      <c r="AJ283" t="n">
        <v>6</v>
      </c>
      <c r="AK283" t="n">
        <v>8</v>
      </c>
      <c r="AL283" t="n">
        <v>43</v>
      </c>
      <c r="AM283" t="inlineStr">
        <is>
          <t>MDPI</t>
        </is>
      </c>
      <c r="AN283" t="inlineStr">
        <is>
          <t>BASEL</t>
        </is>
      </c>
      <c r="AO283" t="inlineStr">
        <is>
          <t>ST ALBAN-ANLAGE 66, CH-4052 BASEL, SWITZERLAND</t>
        </is>
      </c>
      <c r="AQ283" t="inlineStr">
        <is>
          <t>1660-4601</t>
        </is>
      </c>
      <c r="AS283" t="inlineStr">
        <is>
          <t>INT J ENV RES PUB HE</t>
        </is>
      </c>
      <c r="AT283" t="inlineStr">
        <is>
          <t>Int. J. Environ. Res. Public Health</t>
        </is>
      </c>
      <c r="AU283" t="inlineStr">
        <is>
          <t>JUN</t>
        </is>
      </c>
      <c r="AV283" t="n">
        <v>2021</v>
      </c>
      <c r="AW283" t="n">
        <v>18</v>
      </c>
      <c r="AX283" t="n">
        <v>12</v>
      </c>
      <c r="BE283" t="n">
        <v>6588</v>
      </c>
      <c r="BF283" t="inlineStr">
        <is>
          <t>10.3390/ijerph18126588</t>
        </is>
      </c>
      <c r="BG283">
        <f>HYPERLINK("http://dx.doi.org/10.3390/ijerph18126588","http://dx.doi.org/10.3390/ijerph18126588")</f>
        <v/>
      </c>
      <c r="BJ283" t="n">
        <v>14</v>
      </c>
      <c r="BK283" t="inlineStr">
        <is>
          <t>Environmental Sciences; Public, Environmental &amp; Occupational Health</t>
        </is>
      </c>
      <c r="BL283" t="inlineStr">
        <is>
          <t>Science Citation Index Expanded (SCI-EXPANDED); Social Science Citation Index (SSCI)</t>
        </is>
      </c>
      <c r="BM283" t="inlineStr">
        <is>
          <t>Environmental Sciences &amp; Ecology; Public, Environmental &amp; Occupational Health</t>
        </is>
      </c>
      <c r="BN283" t="inlineStr">
        <is>
          <t>SY5GH</t>
        </is>
      </c>
      <c r="BO283" t="n">
        <v>34207424</v>
      </c>
      <c r="BP283" t="inlineStr">
        <is>
          <t>Green Published, gold</t>
        </is>
      </c>
      <c r="BS283" t="inlineStr">
        <is>
          <t>2023-10-26</t>
        </is>
      </c>
      <c r="BT283" t="inlineStr">
        <is>
          <t>WOS:000665915800001</t>
        </is>
      </c>
      <c r="BU283">
        <f>HYPERLINK("https%3A%2F%2Fwww.webofscience.com%2Fwos%2Fwoscc%2Ffull-record%2FWOS:000665915800001","View Full Record in Web of Science")</f>
        <v/>
      </c>
    </row>
    <row r="284">
      <c r="A284" t="inlineStr">
        <is>
          <t>J</t>
        </is>
      </c>
      <c r="B284" t="inlineStr">
        <is>
          <t>Zeng, F; Shen, ZJ</t>
        </is>
      </c>
      <c r="F284" t="inlineStr">
        <is>
          <t>Zeng, Fen; Shen, Zhenjiang</t>
        </is>
      </c>
      <c r="J284" t="inlineStr">
        <is>
          <t>INTERNATIONAL JOURNAL OF ENVIRONMENTAL RESEARCH AND PUBLIC HEALTH</t>
        </is>
      </c>
      <c r="M284" t="inlineStr">
        <is>
          <t>English</t>
        </is>
      </c>
      <c r="N284" t="inlineStr">
        <is>
          <t>Article</t>
        </is>
      </c>
      <c r="T284" t="inlineStr">
        <is>
          <t>Study on the Impact of Historic District Built Environment and Its Influence on Residents' Walking Trips: A Case Study of Zhangzhou Ancient City's Historic District</t>
        </is>
      </c>
      <c r="U284" t="inlineStr">
        <is>
          <t>built environment; walking behaviour; neighbourhood walkability; regeneration project</t>
        </is>
      </c>
      <c r="V284" t="inlineStr">
        <is>
          <t>PHYSICAL-ACTIVITY; SOCIAL INEQUALITIES; URBAN DESIGN; WALKABILITY; TRAVEL; TRANSPORTATION; CITIES</t>
        </is>
      </c>
      <c r="W284" t="inlineStr">
        <is>
          <t>Walking maintains an indisputable advantage as a simple transport mode over short distances. Various situations have shown that when staying in a walk-friendly built environment, people are more likely to walk and interact with their surroundings. Scholars have reported some evidence of the influence of neighbourhood environments on personal walking trips. Most existing studies of the correlation between the built environment and walking, however, have been conducted in the West and are cross-sectional, which leaves a gap in addressing the causality between built environments and walking under the intervention of regeneration measures. This study takes a historic district of a mid-sized city in China as the research area and reports the changes in the traditional residential district's built environment caused by the implementation of urban regeneration. In this paper, we use physical and perceptual indicators to measure the walkability of the built environment. We identify the changed content of the built environment's walkability and the change of residents' walking behaviour through longitudinal and quasi-longitudinal methods. The conclusion shows that the implementation of a regeneration project of the historic district has greatly changed perceived walkability, which has significantly promoted residents' recreational walking trips, especially among the population of middle-aged and elderly people in the district. The conclusion that the built environment's change promotes recreational walking is contrary to the research performed in sprawling Western contexts such as in the US, and it provides a meaningful supplement for research on the topic in an Asian context.</t>
        </is>
      </c>
      <c r="X284" t="inlineStr">
        <is>
          <t>[Zeng, Fen; Shen, Zhenjiang] Int Joint SPSD Lab Fuzhou Univ &amp; Kanazawa Univ, Kanazawa, Ishikawa 9201192, Japan</t>
        </is>
      </c>
      <c r="Z284" t="inlineStr">
        <is>
          <t>Shen, ZJ (corresponding author), Int Joint SPSD Lab Fuzhou Univ &amp; Kanazawa Univ, Kanazawa, Ishikawa 9201192, Japan.</t>
        </is>
      </c>
      <c r="AA284" t="inlineStr">
        <is>
          <t>zengfen186@163.com; shenzhe@se.kanazawa-u.ac.jp</t>
        </is>
      </c>
      <c r="AB284" t="inlineStr">
        <is>
          <t>Shen, Zhenjiang/J-7979-2015</t>
        </is>
      </c>
      <c r="AC284" t="inlineStr">
        <is>
          <t>Shen, Zhenjiang/0000-0002-0417-5962</t>
        </is>
      </c>
      <c r="AH284" t="n">
        <v>47</v>
      </c>
      <c r="AI284" t="n">
        <v>5</v>
      </c>
      <c r="AJ284" t="n">
        <v>5</v>
      </c>
      <c r="AK284" t="n">
        <v>12</v>
      </c>
      <c r="AL284" t="n">
        <v>55</v>
      </c>
      <c r="AM284" t="inlineStr">
        <is>
          <t>MDPI</t>
        </is>
      </c>
      <c r="AN284" t="inlineStr">
        <is>
          <t>BASEL</t>
        </is>
      </c>
      <c r="AO284" t="inlineStr">
        <is>
          <t>ST ALBAN-ANLAGE 66, CH-4052 BASEL, SWITZERLAND</t>
        </is>
      </c>
      <c r="AQ284" t="inlineStr">
        <is>
          <t>1660-4601</t>
        </is>
      </c>
      <c r="AS284" t="inlineStr">
        <is>
          <t>INT J ENV RES PUB HE</t>
        </is>
      </c>
      <c r="AT284" t="inlineStr">
        <is>
          <t>Int. J. Environ. Res. Public Health</t>
        </is>
      </c>
      <c r="AU284" t="inlineStr">
        <is>
          <t>JUN</t>
        </is>
      </c>
      <c r="AV284" t="n">
        <v>2020</v>
      </c>
      <c r="AW284" t="n">
        <v>17</v>
      </c>
      <c r="AX284" t="n">
        <v>12</v>
      </c>
      <c r="BE284" t="n">
        <v>4367</v>
      </c>
      <c r="BF284" t="inlineStr">
        <is>
          <t>10.3390/ijerph17124367</t>
        </is>
      </c>
      <c r="BG284">
        <f>HYPERLINK("http://dx.doi.org/10.3390/ijerph17124367","http://dx.doi.org/10.3390/ijerph17124367")</f>
        <v/>
      </c>
      <c r="BJ284" t="n">
        <v>16</v>
      </c>
      <c r="BK284" t="inlineStr">
        <is>
          <t>Environmental Sciences; Public, Environmental &amp; Occupational Health</t>
        </is>
      </c>
      <c r="BL284" t="inlineStr">
        <is>
          <t>Science Citation Index Expanded (SCI-EXPANDED); Social Science Citation Index (SSCI)</t>
        </is>
      </c>
      <c r="BM284" t="inlineStr">
        <is>
          <t>Environmental Sciences &amp; Ecology; Public, Environmental &amp; Occupational Health</t>
        </is>
      </c>
      <c r="BN284" t="inlineStr">
        <is>
          <t>MR9DR</t>
        </is>
      </c>
      <c r="BO284" t="n">
        <v>32570755</v>
      </c>
      <c r="BP284" t="inlineStr">
        <is>
          <t>Green Published, gold</t>
        </is>
      </c>
      <c r="BS284" t="inlineStr">
        <is>
          <t>2023-10-26</t>
        </is>
      </c>
      <c r="BT284" t="inlineStr">
        <is>
          <t>WOS:000553889700001</t>
        </is>
      </c>
      <c r="BU284">
        <f>HYPERLINK("https%3A%2F%2Fwww.webofscience.com%2Fwos%2Fwoscc%2Ffull-record%2FWOS:000553889700001","View Full Record in Web of Science")</f>
        <v/>
      </c>
    </row>
    <row r="285">
      <c r="A285" t="inlineStr">
        <is>
          <t>J</t>
        </is>
      </c>
      <c r="B285" t="inlineStr">
        <is>
          <t>Liu, Y; Luo, W; Chen, X</t>
        </is>
      </c>
      <c r="F285" t="inlineStr">
        <is>
          <t>Liu, Yi; Luo, Wei; Chen, Xing</t>
        </is>
      </c>
      <c r="J285" t="inlineStr">
        <is>
          <t>SUSTAINABILITY</t>
        </is>
      </c>
      <c r="M285" t="inlineStr">
        <is>
          <t>English</t>
        </is>
      </c>
      <c r="N285" t="inlineStr">
        <is>
          <t>Article</t>
        </is>
      </c>
      <c r="T285" t="inlineStr">
        <is>
          <t>Occupants' Satisfaction of Indoor Environment Quality in Non-Linear Minimum Buildings in Winter Based on the Role of Different Kinds of Perceptions</t>
        </is>
      </c>
      <c r="U285" t="inlineStr">
        <is>
          <t>minimum building; low carbon building; indoor environmental satisfaction; perceptive-cognitive aspects; sensation dimension; comfort dimension</t>
        </is>
      </c>
      <c r="V285" t="inlineStr">
        <is>
          <t>THERMAL SENSATION; COMFORT; SYSTEM</t>
        </is>
      </c>
      <c r="W285" t="inlineStr">
        <is>
          <t>Non-Linear Minimum Building (NLMB) is a sort of low-carbon building designed to meet the needs of the growing urban population around the world. This study investigates the perceptions of indoor environments among students whilst staying in NLMBs. The students were asked to participate in the subjective survey in order to gather their indoor environmental satisfaction votes. The objectives of this study are to know the importance of six human sensations inside NLMBs relative to indoor environmental satisfaction. The main findings indicated the great function of the humidity sensation in NLMBs, followed by the thermal sensation, the noise sensation, the visual sensation, the air freshness sensation and the draft sensation. Although the subjects were not very satisfied with the humidity sensation, the overall indoor environmental satisfaction was quite high under the relatively cold conditions in winter. Moreover, the studies, through in-depth interviews, showed that the majority of people felt comfortable, and some of them experienced good feelings or experiences when they stayed in NLMBs.</t>
        </is>
      </c>
      <c r="X285" t="inlineStr">
        <is>
          <t>[Liu, Yi; Luo, Wei] Yangzhou Univ, Coll Elect Energy &amp; Power Engn, Yangzhou 225127, Jiangsu, Peoples R China; [Chen, Xing] Yangzhou Univ, Coll Architectural Sci &amp; Engn, Yangzhou 225127, Jiangsu, Peoples R China</t>
        </is>
      </c>
      <c r="Y285" t="inlineStr">
        <is>
          <t>Yangzhou University; Yangzhou University</t>
        </is>
      </c>
      <c r="Z285" t="inlineStr">
        <is>
          <t>Liu, Y (corresponding author), Yangzhou Univ, Coll Elect Energy &amp; Power Engn, Yangzhou 225127, Jiangsu, Peoples R China.</t>
        </is>
      </c>
      <c r="AA285" t="inlineStr">
        <is>
          <t>liuyi@yzu.edu.cn; plu4hmose@gmail.com; cx@yzu.edu.cn</t>
        </is>
      </c>
      <c r="AB285" t="inlineStr">
        <is>
          <t>li, xiang/JCN-9316-2023</t>
        </is>
      </c>
      <c r="AD285" t="inlineStr">
        <is>
          <t>National Natural Science Foundation of China [51508494]; Science and Technology Project of Ministry of Housing and Urban-Rural Development of China [2014-K2-022]</t>
        </is>
      </c>
      <c r="AE285" t="inlineStr">
        <is>
          <t>National Natural Science Foundation of China(National Natural Science Foundation of China (NSFC)); Science and Technology Project of Ministry of Housing and Urban-Rural Development of China</t>
        </is>
      </c>
      <c r="AF285" t="inlineStr">
        <is>
          <t>This research was funded by the National Natural Science Foundation of China, grant number 51978598; National Natural Science Foundation of China, grant number 51508494; Science and Technology Project of Ministry of Housing and Urban-Rural Development of China, grant number 2014-K2-022.</t>
        </is>
      </c>
      <c r="AH285" t="n">
        <v>42</v>
      </c>
      <c r="AI285" t="n">
        <v>0</v>
      </c>
      <c r="AJ285" t="n">
        <v>0</v>
      </c>
      <c r="AK285" t="n">
        <v>2</v>
      </c>
      <c r="AL285" t="n">
        <v>11</v>
      </c>
      <c r="AM285" t="inlineStr">
        <is>
          <t>MDPI</t>
        </is>
      </c>
      <c r="AN285" t="inlineStr">
        <is>
          <t>BASEL</t>
        </is>
      </c>
      <c r="AO285" t="inlineStr">
        <is>
          <t>ST ALBAN-ANLAGE 66, CH-4052 BASEL, SWITZERLAND</t>
        </is>
      </c>
      <c r="AQ285" t="inlineStr">
        <is>
          <t>2071-1050</t>
        </is>
      </c>
      <c r="AS285" t="inlineStr">
        <is>
          <t>SUSTAINABILITY-BASEL</t>
        </is>
      </c>
      <c r="AT285" t="inlineStr">
        <is>
          <t>Sustainability</t>
        </is>
      </c>
      <c r="AU285" t="inlineStr">
        <is>
          <t>MAY</t>
        </is>
      </c>
      <c r="AV285" t="n">
        <v>2022</v>
      </c>
      <c r="AW285" t="n">
        <v>14</v>
      </c>
      <c r="AX285" t="n">
        <v>9</v>
      </c>
      <c r="BE285" t="n">
        <v>4983</v>
      </c>
      <c r="BF285" t="inlineStr">
        <is>
          <t>10.3390/su14094983</t>
        </is>
      </c>
      <c r="BG285">
        <f>HYPERLINK("http://dx.doi.org/10.3390/su14094983","http://dx.doi.org/10.3390/su14094983")</f>
        <v/>
      </c>
      <c r="BJ285" t="n">
        <v>11</v>
      </c>
      <c r="BK285" t="inlineStr">
        <is>
          <t>Green &amp; Sustainable Science &amp; Technology; Environmental Sciences; Environmental Studies</t>
        </is>
      </c>
      <c r="BL285" t="inlineStr">
        <is>
          <t>Science Citation Index Expanded (SCI-EXPANDED); Social Science Citation Index (SSCI)</t>
        </is>
      </c>
      <c r="BM285" t="inlineStr">
        <is>
          <t>Science &amp; Technology - Other Topics; Environmental Sciences &amp; Ecology</t>
        </is>
      </c>
      <c r="BN285" t="inlineStr">
        <is>
          <t>1G9IU</t>
        </is>
      </c>
      <c r="BP285" t="inlineStr">
        <is>
          <t>gold</t>
        </is>
      </c>
      <c r="BS285" t="inlineStr">
        <is>
          <t>2023-10-26</t>
        </is>
      </c>
      <c r="BT285" t="inlineStr">
        <is>
          <t>WOS:000796162100001</t>
        </is>
      </c>
      <c r="BU285">
        <f>HYPERLINK("https%3A%2F%2Fwww.webofscience.com%2Fwos%2Fwoscc%2Ffull-record%2FWOS:000796162100001","View Full Record in Web of Science")</f>
        <v/>
      </c>
    </row>
    <row r="286">
      <c r="A286" t="inlineStr">
        <is>
          <t>J</t>
        </is>
      </c>
      <c r="B286" t="inlineStr">
        <is>
          <t>Yao, XB; Han, S; Dewancker, B</t>
        </is>
      </c>
      <c r="F286" t="inlineStr">
        <is>
          <t>Yao, Xingbo; Han, Shuo; Dewancker, Bart</t>
        </is>
      </c>
      <c r="J286" t="inlineStr">
        <is>
          <t>INTERNATIONAL JOURNAL OF ENVIRONMENTAL RESEARCH AND PUBLIC HEALTH</t>
        </is>
      </c>
      <c r="M286" t="inlineStr">
        <is>
          <t>English</t>
        </is>
      </c>
      <c r="N286" t="inlineStr">
        <is>
          <t>Article</t>
        </is>
      </c>
      <c r="T286" t="inlineStr">
        <is>
          <t>Wind Environment Simulation Accuracy in Traditional Villages with Complex Layouts Based on CFD</t>
        </is>
      </c>
      <c r="U286" t="inlineStr">
        <is>
          <t>CFD; building environment; steady-state simulation; rural ventilation</t>
        </is>
      </c>
      <c r="V286" t="inlineStr">
        <is>
          <t>POLLUTANT DISPERSION; NUMERICAL-SIMULATION; CITY BREATHABILITY; STREET CANYONS; AIR; VENTILATION; TUNNEL; FLOW; MICROCLIMATE; EFFICIENCY</t>
        </is>
      </c>
      <c r="W286" t="inlineStr">
        <is>
          <t>Using wind speed, wind direction, and turbulence intensity values as evaluation indicators, the ventilation performance of villages with complex building layouts was studied. We used the SKE, RNG, and RKE solvers in CFD-3D steady-state Reynolds-averaged Navier-Stokes (RANS) to simulate the wind environment of a village. The findings show that for the simulation of rural wind environments with complex building layouts, steady-state simulation solvers need to be evaluated in detail to verify their accuracy. In this study, a village with a complex architectural layout in Southern Shaanxi, China, was taken as the research object, and three steady-state simulation solvers were used to evaluate the ventilation performance of the village. The simulated data were compared with the measured data to find the most suitable solver for this kind of village wind environment simulation. The results show that for the simulation of the village wind environment with a complex building layout, the RNG simulation results have the lowest reliability among the three steady-state solvers. The reliability of wind speed distribution and turbulence intensity distribution are 0.7881 and 0.2473, respectively. However, the wind speed and turbulence intensity values obtained by the SKE solver are the closest to the measured values, which are 0.8625 and 0.9088, respectively. Therefore, for villages with complex building layouts, the SKE solver should be the first choice for simulating wind environment distribution. When using the RNG solver, the overall turbulence intensity value obtained is higher than the measured value. The average deviation between the simulated data and SKE and RKE at a height of 1.7 m is 42.61%. The main reason for this is that RNG overestimates the vortices and underestimates the airflow rate in the building intervals.</t>
        </is>
      </c>
      <c r="X286" t="inlineStr">
        <is>
          <t>[Yao, Xingbo; Dewancker, Bart] Univ Kitakyushu, Fac Environm Engn, Kitakyushu, Fukuoka 8080135, Japan; [Han, Shuo] Xidian Univ, Sch Commun Engn, Xian 710071, Peoples R China</t>
        </is>
      </c>
      <c r="Y286" t="inlineStr">
        <is>
          <t>University of Kitakyushu; Xidian University</t>
        </is>
      </c>
      <c r="Z286" t="inlineStr">
        <is>
          <t>Yao, XB (corresponding author), Univ Kitakyushu, Fac Environm Engn, Kitakyushu, Fukuoka 8080135, Japan.</t>
        </is>
      </c>
      <c r="AA286" t="inlineStr">
        <is>
          <t>yaohanhome@gmail.com; hanshuo1991sure@163.com; bart@kitakyu-u.ac.jp</t>
        </is>
      </c>
      <c r="AC286" t="inlineStr">
        <is>
          <t>xingbo, yao/0000-0002-1118-0444; Dewancker, Bart/0000-0002-1212-0750</t>
        </is>
      </c>
      <c r="AH286" t="n">
        <v>43</v>
      </c>
      <c r="AI286" t="n">
        <v>3</v>
      </c>
      <c r="AJ286" t="n">
        <v>3</v>
      </c>
      <c r="AK286" t="n">
        <v>13</v>
      </c>
      <c r="AL286" t="n">
        <v>53</v>
      </c>
      <c r="AM286" t="inlineStr">
        <is>
          <t>MDPI</t>
        </is>
      </c>
      <c r="AN286" t="inlineStr">
        <is>
          <t>BASEL</t>
        </is>
      </c>
      <c r="AO286" t="inlineStr">
        <is>
          <t>ST ALBAN-ANLAGE 66, CH-4052 BASEL, SWITZERLAND</t>
        </is>
      </c>
      <c r="AQ286" t="inlineStr">
        <is>
          <t>1660-4601</t>
        </is>
      </c>
      <c r="AS286" t="inlineStr">
        <is>
          <t>INT J ENV RES PUB HE</t>
        </is>
      </c>
      <c r="AT286" t="inlineStr">
        <is>
          <t>Int. J. Environ. Res. Public Health</t>
        </is>
      </c>
      <c r="AU286" t="inlineStr">
        <is>
          <t>AUG</t>
        </is>
      </c>
      <c r="AV286" t="n">
        <v>2021</v>
      </c>
      <c r="AW286" t="n">
        <v>18</v>
      </c>
      <c r="AX286" t="n">
        <v>16</v>
      </c>
      <c r="BE286" t="n">
        <v>8644</v>
      </c>
      <c r="BF286" t="inlineStr">
        <is>
          <t>10.3390/ijerph18168644</t>
        </is>
      </c>
      <c r="BG286">
        <f>HYPERLINK("http://dx.doi.org/10.3390/ijerph18168644","http://dx.doi.org/10.3390/ijerph18168644")</f>
        <v/>
      </c>
      <c r="BJ286" t="n">
        <v>21</v>
      </c>
      <c r="BK286" t="inlineStr">
        <is>
          <t>Environmental Sciences; Public, Environmental &amp; Occupational Health</t>
        </is>
      </c>
      <c r="BL286" t="inlineStr">
        <is>
          <t>Science Citation Index Expanded (SCI-EXPANDED); Social Science Citation Index (SSCI)</t>
        </is>
      </c>
      <c r="BM286" t="inlineStr">
        <is>
          <t>Environmental Sciences &amp; Ecology; Public, Environmental &amp; Occupational Health</t>
        </is>
      </c>
      <c r="BN286" t="inlineStr">
        <is>
          <t>UG4JN</t>
        </is>
      </c>
      <c r="BO286" t="n">
        <v>34444391</v>
      </c>
      <c r="BP286" t="inlineStr">
        <is>
          <t>gold, Green Published</t>
        </is>
      </c>
      <c r="BS286" t="inlineStr">
        <is>
          <t>2023-10-26</t>
        </is>
      </c>
      <c r="BT286" t="inlineStr">
        <is>
          <t>WOS:000689221000001</t>
        </is>
      </c>
      <c r="BU286">
        <f>HYPERLINK("https%3A%2F%2Fwww.webofscience.com%2Fwos%2Fwoscc%2Ffull-record%2FWOS:000689221000001","View Full Record in Web of Science")</f>
        <v/>
      </c>
    </row>
    <row r="287">
      <c r="A287" t="inlineStr">
        <is>
          <t>J</t>
        </is>
      </c>
      <c r="B287" t="inlineStr">
        <is>
          <t>Lotoski, L; Fuller, D; Stanley, KG; Rainham, D; Muhajarine, N</t>
        </is>
      </c>
      <c r="F287" t="inlineStr">
        <is>
          <t>Lotoski, Larisa; Fuller, Daniel; Stanley, Kevin G.; Rainham, Daniel; Muhajarine, Nazeem</t>
        </is>
      </c>
      <c r="J287" t="inlineStr">
        <is>
          <t>INTERNATIONAL JOURNAL OF ENVIRONMENTAL RESEARCH AND PUBLIC HEALTH</t>
        </is>
      </c>
      <c r="M287" t="inlineStr">
        <is>
          <t>English</t>
        </is>
      </c>
      <c r="N287" t="inlineStr">
        <is>
          <t>Article</t>
        </is>
      </c>
      <c r="T287" t="inlineStr">
        <is>
          <t>The Effect of Season and Neighbourhood-Built Environment on Home Area Sedentary Behaviour in 9-14 Year Old Children</t>
        </is>
      </c>
      <c r="U287" t="inlineStr">
        <is>
          <t>sedentary behaviour; built environment; season; adolescents; children; physical activity; physical behaviour; sedentary time</t>
        </is>
      </c>
      <c r="V287" t="inlineStr">
        <is>
          <t>VIGOROUS PHYSICAL-ACTIVITY; WEATHER CONDITIONS; LEISURE-TIME; YOUTH; SCHOOL; ASSOCIATION; PATTERNS; PLAY; WALKABILITY; OBESITY</t>
        </is>
      </c>
      <c r="W287" t="inlineStr">
        <is>
          <t>There is little understanding of how the built environment shapes activity behaviours in children over different seasons. This study sought to establish how seasonal weather patterns, in a given year in a mid-western Canadian city, affect sedentary time (SED) in youth and how the relationship between season and SED are moderated by the built environment in their home neighbourhood. Families with children aged 9-14 years were recruited from the prairie city of Saskatoon, Canada. Location-specific, device-based SED was captured in children during three timeframes over a one-year period using GPS-paired accelerometers. Multilevel models are presented. Children accumulated significantly greater levels of SED in spring but significantly less SED in the fall months in comparison to the winter months. Children living in neighbourhoods with the highest density of destinations accumulated significantly less SED while in their home area in comparison to their counterparts, and this effect was more pronounced in the spring and summer months. On weekends, the rise in sedentariness within the home area was completely diminished in children living in neighbourhoods with the greatest number of destinations and highest activity friendliness. These results suggested that increasing neighbourhood amenities can lead to a reduced sedentariness of youth, though more so in the warmers months of the year.</t>
        </is>
      </c>
      <c r="X287" t="inlineStr">
        <is>
          <t>[Lotoski, Larisa; Muhajarine, Nazeem] Univ Saskatchewan, Dept Community Hlth &amp; Epidemiol, Saskatoon, SK S7N 5E5, Canada; [Fuller, Daniel] Mem Univ Newfoundland, Sch Human Kinet &amp; Recreat, St John, NF A1C 5S7, Canada; [Fuller, Daniel; Muhajarine, Nazeem] Univ Saskatchewan, Saskatchewan Populat Hlth &amp; Evaluat Res Unit, Saskatoon, SK S7N 5E5, Canada; [Stanley, Kevin G.] Univ Saskatchewan, Dept Comp Sci, Saskatoon, SK S7N 5C9, Canada; [Rainham, Daniel] Dalhousie Univ, Sch Hlth &amp; Human Performance, Halifax, NS B3H 4R2, Canada</t>
        </is>
      </c>
      <c r="Y287" t="inlineStr">
        <is>
          <t>University of Saskatchewan; Memorial University Newfoundland; University of Saskatchewan; University of Saskatchewan; Dalhousie University</t>
        </is>
      </c>
      <c r="Z287" t="inlineStr">
        <is>
          <t>Muhajarine, N (corresponding author), Univ Saskatchewan, Dept Community Hlth &amp; Epidemiol, Saskatoon, SK S7N 5E5, Canada.;Muhajarine, N (corresponding author), Univ Saskatchewan, Saskatchewan Populat Hlth &amp; Evaluat Res Unit, Saskatoon, SK S7N 5E5, Canada.</t>
        </is>
      </c>
      <c r="AA287" t="inlineStr">
        <is>
          <t>Larisa.lotoski@usask.ca; dfuller@mun.ca; kstanley@cs.usask.ca; Daniel.Rainham@Dal.Ca; nazeem.muhajarine@usask.ca</t>
        </is>
      </c>
      <c r="AB287" t="inlineStr">
        <is>
          <t>Lotoski, Larisa/JFK-0750-2023; Rainham, Daniel GC/C-4800-2009</t>
        </is>
      </c>
      <c r="AC287" t="inlineStr">
        <is>
          <t>Fuller, Daniel/0000-0002-2015-2955; Muhajarine, Nazeem/0000-0001-6781-5421; Rainham, Daniel/0000-0002-3932-2942</t>
        </is>
      </c>
      <c r="AD287" t="inlineStr">
        <is>
          <t>Canadian Institutes of Health Research [133539]</t>
        </is>
      </c>
      <c r="AE287" t="inlineStr">
        <is>
          <t>Canadian Institutes of Health Research(Canadian Institutes of Health Research (CIHR))</t>
        </is>
      </c>
      <c r="AF287" t="inlineStr">
        <is>
          <t>This research was funded by Canadian Institutes of Health Research, grant number FRN #133539.</t>
        </is>
      </c>
      <c r="AH287" t="n">
        <v>63</v>
      </c>
      <c r="AI287" t="n">
        <v>1</v>
      </c>
      <c r="AJ287" t="n">
        <v>1</v>
      </c>
      <c r="AK287" t="n">
        <v>0</v>
      </c>
      <c r="AL287" t="n">
        <v>3</v>
      </c>
      <c r="AM287" t="inlineStr">
        <is>
          <t>MDPI</t>
        </is>
      </c>
      <c r="AN287" t="inlineStr">
        <is>
          <t>BASEL</t>
        </is>
      </c>
      <c r="AO287" t="inlineStr">
        <is>
          <t>ST ALBAN-ANLAGE 66, CH-4052 BASEL, SWITZERLAND</t>
        </is>
      </c>
      <c r="AQ287" t="inlineStr">
        <is>
          <t>1660-4601</t>
        </is>
      </c>
      <c r="AS287" t="inlineStr">
        <is>
          <t>INT J ENV RES PUB HE</t>
        </is>
      </c>
      <c r="AT287" t="inlineStr">
        <is>
          <t>Int. J. Environ. Res. Public Health</t>
        </is>
      </c>
      <c r="AU287" t="inlineStr">
        <is>
          <t>FEB</t>
        </is>
      </c>
      <c r="AV287" t="n">
        <v>2021</v>
      </c>
      <c r="AW287" t="n">
        <v>18</v>
      </c>
      <c r="AX287" t="n">
        <v>4</v>
      </c>
      <c r="BE287" t="n">
        <v>1968</v>
      </c>
      <c r="BF287" t="inlineStr">
        <is>
          <t>10.3390/ijerph18041968</t>
        </is>
      </c>
      <c r="BG287">
        <f>HYPERLINK("http://dx.doi.org/10.3390/ijerph18041968","http://dx.doi.org/10.3390/ijerph18041968")</f>
        <v/>
      </c>
      <c r="BJ287" t="n">
        <v>15</v>
      </c>
      <c r="BK287" t="inlineStr">
        <is>
          <t>Environmental Sciences; Public, Environmental &amp; Occupational Health</t>
        </is>
      </c>
      <c r="BL287" t="inlineStr">
        <is>
          <t>Science Citation Index Expanded (SCI-EXPANDED); Social Science Citation Index (SSCI)</t>
        </is>
      </c>
      <c r="BM287" t="inlineStr">
        <is>
          <t>Environmental Sciences &amp; Ecology; Public, Environmental &amp; Occupational Health</t>
        </is>
      </c>
      <c r="BN287" t="inlineStr">
        <is>
          <t>QP0XT</t>
        </is>
      </c>
      <c r="BO287" t="n">
        <v>33670599</v>
      </c>
      <c r="BP287" t="inlineStr">
        <is>
          <t>Green Published, gold</t>
        </is>
      </c>
      <c r="BS287" t="inlineStr">
        <is>
          <t>2023-10-26</t>
        </is>
      </c>
      <c r="BT287" t="inlineStr">
        <is>
          <t>WOS:000623561600001</t>
        </is>
      </c>
      <c r="BU287">
        <f>HYPERLINK("https%3A%2F%2Fwww.webofscience.com%2Fwos%2Fwoscc%2Ffull-record%2FWOS:000623561600001","View Full Record in Web of Science")</f>
        <v/>
      </c>
    </row>
    <row r="288">
      <c r="A288" t="inlineStr">
        <is>
          <t>J</t>
        </is>
      </c>
      <c r="B288" t="inlineStr">
        <is>
          <t>Xie, HJ; Wang, QK; Zhou, XL; Yang, YP; Mao, YW; Zhang, X</t>
        </is>
      </c>
      <c r="F288" t="inlineStr">
        <is>
          <t>Xie, Hongjie; Wang, Qiankun; Zhou, Xilin; Yang, Yiping; Mao, Yuwei; Zhang, Xu</t>
        </is>
      </c>
      <c r="J288" t="inlineStr">
        <is>
          <t>SUSTAINABILITY</t>
        </is>
      </c>
      <c r="M288" t="inlineStr">
        <is>
          <t>English</t>
        </is>
      </c>
      <c r="N288" t="inlineStr">
        <is>
          <t>Article</t>
        </is>
      </c>
      <c r="T288" t="inlineStr">
        <is>
          <t>Built Environment Factors Influencing Prevalence of Hypertension at Community Level in China: The Case of Wuhan</t>
        </is>
      </c>
      <c r="U288" t="inlineStr">
        <is>
          <t>healthy city planning; prevalence of hypertension; built environment factors; empirical research</t>
        </is>
      </c>
      <c r="V288" t="inlineStr">
        <is>
          <t>PHYSICAL-ACTIVITY; URBAN DESIGN; PUBLIC-HEALTH; GREEN SPACE; LAND-USE; OBESITY; WALKING; DESTINATIONS; EPIDEMIOLOGY; ASSOCIATIONS</t>
        </is>
      </c>
      <c r="W288" t="inlineStr">
        <is>
          <t>This paper studies the correlation between built environment factors and the prevalence of hypertension in Wuhan, a typical city in central China. Data were obtained from a regional epidemiological database, which is the 2015 Epidemiological Survey of people under 65 years in 144 communities. The prevalence of hypertension was analyzed in five components based on the WHO framework (land use, transport, accessibility, green space, and socioeconomic status). Results indicated built environment factors have significant correlations with the prevalence of hypertension (p &lt; 0.01). The road network density, gymnasium cost, income, medical facilities cost, walkability index, and land use mix (LUM) were statistically significant. Other indicators did not pass the significance test. The spatial models fit better than the multivariate linear model.</t>
        </is>
      </c>
      <c r="X288" t="inlineStr">
        <is>
          <t>[Xie, Hongjie; Wang, Qiankun; Zhou, Xilin; Mao, Yuwei] Wuhan Univ Technol, Sch Civil Engn &amp; Architecture, Wuhan 430070, Peoples R China; [Yang, Yiping] Chinese Ctr Dis Control &amp; Prevent, Wuhan Branch, Wuhan 430010, Peoples R China; [Zhang, Xu] Wuhan Univ Technol, Sch Resource &amp; Environm, Wuhan 430070, Peoples R China</t>
        </is>
      </c>
      <c r="Y288" t="inlineStr">
        <is>
          <t>Wuhan University of Technology; Chinese Center for Disease Control &amp; Prevention; Wuhan University of Technology</t>
        </is>
      </c>
      <c r="Z288" t="inlineStr">
        <is>
          <t>Zhou, XL (corresponding author), Wuhan Univ Technol, Sch Civil Engn &amp; Architecture, Wuhan 430070, Peoples R China.</t>
        </is>
      </c>
      <c r="AA288" t="inlineStr">
        <is>
          <t>h.j.xie@whut.edu.cn; wangqk@whutedu.cn; zhou.xilin@whut.edu.cm; jaqwjwjkk@163.com; sashiharaaa@whut.edu.cn; zhangxu1212@whut.edu.cn</t>
        </is>
      </c>
      <c r="AB288" t="inlineStr">
        <is>
          <t>zhou, xilin/GXH-1551-2022</t>
        </is>
      </c>
      <c r="AC288" t="inlineStr">
        <is>
          <t>zhou, xilin/0000-0003-3166-0194; Xie, Hongjie/0000-0002-2165-0665</t>
        </is>
      </c>
      <c r="AD288" t="inlineStr">
        <is>
          <t>National Key Research and Development Program of China [2018YFC0704300]; Fundamental Research Funds for the Central Universities [2021IVA034]; Research Funds ofWuhan City Construction Bureau [201933]</t>
        </is>
      </c>
      <c r="AE288" t="inlineStr">
        <is>
          <t>National Key Research and Development Program of China; Fundamental Research Funds for the Central Universities(Fundamental Research Funds for the Central Universities); Research Funds ofWuhan City Construction Bureau</t>
        </is>
      </c>
      <c r="AF288" t="inlineStr">
        <is>
          <t>This work was supported by the National Key Research and Development Program of China (Grant No. 2018YFC0704300); the Fundamental Research Funds for the Central Universities (Grant No. 2021IVA034); the Research Funds ofWuhan City Construction Bureau (Grant No. 201933).</t>
        </is>
      </c>
      <c r="AH288" t="n">
        <v>68</v>
      </c>
      <c r="AI288" t="n">
        <v>3</v>
      </c>
      <c r="AJ288" t="n">
        <v>3</v>
      </c>
      <c r="AK288" t="n">
        <v>6</v>
      </c>
      <c r="AL288" t="n">
        <v>54</v>
      </c>
      <c r="AM288" t="inlineStr">
        <is>
          <t>MDPI</t>
        </is>
      </c>
      <c r="AN288" t="inlineStr">
        <is>
          <t>BASEL</t>
        </is>
      </c>
      <c r="AO288" t="inlineStr">
        <is>
          <t>ST ALBAN-ANLAGE 66, CH-4052 BASEL, SWITZERLAND</t>
        </is>
      </c>
      <c r="AQ288" t="inlineStr">
        <is>
          <t>2071-1050</t>
        </is>
      </c>
      <c r="AS288" t="inlineStr">
        <is>
          <t>SUSTAINABILITY-BASEL</t>
        </is>
      </c>
      <c r="AT288" t="inlineStr">
        <is>
          <t>Sustainability</t>
        </is>
      </c>
      <c r="AU288" t="inlineStr">
        <is>
          <t>MAY</t>
        </is>
      </c>
      <c r="AV288" t="n">
        <v>2021</v>
      </c>
      <c r="AW288" t="n">
        <v>13</v>
      </c>
      <c r="AX288" t="n">
        <v>10</v>
      </c>
      <c r="BE288" t="n">
        <v>5580</v>
      </c>
      <c r="BF288" t="inlineStr">
        <is>
          <t>10.3390/su13105580</t>
        </is>
      </c>
      <c r="BG288">
        <f>HYPERLINK("http://dx.doi.org/10.3390/su13105580","http://dx.doi.org/10.3390/su13105580")</f>
        <v/>
      </c>
      <c r="BJ288" t="n">
        <v>18</v>
      </c>
      <c r="BK288" t="inlineStr">
        <is>
          <t>Green &amp; Sustainable Science &amp; Technology; Environmental Sciences; Environmental Studies</t>
        </is>
      </c>
      <c r="BL288" t="inlineStr">
        <is>
          <t>Science Citation Index Expanded (SCI-EXPANDED); Social Science Citation Index (SSCI)</t>
        </is>
      </c>
      <c r="BM288" t="inlineStr">
        <is>
          <t>Science &amp; Technology - Other Topics; Environmental Sciences &amp; Ecology</t>
        </is>
      </c>
      <c r="BN288" t="inlineStr">
        <is>
          <t>ST6OZ</t>
        </is>
      </c>
      <c r="BP288" t="inlineStr">
        <is>
          <t>gold</t>
        </is>
      </c>
      <c r="BS288" t="inlineStr">
        <is>
          <t>2023-10-26</t>
        </is>
      </c>
      <c r="BT288" t="inlineStr">
        <is>
          <t>WOS:000662562200001</t>
        </is>
      </c>
      <c r="BU288">
        <f>HYPERLINK("https%3A%2F%2Fwww.webofscience.com%2Fwos%2Fwoscc%2Ffull-record%2FWOS:000662562200001","View Full Record in Web of Science")</f>
        <v/>
      </c>
    </row>
    <row r="289">
      <c r="A289" t="inlineStr">
        <is>
          <t>J</t>
        </is>
      </c>
      <c r="B289" t="inlineStr">
        <is>
          <t>Xie, QJ; Ni, JQ; Bao, J; Su, ZB</t>
        </is>
      </c>
      <c r="F289" t="inlineStr">
        <is>
          <t>Xie, Qiuju; Ni, Ji-Qin; Bao, Jun; Su, Zhongbin</t>
        </is>
      </c>
      <c r="J289" t="inlineStr">
        <is>
          <t>JOURNAL OF CLEANER PRODUCTION</t>
        </is>
      </c>
      <c r="M289" t="inlineStr">
        <is>
          <t>English</t>
        </is>
      </c>
      <c r="N289" t="inlineStr">
        <is>
          <t>Article</t>
        </is>
      </c>
      <c r="T289" t="inlineStr">
        <is>
          <t>Correlations, variations, and modelling of indoor environment in a mechanically-ventilated pig building</t>
        </is>
      </c>
      <c r="U289" t="inlineStr">
        <is>
          <t>Pig living environment; Canonical correlation analysis; Environment control; Temperature dependence; Indoor air quality</t>
        </is>
      </c>
      <c r="V289" t="inlineStr">
        <is>
          <t>CANONICAL CORRELATION-ANALYSIS; HYDROGEN-SULFIDE; CARBON-DIOXIDE; TEMPERATURE; AMMONIA; EMISSIONS; HUMIDITY; MULTIPRODUCT; PERFORMANCE; QUALITY</t>
        </is>
      </c>
      <c r="W289" t="inlineStr">
        <is>
          <t>Indoor environment conditions in confined pig buildings are critical for pig health, welfare and reproductions. It is necessary to explore the correlations of indoor thermal environment and gas concentrations conditions and their characteristics in order to provide a basis for developing an optimal pig building environment control strategy. In this study, an innovative method integrating three correlation analyses was developed to make a comprehensive and quantitative description for the correlations and coupling abilities among multiple environment factors from different perspectives. A multiple regression model was developed for gas concentrations of NH3, CO2 and H2S, with second order polynomial expressions on temperatures of outdoor, pig living space (PLS) and pit, and the most correlated factors as input variables. The results showed that the PLS CO2 concentration and the outdoor temperature could be used as decisive factors for the established categories of GS and TH representing for gas concentration and thermal environment, respectively. It also found that the PLS air temperature varied greatly with the outdoor temperature, and the gas concentrations of NH3, CO2 and H2S were in the periodic and diel variation shapes of sine or cosine. The multiple regression model for the CO2 concentration achieved optimal performances determination coefficients R 2 and root mean square error in the two rooms. Therefore, the model output of PLS CO2 concentration as well as the outdoor temperature could be used as a primary basis to improve the environmental control strategy, by means of reducing the types and number of sensors. (C) 2020 Elsevier Ltd. All rights reserved.</t>
        </is>
      </c>
      <c r="X289" t="inlineStr">
        <is>
          <t>[Xie, Qiuju; Su, Zhongbin] Northeast Agr Univ, Coll Elect &amp; Informat, Harbin 150030, Peoples R China; [Xie, Qiuju] Minist Agr &amp; Rural Affairs, Key Lab Swine Facil Engn, Harbin 150030, Peoples R China; [Ni, Ji-Qin] Purdue Univ, Dept Agr &amp; Biol Engn, W Lafayette, IN 47907 USA; [Bao, Jun] Northeast Agr Univ, Coll Anim Sci &amp; Technol, Harbin 150030, Peoples R China</t>
        </is>
      </c>
      <c r="Y289" t="inlineStr">
        <is>
          <t>Northeast Agricultural University - China; Ministry of Agriculture &amp; Rural Affairs; Purdue University System; Purdue University West Lafayette Campus; Purdue University; Northeast Agricultural University - China</t>
        </is>
      </c>
      <c r="Z289" t="inlineStr">
        <is>
          <t>Su, ZB (corresponding author), Northeast Agr Univ, Coll Elect &amp; Informat, Harbin 150030, Peoples R China.;Bao, J (corresponding author), Northeast Agr Univ, Coll Anim Sci &amp; Technol, Harbin 150030, Peoples R China.</t>
        </is>
      </c>
      <c r="AA289" t="inlineStr">
        <is>
          <t>jbao@neau.edu.cn; suzb001@163.com</t>
        </is>
      </c>
      <c r="AC289" t="inlineStr">
        <is>
          <t>Ni, Ji-Qin/0000-0002-0735-5678</t>
        </is>
      </c>
      <c r="AD289" t="inlineStr">
        <is>
          <t>National Natural Science Foundation of China [32072787]; project of scholar plan at Northeast Agriculture University, China [19YJXG02]; Earmarked Fund for China Agriculture Research System, China [CARS-35]; Key Laboratory of Swine Facilities Engineering, Ministry of Agriculture, P.R. China; USDA National Institute of Food and Agriculture Hatch project, USA [1011562]</t>
        </is>
      </c>
      <c r="AE289" t="inlineStr">
        <is>
          <t>National Natural Science Foundation of China(National Natural Science Foundation of China (NSFC)); project of scholar plan at Northeast Agriculture University, China; Earmarked Fund for China Agriculture Research System, China; Key Laboratory of Swine Facilities Engineering, Ministry of Agriculture, P.R. China; USDA National Institute of Food and Agriculture Hatch project, USA</t>
        </is>
      </c>
      <c r="AF289" t="inlineStr">
        <is>
          <t>lThis work was supported by the project of National Natural Science Foundation of China (32072787); the project of scholar plan at Northeast Agriculture University (19YJXG02), China; the Earmarked Fund for China Agriculture Research System (CARS-35), China; the Key Laboratory of Swine Facilities Engineering, Ministry of Agriculture, P.R. China. It was also supported by the USDA National Institute of Food and Agriculture Hatch project (1011562), USA. The dataset in this study for analyses and modelling was generated in a research project conducted by Purdue University in West Lafayette, Indiana, USA.</t>
        </is>
      </c>
      <c r="AH289" t="n">
        <v>39</v>
      </c>
      <c r="AI289" t="n">
        <v>6</v>
      </c>
      <c r="AJ289" t="n">
        <v>7</v>
      </c>
      <c r="AK289" t="n">
        <v>3</v>
      </c>
      <c r="AL289" t="n">
        <v>44</v>
      </c>
      <c r="AM289" t="inlineStr">
        <is>
          <t>ELSEVIER SCI LTD</t>
        </is>
      </c>
      <c r="AN289" t="inlineStr">
        <is>
          <t>OXFORD</t>
        </is>
      </c>
      <c r="AO289" t="inlineStr">
        <is>
          <t>THE BOULEVARD, LANGFORD LANE, KIDLINGTON, OXFORD OX5 1GB, OXON, ENGLAND</t>
        </is>
      </c>
      <c r="AP289" t="inlineStr">
        <is>
          <t>0959-6526</t>
        </is>
      </c>
      <c r="AQ289" t="inlineStr">
        <is>
          <t>1879-1786</t>
        </is>
      </c>
      <c r="AS289" t="inlineStr">
        <is>
          <t>J CLEAN PROD</t>
        </is>
      </c>
      <c r="AT289" t="inlineStr">
        <is>
          <t>J. Clean Prod.</t>
        </is>
      </c>
      <c r="AU289" t="inlineStr">
        <is>
          <t>FEB 1</t>
        </is>
      </c>
      <c r="AV289" t="n">
        <v>2021</v>
      </c>
      <c r="AW289" t="n">
        <v>282</v>
      </c>
      <c r="BE289" t="n">
        <v>124441</v>
      </c>
      <c r="BF289" t="inlineStr">
        <is>
          <t>10.1016/j.jclepro.2020.124441</t>
        </is>
      </c>
      <c r="BG289">
        <f>HYPERLINK("http://dx.doi.org/10.1016/j.jclepro.2020.124441","http://dx.doi.org/10.1016/j.jclepro.2020.124441")</f>
        <v/>
      </c>
      <c r="BJ289" t="n">
        <v>11</v>
      </c>
      <c r="BK289" t="inlineStr">
        <is>
          <t>Green &amp; Sustainable Science &amp; Technology; Engineering, Environmental; Environmental Sciences</t>
        </is>
      </c>
      <c r="BL289" t="inlineStr">
        <is>
          <t>Science Citation Index Expanded (SCI-EXPANDED)</t>
        </is>
      </c>
      <c r="BM289" t="inlineStr">
        <is>
          <t>Science &amp; Technology - Other Topics; Engineering; Environmental Sciences &amp; Ecology</t>
        </is>
      </c>
      <c r="BN289" t="inlineStr">
        <is>
          <t>PU0SL</t>
        </is>
      </c>
      <c r="BP289" t="inlineStr">
        <is>
          <t>hybrid</t>
        </is>
      </c>
      <c r="BS289" t="inlineStr">
        <is>
          <t>2023-10-26</t>
        </is>
      </c>
      <c r="BT289" t="inlineStr">
        <is>
          <t>WOS:000609019900012</t>
        </is>
      </c>
      <c r="BU289">
        <f>HYPERLINK("https%3A%2F%2Fwww.webofscience.com%2Fwos%2Fwoscc%2Ffull-record%2FWOS:000609019900012","View Full Record in Web of Science")</f>
        <v/>
      </c>
    </row>
    <row r="290">
      <c r="A290" t="inlineStr">
        <is>
          <t>J</t>
        </is>
      </c>
      <c r="B290" t="inlineStr">
        <is>
          <t>Li, SJ; Zhang, JY; Moriyama, M; Kazawa, K</t>
        </is>
      </c>
      <c r="F290" t="inlineStr">
        <is>
          <t>Li, Shuangjin; Zhang, Junyi; Moriyama, Michiko; Kazawa, Kana</t>
        </is>
      </c>
      <c r="J290" t="inlineStr">
        <is>
          <t>INTERNATIONAL JOURNAL OF ENVIRONMENTAL HEALTH RESEARCH</t>
        </is>
      </c>
      <c r="M290" t="inlineStr">
        <is>
          <t>English</t>
        </is>
      </c>
      <c r="N290" t="inlineStr">
        <is>
          <t>Article; Early Access</t>
        </is>
      </c>
      <c r="T290" t="inlineStr">
        <is>
          <t>Spatially heterogeneous associations between the built environment and objective health outcomes in Japanese cities</t>
        </is>
      </c>
      <c r="U290" t="inlineStr">
        <is>
          <t>Built environment; comprehensive health outcomes; spatial heterogeneity; random forest approach; multiscale geographically weighted regression</t>
        </is>
      </c>
      <c r="V290" t="inlineStr">
        <is>
          <t>PHYSICAL-ACTIVITY; LAND-USE; WALKABILITY; MICROBIOME; SCALE</t>
        </is>
      </c>
      <c r="W290" t="inlineStr">
        <is>
          <t>The built environment is a structural determinant of health. Here we reveal spatially heterogeneous associations of built environment indicators with objective health outcomes (morbidity) by combining a random forest (RF) approach and a multiscale geographically weighted (MGWR) regression method. Using data from six Japanese cities, we found that the ratio of morbidity has obvious spatial agglomerations. The mixed land-use diversity with 1000 m buffer, distance to hospital, proportion of park area with 300 m buffer, and house price with 2000 m buffer, negatively affect health outcomes at all locations. For most locations, high PM2.5 or high floor area ratio with 2000 m buffer are linked to a high ratio of morbidity. Our findings support the use of such data for long-term urban and health planning. We expect our study to be a starting point for further research on spatially heterogeneous associations of the built environment with comprehensive health outcomes.</t>
        </is>
      </c>
      <c r="X290" t="inlineStr">
        <is>
          <t>[Li, Shuangjin; Zhang, Junyi] Hiroshima Univ, Grad Sch Int Dev &amp; Cooperat, Mobil &amp; Urban Policy Lab, Higashihiroshima, Japan; [Zhang, Junyi] Hiroshima Univ, Grad Sch Adv Sci &amp; Engn, Hiroshima, Japan; [Moriyama, Michiko] Hiroshima Univ, Grad Sch Biomed &amp; Hlth Sci, Div Nursing Sci, Hiroshima, Japan; [Kazawa, Kana] Hiroshima Univ, Grad Sch Biomed &amp; Hlth Sci, Endowed Course, Hiroshima, Japan</t>
        </is>
      </c>
      <c r="Y290" t="inlineStr">
        <is>
          <t>Hiroshima University; Hiroshima University; Hiroshima University; Hiroshima University</t>
        </is>
      </c>
      <c r="Z290" t="inlineStr">
        <is>
          <t>Zhang, JY (corresponding author), Hiroshima Univ, Grad Sch Int Dev &amp; Cooperat, Grad Sch Adv Sci &amp; Engn, Mobil &amp; Urban Policy Lab, Hiroshima, Japan.</t>
        </is>
      </c>
      <c r="AA290" t="inlineStr">
        <is>
          <t>zjy@hiroshima-u.ac.jp</t>
        </is>
      </c>
      <c r="AB290" t="inlineStr">
        <is>
          <t>Li, Shuangjin/HZK-5610-2023; zhang, Jennifer/HPH-2395-2023; Zhang, Y J/HLG-1022-2023; Zhang, Jennifer/HLQ-0725-2023; Kazawa, Kana/A-7441-2018; Zhang, Junyi/HDN-7815-2022</t>
        </is>
      </c>
      <c r="AC290" t="inlineStr">
        <is>
          <t>Li, Shuangjin/0000-0002-1452-0416; Kazawa, Kana/0000-0002-5303-8542;</t>
        </is>
      </c>
      <c r="AD290" t="inlineStr">
        <is>
          <t>Artificial Intelligence-Utilization Project for Health Direction System, Japan Agency for Medical Research and Development [19ls0210002h0003]</t>
        </is>
      </c>
      <c r="AE290" t="inlineStr">
        <is>
          <t>Artificial Intelligence-Utilization Project for Health Direction System, Japan Agency for Medical Research and Development</t>
        </is>
      </c>
      <c r="AF290" t="inlineStr">
        <is>
          <t>This research is a part of the research project, titled Development of a Health Education System Through Risk Prediction and Targeting Using Artificial Intelligence Based on National Health Insurance Claim Data and Health Information, funded by the Artificial Intelligence-Utilization Project for Health Direction System, Japan Agency for Medical Research and Development (Project ID. 19ls0210002h0003). All authors have contributed significantly and that all authors are in agreement with the content of the manuscript.</t>
        </is>
      </c>
      <c r="AH290" t="n">
        <v>35</v>
      </c>
      <c r="AI290" t="n">
        <v>1</v>
      </c>
      <c r="AJ290" t="n">
        <v>1</v>
      </c>
      <c r="AK290" t="n">
        <v>4</v>
      </c>
      <c r="AL290" t="n">
        <v>22</v>
      </c>
      <c r="AM290" t="inlineStr">
        <is>
          <t>TAYLOR &amp; FRANCIS LTD</t>
        </is>
      </c>
      <c r="AN290" t="inlineStr">
        <is>
          <t>ABINGDON</t>
        </is>
      </c>
      <c r="AO290" t="inlineStr">
        <is>
          <t>2-4 PARK SQUARE, MILTON PARK, ABINGDON OR14 4RN, OXON, ENGLAND</t>
        </is>
      </c>
      <c r="AP290" t="inlineStr">
        <is>
          <t>0960-3123</t>
        </is>
      </c>
      <c r="AQ290" t="inlineStr">
        <is>
          <t>1369-1619</t>
        </is>
      </c>
      <c r="AS290" t="inlineStr">
        <is>
          <t>INT J ENVIRON HEAL R</t>
        </is>
      </c>
      <c r="AT290" t="inlineStr">
        <is>
          <t>Int. J. Environ. Health Res.</t>
        </is>
      </c>
      <c r="AU290" t="inlineStr">
        <is>
          <t>2022 JUN 9</t>
        </is>
      </c>
      <c r="AV290" t="n">
        <v>2022</v>
      </c>
      <c r="BF290" t="inlineStr">
        <is>
          <t>10.1080/09603123.2022.2083086</t>
        </is>
      </c>
      <c r="BG290">
        <f>HYPERLINK("http://dx.doi.org/10.1080/09603123.2022.2083086","http://dx.doi.org/10.1080/09603123.2022.2083086")</f>
        <v/>
      </c>
      <c r="BI290" t="inlineStr">
        <is>
          <t>JUN 2022</t>
        </is>
      </c>
      <c r="BJ290" t="n">
        <v>13</v>
      </c>
      <c r="BK290" t="inlineStr">
        <is>
          <t>Environmental Sciences; Public, Environmental &amp; Occupational Health</t>
        </is>
      </c>
      <c r="BL290" t="inlineStr">
        <is>
          <t>Science Citation Index Expanded (SCI-EXPANDED)</t>
        </is>
      </c>
      <c r="BM290" t="inlineStr">
        <is>
          <t>Environmental Sciences &amp; Ecology; Public, Environmental &amp; Occupational Health</t>
        </is>
      </c>
      <c r="BN290" t="inlineStr">
        <is>
          <t>1X7JT</t>
        </is>
      </c>
      <c r="BO290" t="n">
        <v>35670499</v>
      </c>
      <c r="BS290" t="inlineStr">
        <is>
          <t>2023-10-26</t>
        </is>
      </c>
      <c r="BT290" t="inlineStr">
        <is>
          <t>WOS:000807627600001</t>
        </is>
      </c>
      <c r="BU290">
        <f>HYPERLINK("https%3A%2F%2Fwww.webofscience.com%2Fwos%2Fwoscc%2Ffull-record%2FWOS:000807627600001","View Full Record in Web of Science")</f>
        <v/>
      </c>
    </row>
    <row r="291">
      <c r="A291" t="inlineStr">
        <is>
          <t>J</t>
        </is>
      </c>
      <c r="B291" t="inlineStr">
        <is>
          <t>Nezis, I; Biskos, G; Eleftheriadis, K; Fetfatzis, P; Popovicheva, O; Sitnikov, N; Kalantzi, OI</t>
        </is>
      </c>
      <c r="F291" t="inlineStr">
        <is>
          <t>Nezis, Ioannis; Biskos, George; Eleftheriadis, Konstantinos; Fetfatzis, Prodromos; Popovicheva, Olga; Sitnikov, Nikolay; Kalantzi, Olga-Ioanna</t>
        </is>
      </c>
      <c r="J291" t="inlineStr">
        <is>
          <t>ATMOSPHERIC POLLUTION RESEARCH</t>
        </is>
      </c>
      <c r="M291" t="inlineStr">
        <is>
          <t>English</t>
        </is>
      </c>
      <c r="N291" t="inlineStr">
        <is>
          <t>Article</t>
        </is>
      </c>
      <c r="T291" t="inlineStr">
        <is>
          <t>Linking indoor particulate matter and black carbon with sick building syndrome symptoms in a public office building</t>
        </is>
      </c>
      <c r="U291" t="inlineStr">
        <is>
          <t>PM2.5; Black carbon; Indoor air quality; Human exposure; Indoor air pollution; Office; Sick building syndrome symptoms; Saharan dust event</t>
        </is>
      </c>
      <c r="V291" t="inlineStr">
        <is>
          <t>AIR-QUALITY; CHEMICAL-COMPOSITION; SOURCE APPORTIONMENT; MASS CONCENTRATIONS; PERSONAL EXPOSURES; OUTDOOR SOURCES; PM2.5; PARTICLES; PM10; FINE</t>
        </is>
      </c>
      <c r="W291" t="inlineStr">
        <is>
          <t>Poor indoor air quality is an important issue for public and occupational health worldwide. Location, airtightness of the building, ventilation rate and resident activities play an important role on the concentration of indoor pollutants and subsequently on their effects on human health. While indoor air pollution in working environments has been widely studied, the association between specific pollutants and Sick Building Syndrome (SBS) symptoms is still not clear. The objective of this study is to explore the association between PM2.5 and BC with SBS symptoms reported by employees working in a public building in the center of Athens, Greece. Continuous indoor air quality measurements were carried out from March until May 2016 (24 h, 7 days per week), including days during a Saharan dust event in March 2016. The measurements took place in four different types of spaces, including an office, a printer room and two archiving rooms, representing both high and low exposure environments. Indoor PM2.5 and BC concentrations in the office ranged from 5.9 to 14.3 mu g/m(3) and 1.1-1.9 mu g/m(3), respectively, whereas outdoor PM2.5 and BC concentrations were in the range of 6.5-21.7 mu g/m(3) and 1.4-2.6 mu g/m(3), respectively. We observed diurnal variations in indoor/outdoor ratios of PM2.5 and BC in most rooms that were &gt;1 during working hours, that subsequently fell to below unity after working hours. Data collected via a questionnaire to 73 employees showed that the most commonly reported SBS symptoms were irritation of the eyes, a stuffy or runny nose, headache and drowsiness. Female employees were more likely to report SBS symptoms than male employees, especially nonspecific symptoms, including unusual tiredness or fatigue and feeling depressed.</t>
        </is>
      </c>
      <c r="X291" t="inlineStr">
        <is>
          <t>[Nezis, Ioannis; Kalantzi, Olga-Ioanna] Univ Aegean, Dept Environm, Mitilini 81100, Greece; [Biskos, George] Cyprus Inst, Climate &amp; Atmosphere Res Ctr, Nicosia, Cyprus; [Biskos, George] Delft Univ Technol, Fac Civil Engn &amp; Geosci, Delft, Netherlands; [Eleftheriadis, Konstantinos; Fetfatzis, Prodromos] NCSR Demokritos, Environm Radioact Lab, Aghia Paraskevi 15310, Greece; [Fetfatzis, Prodromos] Univ West Attica, Dept Ind Design &amp; Prod Engn, Athens 12243, Greece; [Popovicheva, Olga] Moscow MV Lomonosov State Univ, Inst Nucl Phys, Moscow 119991, Russia; [Sitnikov, Nikolay] Cent Aerol Observ, Dolgoprudnyi 141700, Moscow Region, Russia</t>
        </is>
      </c>
      <c r="Y291" t="inlineStr">
        <is>
          <t>University of Aegean; Delft University of Technology; National Centre of Scientific Research Demokritos; University of West Attica; National Research Centre - Kurchatov Institute; Institute of High Energy Physics - IHEP; Lomonosov Moscow State University</t>
        </is>
      </c>
      <c r="Z291" t="inlineStr">
        <is>
          <t>Kalantzi, OI (corresponding author), Univ Aegean, Dept Environm, Mitilini 81100, Greece.</t>
        </is>
      </c>
      <c r="AA291" t="inlineStr">
        <is>
          <t>kalantzi@aegean.gr</t>
        </is>
      </c>
      <c r="AB291" t="inlineStr">
        <is>
          <t>Eleftheriadis, Konstantinos/G-2814-2011</t>
        </is>
      </c>
      <c r="AC291" t="inlineStr">
        <is>
          <t>Eleftheriadis, Konstantinos/0000-0003-2265-4905; Fetfatzis, Prodromos/0000-0002-9871-0259</t>
        </is>
      </c>
      <c r="AD291" t="inlineStr">
        <is>
          <t>Russian Science Foundation (RSF) [19773004]; Russian Ministry of Education and Science [14.W03.31.0008]</t>
        </is>
      </c>
      <c r="AE291" t="inlineStr">
        <is>
          <t>Russian Science Foundation (RSF)(Russian Science Foundation (RSF)); Russian Ministry of Education and Science(Ministry of Education and Science, Russian Federation)</t>
        </is>
      </c>
      <c r="AF291" t="inlineStr">
        <is>
          <t>The aethalometer was developed under Russian Science Foundation (RSF) support, project number 19773004. Methodological work was partly supported by Russian Ministry of Education and Science (14. W03.31.0008) .</t>
        </is>
      </c>
      <c r="AH291" t="n">
        <v>84</v>
      </c>
      <c r="AI291" t="n">
        <v>5</v>
      </c>
      <c r="AJ291" t="n">
        <v>5</v>
      </c>
      <c r="AK291" t="n">
        <v>2</v>
      </c>
      <c r="AL291" t="n">
        <v>15</v>
      </c>
      <c r="AM291" t="inlineStr">
        <is>
          <t>TURKISH NATL COMMITTEE AIR POLLUTION RES &amp; CONTROL-TUNCAP</t>
        </is>
      </c>
      <c r="AN291" t="inlineStr">
        <is>
          <t>BUCA</t>
        </is>
      </c>
      <c r="AO291" t="inlineStr">
        <is>
          <t>DOKUZ EYLUL UNIV, DEPT ENVIRONMENTAL ENGINEERING, TINAZTEPE CAMPUS, BUCA, IZMIR 35160, TURKEY</t>
        </is>
      </c>
      <c r="AP291" t="inlineStr">
        <is>
          <t>1309-1042</t>
        </is>
      </c>
      <c r="AS291" t="inlineStr">
        <is>
          <t>ATMOS POLLUT RES</t>
        </is>
      </c>
      <c r="AT291" t="inlineStr">
        <is>
          <t>Atmos. Pollut. Res.</t>
        </is>
      </c>
      <c r="AU291" t="inlineStr">
        <is>
          <t>JAN</t>
        </is>
      </c>
      <c r="AV291" t="n">
        <v>2022</v>
      </c>
      <c r="AW291" t="n">
        <v>13</v>
      </c>
      <c r="AX291" t="n">
        <v>1</v>
      </c>
      <c r="BE291" t="n">
        <v>101292</v>
      </c>
      <c r="BF291" t="inlineStr">
        <is>
          <t>10.1016/j.apr.2021.101292</t>
        </is>
      </c>
      <c r="BG291">
        <f>HYPERLINK("http://dx.doi.org/10.1016/j.apr.2021.101292","http://dx.doi.org/10.1016/j.apr.2021.101292")</f>
        <v/>
      </c>
      <c r="BI291" t="inlineStr">
        <is>
          <t>DEC 2021</t>
        </is>
      </c>
      <c r="BJ291" t="n">
        <v>12</v>
      </c>
      <c r="BK291" t="inlineStr">
        <is>
          <t>Environmental Sciences</t>
        </is>
      </c>
      <c r="BL291" t="inlineStr">
        <is>
          <t>Science Citation Index Expanded (SCI-EXPANDED)</t>
        </is>
      </c>
      <c r="BM291" t="inlineStr">
        <is>
          <t>Environmental Sciences &amp; Ecology</t>
        </is>
      </c>
      <c r="BN291" t="inlineStr">
        <is>
          <t>YE9OT</t>
        </is>
      </c>
      <c r="BP291" t="inlineStr">
        <is>
          <t>Green Published</t>
        </is>
      </c>
      <c r="BS291" t="inlineStr">
        <is>
          <t>2023-10-26</t>
        </is>
      </c>
      <c r="BT291" t="inlineStr">
        <is>
          <t>WOS:000741448400004</t>
        </is>
      </c>
      <c r="BU291">
        <f>HYPERLINK("https%3A%2F%2Fwww.webofscience.com%2Fwos%2Fwoscc%2Ffull-record%2FWOS:000741448400004","View Full Record in Web of Science")</f>
        <v/>
      </c>
    </row>
    <row r="292">
      <c r="A292" t="inlineStr">
        <is>
          <t>J</t>
        </is>
      </c>
      <c r="B292" t="inlineStr">
        <is>
          <t>Duan, SH</t>
        </is>
      </c>
      <c r="F292" t="inlineStr">
        <is>
          <t>Duan, Shaohua</t>
        </is>
      </c>
      <c r="J292" t="inlineStr">
        <is>
          <t>JOURNAL OF COASTAL RESEARCH</t>
        </is>
      </c>
      <c r="M292" t="inlineStr">
        <is>
          <t>English</t>
        </is>
      </c>
      <c r="N292" t="inlineStr">
        <is>
          <t>Article</t>
        </is>
      </c>
      <c r="T292" t="inlineStr">
        <is>
          <t>Three-Dimensional Interior Design Study Considering the Impacts of Marine Climate</t>
        </is>
      </c>
      <c r="U292" t="inlineStr">
        <is>
          <t>Marine climate; 3D indoor; design research</t>
        </is>
      </c>
      <c r="W292" t="inlineStr">
        <is>
          <t>In modern interior design, the three-dimensional design software, with its obvious advantages and functional characteristics, promotes the interior design work to a higher and farther direction. The information sharing function of 3D design software can realize the interactive use and comprehensive application of various kinds of information, which brings a very solid and reliable guarantee for interior design. Therefore, in the future interior design, it is necessary to increase the interactive use of 3D design software, promote it to achieve information sharing, and promote interior design more real and efficient. This paper mainly aims at the related problems of 3D indoor design under the condition of marine climate use environment, analyzes the problems and damage caused by marine environment deeply, and gives the 3D indoor design which is easy to affect under the condition of high salt spray and high corrosion in marine climate environment.</t>
        </is>
      </c>
      <c r="X292" t="inlineStr">
        <is>
          <t>[Duan, Shaohua] Zhongyuan Univ Technol, Sch Art &amp; Design, Zhengzhou 450007, Peoples R China</t>
        </is>
      </c>
      <c r="Y292" t="inlineStr">
        <is>
          <t>Zhongyuan University of Technology</t>
        </is>
      </c>
      <c r="Z292" t="inlineStr">
        <is>
          <t>Duan, SH (corresponding author), Zhongyuan Univ Technol, Sch Art &amp; Design, Zhengzhou 450007, Peoples R China.</t>
        </is>
      </c>
      <c r="AA292" t="inlineStr">
        <is>
          <t>zsyyuh@163.com</t>
        </is>
      </c>
      <c r="AH292" t="n">
        <v>5</v>
      </c>
      <c r="AI292" t="n">
        <v>1</v>
      </c>
      <c r="AJ292" t="n">
        <v>1</v>
      </c>
      <c r="AK292" t="n">
        <v>0</v>
      </c>
      <c r="AL292" t="n">
        <v>4</v>
      </c>
      <c r="AM292" t="inlineStr">
        <is>
          <t>COASTAL EDUCATION &amp; RESEARCH FOUNDATION</t>
        </is>
      </c>
      <c r="AN292" t="inlineStr">
        <is>
          <t>COCONUT CREEK</t>
        </is>
      </c>
      <c r="AO292" t="inlineStr">
        <is>
          <t>5130 NW 54TH STREET, COCONUT CREEK, FL 33073 USA</t>
        </is>
      </c>
      <c r="AP292" t="inlineStr">
        <is>
          <t>0749-0208</t>
        </is>
      </c>
      <c r="AQ292" t="inlineStr">
        <is>
          <t>1551-5036</t>
        </is>
      </c>
      <c r="AS292" t="inlineStr">
        <is>
          <t>J COASTAL RES</t>
        </is>
      </c>
      <c r="AT292" t="inlineStr">
        <is>
          <t>J. Coast. Res.</t>
        </is>
      </c>
      <c r="AU292" t="inlineStr">
        <is>
          <t>SUM</t>
        </is>
      </c>
      <c r="AV292" t="n">
        <v>2020</v>
      </c>
      <c r="BA292" t="n">
        <v>115</v>
      </c>
      <c r="BC292" t="n">
        <v>247</v>
      </c>
      <c r="BD292" t="n">
        <v>249</v>
      </c>
      <c r="BF292" t="inlineStr">
        <is>
          <t>10.2112/JCR-SI115-078.1</t>
        </is>
      </c>
      <c r="BG292">
        <f>HYPERLINK("http://dx.doi.org/10.2112/JCR-SI115-078.1","http://dx.doi.org/10.2112/JCR-SI115-078.1")</f>
        <v/>
      </c>
      <c r="BJ292" t="n">
        <v>3</v>
      </c>
      <c r="BK292" t="inlineStr">
        <is>
          <t>Environmental Sciences; Geography, Physical; Geosciences, Multidisciplinary</t>
        </is>
      </c>
      <c r="BL292" t="inlineStr">
        <is>
          <t>Science Citation Index Expanded (SCI-EXPANDED)</t>
        </is>
      </c>
      <c r="BM292" t="inlineStr">
        <is>
          <t>Environmental Sciences &amp; Ecology; Physical Geography; Geology</t>
        </is>
      </c>
      <c r="BN292" t="inlineStr">
        <is>
          <t>NK4IF</t>
        </is>
      </c>
      <c r="BS292" t="inlineStr">
        <is>
          <t>2023-10-26</t>
        </is>
      </c>
      <c r="BT292" t="inlineStr">
        <is>
          <t>WOS:000566695100078</t>
        </is>
      </c>
      <c r="BU292">
        <f>HYPERLINK("https%3A%2F%2Fwww.webofscience.com%2Fwos%2Fwoscc%2Ffull-record%2FWOS:000566695100078","View Full Record in Web of Science")</f>
        <v/>
      </c>
    </row>
    <row r="293">
      <c r="A293" t="inlineStr">
        <is>
          <t>J</t>
        </is>
      </c>
      <c r="B293" t="inlineStr">
        <is>
          <t>Zhang, M; Guo, W; Zhang, N; He, HR; Zhang, Y; Zhou, MZ; Zhang, JF; Li, MX; Ma, GS</t>
        </is>
      </c>
      <c r="F293" t="inlineStr">
        <is>
          <t>Zhang, Man; Guo, Wen; Zhang, Na; He, Hairong; Zhang, Yu; Zhou, Mingzhu; Zhang, Jianfen; Li, Muxia; Ma, Guansheng</t>
        </is>
      </c>
      <c r="J293" t="inlineStr">
        <is>
          <t>INTERNATIONAL JOURNAL OF ENVIRONMENTAL RESEARCH AND PUBLIC HEALTH</t>
        </is>
      </c>
      <c r="M293" t="inlineStr">
        <is>
          <t>English</t>
        </is>
      </c>
      <c r="N293" t="inlineStr">
        <is>
          <t>Article</t>
        </is>
      </c>
      <c r="T293" t="inlineStr">
        <is>
          <t>Association between Neighborhood Food Environment and Body Mass Index among Older Adults in Beijing, China: A Cross-Sectional Study</t>
        </is>
      </c>
      <c r="U293" t="inlineStr">
        <is>
          <t>food environment; obesity; body mass index; older adults</t>
        </is>
      </c>
      <c r="V293" t="inlineStr">
        <is>
          <t>RESTAURANT AVAILABILITY; BUILT ENVIRONMENT; DIETARY-INTAKE; HEALTHY FOOD; OBESITY; TRANSITION; WEIGHT; POLICY</t>
        </is>
      </c>
      <c r="W293" t="inlineStr">
        <is>
          <t>Objective: To investigate the association between the neighborhood food environment and body mass index (BMI) among Chinese older adults. Methods: A multi-stage stratified random sampling method was used to recruit participants from 12 communities in Beijing, China, in 2019. Participants (n = 1764, 1034 women) in this study were older adults aged 65 to 80. We collected the participants' basic information, measured their height and weight, and calculated their BMI. Neighborhood food environments were measured by the density of and proximity to different food outlets using the Baidu Map Application Programming Interface. Adjusted multiple linear regression was performed to estimate the association between the food environment and BMI. Results: Participants had a mean age of 69.7 +/- 4.32 years old and an average BMI of 26.3 +/- 3.50 kg/m(2). Among the three types of stores, convenience stores had the easiest access, followed by greengrocers and supermarkets. Sit-down restaurants had the best access among different restaurants, followed by Chinese fast-food restaurants, and western fast-food restaurants had the worst access. Easier access to greengrocers (beta = 0.281, p &lt; 0.001) and sit-down restaurants (beta = 0.304, p &lt; 0.001) was associated with higher BMI in the 250 m buffer zone. More supermarkets were associated with higher BMI in the 500 m buffer zone (beta = 0.593, p &lt; 0.001). Access to convenience stores was positively associated with BMI in the 800 m buffer zone (beta = 0.057, p &lt; 0.001). Better access to Chinese fast-food restaurants was associated with higher BMI (beta = 0.071, p = 0.001), and better access to western fast- food restaurants was associated with lower BMI (beta = -0.400, p &lt; 0.001) in the 1000 m buffer zone. There was a negative association between the nearest distance to greengrocers and BMI (beta = -0.004, p &lt; 0.001). Conclusion: Although we found some significant associations between the neighborhood food environment and obesity, the current results are not strong enough to draw specific conclusions. Policymakers will need to rely on more evidence to derive concrete policy recommendations.</t>
        </is>
      </c>
      <c r="X293" t="inlineStr">
        <is>
          <t>[Zhang, Man; Guo, Wen; Zhang, Na; He, Hairong; Zhang, Yu; Zhou, Mingzhu; Zhang, Jianfen; Li, Muxia; Ma, Guansheng] Peking Univ, Dept Nutr &amp; Food Hyg, Sch Publ Hlth, 38 Xueyuan Rd, Beijing 100191, Peoples R China; [Ma, Guansheng] Peking Univ, Lab Toxicol Res &amp; Risk Assessment Food Safety, 38 Xueyuan Rd, Beijing 100191, Peoples R China</t>
        </is>
      </c>
      <c r="Y293" t="inlineStr">
        <is>
          <t>Peking University; Peking University</t>
        </is>
      </c>
      <c r="Z293" t="inlineStr">
        <is>
          <t>Ma, GS (corresponding author), Peking Univ, Dept Nutr &amp; Food Hyg, Sch Publ Hlth, 38 Xueyuan Rd, Beijing 100191, Peoples R China.;Ma, GS (corresponding author), Peking Univ, Lab Toxicol Res &amp; Risk Assessment Food Safety, 38 Xueyuan Rd, Beijing 100191, Peoples R China.</t>
        </is>
      </c>
      <c r="AA293" t="inlineStr">
        <is>
          <t>zhangman@bjmu.edu.cn; wguo14@pku.edu.cn; ziqingxuanping@126.com; hehairong_16@bjmu.edu.cn; zhangyu30171026@163.com; zmz6290@163.com; 13161522166@163.com; lmuxia91@126.com; mags@bjmu.edu.cn</t>
        </is>
      </c>
      <c r="AB293" t="inlineStr">
        <is>
          <t>Zhang, Man/JCN-9499-2023</t>
        </is>
      </c>
      <c r="AC293" t="inlineStr">
        <is>
          <t>Man, Zhang/0000-0003-0202-4172; Zhang, Na/0000-0001-7713-5980; Ma, Guansheng/0000-0001-8022-4597</t>
        </is>
      </c>
      <c r="AH293" t="n">
        <v>69</v>
      </c>
      <c r="AI293" t="n">
        <v>4</v>
      </c>
      <c r="AJ293" t="n">
        <v>5</v>
      </c>
      <c r="AK293" t="n">
        <v>5</v>
      </c>
      <c r="AL293" t="n">
        <v>22</v>
      </c>
      <c r="AM293" t="inlineStr">
        <is>
          <t>MDPI</t>
        </is>
      </c>
      <c r="AN293" t="inlineStr">
        <is>
          <t>BASEL</t>
        </is>
      </c>
      <c r="AO293" t="inlineStr">
        <is>
          <t>ST ALBAN-ANLAGE 66, CH-4052 BASEL, SWITZERLAND</t>
        </is>
      </c>
      <c r="AQ293" t="inlineStr">
        <is>
          <t>1660-4601</t>
        </is>
      </c>
      <c r="AS293" t="inlineStr">
        <is>
          <t>INT J ENV RES PUB HE</t>
        </is>
      </c>
      <c r="AT293" t="inlineStr">
        <is>
          <t>Int. J. Environ. Res. Public Health</t>
        </is>
      </c>
      <c r="AU293" t="inlineStr">
        <is>
          <t>OCT</t>
        </is>
      </c>
      <c r="AV293" t="n">
        <v>2020</v>
      </c>
      <c r="AW293" t="n">
        <v>17</v>
      </c>
      <c r="AX293" t="n">
        <v>20</v>
      </c>
      <c r="BE293" t="n">
        <v>7658</v>
      </c>
      <c r="BF293" t="inlineStr">
        <is>
          <t>10.3390/ijerph17207658</t>
        </is>
      </c>
      <c r="BG293">
        <f>HYPERLINK("http://dx.doi.org/10.3390/ijerph17207658","http://dx.doi.org/10.3390/ijerph17207658")</f>
        <v/>
      </c>
      <c r="BJ293" t="n">
        <v>16</v>
      </c>
      <c r="BK293" t="inlineStr">
        <is>
          <t>Environmental Sciences; Public, Environmental &amp; Occupational Health</t>
        </is>
      </c>
      <c r="BL293" t="inlineStr">
        <is>
          <t>Science Citation Index Expanded (SCI-EXPANDED); Social Science Citation Index (SSCI)</t>
        </is>
      </c>
      <c r="BM293" t="inlineStr">
        <is>
          <t>Environmental Sciences &amp; Ecology; Public, Environmental &amp; Occupational Health</t>
        </is>
      </c>
      <c r="BN293" t="inlineStr">
        <is>
          <t>OM0EA</t>
        </is>
      </c>
      <c r="BO293" t="n">
        <v>33092232</v>
      </c>
      <c r="BP293" t="inlineStr">
        <is>
          <t>Green Published, gold</t>
        </is>
      </c>
      <c r="BS293" t="inlineStr">
        <is>
          <t>2023-10-26</t>
        </is>
      </c>
      <c r="BT293" t="inlineStr">
        <is>
          <t>WOS:000585700900001</t>
        </is>
      </c>
      <c r="BU293">
        <f>HYPERLINK("https%3A%2F%2Fwww.webofscience.com%2Fwos%2Fwoscc%2Ffull-record%2FWOS:000585700900001","View Full Record in Web of Science")</f>
        <v/>
      </c>
    </row>
    <row r="294">
      <c r="A294" t="inlineStr">
        <is>
          <t>J</t>
        </is>
      </c>
      <c r="B294" t="inlineStr">
        <is>
          <t>Corbacho, JA; García-Paniagua, J; Baeza, A; Guillén, J</t>
        </is>
      </c>
      <c r="F294" t="inlineStr">
        <is>
          <t>Corbacho, J. A.; Garcia-Paniagua, J.; Baeza, A.; Guillen, J.</t>
        </is>
      </c>
      <c r="J294" t="inlineStr">
        <is>
          <t>JOURNAL OF RADIOLOGICAL PROTECTION</t>
        </is>
      </c>
      <c r="M294" t="inlineStr">
        <is>
          <t>English</t>
        </is>
      </c>
      <c r="N294" t="inlineStr">
        <is>
          <t>Article</t>
        </is>
      </c>
      <c r="T294" t="inlineStr">
        <is>
          <t>Relationship between indoor ambient dose equivalent rates and the architectural style of standalone houses in locations with high naturally occurring radionuclide soil concentrations</t>
        </is>
      </c>
      <c r="U294" t="inlineStr">
        <is>
          <t>indoor gamma dose rate; architectural style; high outdoor gamma dose rate</t>
        </is>
      </c>
      <c r="V294" t="inlineStr">
        <is>
          <t>BUILDING-MATERIALS; GAMMA-RADIATION; RADON LEVELS; RADIOACTIVITY; DWELLINGS</t>
        </is>
      </c>
      <c r="W294" t="inlineStr">
        <is>
          <t>There have been numerous studies relating house construction materials with the indoor gamma dose rate mainly coming from natural radionuclide activities. The relationship between the outdoor gamma dose rate and the soil's naturally occurring radionuclide content is well documented. Few studies, however, have investigated the historical evolution of indoor gamma dose levels due to the principal materials used in house construction in geographical areas where outdoor natural radiation levels are significant. The present work was carried out in an area of Spain with high outdoor gamma dose levels (on average, 0.267 mu Sv h(-1)) due to the natural radioactive characteristics of its soils, considering a great variety of standalone houses built from the beginning of the 18th century until today with different styles, architectural techniques, and materials in their construction. The measured ambient dose equivalent rates in thgese houses decreased the more recent the date of their construction was. In conclusion, today's architectural style for housing, which uses materials of practically universal origin, not only attenuates part of the irradiation due to the composition of a location's soils but also contributes less to the indoor gamma dose rate due to the relatively low naturally occurring radionuclide concentration of modern building materials.</t>
        </is>
      </c>
      <c r="X294" t="inlineStr">
        <is>
          <t>[Corbacho, J. A.; Garcia-Paniagua, J.; Baeza, A.; Guillen, J.] Univ Extremadura, Fac Vet Sci, Environm Radioact Lab LARUEX, Caceres 10003, Spain</t>
        </is>
      </c>
      <c r="Y294" t="inlineStr">
        <is>
          <t>Universidad de Extremadura</t>
        </is>
      </c>
      <c r="Z294" t="inlineStr">
        <is>
          <t>Corbacho, JA (corresponding author), Univ Extremadura, Fac Vet Sci, Environm Radioact Lab LARUEX, Caceres 10003, Spain.</t>
        </is>
      </c>
      <c r="AA294" t="inlineStr">
        <is>
          <t>corbamer@unex.es</t>
        </is>
      </c>
      <c r="AB294" t="inlineStr">
        <is>
          <t>Merino, José Ángel Corbacho/AAK-2175-2020; Merino, José Ángel Corbacho/L-7324-2014; Guillen, Javier/K-8307-2014</t>
        </is>
      </c>
      <c r="AC294" t="inlineStr">
        <is>
          <t>Merino, José Ángel Corbacho/0000-0001-9018-8083; Merino, José Ángel Corbacho/0000-0001-9018-8083; Garcia Paniagua, Jorge/0000-0002-9153-8011; Guillen, Javier/0000-0003-4351-9286</t>
        </is>
      </c>
      <c r="AD294" t="inlineStr">
        <is>
          <t>Junta de Extremadura [FQM001]</t>
        </is>
      </c>
      <c r="AE294" t="inlineStr">
        <is>
          <t>Junta de Extremadura</t>
        </is>
      </c>
      <c r="AF294" t="inlineStr">
        <is>
          <t>This work was made possible by the funding granted to the LARUEX research group (FQM001) by the Junta de Extremadura.</t>
        </is>
      </c>
      <c r="AH294" t="n">
        <v>37</v>
      </c>
      <c r="AI294" t="n">
        <v>0</v>
      </c>
      <c r="AJ294" t="n">
        <v>0</v>
      </c>
      <c r="AK294" t="n">
        <v>0</v>
      </c>
      <c r="AL294" t="n">
        <v>3</v>
      </c>
      <c r="AM294" t="inlineStr">
        <is>
          <t>IOP PUBLISHING LTD</t>
        </is>
      </c>
      <c r="AN294" t="inlineStr">
        <is>
          <t>BRISTOL</t>
        </is>
      </c>
      <c r="AO294" t="inlineStr">
        <is>
          <t>TEMPLE CIRCUS, TEMPLE WAY, BRISTOL BS1 6BE, ENGLAND</t>
        </is>
      </c>
      <c r="AP294" t="inlineStr">
        <is>
          <t>0952-4746</t>
        </is>
      </c>
      <c r="AQ294" t="inlineStr">
        <is>
          <t>1361-6498</t>
        </is>
      </c>
      <c r="AS294" t="inlineStr">
        <is>
          <t>J RADIOL PROT</t>
        </is>
      </c>
      <c r="AT294" t="inlineStr">
        <is>
          <t>J. Radiol. Prot.</t>
        </is>
      </c>
      <c r="AU294" t="inlineStr">
        <is>
          <t>JUN</t>
        </is>
      </c>
      <c r="AV294" t="n">
        <v>2020</v>
      </c>
      <c r="AW294" t="n">
        <v>40</v>
      </c>
      <c r="AX294" t="n">
        <v>2</v>
      </c>
      <c r="BC294" t="n">
        <v>530</v>
      </c>
      <c r="BD294" t="n">
        <v>543</v>
      </c>
      <c r="BF294" t="inlineStr">
        <is>
          <t>10.1088/1361-6498/ab85ce</t>
        </is>
      </c>
      <c r="BG294">
        <f>HYPERLINK("http://dx.doi.org/10.1088/1361-6498/ab85ce","http://dx.doi.org/10.1088/1361-6498/ab85ce")</f>
        <v/>
      </c>
      <c r="BJ294" t="n">
        <v>14</v>
      </c>
      <c r="BK294" t="inlineStr">
        <is>
          <t>Environmental Sciences; Public, Environmental &amp; Occupational Health; Nuclear Science &amp; Technology; Radiology, Nuclear Medicine &amp; Medical Imaging</t>
        </is>
      </c>
      <c r="BL294" t="inlineStr">
        <is>
          <t>Science Citation Index Expanded (SCI-EXPANDED)</t>
        </is>
      </c>
      <c r="BM294" t="inlineStr">
        <is>
          <t>Environmental Sciences &amp; Ecology; Public, Environmental &amp; Occupational Health; Nuclear Science &amp; Technology; Radiology, Nuclear Medicine &amp; Medical Imaging</t>
        </is>
      </c>
      <c r="BN294" t="inlineStr">
        <is>
          <t>LU6KR</t>
        </is>
      </c>
      <c r="BO294" t="n">
        <v>32240989</v>
      </c>
      <c r="BS294" t="inlineStr">
        <is>
          <t>2023-10-26</t>
        </is>
      </c>
      <c r="BT294" t="inlineStr">
        <is>
          <t>WOS:000537862700001</t>
        </is>
      </c>
      <c r="BU294">
        <f>HYPERLINK("https%3A%2F%2Fwww.webofscience.com%2Fwos%2Fwoscc%2Ffull-record%2FWOS:000537862700001","View Full Record in Web of Science")</f>
        <v/>
      </c>
    </row>
    <row r="295">
      <c r="A295" t="inlineStr">
        <is>
          <t>J</t>
        </is>
      </c>
      <c r="B295" t="inlineStr">
        <is>
          <t>Cao, Y; Wu, H; Wang, HB; Qu, YW; Zeng, Y; Mu, XY</t>
        </is>
      </c>
      <c r="F295" t="inlineStr">
        <is>
          <t>Cao, Yang; Wu, Hao; Wang, Hongbin; Qu, Yawei; Zeng, Yan; Mu, Xiyu</t>
        </is>
      </c>
      <c r="J295" t="inlineStr">
        <is>
          <t>SUSTAINABILITY</t>
        </is>
      </c>
      <c r="M295" t="inlineStr">
        <is>
          <t>English</t>
        </is>
      </c>
      <c r="N295" t="inlineStr">
        <is>
          <t>Article</t>
        </is>
      </c>
      <c r="T295" t="inlineStr">
        <is>
          <t>How Do Block Built Environments Affect Daily Leisure Walking among the Elderly? A Empirical Study of Gaoyou, China</t>
        </is>
      </c>
      <c r="U295" t="inlineStr">
        <is>
          <t>block scale; the built environment; the elderly; leisure walking activities; Gaoyou</t>
        </is>
      </c>
      <c r="V295" t="inlineStr">
        <is>
          <t>PHYSICAL-ACTIVITY; RECREATION</t>
        </is>
      </c>
      <c r="W295" t="inlineStr">
        <is>
          <t>Currently, the major global economies have entered an aging society. The promotion of physical activity is an important way to improve the health level of the elderly, and the study of health geography is a popular interdisciplinary research topic. This study selected 12 representative districts in Guoyu City, Jiangsu Province, to conduct a questionnaire survey on the activity range and behavior pattern of leisure walking among the elderly. We analyzed the relationship between the environment factors of different blocks and the walking activities of the elderly. The results showed that: (1) A range of 800 m from home is the most important leisure walking space for the urban elderly, and a distance between 800 and 1500 m is an important optional leisure walking space. (2) The density of open green space, commercial facilities, and public service facilities has a significant impact on the elderly's leisure walking activities. (3) The socioeconomic background and health status of the elderly have a significant impact on their leisure walking activities. Healthy physical conditions can motivate the elderly to form good exercise habits. The government must optimize the built environment elements in a targeted living space to encourage physical activity among the elderly.</t>
        </is>
      </c>
      <c r="X295" t="inlineStr">
        <is>
          <t>[Cao, Yang] Jiangsu Open Univ, Sch Architecture &amp; Civil Engn, Nanjing 210036, Peoples R China; [Wu, Hao; Wang, Hongbin; Zeng, Yan; Mu, Xiyu] China Meteorol Adm, Nanjing Joint Inst Atmospher Sci, Key Lab Transportat Meteorol, Nanjing 210041, Peoples R China; [Qu, Yawei] Jinling Inst Technol, Coll Intelligent &amp; Control Engn, Nanjing 211169, Peoples R China</t>
        </is>
      </c>
      <c r="Y295" t="inlineStr">
        <is>
          <t>Jiangsu Open University; China Meteorological Administration; Jinling Institute of Technology</t>
        </is>
      </c>
      <c r="Z295" t="inlineStr">
        <is>
          <t>Wu, H; Wang, HB (corresponding author), China Meteorol Adm, Nanjing Joint Inst Atmospher Sci, Key Lab Transportat Meteorol, Nanjing 210041, Peoples R China.</t>
        </is>
      </c>
      <c r="AA295" t="inlineStr">
        <is>
          <t>haowu@cma.gov.cn; wanghb@cma.gov.cn</t>
        </is>
      </c>
      <c r="AC295" t="inlineStr">
        <is>
          <t>QU, YAWEI/0000-0001-7153-7567</t>
        </is>
      </c>
      <c r="AD295" t="inlineStr">
        <is>
          <t>Basic Research Fund of CAMS; 333 Project of Jiangsu Province; Jiangsu Innovative and Enterpreneurial Talent Programme; Beijing foundation of NJIAS; Natural Science Foundation of the Jiangsu Higher Education Institutions of China; Research Fundation of Jinling Institute of Technology; [2022Y023]; [BRA2018420]; [JSSCBS20221645]; [BJG202209]; [22KJB170012]; [JIT-B-202108]</t>
        </is>
      </c>
      <c r="AE295" t="inlineStr">
        <is>
          <t>Basic Research Fund of CAMS; 333 Project of Jiangsu Province(Natural Science Foundation of Jiangsu Province); Jiangsu Innovative and Enterpreneurial Talent Programme; Beijing foundation of NJIAS; Natural Science Foundation of the Jiangsu Higher Education Institutions of China(National Natural Science Foundation of China (NSFC)); Research Fundation of Jinling Institute of Technology; ; ; ; ; ;</t>
        </is>
      </c>
      <c r="AF295" t="inlineStr">
        <is>
          <t>This research was funded by the Basic Research Fund of CAMS (Grant No. 2022Y023), the 333 Project of Jiangsu Province (BRA2018420), the Jiangsu Innovative and Enterpreneurial Talent Programme (JSSCBS20221645), the Beijing foundation of NJIAS (BJG202209), the Natural Science Foundation of the Jiangsu Higher Education Institutions of China (22KJB170012), and the Research Fundation of Jinling Institute of Technology (JIT-B-202108).</t>
        </is>
      </c>
      <c r="AH295" t="n">
        <v>44</v>
      </c>
      <c r="AI295" t="n">
        <v>3</v>
      </c>
      <c r="AJ295" t="n">
        <v>3</v>
      </c>
      <c r="AK295" t="n">
        <v>19</v>
      </c>
      <c r="AL295" t="n">
        <v>31</v>
      </c>
      <c r="AM295" t="inlineStr">
        <is>
          <t>MDPI</t>
        </is>
      </c>
      <c r="AN295" t="inlineStr">
        <is>
          <t>BASEL</t>
        </is>
      </c>
      <c r="AO295" t="inlineStr">
        <is>
          <t>ST ALBAN-ANLAGE 66, CH-4052 BASEL, SWITZERLAND</t>
        </is>
      </c>
      <c r="AQ295" t="inlineStr">
        <is>
          <t>2071-1050</t>
        </is>
      </c>
      <c r="AS295" t="inlineStr">
        <is>
          <t>SUSTAINABILITY-BASEL</t>
        </is>
      </c>
      <c r="AT295" t="inlineStr">
        <is>
          <t>Sustainability</t>
        </is>
      </c>
      <c r="AU295" t="inlineStr">
        <is>
          <t>JAN</t>
        </is>
      </c>
      <c r="AV295" t="n">
        <v>2023</v>
      </c>
      <c r="AW295" t="n">
        <v>15</v>
      </c>
      <c r="AX295" t="n">
        <v>1</v>
      </c>
      <c r="BE295" t="n">
        <v>257</v>
      </c>
      <c r="BF295" t="inlineStr">
        <is>
          <t>10.3390/su15010257</t>
        </is>
      </c>
      <c r="BG295">
        <f>HYPERLINK("http://dx.doi.org/10.3390/su15010257","http://dx.doi.org/10.3390/su15010257")</f>
        <v/>
      </c>
      <c r="BJ295" t="n">
        <v>22</v>
      </c>
      <c r="BK295" t="inlineStr">
        <is>
          <t>Green &amp; Sustainable Science &amp; Technology; Environmental Sciences; Environmental Studies</t>
        </is>
      </c>
      <c r="BL295" t="inlineStr">
        <is>
          <t>Science Citation Index Expanded (SCI-EXPANDED); Social Science Citation Index (SSCI)</t>
        </is>
      </c>
      <c r="BM295" t="inlineStr">
        <is>
          <t>Science &amp; Technology - Other Topics; Environmental Sciences &amp; Ecology</t>
        </is>
      </c>
      <c r="BN295" t="inlineStr">
        <is>
          <t>7Q0QE</t>
        </is>
      </c>
      <c r="BP295" t="inlineStr">
        <is>
          <t>gold</t>
        </is>
      </c>
      <c r="BS295" t="inlineStr">
        <is>
          <t>2023-10-26</t>
        </is>
      </c>
      <c r="BT295" t="inlineStr">
        <is>
          <t>WOS:000909101800001</t>
        </is>
      </c>
      <c r="BU295">
        <f>HYPERLINK("https%3A%2F%2Fwww.webofscience.com%2Fwos%2Fwoscc%2Ffull-record%2FWOS:000909101800001","View Full Record in Web of Science")</f>
        <v/>
      </c>
    </row>
    <row r="296">
      <c r="A296" t="inlineStr">
        <is>
          <t>J</t>
        </is>
      </c>
      <c r="B296" t="inlineStr">
        <is>
          <t>Chen, YC; Hsieh, PI; Chen, JK; Kuo, EMY; Yu, HL; Chiou, JM; Chen, JH</t>
        </is>
      </c>
      <c r="F296" t="inlineStr">
        <is>
          <t>Chen, Yen-Ching; Hsieh, Pei-Iun; Chen, Jia-Kun; Kuo, Emily; Yu, Hwa-Lung; Chiou, Jeng-Min; Chen, Jen-Hau</t>
        </is>
      </c>
      <c r="J296" t="inlineStr">
        <is>
          <t>ENVIRONMENTAL RESEARCH</t>
        </is>
      </c>
      <c r="M296" t="inlineStr">
        <is>
          <t>English</t>
        </is>
      </c>
      <c r="N296" t="inlineStr">
        <is>
          <t>Article</t>
        </is>
      </c>
      <c r="T296" t="inlineStr">
        <is>
          <t>Effect of indoor air quality on the association of long-term exposure to low-level air pollutants with cognition in older adults</t>
        </is>
      </c>
      <c r="U296" t="inlineStr">
        <is>
          <t>Cognitive impairment; air pollutants; indoor air quality; older adults</t>
        </is>
      </c>
      <c r="V296" t="inlineStr">
        <is>
          <t>CROSS-SECTIONAL ANALYSIS; TRAFFIC NOISE EXPOSURES; PARTICULATE MATTER; ALZHEIMERS-DISEASE; VERBAL FLUENCY; POLLUTION; DEMENTIA; IMPAIRMENT; HEALTH; COHORT</t>
        </is>
      </c>
      <c r="W296" t="inlineStr">
        <is>
          <t>Background: How indoor air quality affects the temporal associations of long-term exposure to low-level air pollutants with cognition remains unclear. Methods: This cohort study (2011-2019) included 517 non-demented older adults at baseline with four repeated cognitive assessments. The time-varying exposure to PM2.5, PM10, NO2, SO2, CO, and O-3 was estimated for each participant from 1994 to 2019. Indoor air quality was determined by ventilation status and daily indoor time. Generalized linear mixed models were used to analyze the association of air pollutants, indoor air quality, and cognition adjusting for important covariates. Results: Over time, per 2.97 mu g/m(3) (i.e., an interquartile range) increment of PM2.5 was associated with the poor performance of memory (Z score of a cognitive test, ():-0.14), attention (():-0.13), and executive function (():-0.20). Similarly, per 2.05 mu g/m(3) increase in PM2.5- 10 was associated with poor global cognition [adjusted odds ratio (aOR): 1.48, ():-0.28], attention (():-0.07), and verbal fluency (():-0.09); per 4.94 mu g/m(3) increase in PM10 was associated with poor global cognition (aOR: 1.78; ():-0.37). In contrast, per 2.74 ppb increase in O-3 was associated with better global cognition (():0.36 to 0.47). These associations became more evident in participants with poor ventilation or short daily indoor time (&lt;12.5 h/day). For global cognition, the exposure to a 10-mu g/m(3) increment in PM2.5, PM2.5-10, and PM10 corresponded to 1.4, 5.8, and 2.8 years of aging, respectively. Conclusion: This study demonstrated how indoor air quality in areas using clean fuels differentially affected the associations of long-term exposure to low-level air pollutants with cognition. Tightening air quality standards may help prevent dementia.</t>
        </is>
      </c>
      <c r="X296" t="inlineStr">
        <is>
          <t>[Chen, Yen-Ching; Hsieh, Pei-Iun; Kuo, Emily] Natl Taiwan Univ, Inst Epidemiol &amp; Prevent Med, Coll Publ Hlth, 17 Xu-Zhou Rd, Taipei, Taiwan; [Chen, Yen-Ching] Natl Taiwan Univ, Coll Publ Hlth, Dept Publ Hlth, 17 Xu Zhou Rd, Taipei 10055, Taiwan; [Chen, Jia-Kun] Natl Taiwan Univ, Coll Publ Hlth, Inst Hlth Behav &amp; Community Sci, R636,17,Xu Zhou Rd, Taipei 10055, Taiwan; [Yu, Hwa-Lung] Natl Taiwan Univ, Dept Bioenvironm Syst Engn, Sect 4, 1 Roosevelt Rd, Taipei 10617, Taiwan; [Chiou, Jeng-Min] Natl Taiwan Univ, Coll Engn, Dept Biomed Engn, Sect 4,Roosevelt Rd 1, Taipei 10617, Taiwan; [Chiou, Jeng-Min] Acad Sinica, Inst Stat Sci, Sect 2, 128 Acad Rd, Taipei 11529, Taiwan; [Chen, Jen-Hau] Natl Taiwan Univ Hosp, Dept Geriatr &amp; Gerontol, 1 Changde St, Taipei 10048, Taiwan; [Chen, Jen-Hau] Natl Taiwan Univ, Coll Med, Dept Physiol, No 1 Sect 1,Jen Ai Rd, Taipei 10764, Taiwan</t>
        </is>
      </c>
      <c r="Y296" t="inlineStr">
        <is>
          <t>National Taiwan University; National Taiwan University; National Taiwan University; National Taiwan University; National Taiwan University; Academia Sinica - Taiwan; National Taiwan University; National Taiwan University Hospital; National Taiwan University</t>
        </is>
      </c>
      <c r="Z296" t="inlineStr">
        <is>
          <t>Chen, JH (corresponding author), Natl Taiwan Univ Hosp, Dept Geriatr &amp; Gerontol, 1 Changde St, Taipei 10048, Taiwan.;Chen, JH (corresponding author), Natl Taiwan Univ, Coll Med, Dept Physiol, No 1 Sect 1,Jen Ai Rd, Taipei 10764, Taiwan.</t>
        </is>
      </c>
      <c r="AA296" t="inlineStr">
        <is>
          <t>jhhchen@ntu.edu.tw</t>
        </is>
      </c>
      <c r="AC296" t="inlineStr">
        <is>
          <t>CHEN, JIA-KUN/0000-0002-7530-4215</t>
        </is>
      </c>
      <c r="AD296" t="inlineStr">
        <is>
          <t>Ministry of Science and Technology in Taiwan [100-2314-B-002-103, 101-2314-B-002-126-MY3, 103-2314-B-002-033-MY3, 104-2314-B-002-038-MY3, 107-2314-B-002-186-MY3, 107-2314-B-002-230, 108-2314-B-002-128-MY2, 110-2118-M-001-002-MY3, 110-2314-B-002-068, 110-2314-B-002-129-MY3, 111-2314-B-002-090-MY3]</t>
        </is>
      </c>
      <c r="AE296" t="inlineStr">
        <is>
          <t>Ministry of Science and Technology in Taiwan(Ministry of Science and Technology, Taiwan)</t>
        </is>
      </c>
      <c r="AF296" t="inlineStr">
        <is>
          <t>Funding This work was supported by the Ministry of Science and Technology in Taiwan [grant number 100-2314-B-002-103, 101-2314-B-002-126-MY3, 103-2314-B-002-033-MY3, 104-2314-B-002-038-MY3, 107-2314-B-002-186-MY3, 107-2314-B-002-230, 108-2314-B-002-128-MY2, 110-2118-M-001-002-MY3, 110-2314-B-002-068, 110-2314-B-002-129-MY3, and 111-2314-B-002-090-MY3. The sponsors had no role in the design, methods, participant recruitment, data collection, analysis, and article preparation.</t>
        </is>
      </c>
      <c r="AH296" t="n">
        <v>59</v>
      </c>
      <c r="AI296" t="n">
        <v>0</v>
      </c>
      <c r="AJ296" t="n">
        <v>0</v>
      </c>
      <c r="AK296" t="n">
        <v>1</v>
      </c>
      <c r="AL296" t="n">
        <v>3</v>
      </c>
      <c r="AM296" t="inlineStr">
        <is>
          <t>ACADEMIC PRESS INC ELSEVIER SCIENCE</t>
        </is>
      </c>
      <c r="AN296" t="inlineStr">
        <is>
          <t>SAN DIEGO</t>
        </is>
      </c>
      <c r="AO296" t="inlineStr">
        <is>
          <t>525 B ST, STE 1900, SAN DIEGO, CA 92101-4495 USA</t>
        </is>
      </c>
      <c r="AP296" t="inlineStr">
        <is>
          <t>0013-9351</t>
        </is>
      </c>
      <c r="AQ296" t="inlineStr">
        <is>
          <t>1096-0953</t>
        </is>
      </c>
      <c r="AS296" t="inlineStr">
        <is>
          <t>ENVIRON RES</t>
        </is>
      </c>
      <c r="AT296" t="inlineStr">
        <is>
          <t>Environ. Res.</t>
        </is>
      </c>
      <c r="AU296" t="inlineStr">
        <is>
          <t>SEP 15</t>
        </is>
      </c>
      <c r="AV296" t="n">
        <v>2023</v>
      </c>
      <c r="AW296" t="n">
        <v>233</v>
      </c>
      <c r="BE296" t="n">
        <v>115483</v>
      </c>
      <c r="BF296" t="inlineStr">
        <is>
          <t>10.1016/j.envres.2023.115483</t>
        </is>
      </c>
      <c r="BG296">
        <f>HYPERLINK("http://dx.doi.org/10.1016/j.envres.2023.115483","http://dx.doi.org/10.1016/j.envres.2023.115483")</f>
        <v/>
      </c>
      <c r="BJ296" t="n">
        <v>12</v>
      </c>
      <c r="BK296" t="inlineStr">
        <is>
          <t>Environmental Sciences; Public, Environmental &amp; Occupational Health</t>
        </is>
      </c>
      <c r="BL296" t="inlineStr">
        <is>
          <t>Science Citation Index Expanded (SCI-EXPANDED)</t>
        </is>
      </c>
      <c r="BM296" t="inlineStr">
        <is>
          <t>Environmental Sciences &amp; Ecology; Public, Environmental &amp; Occupational Health</t>
        </is>
      </c>
      <c r="BN296" t="inlineStr">
        <is>
          <t>S1QH2</t>
        </is>
      </c>
      <c r="BO296" t="n">
        <v>36791838</v>
      </c>
      <c r="BP296" t="inlineStr">
        <is>
          <t>hybrid</t>
        </is>
      </c>
      <c r="BS296" t="inlineStr">
        <is>
          <t>2023-10-26</t>
        </is>
      </c>
      <c r="BT296" t="inlineStr">
        <is>
          <t>WOS:001068982100001</t>
        </is>
      </c>
      <c r="BU296">
        <f>HYPERLINK("https%3A%2F%2Fwww.webofscience.com%2Fwos%2Fwoscc%2Ffull-record%2FWOS:001068982100001","View Full Record in Web of Science")</f>
        <v/>
      </c>
    </row>
    <row r="297">
      <c r="A297" t="inlineStr">
        <is>
          <t>J</t>
        </is>
      </c>
      <c r="B297" t="inlineStr">
        <is>
          <t>Melis, G; Gelormino, E; Marra, G; Ferracin, E; Costa, G</t>
        </is>
      </c>
      <c r="F297" t="inlineStr">
        <is>
          <t>Melis, Giulia; Gelormino, Elena; Marra, Giulia; Ferracin, Elisa; Costa, Giuseppe</t>
        </is>
      </c>
      <c r="J297" t="inlineStr">
        <is>
          <t>INTERNATIONAL JOURNAL OF ENVIRONMENTAL RESEARCH AND PUBLIC HEALTH</t>
        </is>
      </c>
      <c r="M297" t="inlineStr">
        <is>
          <t>English</t>
        </is>
      </c>
      <c r="N297" t="inlineStr">
        <is>
          <t>Article</t>
        </is>
      </c>
      <c r="T297" t="inlineStr">
        <is>
          <t>The Effects of the Urban Built Environment on Mental Health: A Cohort Study in a Large Northern Italian City</t>
        </is>
      </c>
      <c r="U297" t="inlineStr">
        <is>
          <t>built environment; urban structure; Turin Longitudinal Study; health; inequalities; social environment; accessibility; public transport; urban density</t>
        </is>
      </c>
      <c r="V297" t="inlineStr">
        <is>
          <t>SOCIOECONOMIC INEQUALITIES; SOCIAL INEQUALITIES; ANTIDEPRESSANT TREATMENT; NEIGHBORHOOD; DEPRESSION; DISORDERS; MORTALITY; PREVALENCE; IMPACT; SYMPTOMS</t>
        </is>
      </c>
      <c r="W297" t="inlineStr">
        <is>
          <t>Mental health (MH) has a relevant burden on the health of populations. Common MH disorders (anxiety and non-psychotic depression) are well associated to socioeconomic individual and neighborhood characteristics, but little is known about the influence of urban structure. We analyzed among a Turin (Northwest Italy) urban population the association at area level of different urban structure characteristics (density, accessibility by public transport, accessibility to services, green and public spaces) and consumption of antidepressants. Estimates were adjusted by individual socio-demographic variables (education, housing tenure, employment) and contextual social environment (SE) variables (social and physical disorder, crime rates). Data was extracted from the Turin Longitudinal Study (TLS)a census-based cohort study following up prospectively the mortality and morbidity of the population. As expected, individual characteristics show the strongest association with antidepressant drug consumption, while among built environment (BE) indicators accessibility by public transport and urban density only are associated to MH, being slightly protective factors. Results from this study, in agreement with previous literature, suggest that BE has a stronger effect on MH for people who spend more time in the neighborhood. Therefore, this research suggests that good accessibility to public transport, as well as a dense urban structure (versus sprawl), could contribute to reduced risk of depression, especially for women and elderly, by increasing opportunities to move around and have an active social life.</t>
        </is>
      </c>
      <c r="X297" t="inlineStr">
        <is>
          <t>[Melis, Giulia; Marra, Giulia] SiTI Higher Inst Terr Syst Innovat, Environm Heritage &amp; Urban Redev Unit, I-10138 Turin, Italy; [Gelormino, Elena] Local Publ Hlth Agcy, ASL Torino 5, I-10023 Chieri, Italy; [Ferracin, Elisa; Costa, Giuseppe] Local Publ Hlth Agcy, SEPI Grugliasco, Epidemiol Serv ASL Torino 3, I-10095 Grugliasco, Italy</t>
        </is>
      </c>
      <c r="Z297" t="inlineStr">
        <is>
          <t>Melis, G (corresponding author), SiTI Higher Inst Terr Syst Innovat, Environm Heritage &amp; Urban Redev Unit, Via Boggio 61, I-10138 Turin, Italy.</t>
        </is>
      </c>
      <c r="AA297" t="inlineStr">
        <is>
          <t>giulia.melis@siti.polito.it; gelormino.elena@aslto5.piemonte.it; giulia.marra@polito.it; elisa.ferracin@epi.piemonte.it; giuseppe.costa@epi.piemonte.it</t>
        </is>
      </c>
      <c r="AB297" t="inlineStr">
        <is>
          <t>costa, giuseppe/K-2526-2016</t>
        </is>
      </c>
      <c r="AC297" t="inlineStr">
        <is>
          <t>Melis, Giulia/0000-0002-2315-2547; COSTA, Giuseppe/0000-0003-3187-4889</t>
        </is>
      </c>
      <c r="AD297" t="inlineStr">
        <is>
          <t>European Community [278173]; SEPI</t>
        </is>
      </c>
      <c r="AE297" t="inlineStr">
        <is>
          <t>European Community; SEPI</t>
        </is>
      </c>
      <c r="AF297" t="inlineStr">
        <is>
          <t>The study has been realized in the Framework of the EU project SOPHIE-Evaluating the Impact of Structural Policies on Health Inequalities and their Social Determinants, and Fostering Change, coordinated by Agencia de Salut Publica de Barcelona and funded from the European Community's Seventh Framework Programme (FP7/2007-2013, call Health-2011) under grant agreement No. 278173.; The work has been done with support from SEPI, and specifically Teresa Spadea as statistic models advisor and final reviewer, Moreno Demaria for initial structuring of the study design, Angelo d'Errico for advice on drugs prescriptions; SiTI (Matteo Tabasso, Enrico Eynard and Cristina Marietta) for urban data collection and modelling; Amapola (Elena Carli, Giovanna Spolti) for the social environment data collection. A special thanks goes to Heather Northcott for English proof reading.</t>
        </is>
      </c>
      <c r="AH297" t="n">
        <v>57</v>
      </c>
      <c r="AI297" t="n">
        <v>66</v>
      </c>
      <c r="AJ297" t="n">
        <v>70</v>
      </c>
      <c r="AK297" t="n">
        <v>6</v>
      </c>
      <c r="AL297" t="n">
        <v>75</v>
      </c>
      <c r="AM297" t="inlineStr">
        <is>
          <t>MDPI</t>
        </is>
      </c>
      <c r="AN297" t="inlineStr">
        <is>
          <t>BASEL</t>
        </is>
      </c>
      <c r="AO297" t="inlineStr">
        <is>
          <t>ST ALBAN-ANLAGE 66, CH-4052 BASEL, SWITZERLAND</t>
        </is>
      </c>
      <c r="AQ297" t="inlineStr">
        <is>
          <t>1660-4601</t>
        </is>
      </c>
      <c r="AS297" t="inlineStr">
        <is>
          <t>INT J ENV RES PUB HE</t>
        </is>
      </c>
      <c r="AT297" t="inlineStr">
        <is>
          <t>Int. J. Environ. Res. Public Health</t>
        </is>
      </c>
      <c r="AU297" t="inlineStr">
        <is>
          <t>NOV</t>
        </is>
      </c>
      <c r="AV297" t="n">
        <v>2015</v>
      </c>
      <c r="AW297" t="n">
        <v>12</v>
      </c>
      <c r="AX297" t="n">
        <v>11</v>
      </c>
      <c r="BC297" t="n">
        <v>14898</v>
      </c>
      <c r="BD297" t="n">
        <v>14915</v>
      </c>
      <c r="BF297" t="inlineStr">
        <is>
          <t>10.3390/ijerph121114898</t>
        </is>
      </c>
      <c r="BG297">
        <f>HYPERLINK("http://dx.doi.org/10.3390/ijerph121114898","http://dx.doi.org/10.3390/ijerph121114898")</f>
        <v/>
      </c>
      <c r="BJ297" t="n">
        <v>18</v>
      </c>
      <c r="BK297" t="inlineStr">
        <is>
          <t>Environmental Sciences; Public, Environmental &amp; Occupational Health</t>
        </is>
      </c>
      <c r="BL297" t="inlineStr">
        <is>
          <t>Science Citation Index Expanded (SCI-EXPANDED); Social Science Citation Index (SSCI)</t>
        </is>
      </c>
      <c r="BM297" t="inlineStr">
        <is>
          <t>Environmental Sciences &amp; Ecology; Public, Environmental &amp; Occupational Health</t>
        </is>
      </c>
      <c r="BN297" t="inlineStr">
        <is>
          <t>CX4CJ</t>
        </is>
      </c>
      <c r="BO297" t="n">
        <v>26610540</v>
      </c>
      <c r="BP297" t="inlineStr">
        <is>
          <t>Green Published, gold</t>
        </is>
      </c>
      <c r="BS297" t="inlineStr">
        <is>
          <t>2023-10-26</t>
        </is>
      </c>
      <c r="BT297" t="inlineStr">
        <is>
          <t>WOS:000365645500083</t>
        </is>
      </c>
      <c r="BU297">
        <f>HYPERLINK("https%3A%2F%2Fwww.webofscience.com%2Fwos%2Fwoscc%2Ffull-record%2FWOS:000365645500083","View Full Record in Web of Science")</f>
        <v/>
      </c>
    </row>
    <row r="298">
      <c r="A298" t="inlineStr">
        <is>
          <t>J</t>
        </is>
      </c>
      <c r="B298" t="inlineStr">
        <is>
          <t>Perez, LG; Ruiz, JM; Berrigan, D</t>
        </is>
      </c>
      <c r="F298" t="inlineStr">
        <is>
          <t>Perez, Lilian G.; Ruiz, John M.; Berrigan, David</t>
        </is>
      </c>
      <c r="J298" t="inlineStr">
        <is>
          <t>INTERNATIONAL JOURNAL OF ENVIRONMENTAL RESEARCH AND PUBLIC HEALTH</t>
        </is>
      </c>
      <c r="M298" t="inlineStr">
        <is>
          <t>English</t>
        </is>
      </c>
      <c r="N298" t="inlineStr">
        <is>
          <t>Article</t>
        </is>
      </c>
      <c r="T298" t="inlineStr">
        <is>
          <t>Neighborhood Environment Perceptions among Latinos in the US</t>
        </is>
      </c>
      <c r="U298" t="inlineStr">
        <is>
          <t>built environment; neighborhood perceptions; acculturation; inequities; Latinos; Hispanics</t>
        </is>
      </c>
      <c r="V298" t="inlineStr">
        <is>
          <t>PHYSICAL-ACTIVITY; SPATIAL ASSIMILATION; BUILT ENVIRONMENT; ACCULTURATION; HEALTH; BEHAVIORS; MIGRATION; HISPANICS</t>
        </is>
      </c>
      <c r="W298" t="inlineStr">
        <is>
          <t>In the U.S., immigrants and racial/ethnic minorities (e.g., Latinos) often report unfavorable neighborhood environments, which may hinder physical activity (PA). Among Latinos, PA levels are disproportionately lower in foreign-born, female, older, and low-education individuals. It is unclear whether these subgroups, including those from multiple disadvantaged backgrounds (e.g., low education, foreign-born), perceive worse neighborhood environments for PA. This cross-sectional study aimed to examine differences in neighborhood environment perceptions among Latinos in the 2015 National Health Interview Survey (N = 4643; 59% foreign-born). Logistic regression models examined nativity-and its interactions with age, gender, and education-in relation to the perceived presence of transportation infrastructure (two items) and destinations (four items), controlling for self-reported walking. Models used sample weights and accounted for the complex survey design. Nativity was not significantly associated with neighborhood environment perceptions. However, nativity interactions with age and education showed the greatest inequities (lowest perceptions) of neighborhood infrastructure (e.g., fewer sidewalks) or destinations (e.g., fewer places to relax) among disadvantaged U.S.-born (older or low education) and advantaged foreign-born (higher education) Latinos. Findings suggest neighborhood perceptions are shaped by complex interactions of nativity with structural (education) and contextual (age) factors. Additional research is needed to complement our findings and inform environmental interventions targeting Latinos.</t>
        </is>
      </c>
      <c r="X298" t="inlineStr">
        <is>
          <t>[Perez, Lilian G.] NCI, Canc Prevent Fellowship Program, Rockville, MD 20850 USA; [Ruiz, John M.] Univ Arizona, Dept Psychol, Tucson, AZ 85721 USA; [Berrigan, David] NCI, Div Canc Control &amp; Populat Sci, Rockville, MD 20850 USA</t>
        </is>
      </c>
      <c r="Y298" t="inlineStr">
        <is>
          <t>National Institutes of Health (NIH) - USA; NIH National Cancer Institute (NCI); University of Arizona; National Institutes of Health (NIH) - USA; NIH National Cancer Institute (NCI)</t>
        </is>
      </c>
      <c r="Z298" t="inlineStr">
        <is>
          <t>Perez, LG (corresponding author), NCI, Canc Prevent Fellowship Program, Rockville, MD 20850 USA.</t>
        </is>
      </c>
      <c r="AA298" t="inlineStr">
        <is>
          <t>lilian.perezconstanza@nih.gov</t>
        </is>
      </c>
      <c r="AB298" t="inlineStr">
        <is>
          <t>Berrigan, David/AAF-1576-2020</t>
        </is>
      </c>
      <c r="AC298" t="inlineStr">
        <is>
          <t>Berrigan, David/0000-0002-5333-179X</t>
        </is>
      </c>
      <c r="AH298" t="n">
        <v>39</v>
      </c>
      <c r="AI298" t="n">
        <v>4</v>
      </c>
      <c r="AJ298" t="n">
        <v>4</v>
      </c>
      <c r="AK298" t="n">
        <v>0</v>
      </c>
      <c r="AL298" t="n">
        <v>9</v>
      </c>
      <c r="AM298" t="inlineStr">
        <is>
          <t>MDPI</t>
        </is>
      </c>
      <c r="AN298" t="inlineStr">
        <is>
          <t>BASEL</t>
        </is>
      </c>
      <c r="AO298" t="inlineStr">
        <is>
          <t>ST ALBAN-ANLAGE 66, CH-4052 BASEL, SWITZERLAND</t>
        </is>
      </c>
      <c r="AP298" t="inlineStr">
        <is>
          <t>1661-7827</t>
        </is>
      </c>
      <c r="AQ298" t="inlineStr">
        <is>
          <t>1660-4601</t>
        </is>
      </c>
      <c r="AS298" t="inlineStr">
        <is>
          <t>INT J ENV RES PUB HE</t>
        </is>
      </c>
      <c r="AT298" t="inlineStr">
        <is>
          <t>Int. J. Environ. Res. Public Health</t>
        </is>
      </c>
      <c r="AU298" t="inlineStr">
        <is>
          <t>SEP 1</t>
        </is>
      </c>
      <c r="AV298" t="n">
        <v>2019</v>
      </c>
      <c r="AW298" t="n">
        <v>16</v>
      </c>
      <c r="AX298" t="n">
        <v>17</v>
      </c>
      <c r="BE298" t="n">
        <v>3062</v>
      </c>
      <c r="BF298" t="inlineStr">
        <is>
          <t>10.3390/ijerph16173062</t>
        </is>
      </c>
      <c r="BG298">
        <f>HYPERLINK("http://dx.doi.org/10.3390/ijerph16173062","http://dx.doi.org/10.3390/ijerph16173062")</f>
        <v/>
      </c>
      <c r="BJ298" t="n">
        <v>13</v>
      </c>
      <c r="BK298" t="inlineStr">
        <is>
          <t>Environmental Sciences; Public, Environmental &amp; Occupational Health</t>
        </is>
      </c>
      <c r="BL298" t="inlineStr">
        <is>
          <t>Science Citation Index Expanded (SCI-EXPANDED); Social Science Citation Index (SSCI)</t>
        </is>
      </c>
      <c r="BM298" t="inlineStr">
        <is>
          <t>Environmental Sciences &amp; Ecology; Public, Environmental &amp; Occupational Health</t>
        </is>
      </c>
      <c r="BN298" t="inlineStr">
        <is>
          <t>IZ4EQ</t>
        </is>
      </c>
      <c r="BO298" t="n">
        <v>31443609</v>
      </c>
      <c r="BP298" t="inlineStr">
        <is>
          <t>Green Submitted, Green Published, gold</t>
        </is>
      </c>
      <c r="BS298" t="inlineStr">
        <is>
          <t>2023-10-26</t>
        </is>
      </c>
      <c r="BT298" t="inlineStr">
        <is>
          <t>WOS:000487037500057</t>
        </is>
      </c>
      <c r="BU298">
        <f>HYPERLINK("https%3A%2F%2Fwww.webofscience.com%2Fwos%2Fwoscc%2Ffull-record%2FWOS:000487037500057","View Full Record in Web of Science")</f>
        <v/>
      </c>
    </row>
    <row r="299">
      <c r="A299" t="inlineStr">
        <is>
          <t>J</t>
        </is>
      </c>
      <c r="B299" t="inlineStr">
        <is>
          <t>Hwang, JH; Lee, H</t>
        </is>
      </c>
      <c r="F299" t="inlineStr">
        <is>
          <t>Hwang, Ji Hyoun; Lee, Hyunsoo</t>
        </is>
      </c>
      <c r="J299" t="inlineStr">
        <is>
          <t>SUSTAINABILITY</t>
        </is>
      </c>
      <c r="M299" t="inlineStr">
        <is>
          <t>English</t>
        </is>
      </c>
      <c r="N299" t="inlineStr">
        <is>
          <t>Article</t>
        </is>
      </c>
      <c r="T299" t="inlineStr">
        <is>
          <t>Parametric Model for Window Design Based on Prospect-Refuge Measurement in Residential Environment</t>
        </is>
      </c>
      <c r="U299" t="inlineStr">
        <is>
          <t>prospect-refuge; parametric design; window design; design method; design exploration; 3D visibility</t>
        </is>
      </c>
      <c r="V299" t="inlineStr">
        <is>
          <t>ENCLOSURE; ISOVISTS; SPACE; PERMEABILITY; PREFERENCE; WRIGHT</t>
        </is>
      </c>
      <c r="W299" t="inlineStr">
        <is>
          <t>As the concept of prospect-refuge defines a preferred environment, the spatial elements that provide good conditions for the catalyst of the theory have been extensively studied. The well-known architectural element of this theory is the window that optimizes visual openness to outdoor or enclosure from outdoor. The aim of this paper is to develop a design method for prospect-refuge condition by adjusting window design attributes. A parametric design model that measures spatial conditions and presents design alternatives for the window is proposed in two major phases. First, this paper explains a parametric model to generate design alternatives for a window according to its size, aspect ratio, location, and shape. In the second phase, the parametric algorithm is defined for the measurement of prospect-refuge with 3D visibility. As a result, we explore the impact of window design variables on average visibility and difference visibility of prospect and refuge area. Using the parametric design technology, the proposed method presents analytical techniques, considering spatial characteristics.</t>
        </is>
      </c>
      <c r="X299" t="inlineStr">
        <is>
          <t>[Hwang, Ji Hyoun; Lee, Hyunsoo] Yonsei Univ, Dept Interior Architecture &amp; Built Environm, Seoul 03722, South Korea</t>
        </is>
      </c>
      <c r="Y299" t="inlineStr">
        <is>
          <t>Yonsei University</t>
        </is>
      </c>
      <c r="Z299" t="inlineStr">
        <is>
          <t>Lee, H (corresponding author), Yonsei Univ, Dept Interior Architecture &amp; Built Environm, Seoul 03722, South Korea.</t>
        </is>
      </c>
      <c r="AA299" t="inlineStr">
        <is>
          <t>jihyounh@gmail.com; hyunsl@yonsei.ac.kr</t>
        </is>
      </c>
      <c r="AC299" t="inlineStr">
        <is>
          <t>Lee, Hyunsoo/0000-0003-0023-8820</t>
        </is>
      </c>
      <c r="AD299" t="inlineStr">
        <is>
          <t>BK21 Plus - Ministry of Education of Korea; YONSEI University; National Research Foundation of Korea (NRF) - Korea government(MSIT) [NRF-2015R1D1A1A09061276]; Basic Science Research Program through the National Research Foundation of Korea (NRF) - Ministry of Education [NRF-2018R1A6A3A01012857]; National Research Foundation of Korea [22A20130000095, 2015R1D1A1A09061276, 2018R1A6A3A01012857] Funding Source: Korea Institute of Science &amp; Technology Information (KISTI), National Science &amp; Technology Information Service (NTIS)</t>
        </is>
      </c>
      <c r="AE299" t="inlineStr">
        <is>
          <t>BK21 Plus - Ministry of Education of Korea; YONSEI University; National Research Foundation of Korea (NRF) - Korea government(MSIT); Basic Science Research Program through the National Research Foundation of Korea (NRF) - Ministry of Education; National Research Foundation of Korea(National Research Foundation of Korea)</t>
        </is>
      </c>
      <c r="AF299" t="inlineStr">
        <is>
          <t>This work was supported by the BK21 Plus funded by the Ministry of Education of Korea; the Graduate School of YONSEI University Research Scholarship Grants in 2017; the National Research Foundation of Korea (NRF) grant funded by the Korea government(MSIT) (NRF-2015R1D1A1A09061276); Basic Science Research Program through the National Research Foundation of Korea (NRF) funded by the Ministry of Education (NRF-2018R1A6A3A01012857).</t>
        </is>
      </c>
      <c r="AH299" t="n">
        <v>56</v>
      </c>
      <c r="AI299" t="n">
        <v>9</v>
      </c>
      <c r="AJ299" t="n">
        <v>9</v>
      </c>
      <c r="AK299" t="n">
        <v>1</v>
      </c>
      <c r="AL299" t="n">
        <v>9</v>
      </c>
      <c r="AM299" t="inlineStr">
        <is>
          <t>MDPI</t>
        </is>
      </c>
      <c r="AN299" t="inlineStr">
        <is>
          <t>BASEL</t>
        </is>
      </c>
      <c r="AO299" t="inlineStr">
        <is>
          <t>ST ALBAN-ANLAGE 66, CH-4052 BASEL, SWITZERLAND</t>
        </is>
      </c>
      <c r="AP299" t="inlineStr">
        <is>
          <t>2071-1050</t>
        </is>
      </c>
      <c r="AS299" t="inlineStr">
        <is>
          <t>SUSTAINABILITY-BASEL</t>
        </is>
      </c>
      <c r="AT299" t="inlineStr">
        <is>
          <t>Sustainability</t>
        </is>
      </c>
      <c r="AU299" t="inlineStr">
        <is>
          <t>NOV</t>
        </is>
      </c>
      <c r="AV299" t="n">
        <v>2018</v>
      </c>
      <c r="AW299" t="n">
        <v>10</v>
      </c>
      <c r="AX299" t="n">
        <v>11</v>
      </c>
      <c r="BE299" t="n">
        <v>3888</v>
      </c>
      <c r="BF299" t="inlineStr">
        <is>
          <t>10.3390/su10113888</t>
        </is>
      </c>
      <c r="BG299">
        <f>HYPERLINK("http://dx.doi.org/10.3390/su10113888","http://dx.doi.org/10.3390/su10113888")</f>
        <v/>
      </c>
      <c r="BJ299" t="n">
        <v>22</v>
      </c>
      <c r="BK299" t="inlineStr">
        <is>
          <t>Green &amp; Sustainable Science &amp; Technology; Environmental Sciences; Environmental Studies</t>
        </is>
      </c>
      <c r="BL299" t="inlineStr">
        <is>
          <t>Science Citation Index Expanded (SCI-EXPANDED); Social Science Citation Index (SSCI)</t>
        </is>
      </c>
      <c r="BM299" t="inlineStr">
        <is>
          <t>Science &amp; Technology - Other Topics; Environmental Sciences &amp; Ecology</t>
        </is>
      </c>
      <c r="BN299" t="inlineStr">
        <is>
          <t>HC1AQ</t>
        </is>
      </c>
      <c r="BP299" t="inlineStr">
        <is>
          <t>gold, Green Submitted</t>
        </is>
      </c>
      <c r="BS299" t="inlineStr">
        <is>
          <t>2023-10-26</t>
        </is>
      </c>
      <c r="BT299" t="inlineStr">
        <is>
          <t>WOS:000451531700062</t>
        </is>
      </c>
      <c r="BU299">
        <f>HYPERLINK("https%3A%2F%2Fwww.webofscience.com%2Fwos%2Fwoscc%2Ffull-record%2FWOS:000451531700062","View Full Record in Web of Science")</f>
        <v/>
      </c>
    </row>
    <row r="300">
      <c r="A300" t="inlineStr">
        <is>
          <t>J</t>
        </is>
      </c>
      <c r="B300" t="inlineStr">
        <is>
          <t>Suarez-Lopez, JR; Cairns, MR; Sripada, K; Quiros-Alcala, L; Mielke, HW; Eskenazi, B; Etzel, RA; Kordas, K</t>
        </is>
      </c>
      <c r="F300" t="inlineStr">
        <is>
          <t>Suarez-Lopez, Jose R.; Cairns, Maryann R.; Sripada, Kam; Quiros-Alcala, Lesliam; Mielke, Howard W.; Eskenazi, Brenda; Etzel, Ruth A.; Kordas, Katarzyna</t>
        </is>
      </c>
      <c r="H300" t="inlineStr">
        <is>
          <t>Int Soc Children1s Hlth Environm</t>
        </is>
      </c>
      <c r="J300" t="inlineStr">
        <is>
          <t>ENVIRONMENTAL RESEARCH</t>
        </is>
      </c>
      <c r="M300" t="inlineStr">
        <is>
          <t>English</t>
        </is>
      </c>
      <c r="N300" t="inlineStr">
        <is>
          <t>Article</t>
        </is>
      </c>
      <c r="T300" t="inlineStr">
        <is>
          <t>COVID-19 and children's health in the United States: Consideration of physical and social environments during the pandemic</t>
        </is>
      </c>
      <c r="U300" t="inlineStr">
        <is>
          <t>Children; COVID-19; SARS-CoV-2; Environment; Social; Physical</t>
        </is>
      </c>
      <c r="V300" t="inlineStr">
        <is>
          <t>PYRETHROID INSECTICIDE EXPOSURE; CHILDHOOD BLOOD LEAD; ORGANOPHOSPHATE PESTICIDES; RESPIRATORY HEALTH; SCHOOL CLOSURE; NEW-ORLEANS; SOIL LEAD; ASSOCIATIONS; DISORDERS; POLLUTION</t>
        </is>
      </c>
      <c r="W300" t="inlineStr">
        <is>
          <t>Public health measures necessary to counteract the coronavirus disease 2019 (COVID-19) pandemic have resulted in dramatic changes in the physical and social environments within which children grow and develop. As our understanding of the pathways for viral exposure and associated health outcomes in children evolves, it is critical to consider how changes in the social, cultural, economic, and physical environments resulting from the pandemic could affect the development of children. This review article considers the environments and settings that create the backdrop for children's health in the United States during the COVID-19 pandemic, including current threats to child development that stem from: A) change in exposures to environmental contaminants such as heavy metals, pesticides, disinfectants, air pollution and the built environment; B) changes in food environments resulting from adverse economic repercussion of the pandemic and limited reach of existing safety nets; C) limited access to children's educational and developmental resources; D) changes in the social environments at the individual and household levels, and their interplay with family stressors and mental health; E) social injustice and racism. The environmental changes due to COVID-19 are overlaid onto existing environmental and social disparities. This results in disproportionate effects among children in low-income settings and among populations experiencing the effects of structural racism. This article draws attention to many environments that should be considered in current and future policy responses to protect children's health amid pandemics.</t>
        </is>
      </c>
      <c r="X300" t="inlineStr">
        <is>
          <t>[Suarez-Lopez, Jose R.] Univ Calif San Diego, Dept Family Med &amp; Publ Hlth, La Jolla, CA 92093 USA; [Suarez-Lopez, Jose R.] Univ Calif San Diego, Herbert Wertheim Sch Publ Hlth &amp; Human Longev, La Jolla, CA 92093 USA; [Cairns, Maryann R.] Southern Methodist Univ, Dedman Coll Humanities &amp; Sci, Dept Anthropol, Dallas, TX USA; [Sripada, Kam] Norwegian Univ Sci &amp; Technol, Ctr Global Hlth Inequal Res, Trondheim, Norway; [Quiros-Alcala, Lesliam] Johns Hopkins Univ Bloomberg Sch Publ Hlth, Dept Environm Hlth &amp; Engn, Baltimore, MD USA; [Mielke, Howard W.] Tulane Univ, Dept Pharmacol, Sch Med, New Orleans, LA 70112 USA; [Eskenazi, Brenda] Univ Calif Berkeley, Sch Publ Hlth, Ctr Environm Res &amp; Childrens Hlth, Berkeley, CA 94720 USA; [Etzel, Ruth A.] George Washington Univ, Milken Inst Sch Publ Hlth, Washington, DC 20052 USA; [Kordas, Katarzyna] Univ Buffalo, Dept Epidemiol &amp; Environm Hlth, Buffalo, NY 14214 USA</t>
        </is>
      </c>
      <c r="Y300" t="inlineStr">
        <is>
          <t>University of California System; University of California San Diego; University of California System; University of California San Diego; Southern Methodist University; Norwegian University of Science &amp; Technology (NTNU); Johns Hopkins University; Johns Hopkins Bloomberg School of Public Health; Tulane University; University of California System; University of California Berkeley; George Washington University; State University of New York (SUNY) System; State University of New York (SUNY) Buffalo</t>
        </is>
      </c>
      <c r="Z300" t="inlineStr">
        <is>
          <t>Suarez-Lopez, JR (corresponding author), 9500 Gilman Dr,MC 0725, La Jolla, CA 92024 USA.</t>
        </is>
      </c>
      <c r="AA300" t="inlineStr">
        <is>
          <t>jrsuarez@health.ucsd.edu</t>
        </is>
      </c>
      <c r="AB300" t="inlineStr">
        <is>
          <t>Kordas, Kat/GSJ-0770-2022; Etzel, Ruth A./N-5700-2019; Quiros-Alcala, Lesliam/Q-4928-2016</t>
        </is>
      </c>
      <c r="AC300" t="inlineStr">
        <is>
          <t>Etzel, Ruth A./0000-0002-5236-3976; Quiros-Alcala, Lesliam/0000-0002-6600-7227; Mielke, Howard/0000-0002-0979-3807; Sripada, Kam/0000-0001-6976-5755</t>
        </is>
      </c>
      <c r="AH300" t="n">
        <v>173</v>
      </c>
      <c r="AI300" t="n">
        <v>19</v>
      </c>
      <c r="AJ300" t="n">
        <v>20</v>
      </c>
      <c r="AK300" t="n">
        <v>1</v>
      </c>
      <c r="AL300" t="n">
        <v>13</v>
      </c>
      <c r="AM300" t="inlineStr">
        <is>
          <t>ACADEMIC PRESS INC ELSEVIER SCIENCE</t>
        </is>
      </c>
      <c r="AN300" t="inlineStr">
        <is>
          <t>SAN DIEGO</t>
        </is>
      </c>
      <c r="AO300" t="inlineStr">
        <is>
          <t>525 B ST, STE 1900, SAN DIEGO, CA 92101-4495 USA</t>
        </is>
      </c>
      <c r="AP300" t="inlineStr">
        <is>
          <t>0013-9351</t>
        </is>
      </c>
      <c r="AQ300" t="inlineStr">
        <is>
          <t>1096-0953</t>
        </is>
      </c>
      <c r="AS300" t="inlineStr">
        <is>
          <t>ENVIRON RES</t>
        </is>
      </c>
      <c r="AT300" t="inlineStr">
        <is>
          <t>Environ. Res.</t>
        </is>
      </c>
      <c r="AU300" t="inlineStr">
        <is>
          <t>JUN</t>
        </is>
      </c>
      <c r="AV300" t="n">
        <v>2021</v>
      </c>
      <c r="AW300" t="n">
        <v>197</v>
      </c>
      <c r="BE300" t="n">
        <v>111160</v>
      </c>
      <c r="BF300" t="inlineStr">
        <is>
          <t>10.1016/j.envres.2021.111160</t>
        </is>
      </c>
      <c r="BG300">
        <f>HYPERLINK("http://dx.doi.org/10.1016/j.envres.2021.111160","http://dx.doi.org/10.1016/j.envres.2021.111160")</f>
        <v/>
      </c>
      <c r="BI300" t="inlineStr">
        <is>
          <t>APR 2021</t>
        </is>
      </c>
      <c r="BJ300" t="n">
        <v>9</v>
      </c>
      <c r="BK300" t="inlineStr">
        <is>
          <t>Environmental Sciences; Public, Environmental &amp; Occupational Health</t>
        </is>
      </c>
      <c r="BL300" t="inlineStr">
        <is>
          <t>Science Citation Index Expanded (SCI-EXPANDED); Social Science Citation Index (SSCI)</t>
        </is>
      </c>
      <c r="BM300" t="inlineStr">
        <is>
          <t>Environmental Sciences &amp; Ecology; Public, Environmental &amp; Occupational Health</t>
        </is>
      </c>
      <c r="BN300" t="inlineStr">
        <is>
          <t>SV1XR</t>
        </is>
      </c>
      <c r="BO300" t="n">
        <v>33852915</v>
      </c>
      <c r="BP300" t="inlineStr">
        <is>
          <t>Green Published, hybrid</t>
        </is>
      </c>
      <c r="BS300" t="inlineStr">
        <is>
          <t>2023-10-26</t>
        </is>
      </c>
      <c r="BT300" t="inlineStr">
        <is>
          <t>WOS:000663618400005</t>
        </is>
      </c>
      <c r="BU300">
        <f>HYPERLINK("https%3A%2F%2Fwww.webofscience.com%2Fwos%2Fwoscc%2Ffull-record%2FWOS:000663618400005","View Full Record in Web of Science")</f>
        <v/>
      </c>
    </row>
    <row r="301">
      <c r="A301" t="inlineStr">
        <is>
          <t>J</t>
        </is>
      </c>
      <c r="B301" t="inlineStr">
        <is>
          <t>Kiray, ZD; Yildizci, AC</t>
        </is>
      </c>
      <c r="F301" t="inlineStr">
        <is>
          <t>Kiray, Z. Demiroz; Yildizci, A. C.</t>
        </is>
      </c>
      <c r="J301" t="inlineStr">
        <is>
          <t>JOURNAL OF ENVIRONMENTAL PROTECTION AND ECOLOGY</t>
        </is>
      </c>
      <c r="M301" t="inlineStr">
        <is>
          <t>English</t>
        </is>
      </c>
      <c r="N301" t="inlineStr">
        <is>
          <t>Article</t>
        </is>
      </c>
      <c r="T301" t="inlineStr">
        <is>
          <t>IMPACT OF LANDSCAPE ARCHITECTURAL PRACTICES ON THE ENVIRONMENT</t>
        </is>
      </c>
      <c r="U301" t="inlineStr">
        <is>
          <t>landscape architecture; environmental impact; sustainability</t>
        </is>
      </c>
      <c r="W301" t="inlineStr">
        <is>
          <t>Design, architecture and engineering professions are directly responsible for the development of our physical environment. Landscape architects make decisions effecting the environment and public health and safety in many aspects of their practices. While planning functional and aesthetically pleasing open spaces, it is important to take into consideration the protection of the environment and natural resources. The aim of this study is to research the negative impacts of landscape architectural practices on the environment and to identify opportunities for conservation via itemising the basic points that should be considered in order to make the impacts positive. Research has shown that landscape designs can have either positive or negative impacts on the environment depending on the way they are designed, implemented and maintained. Unsustainable land development and management practices significantly disturb the elements of ecosystems damaging the soil and vegetation and start a chain of negative effects resulting in reduced infiltration, increase in runoff, excess sedimentation, water pollution, increase in greenhouse gases and energy consumption. Sustainable landscape architectural practices conserve soil and vegetation, materials and energy, promote the sustainable use of water and land, support natural ecosystem functions, and promote human health and well-being.</t>
        </is>
      </c>
      <c r="X301" t="inlineStr">
        <is>
          <t>[Kiray, Z. Demiroz; Yildizci, A. C.] Istanbul Tech Univ, Fac Architecture, Landscape Architecture Dept, TR-80626 Istanbul, Turkey</t>
        </is>
      </c>
      <c r="Y301" t="inlineStr">
        <is>
          <t>Istanbul Technical University</t>
        </is>
      </c>
      <c r="Z301" t="inlineStr">
        <is>
          <t>Kiray, ZD (corresponding author), Istanbul Tech Univ, Fac Architecture, Landscape Architecture Dept, TR-80626 Istanbul, Turkey.</t>
        </is>
      </c>
      <c r="AA301" t="inlineStr">
        <is>
          <t>zeydemiroz@yahoo.com</t>
        </is>
      </c>
      <c r="AH301" t="n">
        <v>26</v>
      </c>
      <c r="AI301" t="n">
        <v>10</v>
      </c>
      <c r="AJ301" t="n">
        <v>10</v>
      </c>
      <c r="AK301" t="n">
        <v>0</v>
      </c>
      <c r="AL301" t="n">
        <v>20</v>
      </c>
      <c r="AM301" t="inlineStr">
        <is>
          <t>SCIBULCOM LTD</t>
        </is>
      </c>
      <c r="AN301" t="inlineStr">
        <is>
          <t>SOFIA</t>
        </is>
      </c>
      <c r="AO301" t="inlineStr">
        <is>
          <t>PO BOX 249, 1113 SOFIA, BULGARIA</t>
        </is>
      </c>
      <c r="AP301" t="inlineStr">
        <is>
          <t>1311-5065</t>
        </is>
      </c>
      <c r="AS301" t="inlineStr">
        <is>
          <t>J ENVIRON PROT ECOL</t>
        </is>
      </c>
      <c r="AT301" t="inlineStr">
        <is>
          <t>J. Environ. Prot. Ecol.</t>
        </is>
      </c>
      <c r="AV301" t="n">
        <v>2014</v>
      </c>
      <c r="AW301" t="n">
        <v>15</v>
      </c>
      <c r="AX301" t="n">
        <v>2</v>
      </c>
      <c r="BC301" t="n">
        <v>565</v>
      </c>
      <c r="BD301" t="n">
        <v>573</v>
      </c>
      <c r="BJ301" t="n">
        <v>9</v>
      </c>
      <c r="BK301" t="inlineStr">
        <is>
          <t>Environmental Sciences</t>
        </is>
      </c>
      <c r="BL301" t="inlineStr">
        <is>
          <t>Science Citation Index Expanded (SCI-EXPANDED)</t>
        </is>
      </c>
      <c r="BM301" t="inlineStr">
        <is>
          <t>Environmental Sciences &amp; Ecology</t>
        </is>
      </c>
      <c r="BN301" t="inlineStr">
        <is>
          <t>AL8BK</t>
        </is>
      </c>
      <c r="BS301" t="inlineStr">
        <is>
          <t>2023-10-26</t>
        </is>
      </c>
      <c r="BT301" t="inlineStr">
        <is>
          <t>WOS:000339362500018</t>
        </is>
      </c>
      <c r="BU301">
        <f>HYPERLINK("https%3A%2F%2Fwww.webofscience.com%2Fwos%2Fwoscc%2Ffull-record%2FWOS:000339362500018","View Full Record in Web of Science")</f>
        <v/>
      </c>
    </row>
    <row r="302">
      <c r="A302" t="inlineStr">
        <is>
          <t>J</t>
        </is>
      </c>
      <c r="B302" t="inlineStr">
        <is>
          <t>Fritz, H; Tang, MJ; Kinney, K; Nagy, Z</t>
        </is>
      </c>
      <c r="F302" t="inlineStr">
        <is>
          <t>Fritz, Hagen; Tang, Mengjia; Kinney, Kerry; Nagy, Zoltan</t>
        </is>
      </c>
      <c r="J302" t="inlineStr">
        <is>
          <t>JOURNAL OF THE AIR &amp; WASTE MANAGEMENT ASSOCIATION</t>
        </is>
      </c>
      <c r="M302" t="inlineStr">
        <is>
          <t>English</t>
        </is>
      </c>
      <c r="N302" t="inlineStr">
        <is>
          <t>Article</t>
        </is>
      </c>
      <c r="T302" t="inlineStr">
        <is>
          <t>Evaluating machine learning models to classify occupants' perceptions of their indoor environment and sleep quality from indoor air quality</t>
        </is>
      </c>
      <c r="V302" t="inlineStr">
        <is>
          <t>BUILDING-RELATED SYMPTOMS; BEDROOM VENTILATION; THERMAL ENVIRONMENT; IMPACT; HEALTH; EXPOSURE</t>
        </is>
      </c>
      <c r="W302" t="inlineStr">
        <is>
          <t>A variety of factors can affect a person's perception of their environment and health, but one factor that is often overlooked in indoor settings is the air quality. To address this gap, we develop and evaluate four Machine Learning (ML) models on two disparate datasets using Indoor Air Quality (IAQ) parameters as primary features and components of self-reported IAQ satisfaction and sleep quality as target variables. In each case, we compare models to each other as well as to a simple model that always predicts the majority outcome. In the first analysis, we use open-source data collected from 93 California residences to predict occupant's satisfaction with their indoor environment. Results indicate building ventilation rate, Relative Humidity (RH), and formaldehyde are most influential when predicting IAQ perception and do so with an accuracy greater than the simplified model. The second analysis uses IAQ data gathered from a field study we conducted with 20 participants over 11 weeks to train similar models. We obtain accuracy and F1 scores similar to the simplified model where PM2.5 and TVOCs represent the most important predictors. Our results underscore the ability of IAQ to affect a person's perception of their built environment and health and highlight the utility of ML models to explore the strength of these relationships. Implications: The results from this study show that two outcome variables - occupant's indoor air quality (IAQ) satisfaction and perceived sleep quality - are related to the measured IAQ parameters but not heavily influenced by typical values measured in apartments and homes. This study highlights the ability of machine learning models as exploratory analysis tools to determine underlying relationships within and across datasets in addition to understanding the importance of certain features on the outcome variable. We compare four different models and find that the random forest classifier has the best performance in both analysis on IAQ satisfaction and perceived sleep quality. It is a suitable model for predicting IAQ-related subjective metrics and also provides value insight into the feature importance of the IAQ parameters. The accuracy of any of these machine learning models in predicting occupants' comfort or sleep quality is limited by the dataset size, how data is collected, and range of data. This study identifies the factors that are important to IAQ perception: ventilation rate, relative humidity, and concentrations of formaldehyde, NO2, and particulate matter. It indicates that sensors that can measure these variables are necessary for future, related studies that model occupants' IAQ satisfaction. However, this study does not find strong relationships between any of the IAQ parameters measured in this study and perceived sleep quality despite the logical pathway between these many pollutants and respiratory issues. A prediction model of IAQ perception or sleep quality can be integrated into home management systems to automatically adjust building operations such as ventilation rates in smart buildings. Once buildings are equipped with a network of low-cost sensors that measure concentrations of pollutants and operating conditions of the ventilation system, the prediction model can be used to predict the occupants' comfort and facilitate the control of the ventilation system.</t>
        </is>
      </c>
      <c r="X302" t="inlineStr">
        <is>
          <t>[Fritz, Hagen; Tang, Mengjia; Kinney, Kerry; Nagy, Zoltan] Univ Texas Austin, Dept Civil Architectural &amp; Environm Engn, 6500 Champ Grandview Way,Apt 26104, Austin, TX 78750 USA</t>
        </is>
      </c>
      <c r="Y302" t="inlineStr">
        <is>
          <t>University of Texas System; University of Texas Austin</t>
        </is>
      </c>
      <c r="Z302" t="inlineStr">
        <is>
          <t>Fritz, H (corresponding author), Univ Texas Austin, Dept Civil Architectural &amp; Environm Engn, 6500 Champ Grandview Way,Apt 26104, Austin, TX 78750 USA.</t>
        </is>
      </c>
      <c r="AA302" t="inlineStr">
        <is>
          <t>hagenfritz@utexas.edu</t>
        </is>
      </c>
      <c r="AB302" t="inlineStr">
        <is>
          <t>Nagy, Zoltan/E-1435-2016</t>
        </is>
      </c>
      <c r="AC302" t="inlineStr">
        <is>
          <t>Nagy, Zoltan/0000-0002-6014-3228; Tang, Mengjia/0000-0002-6721-5626; Fritz, Hagen/0000-0002-5708-7683; Kinney, Kerry/0000-0003-1126-2172</t>
        </is>
      </c>
      <c r="AD302" t="inlineStr">
        <is>
          <t>Whole Communities-Whole Health, a research grand challenge at the University of Texas at Austin</t>
        </is>
      </c>
      <c r="AE302" t="inlineStr">
        <is>
          <t>Whole Communities-Whole Health, a research grand challenge at the University of Texas at Austin</t>
        </is>
      </c>
      <c r="AF302" t="inlineStr">
        <is>
          <t>This work was supported by Whole Communities-Whole Health, a research grand challenge at the University of Texas at Austin.</t>
        </is>
      </c>
      <c r="AH302" t="n">
        <v>53</v>
      </c>
      <c r="AI302" t="n">
        <v>1</v>
      </c>
      <c r="AJ302" t="n">
        <v>1</v>
      </c>
      <c r="AK302" t="n">
        <v>4</v>
      </c>
      <c r="AL302" t="n">
        <v>16</v>
      </c>
      <c r="AM302" t="inlineStr">
        <is>
          <t>TAYLOR &amp; FRANCIS INC</t>
        </is>
      </c>
      <c r="AN302" t="inlineStr">
        <is>
          <t>PHILADELPHIA</t>
        </is>
      </c>
      <c r="AO302" t="inlineStr">
        <is>
          <t>530 WALNUT STREET, STE 850, PHILADELPHIA, PA 19106 USA</t>
        </is>
      </c>
      <c r="AP302" t="inlineStr">
        <is>
          <t>1096-2247</t>
        </is>
      </c>
      <c r="AQ302" t="inlineStr">
        <is>
          <t>2162-2906</t>
        </is>
      </c>
      <c r="AS302" t="inlineStr">
        <is>
          <t>J AIR WASTE MANAGE</t>
        </is>
      </c>
      <c r="AT302" t="inlineStr">
        <is>
          <t>J. Air Waste Manage. Assoc.</t>
        </is>
      </c>
      <c r="AU302" t="inlineStr">
        <is>
          <t>DEC 2</t>
        </is>
      </c>
      <c r="AV302" t="n">
        <v>2022</v>
      </c>
      <c r="AW302" t="n">
        <v>72</v>
      </c>
      <c r="AX302" t="n">
        <v>12</v>
      </c>
      <c r="BC302" t="n">
        <v>1381</v>
      </c>
      <c r="BD302" t="n">
        <v>1397</v>
      </c>
      <c r="BF302" t="inlineStr">
        <is>
          <t>10.1080/10962247.2022.2105439</t>
        </is>
      </c>
      <c r="BG302">
        <f>HYPERLINK("http://dx.doi.org/10.1080/10962247.2022.2105439","http://dx.doi.org/10.1080/10962247.2022.2105439")</f>
        <v/>
      </c>
      <c r="BI302" t="inlineStr">
        <is>
          <t>OCT 2022</t>
        </is>
      </c>
      <c r="BJ302" t="n">
        <v>17</v>
      </c>
      <c r="BK302" t="inlineStr">
        <is>
          <t>Engineering, Environmental; Environmental Sciences; Meteorology &amp; Atmospheric Sciences</t>
        </is>
      </c>
      <c r="BL302" t="inlineStr">
        <is>
          <t>Science Citation Index Expanded (SCI-EXPANDED)</t>
        </is>
      </c>
      <c r="BM302" t="inlineStr">
        <is>
          <t>Engineering; Environmental Sciences &amp; Ecology; Meteorology &amp; Atmospheric Sciences</t>
        </is>
      </c>
      <c r="BN302" t="inlineStr">
        <is>
          <t>6T7XQ</t>
        </is>
      </c>
      <c r="BO302" t="n">
        <v>35939653</v>
      </c>
      <c r="BP302" t="inlineStr">
        <is>
          <t>hybrid</t>
        </is>
      </c>
      <c r="BS302" t="inlineStr">
        <is>
          <t>2023-10-26</t>
        </is>
      </c>
      <c r="BT302" t="inlineStr">
        <is>
          <t>WOS:000870903200001</t>
        </is>
      </c>
      <c r="BU302">
        <f>HYPERLINK("https%3A%2F%2Fwww.webofscience.com%2Fwos%2Fwoscc%2Ffull-record%2FWOS:000870903200001","View Full Record in Web of Science")</f>
        <v/>
      </c>
    </row>
    <row r="303">
      <c r="A303" t="inlineStr">
        <is>
          <t>J</t>
        </is>
      </c>
      <c r="B303" t="inlineStr">
        <is>
          <t>Zhao, HL; Wu, MH; Du, YH; Zhang, F; Li, JL</t>
        </is>
      </c>
      <c r="F303" t="inlineStr">
        <is>
          <t>Zhao, Haili; Wu, Minghui; Du, Yuhan; Zhang, Fang; Li, Jialiang</t>
        </is>
      </c>
      <c r="J303" t="inlineStr">
        <is>
          <t>INTERNATIONAL JOURNAL OF ENVIRONMENTAL RESEARCH AND PUBLIC HEALTH</t>
        </is>
      </c>
      <c r="M303" t="inlineStr">
        <is>
          <t>English</t>
        </is>
      </c>
      <c r="N303" t="inlineStr">
        <is>
          <t>Article</t>
        </is>
      </c>
      <c r="T303" t="inlineStr">
        <is>
          <t>Relationship between Built-Up Environment, Air Pollution, Activity Frequency and Prevalence of Hypertension-An Empirical Analysis from the Main City of Lanzhou</t>
        </is>
      </c>
      <c r="U303" t="inlineStr">
        <is>
          <t>built environment; hypertension; pathways of action; multilevel generalized structural equation model; healthy public policy</t>
        </is>
      </c>
      <c r="V303" t="inlineStr">
        <is>
          <t>PHYSICAL-ACTIVITY; OBESITY; NEIGHBORHOOD</t>
        </is>
      </c>
      <c r="W303" t="inlineStr">
        <is>
          <t>In the process of promoting the strategy of a healthy China, the built environment, as a carrier of human activities, can effectively influence the health level of residents in the light of its functional types. Based on the POI data of four main urban areas in Lanzhou, this paper classifies the built environment in terms of function into four types. The association between different types of built environments and the prevalence of hypertension was investigated by using the community as the study scale, and activity frequency, air pollution and green space were used as mediating variables to investigate whether they could mediate the relationship between built environments and hypertension. The results indicate that communities with a high concentration of commercial service facilities, road and traffic facilities and industrial facilities have a relatively high prevalence of hypertension. By determining the direct, indirect and overall effects of different functional types of built environment on the prevalence of hypertension, it was learned that the construction of public management and service facilities can effectively mitigate the negative effects of hypertension in the surrounding residents. The results of the study contribute to the rational planning of the structure of the built environment, which is beneficial for optimizing the urban structure and preventing and controlling chronic diseases such as hypertension.</t>
        </is>
      </c>
      <c r="X303" t="inlineStr">
        <is>
          <t>[Zhao, Haili; Wu, Minghui; Du, Yuhan; Zhang, Fang; Li, Jialiang] Northwest Normal Univ, Coll Geog &amp; Environm Sci, Lanzhou 730070, Peoples R China; [Zhao, Haili; Wu, Minghui; Du, Yuhan; Zhang, Fang; Li, Jialiang] Key Lab Resource Environm &amp; Sustainable Dev Oasis, Lanzhou 730070, Peoples R China</t>
        </is>
      </c>
      <c r="Y303" t="inlineStr">
        <is>
          <t>Northwest Normal University - China</t>
        </is>
      </c>
      <c r="Z303" t="inlineStr">
        <is>
          <t>Wu, MH (corresponding author), Northwest Normal Univ, Coll Geog &amp; Environm Sci, Lanzhou 730070, Peoples R China.;Wu, MH (corresponding author), Key Lab Resource Environm &amp; Sustainable Dev Oasis, Lanzhou 730070, Peoples R China.</t>
        </is>
      </c>
      <c r="AA303" t="inlineStr">
        <is>
          <t>2021212836@nwnu.edu.cn</t>
        </is>
      </c>
      <c r="AD303" t="inlineStr">
        <is>
          <t>National Social Science Foundation of China [41971268]; Class A Strategic Leading Science and Technology Project, Chinese Academy of Sciences [XDA19040502]</t>
        </is>
      </c>
      <c r="AE303" t="inlineStr">
        <is>
          <t>National Social Science Foundation of China(National Office of Philosophy and Social Sciences); Class A Strategic Leading Science and Technology Project, Chinese Academy of Sciences</t>
        </is>
      </c>
      <c r="AF303" t="inlineStr">
        <is>
          <t>This research was funded by a project of the National Social Science Foundation of China (No. 41971268) and Class A Strategic Leading Science and Technology Project, Chinese Academy of Sciences (XDA19040502).</t>
        </is>
      </c>
      <c r="AH303" t="n">
        <v>52</v>
      </c>
      <c r="AI303" t="n">
        <v>0</v>
      </c>
      <c r="AJ303" t="n">
        <v>0</v>
      </c>
      <c r="AK303" t="n">
        <v>8</v>
      </c>
      <c r="AL303" t="n">
        <v>12</v>
      </c>
      <c r="AM303" t="inlineStr">
        <is>
          <t>MDPI</t>
        </is>
      </c>
      <c r="AN303" t="inlineStr">
        <is>
          <t>BASEL</t>
        </is>
      </c>
      <c r="AO303" t="inlineStr">
        <is>
          <t>ST ALBAN-ANLAGE 66, CH-4052 BASEL, SWITZERLAND</t>
        </is>
      </c>
      <c r="AQ303" t="inlineStr">
        <is>
          <t>1660-4601</t>
        </is>
      </c>
      <c r="AS303" t="inlineStr">
        <is>
          <t>INT J ENV RES PUB HE</t>
        </is>
      </c>
      <c r="AT303" t="inlineStr">
        <is>
          <t>Int. J. Environ. Res. Public Health</t>
        </is>
      </c>
      <c r="AU303" t="inlineStr">
        <is>
          <t>JAN</t>
        </is>
      </c>
      <c r="AV303" t="n">
        <v>2023</v>
      </c>
      <c r="AW303" t="n">
        <v>20</v>
      </c>
      <c r="AX303" t="n">
        <v>1</v>
      </c>
      <c r="BE303" t="n">
        <v>743</v>
      </c>
      <c r="BF303" t="inlineStr">
        <is>
          <t>10.3390/ijerph20010743</t>
        </is>
      </c>
      <c r="BG303">
        <f>HYPERLINK("http://dx.doi.org/10.3390/ijerph20010743","http://dx.doi.org/10.3390/ijerph20010743")</f>
        <v/>
      </c>
      <c r="BJ303" t="n">
        <v>19</v>
      </c>
      <c r="BK303" t="inlineStr">
        <is>
          <t>Environmental Sciences; Public, Environmental &amp; Occupational Health</t>
        </is>
      </c>
      <c r="BL303" t="inlineStr">
        <is>
          <t>Science Citation Index Expanded (SCI-EXPANDED); Social Science Citation Index (SSCI)</t>
        </is>
      </c>
      <c r="BM303" t="inlineStr">
        <is>
          <t>Environmental Sciences &amp; Ecology; Public, Environmental &amp; Occupational Health</t>
        </is>
      </c>
      <c r="BN303" t="inlineStr">
        <is>
          <t>7R8FM</t>
        </is>
      </c>
      <c r="BO303" t="n">
        <v>36613066</v>
      </c>
      <c r="BP303" t="inlineStr">
        <is>
          <t>gold, Green Published</t>
        </is>
      </c>
      <c r="BS303" t="inlineStr">
        <is>
          <t>2023-10-26</t>
        </is>
      </c>
      <c r="BT303" t="inlineStr">
        <is>
          <t>WOS:000910303200001</t>
        </is>
      </c>
      <c r="BU303">
        <f>HYPERLINK("https%3A%2F%2Fwww.webofscience.com%2Fwos%2Fwoscc%2Ffull-record%2FWOS:000910303200001","View Full Record in Web of Science")</f>
        <v/>
      </c>
    </row>
    <row r="304">
      <c r="A304" t="inlineStr">
        <is>
          <t>J</t>
        </is>
      </c>
      <c r="B304" t="inlineStr">
        <is>
          <t>Lee, SW</t>
        </is>
      </c>
      <c r="F304" t="inlineStr">
        <is>
          <t>Lee, Sunwoo</t>
        </is>
      </c>
      <c r="J304" t="inlineStr">
        <is>
          <t>INTERNATIONAL JOURNAL OF ENVIRONMENTAL RESEARCH AND PUBLIC HEALTH</t>
        </is>
      </c>
      <c r="M304" t="inlineStr">
        <is>
          <t>English</t>
        </is>
      </c>
      <c r="N304" t="inlineStr">
        <is>
          <t>Article</t>
        </is>
      </c>
      <c r="T304" t="inlineStr">
        <is>
          <t>Cross-Sectional and Longitudinal Association between Neighborhood Environment and Perceived Control in Older Adults: Findings from HRS</t>
        </is>
      </c>
      <c r="U304" t="inlineStr">
        <is>
          <t>neighborhood characteristics; neighborhood; social cohesion; perceived control; older adults</t>
        </is>
      </c>
      <c r="V304" t="inlineStr">
        <is>
          <t>SOCIAL COHESION; WELL; HEALTH; LIFE; LONELINESS; COMMUNITY; DISORDER; BELIEFS; ROLES; SENSE</t>
        </is>
      </c>
      <c r="W304" t="inlineStr">
        <is>
          <t>The current study examined how neighborhood environments are related to older adults' perceived control over time. A longitudinal study design was employed using data sampled from the Health and Retirement Study (HRS) 2014 and 2018. In total, 3170 older adults, whose age ranged between 60 and 99 years at the baseline, were followed up with a 4-year lag. Measures included two domains of neighborhood characteristics: social cohesion and physical disorder (at baseline and follow-up) and perceived control (at follow-up). Path coefficients between the latent factors were examined using structural equation modeling. Results showed that there was a significant cross-sectional and longitudinal association between neighborhood social cohesion and older adults' perceived control, while neighborhood physical disorder was cross-sectionally associated with perceived control. Study findings provide evidence for promoting social integration and social capital in their neighborhood that might contribute to older adults' perceived competence and beliefs in control.</t>
        </is>
      </c>
      <c r="X304" t="inlineStr">
        <is>
          <t>[Lee, Sunwoo] Charles Univ Prague, Fac Phys Educ &amp; Sport, Prague 16252, Czech Republic</t>
        </is>
      </c>
      <c r="Y304" t="inlineStr">
        <is>
          <t>Charles University Prague</t>
        </is>
      </c>
      <c r="Z304" t="inlineStr">
        <is>
          <t>Lee, SW (corresponding author), Charles Univ Prague, Fac Phys Educ &amp; Sport, Prague 16252, Czech Republic.</t>
        </is>
      </c>
      <c r="AA304" t="inlineStr">
        <is>
          <t>lee@ftvs.cuni.cz</t>
        </is>
      </c>
      <c r="AB304" t="inlineStr">
        <is>
          <t>Lee, Sunwoo/N-7756-2015</t>
        </is>
      </c>
      <c r="AC304" t="inlineStr">
        <is>
          <t>Lee, Sunwoo/0000-0002-7847-1529</t>
        </is>
      </c>
      <c r="AD304" t="inlineStr">
        <is>
          <t>Primus Research Programme at Charles University [Primus/19/HUM/12]</t>
        </is>
      </c>
      <c r="AE304" t="inlineStr">
        <is>
          <t>Primus Research Programme at Charles University</t>
        </is>
      </c>
      <c r="AF304" t="inlineStr">
        <is>
          <t>FundingThis research was funded by Primus Research Programme at Charles University [Primus/19/HUM/12]. The funders had no role in the design of the study; in the collection, analyses, or interpretation of data; in the writing of the manuscript, or in the decision to publish the results.</t>
        </is>
      </c>
      <c r="AH304" t="n">
        <v>33</v>
      </c>
      <c r="AI304" t="n">
        <v>0</v>
      </c>
      <c r="AJ304" t="n">
        <v>0</v>
      </c>
      <c r="AK304" t="n">
        <v>0</v>
      </c>
      <c r="AL304" t="n">
        <v>7</v>
      </c>
      <c r="AM304" t="inlineStr">
        <is>
          <t>MDPI</t>
        </is>
      </c>
      <c r="AN304" t="inlineStr">
        <is>
          <t>BASEL</t>
        </is>
      </c>
      <c r="AO304" t="inlineStr">
        <is>
          <t>ST ALBAN-ANLAGE 66, CH-4052 BASEL, SWITZERLAND</t>
        </is>
      </c>
      <c r="AQ304" t="inlineStr">
        <is>
          <t>1660-4601</t>
        </is>
      </c>
      <c r="AS304" t="inlineStr">
        <is>
          <t>INT J ENV RES PUB HE</t>
        </is>
      </c>
      <c r="AT304" t="inlineStr">
        <is>
          <t>Int. J. Environ. Res. Public Health</t>
        </is>
      </c>
      <c r="AU304" t="inlineStr">
        <is>
          <t>NOV</t>
        </is>
      </c>
      <c r="AV304" t="n">
        <v>2021</v>
      </c>
      <c r="AW304" t="n">
        <v>18</v>
      </c>
      <c r="AX304" t="n">
        <v>21</v>
      </c>
      <c r="BE304" t="n">
        <v>11344</v>
      </c>
      <c r="BF304" t="inlineStr">
        <is>
          <t>10.3390/ijerph182111344</t>
        </is>
      </c>
      <c r="BG304">
        <f>HYPERLINK("http://dx.doi.org/10.3390/ijerph182111344","http://dx.doi.org/10.3390/ijerph182111344")</f>
        <v/>
      </c>
      <c r="BJ304" t="n">
        <v>8</v>
      </c>
      <c r="BK304" t="inlineStr">
        <is>
          <t>Environmental Sciences; Public, Environmental &amp; Occupational Health</t>
        </is>
      </c>
      <c r="BL304" t="inlineStr">
        <is>
          <t>Science Citation Index Expanded (SCI-EXPANDED); Social Science Citation Index (SSCI)</t>
        </is>
      </c>
      <c r="BM304" t="inlineStr">
        <is>
          <t>Environmental Sciences &amp; Ecology; Public, Environmental &amp; Occupational Health</t>
        </is>
      </c>
      <c r="BN304" t="inlineStr">
        <is>
          <t>WX4BT</t>
        </is>
      </c>
      <c r="BO304" t="n">
        <v>34769861</v>
      </c>
      <c r="BP304" t="inlineStr">
        <is>
          <t>Green Published, gold</t>
        </is>
      </c>
      <c r="BS304" t="inlineStr">
        <is>
          <t>2023-10-26</t>
        </is>
      </c>
      <c r="BT304" t="inlineStr">
        <is>
          <t>WOS:000718543900001</t>
        </is>
      </c>
      <c r="BU304">
        <f>HYPERLINK("https%3A%2F%2Fwww.webofscience.com%2Fwos%2Fwoscc%2Ffull-record%2FWOS:000718543900001","View Full Record in Web of Science")</f>
        <v/>
      </c>
    </row>
    <row r="305">
      <c r="A305" t="inlineStr">
        <is>
          <t>J</t>
        </is>
      </c>
      <c r="B305" t="inlineStr">
        <is>
          <t>Dockx, Y; Täubel, M; Bijnens, EM; Witters, K; Valkonen, M; Jayaprakash, B; Hogervorst, J; Nawrot, TS; Casas, L</t>
        </is>
      </c>
      <c r="F305" t="inlineStr">
        <is>
          <t>Dockx, Yinthe; Taubel, Martin; Bijnens, Esmee M.; Witters, Katrien; Valkonen, Maria; Jayaprakash, Balamuralikrishna; Hogervorst, Janneke; Nawrot, Tim S.; Casas, Lidia</t>
        </is>
      </c>
      <c r="J305" t="inlineStr">
        <is>
          <t>ENVIRONMENTAL RESEARCH</t>
        </is>
      </c>
      <c r="M305" t="inlineStr">
        <is>
          <t>English</t>
        </is>
      </c>
      <c r="N305" t="inlineStr">
        <is>
          <t>Article</t>
        </is>
      </c>
      <c r="T305" t="inlineStr">
        <is>
          <t>Residential green space can shape the indoor microbial environment</t>
        </is>
      </c>
      <c r="U305" t="inlineStr">
        <is>
          <t>Bacteria; Fungi; Indoor environment; Built environment; Green space</t>
        </is>
      </c>
      <c r="V305" t="inlineStr">
        <is>
          <t>FUNGAL; DIVERSITY; ENDOTOXIN; DUST; DETERMINANTS; ASTHMA; COMMUNITIES; EXPOSURE; CHILDREN; POLLEN</t>
        </is>
      </c>
      <c r="W305" t="inlineStr">
        <is>
          <t>Background: The influence of outdoor green space on microbial communities indoors has scarcely been investigated. Here, we study the associations between nearby residential green space and residential indoor microbiota. Methods: We collected settled dust from 176 living rooms of participants of the ENVIRONAGE birth cohort. We performed 16S and ITS amplicon sequencing, and quantitative PCR measurements of total bacterial and fungal loads to calculate bacterial and fungal diversity measures (Chao1 richness, Shannon and Simpson diversity indices) and relative abundance of individual taxa. Green spaces were estimated within 50m and 100m buffers around the residential address. We defined total residential green space using high-resolution land-cover data, further stratified in low-growing (height&lt;3m) and high-growing green (height&gt;3m). We used land-use data to calculate the residential nature. We ran linear regression models, adjusting for confounders and other potential determinants. Results are expressed as units change for an interquartile range (IQR) increase in residential green space and their 95% confidence intervals (CI). Results: After adjustment, we observed statistically significant associations between the indoor microbial diversity indices and nearby residential green space. For bacteria, the Shannon index was directly associated with residential nature (e.g. 0.08 units increase (CI:0.02,0.13) per IQR increase in nature within a 50m buffer). Fungal diversity was directly associated with high-growing residential green and inversely with low-growing green. For example, an IQR increase in high-growing green within a 50m buffer was associated with increases in 0.14 (CI:0.01,0.27) and 0.02 (CI:0.008,0.04) units in the Shannon and Simpson indices, respectively. Conclusions: Nearby green space determines the diversity of indoor environment microbiota, and the type of green differently impacts bacterial and fungal diversity. Further research is needed to investigate in more detail possible microbial taxa compositions underlying the observed changes in indoor microbiota diversity and to explore their contribution to beneficial health effects associated with green space exposure.</t>
        </is>
      </c>
      <c r="X305" t="inlineStr">
        <is>
          <t>[Dockx, Yinthe; Bijnens, Esmee M.; Witters, Katrien; Hogervorst, Janneke; Nawrot, Tim S.] Hasselt Univ, Ctr Environm Sci, Agoralaan Bldg D, B-3590 Diepenbeek, Belgium; [Taubel, Martin; Valkonen, Maria; Jayaprakash, Balamuralikrishna] Finnish Inst Hlth &amp; Welf, Dept Hlth Secur, Environm Hlth Unit, Kuopio, Finland; [Nawrot, Tim S.; Casas, Lidia] Leuven Univ, Dept Publ Hlth, Ctr Environm &amp; Hlth, Leuven, Belgium; [Casas, Lidia] Univ Antwerp, Dept Family Med &amp; Populat Hlth, Social Epidemiol &amp; Hlth Policy, Antwerp, Belgium; [Casas, Lidia] Univ Antwerp, Inst Environm &amp; Sustainable Dev, Antwerp, Belgium</t>
        </is>
      </c>
      <c r="Y305" t="inlineStr">
        <is>
          <t>Hasselt University; KU Leuven; University of Antwerp; University of Antwerp</t>
        </is>
      </c>
      <c r="Z305" t="inlineStr">
        <is>
          <t>Nawrot, TS (corresponding author), Hasselt Univ, Ctr Environm Sci, Agoralaan Bldg D, B-3590 Diepenbeek, Belgium.</t>
        </is>
      </c>
      <c r="AA305" t="inlineStr">
        <is>
          <t>tim.nawrot@uhasselt.be</t>
        </is>
      </c>
      <c r="AB305" t="inlineStr">
        <is>
          <t>Täubel, Martin/P-7059-2019</t>
        </is>
      </c>
      <c r="AC305" t="inlineStr">
        <is>
          <t>Täubel, Martin/0000-0001-8082-1041; Nawrot, Tim/0000-0002-3583-3593; Bijnens, Esmee/0000-0001-8537-843X; Casas, Lidia/0000-0003-1820-8742; Dockx, Yinthe/0000-0002-3992-1742</t>
        </is>
      </c>
      <c r="AD305" t="inlineStr">
        <is>
          <t>EU research council project ENVIRONAGE (ERC-2012-StG) [310,890]; Flemish Scientific Fund [G073315N/G048420N]; Research Foundation Flanders (FWO) [1518019N, 12I1517N]; Marguerite-Marie Delacroix foundation; Academy of Finland [296817]; Academy of Finland (AKA) [296817, 296817] Funding Source: Academy of Finland (AKA)</t>
        </is>
      </c>
      <c r="AE305" t="inlineStr">
        <is>
          <t>EU research council project ENVIRONAGE (ERC-2012-StG)(European Research Council (ERC)); Flemish Scientific Fund; Research Foundation Flanders (FWO)(FWO); Marguerite-Marie Delacroix foundation; Academy of Finland(Research Council of Finland); Academy of Finland (AKA)(Research Council of Finland)</t>
        </is>
      </c>
      <c r="AF305" t="inlineStr">
        <is>
          <t>This investigation is supported by the EU research council project ENVIRONAGE (ERC-2012-StG 310,890) and Flemish Scientific Fund (G073315N/G048420N) . These measurements are done within the research projects of the Research Foundation Flanders (FWO) , grant number 1518019N, the BELSPO Brain project and Science and Technology in childhood Obesity Policy (STOP) that is part of the HORIZON2020. Lidia Casas is recipient of a post-doctoral fellowship a of the Research Foundation Flanders (FWO) , grant number 12I1517N. Esmee M Bijnens holds a fellowship from the Marguerite-Marie Delacroix foundation. The work at the Finnish Institute for Health and Welfare was supported by the Academy of Finland grant 296817.</t>
        </is>
      </c>
      <c r="AH305" t="n">
        <v>62</v>
      </c>
      <c r="AI305" t="n">
        <v>13</v>
      </c>
      <c r="AJ305" t="n">
        <v>13</v>
      </c>
      <c r="AK305" t="n">
        <v>8</v>
      </c>
      <c r="AL305" t="n">
        <v>29</v>
      </c>
      <c r="AM305" t="inlineStr">
        <is>
          <t>ACADEMIC PRESS INC ELSEVIER SCIENCE</t>
        </is>
      </c>
      <c r="AN305" t="inlineStr">
        <is>
          <t>SAN DIEGO</t>
        </is>
      </c>
      <c r="AO305" t="inlineStr">
        <is>
          <t>525 B ST, STE 1900, SAN DIEGO, CA 92101-4495 USA</t>
        </is>
      </c>
      <c r="AP305" t="inlineStr">
        <is>
          <t>0013-9351</t>
        </is>
      </c>
      <c r="AQ305" t="inlineStr">
        <is>
          <t>1096-0953</t>
        </is>
      </c>
      <c r="AS305" t="inlineStr">
        <is>
          <t>ENVIRON RES</t>
        </is>
      </c>
      <c r="AT305" t="inlineStr">
        <is>
          <t>Environ. Res.</t>
        </is>
      </c>
      <c r="AU305" t="inlineStr">
        <is>
          <t>OCT</t>
        </is>
      </c>
      <c r="AV305" t="n">
        <v>2021</v>
      </c>
      <c r="AW305" t="n">
        <v>201</v>
      </c>
      <c r="BE305" t="n">
        <v>111543</v>
      </c>
      <c r="BF305" t="inlineStr">
        <is>
          <t>10.1016/j.envres.2021.111543</t>
        </is>
      </c>
      <c r="BG305">
        <f>HYPERLINK("http://dx.doi.org/10.1016/j.envres.2021.111543","http://dx.doi.org/10.1016/j.envres.2021.111543")</f>
        <v/>
      </c>
      <c r="BI305" t="inlineStr">
        <is>
          <t>JUN 2021</t>
        </is>
      </c>
      <c r="BJ305" t="n">
        <v>10</v>
      </c>
      <c r="BK305" t="inlineStr">
        <is>
          <t>Environmental Sciences; Public, Environmental &amp; Occupational Health</t>
        </is>
      </c>
      <c r="BL305" t="inlineStr">
        <is>
          <t>Science Citation Index Expanded (SCI-EXPANDED)</t>
        </is>
      </c>
      <c r="BM305" t="inlineStr">
        <is>
          <t>Environmental Sciences &amp; Ecology; Public, Environmental &amp; Occupational Health</t>
        </is>
      </c>
      <c r="BN305" t="inlineStr">
        <is>
          <t>WC0ET</t>
        </is>
      </c>
      <c r="BO305" t="n">
        <v>34157273</v>
      </c>
      <c r="BP305" t="inlineStr">
        <is>
          <t>Green Submitted</t>
        </is>
      </c>
      <c r="BS305" t="inlineStr">
        <is>
          <t>2023-10-26</t>
        </is>
      </c>
      <c r="BT305" t="inlineStr">
        <is>
          <t>WOS:000703937500011</t>
        </is>
      </c>
      <c r="BU305">
        <f>HYPERLINK("https%3A%2F%2Fwww.webofscience.com%2Fwos%2Fwoscc%2Ffull-record%2FWOS:000703937500011","View Full Record in Web of Science")</f>
        <v/>
      </c>
    </row>
    <row r="306">
      <c r="A306" t="inlineStr">
        <is>
          <t>J</t>
        </is>
      </c>
      <c r="B306" t="inlineStr">
        <is>
          <t>Anghel, I; Cioara, T; Moldovan, D; Antal, M; Pop, CD; Salomie, I; Pop, CB; Chifu, VR</t>
        </is>
      </c>
      <c r="F306" t="inlineStr">
        <is>
          <t>Anghel, Ionut; Cioara, Tudor; Moldovan, Dorin; Antal, Marcel; Pop, Claudia Daniela; Salomie, Ioan; Pop, Cristina Bianca; Chifu, Viorica Rozina</t>
        </is>
      </c>
      <c r="J306" t="inlineStr">
        <is>
          <t>INTERNATIONAL JOURNAL OF ENVIRONMENTAL RESEARCH AND PUBLIC HEALTH</t>
        </is>
      </c>
      <c r="M306" t="inlineStr">
        <is>
          <t>English</t>
        </is>
      </c>
      <c r="N306" t="inlineStr">
        <is>
          <t>Article</t>
        </is>
      </c>
      <c r="T306" t="inlineStr">
        <is>
          <t>Smart Environments and Social Robots for Age-Friendly Integrated Care Services</t>
        </is>
      </c>
      <c r="U306" t="inlineStr">
        <is>
          <t>social robots; ambient assisted living; machine learning; older adults care; daily life activities monitoring; technology limitation and acceptance; care services models</t>
        </is>
      </c>
      <c r="V306" t="inlineStr">
        <is>
          <t>OLDER-ADULTS; HUMANOID ROBOT; SYSTEM; DEMENTIA; PEOPLE; HEALTH; ACCEPTANCE; SENSORS; HOMES; SLEEP</t>
        </is>
      </c>
      <c r="W306" t="inlineStr">
        <is>
          <t>The world is facing major societal challenges because of an aging population that is putting increasing pressure on the sustainability of care. While demand for care and social services is steadily increasing, the supply is constrained by the decreasing workforce. The development of smart, physical, social and age-friendly environments is identified by World Health Organization (WHO) as a key intervention point for enabling older adults, enabling them to remain as much possible in their residences, delay institutionalization, and ultimately, improve quality of life. In this study, we survey smart environments, machine learning and robot assistive technologies that can offer support for the independent living of older adults and provide age-friendly care services. We describe two examples of integrated care services that are using assistive technologies in innovative ways to assess and deliver of timely interventions for polypharmacy management and for social and cognitive activity support in older adults. We describe the architectural views of these services, focusing on details about technology usage, end-user interaction flows and data models that are developed or enhanced to achieve the envisioned objective of healthier, safer, more independent and socially connected older people.</t>
        </is>
      </c>
      <c r="X306" t="inlineStr">
        <is>
          <t>[Anghel, Ionut; Cioara, Tudor; Moldovan, Dorin; Antal, Marcel; Pop, Claudia Daniela; Salomie, Ioan; Pop, Cristina Bianca; Chifu, Viorica Rozina] Tech Univ Cluj Napoca, Comp Sci Dept, Memorandumului 28, Cluj Napoca 400114, Romania</t>
        </is>
      </c>
      <c r="Y306" t="inlineStr">
        <is>
          <t>Technical University of Cluj Napoca</t>
        </is>
      </c>
      <c r="Z306" t="inlineStr">
        <is>
          <t>Cioara, T (corresponding author), Tech Univ Cluj Napoca, Comp Sci Dept, Memorandumului 28, Cluj Napoca 400114, Romania.</t>
        </is>
      </c>
      <c r="AA306" t="inlineStr">
        <is>
          <t>ionut.anghel@cs.utcluj.ro; tudor.cioara@cs.utcluj.ro; dorin.moldovan@cs.utcluj.ro; marcel.antal@cs.utcluj.ro; claudia.pop@cs.utcluj.ro; ioan.salomie@cs.utcluj.ro; cristina.pop@cs.utcluj.ro; viorica.chifu@cs.utcluj.ro</t>
        </is>
      </c>
      <c r="AB306" t="inlineStr">
        <is>
          <t>Moldovan, Dorin/U-6522-2019; Antal, Claudia Daniela/Y-1475-2018; Pop, Cristina Bianca/AAP-1975-2021</t>
        </is>
      </c>
      <c r="AC306" t="inlineStr">
        <is>
          <t>Moldovan, Dorin/0000-0002-7559-3862; Antal, Claudia Daniela/0000-0002-4886-3572; Pop, Cristina Bianca/0000-0002-3194-080X; Anghel, Ionut/0000-0001-6166-5266; Cioara, Tudor/0000-0003-1177-5795; chifu, viorica rozina/0000-0002-5239-9186</t>
        </is>
      </c>
      <c r="AD306" t="inlineStr">
        <is>
          <t>Romanian National Authority for Scientific Research and Innovation, CCCDI-UEFISCDI; European Union's Horizon 2020 research and innovation program within PNCDI III [AAL59/2018 ReMIND, AAL159/2020 H2HCare, AAL162/2020 ReMember-Me]; AAL Program</t>
        </is>
      </c>
      <c r="AE306" t="inlineStr">
        <is>
          <t>Romanian National Authority for Scientific Research and Innovation, CCCDI-UEFISCDI(Consiliul National al Cercetarii Stiintifice (CNCS)Unitatea Executiva pentru Finantarea Invatamantului Superior, a Cercetarii, Dezvoltarii si Inovarii (UEFISCDI)); European Union's Horizon 2020 research and innovation program within PNCDI III; AAL Program</t>
        </is>
      </c>
      <c r="AF306" t="inlineStr">
        <is>
          <t>This research was funded by the Romanian National Authority for Scientific Research and Innovation, CCCDI-UEFISCDI and of the AAL Program with co-funding from the European Union's Horizon 2020 research and innovation program Grant Number AAL59/2018 ReMIND, AAL159/2020 H2HCare and AAL162/2020 ReMember-Me within PNCDI III.</t>
        </is>
      </c>
      <c r="AH306" t="n">
        <v>129</v>
      </c>
      <c r="AI306" t="n">
        <v>21</v>
      </c>
      <c r="AJ306" t="n">
        <v>21</v>
      </c>
      <c r="AK306" t="n">
        <v>12</v>
      </c>
      <c r="AL306" t="n">
        <v>52</v>
      </c>
      <c r="AM306" t="inlineStr">
        <is>
          <t>MDPI</t>
        </is>
      </c>
      <c r="AN306" t="inlineStr">
        <is>
          <t>BASEL</t>
        </is>
      </c>
      <c r="AO306" t="inlineStr">
        <is>
          <t>ST ALBAN-ANLAGE 66, CH-4052 BASEL, SWITZERLAND</t>
        </is>
      </c>
      <c r="AQ306" t="inlineStr">
        <is>
          <t>1660-4601</t>
        </is>
      </c>
      <c r="AS306" t="inlineStr">
        <is>
          <t>INT J ENV RES PUB HE</t>
        </is>
      </c>
      <c r="AT306" t="inlineStr">
        <is>
          <t>Int. J. Environ. Res. Public Health</t>
        </is>
      </c>
      <c r="AU306" t="inlineStr">
        <is>
          <t>JUN</t>
        </is>
      </c>
      <c r="AV306" t="n">
        <v>2020</v>
      </c>
      <c r="AW306" t="n">
        <v>17</v>
      </c>
      <c r="AX306" t="n">
        <v>11</v>
      </c>
      <c r="BE306" t="n">
        <v>3801</v>
      </c>
      <c r="BF306" t="inlineStr">
        <is>
          <t>10.3390/ijerph17113801</t>
        </is>
      </c>
      <c r="BG306">
        <f>HYPERLINK("http://dx.doi.org/10.3390/ijerph17113801","http://dx.doi.org/10.3390/ijerph17113801")</f>
        <v/>
      </c>
      <c r="BJ306" t="n">
        <v>31</v>
      </c>
      <c r="BK306" t="inlineStr">
        <is>
          <t>Environmental Sciences; Public, Environmental &amp; Occupational Health</t>
        </is>
      </c>
      <c r="BL306" t="inlineStr">
        <is>
          <t>Science Citation Index Expanded (SCI-EXPANDED); Social Science Citation Index (SSCI)</t>
        </is>
      </c>
      <c r="BM306" t="inlineStr">
        <is>
          <t>Environmental Sciences &amp; Ecology; Public, Environmental &amp; Occupational Health</t>
        </is>
      </c>
      <c r="BN306" t="inlineStr">
        <is>
          <t>MB5FY</t>
        </is>
      </c>
      <c r="BO306" t="n">
        <v>32471108</v>
      </c>
      <c r="BP306" t="inlineStr">
        <is>
          <t>gold, Green Submitted, Green Published</t>
        </is>
      </c>
      <c r="BS306" t="inlineStr">
        <is>
          <t>2023-10-26</t>
        </is>
      </c>
      <c r="BT306" t="inlineStr">
        <is>
          <t>WOS:000542629600054</t>
        </is>
      </c>
      <c r="BU306">
        <f>HYPERLINK("https%3A%2F%2Fwww.webofscience.com%2Fwos%2Fwoscc%2Ffull-record%2FWOS:000542629600054","View Full Record in Web of Science")</f>
        <v/>
      </c>
    </row>
    <row r="307">
      <c r="A307" t="inlineStr">
        <is>
          <t>J</t>
        </is>
      </c>
      <c r="B307" t="inlineStr">
        <is>
          <t>Lee, B; Hwang, S; Kim, H</t>
        </is>
      </c>
      <c r="F307" t="inlineStr">
        <is>
          <t>Lee, Bogyeong; Hwang, Sungjoo; Kim, Hyunsoo</t>
        </is>
      </c>
      <c r="J307" t="inlineStr">
        <is>
          <t>INTERNATIONAL JOURNAL OF ENVIRONMENTAL RESEARCH AND PUBLIC HEALTH</t>
        </is>
      </c>
      <c r="M307" t="inlineStr">
        <is>
          <t>English</t>
        </is>
      </c>
      <c r="N307" t="inlineStr">
        <is>
          <t>Article</t>
        </is>
      </c>
      <c r="T307" t="inlineStr">
        <is>
          <t>The Feasibility of Information-Entropy-Based Behavioral Analysis for Detecting Environmental Barriers</t>
        </is>
      </c>
      <c r="U307" t="inlineStr">
        <is>
          <t>walkability; environmental barrier; inertial measurement unit (imu); information entropy; wearable sensing; built environment</t>
        </is>
      </c>
      <c r="V307" t="inlineStr">
        <is>
          <t>BUILT ENVIRONMENT; PHYSICAL-ACTIVITY; PERCEIVED BARRIERS; OLDER-ADULTS; WALKING; WALKABILITY; PEOPLE; FEATURES; HEALTH; RISK</t>
        </is>
      </c>
      <c r="W307" t="inlineStr">
        <is>
          <t>The enhancement of physical activity is highly correlated with the conditions of the built environment. Walking is considered to be a fundamental daily physical activity, which requires an appropriate environment. Therefore, the barriers of the built environment should be identified and addressed. Barriers can act as external stimuli for pedestrians, so pedestrians may diversely respond to them. Based on this consideration, this study examines the feasibility of information-entropy-based behavioral analysis for the detection of environmental barriers. The physical responses of pedestrians were collected using an inertial measurement unit (IMU) sensor in a smartphone. After the acquired data were converted to behavioral probability distributions, the information entropy of each grid cell was calculated. The grid cells whereby the participants indicated that environmental barriers were present yielded relatively high information entropy values. The findings of this study will facilitate the design of more pedestrian-friendly environments and the development of diverse approaches that utilize citizens for monitoring the built environment.</t>
        </is>
      </c>
      <c r="X307" t="inlineStr">
        <is>
          <t>[Lee, Bogyeong; Kim, Hyunsoo] Dankook Univ, Dept Architectural Engn, 152 Jukjeon Ro, Yongin 16890, South Korea; [Hwang, Sungjoo] Ewha Womans Univ, Dept Architectural &amp; Urban Syst Engn, 52 Ewhayeodae Gil, Seoul 03760, South Korea</t>
        </is>
      </c>
      <c r="Y307" t="inlineStr">
        <is>
          <t>Dankook University; Ewha Womans University</t>
        </is>
      </c>
      <c r="Z307" t="inlineStr">
        <is>
          <t>Kim, H (corresponding author), Dankook Univ, Dept Architectural Engn, 152 Jukjeon Ro, Yongin 16890, South Korea.</t>
        </is>
      </c>
      <c r="AA307" t="inlineStr">
        <is>
          <t>bglee_@dankook.ac.kr; hwangsj@ewha.ac.kr; hkim13@dankook.ac.kr</t>
        </is>
      </c>
      <c r="AB307" t="inlineStr">
        <is>
          <t>Kim, Hyunsoo/HZM-3382-2023</t>
        </is>
      </c>
      <c r="AC307" t="inlineStr">
        <is>
          <t>Hwang, Sungjoo/0000-0001-5387-6274; Lee, Bogyeong/0000-0002-6620-7851; Kim, Hyunsoo/0000-0002-7263-3128</t>
        </is>
      </c>
      <c r="AD307" t="inlineStr">
        <is>
          <t>'R&amp;D Program for Forest Science Technology' by Korea Forest Service (Korea Forestry Promotion Institute) [2021355C10-2123-AC03]; Korea Forestry Promotion Institute (KOFPI) [2021355C10-2123-AC03] Funding Source: Korea Institute of Science &amp; Technology Information (KISTI), National Science &amp; Technology Information Service (NTIS)</t>
        </is>
      </c>
      <c r="AE307" t="inlineStr">
        <is>
          <t>'R&amp;D Program for Forest Science Technology' by Korea Forest Service (Korea Forestry Promotion Institute); Korea Forestry Promotion Institute (KOFPI)(Korea Forestry Promotion Institute (KOFPI))</t>
        </is>
      </c>
      <c r="AF307" t="inlineStr">
        <is>
          <t>This study was carried out with the support of `R&amp;D Program for Forest Science Technology (Project No. 2021355C10-2123-AC03)' provided by Korea Forest Service (Korea Forestry Promotion Institute).</t>
        </is>
      </c>
      <c r="AH307" t="n">
        <v>56</v>
      </c>
      <c r="AI307" t="n">
        <v>2</v>
      </c>
      <c r="AJ307" t="n">
        <v>2</v>
      </c>
      <c r="AK307" t="n">
        <v>2</v>
      </c>
      <c r="AL307" t="n">
        <v>23</v>
      </c>
      <c r="AM307" t="inlineStr">
        <is>
          <t>MDPI</t>
        </is>
      </c>
      <c r="AN307" t="inlineStr">
        <is>
          <t>BASEL</t>
        </is>
      </c>
      <c r="AO307" t="inlineStr">
        <is>
          <t>ST ALBAN-ANLAGE 66, CH-4052 BASEL, SWITZERLAND</t>
        </is>
      </c>
      <c r="AQ307" t="inlineStr">
        <is>
          <t>1660-4601</t>
        </is>
      </c>
      <c r="AS307" t="inlineStr">
        <is>
          <t>INT J ENV RES PUB HE</t>
        </is>
      </c>
      <c r="AT307" t="inlineStr">
        <is>
          <t>Int. J. Environ. Res. Public Health</t>
        </is>
      </c>
      <c r="AU307" t="inlineStr">
        <is>
          <t>NOV</t>
        </is>
      </c>
      <c r="AV307" t="n">
        <v>2021</v>
      </c>
      <c r="AW307" t="n">
        <v>18</v>
      </c>
      <c r="AX307" t="n">
        <v>21</v>
      </c>
      <c r="BE307" t="n">
        <v>11727</v>
      </c>
      <c r="BF307" t="inlineStr">
        <is>
          <t>10.3390/ijerph182111727</t>
        </is>
      </c>
      <c r="BG307">
        <f>HYPERLINK("http://dx.doi.org/10.3390/ijerph182111727","http://dx.doi.org/10.3390/ijerph182111727")</f>
        <v/>
      </c>
      <c r="BJ307" t="n">
        <v>14</v>
      </c>
      <c r="BK307" t="inlineStr">
        <is>
          <t>Environmental Sciences; Public, Environmental &amp; Occupational Health</t>
        </is>
      </c>
      <c r="BL307" t="inlineStr">
        <is>
          <t>Science Citation Index Expanded (SCI-EXPANDED); Social Science Citation Index (SSCI)</t>
        </is>
      </c>
      <c r="BM307" t="inlineStr">
        <is>
          <t>Environmental Sciences &amp; Ecology; Public, Environmental &amp; Occupational Health</t>
        </is>
      </c>
      <c r="BN307" t="inlineStr">
        <is>
          <t>XJ7DM</t>
        </is>
      </c>
      <c r="BO307" t="n">
        <v>34770241</v>
      </c>
      <c r="BP307" t="inlineStr">
        <is>
          <t>Green Published, gold</t>
        </is>
      </c>
      <c r="BS307" t="inlineStr">
        <is>
          <t>2023-10-26</t>
        </is>
      </c>
      <c r="BT307" t="inlineStr">
        <is>
          <t>WOS:000726943700001</t>
        </is>
      </c>
      <c r="BU307">
        <f>HYPERLINK("https%3A%2F%2Fwww.webofscience.com%2Fwos%2Fwoscc%2Ffull-record%2FWOS:000726943700001","View Full Record in Web of Science")</f>
        <v/>
      </c>
    </row>
    <row r="308">
      <c r="A308" t="inlineStr">
        <is>
          <t>J</t>
        </is>
      </c>
      <c r="B308" t="inlineStr">
        <is>
          <t>Yuan, JH; Farnham, C; Emura, K</t>
        </is>
      </c>
      <c r="F308" t="inlineStr">
        <is>
          <t>Yuan, Jihui; Farnham, Craig; Emura, Kazuo</t>
        </is>
      </c>
      <c r="J308" t="inlineStr">
        <is>
          <t>URBAN CLIMATE</t>
        </is>
      </c>
      <c r="M308" t="inlineStr">
        <is>
          <t>English</t>
        </is>
      </c>
      <c r="N308" t="inlineStr">
        <is>
          <t>Article</t>
        </is>
      </c>
      <c r="T308" t="inlineStr">
        <is>
          <t>Effect of different reflection directional characteristics of building facades on outdoor thermal environment and indoor heat loads by CFD analysis</t>
        </is>
      </c>
      <c r="U308" t="inlineStr">
        <is>
          <t>Urban heat island; Different reflection directional characteristics; Building facade; Outdoor thermal environment; Indoor heat loads; CFD analysis</t>
        </is>
      </c>
      <c r="V308" t="inlineStr">
        <is>
          <t>ISLAND MITIGATION; HUMAN COMFORT; URBAN; CLIMATE; SIMULATION; UNIVERSAL; COATINGS; ALBEDO; INDEX</t>
        </is>
      </c>
      <c r="W308" t="inlineStr">
        <is>
          <t>Diffuse highly reflective (DHR) and specular reflective (SR) materials are widely used in current building facades for urban heat island (UHI) mitigation. Recently, retro-reflective (RR) materials have been studied to replace DHR and SR materials for possible application of building facades. However, previous experimental studies have shown that general RR materials will produce negative downward reflections to the ground at high sun incidence (above 60-degrees). This study uses a Computational Fluid Dynamics (CFD) analysis method to predict the outdoor thermal environment: air temperature (Ta), mean radiation temperature (MRT), wet bulb globe temperature (WBGT) and new standard effective temperature (SET*) under three different building facades (DHR, SR and RR). Additionally, for detecting the negative downward reflection intensity of three different facades, the solar radiation reflected by facades and the heat flux to nearby ground are evaluated. Finally, to examine the effect of three different facades on the heat load of airconditioning, the heat flow from building facades to interior are evaluated. The results show that RR and SR building facades are the most effective in decreasing MRT, and have smaller heat flow from facade surfaces to the interior for decreasing the heat load of air-conditioning, however the RR and SR building facades yield more negative solar radiation and heat flux to the ground.</t>
        </is>
      </c>
      <c r="X308" t="inlineStr">
        <is>
          <t>[Yuan, Jihui] Toyohashi Univ Technol, Grad Sch Eng, Dept Architecture &amp; Civil Eng, Toyohashi, Aichi 4418580, Japan; [Farnham, Craig; Emura, Kazuo] Osaka City Univ, Grad Sch Human Life Sci, Dept Housing &amp; Environm Design, Osaka 5588585, Japan</t>
        </is>
      </c>
      <c r="Y308" t="inlineStr">
        <is>
          <t>Toyohashi University of Technology; Osaka Metropolitan University</t>
        </is>
      </c>
      <c r="Z308" t="inlineStr">
        <is>
          <t>Yuan, JH (corresponding author), Toyohashi Univ Technol, Grad Sch Eng, Dept Architecture &amp; Civil Eng, Toyohashi, Aichi 4418580, Japan.</t>
        </is>
      </c>
      <c r="AA308" t="inlineStr">
        <is>
          <t>yuan@ace.tut.ac.jp</t>
        </is>
      </c>
      <c r="AB308" t="inlineStr">
        <is>
          <t>YUAN, JIHUI/AEK-4714-2022; Yuan, Jihui/AFQ-1509-2022</t>
        </is>
      </c>
      <c r="AC308" t="inlineStr">
        <is>
          <t>YUAN, JIHUI/0000-0002-1608-9973; Yuan, Jihui/0000-0002-1608-9973; Farnham, Craig/0000-0002-8822-891X</t>
        </is>
      </c>
      <c r="AD308" t="inlineStr">
        <is>
          <t>Japan Science and Technology Agency [JPMJTM20EE]; Education and Research Activation Foundation (Youth Studies) of Toyohashi University of Technology</t>
        </is>
      </c>
      <c r="AE308" t="inlineStr">
        <is>
          <t>Japan Science and Technology Agency(Japan Science &amp; Technology Agency (JST)); Education and Research Activation Foundation (Youth Studies) of Toyohashi University of Technology</t>
        </is>
      </c>
      <c r="AF308" t="inlineStr">
        <is>
          <t>The authors are sincerely grateful to the Japan Science and Technology Agency (Grant number: JPMJTM20EE)  and Education and Research Activation Foundation (Youth Studies) of Toyohashi University of Technology for their financial support.</t>
        </is>
      </c>
      <c r="AH308" t="n">
        <v>40</v>
      </c>
      <c r="AI308" t="n">
        <v>9</v>
      </c>
      <c r="AJ308" t="n">
        <v>9</v>
      </c>
      <c r="AK308" t="n">
        <v>2</v>
      </c>
      <c r="AL308" t="n">
        <v>16</v>
      </c>
      <c r="AM308" t="inlineStr">
        <is>
          <t>ELSEVIER</t>
        </is>
      </c>
      <c r="AN308" t="inlineStr">
        <is>
          <t>AMSTERDAM</t>
        </is>
      </c>
      <c r="AO308" t="inlineStr">
        <is>
          <t>RADARWEG 29, 1043 NX AMSTERDAM, NETHERLANDS</t>
        </is>
      </c>
      <c r="AP308" t="inlineStr">
        <is>
          <t>2212-0955</t>
        </is>
      </c>
      <c r="AS308" t="inlineStr">
        <is>
          <t>URBAN CLIM</t>
        </is>
      </c>
      <c r="AT308" t="inlineStr">
        <is>
          <t>Urban CLim.</t>
        </is>
      </c>
      <c r="AU308" t="inlineStr">
        <is>
          <t>JUL</t>
        </is>
      </c>
      <c r="AV308" t="n">
        <v>2021</v>
      </c>
      <c r="AW308" t="n">
        <v>38</v>
      </c>
      <c r="BE308" t="n">
        <v>100875</v>
      </c>
      <c r="BF308" t="inlineStr">
        <is>
          <t>10.1016/j.uclim.2021.100875</t>
        </is>
      </c>
      <c r="BG308">
        <f>HYPERLINK("http://dx.doi.org/10.1016/j.uclim.2021.100875","http://dx.doi.org/10.1016/j.uclim.2021.100875")</f>
        <v/>
      </c>
      <c r="BI308" t="inlineStr">
        <is>
          <t>MAY 2021</t>
        </is>
      </c>
      <c r="BJ308" t="n">
        <v>14</v>
      </c>
      <c r="BK308" t="inlineStr">
        <is>
          <t>Environmental Sciences; Meteorology &amp; Atmospheric Sciences</t>
        </is>
      </c>
      <c r="BL308" t="inlineStr">
        <is>
          <t>Science Citation Index Expanded (SCI-EXPANDED)</t>
        </is>
      </c>
      <c r="BM308" t="inlineStr">
        <is>
          <t>Environmental Sciences &amp; Ecology; Meteorology &amp; Atmospheric Sciences</t>
        </is>
      </c>
      <c r="BN308" t="inlineStr">
        <is>
          <t>TS0JA</t>
        </is>
      </c>
      <c r="BP308" t="inlineStr">
        <is>
          <t>hybrid</t>
        </is>
      </c>
      <c r="BS308" t="inlineStr">
        <is>
          <t>2023-10-26</t>
        </is>
      </c>
      <c r="BT308" t="inlineStr">
        <is>
          <t>WOS:000679341600006</t>
        </is>
      </c>
      <c r="BU308">
        <f>HYPERLINK("https%3A%2F%2Fwww.webofscience.com%2Fwos%2Fwoscc%2Ffull-record%2FWOS:000679341600006","View Full Record in Web of Science")</f>
        <v/>
      </c>
    </row>
    <row r="309">
      <c r="A309" t="inlineStr">
        <is>
          <t>J</t>
        </is>
      </c>
      <c r="B309" t="inlineStr">
        <is>
          <t>Li, XX; Niksirat, KS; Chen, SS; Weng, DD; Sarcar, S; Ren, XS</t>
        </is>
      </c>
      <c r="F309" t="inlineStr">
        <is>
          <t>Li, Xiaoxuan; Niksirat, Kavous Salehzadeh; Chen, Shanshan; Weng, Dongdong; Sarcar, Sayan; Ren, Xiangshi</t>
        </is>
      </c>
      <c r="J309" t="inlineStr">
        <is>
          <t>SUSTAINABILITY</t>
        </is>
      </c>
      <c r="M309" t="inlineStr">
        <is>
          <t>English</t>
        </is>
      </c>
      <c r="N309" t="inlineStr">
        <is>
          <t>Article</t>
        </is>
      </c>
      <c r="T309" t="inlineStr">
        <is>
          <t>The Impact of a Multitasking-Based Virtual Reality Motion Video Game on the Cognitive and Physical Abilities of Older Adults</t>
        </is>
      </c>
      <c r="U309" t="inlineStr">
        <is>
          <t>cognitive enhancement; motion video game; multitasking; older adults; physical activity; sustainable VR; working memory; attention; reasoning; physical balance</t>
        </is>
      </c>
      <c r="V309" t="inlineStr">
        <is>
          <t>SELF-DETERMINATION; DYNAMIC BALANCE; WORKING-MEMORY; PERFORMANCE; ATTENTION; EXERCISE; IMPROVES</t>
        </is>
      </c>
      <c r="W309" t="inlineStr">
        <is>
          <t>This study demonstrates how playing a well-designed multitasking motion video game in a virtual reality (VR) environment can positively impact the cognitive and physical health of older players. We developed a video game that combines cognitive and physical training in a VR environment. The impact of playing the game was measured through a four-week longitudinal experiment. Twenty healthy older adults were randomly assigned to either an intervention group (i.e., game training) or a control group (i.e., no contact). Participants played three 45-min sessions per week completing cognitive tests for attention, working memory, reasoning and a test for physical balance before and after the intervention. Results showed that compared to the control group, the game group showed significant improvements in working memory and a potential for enhancing reasoning and balance ability. Furthermore, while the older adults enjoyed playing the video game, ability enhancements were associated with their intrinsic motivation to play. Overall, cognitive training with multitasking VR motion video games has positive impacts on the cognitive and physical health of older adults.</t>
        </is>
      </c>
      <c r="X309" t="inlineStr">
        <is>
          <t>[Li, Xiaoxuan; Niksirat, Kavous Salehzadeh; Sarcar, Sayan; Ren, Xiangshi] Kochi Univ Technol, Ctr Human Engaged Comp, Kochi 7828502, Japan; [Niksirat, Kavous Salehzadeh] Univ Lausanne, Dept Informat Syst, CH-1015 Lausanne, Switzerland; [Chen, Shanshan; Weng, Dongdong] Beijing Inst Technol, Sch Optoelect, Beijing 100081, Peoples R China; [Sarcar, Sayan] Univ Tsukuba, Fac Lib Informat &amp; Media Sci, Tsukuba, Ibaraki 3058550, Japan</t>
        </is>
      </c>
      <c r="Y309" t="inlineStr">
        <is>
          <t>Kochi University Technology; University of Lausanne; Beijing Institute of Technology; University of Tsukuba</t>
        </is>
      </c>
      <c r="Z309" t="inlineStr">
        <is>
          <t>Ren, XS (corresponding author), Kochi Univ Technol, Ctr Human Engaged Comp, Kochi 7828502, Japan.</t>
        </is>
      </c>
      <c r="AA309" t="inlineStr">
        <is>
          <t>eloisewhirl@gmail.com; kavous.salehzadehniksirat@unil.ch; shanchen0923@gmail.com; crgj@bit.edu.cn; sayans@slis.tsukuba.ac.jp; ren.xiangshi@kochi-tech.ac.jp</t>
        </is>
      </c>
      <c r="AB309" t="inlineStr">
        <is>
          <t>Salehzadeh Niksirat, Kavous/JJE-7727-2023; Chen, Shanshan/ACO-4807-2022</t>
        </is>
      </c>
      <c r="AC309" t="inlineStr">
        <is>
          <t>Salehzadeh Niksirat, Kavous/0000-0003-4438-3544; Chen, Shanshan/0000-0001-9723-2403; Sarcar, Sayan/0000-0001-5495-9119; Li, Xiaoxuan/0000-0003-4243-271X</t>
        </is>
      </c>
      <c r="AH309" t="n">
        <v>53</v>
      </c>
      <c r="AI309" t="n">
        <v>12</v>
      </c>
      <c r="AJ309" t="n">
        <v>12</v>
      </c>
      <c r="AK309" t="n">
        <v>6</v>
      </c>
      <c r="AL309" t="n">
        <v>44</v>
      </c>
      <c r="AM309" t="inlineStr">
        <is>
          <t>MDPI</t>
        </is>
      </c>
      <c r="AN309" t="inlineStr">
        <is>
          <t>BASEL</t>
        </is>
      </c>
      <c r="AO309" t="inlineStr">
        <is>
          <t>ST ALBAN-ANLAGE 66, CH-4052 BASEL, SWITZERLAND</t>
        </is>
      </c>
      <c r="AQ309" t="inlineStr">
        <is>
          <t>2071-1050</t>
        </is>
      </c>
      <c r="AS309" t="inlineStr">
        <is>
          <t>SUSTAINABILITY-BASEL</t>
        </is>
      </c>
      <c r="AT309" t="inlineStr">
        <is>
          <t>Sustainability</t>
        </is>
      </c>
      <c r="AU309" t="inlineStr">
        <is>
          <t>NOV</t>
        </is>
      </c>
      <c r="AV309" t="n">
        <v>2020</v>
      </c>
      <c r="AW309" t="n">
        <v>12</v>
      </c>
      <c r="AX309" t="n">
        <v>21</v>
      </c>
      <c r="BE309" t="n">
        <v>9106</v>
      </c>
      <c r="BF309" t="inlineStr">
        <is>
          <t>10.3390/su12219106</t>
        </is>
      </c>
      <c r="BG309">
        <f>HYPERLINK("http://dx.doi.org/10.3390/su12219106","http://dx.doi.org/10.3390/su12219106")</f>
        <v/>
      </c>
      <c r="BJ309" t="n">
        <v>14</v>
      </c>
      <c r="BK309" t="inlineStr">
        <is>
          <t>Green &amp; Sustainable Science &amp; Technology; Environmental Sciences; Environmental Studies</t>
        </is>
      </c>
      <c r="BL309" t="inlineStr">
        <is>
          <t>Science Citation Index Expanded (SCI-EXPANDED); Social Science Citation Index (SSCI)</t>
        </is>
      </c>
      <c r="BM309" t="inlineStr">
        <is>
          <t>Science &amp; Technology - Other Topics; Environmental Sciences &amp; Ecology</t>
        </is>
      </c>
      <c r="BN309" t="inlineStr">
        <is>
          <t>OR3XA</t>
        </is>
      </c>
      <c r="BP309" t="inlineStr">
        <is>
          <t>Green Published, gold</t>
        </is>
      </c>
      <c r="BS309" t="inlineStr">
        <is>
          <t>2023-10-26</t>
        </is>
      </c>
      <c r="BT309" t="inlineStr">
        <is>
          <t>WOS:000589406100001</t>
        </is>
      </c>
      <c r="BU309">
        <f>HYPERLINK("https%3A%2F%2Fwww.webofscience.com%2Fwos%2Fwoscc%2Ffull-record%2FWOS:000589406100001","View Full Record in Web of Science")</f>
        <v/>
      </c>
    </row>
    <row r="310">
      <c r="A310" t="inlineStr">
        <is>
          <t>J</t>
        </is>
      </c>
      <c r="B310" t="inlineStr">
        <is>
          <t>Grekousis, G; Pan, ZL; Liu, Y</t>
        </is>
      </c>
      <c r="F310" t="inlineStr">
        <is>
          <t>Grekousis, George; Pan, Zhuolin; Liu, Ye</t>
        </is>
      </c>
      <c r="J310" t="inlineStr">
        <is>
          <t>SUSTAINABILITY</t>
        </is>
      </c>
      <c r="M310" t="inlineStr">
        <is>
          <t>English</t>
        </is>
      </c>
      <c r="N310" t="inlineStr">
        <is>
          <t>Article</t>
        </is>
      </c>
      <c r="T310" t="inlineStr">
        <is>
          <t>Do Neighborhoods with Highly Diverse Built Environment Exhibit Different Socio-Economic Profiles as Well? Evidence from Shanghai</t>
        </is>
      </c>
      <c r="U310" t="inlineStr">
        <is>
          <t>built environment; land use mix; greenness; socio-economics; residential segregation; Shanghai</t>
        </is>
      </c>
      <c r="V310" t="inlineStr">
        <is>
          <t>LAND-USE MIX; RESIDENTIAL SEGREGATION; SOCIOSPATIAL DIFFERENTIATION; PHYSICAL-ACTIVITY; SOCIAL EQUITY; HUKOU SYSTEM; GREEN SPACE; URBAN CHINA; PARK ACCESS; MIGRATION</t>
        </is>
      </c>
      <c r="W310" t="inlineStr">
        <is>
          <t>The link between the built environment and residential segregation has long been of interest to the discussion for sustainable and socially resilient cities. However, direct assessments on how extensively diverse built environments affect the social landscapes of cities at the neighborhood level are rare. Here, we investigate whether neighborhoods with a diverse built environment also exhibit different socio-economic profiles. Through a geodemographic approach, we scrutinize the socio-economic composition of Shanghai's neighborhoods. We statistically compare the top 10% (very high values) to the bottom 10% (very low values) of the following built environment variables: density, land use mix, land use balance, and greenness. We show that high-density areas have three times the percentage of divorced residents than low-density areas. Neighborhoods with a high level of greenness have median values of 30% more residents aged between 25-44 years old and five times the percentage of houses between 60 to 119 m(2) than low-greenness areas. In high land-use mix areas, the share of people that live on a pension is 30% more than the low land-use mix areas. The findings of this study can be used to improve the designs of modern, sustainable cities at the neighborhood level, significantly improving quality of life.</t>
        </is>
      </c>
      <c r="X310" t="inlineStr">
        <is>
          <t>[Grekousis, George; Pan, Zhuolin; Liu, Ye] Sun Yat Sen Univ, Dept Urban &amp; Reg Planning, Sch Geog &amp; Planning, Guangzhou 510275, Peoples R China; [Grekousis, George; Pan, Zhuolin; Liu, Ye] Sun Yat Sen Univ, Guangdong Key Lab Urbanizat &amp; Geosimulat, Guangzhou 510275, Peoples R China</t>
        </is>
      </c>
      <c r="Y310" t="inlineStr">
        <is>
          <t>Sun Yat Sen University; Sun Yat Sen University</t>
        </is>
      </c>
      <c r="Z310" t="inlineStr">
        <is>
          <t>Liu, Y (corresponding author), Sun Yat Sen Univ, Dept Urban &amp; Reg Planning, Sch Geog &amp; Planning, Guangzhou 510275, Peoples R China.;Liu, Y (corresponding author), Sun Yat Sen Univ, Guangdong Key Lab Urbanizat &amp; Geosimulat, Guangzhou 510275, Peoples R China.</t>
        </is>
      </c>
      <c r="AA310" t="inlineStr">
        <is>
          <t>graikousis@mail.sysu.edu.cn; panzhl6@mail2.sysu.edu.cn; liuye25@mail.sysu.edu.cn</t>
        </is>
      </c>
      <c r="AB310" t="inlineStr">
        <is>
          <t>Liu, Ye/J-2787-2019</t>
        </is>
      </c>
      <c r="AC310" t="inlineStr">
        <is>
          <t>Liu, Ye/0000-0003-2511-5413</t>
        </is>
      </c>
      <c r="AD310" t="inlineStr">
        <is>
          <t>Fundamental Research Funds for the Central Universities [20lgzd10]; National Natural Science Foundation of China [41871140]</t>
        </is>
      </c>
      <c r="AE310" t="inlineStr">
        <is>
          <t>Fundamental Research Funds for the Central Universities(Fundamental Research Funds for the Central Universities); National Natural Science Foundation of China(National Natural Science Foundation of China (NSFC))</t>
        </is>
      </c>
      <c r="AF310" t="inlineStr">
        <is>
          <t>This research was funded by Fundamental Research Funds for the Central Universities (No. 20lgzd10), and the National Natural Science Foundation of China, grant number 41871140.</t>
        </is>
      </c>
      <c r="AH310" t="n">
        <v>69</v>
      </c>
      <c r="AI310" t="n">
        <v>5</v>
      </c>
      <c r="AJ310" t="n">
        <v>5</v>
      </c>
      <c r="AK310" t="n">
        <v>7</v>
      </c>
      <c r="AL310" t="n">
        <v>30</v>
      </c>
      <c r="AM310" t="inlineStr">
        <is>
          <t>MDPI</t>
        </is>
      </c>
      <c r="AN310" t="inlineStr">
        <is>
          <t>BASEL</t>
        </is>
      </c>
      <c r="AO310" t="inlineStr">
        <is>
          <t>ST ALBAN-ANLAGE 66, CH-4052 BASEL, SWITZERLAND</t>
        </is>
      </c>
      <c r="AQ310" t="inlineStr">
        <is>
          <t>2071-1050</t>
        </is>
      </c>
      <c r="AS310" t="inlineStr">
        <is>
          <t>SUSTAINABILITY-BASEL</t>
        </is>
      </c>
      <c r="AT310" t="inlineStr">
        <is>
          <t>Sustainability</t>
        </is>
      </c>
      <c r="AU310" t="inlineStr">
        <is>
          <t>JUL</t>
        </is>
      </c>
      <c r="AV310" t="n">
        <v>2021</v>
      </c>
      <c r="AW310" t="n">
        <v>13</v>
      </c>
      <c r="AX310" t="n">
        <v>14</v>
      </c>
      <c r="BE310" t="n">
        <v>7544</v>
      </c>
      <c r="BF310" t="inlineStr">
        <is>
          <t>10.3390/su13147544</t>
        </is>
      </c>
      <c r="BG310">
        <f>HYPERLINK("http://dx.doi.org/10.3390/su13147544","http://dx.doi.org/10.3390/su13147544")</f>
        <v/>
      </c>
      <c r="BJ310" t="n">
        <v>17</v>
      </c>
      <c r="BK310" t="inlineStr">
        <is>
          <t>Green &amp; Sustainable Science &amp; Technology; Environmental Sciences; Environmental Studies</t>
        </is>
      </c>
      <c r="BL310" t="inlineStr">
        <is>
          <t>Science Citation Index Expanded (SCI-EXPANDED); Social Science Citation Index (SSCI)</t>
        </is>
      </c>
      <c r="BM310" t="inlineStr">
        <is>
          <t>Science &amp; Technology - Other Topics; Environmental Sciences &amp; Ecology</t>
        </is>
      </c>
      <c r="BN310" t="inlineStr">
        <is>
          <t>TO8TT</t>
        </is>
      </c>
      <c r="BP310" t="inlineStr">
        <is>
          <t>gold</t>
        </is>
      </c>
      <c r="BS310" t="inlineStr">
        <is>
          <t>2023-10-26</t>
        </is>
      </c>
      <c r="BT310" t="inlineStr">
        <is>
          <t>WOS:000677177200001</t>
        </is>
      </c>
      <c r="BU310">
        <f>HYPERLINK("https%3A%2F%2Fwww.webofscience.com%2Fwos%2Fwoscc%2Ffull-record%2FWOS:000677177200001","View Full Record in Web of Science")</f>
        <v/>
      </c>
    </row>
    <row r="311">
      <c r="A311" t="inlineStr">
        <is>
          <t>J</t>
        </is>
      </c>
      <c r="B311" t="inlineStr">
        <is>
          <t>Aguilar, AJ; de la Hoz-Torres, ML; Ruiz, DP; Martínez-Aires, MD</t>
        </is>
      </c>
      <c r="F311" t="inlineStr">
        <is>
          <t>Aguilar, Antonio J.; de la Hoz-Torres, Maria L.; Ruiz, Diego P.; Dolores Martinez-Aires, Ma</t>
        </is>
      </c>
      <c r="J311" t="inlineStr">
        <is>
          <t>INTERNATIONAL JOURNAL OF ENVIRONMENTAL RESEARCH AND PUBLIC HEALTH</t>
        </is>
      </c>
      <c r="M311" t="inlineStr">
        <is>
          <t>English</t>
        </is>
      </c>
      <c r="N311" t="inlineStr">
        <is>
          <t>Article</t>
        </is>
      </c>
      <c r="T311" t="inlineStr">
        <is>
          <t>Monitoring and Assessment of Indoor Environmental Conditions in Educational Building Using Building Information Modelling Methodology</t>
        </is>
      </c>
      <c r="U311" t="inlineStr">
        <is>
          <t>building information modelling; COVID-19; educational building; indoor environmental quality; sensor monitoring</t>
        </is>
      </c>
      <c r="V311" t="inlineStr">
        <is>
          <t>BIM-BASED FRAMEWORK; NATURAL VENTILATION; SCHOOL BUILDINGS; THERMAL COMFORT; QUALITY IEQ; PERFORMANCE; POLLUTANTS; HEALTH</t>
        </is>
      </c>
      <c r="W311" t="inlineStr">
        <is>
          <t>Managing indoor environmental quality (IEQ) is a challenge in educational buildings in the wake of the COVID-19 pandemic. Adequate indoor air quality is essential to ensure that indoor spaces are safe for students and teachers. In fact, poor IEQ can affect academic performance and student comfort. This study proposes a framework for integrating occupants' feedback into the building information modelling (BIM) methodology to assess indoor environmental conditions (thermal, acoustic and lighting) and the individual airborne virus transmission risk during teaching activities. The information contained in the parametric 3D BIM model and the algorithmic environment of Dynamo were used to develop the framework. The IEQ evaluation is based on sensor monitoring and a daily schedule, so the results show real problems of occupants' dissatisfaction. The output of the framework shows in which range the indoor environmental variables were (optimal, acceptable and unacceptable) and the probability of infection during each lecture class (whether or not 1% is exceeded). A case study was proposed to illustrate its application and validate it. The outcomes provide key information to support the decision-making process for managing IEQ and controlling individual airborne virus transmission risks. Long-term application could provide data that support the management of ventilation strategies and protocol redesign.</t>
        </is>
      </c>
      <c r="X311" t="inlineStr">
        <is>
          <t>[Aguilar, Antonio J.; Ruiz, Diego P.] Univ Granada, Dept Appl Phys, Av Severo Ochoa S-N, Granada 18071, Spain; [de la Hoz-Torres, Maria L.; Dolores Martinez-Aires, Ma] Univ Granada, Dept Bldg Construct, Av Severo Ochoa S-N, Granada 18071, Spain</t>
        </is>
      </c>
      <c r="Y311" t="inlineStr">
        <is>
          <t>University of Granada; University of Granada</t>
        </is>
      </c>
      <c r="Z311" t="inlineStr">
        <is>
          <t>de la Hoz-Torres, ML (corresponding author), Univ Granada, Dept Bldg Construct, Av Severo Ochoa S-N, Granada 18071, Spain.</t>
        </is>
      </c>
      <c r="AA311" t="inlineStr">
        <is>
          <t>mlhoz@ugr.es</t>
        </is>
      </c>
      <c r="AB311" t="inlineStr">
        <is>
          <t>Ruiz Padillo, Diego Pablo/C-2396-2012; Martinez-Aires, M.D./F-6783-2015</t>
        </is>
      </c>
      <c r="AC311" t="inlineStr">
        <is>
          <t>Ruiz Padillo, Diego Pablo/0000-0001-5559-7383; Aguilar, Antonio/0000-0001-5045-8560; de la Hoz, Maria Luisa/0000-0003-1657-1572; Martinez-Aires, M.D./0000-0002-9292-5048</t>
        </is>
      </c>
      <c r="AD311" t="inlineStr">
        <is>
          <t>Consejo General de la Arquitectura Tecnica (CGATE) (2018); State Research Agency (SRA) of Spain; European Regional Development Funds (ERDF) [PID2019-108761RB-I00]</t>
        </is>
      </c>
      <c r="AE311" t="inlineStr">
        <is>
          <t>Consejo General de la Arquitectura Tecnica (CGATE) (2018); State Research Agency (SRA) of Spain; European Regional Development Funds (ERDF)(European Union (EU))</t>
        </is>
      </c>
      <c r="AF311" t="inlineStr">
        <is>
          <t>This research was funded by the Consejo General de la Arquitectura Tecnica (CGATE) (2018) and the State Research Agency (SRA) of Spain and European Regional Development Funds (ERDF) under project PID2019-108761RB-I00.</t>
        </is>
      </c>
      <c r="AH311" t="n">
        <v>49</v>
      </c>
      <c r="AI311" t="n">
        <v>3</v>
      </c>
      <c r="AJ311" t="n">
        <v>3</v>
      </c>
      <c r="AK311" t="n">
        <v>4</v>
      </c>
      <c r="AL311" t="n">
        <v>8</v>
      </c>
      <c r="AM311" t="inlineStr">
        <is>
          <t>MDPI</t>
        </is>
      </c>
      <c r="AN311" t="inlineStr">
        <is>
          <t>BASEL</t>
        </is>
      </c>
      <c r="AO311" t="inlineStr">
        <is>
          <t>ST ALBAN-ANLAGE 66, CH-4052 BASEL, SWITZERLAND</t>
        </is>
      </c>
      <c r="AQ311" t="inlineStr">
        <is>
          <t>1660-4601</t>
        </is>
      </c>
      <c r="AS311" t="inlineStr">
        <is>
          <t>INT J ENV RES PUB HE</t>
        </is>
      </c>
      <c r="AT311" t="inlineStr">
        <is>
          <t>Int. J. Environ. Res. Public Health</t>
        </is>
      </c>
      <c r="AU311" t="inlineStr">
        <is>
          <t>NOV</t>
        </is>
      </c>
      <c r="AV311" t="n">
        <v>2022</v>
      </c>
      <c r="AW311" t="n">
        <v>19</v>
      </c>
      <c r="AX311" t="n">
        <v>21</v>
      </c>
      <c r="BE311" t="n">
        <v>13756</v>
      </c>
      <c r="BF311" t="inlineStr">
        <is>
          <t>10.3390/ijerph192113756</t>
        </is>
      </c>
      <c r="BG311">
        <f>HYPERLINK("http://dx.doi.org/10.3390/ijerph192113756","http://dx.doi.org/10.3390/ijerph192113756")</f>
        <v/>
      </c>
      <c r="BJ311" t="n">
        <v>21</v>
      </c>
      <c r="BK311" t="inlineStr">
        <is>
          <t>Environmental Sciences; Public, Environmental &amp; Occupational Health</t>
        </is>
      </c>
      <c r="BL311" t="inlineStr">
        <is>
          <t>Science Citation Index Expanded (SCI-EXPANDED); Social Science Citation Index (SSCI)</t>
        </is>
      </c>
      <c r="BM311" t="inlineStr">
        <is>
          <t>Environmental Sciences &amp; Ecology; Public, Environmental &amp; Occupational Health</t>
        </is>
      </c>
      <c r="BN311" t="inlineStr">
        <is>
          <t>6B3AJ</t>
        </is>
      </c>
      <c r="BO311" t="n">
        <v>36360631</v>
      </c>
      <c r="BP311" t="inlineStr">
        <is>
          <t>Green Published, gold</t>
        </is>
      </c>
      <c r="BS311" t="inlineStr">
        <is>
          <t>2023-10-26</t>
        </is>
      </c>
      <c r="BT311" t="inlineStr">
        <is>
          <t>WOS:000881209800001</t>
        </is>
      </c>
      <c r="BU311">
        <f>HYPERLINK("https%3A%2F%2Fwww.webofscience.com%2Fwos%2Fwoscc%2Ffull-record%2FWOS:000881209800001","View Full Record in Web of Science")</f>
        <v/>
      </c>
    </row>
    <row r="312">
      <c r="A312" t="inlineStr">
        <is>
          <t>J</t>
        </is>
      </c>
      <c r="B312" t="inlineStr">
        <is>
          <t>Molina-García, J; Menescardi, C; Estevan, I; Martínez-Bello, V; Queralt, A</t>
        </is>
      </c>
      <c r="F312" t="inlineStr">
        <is>
          <t>Molina-Garcia, Javier; Menescardi, Cristina; Estevan, Isaac; Martinez-Bello, Vladimir; Queralt, Ana</t>
        </is>
      </c>
      <c r="J312" t="inlineStr">
        <is>
          <t>INTERNATIONAL JOURNAL OF ENVIRONMENTAL RESEARCH AND PUBLIC HEALTH</t>
        </is>
      </c>
      <c r="M312" t="inlineStr">
        <is>
          <t>English</t>
        </is>
      </c>
      <c r="N312" t="inlineStr">
        <is>
          <t>Article</t>
        </is>
      </c>
      <c r="T312" t="inlineStr">
        <is>
          <t>Neighborhood Built Environment and Socioeconomic Status are Associated with Active Commuting and Sedentary Behavior, but not with Leisure-Time Physical Activity, in University Students</t>
        </is>
      </c>
      <c r="U312" t="inlineStr">
        <is>
          <t>exercise; obesity; urban environment; walkability; active transportation; college students</t>
        </is>
      </c>
      <c r="V312" t="inlineStr">
        <is>
          <t>SOCIAL-ENVIRONMENT; HEALTH; WALKABILITY; ADULTS; DETERMINANTS; WALKING; TRANSITION; INACTIVITY; PATTERNS; DISEASE</t>
        </is>
      </c>
      <c r="W312" t="inlineStr">
        <is>
          <t>The role of neighborhood characteristics in promoting physical activity and sedentary behaviors (SB) has not been extensively studied in university students. The study purpose was to analyze the associations of neighborhood built environment and neighborhood socioeconomic status (SES) with active commuting, leisure-time physical activity (LTPA), and SB among university students. This is a cross-sectional study of 308 undergraduate students from two urban universities in Valencia, Spain. Participants' residential neighborhoods were classified according to walkability and SES levels. Walkability was defined as an index of three built environment attributes (i.e., residential density, land-use mix, and street connectivity) based on geographical information system data. Active commuting to and from university (ACU), active commuting in the neighborhood, LTPA, and SB were evaluated through a questionnaire. Mixed model regression analyses were performed. There were no significant SES-walkability interactions for any of the outcomes analyzed. However, university students living in more walkable areas reported two more ACU trips per week compared to those living in less walkable neighborhoods (p &lt; 0.01). University students living in lower-SES neighborhoods reported more ACU trips per week than those living in higher-SES neighborhoods (p &lt; 0.05). Regarding LTPA, there were no significant SES or walkability main effects. Neighborhood SES was negatively related to active commuting in the neighborhood and to time spent in SB (all p &lt; 0.05). Participants living in lower-SES neighborhoods reported more active commuting per week and had the highest average minutes spent in SB. This study highlights the relevance of assessing university's residential environment when active transportation and SB are analyzed.</t>
        </is>
      </c>
      <c r="X312" t="inlineStr">
        <is>
          <t>[Molina-Garcia, Javier; Menescardi, Cristina; Estevan, Isaac; Martinez-Bello, Vladimir] Univ Valencia, Dept Teaching Mus Visual &amp; Corporal Express, Avda Tarongers 4, Valencia 46022, Spain; [Molina-Garcia, Javier; Menescardi, Cristina; Estevan, Isaac; Queralt, Ana] Univ Valencia, AFIPS Res Grp, Valencia 46022, Spain; [Martinez-Bello, Vladimir] Univ Valencia, COS Res Grp, Valencia 46022, Spain; [Queralt, Ana] Univ Valencia, Dept Nursing, Jaume Roig S-N, Valencia 46010, Spain</t>
        </is>
      </c>
      <c r="Y312" t="inlineStr">
        <is>
          <t>University of Valencia; University of Valencia; University of Valencia; University of Valencia</t>
        </is>
      </c>
      <c r="Z312" t="inlineStr">
        <is>
          <t>Molina-García, J (corresponding author), Univ Valencia, Dept Teaching Mus Visual &amp; Corporal Express, Avda Tarongers 4, Valencia 46022, Spain.;Molina-García, J (corresponding author), Univ Valencia, AFIPS Res Grp, Valencia 46022, Spain.</t>
        </is>
      </c>
      <c r="AA312" t="inlineStr">
        <is>
          <t>javier.molina@uv.es</t>
        </is>
      </c>
      <c r="AB312" t="inlineStr">
        <is>
          <t>Martinez-Bello, Vladimir/ABB-6447-2021; Queralt, Ana/G-4929-2017; Sze, Andy/IAN-8022-2023; Menescardi, Cristina/AAE-2334-2020; Estevan, Isaac/AAG-4285-2021; Molina-Garcia, Javier/F-7320-2016</t>
        </is>
      </c>
      <c r="AC312" t="inlineStr">
        <is>
          <t>Martinez-Bello, Vladimir/0000-0002-3408-9678; Queralt, Ana/0000-0003-4933-0003; Menescardi, Cristina/0000-0002-0989-5723; Estevan, Isaac/0000-0003-3748-2288; Molina-Garcia, Javier/0000-0001-6713-5936</t>
        </is>
      </c>
      <c r="AH312" t="n">
        <v>57</v>
      </c>
      <c r="AI312" t="n">
        <v>28</v>
      </c>
      <c r="AJ312" t="n">
        <v>29</v>
      </c>
      <c r="AK312" t="n">
        <v>2</v>
      </c>
      <c r="AL312" t="n">
        <v>20</v>
      </c>
      <c r="AM312" t="inlineStr">
        <is>
          <t>MDPI</t>
        </is>
      </c>
      <c r="AN312" t="inlineStr">
        <is>
          <t>BASEL</t>
        </is>
      </c>
      <c r="AO312" t="inlineStr">
        <is>
          <t>ST ALBAN-ANLAGE 66, CH-4052 BASEL, SWITZERLAND</t>
        </is>
      </c>
      <c r="AP312" t="inlineStr">
        <is>
          <t>1661-7827</t>
        </is>
      </c>
      <c r="AQ312" t="inlineStr">
        <is>
          <t>1660-4601</t>
        </is>
      </c>
      <c r="AS312" t="inlineStr">
        <is>
          <t>INT J ENV RES PUB HE</t>
        </is>
      </c>
      <c r="AT312" t="inlineStr">
        <is>
          <t>Int. J. Environ. Res. Public Health</t>
        </is>
      </c>
      <c r="AU312" t="inlineStr">
        <is>
          <t>SEP 1</t>
        </is>
      </c>
      <c r="AV312" t="n">
        <v>2019</v>
      </c>
      <c r="AW312" t="n">
        <v>16</v>
      </c>
      <c r="AX312" t="n">
        <v>17</v>
      </c>
      <c r="BE312" t="n">
        <v>3176</v>
      </c>
      <c r="BF312" t="inlineStr">
        <is>
          <t>10.3390/ijerph16173176</t>
        </is>
      </c>
      <c r="BG312">
        <f>HYPERLINK("http://dx.doi.org/10.3390/ijerph16173176","http://dx.doi.org/10.3390/ijerph16173176")</f>
        <v/>
      </c>
      <c r="BJ312" t="n">
        <v>12</v>
      </c>
      <c r="BK312" t="inlineStr">
        <is>
          <t>Environmental Sciences; Public, Environmental &amp; Occupational Health</t>
        </is>
      </c>
      <c r="BL312" t="inlineStr">
        <is>
          <t>Science Citation Index Expanded (SCI-EXPANDED); Social Science Citation Index (SSCI)</t>
        </is>
      </c>
      <c r="BM312" t="inlineStr">
        <is>
          <t>Environmental Sciences &amp; Ecology; Public, Environmental &amp; Occupational Health</t>
        </is>
      </c>
      <c r="BN312" t="inlineStr">
        <is>
          <t>IZ4EQ</t>
        </is>
      </c>
      <c r="BO312" t="n">
        <v>31480418</v>
      </c>
      <c r="BP312" t="inlineStr">
        <is>
          <t>Green Published, gold, Green Submitted</t>
        </is>
      </c>
      <c r="BS312" t="inlineStr">
        <is>
          <t>2023-10-26</t>
        </is>
      </c>
      <c r="BT312" t="inlineStr">
        <is>
          <t>WOS:000487037500171</t>
        </is>
      </c>
      <c r="BU312">
        <f>HYPERLINK("https%3A%2F%2Fwww.webofscience.com%2Fwos%2Fwoscc%2Ffull-record%2FWOS:000487037500171","View Full Record in Web of Science")</f>
        <v/>
      </c>
    </row>
    <row r="313">
      <c r="A313" t="inlineStr">
        <is>
          <t>J</t>
        </is>
      </c>
      <c r="B313" t="inlineStr">
        <is>
          <t>Svajlenka, J; Kozlovská, M; Posiváková, T</t>
        </is>
      </c>
      <c r="F313" t="inlineStr">
        <is>
          <t>Svajlenka, Jozef; Kozlovska, Maria; Posivakova, Terezia</t>
        </is>
      </c>
      <c r="J313" t="inlineStr">
        <is>
          <t>ANNALS OF AGRICULTURAL AND ENVIRONMENTAL MEDICINE</t>
        </is>
      </c>
      <c r="M313" t="inlineStr">
        <is>
          <t>English</t>
        </is>
      </c>
      <c r="N313" t="inlineStr">
        <is>
          <t>Review</t>
        </is>
      </c>
      <c r="T313" t="inlineStr">
        <is>
          <t>Biomonitoring the indoor environment of agricultural buildings</t>
        </is>
      </c>
      <c r="U313" t="inlineStr">
        <is>
          <t>agriculture; biomonitoring; building; environment; health; hygiene; industry; indoor; monitoring methods; micromycetes</t>
        </is>
      </c>
      <c r="V313" t="inlineStr">
        <is>
          <t>AIR-QUALITY; FLOW-CYTOMETRY; HEAVY-METALS; OCHRATOXIN-A; IDENTIFICATION; CONTAMINATION; MYCOTOXINS; EXPOSURE; BACTERIA; IMPACT</t>
        </is>
      </c>
      <c r="W313" t="inlineStr">
        <is>
          <t>Introduction. Agricultural hygiene and biomonitoring helps protect people, livestock and crops from pests and disease, including insects, parasites, pathogens and weeds. Optimising the health of animals and crops increases productivity, minimises animal suffering, and ultimately protects human health by ensuring that foodstuffs are safe for consumption. A healthy farm environment also protects the health of the agricultural workers. Ensuring hygiene and health protection is one of the basic construction requirements. Such requirements are examined when commissioning new constructions and examining defects in constructions already in use. One substantial defect is biocorrosion which represents a synergistic process with a complex variety of factors, caused by biochemical manifestations of various micro-organisms (micromycetes). Micromycetes producing mycotoxins therefore play an important role regarding the so-called 'Sick Building Syndrome' (SBS) that has become a global problem nowadays. Therefore, agricultural hygiene and biomonitoring aims to minimise the introduction of additional pathogens and pests, as well as the spread of pathogens and pests in farm environments; this helps protect the safety of foodstuffs further down the supply chain. Objective. The aim of the presented study is to point out the need to address indoor environment monitoring, summarizing the most commonly used methods for monitoring biological factors, and characterizing the negative effects of biological agents on humans and animals exposed to their negative effects.</t>
        </is>
      </c>
      <c r="X313" t="inlineStr">
        <is>
          <t>[Svajlenka, Jozef; Kozlovska, Maria] Tech Univ Kosice, Fac Civil Engn, Dept Construct Technol &amp; Management, Vysokoskolska 4, Kosice 04200, Slovakia; [Posivakova, Terezia] Univ Vet Med &amp; Pharm, Dept Environm Vet Legislat &amp; Econ, Kosice, Slovakia</t>
        </is>
      </c>
      <c r="Y313" t="inlineStr">
        <is>
          <t>Technical University Kosice; University of Veterinary Medicine Kosice</t>
        </is>
      </c>
      <c r="Z313" t="inlineStr">
        <is>
          <t>Svajlenka, J (corresponding author), Tech Univ Kosice, Fac Civil Engn, Dept Construct Technol &amp; Management, Vysokoskolska 4, Kosice 04200, Slovakia.</t>
        </is>
      </c>
      <c r="AA313" t="inlineStr">
        <is>
          <t>ingsvajl@gmail.com</t>
        </is>
      </c>
      <c r="AB313" t="inlineStr">
        <is>
          <t>Švajlenka, Jozef/AAA-6202-2020; Kozlovska, Maria/AAA-5356-2020</t>
        </is>
      </c>
      <c r="AC313" t="inlineStr">
        <is>
          <t>Švajlenka, Jozef/0000-0002-9273-9755;</t>
        </is>
      </c>
      <c r="AD313" t="inlineStr">
        <is>
          <t>VEGA [1/0557/18]</t>
        </is>
      </c>
      <c r="AE313" t="inlineStr">
        <is>
          <t>VEGA(Vedecka grantova agentura MSVVaS SR a SAV (VEGA))</t>
        </is>
      </c>
      <c r="AF313" t="inlineStr">
        <is>
          <t>This study is a part of the VEGA - 1/0557/18 Research and development of process and product innovations of modern methods of construction in the context of the Industry 4.0 principles project solution.</t>
        </is>
      </c>
      <c r="AH313" t="n">
        <v>70</v>
      </c>
      <c r="AI313" t="n">
        <v>13</v>
      </c>
      <c r="AJ313" t="n">
        <v>13</v>
      </c>
      <c r="AK313" t="n">
        <v>1</v>
      </c>
      <c r="AL313" t="n">
        <v>31</v>
      </c>
      <c r="AM313" t="inlineStr">
        <is>
          <t>INST AGRICULTURAL MEDICINE</t>
        </is>
      </c>
      <c r="AN313" t="inlineStr">
        <is>
          <t>LUBLIN</t>
        </is>
      </c>
      <c r="AO313" t="inlineStr">
        <is>
          <t>JACZEWSKIEGO 2, PO BOX 185, 20-950 LUBLIN, POLAND</t>
        </is>
      </c>
      <c r="AP313" t="inlineStr">
        <is>
          <t>1232-1966</t>
        </is>
      </c>
      <c r="AQ313" t="inlineStr">
        <is>
          <t>1898-2263</t>
        </is>
      </c>
      <c r="AS313" t="inlineStr">
        <is>
          <t>ANN AGR ENV MED</t>
        </is>
      </c>
      <c r="AT313" t="inlineStr">
        <is>
          <t>Ann. Agr. Env. Med.</t>
        </is>
      </c>
      <c r="AV313" t="n">
        <v>2018</v>
      </c>
      <c r="AW313" t="n">
        <v>25</v>
      </c>
      <c r="AX313" t="n">
        <v>2</v>
      </c>
      <c r="BC313" t="n">
        <v>292</v>
      </c>
      <c r="BD313" t="n">
        <v>295</v>
      </c>
      <c r="BF313" t="inlineStr">
        <is>
          <t>10.26444/aaem/81314</t>
        </is>
      </c>
      <c r="BG313">
        <f>HYPERLINK("http://dx.doi.org/10.26444/aaem/81314","http://dx.doi.org/10.26444/aaem/81314")</f>
        <v/>
      </c>
      <c r="BJ313" t="n">
        <v>4</v>
      </c>
      <c r="BK313" t="inlineStr">
        <is>
          <t>Environmental Sciences; Public, Environmental &amp; Occupational Health</t>
        </is>
      </c>
      <c r="BL313" t="inlineStr">
        <is>
          <t>Science Citation Index Expanded (SCI-EXPANDED)</t>
        </is>
      </c>
      <c r="BM313" t="inlineStr">
        <is>
          <t>Environmental Sciences &amp; Ecology; Public, Environmental &amp; Occupational Health</t>
        </is>
      </c>
      <c r="BN313" t="inlineStr">
        <is>
          <t>GK1OE</t>
        </is>
      </c>
      <c r="BO313" t="n">
        <v>29936809</v>
      </c>
      <c r="BP313" t="inlineStr">
        <is>
          <t>gold, Green Submitted</t>
        </is>
      </c>
      <c r="BS313" t="inlineStr">
        <is>
          <t>2023-10-26</t>
        </is>
      </c>
      <c r="BT313" t="inlineStr">
        <is>
          <t>WOS:000435887200018</t>
        </is>
      </c>
      <c r="BU313">
        <f>HYPERLINK("https%3A%2F%2Fwww.webofscience.com%2Fwos%2Fwoscc%2Ffull-record%2FWOS:000435887200018","View Full Record in Web of Science")</f>
        <v/>
      </c>
    </row>
    <row r="314">
      <c r="A314" t="inlineStr">
        <is>
          <t>J</t>
        </is>
      </c>
      <c r="B314" t="inlineStr">
        <is>
          <t>Cantatore, E; Quagliarini, E; Fatiguso, F</t>
        </is>
      </c>
      <c r="F314" t="inlineStr">
        <is>
          <t>Cantatore, Elena; Quagliarini, Enrico; Fatiguso, Fabio</t>
        </is>
      </c>
      <c r="J314" t="inlineStr">
        <is>
          <t>SUSTAINABILITY</t>
        </is>
      </c>
      <c r="M314" t="inlineStr">
        <is>
          <t>English</t>
        </is>
      </c>
      <c r="N314" t="inlineStr">
        <is>
          <t>Article</t>
        </is>
      </c>
      <c r="T314" t="inlineStr">
        <is>
          <t>European Cities Prone to Terrorist Threats: Phenomenological Analysis of Historical Events towards Risk Matrices and an Early Parameterization of Urban Built Environment Outdoor Areas</t>
        </is>
      </c>
      <c r="U314" t="inlineStr">
        <is>
          <t>terrorism risk in Europe; phenomenological risk assessment; parametrization of risk; urban built environment; outdoor areas</t>
        </is>
      </c>
      <c r="V314" t="inlineStr">
        <is>
          <t>SECURITY; RESILIENCE</t>
        </is>
      </c>
      <c r="W314" t="inlineStr">
        <is>
          <t>Among other risks, contemporary cities are exposed to terrorism. In addition to being sensitive targets, recent events in Europe have underlined the relevance of public open spaces (squares, streets, etc.) as particularly defenseless parts of Urban Built Environments (UBEs). Despite the fact that previous theoretical studies about radicalism have highlighted the regional dimension of the threat, the assessment of terroristic risk is still related to American guidelines. This creates new research scenarios for European UBEs and associated Outdoor Areas (UBEOAs). Thus, this paper provides two correlated main goals. The first is the phenomenological analysis of terrorist threats in European UBEs, starting from the events catalogued in the Global Terrorism Database. Specifically, the matrix of risk is assessed by combining (i) the main urban Environmental Classes (ECs) and their sub-classes, referred to as Outdoor Areas (OutECs), and (ii) the Attack Types (ATs) in order to determine the most efficient and recurrent combination of attack methods and targets (AT-EC and AT-OutEC). Then, the paper identifies the parameters influencing the terroristic risk of the most recurrent and efficient attacks identified in European UBEOAs, starting from (i) the analysis of inherent features of the European phenomenon, (ii) previous experiences in the literature and (iii) the permitted strategies and guidelines in European States. The main results are related to the relevance of Armed Assault and Bombing/Explosion Ats and Open Areas with the presence of public and strategic/symbolic buildings (ECs), while an interesting point of discussion is represented by physical obstacles.</t>
        </is>
      </c>
      <c r="X314" t="inlineStr">
        <is>
          <t>[Cantatore, Elena; Fatiguso, Fabio] Polytech Univ Bari, Dept Civil Environm Bldg Engn &amp; Chem DICATECh, I-70126 Bari, Italy; [Quagliarini, Enrico] Univ Politecn Marche, Dept Construct Civil Engn &amp; Architecture DICEA, I-60121 Ancona, Italy</t>
        </is>
      </c>
      <c r="Y314" t="inlineStr">
        <is>
          <t>Politecnico di Bari; Marche Polytechnic University</t>
        </is>
      </c>
      <c r="Z314" t="inlineStr">
        <is>
          <t>Cantatore, E (corresponding author), Polytech Univ Bari, Dept Civil Environm Bldg Engn &amp; Chem DICATECh, I-70126 Bari, Italy.</t>
        </is>
      </c>
      <c r="AA314" t="inlineStr">
        <is>
          <t>elena.cantatore@poliba.it</t>
        </is>
      </c>
      <c r="AC314" t="inlineStr">
        <is>
          <t>CANTATORE, Elena/0000-0003-2294-6561; quagliarini, enrico/0000-0002-1091-8929</t>
        </is>
      </c>
      <c r="AD314" t="inlineStr">
        <is>
          <t>MIUR (the Italian Ministry of Education, University, and Research) Project BE S2ECURe-(make) Built Environment Safer in Slow and Emergency Conditions through behavioral assessed/designed Resilient solutions [2017LR75XK]</t>
        </is>
      </c>
      <c r="AE314" t="inlineStr">
        <is>
          <t>MIUR (the Italian Ministry of Education, University, and Research) Project BE S2ECURe-(make) Built Environment Safer in Slow and Emergency Conditions through behavioral assessed/designed Resilient solutions</t>
        </is>
      </c>
      <c r="AF314" t="inlineStr">
        <is>
          <t>This research was funded by the MIUR (the Italian Ministry of Education, University, and Research) Project BE S2ECURe-(make) Built Environment Safer in Slow and Emergency Conditions through behavioral assessed/designed Resilient solutions (Grant number: 2017LR75XK).</t>
        </is>
      </c>
      <c r="AH314" t="n">
        <v>59</v>
      </c>
      <c r="AI314" t="n">
        <v>1</v>
      </c>
      <c r="AJ314" t="n">
        <v>1</v>
      </c>
      <c r="AK314" t="n">
        <v>1</v>
      </c>
      <c r="AL314" t="n">
        <v>3</v>
      </c>
      <c r="AM314" t="inlineStr">
        <is>
          <t>MDPI</t>
        </is>
      </c>
      <c r="AN314" t="inlineStr">
        <is>
          <t>BASEL</t>
        </is>
      </c>
      <c r="AO314" t="inlineStr">
        <is>
          <t>ST ALBAN-ANLAGE 66, CH-4052 BASEL, SWITZERLAND</t>
        </is>
      </c>
      <c r="AQ314" t="inlineStr">
        <is>
          <t>2071-1050</t>
        </is>
      </c>
      <c r="AS314" t="inlineStr">
        <is>
          <t>SUSTAINABILITY-BASEL</t>
        </is>
      </c>
      <c r="AT314" t="inlineStr">
        <is>
          <t>Sustainability</t>
        </is>
      </c>
      <c r="AU314" t="inlineStr">
        <is>
          <t>OCT</t>
        </is>
      </c>
      <c r="AV314" t="n">
        <v>2022</v>
      </c>
      <c r="AW314" t="n">
        <v>14</v>
      </c>
      <c r="AX314" t="n">
        <v>19</v>
      </c>
      <c r="BE314" t="n">
        <v>12301</v>
      </c>
      <c r="BF314" t="inlineStr">
        <is>
          <t>10.3390/su141912301</t>
        </is>
      </c>
      <c r="BG314">
        <f>HYPERLINK("http://dx.doi.org/10.3390/su141912301","http://dx.doi.org/10.3390/su141912301")</f>
        <v/>
      </c>
      <c r="BJ314" t="n">
        <v>26</v>
      </c>
      <c r="BK314" t="inlineStr">
        <is>
          <t>Green &amp; Sustainable Science &amp; Technology; Environmental Sciences; Environmental Studies</t>
        </is>
      </c>
      <c r="BL314" t="inlineStr">
        <is>
          <t>Science Citation Index Expanded (SCI-EXPANDED); Social Science Citation Index (SSCI)</t>
        </is>
      </c>
      <c r="BM314" t="inlineStr">
        <is>
          <t>Science &amp; Technology - Other Topics; Environmental Sciences &amp; Ecology</t>
        </is>
      </c>
      <c r="BN314" t="inlineStr">
        <is>
          <t>5G9XC</t>
        </is>
      </c>
      <c r="BP314" t="inlineStr">
        <is>
          <t>gold</t>
        </is>
      </c>
      <c r="BS314" t="inlineStr">
        <is>
          <t>2023-10-26</t>
        </is>
      </c>
      <c r="BT314" t="inlineStr">
        <is>
          <t>WOS:000867341700001</t>
        </is>
      </c>
      <c r="BU314">
        <f>HYPERLINK("https%3A%2F%2Fwww.webofscience.com%2Fwos%2Fwoscc%2Ffull-record%2FWOS:000867341700001","View Full Record in Web of Science")</f>
        <v/>
      </c>
    </row>
    <row r="315">
      <c r="A315" t="inlineStr">
        <is>
          <t>J</t>
        </is>
      </c>
      <c r="B315" t="inlineStr">
        <is>
          <t>Yue, XH; Antonietti, A; Alirezaei, M; Tasdizen, T; Li, DP; Nguyen, L; Mane, H; Sun, A; Hu, M; Whitaker, RT; Nguyen, QC</t>
        </is>
      </c>
      <c r="F315" t="inlineStr">
        <is>
          <t>Yue, Xiaohe; Antonietti, Anne; Alirezaei, Mitra; Tasdizen, Tolga; Li, Dapeng; Nguyen, Leah; Mane, Heran; Sun, Abby; Hu, Ming; Whitaker, Ross T.; Nguyen, Quynh C.</t>
        </is>
      </c>
      <c r="J315" t="inlineStr">
        <is>
          <t>INTERNATIONAL JOURNAL OF ENVIRONMENTAL RESEARCH AND PUBLIC HEALTH</t>
        </is>
      </c>
      <c r="M315" t="inlineStr">
        <is>
          <t>English</t>
        </is>
      </c>
      <c r="N315" t="inlineStr">
        <is>
          <t>Article</t>
        </is>
      </c>
      <c r="T315" t="inlineStr">
        <is>
          <t>Using Convolutional Neural Networks to Derive Neighborhood Built Environments from Google Street View Images and Examine Their Associations with Health Outcomes</t>
        </is>
      </c>
      <c r="U315" t="inlineStr">
        <is>
          <t>built environment; big data; GIS; computer vision; structural determinants of health; machine learning</t>
        </is>
      </c>
      <c r="V315" t="inlineStr">
        <is>
          <t>PHYSICAL-ACTIVITY; WALKABILITY; DEPRESSION; DISORDER; SLEEP</t>
        </is>
      </c>
      <c r="W315" t="inlineStr">
        <is>
          <t>Built environment neighborhood characteristics are difficult to measure and assess on a large scale. Consequently, there is a lack of sufficient data that can help us investigate neighborhood characteristics as structural determinants of health on a national level. The objective of this study is to utilize publicly available Google Street View images as a data source for characterizing built environments and to examine the influence of built environments on chronic diseases and health behaviors in the United States. Data were collected by processing 164 million Google Street View images from November 2019 across the United States. Convolutional Neural Networks, a class of multi-layer deep neural networks, were used to extract features of the built environment. Validation analyses found accuracies of 82% or higher across neighborhood characteristics. In regression analyses controlling for census tract sociodemographics, we find that single-lane roads (an indicator of lower urban development) were linked with chronic conditions and worse mental health. Walkability and urbanicity indicators such as crosswalks, sidewalks, and two or more cars were associated with better health, including reduction in depression, obesity, high blood pressure, and high cholesterol. Street signs and streetlights were also found to be associated with decreased chronic conditions. Chain link fence (physical disorder indicator) was generally associated with poorer mental health. Living in neighborhoods with a built environment that supports social interaction and physical activity can lead to positive health outcomes. Computer vision models using manually annotated Google Street View images as a training dataset were able to accurately identify neighborhood built environment characteristics. These methods increases the feasibility, scale, and efficiency of neighborhood studies on health.</t>
        </is>
      </c>
      <c r="X315" t="inlineStr">
        <is>
          <t>[Yue, Xiaohe; Mane, Heran; Nguyen, Quynh C.] Univ Maryland, Dept Epidemiol &amp; Biostat, Sch Publ Hlth, College Pk, MD 20742 USA; [Antonietti, Anne] Walt Whitman High Sch, Bethesda, MD 20817 USA; [Alirezaei, Mitra; Tasdizen, Tolga] Univ Utah, Sci Comp &amp; Imaging Inst, Dept Elect &amp; Comp Engn, Salt Lake City, UT 84112 USA; [Li, Dapeng] South Dakota State Univ, Dept Geog &amp; Geospatial Sci, Brookings, SD 57007 USA; [Nguyen, Leah] Univ Maryland Sch, Dept Hlth Policy &amp; Management, College Pk, MD 20742 USA; [Sun, Abby] Univ Maryland Sch, Publ Hlth Sci Program, College Pk, MD 20742 USA; [Hu, Ming] Univ Maryland Sch, Sch Architecture Planning &amp; Preservat, College Pk, MD 20742 USA; [Whitaker, Ross T.] Univ Utah, Sch Comp, Sci Comp &amp; Imaging Inst, Salt Lake City, UT 84112 USA</t>
        </is>
      </c>
      <c r="Y315" t="inlineStr">
        <is>
          <t>University System of Maryland; University of Maryland College Park; Utah System of Higher Education; University of Utah; South Dakota State University; Utah System of Higher Education; University of Utah</t>
        </is>
      </c>
      <c r="Z315" t="inlineStr">
        <is>
          <t>Nguyen, QC (corresponding author), Univ Maryland, Dept Epidemiol &amp; Biostat, Sch Publ Hlth, College Pk, MD 20742 USA.</t>
        </is>
      </c>
      <c r="AA315" t="inlineStr">
        <is>
          <t>qtnguyen@umd.edu</t>
        </is>
      </c>
      <c r="AB315" t="inlineStr">
        <is>
          <t>Hu, Ming/I-4311-2019; yue, xiaohe/HTQ-6365-2023</t>
        </is>
      </c>
      <c r="AC315" t="inlineStr">
        <is>
          <t>Hu, Ming/0000-0003-2583-1161; Nguyen, Quynh C/0000-0003-4745-6681; Li, Dapeng/0000-0002-3255-6084</t>
        </is>
      </c>
      <c r="AD315" t="inlineStr">
        <is>
          <t>National Library of Medicine; National Institute on Minority Health and Health Disparities [R01LM012849, R01MD016037]</t>
        </is>
      </c>
      <c r="AE315" t="inlineStr">
        <is>
          <t>National Library of Medicine(United States Department of Health &amp; Human ServicesNational Institutes of Health (NIH) - USANIH National Library of Medicine (NLM)); National Institute on Minority Health and Health Disparities(United States Department of Health &amp; Human ServicesNational Institutes of Health (NIH) - USANIH National Institute on Minority Health &amp; Health Disparities (NIMHD))</t>
        </is>
      </c>
      <c r="AF315" t="inlineStr">
        <is>
          <t>Research reported in this publication was supported by the National Library ofMedicine and National Institute on Minority Health and Health Disparities under Award Numbers R01LM012849 and R01MD016037 (Q.C.N.). The content is solely the responsibility of the authors and does not necessarily represent the official views of the National Institutes of Health. The funders had no role in study design, data collection and analysis, decision to publish, or preparation of the manuscript.</t>
        </is>
      </c>
      <c r="AH315" t="n">
        <v>62</v>
      </c>
      <c r="AI315" t="n">
        <v>3</v>
      </c>
      <c r="AJ315" t="n">
        <v>3</v>
      </c>
      <c r="AK315" t="n">
        <v>13</v>
      </c>
      <c r="AL315" t="n">
        <v>30</v>
      </c>
      <c r="AM315" t="inlineStr">
        <is>
          <t>MDPI</t>
        </is>
      </c>
      <c r="AN315" t="inlineStr">
        <is>
          <t>BASEL</t>
        </is>
      </c>
      <c r="AO315" t="inlineStr">
        <is>
          <t>ST ALBAN-ANLAGE 66, CH-4052 BASEL, SWITZERLAND</t>
        </is>
      </c>
      <c r="AQ315" t="inlineStr">
        <is>
          <t>1660-4601</t>
        </is>
      </c>
      <c r="AS315" t="inlineStr">
        <is>
          <t>INT J ENV RES PUB HE</t>
        </is>
      </c>
      <c r="AT315" t="inlineStr">
        <is>
          <t>Int. J. Environ. Res. Public Health</t>
        </is>
      </c>
      <c r="AU315" t="inlineStr">
        <is>
          <t>OCT</t>
        </is>
      </c>
      <c r="AV315" t="n">
        <v>2022</v>
      </c>
      <c r="AW315" t="n">
        <v>19</v>
      </c>
      <c r="AX315" t="n">
        <v>19</v>
      </c>
      <c r="BE315" t="n">
        <v>12095</v>
      </c>
      <c r="BF315" t="inlineStr">
        <is>
          <t>10.3390/ijerph191912095</t>
        </is>
      </c>
      <c r="BG315">
        <f>HYPERLINK("http://dx.doi.org/10.3390/ijerph191912095","http://dx.doi.org/10.3390/ijerph191912095")</f>
        <v/>
      </c>
      <c r="BJ315" t="n">
        <v>18</v>
      </c>
      <c r="BK315" t="inlineStr">
        <is>
          <t>Environmental Sciences; Public, Environmental &amp; Occupational Health</t>
        </is>
      </c>
      <c r="BL315" t="inlineStr">
        <is>
          <t>Science Citation Index Expanded (SCI-EXPANDED); Social Science Citation Index (SSCI)</t>
        </is>
      </c>
      <c r="BM315" t="inlineStr">
        <is>
          <t>Environmental Sciences &amp; Ecology; Public, Environmental &amp; Occupational Health</t>
        </is>
      </c>
      <c r="BN315" t="inlineStr">
        <is>
          <t>5G5TY</t>
        </is>
      </c>
      <c r="BO315" t="n">
        <v>36231394</v>
      </c>
      <c r="BP315" t="inlineStr">
        <is>
          <t>Green Published, gold</t>
        </is>
      </c>
      <c r="BS315" t="inlineStr">
        <is>
          <t>2023-10-26</t>
        </is>
      </c>
      <c r="BT315" t="inlineStr">
        <is>
          <t>WOS:000867062400001</t>
        </is>
      </c>
      <c r="BU315">
        <f>HYPERLINK("https%3A%2F%2Fwww.webofscience.com%2Fwos%2Fwoscc%2Ffull-record%2FWOS:000867062400001","View Full Record in Web of Science")</f>
        <v/>
      </c>
    </row>
    <row r="316">
      <c r="A316" t="inlineStr">
        <is>
          <t>J</t>
        </is>
      </c>
      <c r="B316" t="inlineStr">
        <is>
          <t>Al-Nuaim, A; Safi, A</t>
        </is>
      </c>
      <c r="F316" t="inlineStr">
        <is>
          <t>Al-Nuaim, Anwar; Safi, Ayazullah</t>
        </is>
      </c>
      <c r="J316" t="inlineStr">
        <is>
          <t>INTERNATIONAL JOURNAL OF ENVIRONMENTAL RESEARCH AND PUBLIC HEALTH</t>
        </is>
      </c>
      <c r="M316" t="inlineStr">
        <is>
          <t>English</t>
        </is>
      </c>
      <c r="N316" t="inlineStr">
        <is>
          <t>Article</t>
        </is>
      </c>
      <c r="T316" t="inlineStr">
        <is>
          <t>The Correlation of Built Environment on Hypertension, and Weight Status amongst Adolescence in Saudi Arabia</t>
        </is>
      </c>
      <c r="U316" t="inlineStr">
        <is>
          <t>youth; hypertension; sedentary behaviour; physical activity; health; environment</t>
        </is>
      </c>
      <c r="V316" t="inlineStr">
        <is>
          <t>ELEVATED BLOOD-PRESSURE; BODY-MASS INDEX; PHYSICAL-ACTIVITY; WAIST CIRCUMFERENCE; SEDENTARY BEHAVIOR; PUBLIC-HEALTH; HEART-RATE; CHILDREN; ASSOCIATION; OVERWEIGHT</t>
        </is>
      </c>
      <c r="W316" t="inlineStr">
        <is>
          <t>The prevalence of hypertension is becoming more common in children and adolescents than ever before. Thus, the aim of this study was to evaluate the associations between the built environment on physical activity, sedentary behaviour, waist circumference, and health amongst adolescents in Saudi Arabia. A systolic and diastolic blood pressure, resting heart rate and waist circumference of 380 boys and girls aged between 15-19 years old (male = 199 and females = 181) were measured. The International physical activity Questionnaire Short Form was used to assess the physical activity levels and time spent sitting. The statistical analysis conducted were means and standard deviation, 2-way and 3-way of variance (ANOVA), Bonferroni post hoc tests, Chi-squared distribution and Pearson's correlations. Among males, 16.75% were classified as hypertensive, 12.69% as pre-hypertensive, and 70.56% as normal whereas, females, 23.20% were classified as hypertensive, 12.15% as pre-hypertensive and 64.64% as normal. There were significant differences (F-1,F-379 = 16.50, p &lt; 0.001) between males and females waist circumference. Pearson's correlation also revealed significant positive relationships in sedentary time (r = 0.123, p &lt; 0.016), WC (r = 0.104, p &lt; 0.043), and systolic blood pressure (r = 0.110, p &lt; 0.032). The results revealed that systolic and diastolic blood pressure are significantly related to multiple measures of weight status, and sedentary behaviour. The results also highlight that active youth had lower resting heart rate compared to inactive peers. The present findings provide a foundation of knowledge for future research and highlight the major need for research and policy interventions, to address the concerning health habits of Al-Ahsa youth and broader Kingdom of Saudi Arabia.</t>
        </is>
      </c>
      <c r="X316" t="inlineStr">
        <is>
          <t>[Al-Nuaim, Anwar] King Faisal Univ, Educ Coll, Phys Educ Dept, Al Hasa 31982, Saudi Arabia; [Safi, Ayazullah] Univ Westminster, Ctr Nutraceut, Sch Life Sci, London W1W 6UW, England</t>
        </is>
      </c>
      <c r="Y316" t="inlineStr">
        <is>
          <t>King Faisal University; University of Westminster</t>
        </is>
      </c>
      <c r="Z316" t="inlineStr">
        <is>
          <t>Al-Nuaim, A (corresponding author), King Faisal Univ, Educ Coll, Phys Educ Dept, Al Hasa 31982, Saudi Arabia.</t>
        </is>
      </c>
      <c r="AA316" t="inlineStr">
        <is>
          <t>aalnuaim@kfu.edu.sa</t>
        </is>
      </c>
      <c r="AB316" t="inlineStr">
        <is>
          <t>Alnuaim, Anwar/IUP-6358-2023; bawornthip, pataporn/HVF-3091-2023</t>
        </is>
      </c>
      <c r="AC316" t="inlineStr">
        <is>
          <t>Safi, Ayazullah/0000-0003-0963-8353; Al-Nuaim, Anwar A./0009-0005-5777-2233</t>
        </is>
      </c>
      <c r="AH316" t="n">
        <v>72</v>
      </c>
      <c r="AI316" t="n">
        <v>0</v>
      </c>
      <c r="AJ316" t="n">
        <v>0</v>
      </c>
      <c r="AK316" t="n">
        <v>1</v>
      </c>
      <c r="AL316" t="n">
        <v>2</v>
      </c>
      <c r="AM316" t="inlineStr">
        <is>
          <t>MDPI</t>
        </is>
      </c>
      <c r="AN316" t="inlineStr">
        <is>
          <t>BASEL</t>
        </is>
      </c>
      <c r="AO316" t="inlineStr">
        <is>
          <t>ST ALBAN-ANLAGE 66, CH-4052 BASEL, SWITZERLAND</t>
        </is>
      </c>
      <c r="AQ316" t="inlineStr">
        <is>
          <t>1660-4601</t>
        </is>
      </c>
      <c r="AS316" t="inlineStr">
        <is>
          <t>INT J ENV RES PUB HE</t>
        </is>
      </c>
      <c r="AT316" t="inlineStr">
        <is>
          <t>Int. J. Environ. Res. Public Health</t>
        </is>
      </c>
      <c r="AU316" t="inlineStr">
        <is>
          <t>DEC</t>
        </is>
      </c>
      <c r="AV316" t="n">
        <v>2022</v>
      </c>
      <c r="AW316" t="n">
        <v>19</v>
      </c>
      <c r="AX316" t="n">
        <v>24</v>
      </c>
      <c r="BE316" t="n">
        <v>16763</v>
      </c>
      <c r="BF316" t="inlineStr">
        <is>
          <t>10.3390/ijerph192416763</t>
        </is>
      </c>
      <c r="BG316">
        <f>HYPERLINK("http://dx.doi.org/10.3390/ijerph192416763","http://dx.doi.org/10.3390/ijerph192416763")</f>
        <v/>
      </c>
      <c r="BJ316" t="n">
        <v>11</v>
      </c>
      <c r="BK316" t="inlineStr">
        <is>
          <t>Environmental Sciences; Public, Environmental &amp; Occupational Health</t>
        </is>
      </c>
      <c r="BL316" t="inlineStr">
        <is>
          <t>Science Citation Index Expanded (SCI-EXPANDED); Social Science Citation Index (SSCI)</t>
        </is>
      </c>
      <c r="BM316" t="inlineStr">
        <is>
          <t>Environmental Sciences &amp; Ecology; Public, Environmental &amp; Occupational Health</t>
        </is>
      </c>
      <c r="BN316" t="inlineStr">
        <is>
          <t>7E4UA</t>
        </is>
      </c>
      <c r="BO316" t="n">
        <v>36554642</v>
      </c>
      <c r="BP316" t="inlineStr">
        <is>
          <t>Green Published, gold</t>
        </is>
      </c>
      <c r="BS316" t="inlineStr">
        <is>
          <t>2023-10-26</t>
        </is>
      </c>
      <c r="BT316" t="inlineStr">
        <is>
          <t>WOS:000901163900001</t>
        </is>
      </c>
      <c r="BU316">
        <f>HYPERLINK("https%3A%2F%2Fwww.webofscience.com%2Fwos%2Fwoscc%2Ffull-record%2FWOS:000901163900001","View Full Record in Web of Science")</f>
        <v/>
      </c>
    </row>
    <row r="317">
      <c r="A317" t="inlineStr">
        <is>
          <t>J</t>
        </is>
      </c>
      <c r="B317" t="inlineStr">
        <is>
          <t>Tepe, E</t>
        </is>
      </c>
      <c r="F317" t="inlineStr">
        <is>
          <t>Tepe, Emre</t>
        </is>
      </c>
      <c r="J317" t="inlineStr">
        <is>
          <t>JOURNAL OF ENVIRONMENTAL MANAGEMENT</t>
        </is>
      </c>
      <c r="M317" t="inlineStr">
        <is>
          <t>English</t>
        </is>
      </c>
      <c r="N317" t="inlineStr">
        <is>
          <t>Article</t>
        </is>
      </c>
      <c r="T317" t="inlineStr">
        <is>
          <t>The impact of built and socio-economic environment factors on Covid-19 transmission at the ZIP-code level in Florida</t>
        </is>
      </c>
      <c r="U317" t="inlineStr">
        <is>
          <t>Covid-19 outbreak; Spatial regression modeling; Built environment; Socio-economic environment</t>
        </is>
      </c>
      <c r="V317" t="inlineStr">
        <is>
          <t>SPATIAL AUTOCORRELATION; REGRESSION</t>
        </is>
      </c>
      <c r="W317" t="inlineStr">
        <is>
          <t>Most studies have explored the Covid-19 outbreak by mainly focusing on restrictive public policies, human health, and behaviors at the macro level. However, the impacts of built and socio-economic environments, ac-counting for spatial effects on the spread at the local levels, have not been thoroughly studied. In this study, the relationships between the spatial spread of the virus and various indicators of the built and socio-economic environments are investigated, using Florida ZIP-code data on accumulated cases before large-scale vaccina-tion campaigns began in 2021. Spatial regression models are used to account for the spatial dependencies and interactions that are core factors in Covid-19 spread. This study reveals both the spillover dynamics of the coronavirus spread at the ZIP code level and the existence of spatial dependencies among the unobserved var-iables represented by the error term. In addition, the findings show a positive association between the expected number of Covid-19 cases and specific land uses, such as education facilities and retail densities. Finally, the study highlights critical socio-economic characteristics causing a substantial increase in Covid-19 spread. Such results could help policymakers, public health experts, and urban planners design strategies to mitigate the spread of future Covid-19-like diseases.</t>
        </is>
      </c>
      <c r="X317" t="inlineStr">
        <is>
          <t>[Tepe, Emre] Univ Florida, Dept Urban &amp; Reg Planning, 444 Architectural Bldg, POB 115706, Gainesville, FL 32611 USA; [Tepe, Emre] Univ Florida, Dept Urban &amp; Reg Planning, 1480 Inner Rd, Gainesville, FL 32611 USA</t>
        </is>
      </c>
      <c r="Y317" t="inlineStr">
        <is>
          <t>State University System of Florida; University of Florida; State University System of Florida; University of Florida</t>
        </is>
      </c>
      <c r="Z317" t="inlineStr">
        <is>
          <t>Tepe, E (corresponding author), Univ Florida, Dept Urban &amp; Reg Planning, 1480 Inner Rd, Gainesville, FL 32611 USA.</t>
        </is>
      </c>
      <c r="AA317" t="inlineStr">
        <is>
          <t>emretepe@ufl.edu</t>
        </is>
      </c>
      <c r="AC317" t="inlineStr">
        <is>
          <t>Tepe, Emre/0000-0001-8575-2401</t>
        </is>
      </c>
      <c r="AH317" t="n">
        <v>72</v>
      </c>
      <c r="AI317" t="n">
        <v>3</v>
      </c>
      <c r="AJ317" t="n">
        <v>3</v>
      </c>
      <c r="AK317" t="n">
        <v>4</v>
      </c>
      <c r="AL317" t="n">
        <v>12</v>
      </c>
      <c r="AM317" t="inlineStr">
        <is>
          <t>ACADEMIC PRESS LTD- ELSEVIER SCIENCE LTD</t>
        </is>
      </c>
      <c r="AN317" t="inlineStr">
        <is>
          <t>LONDON</t>
        </is>
      </c>
      <c r="AO317" t="inlineStr">
        <is>
          <t>24-28 OVAL RD, LONDON NW1 7DX, ENGLAND</t>
        </is>
      </c>
      <c r="AP317" t="inlineStr">
        <is>
          <t>0301-4797</t>
        </is>
      </c>
      <c r="AQ317" t="inlineStr">
        <is>
          <t>1095-8630</t>
        </is>
      </c>
      <c r="AS317" t="inlineStr">
        <is>
          <t>J ENVIRON MANAGE</t>
        </is>
      </c>
      <c r="AT317" t="inlineStr">
        <is>
          <t>J. Environ. Manage.</t>
        </is>
      </c>
      <c r="AU317" t="inlineStr">
        <is>
          <t>JAN 15</t>
        </is>
      </c>
      <c r="AV317" t="n">
        <v>2023</v>
      </c>
      <c r="AW317" t="n">
        <v>326</v>
      </c>
      <c r="AY317" t="inlineStr">
        <is>
          <t>B</t>
        </is>
      </c>
      <c r="BE317" t="n">
        <v>116806</v>
      </c>
      <c r="BF317" t="inlineStr">
        <is>
          <t>10.1016/j.jenvman.2022.116806</t>
        </is>
      </c>
      <c r="BG317">
        <f>HYPERLINK("http://dx.doi.org/10.1016/j.jenvman.2022.116806","http://dx.doi.org/10.1016/j.jenvman.2022.116806")</f>
        <v/>
      </c>
      <c r="BI317" t="inlineStr">
        <is>
          <t>NOV 2022</t>
        </is>
      </c>
      <c r="BJ317" t="n">
        <v>9</v>
      </c>
      <c r="BK317" t="inlineStr">
        <is>
          <t>Environmental Sciences</t>
        </is>
      </c>
      <c r="BL317" t="inlineStr">
        <is>
          <t>Science Citation Index Expanded (SCI-EXPANDED)</t>
        </is>
      </c>
      <c r="BM317" t="inlineStr">
        <is>
          <t>Environmental Sciences &amp; Ecology</t>
        </is>
      </c>
      <c r="BN317" t="inlineStr">
        <is>
          <t>7J4PQ</t>
        </is>
      </c>
      <c r="BO317" t="n">
        <v>36410149</v>
      </c>
      <c r="BP317" t="inlineStr">
        <is>
          <t>Green Published, Bronze</t>
        </is>
      </c>
      <c r="BS317" t="inlineStr">
        <is>
          <t>2023-10-26</t>
        </is>
      </c>
      <c r="BT317" t="inlineStr">
        <is>
          <t>WOS:000904564300004</t>
        </is>
      </c>
      <c r="BU317">
        <f>HYPERLINK("https%3A%2F%2Fwww.webofscience.com%2Fwos%2Fwoscc%2Ffull-record%2FWOS:000904564300004","View Full Record in Web of Science")</f>
        <v/>
      </c>
    </row>
    <row r="318">
      <c r="A318" t="inlineStr">
        <is>
          <t>J</t>
        </is>
      </c>
      <c r="B318" t="inlineStr">
        <is>
          <t>Adu-Brimpong, J; Coffey, N; Ayers, C; Berrigan, D; Yingling, LR; Thomas, S; Mitchell, V; Ahuja, C; Rivers, J; Hartz, J; Powell-Wiley, TM</t>
        </is>
      </c>
      <c r="F318" t="inlineStr">
        <is>
          <t>Adu-Brimpong, Joel; Coffey, Nathan; Ayers, Colby; Berrigan, David; Yingling, Leah R.; Thomas, Samantha; Mitchell, Valerie; Ahuja, Chaarushi; Rivers, Joshua; Hartz, Jacob; Powell-Wiley, Tiffany M.</t>
        </is>
      </c>
      <c r="J318" t="inlineStr">
        <is>
          <t>INTERNATIONAL JOURNAL OF ENVIRONMENTAL RESEARCH AND PUBLIC HEALTH</t>
        </is>
      </c>
      <c r="M318" t="inlineStr">
        <is>
          <t>English</t>
        </is>
      </c>
      <c r="N318" t="inlineStr">
        <is>
          <t>Article</t>
        </is>
      </c>
      <c r="T318" t="inlineStr">
        <is>
          <t>Optimizing Scoring and Sampling Methods for Assessing Built Neighborhood Environment Quality in Residential Areas</t>
        </is>
      </c>
      <c r="U318" t="inlineStr">
        <is>
          <t>virtual audits; Google Street View; Active Neighborhood Checklist; built neighborhood; environment; residential neighborhoods; Walk Score (R); environment quality; Washington DC Cardiovascular Health and Needs Assessment</t>
        </is>
      </c>
      <c r="V318" t="inlineStr">
        <is>
          <t>GOOGLE STREET VIEW; PHYSICAL-ACTIVITY; WALK SCORE(R); MICROSCALE AUDIT; RELIABLE TOOL; HEALTH; RELIABILITY; WALKABILITY; VALIDATION</t>
        </is>
      </c>
      <c r="W318" t="inlineStr">
        <is>
          <t>Optimization of existing measurement tools is necessary to explore links between aspects of the neighborhood built environment and health behaviors or outcomes. We evaluate a scoring method for virtual neighborhood audits utilizing the Active Neighborhood Checklist (the Checklist), a neighborhood audit measure, and assess street segment representativeness in low-income neighborhoods. Eighty-two home neighborhoods of Washington, D.C. Cardiovascular Health/Needs Assessment (NCT01927783) participants were audited using Google Street View imagery and the Checklist (five sections with 89 total questions). Twelve street segments per home address were assessed for (1) Land-Use Type; (2) Public Transportation Availability; (3) Street Characteristics; (4) Environment Quality and (5) Sidewalks/Walking/Biking features. Checklist items were scored 0-2 points/question. A combinations algorithm was developed to assess street segments' representativeness. Spearman correlations were calculated between built environment quality scores and Walk Scorer, a validated neighborhood walkability measure. Street segment quality scores ranged 10-47 (Mean = 29.4 +/- 6.9) and overall neighborhood quality scores, 172-475 (Mean = 352.3 +/- 63.6). Walk scores (R) ranged 0-91 (Mean = 46.7 +/- 26.3). Street segment combinations' correlation coefficients ranged 0.75-1.0. Significant positive correlations were found between overall neighborhood quality scores, four of the five Checklist subsection scores, and Walk Scores (R) (r = 0.62, p &lt; 0.001). This scoring method adequately captures neighborhood features in low-income, residential areas and may aid in delineating impact of specific built environment features on health behaviors and outcomes.</t>
        </is>
      </c>
      <c r="X318" t="inlineStr">
        <is>
          <t>[Adu-Brimpong, Joel; Thomas, Samantha] NIH, Undergrad Scholarship Program, Off Intramural Training &amp; Educ, Off Director, Bethesda, MD 20892 USA; [Coffey, Nathan] George Mason Univ, Sch Publ Hlth, Dept Global &amp; Community Hlth, Fairfax, VA 22030 USA; [Ayers, Colby] Univ Texas Southwestern Med Ctr Dallas, Donald W Reynolds Cardiovasc Clin Res Ctr, Dallas, TX 75390 USA; [Berrigan, David] NCI, Div Canc Control &amp; Populat Sci, Bethesda, MD 20892 USA; [Yingling, Leah R.; Mitchell, Valerie; Ahuja, Chaarushi; Rivers, Joshua; Hartz, Jacob; Powell-Wiley, Tiffany M.] NHLBI, Cardiovasc &amp; Pulm Branch, NIH, Bethesda, MD 20892 USA; [Hartz, Jacob] Childrens Natl Med Ctr, Div Cardiol, Washington, DC 20010 USA</t>
        </is>
      </c>
      <c r="Y318" t="inlineStr">
        <is>
          <t>National Institutes of Health (NIH) - USA; George Mason University; University of Texas System; University of Texas Southwestern Medical Center Dallas; National Institutes of Health (NIH) - USA; NIH National Cancer Institute (NCI); National Institutes of Health (NIH) - USA; NIH National Heart Lung &amp; Blood Institute (NHLBI); Children's National Health System</t>
        </is>
      </c>
      <c r="Z318" t="inlineStr">
        <is>
          <t>Powell-Wiley, TM (corresponding author), NHLBI, Cardiovasc &amp; Pulm Branch, NIH, Bethesda, MD 20892 USA.</t>
        </is>
      </c>
      <c r="AA318" t="inlineStr">
        <is>
          <t>joel.adu-brimpong@nih.gov; nathan.coffey4@gmail.com; colby.ayers@UTSouthwestern.edu; berrigad@mail.nih.gov; leah.yingling@nih.gov; samantha.thomas@nih.gov; valerie.mitchell@nih.gov; chaarushi.ahuja@nih.gov; joshua.rivers@nih.gov; jacob.hartz@nih.gov; tiffany.powell-wiley@nih.gov</t>
        </is>
      </c>
      <c r="AB318" t="inlineStr">
        <is>
          <t>Berrigan, David/AAF-1576-2020</t>
        </is>
      </c>
      <c r="AC318" t="inlineStr">
        <is>
          <t>Hartz, Jacob/0000-0002-6342-4236; Yingling, Leah/0000-0002-7851-690X; Adu-Brimpong, Joel/0000-0003-3716-6357; Berrigan, David/0000-0002-5333-179X</t>
        </is>
      </c>
      <c r="AD318" t="inlineStr">
        <is>
          <t>National Institutes of Health; Division of Intramural Research of the National Heart, Lung, and Blood Institute at the National Institutes of Health; Division of Cancer Control and Population Sciences of the National Cancer Institute at the National Institutes of Health</t>
        </is>
      </c>
      <c r="AE318" t="inlineStr">
        <is>
          <t>National Institutes of Health(United States Department of Health &amp; Human ServicesNational Institutes of Health (NIH) - USA); Division of Intramural Research of the National Heart, Lung, and Blood Institute at the National Institutes of Health; Division of Cancer Control and Population Sciences of the National Cancer Institute at the National Institutes of Health</t>
        </is>
      </c>
      <c r="AF318" t="inlineStr">
        <is>
          <t>We would like to acknowledge our study participants, members of DC Cardiovascular Health and Obesity Collaborative and our DC faith-based community partners for helping to make this research possible. We would also like to acknowledge all funding sources. The Powell-Wiley research group is funded by the Division of Intramural Research of the National Heart, Lung, and Blood Institute at the National Institutes of Health. David Berrigan is funded by the Division of Cancer Control and Population Sciences of the National Cancer Institute at the National Institutes of Health. This research is supported by the National Institutes of Health Undergraduate Scholarship Program via funding for Joel Adu-Brimpong and Samantha Thomas. The views expressed in this manuscript are those of the authors and do not necessarily represent the views of the National Heart, Lung, and Blood Institute; the National Institutes of Health; or the U.S. Department of Health and Human Services.</t>
        </is>
      </c>
      <c r="AH318" t="n">
        <v>39</v>
      </c>
      <c r="AI318" t="n">
        <v>14</v>
      </c>
      <c r="AJ318" t="n">
        <v>14</v>
      </c>
      <c r="AK318" t="n">
        <v>2</v>
      </c>
      <c r="AL318" t="n">
        <v>34</v>
      </c>
      <c r="AM318" t="inlineStr">
        <is>
          <t>MDPI</t>
        </is>
      </c>
      <c r="AN318" t="inlineStr">
        <is>
          <t>BASEL</t>
        </is>
      </c>
      <c r="AO318" t="inlineStr">
        <is>
          <t>ST ALBAN-ANLAGE 66, CH-4052 BASEL, SWITZERLAND</t>
        </is>
      </c>
      <c r="AP318" t="inlineStr">
        <is>
          <t>1660-4601</t>
        </is>
      </c>
      <c r="AS318" t="inlineStr">
        <is>
          <t>INT J ENV RES PUB HE</t>
        </is>
      </c>
      <c r="AT318" t="inlineStr">
        <is>
          <t>Int. J. Environ. Res. Public Health</t>
        </is>
      </c>
      <c r="AU318" t="inlineStr">
        <is>
          <t>MAR</t>
        </is>
      </c>
      <c r="AV318" t="n">
        <v>2017</v>
      </c>
      <c r="AW318" t="n">
        <v>14</v>
      </c>
      <c r="AX318" t="n">
        <v>3</v>
      </c>
      <c r="BE318" t="n">
        <v>273</v>
      </c>
      <c r="BF318" t="inlineStr">
        <is>
          <t>10.3390/ijerph14030273</t>
        </is>
      </c>
      <c r="BG318">
        <f>HYPERLINK("http://dx.doi.org/10.3390/ijerph14030273","http://dx.doi.org/10.3390/ijerph14030273")</f>
        <v/>
      </c>
      <c r="BJ318" t="n">
        <v>12</v>
      </c>
      <c r="BK318" t="inlineStr">
        <is>
          <t>Environmental Sciences; Public, Environmental &amp; Occupational Health</t>
        </is>
      </c>
      <c r="BL318" t="inlineStr">
        <is>
          <t>Science Citation Index Expanded (SCI-EXPANDED); Social Science Citation Index (SSCI)</t>
        </is>
      </c>
      <c r="BM318" t="inlineStr">
        <is>
          <t>Environmental Sciences &amp; Ecology; Public, Environmental &amp; Occupational Health</t>
        </is>
      </c>
      <c r="BN318" t="inlineStr">
        <is>
          <t>ER1BN</t>
        </is>
      </c>
      <c r="BO318" t="n">
        <v>28282878</v>
      </c>
      <c r="BP318" t="inlineStr">
        <is>
          <t>Green Published, gold, Green Submitted</t>
        </is>
      </c>
      <c r="BS318" t="inlineStr">
        <is>
          <t>2023-10-26</t>
        </is>
      </c>
      <c r="BT318" t="inlineStr">
        <is>
          <t>WOS:000398524100056</t>
        </is>
      </c>
      <c r="BU318">
        <f>HYPERLINK("https%3A%2F%2Fwww.webofscience.com%2Fwos%2Fwoscc%2Ffull-record%2FWOS:000398524100056","View Full Record in Web of Science")</f>
        <v/>
      </c>
    </row>
    <row r="319">
      <c r="A319" t="inlineStr">
        <is>
          <t>J</t>
        </is>
      </c>
      <c r="B319" t="inlineStr">
        <is>
          <t>Peters, T; D'Penna, K</t>
        </is>
      </c>
      <c r="F319" t="inlineStr">
        <is>
          <t>Peters, Terri; D'Penna, Kristen</t>
        </is>
      </c>
      <c r="J319" t="inlineStr">
        <is>
          <t>SUSTAINABILITY</t>
        </is>
      </c>
      <c r="M319" t="inlineStr">
        <is>
          <t>English</t>
        </is>
      </c>
      <c r="N319" t="inlineStr">
        <is>
          <t>Review</t>
        </is>
      </c>
      <c r="T319" t="inlineStr">
        <is>
          <t>Biophilic Design for Restorative University Learning Environments: A Critical Review of Literature and Design Recommendations</t>
        </is>
      </c>
      <c r="U319" t="inlineStr">
        <is>
          <t>biophilic design; biophilic patterns; architectural design; university campus; learning environments; wellbeing; restorative environmental design; salutogenic design</t>
        </is>
      </c>
      <c r="V319" t="inlineStr">
        <is>
          <t>PSYCHOLOGICAL BENEFITS; COGNITIVE PERFORMANCE; STUDENT PERCEPTIONS; PLACE ATTACHMENT; STRESS RECOVERY; EXPOSURE; GREEN; IMPACT; DEPRESSION; PATTERNS</t>
        </is>
      </c>
      <c r="W319" t="inlineStr">
        <is>
          <t>The influence of environmental design on people's wellbeing and productivity has been well studied in some settings such as offices, hospitals, and elementary schools, but salutogenic and biophilic design in urban post-secondary educational environments remains understudied and warrants closer investigation. There are unique challenges faced by these students and implementing health promoting and restorative, environmental design strategies could improve the quality of life and learning outcomes of university students. This paper identifies pertinent themes in published multi-disciplinary literature relating to the influence of the built environment on university students: emotional stress, happiness, stimulation, cognitive function, social support, belonging, places to study, lighting, and ventilation. The results of the semi-structured literature review identifies, analyzes, and categorizes relevant studies that examine nature views, nature images, natural colors, natural materials, auditory and olfactory aspects of nature, nature images with water, indoor plants, campus landscapes, study spaces, local materials and style, daylight access, and thermal and environmental comfort. These are organized according to the biophilic patterns identified by Browning, Ryan, and Clancy. Trends and gaps in understanding the influence of biophilic design on university settings are discussed, and the paper identifies evidence-based design recommendations for incorporating biophilic design in university settings.</t>
        </is>
      </c>
      <c r="X319" t="inlineStr">
        <is>
          <t>[Peters, Terri; D'Penna, Kristen] Ryerson Univ, Dept Architectural Sci, Toronto, ON M5B 2K3, Canada</t>
        </is>
      </c>
      <c r="Y319" t="inlineStr">
        <is>
          <t>Toronto Metropolitan University</t>
        </is>
      </c>
      <c r="Z319" t="inlineStr">
        <is>
          <t>Peters, T (corresponding author), Ryerson Univ, Dept Architectural Sci, Toronto, ON M5B 2K3, Canada.</t>
        </is>
      </c>
      <c r="AA319" t="inlineStr">
        <is>
          <t>Terri.Peters@Ryerson.ca; Kristen.Dpenna@Ryerson.ca</t>
        </is>
      </c>
      <c r="AC319" t="inlineStr">
        <is>
          <t>Peters, Terri/0000-0001-9029-3588</t>
        </is>
      </c>
      <c r="AD319" t="inlineStr">
        <is>
          <t>Dean's Research Fund Undergraduate Research Opportunity program in the Faculty of Engineering and Architectural Science at Ryerson University</t>
        </is>
      </c>
      <c r="AE319" t="inlineStr">
        <is>
          <t>Dean's Research Fund Undergraduate Research Opportunity program in the Faculty of Engineering and Architectural Science at Ryerson University</t>
        </is>
      </c>
      <c r="AF319" t="inlineStr">
        <is>
          <t>This research was partly funded by a grant from the Dean's Research Fund Undergraduate Research Opportunity program in the Faculty of Engineering and Architectural Science at Ryerson University.</t>
        </is>
      </c>
      <c r="AH319" t="n">
        <v>86</v>
      </c>
      <c r="AI319" t="n">
        <v>22</v>
      </c>
      <c r="AJ319" t="n">
        <v>24</v>
      </c>
      <c r="AK319" t="n">
        <v>37</v>
      </c>
      <c r="AL319" t="n">
        <v>210</v>
      </c>
      <c r="AM319" t="inlineStr">
        <is>
          <t>MDPI</t>
        </is>
      </c>
      <c r="AN319" t="inlineStr">
        <is>
          <t>BASEL</t>
        </is>
      </c>
      <c r="AO319" t="inlineStr">
        <is>
          <t>ST ALBAN-ANLAGE 66, CH-4052 BASEL, SWITZERLAND</t>
        </is>
      </c>
      <c r="AQ319" t="inlineStr">
        <is>
          <t>2071-1050</t>
        </is>
      </c>
      <c r="AS319" t="inlineStr">
        <is>
          <t>SUSTAINABILITY-BASEL</t>
        </is>
      </c>
      <c r="AT319" t="inlineStr">
        <is>
          <t>Sustainability</t>
        </is>
      </c>
      <c r="AU319" t="inlineStr">
        <is>
          <t>SEP</t>
        </is>
      </c>
      <c r="AV319" t="n">
        <v>2020</v>
      </c>
      <c r="AW319" t="n">
        <v>12</v>
      </c>
      <c r="AX319" t="n">
        <v>17</v>
      </c>
      <c r="BE319" t="n">
        <v>7064</v>
      </c>
      <c r="BF319" t="inlineStr">
        <is>
          <t>10.3390/su12177064</t>
        </is>
      </c>
      <c r="BG319">
        <f>HYPERLINK("http://dx.doi.org/10.3390/su12177064","http://dx.doi.org/10.3390/su12177064")</f>
        <v/>
      </c>
      <c r="BJ319" t="n">
        <v>17</v>
      </c>
      <c r="BK319" t="inlineStr">
        <is>
          <t>Green &amp; Sustainable Science &amp; Technology; Environmental Sciences; Environmental Studies</t>
        </is>
      </c>
      <c r="BL319" t="inlineStr">
        <is>
          <t>Science Citation Index Expanded (SCI-EXPANDED); Social Science Citation Index (SSCI)</t>
        </is>
      </c>
      <c r="BM319" t="inlineStr">
        <is>
          <t>Science &amp; Technology - Other Topics; Environmental Sciences &amp; Ecology</t>
        </is>
      </c>
      <c r="BN319" t="inlineStr">
        <is>
          <t>NP8AT</t>
        </is>
      </c>
      <c r="BP319" t="inlineStr">
        <is>
          <t>Green Published, gold</t>
        </is>
      </c>
      <c r="BS319" t="inlineStr">
        <is>
          <t>2023-10-26</t>
        </is>
      </c>
      <c r="BT319" t="inlineStr">
        <is>
          <t>WOS:000570394400001</t>
        </is>
      </c>
      <c r="BU319">
        <f>HYPERLINK("https%3A%2F%2Fwww.webofscience.com%2Fwos%2Fwoscc%2Ffull-record%2FWOS:000570394400001","View Full Record in Web of Science")</f>
        <v/>
      </c>
    </row>
    <row r="320">
      <c r="A320" t="inlineStr">
        <is>
          <t>J</t>
        </is>
      </c>
      <c r="B320" t="inlineStr">
        <is>
          <t>Attaianese, E; Alfano, FRD; Palella, BI; Pepe, D; Vanacore, R</t>
        </is>
      </c>
      <c r="F320" t="inlineStr">
        <is>
          <t>Attaianese, Erminia; d'Ambrosio Alfano, Francesca Romana; Palella, Boris Igor; Pepe, Daniela; Vanacore, Roberto</t>
        </is>
      </c>
      <c r="J320" t="inlineStr">
        <is>
          <t>ATMOSPHERE</t>
        </is>
      </c>
      <c r="M320" t="inlineStr">
        <is>
          <t>English</t>
        </is>
      </c>
      <c r="N320" t="inlineStr">
        <is>
          <t>Article</t>
        </is>
      </c>
      <c r="T320" t="inlineStr">
        <is>
          <t>An Integrated Methodology of Subjective Investigation for a Sustainable Indoor Built Environment. The Case Study of a University Campus in Italy</t>
        </is>
      </c>
      <c r="U320" t="inlineStr">
        <is>
          <t>indoor environmental quality; wayfinding; thermal comfort; indoor air quality; subjective surveys; university campus; sustainability</t>
        </is>
      </c>
      <c r="V320" t="inlineStr">
        <is>
          <t>ENERGY; QUALITY; PRODUCTIVITY; DESIGN; HEALTH</t>
        </is>
      </c>
      <c r="W320" t="inlineStr">
        <is>
          <t>Indoor built environments' design and management require a holistic approach inspired by ergonomic principles and sustainability criteria. This is especially in case of renovation of existing buildings where any kind of intervention requires the direct feedback of occupants. This work deals with two aspects of these issues, often studied separately: the quality of interior spaces, in terms of Indoor Environmental Quality (IEQ), and the quality of the architecture in terms of orientation and wayfinding. A methodology focused on the subjective evaluation of the IEQ giving relevance to users and their fruition needs is also proposed. Main findings from a specific subjective investigation carried out at the Fisciano Campus of the University of Salerno (Italy) demonstrate that the subjective approach is a valuable tool to make more sustainable intervention strategies. In this way, all multidisciplinary skills can be synergically involved in improving the livability of a complex reality as University Campuses are.</t>
        </is>
      </c>
      <c r="X320" t="inlineStr">
        <is>
          <t>[Attaianese, Erminia] Univ Napoli Federico II, Dipartimento Architettura DiARC, Via Toledo 402, I-80135 Naples, Italy; [d'Ambrosio Alfano, Francesca Romana; Pepe, Daniela] Univ Salerno, Dipartimento Ingn Ind DIIn, Via Giovanni Paolo II 132, I-84084 Fisciano, Italy; [Palella, Boris Igor] Univ Napoli Federico II, Dipartimento Ingn Ind DII, Piazzale Vincenzo Tecchio 80, I-80125 Naples, Italy; [Vanacore, Roberto] Univ Salerno, Dipartimento Ingn Civile DICIV, Via Giovanni Paolo II 132, I-84084 Fisciano, Italy</t>
        </is>
      </c>
      <c r="Y320" t="inlineStr">
        <is>
          <t>University of Naples Federico II; University of Salerno; University of Naples Federico II; University of Salerno</t>
        </is>
      </c>
      <c r="Z320" t="inlineStr">
        <is>
          <t>Palella, BI (corresponding author), Univ Napoli Federico II, Dipartimento Ingn Ind DII, Piazzale Vincenzo Tecchio 80, I-80125 Naples, Italy.</t>
        </is>
      </c>
      <c r="AA320" t="inlineStr">
        <is>
          <t>erminia.attaianese@unina.it; palella@unina.it</t>
        </is>
      </c>
      <c r="AB320" t="inlineStr">
        <is>
          <t>Palella, Boris Igor/B-6738-2012</t>
        </is>
      </c>
      <c r="AC320" t="inlineStr">
        <is>
          <t>Palella, Boris Igor/0000-0002-0010-4323; ATTAIANESE, Erminia/0000-0001-6728-953X; , Daniela/0000-0002-1782-0844; d'Ambrosio Alfano, Francesca Romana/0000-0002-0327-3800</t>
        </is>
      </c>
      <c r="AD320" t="inlineStr">
        <is>
          <t>University of Salerno [ORSA171572]</t>
        </is>
      </c>
      <c r="AE320" t="inlineStr">
        <is>
          <t>University of Salerno</t>
        </is>
      </c>
      <c r="AF320" t="inlineStr">
        <is>
          <t>This research was funded by University of Salerno, grant number ORSA171572.</t>
        </is>
      </c>
      <c r="AH320" t="n">
        <v>70</v>
      </c>
      <c r="AI320" t="n">
        <v>4</v>
      </c>
      <c r="AJ320" t="n">
        <v>4</v>
      </c>
      <c r="AK320" t="n">
        <v>2</v>
      </c>
      <c r="AL320" t="n">
        <v>12</v>
      </c>
      <c r="AM320" t="inlineStr">
        <is>
          <t>MDPI</t>
        </is>
      </c>
      <c r="AN320" t="inlineStr">
        <is>
          <t>BASEL</t>
        </is>
      </c>
      <c r="AO320" t="inlineStr">
        <is>
          <t>ST ALBAN-ANLAGE 66, CH-4052 BASEL, SWITZERLAND</t>
        </is>
      </c>
      <c r="AQ320" t="inlineStr">
        <is>
          <t>2073-4433</t>
        </is>
      </c>
      <c r="AS320" t="inlineStr">
        <is>
          <t>ATMOSPHERE-BASEL</t>
        </is>
      </c>
      <c r="AT320" t="inlineStr">
        <is>
          <t>Atmosphere</t>
        </is>
      </c>
      <c r="AU320" t="inlineStr">
        <is>
          <t>OCT</t>
        </is>
      </c>
      <c r="AV320" t="n">
        <v>2021</v>
      </c>
      <c r="AW320" t="n">
        <v>12</v>
      </c>
      <c r="AX320" t="n">
        <v>10</v>
      </c>
      <c r="BE320" t="n">
        <v>1272</v>
      </c>
      <c r="BF320" t="inlineStr">
        <is>
          <t>10.3390/atmos12101272</t>
        </is>
      </c>
      <c r="BG320">
        <f>HYPERLINK("http://dx.doi.org/10.3390/atmos12101272","http://dx.doi.org/10.3390/atmos12101272")</f>
        <v/>
      </c>
      <c r="BJ320" t="n">
        <v>26</v>
      </c>
      <c r="BK320" t="inlineStr">
        <is>
          <t>Environmental Sciences; Meteorology &amp; Atmospheric Sciences</t>
        </is>
      </c>
      <c r="BL320" t="inlineStr">
        <is>
          <t>Science Citation Index Expanded (SCI-EXPANDED)</t>
        </is>
      </c>
      <c r="BM320" t="inlineStr">
        <is>
          <t>Environmental Sciences &amp; Ecology; Meteorology &amp; Atmospheric Sciences</t>
        </is>
      </c>
      <c r="BN320" t="inlineStr">
        <is>
          <t>WP0VS</t>
        </is>
      </c>
      <c r="BP320" t="inlineStr">
        <is>
          <t>gold</t>
        </is>
      </c>
      <c r="BS320" t="inlineStr">
        <is>
          <t>2023-10-26</t>
        </is>
      </c>
      <c r="BT320" t="inlineStr">
        <is>
          <t>WOS:000712860700001</t>
        </is>
      </c>
      <c r="BU320">
        <f>HYPERLINK("https%3A%2F%2Fwww.webofscience.com%2Fwos%2Fwoscc%2Ffull-record%2FWOS:000712860700001","View Full Record in Web of Science")</f>
        <v/>
      </c>
    </row>
    <row r="321">
      <c r="A321" t="inlineStr">
        <is>
          <t>J</t>
        </is>
      </c>
      <c r="B321" t="inlineStr">
        <is>
          <t>Larkin, A; Krishna, A; Chen, LZ; Amram, O; Avery, AR; Duncan, GE; Hystad, P</t>
        </is>
      </c>
      <c r="F321" t="inlineStr">
        <is>
          <t>Larkin, Andrew; Krishna, Ajay; Chen, Lizhong; Amram, Ofer; Avery, Ally R.; Duncan, Glen E.; Hystad, Perry</t>
        </is>
      </c>
      <c r="J321" t="inlineStr">
        <is>
          <t>JOURNAL OF EXPOSURE SCIENCE AND ENVIRONMENTAL EPIDEMIOLOGY</t>
        </is>
      </c>
      <c r="M321" t="inlineStr">
        <is>
          <t>English</t>
        </is>
      </c>
      <c r="N321" t="inlineStr">
        <is>
          <t>Article</t>
        </is>
      </c>
      <c r="T321" t="inlineStr">
        <is>
          <t>Measuring and modelling perceptions of the built environment for epidemiological research using crowd-sourcing and image-based deep learning models</t>
        </is>
      </c>
      <c r="U321" t="inlineStr">
        <is>
          <t>Deep learning; perceptions; built environment; safety; nature quality; exposure assessment</t>
        </is>
      </c>
      <c r="V321" t="inlineStr">
        <is>
          <t>PHYSICAL-ACTIVITY; ASSOCIATIONS; EXPOSOME</t>
        </is>
      </c>
      <c r="W321" t="inlineStr">
        <is>
          <t>Background Perceptions of the built environment, such as nature quality, beauty, relaxation, and safety, may be key factors linking the built environment to human health. However, few studies have examined these types of perceptions due to the difficulty in quantifying them objectively in large populations. Objective To measure and predict perceptions of the built environment from street-view images using crowd-sourced methods and deep learning models for application in epidemiologic studies. Methods We used the Amazon Mechanical-Turk crowdsourcing platform where participants compared two street-view images and quantified perceptions of nature quality, beauty, relaxation, and safety. We optimized street-view image sampling methods to improve the quality and resulting perception data specific to participants enrolled in the Washington State Twin Registry (WSTR) health study. We used a transfer learning approach to train deep learning models by leveraging existing image perception data from the PlacePulse 2.0 dataset, which includes 1.1 million image comparisons, and refining based on new WSTR perception data. Resulting models were applied to WSTR addresses to estimate exposures and evaluate associations with traditional built environment measures. Results We collected over 36,000 image comparisons and calculated perception measures for each image. Our final deep learning models explained 77.6% of nature quality, 68.1% of beauty, 72.0% of relaxation, and 64.7% of safety in pairwise image comparisons. Applying transfer learning with the new perception labels specific to the WSTR yielded an average improvement of 3.8% for model performance. Perception measures were weakly to moderately correlated with traditional built environment exposures for WSTR participant addresses; for example, nature quality and NDVI (r = 0.55), neighborhood area deprivation (r = -0.16), and walkability (r = -0.20), respectively. Significance We were able to measure and model perceptions of the built environment optimized for a specific health study. Future applications will examine associations between these exposure measures and mental health in the WSTR. Impact statement Built environments influence health through complex pathways. Perceptions of nature quality, beauty, relaxation and safety may be particularly import for understanding these linkages, but few studies to-date have examined these perceptions objectively for large populations. For quantitative research, an exposure measure must be reproducible, accurate, and precise--here we work to develop such measures for perceptions of the urban environment. We created crowd-sourced and image-based deep learning methods that were able to measure and model these perceptions. Future applications will apply these models to examine associations with mental health in the Washington State Twin Registry.</t>
        </is>
      </c>
      <c r="X321" t="inlineStr">
        <is>
          <t>[Larkin, Andrew; Hystad, Perry] Oregon State Univ, Coll Publ Hlth &amp; Human Sci, Corvallis, OR 97331 USA; [Krishna, Ajay; Chen, Lizhong] Oregon State Univ, Coll Engn, Corvallis, OR 97331 USA; [Amram, Ofer; Avery, Ally R.; Duncan, Glen E.] Washington State Univ, Hlth Sci Spokane, Elson S Floyd Coll Med, Spokane, WA USA</t>
        </is>
      </c>
      <c r="Y321" t="inlineStr">
        <is>
          <t>Oregon State University; Oregon State University; Washington State University</t>
        </is>
      </c>
      <c r="Z321" t="inlineStr">
        <is>
          <t>Hystad, P (corresponding author), Oregon State Univ, Coll Publ Hlth &amp; Human Sci, Corvallis, OR 97331 USA.</t>
        </is>
      </c>
      <c r="AA321" t="inlineStr">
        <is>
          <t>Perry.Hystad@oregonstate.edu</t>
        </is>
      </c>
      <c r="AB321" t="inlineStr">
        <is>
          <t>Duncan, Glen E/A-3771-2008</t>
        </is>
      </c>
      <c r="AC321" t="inlineStr">
        <is>
          <t>Duncan, Glen E/0000-0001-6909-1869</t>
        </is>
      </c>
      <c r="AD321" t="inlineStr">
        <is>
          <t>National Institute Of Environmental Health Sciences of the National Institutes of Health [R21ES029722]</t>
        </is>
      </c>
      <c r="AE321" t="inlineStr">
        <is>
          <t>National Institute Of Environmental Health Sciences of the National Institutes of Health(United States Department of Health &amp; Human ServicesNational Institutes of Health (NIH) - USANIH National Institute of Environmental Health Sciences (NIEHS))</t>
        </is>
      </c>
      <c r="AF321" t="inlineStr">
        <is>
          <t>Research reported in this publication was supported by the National Institute Of Environmental Health Sciences of the National Institutes of Health under Award Number R21ES029722. The content is solely the responsibility of the authors and does not necessarily represent the official views of the National Institutes of Health.</t>
        </is>
      </c>
      <c r="AH321" t="n">
        <v>41</v>
      </c>
      <c r="AI321" t="n">
        <v>2</v>
      </c>
      <c r="AJ321" t="n">
        <v>2</v>
      </c>
      <c r="AK321" t="n">
        <v>7</v>
      </c>
      <c r="AL321" t="n">
        <v>23</v>
      </c>
      <c r="AM321" t="inlineStr">
        <is>
          <t>SPRINGERNATURE</t>
        </is>
      </c>
      <c r="AN321" t="inlineStr">
        <is>
          <t>LONDON</t>
        </is>
      </c>
      <c r="AO321" t="inlineStr">
        <is>
          <t>CAMPUS, 4 CRINAN ST, LONDON, N1 9XW, ENGLAND</t>
        </is>
      </c>
      <c r="AP321" t="inlineStr">
        <is>
          <t>1559-0631</t>
        </is>
      </c>
      <c r="AQ321" t="inlineStr">
        <is>
          <t>1559-064X</t>
        </is>
      </c>
      <c r="AS321" t="inlineStr">
        <is>
          <t>J EXPO SCI ENV EPID</t>
        </is>
      </c>
      <c r="AT321" t="inlineStr">
        <is>
          <t>J. Expo. Sci. Environ. Epidemiol.</t>
        </is>
      </c>
      <c r="AU321" t="inlineStr">
        <is>
          <t>NOV</t>
        </is>
      </c>
      <c r="AV321" t="n">
        <v>2022</v>
      </c>
      <c r="AW321" t="n">
        <v>32</v>
      </c>
      <c r="AX321" t="n">
        <v>6</v>
      </c>
      <c r="BA321" t="inlineStr">
        <is>
          <t>SI</t>
        </is>
      </c>
      <c r="BC321" t="n">
        <v>892</v>
      </c>
      <c r="BD321" t="n">
        <v>899</v>
      </c>
      <c r="BF321" t="inlineStr">
        <is>
          <t>10.1038/s41370-022-00489-8</t>
        </is>
      </c>
      <c r="BG321">
        <f>HYPERLINK("http://dx.doi.org/10.1038/s41370-022-00489-8","http://dx.doi.org/10.1038/s41370-022-00489-8")</f>
        <v/>
      </c>
      <c r="BI321" t="inlineStr">
        <is>
          <t>NOV 2022</t>
        </is>
      </c>
      <c r="BJ321" t="n">
        <v>8</v>
      </c>
      <c r="BK321" t="inlineStr">
        <is>
          <t>Environmental Sciences; Public, Environmental &amp; Occupational Health; Toxicology</t>
        </is>
      </c>
      <c r="BL321" t="inlineStr">
        <is>
          <t>Science Citation Index Expanded (SCI-EXPANDED)</t>
        </is>
      </c>
      <c r="BM321" t="inlineStr">
        <is>
          <t>Environmental Sciences &amp; Ecology; Public, Environmental &amp; Occupational Health; Toxicology</t>
        </is>
      </c>
      <c r="BN321" t="inlineStr">
        <is>
          <t>6W7VY</t>
        </is>
      </c>
      <c r="BO321" t="n">
        <v>36369372</v>
      </c>
      <c r="BP321" t="inlineStr">
        <is>
          <t>Green Published, Bronze</t>
        </is>
      </c>
      <c r="BS321" t="inlineStr">
        <is>
          <t>2023-10-26</t>
        </is>
      </c>
      <c r="BT321" t="inlineStr">
        <is>
          <t>WOS:000881914900002</t>
        </is>
      </c>
      <c r="BU321">
        <f>HYPERLINK("https%3A%2F%2Fwww.webofscience.com%2Fwos%2Fwoscc%2Ffull-record%2FWOS:000881914900002","View Full Record in Web of Science")</f>
        <v/>
      </c>
    </row>
    <row r="322">
      <c r="A322" t="inlineStr">
        <is>
          <t>J</t>
        </is>
      </c>
      <c r="B322" t="inlineStr">
        <is>
          <t>Wang, L; Sun, WY; Zhou, KC; Zhang, ML; Bao, PP</t>
        </is>
      </c>
      <c r="F322" t="inlineStr">
        <is>
          <t>Wang, Lan; Sun, Wenyao; Zhou, Kaichen; Zhang, Minlu; Bao, Pingping</t>
        </is>
      </c>
      <c r="J322" t="inlineStr">
        <is>
          <t>INTERNATIONAL JOURNAL OF ENVIRONMENTAL RESEARCH AND PUBLIC HEALTH</t>
        </is>
      </c>
      <c r="M322" t="inlineStr">
        <is>
          <t>English</t>
        </is>
      </c>
      <c r="N322" t="inlineStr">
        <is>
          <t>Article</t>
        </is>
      </c>
      <c r="T322" t="inlineStr">
        <is>
          <t>Spatial Analysis of Built Environment Risk for Respiratory Health and Its Implication for Urban Planning: A Case Study of Shanghai</t>
        </is>
      </c>
      <c r="U322" t="inlineStr">
        <is>
          <t>built environment; respiratory health; spatial analysis; geographical detector; urban planning</t>
        </is>
      </c>
      <c r="V322" t="inlineStr">
        <is>
          <t>LAND-USE REGRESSION; NEURAL-TUBE DEFECTS; LUNG-CANCER; AIR-POLLUTION; PHYSICAL-ACTIVITY; EPIDEMIOLOGY; EXPOSURE; DISEASE; LEVEL; CHINA</t>
        </is>
      </c>
      <c r="W322" t="inlineStr">
        <is>
          <t>Urban planning has been proven and is expected to promote public health by improving the built environment. With a focus on respiratory health, this paper explores the impact of the built environment on the incidence of lung cancer and its planning implications. While the occurrence of lung cancer is a complicated and cumulative process, it would be valuable to discover the potential risks of the built environment. Based on the data of 52,009 lung cancer cases in Shanghai, China from 2009 to 2013, this paper adopts spatial analytical methods to unravel the spatial distribution of lung cancer cases. With the assistance of geographic information system and Geo-Detector, this paper identifies certain built environments that are correlated with the distribution pattern of lung cancer cases in Shanghai, including the percentage of industrial land (which explains 28% of the cases), location factors (11%), and the percentages of cultivated land and green space (6% and 5%, respectively). Based on the quantitative study, this paper facilitates additional consideration and planning intervention measures for respiratory health such as green buffering. It is an ecological study to illustrate correlation that provides approaches for further study to unravel the causality of disease incidence and the built environment.</t>
        </is>
      </c>
      <c r="X322" t="inlineStr">
        <is>
          <t>[Wang, Lan; Sun, Wenyao; Zhou, Kaichen] Tongji Univ, Coll Architecture &amp; Urban Planning, 1239 Siping Rd, Shanghai 200092, Peoples R China; [Zhang, Minlu; Bao, Pingping] Shanghai Ctr Dis Prevent &amp; Control, Shanghai 200336, Peoples R China</t>
        </is>
      </c>
      <c r="Y322" t="inlineStr">
        <is>
          <t>Tongji University; Shanghai Center for Disease Control &amp; Prevention</t>
        </is>
      </c>
      <c r="Z322" t="inlineStr">
        <is>
          <t>Wang, L (corresponding author), Tongji Univ, Coll Architecture &amp; Urban Planning, 1239 Siping Rd, Shanghai 200092, Peoples R China.;Bao, PP (corresponding author), Shanghai Ctr Dis Prevent &amp; Control, Shanghai 200336, Peoples R China.</t>
        </is>
      </c>
      <c r="AA322" t="inlineStr">
        <is>
          <t>wanglan@tongji.edu.cn; 1630043@tongji.edu.cn; 1730042@tongji.edu.cn; zhangminlu@scdc.sh.cn; baopingping@scdc.sh.cn</t>
        </is>
      </c>
      <c r="AD322" t="inlineStr">
        <is>
          <t>NNSFC [41871359, 51578384]</t>
        </is>
      </c>
      <c r="AE322" t="inlineStr">
        <is>
          <t>NNSFC(National Natural Science Foundation of China (NSFC))</t>
        </is>
      </c>
      <c r="AF322" t="inlineStr">
        <is>
          <t>This research was funded by NNSFC, 41871359, 51578384.</t>
        </is>
      </c>
      <c r="AH322" t="n">
        <v>56</v>
      </c>
      <c r="AI322" t="n">
        <v>6</v>
      </c>
      <c r="AJ322" t="n">
        <v>9</v>
      </c>
      <c r="AK322" t="n">
        <v>5</v>
      </c>
      <c r="AL322" t="n">
        <v>47</v>
      </c>
      <c r="AM322" t="inlineStr">
        <is>
          <t>MDPI</t>
        </is>
      </c>
      <c r="AN322" t="inlineStr">
        <is>
          <t>BASEL</t>
        </is>
      </c>
      <c r="AO322" t="inlineStr">
        <is>
          <t>ST ALBAN-ANLAGE 66, CH-4052 BASEL, SWITZERLAND</t>
        </is>
      </c>
      <c r="AQ322" t="inlineStr">
        <is>
          <t>1660-4601</t>
        </is>
      </c>
      <c r="AS322" t="inlineStr">
        <is>
          <t>INT J ENV RES PUB HE</t>
        </is>
      </c>
      <c r="AT322" t="inlineStr">
        <is>
          <t>Int. J. Environ. Res. Public Health</t>
        </is>
      </c>
      <c r="AU322" t="inlineStr">
        <is>
          <t>APR 2</t>
        </is>
      </c>
      <c r="AV322" t="n">
        <v>2019</v>
      </c>
      <c r="AW322" t="n">
        <v>16</v>
      </c>
      <c r="AX322" t="n">
        <v>8</v>
      </c>
      <c r="BE322" t="n">
        <v>1455</v>
      </c>
      <c r="BF322" t="inlineStr">
        <is>
          <t>10.3390/ijerph16081455</t>
        </is>
      </c>
      <c r="BG322">
        <f>HYPERLINK("http://dx.doi.org/10.3390/ijerph16081455","http://dx.doi.org/10.3390/ijerph16081455")</f>
        <v/>
      </c>
      <c r="BJ322" t="n">
        <v>16</v>
      </c>
      <c r="BK322" t="inlineStr">
        <is>
          <t>Environmental Sciences; Public, Environmental &amp; Occupational Health</t>
        </is>
      </c>
      <c r="BL322" t="inlineStr">
        <is>
          <t>Science Citation Index Expanded (SCI-EXPANDED); Social Science Citation Index (SSCI)</t>
        </is>
      </c>
      <c r="BM322" t="inlineStr">
        <is>
          <t>Environmental Sciences &amp; Ecology; Public, Environmental &amp; Occupational Health</t>
        </is>
      </c>
      <c r="BN322" t="inlineStr">
        <is>
          <t>HX9RX</t>
        </is>
      </c>
      <c r="BO322" t="n">
        <v>31022924</v>
      </c>
      <c r="BP322" t="inlineStr">
        <is>
          <t>Green Published, Green Submitted, gold</t>
        </is>
      </c>
      <c r="BS322" t="inlineStr">
        <is>
          <t>2023-10-26</t>
        </is>
      </c>
      <c r="BT322" t="inlineStr">
        <is>
          <t>WOS:000467747100148</t>
        </is>
      </c>
      <c r="BU322">
        <f>HYPERLINK("https%3A%2F%2Fwww.webofscience.com%2Fwos%2Fwoscc%2Ffull-record%2FWOS:000467747100148","View Full Record in Web of Science")</f>
        <v/>
      </c>
    </row>
    <row r="323">
      <c r="A323" t="inlineStr">
        <is>
          <t>J</t>
        </is>
      </c>
      <c r="B323" t="inlineStr">
        <is>
          <t>Liao, Y; Huang, PH; Hsiang, CY; Huang, JH; Hsueh, MC; Park, JH</t>
        </is>
      </c>
      <c r="F323" t="inlineStr">
        <is>
          <t>Liao, Yung; Huang, Pin-Hsuan; Hsiang, Chih-Yu; Huang, Jing-Huei; Hsueh, Ming-Chun; Park, Jong-Hwan</t>
        </is>
      </c>
      <c r="J323" t="inlineStr">
        <is>
          <t>INTERNATIONAL JOURNAL OF ENVIRONMENTAL RESEARCH AND PUBLIC HEALTH</t>
        </is>
      </c>
      <c r="M323" t="inlineStr">
        <is>
          <t>English</t>
        </is>
      </c>
      <c r="N323" t="inlineStr">
        <is>
          <t>Article</t>
        </is>
      </c>
      <c r="T323" t="inlineStr">
        <is>
          <t>Associations of Older Taiwanese Adults' Personal Attributes and Perceptions of the Neighborhood Environment Concerning Walking for Recreation and Transportation</t>
        </is>
      </c>
      <c r="U323" t="inlineStr">
        <is>
          <t>perceived environment; physical activity; Taiwan</t>
        </is>
      </c>
      <c r="V323" t="inlineStr">
        <is>
          <t>PHYSICAL-ACTIVITY; WEIGHT</t>
        </is>
      </c>
      <c r="W323" t="inlineStr">
        <is>
          <t>This study examines the cross-sectional associations between personal and perceived neighborhood environment attributes regarding walking for recreation and transportation among older Taiwanese adults. Data related to personal factors, perceived environmental factors, and time spent engaging in transportation-related and recreational walking were obtained from 1032 older adults aged 65 years and above. The data were analyzed by carrying out an adjusted binary logistic regression. After adjusting for potential confounders, two commonly perceived environmental factors, the presence of sidewalks (PS) and the presence of a destination (PD), were positively associated with 150 min of walking for recreation. Different personal and perceived environmental factors were associated with walking for recreation and transportation. These findings suggest that policy-makers and physical activity intervention designers should develop both common and individual environmental strategies in order to improve and increase awareness of the neighborhood environment to promote recreational and transportation walking behaviors among older adults.</t>
        </is>
      </c>
      <c r="X323" t="inlineStr">
        <is>
          <t>[Liao, Yung; Huang, Pin-Hsuan; Hsiang, Chih-Yu] Natl Taiwan Normal Univ, Dept Hlth Promot &amp; Hlth Educ, 162 Heping East Rd Sect 1, Taipei 106, Taiwan; [Huang, Jing-Huei] Temple Univ, Sch Tourism &amp; Hospitality Management, 1801 N Broad St, Philadelphia, PA 19122 USA; [Hsueh, Ming-Chun] Natl Taiwan Normal Univ, Dept Phys Educ, Taipei 106, Taiwan; [Park, Jong-Hwan] Dong A Univ, Inst Convergence Biohlth, 32 Daeshingongwon Ro, Busan 49201, South Korea</t>
        </is>
      </c>
      <c r="Y323" t="inlineStr">
        <is>
          <t>National Taiwan Normal University; Pennsylvania Commonwealth System of Higher Education (PCSHE); Temple University; National Taiwan Normal University; Dong A University</t>
        </is>
      </c>
      <c r="Z323" t="inlineStr">
        <is>
          <t>Park, JH (corresponding author), Dong A Univ, Inst Convergence Biohlth, 32 Daeshingongwon Ro, Busan 49201, South Korea.</t>
        </is>
      </c>
      <c r="AA323" t="inlineStr">
        <is>
          <t>liaoyung@ntnu.edu.tw; victorlove1610@gmail.com; vivianhsiang0301@gmail.com; jhuang32@ncsu.edu; boxeo19912016@gmail.com; jpark@dau.ac.kr</t>
        </is>
      </c>
      <c r="AC323" t="inlineStr">
        <is>
          <t>Park, Jong-Hwan/0000-0003-2815-7248</t>
        </is>
      </c>
      <c r="AD323" t="inlineStr">
        <is>
          <t>Ministry of Education of the Republic of Korea; National Research Foundation of Korea (NRF) [NRF-2017S1A2A2038558]; National Research Foundation of Korea [2017S1A2A2038558] Funding Source: Korea Institute of Science &amp; Technology Information (KISTI), National Science &amp; Technology Information Service (NTIS)</t>
        </is>
      </c>
      <c r="AE323" t="inlineStr">
        <is>
          <t>Ministry of Education of the Republic of Korea(Ministry of Education (MOE), Republic of Korea); National Research Foundation of Korea (NRF)(National Research Foundation of Korea); National Research Foundation of Korea(National Research Foundation of Korea)</t>
        </is>
      </c>
      <c r="AF323" t="inlineStr">
        <is>
          <t>This work was supported by a Global Research Network program through the Ministry of Education of the Republic of Korea and the National Research Foundation of Korea (NRF-Project number) (NRF-2017S1A2A2038558).</t>
        </is>
      </c>
      <c r="AH323" t="n">
        <v>27</v>
      </c>
      <c r="AI323" t="n">
        <v>13</v>
      </c>
      <c r="AJ323" t="n">
        <v>13</v>
      </c>
      <c r="AK323" t="n">
        <v>0</v>
      </c>
      <c r="AL323" t="n">
        <v>7</v>
      </c>
      <c r="AM323" t="inlineStr">
        <is>
          <t>MDPI</t>
        </is>
      </c>
      <c r="AN323" t="inlineStr">
        <is>
          <t>BASEL</t>
        </is>
      </c>
      <c r="AO323" t="inlineStr">
        <is>
          <t>ST ALBAN-ANLAGE 66, CH-4052 BASEL, SWITZERLAND</t>
        </is>
      </c>
      <c r="AQ323" t="inlineStr">
        <is>
          <t>1660-4601</t>
        </is>
      </c>
      <c r="AS323" t="inlineStr">
        <is>
          <t>INT J ENV RES PUB HE</t>
        </is>
      </c>
      <c r="AT323" t="inlineStr">
        <is>
          <t>Int. J. Environ. Res. Public Health</t>
        </is>
      </c>
      <c r="AU323" t="inlineStr">
        <is>
          <t>DEC</t>
        </is>
      </c>
      <c r="AV323" t="n">
        <v>2017</v>
      </c>
      <c r="AW323" t="n">
        <v>14</v>
      </c>
      <c r="AX323" t="n">
        <v>12</v>
      </c>
      <c r="BE323" t="n">
        <v>1594</v>
      </c>
      <c r="BF323" t="inlineStr">
        <is>
          <t>10.3390/ijerph14121594</t>
        </is>
      </c>
      <c r="BG323">
        <f>HYPERLINK("http://dx.doi.org/10.3390/ijerph14121594","http://dx.doi.org/10.3390/ijerph14121594")</f>
        <v/>
      </c>
      <c r="BJ323" t="n">
        <v>10</v>
      </c>
      <c r="BK323" t="inlineStr">
        <is>
          <t>Environmental Sciences; Public, Environmental &amp; Occupational Health</t>
        </is>
      </c>
      <c r="BL323" t="inlineStr">
        <is>
          <t>Science Citation Index Expanded (SCI-EXPANDED); Social Science Citation Index (SSCI)</t>
        </is>
      </c>
      <c r="BM323" t="inlineStr">
        <is>
          <t>Environmental Sciences &amp; Ecology; Public, Environmental &amp; Occupational Health</t>
        </is>
      </c>
      <c r="BN323" t="inlineStr">
        <is>
          <t>FU2SD</t>
        </is>
      </c>
      <c r="BO323" t="n">
        <v>29258241</v>
      </c>
      <c r="BP323" t="inlineStr">
        <is>
          <t>Green Submitted, Green Published, gold</t>
        </is>
      </c>
      <c r="BS323" t="inlineStr">
        <is>
          <t>2023-10-26</t>
        </is>
      </c>
      <c r="BT323" t="inlineStr">
        <is>
          <t>WOS:000423699400156</t>
        </is>
      </c>
      <c r="BU323">
        <f>HYPERLINK("https%3A%2F%2Fwww.webofscience.com%2Fwos%2Fwoscc%2Ffull-record%2FWOS:000423699400156","View Full Record in Web of Science")</f>
        <v/>
      </c>
    </row>
    <row r="324">
      <c r="A324" t="inlineStr">
        <is>
          <t>J</t>
        </is>
      </c>
      <c r="B324" t="inlineStr">
        <is>
          <t>Langer, S; Ramalho, O; Derbez, M; Ribéron, J; Kirchner, S; Mandin, C</t>
        </is>
      </c>
      <c r="F324" t="inlineStr">
        <is>
          <t>Langer, Sarka; Ramalho, Olivier; Derbez, Mickael; Riberon, Jacques; Kirchner, Severine; Mandin, Corinne</t>
        </is>
      </c>
      <c r="J324" t="inlineStr">
        <is>
          <t>ATMOSPHERIC ENVIRONMENT</t>
        </is>
      </c>
      <c r="M324" t="inlineStr">
        <is>
          <t>English</t>
        </is>
      </c>
      <c r="N324" t="inlineStr">
        <is>
          <t>Article</t>
        </is>
      </c>
      <c r="T324" t="inlineStr">
        <is>
          <t>Indoor environmental quality in French dwellings and building characteristics</t>
        </is>
      </c>
      <c r="U324" t="inlineStr">
        <is>
          <t>Indoor air quality; Building characteristics; Sampling season; Air exchange rate; Organic compounds; Particles</t>
        </is>
      </c>
      <c r="V324" t="inlineStr">
        <is>
          <t>AIR EXCHANGE-RATES; FORMALDEHYDE; OUTDOOR; TEMPERATURE; HUMIDITY; EMISSIONS; IMPACT; HOMES</t>
        </is>
      </c>
      <c r="W324" t="inlineStr">
        <is>
          <t>A national survey on indoor environmental quality covering 567 residences in mainland France was performed during 2003-2005. The measured parameters were temperature, relative humidity, CO2, and the indoor air pollutants: fourteen individual volatile organic compounds (VOC), four aldehydes and particulate matter PM10 and PM2.5. The measured indoor concentrations were analyzed for correlations with the building characteristics: type of dwelling, period of construction, dwelling location, type of ventilation system, building material, attached garage and retrofitting. The median night time air exchange rate (AER) for all dwellings was 0.44 h(-1). The night time AER was higher in apartments (median = 0.49 h(-1)) than in single-family houses (median = 0.41 h(-1)). Concentration of formaldehyde was approximately 30% higher in dwellings built after 1990 compared with older ones; it was higher in dwellings with mechanical ventilation and in concrete buildings. The VOC concentrations depended on the building characteristics to various extents. The sampling season influenced the majority of the indoor climate parameters and the concentrations of the air pollutants to a higher degree than the building characteristics. Multivariate linear regression models revealed that the indoor outdoor difference in specific humidity, a proxy for number of occupants and their indoor activities, remained a significant predictor for most gaseous and particulate air pollutants. The other strong predictors were outdoor concentration, smoking, attached garage and AER (in descending order). (C) 2015 Elsevier Ltd. All rights reserved.</t>
        </is>
      </c>
      <c r="X324" t="inlineStr">
        <is>
          <t>[Langer, Sarka] IVL Svenska Miljoinst AB, POB 53021, SE-40014 Gothenburg, Sweden; [Ramalho, Olivier; Derbez, Mickael; Riberon, Jacques; Kirchner, Severine; Mandin, Corinne] Univ Paris Est, Sci &amp; Tech Ctr Bldg CSTB, Observ Qualite Air Interieur, 84 Ave Jean Jaures, F-77477 Champs Sur Marne 2, Marne La Vallee, France</t>
        </is>
      </c>
      <c r="Y324" t="inlineStr">
        <is>
          <t>Universite Gustave-Eiffel</t>
        </is>
      </c>
      <c r="Z324" t="inlineStr">
        <is>
          <t>Langer, S (corresponding author), IVL Svenska Miljoinst AB, POB 53021, SE-40014 Gothenburg, Sweden.</t>
        </is>
      </c>
      <c r="AA324" t="inlineStr">
        <is>
          <t>sarka.langer@ivl.se</t>
        </is>
      </c>
      <c r="AB324" t="inlineStr">
        <is>
          <t>Ramalho, Olivier/L-7800-2014; Langer, Sarka/A-4076-2011</t>
        </is>
      </c>
      <c r="AC324" t="inlineStr">
        <is>
          <t>Ramalho, Olivier/0000-0001-8848-3788; Langer, Sarka/0000-0002-6580-8911; Mandin, Corinne/0000-0001-8462-8812</t>
        </is>
      </c>
      <c r="AD324" t="inlineStr">
        <is>
          <t>Ministries in charge of Construction, Environment and Health [Y03.01, Y04.01, Y04.26, Y05.25, Y06.11]; Scientific and Technical Building Centre (CSTB); French Agency for the Environment and Energy Control (ADEME) [01.62.026]; French Agency for Housing Improvement (ANAH) [du 05/05/04]; Carnot Programme</t>
        </is>
      </c>
      <c r="AE324" t="inlineStr">
        <is>
          <t>Ministries in charge of Construction, Environment and Health; Scientific and Technical Building Centre (CSTB); French Agency for the Environment and Energy Control (ADEME); French Agency for Housing Improvement (ANAH); Carnot Programme</t>
        </is>
      </c>
      <c r="AF324" t="inlineStr">
        <is>
          <t>This study was supported by the Ministries in charge of Construction, Environment and Health (Grants Y03.01, Y04.01, Y04.26, Y05.25, Y06.11 and Convention du 14 octobre 2003), the Scientific and Technical Building Centre (CSTB), the French Agency for the Environment and Energy Control (ADEME) (Grant 01.62.026), and the French Agency for Housing Improvement (ANAH) (Accord de Cooperation du 05/05/04).; The authors also thank the participating families and all of the experts and field/laboratory technicians who assisted in this national survey. The authors thank Eline Le Ponner from CSTB for her help with the statistical models. Preparation of this manuscript was carried out during a scientific visit at CSTB (SL) and was kindly supported by a grant from Carnot Programme (Grant 2010).</t>
        </is>
      </c>
      <c r="AH324" t="n">
        <v>44</v>
      </c>
      <c r="AI324" t="n">
        <v>96</v>
      </c>
      <c r="AJ324" t="n">
        <v>96</v>
      </c>
      <c r="AK324" t="n">
        <v>3</v>
      </c>
      <c r="AL324" t="n">
        <v>88</v>
      </c>
      <c r="AM324" t="inlineStr">
        <is>
          <t>PERGAMON-ELSEVIER SCIENCE LTD</t>
        </is>
      </c>
      <c r="AN324" t="inlineStr">
        <is>
          <t>OXFORD</t>
        </is>
      </c>
      <c r="AO324" t="inlineStr">
        <is>
          <t>THE BOULEVARD, LANGFORD LANE, KIDLINGTON, OXFORD OX5 1GB, ENGLAND</t>
        </is>
      </c>
      <c r="AP324" t="inlineStr">
        <is>
          <t>1352-2310</t>
        </is>
      </c>
      <c r="AQ324" t="inlineStr">
        <is>
          <t>1873-2844</t>
        </is>
      </c>
      <c r="AS324" t="inlineStr">
        <is>
          <t>ATMOS ENVIRON</t>
        </is>
      </c>
      <c r="AT324" t="inlineStr">
        <is>
          <t>Atmos. Environ.</t>
        </is>
      </c>
      <c r="AU324" t="inlineStr">
        <is>
          <t>MAR</t>
        </is>
      </c>
      <c r="AV324" t="n">
        <v>2016</v>
      </c>
      <c r="AW324" t="n">
        <v>128</v>
      </c>
      <c r="BC324" t="n">
        <v>82</v>
      </c>
      <c r="BD324" t="n">
        <v>91</v>
      </c>
      <c r="BF324" t="inlineStr">
        <is>
          <t>10.1016/j.atmosenv.2015.12.060</t>
        </is>
      </c>
      <c r="BG324">
        <f>HYPERLINK("http://dx.doi.org/10.1016/j.atmosenv.2015.12.060","http://dx.doi.org/10.1016/j.atmosenv.2015.12.060")</f>
        <v/>
      </c>
      <c r="BJ324" t="n">
        <v>10</v>
      </c>
      <c r="BK324" t="inlineStr">
        <is>
          <t>Environmental Sciences; Meteorology &amp; Atmospheric Sciences</t>
        </is>
      </c>
      <c r="BL324" t="inlineStr">
        <is>
          <t>Science Citation Index Expanded (SCI-EXPANDED)</t>
        </is>
      </c>
      <c r="BM324" t="inlineStr">
        <is>
          <t>Environmental Sciences &amp; Ecology; Meteorology &amp; Atmospheric Sciences</t>
        </is>
      </c>
      <c r="BN324" t="inlineStr">
        <is>
          <t>DL6EH</t>
        </is>
      </c>
      <c r="BS324" t="inlineStr">
        <is>
          <t>2023-10-26</t>
        </is>
      </c>
      <c r="BT324" t="inlineStr">
        <is>
          <t>WOS:000375731900008</t>
        </is>
      </c>
      <c r="BU324">
        <f>HYPERLINK("https%3A%2F%2Fwww.webofscience.com%2Fwos%2Fwoscc%2Ffull-record%2FWOS:000375731900008","View Full Record in Web of Science")</f>
        <v/>
      </c>
    </row>
    <row r="325">
      <c r="A325" t="inlineStr">
        <is>
          <t>J</t>
        </is>
      </c>
      <c r="B325" t="inlineStr">
        <is>
          <t>Wu, H; Wang, HB; Liu, DY; Cao, Y; Qu, YW</t>
        </is>
      </c>
      <c r="F325" t="inlineStr">
        <is>
          <t>Wu, Hao; Wang, Hongbin; Liu, Duanyang; Cao, Yang; Qu, Yawei</t>
        </is>
      </c>
      <c r="J325" t="inlineStr">
        <is>
          <t>SUSTAINABILITY</t>
        </is>
      </c>
      <c r="M325" t="inlineStr">
        <is>
          <t>English</t>
        </is>
      </c>
      <c r="N325" t="inlineStr">
        <is>
          <t>Article</t>
        </is>
      </c>
      <c r="T325" t="inlineStr">
        <is>
          <t>The Impact of the Neighborhood Built Environment on the Commuting Patterns and Health of Patients with Chronic Diseases: A Case Study of Changshu, China</t>
        </is>
      </c>
      <c r="U325" t="inlineStr">
        <is>
          <t>commuter patterns; neighborhood built environment; patients with chronic diseases; SEM; Changshu City</t>
        </is>
      </c>
      <c r="V325" t="inlineStr">
        <is>
          <t>MODE CHOICE; PHYSICAL-ACTIVITY; TRAVEL DEMAND; CITY; ASSOCIATIONS; PERCEPTIONS; JOURNEYS; WALKING</t>
        </is>
      </c>
      <c r="W325" t="inlineStr">
        <is>
          <t>The health of patients with chronic diseases is affected not only by factors such as eating and living habits, but also by the neighborhood built environment, and by travel conditions. Using 18 blocks in the main urban area of Changshu, China, we performed structural equation modelling, to explore the relationships between the neighborhood built environment, the commuting patterns of patients with chronic diseases, and patient health. We first divided the commuting patterns into four categories-walking/biking, public transportation, electric vehicles/motorcycles, and cars-and conducted a street-scale questionnaire survey. Secondly, we divided 'health' into three latent variables-physical health, mental health, and healthy behavior-and analyzed the factors influencing the street environment. Finally, we verified our theoretical framework through a mathematical statistical analysis model. We found that: (1) service facility, environmental quality, and community safety perception in the neighborhood built environment significantly impacted commuting patterns; (2) the patient's physical health was significantly correlated with healthy behaviors and daily commuting patterns; and (3) socioeconomic attributes directly affected neighborhood environmental satisfaction, and indirectly affected the patient's health. Neighborhood environmental satisfaction also directly affected the patient's health, and there was a cross-influence relationship between these factors. We propose strengthening the walkability and connectivity of the neighborhood built environment, and improving the health awareness of patients, and their willingness to participate in healthy behaviors.</t>
        </is>
      </c>
      <c r="X325" t="inlineStr">
        <is>
          <t>[Wu, Hao; Wang, Hongbin; Liu, Duanyang] China Meteorol Adm, Key Lab Transportat Meteorol, Nanjing Joint Inst Atmospher Sci, Nanjing 210041, Peoples R China; [Cao, Yang] Jiangsu Prov City Layout Design Res Inst, Nanjing 210036, Peoples R China; [Qu, Yawei] Jinling Inst Technol, Coll Intelligent Sci &amp; Control Engn, Nanjing 211169, Peoples R China</t>
        </is>
      </c>
      <c r="Y325" t="inlineStr">
        <is>
          <t>China Meteorological Administration; Jinling Institute of Technology</t>
        </is>
      </c>
      <c r="Z325" t="inlineStr">
        <is>
          <t>Wang, HB (corresponding author), China Meteorol Adm, Key Lab Transportat Meteorol, Nanjing Joint Inst Atmospher Sci, Nanjing 210041, Peoples R China.</t>
        </is>
      </c>
      <c r="AA325" t="inlineStr">
        <is>
          <t>wanghb@cma.gov.cn</t>
        </is>
      </c>
      <c r="AC325" t="inlineStr">
        <is>
          <t>QU, YAWEI/0000-0001-7153-7567</t>
        </is>
      </c>
      <c r="AD325" t="inlineStr">
        <is>
          <t>Basic Research Fund of CAMS [2022Y023]; 333 Project of Jiangsu Province [BRA2018420]; Beijige foundation of NJIAS [BJG202209]; Jiangsu Innovative and Enterpreneurial Talent Programme [JSSCBS20221645]; Research Fundation of Jinling Institute of Technology [JIT-B-202108]</t>
        </is>
      </c>
      <c r="AE325" t="inlineStr">
        <is>
          <t>Basic Research Fund of CAMS; 333 Project of Jiangsu Province(Natural Science Foundation of Jiangsu Province); Beijige foundation of NJIAS; Jiangsu Innovative and Enterpreneurial Talent Programme; Research Fundation of Jinling Institute of Technology</t>
        </is>
      </c>
      <c r="AF325" t="inlineStr">
        <is>
          <t>This research was funded by the Basic Research Fund of CAMS (Grant No. 2022Y023), the 333 Project of Jiangsu Province (BRA2018420), the Beijige foundation of NJIAS (BJG202209), the Jiangsu Innovative and Enterpreneurial Talent Programme (JSSCBS20221645) and the Research Fundation of Jinling Institute of Technology (JIT-B-202108).</t>
        </is>
      </c>
      <c r="AH325" t="n">
        <v>49</v>
      </c>
      <c r="AI325" t="n">
        <v>1</v>
      </c>
      <c r="AJ325" t="n">
        <v>1</v>
      </c>
      <c r="AK325" t="n">
        <v>14</v>
      </c>
      <c r="AL325" t="n">
        <v>32</v>
      </c>
      <c r="AM325" t="inlineStr">
        <is>
          <t>MDPI</t>
        </is>
      </c>
      <c r="AN325" t="inlineStr">
        <is>
          <t>BASEL</t>
        </is>
      </c>
      <c r="AO325" t="inlineStr">
        <is>
          <t>ST ALBAN-ANLAGE 66, CH-4052 BASEL, SWITZERLAND</t>
        </is>
      </c>
      <c r="AQ325" t="inlineStr">
        <is>
          <t>2071-1050</t>
        </is>
      </c>
      <c r="AS325" t="inlineStr">
        <is>
          <t>SUSTAINABILITY-BASEL</t>
        </is>
      </c>
      <c r="AT325" t="inlineStr">
        <is>
          <t>Sustainability</t>
        </is>
      </c>
      <c r="AU325" t="inlineStr">
        <is>
          <t>SEP</t>
        </is>
      </c>
      <c r="AV325" t="n">
        <v>2022</v>
      </c>
      <c r="AW325" t="n">
        <v>14</v>
      </c>
      <c r="AX325" t="n">
        <v>18</v>
      </c>
      <c r="BE325" t="n">
        <v>11201</v>
      </c>
      <c r="BF325" t="inlineStr">
        <is>
          <t>10.3390/su141811201</t>
        </is>
      </c>
      <c r="BG325">
        <f>HYPERLINK("http://dx.doi.org/10.3390/su141811201","http://dx.doi.org/10.3390/su141811201")</f>
        <v/>
      </c>
      <c r="BJ325" t="n">
        <v>19</v>
      </c>
      <c r="BK325" t="inlineStr">
        <is>
          <t>Green &amp; Sustainable Science &amp; Technology; Environmental Sciences; Environmental Studies</t>
        </is>
      </c>
      <c r="BL325" t="inlineStr">
        <is>
          <t>Science Citation Index Expanded (SCI-EXPANDED); Social Science Citation Index (SSCI)</t>
        </is>
      </c>
      <c r="BM325" t="inlineStr">
        <is>
          <t>Science &amp; Technology - Other Topics; Environmental Sciences &amp; Ecology</t>
        </is>
      </c>
      <c r="BN325" t="inlineStr">
        <is>
          <t>4S9GS</t>
        </is>
      </c>
      <c r="BP325" t="inlineStr">
        <is>
          <t>gold</t>
        </is>
      </c>
      <c r="BS325" t="inlineStr">
        <is>
          <t>2023-10-26</t>
        </is>
      </c>
      <c r="BT325" t="inlineStr">
        <is>
          <t>WOS:000857740500001</t>
        </is>
      </c>
      <c r="BU325">
        <f>HYPERLINK("https%3A%2F%2Fwww.webofscience.com%2Fwos%2Fwoscc%2Ffull-record%2FWOS:000857740500001","View Full Record in Web of Science")</f>
        <v/>
      </c>
    </row>
    <row r="326">
      <c r="A326" t="inlineStr">
        <is>
          <t>J</t>
        </is>
      </c>
      <c r="B326" t="inlineStr">
        <is>
          <t>Vardoulakis, S; Dimitroulopoulou, C; Thornes, J; Lai, KM; Taylor, J; Myers, I; Heaviside, C; Mavrogianni, A; Shrubsole, C; Chalabi, Z; Davies, M; Wilkinson, P</t>
        </is>
      </c>
      <c r="F326" t="inlineStr">
        <is>
          <t>Vardoulakis, Sotiris; Dimitroulopoulou, Chrysanthi; Thornes, John; Lai, Ka-Man; Taylor, Jonathon; Myers, Isabella; Heaviside, Clare; Mavrogianni, Anna; Shrubsole, Clive; Chalabi, Zaid; Davies, Michael; Wilkinson, Paul</t>
        </is>
      </c>
      <c r="J326" t="inlineStr">
        <is>
          <t>ENVIRONMENT INTERNATIONAL</t>
        </is>
      </c>
      <c r="M326" t="inlineStr">
        <is>
          <t>English</t>
        </is>
      </c>
      <c r="N326" t="inlineStr">
        <is>
          <t>Review</t>
        </is>
      </c>
      <c r="T326" t="inlineStr">
        <is>
          <t>Impact of climate change on the domestic indoor environment and associated health risks in the UK</t>
        </is>
      </c>
      <c r="U326" t="inlineStr">
        <is>
          <t>Climate change; Overheating; Air quality; Mould; Adaptation; Public health</t>
        </is>
      </c>
      <c r="V326" t="inlineStr">
        <is>
          <t>VOLATILE ORGANIC-COMPOUNDS; AIR-POLLUTION; PUBLIC-HEALTH; RESPIRATORY HEALTH; CARBON-MONOXIDE; RESIDENTIAL BUILDINGS; PARTICULATE MATTER; PERSONAL EXPOSURE; REACTION-PRODUCTS; NITROGEN-DIOXIDE</t>
        </is>
      </c>
      <c r="W326" t="inlineStr">
        <is>
          <t>There is growing evidence that projected climate change has the potential to significantly affect public health. In the UK, much of this impact is likely to arise by amplifying existing risks related to heat exposure, flooding, and chemical and biological contamination in buildings. Identifying the health effects of climate change on the indoor environment, and risks and opportunities related to climate change adaptation and mitigation, can help protect public health. We explored a range of health risks in the domestic indoor environment related to climate change, as well as the potential health benefits and unintended harmful effects of climate change mitigation and adaptation policies in the UK housing sector. We reviewed relevant scientific literature, focusing on housing-related health effects in the UK likely to arise through either direct or indirect mechanisms of climate change or mitigation and adaptation measures in the built environment. We considered the following categories of effect: (i)indoor temperatures, (ii) indoor air quality, (iii) indoor allergens and infections, and (iv) flood damage and water contamination. Climate change may exacerbate health risks and inequalities across these categories and in a variety of ways, if adequate adaptation measures are not taken. Certain changes to the indoor environment can affect indoor air quality or promote the growth and propagation of pathogenic organisms. Measures aimed at reducing greenhouse gas emissions have the potential for ancillary public health benefits including reductions in health burdens related heat and cold, indoor exposure to air pollution derived from outdoor sources, and mould growth. However, increasing airtightness of dwellings in pursuit of energy efficiency could also have negative effects by increasing concentrations of pollutants (such as PM2.5, CO and radon) derived from indoor or ground sources, and biological contamination. These effects can largely be ameliorated by mechanical ventilation with heat recovery (MVHR) and air filtration, where such solution is feasible and when the system is properly installed, operated and maintained. Groups at high risk of these adverse health effects include the elderly (especially those living on their own), individuals with pre-existing illnesses, people living in overcrowded accommodation, and the socio-economically deprived. A better understanding of how current and emerging building infrastructure design, construction, and materials may affect health in the context of climate change and mitigation and adaptation measures is needed in the UK and other high income countries. Long-term, energy efficient building design interventions, ensuring adequate ventilation, need to be promoted. Crown Copyright (C) 2015 Published by Elsevier Ltd.</t>
        </is>
      </c>
      <c r="X326" t="inlineStr">
        <is>
          <t>[Vardoulakis, Sotiris; Dimitroulopoulou, Chrysanthi; Thornes, John; Heaviside, Clare] Publ Hlth England, Ctr Radiat Chem &amp; Environm Hazards, Environm Change Dept, Chilton OX11 0RQ, Oxon, England; [Vardoulakis, Sotiris; Heaviside, Clare; Chalabi, Zaid; Wilkinson, Paul] London Sch Hyg &amp; Trop Med, Dept Social &amp; Environm Hlth Res, London WC1H 9SH, England; [Vardoulakis, Sotiris; Thornes, John; Heaviside, Clare] Univ Birmingham, Sch Geog Earth &amp; Environm Sci, Div Environm Hlth &amp; Risk Management, Birmingham B15 2TT, W Midlands, England; [Lai, Ka-Man] Hong Kong Baptist Univ, Dept Biol, Kowloon Tong, Hong Kong, Peoples R China; [Taylor, Jonathon; Mavrogianni, Anna; Shrubsole, Clive; Davies, Michael] UCL, Bartlett Sch Environm Energy &amp; Resources, UCL Inst Environm Design &amp; Engn, London WC1H ONN, England; [Myers, Isabella] Univ London Imperial Coll Sci Technol &amp; Med, Dept Med, Publ Hlth England Toxicol Unit, London W12 0NN, England</t>
        </is>
      </c>
      <c r="Y326" t="inlineStr">
        <is>
          <t>Public Health England; University of London; London School of Hygiene &amp; Tropical Medicine; University of Birmingham; Hong Kong Baptist University; University of London; University College London; Imperial College London</t>
        </is>
      </c>
      <c r="Z326" t="inlineStr">
        <is>
          <t>Vardoulakis, S (corresponding author), Publ Hlth England, Ctr Radiat Chem &amp; Environm Hazards, Environm Change Dept, Chilton OX11 0RQ, Oxon, England.</t>
        </is>
      </c>
      <c r="AA326" t="inlineStr">
        <is>
          <t>sotiris.vardoulakis@phe.gov.uk; Sani.Dimitroulopoulou@phe.gov.uk; John.Thornes@phe.gov.uk; laikaman@hkbu.edu.hk; j.g.taylor@ucl.ac.uk; Isabella.Myers@phe.gov.uk; Clare.Heaviside@phe.gov.uk; a.mavrogianni@ucl.ac.uk; clive.shrubsole.09@ucl.ac.uk; zaid.chalabi@Ishtm.ac.uk; michael.davies@ucl.ac.uk; Paul.Wilkinson@lshtm.ac.uk</t>
        </is>
      </c>
      <c r="AB326" t="inlineStr">
        <is>
          <t>Taylor, Jonathon/B-1558-2018; Mokhtara, Charafeddine/ACV-5174-2022; Davies, Michael/GWV-2527-2022; Shrubsole, Clive/L-7783-2018</t>
        </is>
      </c>
      <c r="AC326" t="inlineStr">
        <is>
          <t>Taylor, Jonathon/0000-0003-3485-1404; Shrubsole, Clive/0000-0003-1212-3668; Wilkinson, Paul/0000-0001-7456-259X; Mavrogianni, Anna/0000-0002-5104-1238; Dimitroulopoulou, Sani/0000-0001-9913-1526; Vardoulakis, Sotiris/0000-0003-3944-7128; Heaviside, Clare/0000-0002-0263-4985</t>
        </is>
      </c>
      <c r="AD326" t="inlineStr">
        <is>
          <t>Department of Health; National Institute for Health Research Health Protection Research Unit (NIHR HPRU) in Environmental Change and Health at the London School of Hygiene and Tropical Medicine; Public Health England (PHE); EPSRC [EP/I02929X/1] Funding Source: UKRI; Engineering and Physical Sciences Research Council [EP/I02929X/1] Funding Source: researchfish</t>
        </is>
      </c>
      <c r="AE326" t="inlineStr">
        <is>
          <t>Department of Health; National Institute for Health Research Health Protection Research Unit (NIHR HPRU) in Environmental Change and Health at the London School of Hygiene and Tropical Medicine; Public Health England (PHE); EPSRC(UK Research &amp; Innovation (UKRI)Engineering &amp; Physical Sciences Research Council (EPSRC)); Engineering and Physical Sciences Research Council(UK Research &amp; Innovation (UKRI)Engineering &amp; Physical Sciences Research Council (EPSRC))</t>
        </is>
      </c>
      <c r="AF326" t="inlineStr">
        <is>
          <t>The work presented in this paper was partly based on the Health Protection Agency report 'Health Effects of Climate Change in the UK 2012 - current evidence, recommendations and research gaps' sponsored by the Department of Health. Additional research on the topic was funded by the National Institute for Health Research Health Protection Research Unit (NIHR HPRU) in Environmental Change and Health at the London School of Hygiene and Tropical Medicine in partnership with Public Health England (PHE), and in collaboration with the University of Exeter, University College London, and the Met Office. The views expressed are those of the authors and not necessarily those of the NHS, the NIHR, the Department of Health or Public Health England.</t>
        </is>
      </c>
      <c r="AH326" t="n">
        <v>238</v>
      </c>
      <c r="AI326" t="n">
        <v>140</v>
      </c>
      <c r="AJ326" t="n">
        <v>140</v>
      </c>
      <c r="AK326" t="n">
        <v>17</v>
      </c>
      <c r="AL326" t="n">
        <v>273</v>
      </c>
      <c r="AM326" t="inlineStr">
        <is>
          <t>PERGAMON-ELSEVIER SCIENCE LTD</t>
        </is>
      </c>
      <c r="AN326" t="inlineStr">
        <is>
          <t>OXFORD</t>
        </is>
      </c>
      <c r="AO326" t="inlineStr">
        <is>
          <t>THE BOULEVARD, LANGFORD LANE, KIDLINGTON, OXFORD OX5 1GB, ENGLAND</t>
        </is>
      </c>
      <c r="AP326" t="inlineStr">
        <is>
          <t>0160-4120</t>
        </is>
      </c>
      <c r="AQ326" t="inlineStr">
        <is>
          <t>1873-6750</t>
        </is>
      </c>
      <c r="AS326" t="inlineStr">
        <is>
          <t>ENVIRON INT</t>
        </is>
      </c>
      <c r="AT326" t="inlineStr">
        <is>
          <t>Environ. Int.</t>
        </is>
      </c>
      <c r="AU326" t="inlineStr">
        <is>
          <t>DEC</t>
        </is>
      </c>
      <c r="AV326" t="n">
        <v>2015</v>
      </c>
      <c r="AW326" t="n">
        <v>85</v>
      </c>
      <c r="BC326" t="n">
        <v>299</v>
      </c>
      <c r="BD326" t="n">
        <v>313</v>
      </c>
      <c r="BF326" t="inlineStr">
        <is>
          <t>10.1016/j.envint.2015.09.010</t>
        </is>
      </c>
      <c r="BG326">
        <f>HYPERLINK("http://dx.doi.org/10.1016/j.envint.2015.09.010","http://dx.doi.org/10.1016/j.envint.2015.09.010")</f>
        <v/>
      </c>
      <c r="BJ326" t="n">
        <v>15</v>
      </c>
      <c r="BK326" t="inlineStr">
        <is>
          <t>Environmental Sciences</t>
        </is>
      </c>
      <c r="BL326" t="inlineStr">
        <is>
          <t>Science Citation Index Expanded (SCI-EXPANDED)</t>
        </is>
      </c>
      <c r="BM326" t="inlineStr">
        <is>
          <t>Environmental Sciences &amp; Ecology</t>
        </is>
      </c>
      <c r="BN326" t="inlineStr">
        <is>
          <t>CX0CF</t>
        </is>
      </c>
      <c r="BO326" t="n">
        <v>26453820</v>
      </c>
      <c r="BP326" t="inlineStr">
        <is>
          <t>Green Published, hybrid</t>
        </is>
      </c>
      <c r="BS326" t="inlineStr">
        <is>
          <t>2023-10-26</t>
        </is>
      </c>
      <c r="BT326" t="inlineStr">
        <is>
          <t>WOS:000365363800031</t>
        </is>
      </c>
      <c r="BU326">
        <f>HYPERLINK("https%3A%2F%2Fwww.webofscience.com%2Fwos%2Fwoscc%2Ffull-record%2FWOS:000365363800031","View Full Record in Web of Science")</f>
        <v/>
      </c>
    </row>
    <row r="327">
      <c r="A327" t="inlineStr">
        <is>
          <t>J</t>
        </is>
      </c>
      <c r="B327" t="inlineStr">
        <is>
          <t>Mavoa, S; Keevers, D; Kane, SC; Wake, M; Tham, R; Lycett, K; Wong, YT; Chong, KE</t>
        </is>
      </c>
      <c r="F327" t="inlineStr">
        <is>
          <t>Mavoa, Suzanne; Keevers, Daniel; Kane, Stefan C.; Wake, Melissa; Tham, Rachel; Lycett, Kate; Wong, Yen Ting; Chong, Katherine</t>
        </is>
      </c>
      <c r="J327" t="inlineStr">
        <is>
          <t>INTERNATIONAL JOURNAL OF ENVIRONMENTAL RESEARCH AND PUBLIC HEALTH</t>
        </is>
      </c>
      <c r="M327" t="inlineStr">
        <is>
          <t>English</t>
        </is>
      </c>
      <c r="N327" t="inlineStr">
        <is>
          <t>Review</t>
        </is>
      </c>
      <c r="T327" t="inlineStr">
        <is>
          <t>Parental Preconception Exposures to Outdoor Neighbourhood Environments and Adverse Birth Outcomes: A Protocol for a Scoping Review and Evidence Map</t>
        </is>
      </c>
      <c r="U327" t="inlineStr">
        <is>
          <t>preconception; natural environment; built environment; pregnancy outcomes; birth outcomes; scoping review protocol</t>
        </is>
      </c>
      <c r="V327" t="inlineStr">
        <is>
          <t>EPIGENETIC INHERITANCE; CARDIOVASCULAR-DISEASE; RESIDENTIAL GREENNESS; BUILT ENVIRONMENT; PHYSICAL-ACTIVITY; INCREASED RISK; MENTAL-HEALTH; PRETERM BIRTH; OBESITY; DIET</t>
        </is>
      </c>
      <c r="W327" t="inlineStr">
        <is>
          <t>Parental preconception exposures to built and natural outdoor environments could influence pregnancy and birth outcomes either directly, or via a range of health-related behaviours and conditions. However, there is no existing review summarising the evidence linking natural and built characteristics, such as air and noise pollution, walkability, greenness with pregnancy and birth outcomes. Therefore, the planned scoping review aims to collate and map the published literature on parental preconception exposures to built and natural outdoor environments and adverse pregnancy and birth outcomes. We will search electronic databases (MEDLINE, EMBASE, Scopus) to identify studies for inclusion. Studies will be included if they empirically assess the relationship between maternal and paternal preconception exposures to physical natural and built environment features that occur outdoors in the residential neighbourhood and adverse pregnancy and birth outcomes. Two reviewers will independently screen titles and abstracts, and then the full text. Data extraction and assessment of study quality will be performed by one researcher and checked by a second researcher. Results will be summarised in a narrative synthesis, with additional summaries presented as tables and figures. The scoping review will be disseminated via a peer-reviewed publication, at academic conferences, and published on a website.</t>
        </is>
      </c>
      <c r="X327" t="inlineStr">
        <is>
          <t>[Mavoa, Suzanne] Univ Melbourne, Melbourne Sch Populat &amp; Global Hlth, Parkville, Vic 3010, Australia; [Mavoa, Suzanne; Wake, Melissa; Lycett, Kate] Murdoch Childrens Res Inst, Parkville, Vic 3052, Australia; [Mavoa, Suzanne; Tham, Rachel] Australian Catholic Univ, Mary MacKillop Inst Hlth Res, Melbourne, Vic 3000, Australia; [Keevers, Daniel] Univ Melbourne, Melbourne Med Sch, Parkville, Vic 3010, Australia; [Kane, Stefan C.] Univ Melbourne, Dept Obstet &amp; Gynaecol, Parkville, Vic 3010, Australia; [Kane, Stefan C.] Royal Womens Hosp, Dept Maternal Fetal Med, Parkville, Vic 3052, Australia; [Wake, Melissa; Lycett, Kate] Univ Melbourne, Dept Paediat, Parkville, Vic 3010, Australia; [Wake, Melissa] Univ Auckland, Liggins Inst, Auckland 1023, New Zealand; [Lycett, Kate] Deakin Univ, Fac Hlth, Sch Psychol, Burwood, Vic 3125, Australia; [Wong, Yen Ting] Deakin Univ, Sch Med, IMPACT Inst, Waurn Ponds, Vic 3216, Australia; [Chong, Katherine] McGill Univ, Ingram Sch Nursing, Montreal, PQ H3A 2M7, Canada</t>
        </is>
      </c>
      <c r="Y327" t="inlineStr">
        <is>
          <t>University of Melbourne; Murdoch Children's Research Institute; Australian Catholic University; University of Melbourne; University of Melbourne; University of Melbourne; University of Auckland; Deakin University; Deakin University; McGill University</t>
        </is>
      </c>
      <c r="Z327" t="inlineStr">
        <is>
          <t>Mavoa, S (corresponding author), Univ Melbourne, Melbourne Sch Populat &amp; Global Hlth, Parkville, Vic 3010, Australia.;Mavoa, S (corresponding author), Murdoch Childrens Res Inst, Parkville, Vic 3052, Australia.;Mavoa, S (corresponding author), Australian Catholic Univ, Mary MacKillop Inst Hlth Res, Melbourne, Vic 3000, Australia.</t>
        </is>
      </c>
      <c r="AA327" t="inlineStr">
        <is>
          <t>suzanne.mavoa@unimelb.edu.au; dkeevers@student.unimelb.edu.au; kane.s@unimelb.edu.au; melissa.wake@mcri.edu.au; rachel.tham@acu.edu.au; k.lycett@deakin.edu.au; yen.wong@deakin.edu.au; katherine.chong2@mail.mcgill.ca</t>
        </is>
      </c>
      <c r="AB327" t="inlineStr">
        <is>
          <t>Tham, Rachel/AAB-9329-2019; Tham, Rachel/AAH-3336-2022; Tham, Rachel/AFM-0823-2022; Wake, Melissa/J-1396-2012</t>
        </is>
      </c>
      <c r="AC327" t="inlineStr">
        <is>
          <t>Tham, Rachel/0000-0001-9362-5189; Wong, Yen Ting/0000-0003-3120-0964; Wake, Melissa/0000-0001-7501-9257; Mavoa, Suzanne/0000-0002-6071-2988; Chong, Katherine/0000-0003-1878-634X</t>
        </is>
      </c>
      <c r="AD327" t="inlineStr">
        <is>
          <t>Australian National Health and Medical Research Council [1121035, 1091124, 1160906]; University of Melbourne Faculty of Medicine, Dentistry and Health Sciences Research Fellowship; National Health and Medical Research Council of Australia [1121035] Funding Source: NHMRC</t>
        </is>
      </c>
      <c r="AE327" t="inlineStr">
        <is>
          <t>Australian National Health and Medical Research Council(National Health and Medical Research Council (NHMRC) of Australia); University of Melbourne Faculty of Medicine, Dentistry and Health Sciences Research Fellowship; National Health and Medical Research Council of Australia(National Health and Medical Research Council (NHMRC) of Australia)</t>
        </is>
      </c>
      <c r="AF327" t="inlineStr">
        <is>
          <t>S.M., K.L. and M.W.: were supported by Australian National Health and Medical Research Council fellowships (#1121035, #1091124, #1160906). S.M. was additionally supported by a University of Melbourne Faculty of Medicine, Dentistry and Health Sciences Research Fellowship (grant number not applicable).</t>
        </is>
      </c>
      <c r="AH327" t="n">
        <v>81</v>
      </c>
      <c r="AI327" t="n">
        <v>0</v>
      </c>
      <c r="AJ327" t="n">
        <v>0</v>
      </c>
      <c r="AK327" t="n">
        <v>3</v>
      </c>
      <c r="AL327" t="n">
        <v>8</v>
      </c>
      <c r="AM327" t="inlineStr">
        <is>
          <t>MDPI</t>
        </is>
      </c>
      <c r="AN327" t="inlineStr">
        <is>
          <t>BASEL</t>
        </is>
      </c>
      <c r="AO327" t="inlineStr">
        <is>
          <t>ST ALBAN-ANLAGE 66, CH-4052 BASEL, SWITZERLAND</t>
        </is>
      </c>
      <c r="AQ327" t="inlineStr">
        <is>
          <t>1660-4601</t>
        </is>
      </c>
      <c r="AS327" t="inlineStr">
        <is>
          <t>INT J ENV RES PUB HE</t>
        </is>
      </c>
      <c r="AT327" t="inlineStr">
        <is>
          <t>Int. J. Environ. Res. Public Health</t>
        </is>
      </c>
      <c r="AU327" t="inlineStr">
        <is>
          <t>SEP</t>
        </is>
      </c>
      <c r="AV327" t="n">
        <v>2021</v>
      </c>
      <c r="AW327" t="n">
        <v>18</v>
      </c>
      <c r="AX327" t="n">
        <v>17</v>
      </c>
      <c r="BE327" t="n">
        <v>8943</v>
      </c>
      <c r="BF327" t="inlineStr">
        <is>
          <t>10.3390/ijerph18178943</t>
        </is>
      </c>
      <c r="BG327">
        <f>HYPERLINK("http://dx.doi.org/10.3390/ijerph18178943","http://dx.doi.org/10.3390/ijerph18178943")</f>
        <v/>
      </c>
      <c r="BJ327" t="n">
        <v>10</v>
      </c>
      <c r="BK327" t="inlineStr">
        <is>
          <t>Environmental Sciences; Public, Environmental &amp; Occupational Health</t>
        </is>
      </c>
      <c r="BL327" t="inlineStr">
        <is>
          <t>Science Citation Index Expanded (SCI-EXPANDED); Social Science Citation Index (SSCI)</t>
        </is>
      </c>
      <c r="BM327" t="inlineStr">
        <is>
          <t>Environmental Sciences &amp; Ecology; Public, Environmental &amp; Occupational Health</t>
        </is>
      </c>
      <c r="BN327" t="inlineStr">
        <is>
          <t>UN6FF</t>
        </is>
      </c>
      <c r="BO327" t="n">
        <v>34501533</v>
      </c>
      <c r="BP327" t="inlineStr">
        <is>
          <t>Green Published, Green Submitted, gold</t>
        </is>
      </c>
      <c r="BS327" t="inlineStr">
        <is>
          <t>2023-10-26</t>
        </is>
      </c>
      <c r="BT327" t="inlineStr">
        <is>
          <t>WOS:000694109300001</t>
        </is>
      </c>
      <c r="BU327">
        <f>HYPERLINK("https%3A%2F%2Fwww.webofscience.com%2Fwos%2Fwoscc%2Ffull-record%2FWOS:000694109300001","View Full Record in Web of Science")</f>
        <v/>
      </c>
    </row>
    <row r="328">
      <c r="A328" t="inlineStr">
        <is>
          <t>J</t>
        </is>
      </c>
      <c r="B328" t="inlineStr">
        <is>
          <t>Zhang, ZQ; Qiu, Z</t>
        </is>
      </c>
      <c r="F328" t="inlineStr">
        <is>
          <t>Zhang, Ziqi; Qiu, Zhi</t>
        </is>
      </c>
      <c r="J328" t="inlineStr">
        <is>
          <t>INTERNATIONAL JOURNAL OF ENVIRONMENTAL RESEARCH AND PUBLIC HEALTH</t>
        </is>
      </c>
      <c r="M328" t="inlineStr">
        <is>
          <t>English</t>
        </is>
      </c>
      <c r="N328" t="inlineStr">
        <is>
          <t>Article</t>
        </is>
      </c>
      <c r="T328" t="inlineStr">
        <is>
          <t>Exploring Daily Activity Patterns on the Typical Day of Older Adults for Supporting Aging-in-Place in China's Rural Environment</t>
        </is>
      </c>
      <c r="U328" t="inlineStr">
        <is>
          <t>aging-in-place; older adults; daily activity patterns; rural environment</t>
        </is>
      </c>
      <c r="V328" t="inlineStr">
        <is>
          <t>TIME-USE; INTERGENERATIONAL SUPPORT; LEISURE ACTIVITIES; PEOPLE; LIFE; CARE; MODEL; PARTICIPATION; ALLOCATION; MOBILITY</t>
        </is>
      </c>
      <c r="W328" t="inlineStr">
        <is>
          <t>Severe aging in rural China is prompting communities to promote support for older people to age in place. The study of the daily life of older adults in rural areas is conducive to understanding their real life and demands, as well as the way they interact with their environment, to develop feasible strategies. In this study, 171 older adults over 60 years old in two different types of villages in Northern Zhejiang Province were investigated and analyzed in terms of the temporal and spatial features of daily activities, as well as their relationship with population attributes, personal competence, and subjective demands. The results show that: (1) significant association can be seen between working hours and the demand for health services, housework hours and gender and age, as well as leisure hours and ADL and the demand for recreational services. (2) The older adults appear to have inter-group homogeneity in some aspects: basic living activities, leisure hours, the gender difference in housework hours, and recreational preference, while they have higher average paid work hours and fewer leisure alternatives than their urban counterparts. Their definitions of paid work, housework, and leisure activities are vague. (3) The definition of home by the older adults in rural places sometimes seems to go beyond the scope of their own house, and the extensive definition of home may change their recognitions of some activities. They also inclined to assign meaning to a place through frequent use rather than through external definitions. (4) The weak consciousness on buying services and deteriorated financial situation hinders the older adults in rural communities from expressing their real demands. Unspoken demands include economic security, recreational choices, and assistance in housework. The results will help to provide references for the improvement of eldercare services and the community environment.</t>
        </is>
      </c>
      <c r="X328" t="inlineStr">
        <is>
          <t>[Zhang, Ziqi] Shanghai Jiao Tong Univ, Sch Design, Shanghai 200000, Peoples R China; [Qiu, Zhi] Zhejiang Univ, Inst Architectural Design &amp; Theoret Res, Hangzhou 310000, Peoples R China</t>
        </is>
      </c>
      <c r="Y328" t="inlineStr">
        <is>
          <t>Shanghai Jiao Tong University; Zhejiang University</t>
        </is>
      </c>
      <c r="Z328" t="inlineStr">
        <is>
          <t>Zhang, ZQ (corresponding author), Shanghai Jiao Tong Univ, Sch Design, Shanghai 200000, Peoples R China.</t>
        </is>
      </c>
      <c r="AA328" t="inlineStr">
        <is>
          <t>ziqizhang@sjtu.edu.cn; qiuzhizju@sina.com</t>
        </is>
      </c>
      <c r="AB328" t="inlineStr">
        <is>
          <t>zhang, ziqi/GPW-6618-2022; ZHANG, Ziqi/JDM-7543-2023; Zhang, Ziqi/HHN-7875-2022</t>
        </is>
      </c>
      <c r="AC328" t="inlineStr">
        <is>
          <t>Ziqi, Zhang/0000-0001-9740-2441</t>
        </is>
      </c>
      <c r="AD328" t="inlineStr">
        <is>
          <t>National Natural Science Foundation of China [52008241]</t>
        </is>
      </c>
      <c r="AE328" t="inlineStr">
        <is>
          <t>National Natural Science Foundation of China(National Natural Science Foundation of China (NSFC))</t>
        </is>
      </c>
      <c r="AF328" t="inlineStr">
        <is>
          <t>This research was funded by the National Natural Science Foundation of China, grant number Grant No. 52008241.</t>
        </is>
      </c>
      <c r="AH328" t="n">
        <v>109</v>
      </c>
      <c r="AI328" t="n">
        <v>3</v>
      </c>
      <c r="AJ328" t="n">
        <v>3</v>
      </c>
      <c r="AK328" t="n">
        <v>3</v>
      </c>
      <c r="AL328" t="n">
        <v>39</v>
      </c>
      <c r="AM328" t="inlineStr">
        <is>
          <t>MDPI</t>
        </is>
      </c>
      <c r="AN328" t="inlineStr">
        <is>
          <t>BASEL</t>
        </is>
      </c>
      <c r="AO328" t="inlineStr">
        <is>
          <t>ST ALBAN-ANLAGE 66, CH-4052 BASEL, SWITZERLAND</t>
        </is>
      </c>
      <c r="AQ328" t="inlineStr">
        <is>
          <t>1660-4601</t>
        </is>
      </c>
      <c r="AS328" t="inlineStr">
        <is>
          <t>INT J ENV RES PUB HE</t>
        </is>
      </c>
      <c r="AT328" t="inlineStr">
        <is>
          <t>Int. J. Environ. Res. Public Health</t>
        </is>
      </c>
      <c r="AU328" t="inlineStr">
        <is>
          <t>NOV</t>
        </is>
      </c>
      <c r="AV328" t="n">
        <v>2020</v>
      </c>
      <c r="AW328" t="n">
        <v>17</v>
      </c>
      <c r="AX328" t="n">
        <v>22</v>
      </c>
      <c r="BE328" t="n">
        <v>8416</v>
      </c>
      <c r="BF328" t="inlineStr">
        <is>
          <t>10.3390/ijerph17228416</t>
        </is>
      </c>
      <c r="BG328">
        <f>HYPERLINK("http://dx.doi.org/10.3390/ijerph17228416","http://dx.doi.org/10.3390/ijerph17228416")</f>
        <v/>
      </c>
      <c r="BJ328" t="n">
        <v>20</v>
      </c>
      <c r="BK328" t="inlineStr">
        <is>
          <t>Environmental Sciences; Public, Environmental &amp; Occupational Health</t>
        </is>
      </c>
      <c r="BL328" t="inlineStr">
        <is>
          <t>Science Citation Index Expanded (SCI-EXPANDED); Social Science Citation Index (SSCI)</t>
        </is>
      </c>
      <c r="BM328" t="inlineStr">
        <is>
          <t>Environmental Sciences &amp; Ecology; Public, Environmental &amp; Occupational Health</t>
        </is>
      </c>
      <c r="BN328" t="inlineStr">
        <is>
          <t>OY6KH</t>
        </is>
      </c>
      <c r="BO328" t="n">
        <v>33202990</v>
      </c>
      <c r="BP328" t="inlineStr">
        <is>
          <t>gold, Green Published</t>
        </is>
      </c>
      <c r="BS328" t="inlineStr">
        <is>
          <t>2023-10-26</t>
        </is>
      </c>
      <c r="BT328" t="inlineStr">
        <is>
          <t>WOS:000594353100001</t>
        </is>
      </c>
      <c r="BU328">
        <f>HYPERLINK("https%3A%2F%2Fwww.webofscience.com%2Fwos%2Fwoscc%2Ffull-record%2FWOS:000594353100001","View Full Record in Web of Science")</f>
        <v/>
      </c>
    </row>
    <row r="329">
      <c r="A329" t="inlineStr">
        <is>
          <t>J</t>
        </is>
      </c>
      <c r="B329" t="inlineStr">
        <is>
          <t>Celadyn, M</t>
        </is>
      </c>
      <c r="F329" t="inlineStr">
        <is>
          <t>Celadyn, Magdalena</t>
        </is>
      </c>
      <c r="J329" t="inlineStr">
        <is>
          <t>SUSTAINABILITY</t>
        </is>
      </c>
      <c r="M329" t="inlineStr">
        <is>
          <t>English</t>
        </is>
      </c>
      <c r="N329" t="inlineStr">
        <is>
          <t>Article</t>
        </is>
      </c>
      <c r="T329" t="inlineStr">
        <is>
          <t>Interior Architectural Design for Adaptive Reuse in Application of Environmental Sustainability Principles</t>
        </is>
      </c>
      <c r="U329" t="inlineStr">
        <is>
          <t>sustainable architectural design; sustainable interior design; interior components; adaptive reuse; environmental contextualization</t>
        </is>
      </c>
      <c r="V329" t="inlineStr">
        <is>
          <t>BEHAVIOR</t>
        </is>
      </c>
      <c r="W329" t="inlineStr">
        <is>
          <t>The paper discusses an interior architectural design model to enable the accomplishment of sustainable design strategy of efficient resources/waste management. The proposed design concept, referred to as interior architectural design for adaptive reuse, is based on the reintroduction of reclaimed or salvaged building construction materials and products acquired from demolished or refurbished building structural portions, into the structure of interior components. The presented design approach puts circular design methods and techniques in interior design practice at the core of environmentally responsible architectural design. To achieve its objectives, the implementation of resources efficiency strategy into the interior design scheme should remain a decisive interior design quality criterion. Meanwhile, the issues related to the environmental contextualization of interior spaces and their constitutive components, in fulfilment of sustainable design requirements for the conservation of natural resources, are neither sufficiently recognized by interior designers, nor appropriately highlighted in the current design practice. The main purpose of this concept paper is to develop a theoretical scheme for systemic inclusion of interior architectural design for adaptive reuse into the environmentally sustainable interior architectural design framework. This study provides interior designers with the concept of interior components design for the fulfilment of resources efficiency and waste management effectiveness.</t>
        </is>
      </c>
      <c r="X329" t="inlineStr">
        <is>
          <t>[Celadyn, Magdalena] Acad Fine Arts Krakow, Fac Interior Design, Pl Matejki 13, PL-31157 Krakow, Poland</t>
        </is>
      </c>
      <c r="Z329" t="inlineStr">
        <is>
          <t>Celadyn, M (corresponding author), Acad Fine Arts Krakow, Fac Interior Design, Pl Matejki 13, PL-31157 Krakow, Poland.</t>
        </is>
      </c>
      <c r="AA329" t="inlineStr">
        <is>
          <t>mceladyn@asp.krakow.pl</t>
        </is>
      </c>
      <c r="AB329" t="inlineStr">
        <is>
          <t>Celadyn, Magdalena/AAS-7936-2020</t>
        </is>
      </c>
      <c r="AC329" t="inlineStr">
        <is>
          <t>Celadyn, Magdalena/0000-0003-0876-2280</t>
        </is>
      </c>
      <c r="AH329" t="n">
        <v>46</v>
      </c>
      <c r="AI329" t="n">
        <v>19</v>
      </c>
      <c r="AJ329" t="n">
        <v>19</v>
      </c>
      <c r="AK329" t="n">
        <v>28</v>
      </c>
      <c r="AL329" t="n">
        <v>136</v>
      </c>
      <c r="AM329" t="inlineStr">
        <is>
          <t>MDPI</t>
        </is>
      </c>
      <c r="AN329" t="inlineStr">
        <is>
          <t>BASEL</t>
        </is>
      </c>
      <c r="AO329" t="inlineStr">
        <is>
          <t>ST ALBAN-ANLAGE 66, CH-4052 BASEL, SWITZERLAND</t>
        </is>
      </c>
      <c r="AQ329" t="inlineStr">
        <is>
          <t>2071-1050</t>
        </is>
      </c>
      <c r="AS329" t="inlineStr">
        <is>
          <t>SUSTAINABILITY-BASEL</t>
        </is>
      </c>
      <c r="AT329" t="inlineStr">
        <is>
          <t>Sustainability</t>
        </is>
      </c>
      <c r="AU329" t="inlineStr">
        <is>
          <t>JUL 2</t>
        </is>
      </c>
      <c r="AV329" t="n">
        <v>2019</v>
      </c>
      <c r="AW329" t="n">
        <v>11</v>
      </c>
      <c r="AX329" t="n">
        <v>14</v>
      </c>
      <c r="BE329" t="n">
        <v>3820</v>
      </c>
      <c r="BF329" t="inlineStr">
        <is>
          <t>10.3390/su11143820</t>
        </is>
      </c>
      <c r="BG329">
        <f>HYPERLINK("http://dx.doi.org/10.3390/su11143820","http://dx.doi.org/10.3390/su11143820")</f>
        <v/>
      </c>
      <c r="BJ329" t="n">
        <v>16</v>
      </c>
      <c r="BK329" t="inlineStr">
        <is>
          <t>Green &amp; Sustainable Science &amp; Technology; Environmental Sciences; Environmental Studies</t>
        </is>
      </c>
      <c r="BL329" t="inlineStr">
        <is>
          <t>Science Citation Index Expanded (SCI-EXPANDED); Social Science Citation Index (SSCI)</t>
        </is>
      </c>
      <c r="BM329" t="inlineStr">
        <is>
          <t>Science &amp; Technology - Other Topics; Environmental Sciences &amp; Ecology</t>
        </is>
      </c>
      <c r="BN329" t="inlineStr">
        <is>
          <t>IS6KX</t>
        </is>
      </c>
      <c r="BP329" t="inlineStr">
        <is>
          <t>Green Submitted, gold, Green Published</t>
        </is>
      </c>
      <c r="BS329" t="inlineStr">
        <is>
          <t>2023-10-26</t>
        </is>
      </c>
      <c r="BT329" t="inlineStr">
        <is>
          <t>WOS:000482261800065</t>
        </is>
      </c>
      <c r="BU329">
        <f>HYPERLINK("https%3A%2F%2Fwww.webofscience.com%2Fwos%2Fwoscc%2Ffull-record%2FWOS:000482261800065","View Full Record in Web of Science")</f>
        <v/>
      </c>
    </row>
    <row r="330">
      <c r="A330" t="inlineStr">
        <is>
          <t>J</t>
        </is>
      </c>
      <c r="B330" t="inlineStr">
        <is>
          <t>Debnath, R; Simoes, GMF; Bardhan, R; Leder, SM; Lamberts, R; Sunikka-Blank, M</t>
        </is>
      </c>
      <c r="F330" t="inlineStr">
        <is>
          <t>Debnath, Ramit; Simoes, Gianna Monteiro Farias; Bardhan, Ronita; Leder, Solange Maria; Lamberts, Roberto; Sunikka-Blank, Minna</t>
        </is>
      </c>
      <c r="J330" t="inlineStr">
        <is>
          <t>SUSTAINABILITY</t>
        </is>
      </c>
      <c r="M330" t="inlineStr">
        <is>
          <t>English</t>
        </is>
      </c>
      <c r="N330" t="inlineStr">
        <is>
          <t>Article</t>
        </is>
      </c>
      <c r="T330" t="inlineStr">
        <is>
          <t>Energy Justice in Slum Rehabilitation Housing: An Empirical Exploration of Built Environment Effects on Socio-Cultural Energy Demand</t>
        </is>
      </c>
      <c r="U330" t="inlineStr">
        <is>
          <t>poverty; energy justice; built environment; planning policy; slum rehabilitation; energy service; demand-side management; housing design</t>
        </is>
      </c>
      <c r="V330" t="inlineStr">
        <is>
          <t>ELECTRICITY CONSUMPTION; LOGISTIC-REGRESSION; SOCIAL PRACTICE; INCOME; POVERTY; LADDER; TRANSITIONS; APPLIANCES; OWNERSHIP; BEHAVIOR</t>
        </is>
      </c>
      <c r="W330" t="inlineStr">
        <is>
          <t>The interaction of energy and buildings institutes a complex socio-technical system that influences the eudemonic well-being of the occupants. Understanding these drivers become even more necessary in impoverished areas where occupants struggle to avail essential energy services. The literature indicates that energy injustice can be addressed through provisioning of comfort, cleanliness, and convenience (3Cs) as critical cultural energy services in low-income areas. This study investigates the socio-architectural influence for slum rehabilitation housing (SRH) on cultural energy services that can promote distributive justice. The methodology adopts an empirical route using data from 200 household surveys from SRH in Mumbai, India, and Joao Pessoa, Brazil. A model between the 3Cs and socio-architectural elements was established using Firth's binary logistic regression. The survey results showed that the SRH in Brazil had twice the appliance ownership as compared to the Mumbai SRH. There were distinct energy service preferences in the study areas, despite common poverty burdens. The empirical results showed that the lack of socio-architectural design elements like open spaces, privacy, and walkability in the study areas demanded specific comfort and convenience appliances as a counter-response. A critical policy implication drawn was on the need for socio-architectural inclusive energy planning for distributive justice in poverty. Mitigating rising energy demand through appropriate built environment design of slum rehabilitation housing can contribute to fulfilling the UN's SDG 7 (clean and affordable energy) and 11 (sustainable cities and communities) goals.</t>
        </is>
      </c>
      <c r="X330" t="inlineStr">
        <is>
          <t>[Debnath, Ramit; Bardhan, Ronita; Sunikka-Blank, Minna] Univ Cambridge, Martin Ctr Architectural &amp; Urban Studies, Dept Architecture, Behav &amp; Bldg Performance Grp, Cambridge CB2 1PX, England; [Debnath, Ramit] Univ Cambridge, Judge Business Sch, Energy Policy Res Grp, Cambridge CB2 1AG, England; [Simoes, Gianna Monteiro Farias; Leder, Solange Maria] Univ Fed Paraiba, Dept Architecture &amp; Urbanism, BR-58051900 Joao Pessoa, Paraiba, Brazil; [Lamberts, Roberto] Univ Fed Santa Catarina, Dept Civil Engn, Lab Energy Efficiency Bldg, BR-88040900 Florianopolis, SC, Brazil</t>
        </is>
      </c>
      <c r="Y330" t="inlineStr">
        <is>
          <t>University of Cambridge; University of Cambridge; Universidade Federal da Paraiba; Universidade Federal de Santa Catarina (UFSC)</t>
        </is>
      </c>
      <c r="Z330" t="inlineStr">
        <is>
          <t>Debnath, R (corresponding author), Univ Cambridge, Martin Ctr Architectural &amp; Urban Studies, Dept Architecture, Behav &amp; Bldg Performance Grp, Cambridge CB2 1PX, England.;Debnath, R (corresponding author), Univ Cambridge, Judge Business Sch, Energy Policy Res Grp, Cambridge CB2 1AG, England.</t>
        </is>
      </c>
      <c r="AA330" t="inlineStr">
        <is>
          <t>rd545@cam.ac.uk; gianna_farias@hotmail.com; rb867@cam.ac.uk; solangeleder@yahoo.com.br; roberto.lamberts@ufsc.br; mms45@cam.ac.uk</t>
        </is>
      </c>
      <c r="AB330" t="inlineStr">
        <is>
          <t>Leder, Solange Maria/AAC-9432-2019; Lamberts, Roberto/F-9756-2013; Bardhan, Ronita/Q-7316-2019</t>
        </is>
      </c>
      <c r="AC330" t="inlineStr">
        <is>
          <t>Leder, Solange Maria/0000-0003-3784-4461; Lamberts, Roberto/0000-0001-6801-671X; Bardhan, Ronita/0000-0001-5336-4084; Debnath, Dr Ramit/0000-0003-0727-5683</t>
        </is>
      </c>
      <c r="AD330" t="inlineStr">
        <is>
          <t>Bill and Melinda Gates Foundation, through the Gates Cambridge Scholarship [OPP1144]; Trinity College MCSC Scholarship; Santander Mobility Grant; Ministry of Human Resource Development, the Government of India (GoI) project titled CoE-FAST [14MHRD005]; IRCC-IIT Bombay Fund [16IRCC561015]; Bill and Melinda Gates Foundation</t>
        </is>
      </c>
      <c r="AE330" t="inlineStr">
        <is>
          <t>Bill and Melinda Gates Foundation, through the Gates Cambridge Scholarship; Trinity College MCSC Scholarship; Santander Mobility Grant; Ministry of Human Resource Development, the Government of India (GoI) project titled CoE-FAST; IRCC-IIT Bombay Fund; Bill and Melinda Gates Foundation(Bill &amp; Melinda Gates Foundation)</t>
        </is>
      </c>
      <c r="AF330" t="inlineStr">
        <is>
          <t>Part of this research was funded by Bill and Melinda Gates Foundation, through the Gates Cambridge Scholarship under the grant number [OPP1144], Trinity College MCSC Scholarship (Honorary) and the Santander Mobility Grant awarded to (R.D.). Part of this research was also funded by the Ministry of Human Resource Development, the Government of India (GoI) project titled CoE-FAST under the grant number [14MHRD005] and the IRCC-IIT Bombay Fund, under the grant number [16IRCC561015] awarded to (R.B.). The APC was funded by Bill and Melinda Gates Foundation.</t>
        </is>
      </c>
      <c r="AH330" t="n">
        <v>82</v>
      </c>
      <c r="AI330" t="n">
        <v>14</v>
      </c>
      <c r="AJ330" t="n">
        <v>15</v>
      </c>
      <c r="AK330" t="n">
        <v>5</v>
      </c>
      <c r="AL330" t="n">
        <v>31</v>
      </c>
      <c r="AM330" t="inlineStr">
        <is>
          <t>MDPI</t>
        </is>
      </c>
      <c r="AN330" t="inlineStr">
        <is>
          <t>BASEL</t>
        </is>
      </c>
      <c r="AO330" t="inlineStr">
        <is>
          <t>ST ALBAN-ANLAGE 66, CH-4052 BASEL, SWITZERLAND</t>
        </is>
      </c>
      <c r="AQ330" t="inlineStr">
        <is>
          <t>2071-1050</t>
        </is>
      </c>
      <c r="AS330" t="inlineStr">
        <is>
          <t>SUSTAINABILITY-BASEL</t>
        </is>
      </c>
      <c r="AT330" t="inlineStr">
        <is>
          <t>Sustainability</t>
        </is>
      </c>
      <c r="AU330" t="inlineStr">
        <is>
          <t>APR</t>
        </is>
      </c>
      <c r="AV330" t="n">
        <v>2020</v>
      </c>
      <c r="AW330" t="n">
        <v>12</v>
      </c>
      <c r="AX330" t="n">
        <v>7</v>
      </c>
      <c r="BE330" t="n">
        <v>3027</v>
      </c>
      <c r="BF330" t="inlineStr">
        <is>
          <t>10.3390/su12073027</t>
        </is>
      </c>
      <c r="BG330">
        <f>HYPERLINK("http://dx.doi.org/10.3390/su12073027","http://dx.doi.org/10.3390/su12073027")</f>
        <v/>
      </c>
      <c r="BJ330" t="n">
        <v>27</v>
      </c>
      <c r="BK330" t="inlineStr">
        <is>
          <t>Green &amp; Sustainable Science &amp; Technology; Environmental Sciences; Environmental Studies</t>
        </is>
      </c>
      <c r="BL330" t="inlineStr">
        <is>
          <t>Science Citation Index Expanded (SCI-EXPANDED); Social Science Citation Index (SSCI)</t>
        </is>
      </c>
      <c r="BM330" t="inlineStr">
        <is>
          <t>Science &amp; Technology - Other Topics; Environmental Sciences &amp; Ecology</t>
        </is>
      </c>
      <c r="BN330" t="inlineStr">
        <is>
          <t>LL4WR</t>
        </is>
      </c>
      <c r="BP330" t="inlineStr">
        <is>
          <t>Green Submitted, gold</t>
        </is>
      </c>
      <c r="BS330" t="inlineStr">
        <is>
          <t>2023-10-26</t>
        </is>
      </c>
      <c r="BT330" t="inlineStr">
        <is>
          <t>WOS:000531558100452</t>
        </is>
      </c>
      <c r="BU330">
        <f>HYPERLINK("https%3A%2F%2Fwww.webofscience.com%2Fwos%2Fwoscc%2Ffull-record%2FWOS:000531558100452","View Full Record in Web of Science")</f>
        <v/>
      </c>
    </row>
    <row r="331">
      <c r="A331" t="inlineStr">
        <is>
          <t>J</t>
        </is>
      </c>
      <c r="B331" t="inlineStr">
        <is>
          <t>Mitsutake, S; Ishizaki, T; Yokoyama, Y; Nishi, M; Koohsari, MJ; Oka, K; Yano, S; Abe, T; Kitamura, A</t>
        </is>
      </c>
      <c r="F331" t="inlineStr">
        <is>
          <t>Mitsutake, Seigo; Ishizaki, Tatsuro; Yokoyama, Yuri; Nishi, Mariko; Koohsari, Mohammad Javad; Oka, Koichiro; Yano, Shohei; Abe, Takumi; Kitamura, Akihiko</t>
        </is>
      </c>
      <c r="J331" t="inlineStr">
        <is>
          <t>SUSTAINABILITY</t>
        </is>
      </c>
      <c r="M331" t="inlineStr">
        <is>
          <t>English</t>
        </is>
      </c>
      <c r="N331" t="inlineStr">
        <is>
          <t>Article</t>
        </is>
      </c>
      <c r="T331" t="inlineStr">
        <is>
          <t>Do Walking-Friendly Built Environments Influence Frailty and Long-Term Care Insurance Service Needs?</t>
        </is>
      </c>
      <c r="U331" t="inlineStr">
        <is>
          <t>health services for the aged; built environment; dependency; urban design</t>
        </is>
      </c>
      <c r="V331" t="inlineStr">
        <is>
          <t>OLDER-ADULTS; PHYSICAL-ACTIVITY; NEIGHBORHOOD WALKABILITY; SOCIAL-ISOLATION; ASSOCIATIONS; COMMUNITY; SCORE; TRANSPORTATION; LONELINESS; DISABILITY</t>
        </is>
      </c>
      <c r="W331" t="inlineStr">
        <is>
          <t>Our study examined the associations between neighborhood walkability, frailty, and the incidence of long-term care insurance (LTCI) service needs using a prospective cohort survey in a suburban town in Japan. The final sample for analyses comprised 2867 community-dwelling older adults (mean age: 73.0 years). Neighborhood walkability was measured using the Walk Score(R). A total of 387 participants (13.5%) exhibited frailty. The odds of frailty, adjusted for the covariates (sex, age, educational status, marital status, residential status, employment status, subjective economic status) among participants who lived in somewhat walkable/very walkable areas, was 0.750 (95% Confidence Interval, CI: 0.597-0.943) versus those who lived in car-dependent areas. During the 23-month follow-up, 102 participants needed LTCI services (19.0 per 1000 person-years), 41 of whom (21.0 per 1000 person-years) lived in car-dependent areas, and 61 of whom (17.9 per 1000 person-years) lived in somewhat walkable/very walkable areas. As compared with participants who lived in car-dependent areas, the incidence of LTCI service needs was not significantly lower than that of those who lived in somewhat walkable/very walkable areas. Walk Score(R) can provide the critical information for the strategies to improve walkability and prevent older adults' frailty in less walkable areas, contributing to achieving the United Nation's Sustainable Development Goals (SDGs).</t>
        </is>
      </c>
      <c r="X331" t="inlineStr">
        <is>
          <t>[Mitsutake, Seigo; Ishizaki, Tatsuro; Yano, Shohei] Tokyo Metropolitan Inst Gerontol, Human Care Res Team, Tokyo 1730015, Japan; [Mitsutake, Seigo; Yano, Shohei] Waseda Univ, Waseda Inst Sport Sci, Saitama 3591192, Japan; [Yokoyama, Yuri; Nishi, Mariko; Kitamura, Akihiko] Tokyo Metropolitan Inst Gerontol, Res Team Social Participat &amp; Community Hlth, Tokyo 1730015, Japan; [Koohsari, Mohammad Javad; Oka, Koichiro] Waseda Univ, Fac Sport Sci, Saitama 3591192, Japan; [Koohsari, Mohammad Javad] Univ Melbourne, Melbourne Sch Populat &amp; Global Hlth, Melbourne, Vic 3053, Australia; [Koohsari, Mohammad Javad] Baker Heart &amp; Diabet Inst, Behav Epidemiol Lab, Melbourne, Vic 3004, Australia; [Yano, Shohei] Salvat Army Booth Mem Hosp, Tokyo 1660012, Japan; [Abe, Takumi] Tokyo Metropolitan Inst Gerontol, Integrated Res Initiat Living Well Dementia, Tokyo 1730015, Japan; [Abe, Takumi] Swinburne Univ Technol, Ctr Urban Transit, Melbourne, Vic 3122, Australia</t>
        </is>
      </c>
      <c r="Y331" t="inlineStr">
        <is>
          <t>Tokyo Metropolitan Institute of Gerontology; Waseda University; Tokyo Metropolitan Institute of Gerontology; Waseda University; University of Melbourne; Tokyo Metropolitan Institute of Gerontology; Swinburne University of Technology</t>
        </is>
      </c>
      <c r="Z331" t="inlineStr">
        <is>
          <t>Mitsutake, S (corresponding author), Tokyo Metropolitan Inst Gerontol, Human Care Res Team, Tokyo 1730015, Japan.;Mitsutake, S (corresponding author), Waseda Univ, Waseda Inst Sport Sci, Saitama 3591192, Japan.</t>
        </is>
      </c>
      <c r="AA331" t="inlineStr">
        <is>
          <t>mitsu@tmig.or.jp; tatsuro@tmig.or.jp; yokoyama@tmig.or.jp; nishi@tmig.or.jp; mkoohsari@unimelb.edu.au; koka@waseda.jp; shohei.yano@gmail.com; abe@tmig.or.jp; kitamura@tmig.or.jp</t>
        </is>
      </c>
      <c r="AB331" t="inlineStr">
        <is>
          <t>Koohsari, Javad/A-4613-2009</t>
        </is>
      </c>
      <c r="AC331" t="inlineStr">
        <is>
          <t>Koohsari, Javad/0000-0001-9384-5456; Yano, Shohei/0000-0002-4819-4380; Oka, Koichiro/0000-0001-5571-042X</t>
        </is>
      </c>
      <c r="AD331" t="inlineStr">
        <is>
          <t>Japan Foundation for Aging and Health, Rokenjigyo from the Ministry of Health, Labour and Welfare, Japan; Daiwa Securities Health Foundation</t>
        </is>
      </c>
      <c r="AE331" t="inlineStr">
        <is>
          <t>Japan Foundation for Aging and Health, Rokenjigyo from the Ministry of Health, Labour and Welfare, Japan; Daiwa Securities Health Foundation</t>
        </is>
      </c>
      <c r="AF331" t="inlineStr">
        <is>
          <t>This research was funded by The Japan Foundation for Aging and Health, Rokenjigyo from the Ministry of Health, Labour and Welfare, Japan, and Research Grant 2019 from Daiwa Securities Health Foundation.</t>
        </is>
      </c>
      <c r="AH331" t="n">
        <v>57</v>
      </c>
      <c r="AI331" t="n">
        <v>3</v>
      </c>
      <c r="AJ331" t="n">
        <v>3</v>
      </c>
      <c r="AK331" t="n">
        <v>1</v>
      </c>
      <c r="AL331" t="n">
        <v>15</v>
      </c>
      <c r="AM331" t="inlineStr">
        <is>
          <t>MDPI</t>
        </is>
      </c>
      <c r="AN331" t="inlineStr">
        <is>
          <t>BASEL</t>
        </is>
      </c>
      <c r="AO331" t="inlineStr">
        <is>
          <t>ST ALBAN-ANLAGE 66, CH-4052 BASEL, SWITZERLAND</t>
        </is>
      </c>
      <c r="AQ331" t="inlineStr">
        <is>
          <t>2071-1050</t>
        </is>
      </c>
      <c r="AS331" t="inlineStr">
        <is>
          <t>SUSTAINABILITY-BASEL</t>
        </is>
      </c>
      <c r="AT331" t="inlineStr">
        <is>
          <t>Sustainability</t>
        </is>
      </c>
      <c r="AU331" t="inlineStr">
        <is>
          <t>MAY</t>
        </is>
      </c>
      <c r="AV331" t="n">
        <v>2021</v>
      </c>
      <c r="AW331" t="n">
        <v>13</v>
      </c>
      <c r="AX331" t="n">
        <v>10</v>
      </c>
      <c r="BE331" t="n">
        <v>5632</v>
      </c>
      <c r="BF331" t="inlineStr">
        <is>
          <t>10.3390/su13105632</t>
        </is>
      </c>
      <c r="BG331">
        <f>HYPERLINK("http://dx.doi.org/10.3390/su13105632","http://dx.doi.org/10.3390/su13105632")</f>
        <v/>
      </c>
      <c r="BJ331" t="n">
        <v>11</v>
      </c>
      <c r="BK331" t="inlineStr">
        <is>
          <t>Green &amp; Sustainable Science &amp; Technology; Environmental Sciences; Environmental Studies</t>
        </is>
      </c>
      <c r="BL331" t="inlineStr">
        <is>
          <t>Science Citation Index Expanded (SCI-EXPANDED); Social Science Citation Index (SSCI)</t>
        </is>
      </c>
      <c r="BM331" t="inlineStr">
        <is>
          <t>Science &amp; Technology - Other Topics; Environmental Sciences &amp; Ecology</t>
        </is>
      </c>
      <c r="BN331" t="inlineStr">
        <is>
          <t>ST7LY</t>
        </is>
      </c>
      <c r="BP331" t="inlineStr">
        <is>
          <t>Green Published, gold</t>
        </is>
      </c>
      <c r="BS331" t="inlineStr">
        <is>
          <t>2023-10-26</t>
        </is>
      </c>
      <c r="BT331" t="inlineStr">
        <is>
          <t>WOS:000662622500001</t>
        </is>
      </c>
      <c r="BU331">
        <f>HYPERLINK("https%3A%2F%2Fwww.webofscience.com%2Fwos%2Fwoscc%2Ffull-record%2FWOS:000662622500001","View Full Record in Web of Science")</f>
        <v/>
      </c>
    </row>
    <row r="332">
      <c r="A332" t="inlineStr">
        <is>
          <t>J</t>
        </is>
      </c>
      <c r="B332" t="inlineStr">
        <is>
          <t>Shiue, I</t>
        </is>
      </c>
      <c r="F332" t="inlineStr">
        <is>
          <t>Shiue, Ivy</t>
        </is>
      </c>
      <c r="J332" t="inlineStr">
        <is>
          <t>ENVIRONMENTAL SCIENCE AND POLLUTION RESEARCH</t>
        </is>
      </c>
      <c r="M332" t="inlineStr">
        <is>
          <t>English</t>
        </is>
      </c>
      <c r="N332" t="inlineStr">
        <is>
          <t>Article</t>
        </is>
      </c>
      <c r="T332" t="inlineStr">
        <is>
          <t>Indoor mildew odour in old housing was associated with adult allergic symptoms, asthma, chronic bronchitis, vision, sleep and self-rated health: USA NHANES, 2005-2006</t>
        </is>
      </c>
      <c r="U332" t="inlineStr">
        <is>
          <t>Mildew odour; Self-rated health; Indoor environment; Allergy; Asthma; Sleep; Vision</t>
        </is>
      </c>
      <c r="V332" t="inlineStr">
        <is>
          <t>IDENTIFICATION; CHEMICALS; EXPOSURE; WATER; RISK</t>
        </is>
      </c>
      <c r="W332" t="inlineStr">
        <is>
          <t>A recent systematic review and meta-analysis has shown the effect of indoor mildew odour on allergic rhinitis risk, but its relation to other common chronic health outcomes in adults has not been investigated. Therefore, it was aimed to examine the relationship of indoor mildew odour and common health outcomes in adults in a national and population-based setting. Data was retrieved from the United States National Health and Nutrition Examination Surveys, 2005-2006, including the available information on demographics, housing characteristics, self-reported health conditions and urinary concentrations of environmental chemicals. T test, chi-squared test and survey-weighted logistic regression modelling were performed. Of all American adults (n = 4979), 744 (15.1 %) reported indoor mildew odour or musty smell in their households. People who reported indoor mildew odour or musty smell also reported poorer self-rated health, sleep complaints, chronic bronchitis, asthma attack, itchy rash, sneezing and poor vision. In addition, people who reported indoor mildew odour or musty smell also tended to reside in older housing that were built 20 years earlier. However, there were no significant statistical associations found between indoor mildew odour or musty smell and urinary concentrations of environmental chemicals, which was also found to be associated with old housing. People who lived in older housing with indoor mildew odour or musty smell tended to have chronic health problems. To protect occupants in old housing from chronic illnesses associated with indoor mildew odour, elimination of the odour sources should be explored in future research and therefore public health and housing programs.</t>
        </is>
      </c>
      <c r="X332" t="inlineStr">
        <is>
          <t>[Shiue, Ivy] Heriot Watt Univ, Sch Energy Geosci Infrastruct &amp; Soc, Edinburgh, Midlothian, Scotland; [Shiue, Ivy] Univ Georgia, Owens Inst Behav Res, Athens, GA 30602 USA</t>
        </is>
      </c>
      <c r="Y332" t="inlineStr">
        <is>
          <t>Heriot Watt University; University System of Georgia; University of Georgia</t>
        </is>
      </c>
      <c r="Z332" t="inlineStr">
        <is>
          <t>Shiue, I (corresponding author), Heriot Watt Univ, Sch Energy Geosci Infrastruct &amp; Soc, Edinburgh, Midlothian, Scotland.</t>
        </is>
      </c>
      <c r="AA332" t="inlineStr">
        <is>
          <t>i.shiue@hw.ac.uk</t>
        </is>
      </c>
      <c r="AC332" t="inlineStr">
        <is>
          <t>Shiue, Ivy/0000-0003-1788-3009</t>
        </is>
      </c>
      <c r="AD332" t="inlineStr">
        <is>
          <t>Global Platform for Research Leaders Scheme</t>
        </is>
      </c>
      <c r="AE332" t="inlineStr">
        <is>
          <t>Global Platform for Research Leaders Scheme</t>
        </is>
      </c>
      <c r="AF332" t="inlineStr">
        <is>
          <t>Dr. Ivy Shiue is supported by the Global Platform for Research Leaders Scheme.</t>
        </is>
      </c>
      <c r="AH332" t="n">
        <v>21</v>
      </c>
      <c r="AI332" t="n">
        <v>14</v>
      </c>
      <c r="AJ332" t="n">
        <v>14</v>
      </c>
      <c r="AK332" t="n">
        <v>5</v>
      </c>
      <c r="AL332" t="n">
        <v>31</v>
      </c>
      <c r="AM332" t="inlineStr">
        <is>
          <t>SPRINGER HEIDELBERG</t>
        </is>
      </c>
      <c r="AN332" t="inlineStr">
        <is>
          <t>HEIDELBERG</t>
        </is>
      </c>
      <c r="AO332" t="inlineStr">
        <is>
          <t>TIERGARTENSTRASSE 17, D-69121 HEIDELBERG, GERMANY</t>
        </is>
      </c>
      <c r="AP332" t="inlineStr">
        <is>
          <t>0944-1344</t>
        </is>
      </c>
      <c r="AQ332" t="inlineStr">
        <is>
          <t>1614-7499</t>
        </is>
      </c>
      <c r="AS332" t="inlineStr">
        <is>
          <t>ENVIRON SCI POLLUT R</t>
        </is>
      </c>
      <c r="AT332" t="inlineStr">
        <is>
          <t>Environ. Sci. Pollut. Res.</t>
        </is>
      </c>
      <c r="AU332" t="inlineStr">
        <is>
          <t>SEP</t>
        </is>
      </c>
      <c r="AV332" t="n">
        <v>2015</v>
      </c>
      <c r="AW332" t="n">
        <v>22</v>
      </c>
      <c r="AX332" t="n">
        <v>18</v>
      </c>
      <c r="BC332" t="n">
        <v>14234</v>
      </c>
      <c r="BD332" t="n">
        <v>14240</v>
      </c>
      <c r="BF332" t="inlineStr">
        <is>
          <t>10.1007/s11356-015-4671-8</t>
        </is>
      </c>
      <c r="BG332">
        <f>HYPERLINK("http://dx.doi.org/10.1007/s11356-015-4671-8","http://dx.doi.org/10.1007/s11356-015-4671-8")</f>
        <v/>
      </c>
      <c r="BJ332" t="n">
        <v>7</v>
      </c>
      <c r="BK332" t="inlineStr">
        <is>
          <t>Environmental Sciences</t>
        </is>
      </c>
      <c r="BL332" t="inlineStr">
        <is>
          <t>Science Citation Index Expanded (SCI-EXPANDED)</t>
        </is>
      </c>
      <c r="BM332" t="inlineStr">
        <is>
          <t>Environmental Sciences &amp; Ecology</t>
        </is>
      </c>
      <c r="BN332" t="inlineStr">
        <is>
          <t>CQ8GI</t>
        </is>
      </c>
      <c r="BO332" t="n">
        <v>25971810</v>
      </c>
      <c r="BS332" t="inlineStr">
        <is>
          <t>2023-10-26</t>
        </is>
      </c>
      <c r="BT332" t="inlineStr">
        <is>
          <t>WOS:000360844200057</t>
        </is>
      </c>
      <c r="BU332">
        <f>HYPERLINK("https%3A%2F%2Fwww.webofscience.com%2Fwos%2Fwoscc%2Ffull-record%2FWOS:000360844200057","View Full Record in Web of Science")</f>
        <v/>
      </c>
    </row>
    <row r="333">
      <c r="A333" t="inlineStr">
        <is>
          <t>J</t>
        </is>
      </c>
      <c r="B333" t="inlineStr">
        <is>
          <t>Amaya, V; Moulaert, T; Gwiazdzinski, L; Vuillerme, N</t>
        </is>
      </c>
      <c r="F333" t="inlineStr">
        <is>
          <t>Amaya, Valkiria; Moulaert, Thibauld; Gwiazdzinski, Luc; Vuillerme, Nicolas</t>
        </is>
      </c>
      <c r="J333" t="inlineStr">
        <is>
          <t>INTERNATIONAL JOURNAL OF ENVIRONMENTAL RESEARCH AND PUBLIC HEALTH</t>
        </is>
      </c>
      <c r="M333" t="inlineStr">
        <is>
          <t>English</t>
        </is>
      </c>
      <c r="N333" t="inlineStr">
        <is>
          <t>Article</t>
        </is>
      </c>
      <c r="T333" t="inlineStr">
        <is>
          <t>Assessing and Qualifying Neighborhood Walkability for Older Adults: Construction and Initial Testing of a Multivariate Spatial Accessibility Model</t>
        </is>
      </c>
      <c r="U333" t="inlineStr">
        <is>
          <t>accessibility; older adults; walking; spatial accessibility model; geographic information systems</t>
        </is>
      </c>
      <c r="V333" t="inlineStr">
        <is>
          <t>MENTAL-HEALTH-SERVICES; PHYSICAL-ACTIVITY; ENVIRONMENT; MOBILITY; PEOPLE; MUNICIPALITY; POPULATION; MELBOURNE; WALKING; ACCESS</t>
        </is>
      </c>
      <c r="W333" t="inlineStr">
        <is>
          <t>Population aging and urban development pose major challenges for societies today. Joining the literature assessing urban accessibility, the present exploratory research developed a multivariate accessibility model based on four independent variables-related to formal and structural urban space-that influence walkability for older adults (pedestrian network; facilities and shops; public benches; and slopes and gradients). The model used ArcGIS software. For the accessibility calculations, we selected two suburban neighborhoods in the conurbation of Grenoble (France) and selected three types of older adults' profiles to reflect the variety of aging: an older adult in good health, an older adult with a chronic disease, and an older adult with reduced mobility. The results suggest that the accessibility of a neighborhood depends not only on its physical and urban characteristics, but it is also influenced by the physical and health characteristics of its inhabitants. The originality of the model lies mainly in its ability to estimate the spatial accessibility of a territory by taking into account, firstly, objective data such as the physical characteristics and the built environment of the neighborhood through objectification variables that consider such original variables as the presence of benches or the slopes and gradients and, secondly, specific data such as the physical and/or health characteristics of the study population. The measurement of geospatial accessibility could be of great value for public health in urban contexts, which is why relevant tools and methodologies are needed to objectively examine and intervene in public spaces in order to make them age-friendly.</t>
        </is>
      </c>
      <c r="X333" t="inlineStr">
        <is>
          <t>[Amaya, Valkiria; Vuillerme, Nicolas] Univ Grenoble Alpes, AGEIS Autonomie Gerontol Sante Imagerie &amp; Soc E, F-38000 Grenoble, France; [Amaya, Valkiria; Moulaert, Thibauld] Univ Grenoble Alpes, CNRS, Sci Po Grenoble, PACTE Lab Sci Sociales, F-38000 Grenoble, France; [Gwiazdzinski, Luc] Univ Federale Toulouse, Ecole Natl Super Architecture Toulouse, LRA Lab Rech Architecture, F-31106 Toulouse, France; [Vuillerme, Nicolas] Inst Univ France, F-75005 Paris, France</t>
        </is>
      </c>
      <c r="Y333" t="inlineStr">
        <is>
          <t>Communaute Universite Grenoble Alpes; UDICE-French Research Universities; Universite Grenoble Alpes (UGA); Centre National de la Recherche Scientifique (CNRS); Communaute Universite Grenoble Alpes; UDICE-French Research Universities; Universite Grenoble Alpes (UGA); Universite de Toulouse; Ecole Nationale Superieur d'Architecture de Toulouse; Institut Universitaire de France</t>
        </is>
      </c>
      <c r="Z333" t="inlineStr">
        <is>
          <t>Amaya, V (corresponding author), Univ Grenoble Alpes, AGEIS Autonomie Gerontol Sante Imagerie &amp; Soc E, F-38000 Grenoble, France.;Amaya, V; Moulaert, T (corresponding author), Univ Grenoble Alpes, CNRS, Sci Po Grenoble, PACTE Lab Sci Sociales, F-38000 Grenoble, France.</t>
        </is>
      </c>
      <c r="AA333" t="inlineStr">
        <is>
          <t>valkiria.amaya@umrpacte.fr; thibauld.moulaert@umrpacte.fr; luc.gwiazdzinski@toulouse.archi.fr; nicolas.vuillerme@univ-grenoble-alpes.fr</t>
        </is>
      </c>
      <c r="AB333" t="inlineStr">
        <is>
          <t>VUILLERME, Nicolas/U-5767-2019</t>
        </is>
      </c>
      <c r="AC333" t="inlineStr">
        <is>
          <t>VUILLERME, Nicolas/0000-0003-3773-393X; Moulaert, Thibauld/0000-0003-2460-6384</t>
        </is>
      </c>
      <c r="AD333" t="inlineStr">
        <is>
          <t>French National Research Agency [ANR-19-CE22-0002]; IDEX Universite Grenoble Alpes Initiatives de Recherche Strategiques (IRS) [ANR-15-IDEX-02]; French national program Programme d'Investissements d'Avenir, IRT Nanoelec [ANR-10-AIRT-05]; Agence Nationale de la Recherche (ANR) [ANR-19-CE22-0002] Funding Source: Agence Nationale de la Recherche (ANR)</t>
        </is>
      </c>
      <c r="AE333" t="inlineStr">
        <is>
          <t>French National Research Agency(Agence Nationale de la Recherche (ANR)); IDEX Universite Grenoble Alpes Initiatives de Recherche Strategiques (IRS); French national program Programme d'Investissements d'Avenir, IRT Nanoelec(Agence Nationale de la Recherche (ANR)); Agence Nationale de la Recherche (ANR)(Agence Nationale de la Recherche (ANR))</t>
        </is>
      </c>
      <c r="AF333" t="inlineStr">
        <is>
          <t>This study is part of the first author's Ph.D. thesis (V.A., Universite Grenoble Alpes, France). This work was supported by the early-career researcher (JCJC) Citizenbench project funded by the French National Research Agency program under grant ANR-19-CE22-0002 (T.M.), by the Benches for seniors project funded by the IDEX Universite Grenoble Alpes Initiatives de Recherche Strategiques (IRS) under grant ANR-15-IDEX-02, and by the French national program Programme d'Investissements d'Avenir, IRT Nanoelec under grant ANR-10-AIRT-05. These sponsors had no involvement in study design, the collection, analysis, and interpretation of data, or writing the manuscript. This work further forms part of a broader, translational, interdisciplinary research program called GaitAlps (N.V.).</t>
        </is>
      </c>
      <c r="AH333" t="n">
        <v>90</v>
      </c>
      <c r="AI333" t="n">
        <v>4</v>
      </c>
      <c r="AJ333" t="n">
        <v>4</v>
      </c>
      <c r="AK333" t="n">
        <v>6</v>
      </c>
      <c r="AL333" t="n">
        <v>27</v>
      </c>
      <c r="AM333" t="inlineStr">
        <is>
          <t>MDPI</t>
        </is>
      </c>
      <c r="AN333" t="inlineStr">
        <is>
          <t>BASEL</t>
        </is>
      </c>
      <c r="AO333" t="inlineStr">
        <is>
          <t>ST ALBAN-ANLAGE 66, CH-4052 BASEL, SWITZERLAND</t>
        </is>
      </c>
      <c r="AQ333" t="inlineStr">
        <is>
          <t>1660-4601</t>
        </is>
      </c>
      <c r="AS333" t="inlineStr">
        <is>
          <t>INT J ENV RES PUB HE</t>
        </is>
      </c>
      <c r="AT333" t="inlineStr">
        <is>
          <t>Int. J. Environ. Res. Public Health</t>
        </is>
      </c>
      <c r="AU333" t="inlineStr">
        <is>
          <t>FEB</t>
        </is>
      </c>
      <c r="AV333" t="n">
        <v>2022</v>
      </c>
      <c r="AW333" t="n">
        <v>19</v>
      </c>
      <c r="AX333" t="n">
        <v>3</v>
      </c>
      <c r="BE333" t="n">
        <v>1808</v>
      </c>
      <c r="BF333" t="inlineStr">
        <is>
          <t>10.3390/ijerph19031808</t>
        </is>
      </c>
      <c r="BG333">
        <f>HYPERLINK("http://dx.doi.org/10.3390/ijerph19031808","http://dx.doi.org/10.3390/ijerph19031808")</f>
        <v/>
      </c>
      <c r="BJ333" t="n">
        <v>18</v>
      </c>
      <c r="BK333" t="inlineStr">
        <is>
          <t>Environmental Sciences; Public, Environmental &amp; Occupational Health</t>
        </is>
      </c>
      <c r="BL333" t="inlineStr">
        <is>
          <t>Science Citation Index Expanded (SCI-EXPANDED); Social Science Citation Index (SSCI)</t>
        </is>
      </c>
      <c r="BM333" t="inlineStr">
        <is>
          <t>Environmental Sciences &amp; Ecology; Public, Environmental &amp; Occupational Health</t>
        </is>
      </c>
      <c r="BN333" t="inlineStr">
        <is>
          <t>ZF1SR</t>
        </is>
      </c>
      <c r="BO333" t="n">
        <v>35162830</v>
      </c>
      <c r="BP333" t="inlineStr">
        <is>
          <t>Green Published, gold</t>
        </is>
      </c>
      <c r="BS333" t="inlineStr">
        <is>
          <t>2023-10-26</t>
        </is>
      </c>
      <c r="BT333" t="inlineStr">
        <is>
          <t>WOS:000759354200001</t>
        </is>
      </c>
      <c r="BU333">
        <f>HYPERLINK("https%3A%2F%2Fwww.webofscience.com%2Fwos%2Fwoscc%2Ffull-record%2FWOS:000759354200001","View Full Record in Web of Science")</f>
        <v/>
      </c>
    </row>
    <row r="334">
      <c r="A334" t="inlineStr">
        <is>
          <t>J</t>
        </is>
      </c>
      <c r="B334" t="inlineStr">
        <is>
          <t>Kamei, M; Mastrucci, A; van Ruijven, BJ</t>
        </is>
      </c>
      <c r="F334" t="inlineStr">
        <is>
          <t>Kamei, Miho; Mastrucci, Alessio; van Ruijven, Bas J.</t>
        </is>
      </c>
      <c r="J334" t="inlineStr">
        <is>
          <t>SUSTAINABILITY</t>
        </is>
      </c>
      <c r="M334" t="inlineStr">
        <is>
          <t>English</t>
        </is>
      </c>
      <c r="N334" t="inlineStr">
        <is>
          <t>Article</t>
        </is>
      </c>
      <c r="T334" t="inlineStr">
        <is>
          <t>A Future Outlook of Narratives for the Built Environment in Japan</t>
        </is>
      </c>
      <c r="U334" t="inlineStr">
        <is>
          <t>sustainable development strategies; long-term scenario analysis; SSPs; cities; nature-based solutions; well-being; beyond growth; regional circular economy; resilience</t>
        </is>
      </c>
      <c r="V334" t="inlineStr">
        <is>
          <t>SCENARIOS</t>
        </is>
      </c>
      <c r="W334" t="inlineStr">
        <is>
          <t>The evolution of long-term sustainable societies is closely connected to the transformation of the physical built environment in which those societies operate. In this paper, we present a comprehensive set of narratives for the built environment in Japan, consistent with the shared socio-economic pathways (SSPs) framework, to assess the future evolution of the adaptation and mitigation challenges. We focus on the linkage between sustainability factors and human living environments including urban form, buildings, and basic infrastructures. We introduce a new, sixth narrative to the SSPs, an alternative interpretation of SSP1. Whereas the original SSP1 assumes high societal and environmental sustainability combined with relatively high economic growth, the SSP1 variant does not highly rely on economic growth and is oriented towards a lower and more locally oriented consumption lifestyle. Nature-based solutions are integrated and examined in the new SSP1 narrative, which is aligned with the adaptation to the digital era with freedom of location. Recent global crises such as climate change and the COVID-19 pandemic may accelerate the transformation of societies. Therefore, this study attempts to imply the benefits and trade-offs of alternative pathways for the built environment.</t>
        </is>
      </c>
      <c r="X334" t="inlineStr">
        <is>
          <t>[Kamei, Miho] Inst Global Environm Strategies, Hayama, Kanagawa 2400115, Japan; [Mastrucci, Alessio; van Ruijven, Bas J.] Int Inst Appl Syst Anal, A-2361 Laxenburg, Austria</t>
        </is>
      </c>
      <c r="Y334" t="inlineStr">
        <is>
          <t>International Institute for Applied Systems Analysis (IIASA)</t>
        </is>
      </c>
      <c r="Z334" t="inlineStr">
        <is>
          <t>Kamei, M (corresponding author), Inst Global Environm Strategies, Hayama, Kanagawa 2400115, Japan.</t>
        </is>
      </c>
      <c r="AA334" t="inlineStr">
        <is>
          <t>kamei@iges.or.jp; mastrucc@iiasa.ac.at; vruijven@iiasa.ac.at</t>
        </is>
      </c>
      <c r="AB334" t="inlineStr">
        <is>
          <t>van Ruijven, Bas/G-8106-2011; Mastrucci, Alessio/D-9026-2015</t>
        </is>
      </c>
      <c r="AC334" t="inlineStr">
        <is>
          <t>van Ruijven, Bas/0000-0003-1232-5892; Mastrucci, Alessio/0000-0002-5611-7780</t>
        </is>
      </c>
      <c r="AD334" t="inlineStr">
        <is>
          <t>Environment Research &amp; Technology Development Fund from the Ministry of Environment Japan [S-16]; IGES Strategic Research Fund; SHAPE project part of AXIS, an ERA-NET; JPI Climate; FORMAS (SE),; FFG/BMWFW (AT) [871994]; DLR/BMBF (DE) [01LS1907A-B-C]; NWO (NL); RCN (NO); European Union [776608]</t>
        </is>
      </c>
      <c r="AE334" t="inlineStr">
        <is>
          <t>Environment Research &amp; Technology Development Fund from the Ministry of Environment Japan; IGES Strategic Research Fund; SHAPE project part of AXIS, an ERA-NET; JPI Climate; FORMAS (SE),(Swedish Research Council Formas); FFG/BMWFW (AT); DLR/BMBF (DE); NWO (NL); RCN (NO); European Union(European Union (EU))</t>
        </is>
      </c>
      <c r="AF334" t="inlineStr">
        <is>
          <t>M.K. recieved funding from the Environment Research &amp; Technology Development Fund (S-16) from the Ministry of Environment Japan, and the IGES Strategic Research Fund. A.M. and B.J.v.R. received funding from the SHAPE project, which is part of AXIS, an ERA-NET initiated by JPI Climate, and funded by FORMAS (SE), FFG/BMWFW (AT, Grant No. 871994), DLR/BMBF (DE, Grant No. 01LS1907A-B-C), NWO (NL) and RCN (NO) with co-funding by the European Union (Grant No. 776608).</t>
        </is>
      </c>
      <c r="AH334" t="n">
        <v>56</v>
      </c>
      <c r="AI334" t="n">
        <v>4</v>
      </c>
      <c r="AJ334" t="n">
        <v>4</v>
      </c>
      <c r="AK334" t="n">
        <v>0</v>
      </c>
      <c r="AL334" t="n">
        <v>12</v>
      </c>
      <c r="AM334" t="inlineStr">
        <is>
          <t>MDPI</t>
        </is>
      </c>
      <c r="AN334" t="inlineStr">
        <is>
          <t>BASEL</t>
        </is>
      </c>
      <c r="AO334" t="inlineStr">
        <is>
          <t>ST ALBAN-ANLAGE 66, CH-4052 BASEL, SWITZERLAND</t>
        </is>
      </c>
      <c r="AQ334" t="inlineStr">
        <is>
          <t>2071-1050</t>
        </is>
      </c>
      <c r="AS334" t="inlineStr">
        <is>
          <t>SUSTAINABILITY-BASEL</t>
        </is>
      </c>
      <c r="AT334" t="inlineStr">
        <is>
          <t>Sustainability</t>
        </is>
      </c>
      <c r="AU334" t="inlineStr">
        <is>
          <t>FEB</t>
        </is>
      </c>
      <c r="AV334" t="n">
        <v>2021</v>
      </c>
      <c r="AW334" t="n">
        <v>13</v>
      </c>
      <c r="AX334" t="n">
        <v>4</v>
      </c>
      <c r="BE334" t="n">
        <v>1653</v>
      </c>
      <c r="BF334" t="inlineStr">
        <is>
          <t>10.3390/su13041653</t>
        </is>
      </c>
      <c r="BG334">
        <f>HYPERLINK("http://dx.doi.org/10.3390/su13041653","http://dx.doi.org/10.3390/su13041653")</f>
        <v/>
      </c>
      <c r="BJ334" t="n">
        <v>20</v>
      </c>
      <c r="BK334" t="inlineStr">
        <is>
          <t>Green &amp; Sustainable Science &amp; Technology; Environmental Sciences; Environmental Studies</t>
        </is>
      </c>
      <c r="BL334" t="inlineStr">
        <is>
          <t>Science Citation Index Expanded (SCI-EXPANDED); Social Science Citation Index (SSCI)</t>
        </is>
      </c>
      <c r="BM334" t="inlineStr">
        <is>
          <t>Science &amp; Technology - Other Topics; Environmental Sciences &amp; Ecology</t>
        </is>
      </c>
      <c r="BN334" t="inlineStr">
        <is>
          <t>QQ9LF</t>
        </is>
      </c>
      <c r="BP334" t="inlineStr">
        <is>
          <t>Green Accepted, gold, Green Published</t>
        </is>
      </c>
      <c r="BS334" t="inlineStr">
        <is>
          <t>2023-10-26</t>
        </is>
      </c>
      <c r="BT334" t="inlineStr">
        <is>
          <t>WOS:000624838000001</t>
        </is>
      </c>
      <c r="BU334">
        <f>HYPERLINK("https%3A%2F%2Fwww.webofscience.com%2Fwos%2Fwoscc%2Ffull-record%2FWOS:000624838000001","View Full Record in Web of Science")</f>
        <v/>
      </c>
    </row>
    <row r="335">
      <c r="A335" t="inlineStr">
        <is>
          <t>J</t>
        </is>
      </c>
      <c r="B335" t="inlineStr">
        <is>
          <t>Argyropoulos, CD; Skoulou, V; Efthimiou, G; Michopoulos, AK</t>
        </is>
      </c>
      <c r="F335" t="inlineStr">
        <is>
          <t>Argyropoulos, Christos D.; Skoulou, Vasiliki; Efthimiou, Georgios; Michopoulos, Apostolos K.</t>
        </is>
      </c>
      <c r="J335" t="inlineStr">
        <is>
          <t>AIR QUALITY ATMOSPHERE AND HEALTH</t>
        </is>
      </c>
      <c r="M335" t="inlineStr">
        <is>
          <t>English</t>
        </is>
      </c>
      <c r="N335" t="inlineStr">
        <is>
          <t>Review</t>
        </is>
      </c>
      <c r="T335" t="inlineStr">
        <is>
          <t>Airborne transmission of biological agents within the indoor built environment: a multidisciplinary review</t>
        </is>
      </c>
      <c r="U335" t="inlineStr">
        <is>
          <t>Indoor air quality; Building ventilation; Airborne transmission; Bioaerosols; CFD models; Droplets</t>
        </is>
      </c>
      <c r="V335" t="inlineStr">
        <is>
          <t>COMPUTATIONAL FLUID-DYNAMICS; LARGE-EDDY SIMULATION; MULTIZONE AIR-FLOW; DISPLACEMENT VENTILATION SYSTEM; HIGHRISE RESIDENTIAL BUILDINGS; PROTECTIVE ISOLATION ROOM; HUMAN EXHALED DROPLETS; CO-OCCUPANTS EXPOSURE; TOF MASS-SPECTROMETRY; 2-BED HOSPITAL WARD</t>
        </is>
      </c>
      <c r="W335" t="inlineStr">
        <is>
          <t>The nature and airborne dispersion of the underestimated biological agents, monitoring, analysis and transmission among the human occupants into building environment is a major challenge of today. Those agents play a crucial role in ensuring comfortable, healthy and risk-free conditions into indoor working and leaving spaces. It is known that ventilation systems influence strongly the transmission of indoor air pollutants, with scarce information although to have been reported for biological agents until 2019. The biological agents' source release and the trajectory of airborne transmission are both important in terms of optimising the design of the heating, ventilation and air conditioning systems of the future. In addition, modelling via computational fluid dynamics (CFD) will become a more valuable tool in foreseeing risks and tackle hazards when pollutants and biological agents released into closed spaces. Promising results on the prediction of their dispersion routes and concentration levels, as well as the selection of the appropriate ventilation strategy, provide crucial information on risk minimisation of the airborne transmission among humans. Under this context, the present multidisciplinary review considers four interrelated aspects of the dispersion of biological agents in closed spaces, (a) the nature and airborne transmission route of the examined agents, (b) the biological origin and health effects of the major microbial pathogens on the human respiratory system, (c) the role of heating, ventilation and air-conditioning systems in the airborne transmission and (d) the associated computer modelling approaches. This adopted methodology allows the discussion of the existing findings, ongoing research, identification of the main research gaps and future directions from a multidisciplinary point of view which will be helpful for substantial innovations in the field.</t>
        </is>
      </c>
      <c r="X335" t="inlineStr">
        <is>
          <t>[Argyropoulos, Christos D.] European Univ Cyprus, Sch Med, 6 Diogenes St, CY-2404 Nicosia, Cyprus; [Skoulou, Vasiliki] Univ Hull, Sch Engn, B3 Challenge Grp, Chem Engn, Cottingham Rd, Kingston Upon Hull HU6 7RX, N Humberside, England; [Efthimiou, Georgios] Univ Hull, Ctr Biomed, Hull York Med Sch, Cottingham Rd, Kingston Upon Hull HU6 7RX, N Humberside, England; [Michopoulos, Apostolos K.] Univ Cyprus, Energy Sr Environm Design Bldg Res Lab, POB 20537, CY-1678 Nicosia, Cyprus</t>
        </is>
      </c>
      <c r="Y335" t="inlineStr">
        <is>
          <t>European University Cyprus; University of Hull; University of Hull; University of York - UK; University of Cyprus</t>
        </is>
      </c>
      <c r="Z335" t="inlineStr">
        <is>
          <t>Michopoulos, AK (corresponding author), Univ Cyprus, Energy Sr Environm Design Bldg Res Lab, POB 20537, CY-1678 Nicosia, Cyprus.</t>
        </is>
      </c>
      <c r="AA335" t="inlineStr">
        <is>
          <t>michopoulos.apostolos@ucy.ac.cy</t>
        </is>
      </c>
      <c r="AB335" t="inlineStr">
        <is>
          <t>Argyropoulos, Christos/AAL-3862-2020</t>
        </is>
      </c>
      <c r="AC335" t="inlineStr">
        <is>
          <t>Argyropoulos, Christos/0000-0002-2090-2162; Skoulou, Vasiliki/0000-0001-6947-5360</t>
        </is>
      </c>
      <c r="AD335" t="inlineStr">
        <is>
          <t>European Commission [734340]; Marie Curie Actions (MSCA) [734340] Funding Source: Marie Curie Actions (MSCA)</t>
        </is>
      </c>
      <c r="AE335" t="inlineStr">
        <is>
          <t>European Commission(European Union (EU)European Commission Joint Research Centre); Marie Curie Actions (MSCA)(Marie Curie Actions)</t>
        </is>
      </c>
      <c r="AF335" t="inlineStr">
        <is>
          <t>Dr. Skoulou received partial support from the European Commission H2020 MSCA programme (DEW-COOL-4-CDC project, Grant agreement ID: 734340).</t>
        </is>
      </c>
      <c r="AH335" t="n">
        <v>529</v>
      </c>
      <c r="AI335" t="n">
        <v>2</v>
      </c>
      <c r="AJ335" t="n">
        <v>2</v>
      </c>
      <c r="AK335" t="n">
        <v>18</v>
      </c>
      <c r="AL335" t="n">
        <v>27</v>
      </c>
      <c r="AM335" t="inlineStr">
        <is>
          <t>SPRINGER</t>
        </is>
      </c>
      <c r="AN335" t="inlineStr">
        <is>
          <t>DORDRECHT</t>
        </is>
      </c>
      <c r="AO335" t="inlineStr">
        <is>
          <t>VAN GODEWIJCKSTRAAT 30, 3311 GZ DORDRECHT, NETHERLANDS</t>
        </is>
      </c>
      <c r="AP335" t="inlineStr">
        <is>
          <t>1873-9318</t>
        </is>
      </c>
      <c r="AQ335" t="inlineStr">
        <is>
          <t>1873-9326</t>
        </is>
      </c>
      <c r="AS335" t="inlineStr">
        <is>
          <t>AIR QUAL ATMOS HLTH</t>
        </is>
      </c>
      <c r="AT335" t="inlineStr">
        <is>
          <t>Air Qual. Atmos. Health</t>
        </is>
      </c>
      <c r="AU335" t="inlineStr">
        <is>
          <t>MAR</t>
        </is>
      </c>
      <c r="AV335" t="n">
        <v>2023</v>
      </c>
      <c r="AW335" t="n">
        <v>16</v>
      </c>
      <c r="AX335" t="n">
        <v>3</v>
      </c>
      <c r="BC335" t="n">
        <v>477</v>
      </c>
      <c r="BD335" t="n">
        <v>533</v>
      </c>
      <c r="BF335" t="inlineStr">
        <is>
          <t>10.1007/s11869-022-01286-w</t>
        </is>
      </c>
      <c r="BG335">
        <f>HYPERLINK("http://dx.doi.org/10.1007/s11869-022-01286-w","http://dx.doi.org/10.1007/s11869-022-01286-w")</f>
        <v/>
      </c>
      <c r="BI335" t="inlineStr">
        <is>
          <t>NOV 2022</t>
        </is>
      </c>
      <c r="BJ335" t="n">
        <v>57</v>
      </c>
      <c r="BK335" t="inlineStr">
        <is>
          <t>Environmental Sciences</t>
        </is>
      </c>
      <c r="BL335" t="inlineStr">
        <is>
          <t>Science Citation Index Expanded (SCI-EXPANDED)</t>
        </is>
      </c>
      <c r="BM335" t="inlineStr">
        <is>
          <t>Environmental Sciences &amp; Ecology</t>
        </is>
      </c>
      <c r="BN335" t="inlineStr">
        <is>
          <t>A3HB4</t>
        </is>
      </c>
      <c r="BO335" t="n">
        <v>36467894</v>
      </c>
      <c r="BP335" t="inlineStr">
        <is>
          <t>Green Published, Bronze</t>
        </is>
      </c>
      <c r="BS335" t="inlineStr">
        <is>
          <t>2023-10-26</t>
        </is>
      </c>
      <c r="BT335" t="inlineStr">
        <is>
          <t>WOS:000889406600001</t>
        </is>
      </c>
      <c r="BU335">
        <f>HYPERLINK("https%3A%2F%2Fwww.webofscience.com%2Fwos%2Fwoscc%2Ffull-record%2FWOS:000889406600001","View Full Record in Web of Science")</f>
        <v/>
      </c>
    </row>
    <row r="336">
      <c r="A336" t="inlineStr">
        <is>
          <t>J</t>
        </is>
      </c>
      <c r="B336" t="inlineStr">
        <is>
          <t>Qin, FY; Liu, TX; Yang, FL; Liu, HB</t>
        </is>
      </c>
      <c r="F336" t="inlineStr">
        <is>
          <t>Qin, Fengyan; Liu, Tongxin; Yang, Fulian; Liu, Hongbo</t>
        </is>
      </c>
      <c r="J336" t="inlineStr">
        <is>
          <t>JOURNAL OF COASTAL RESEARCH</t>
        </is>
      </c>
      <c r="M336" t="inlineStr">
        <is>
          <t>English</t>
        </is>
      </c>
      <c r="N336" t="inlineStr">
        <is>
          <t>Article</t>
        </is>
      </c>
      <c r="T336" t="inlineStr">
        <is>
          <t>Simulation on Aseismic Behaviors of Reinforced Concrete Corroded in Marine Environment</t>
        </is>
      </c>
      <c r="U336" t="inlineStr">
        <is>
          <t>Reinforced concrete; chemical corrosion; modal analysis; finite element simulation</t>
        </is>
      </c>
      <c r="V336" t="inlineStr">
        <is>
          <t>INDUCED COVER CRACKING; TIME</t>
        </is>
      </c>
      <c r="W336" t="inlineStr">
        <is>
          <t>With the acceleration of the economic development, people has more and more demand on reinforced concrete, a kind of building materials, whose properties directly affect the security and reliability of architectural entities. However, reinforced concrete that has long been submerged in the marine environment not only has to bear various loads such as wind and rain, but also suffer from physical and chemical corrosion, which in turn worsens its durability, degrades its mechanical properties, and badly destroys practical properties of marine works. To accurately evaluate how the aseismic behavior of reinforced concrete frame structures in the marine environment is subjected to change with chemical attack, this paper adopts the ABAQUS, a finite element software, to simulate and compare aseismic behaviors of an immersed tunnel structure newly built and after withstanding 60 years of chemical corrosion in the marine environment. The findings show that chemical corrosion in the marine will greatly degrade the aseismic behavior of reinforced concrete structures, providing a theoretical basis for qualitative evaluation on the impact of chemical corrosion on aseismic property of reinforced concrete frame structures.</t>
        </is>
      </c>
      <c r="X336" t="inlineStr">
        <is>
          <t>[Qin, Fengyan; Yang, Fulian] West Anhui Univ, Architecture &amp; Civil Engn, Luan 237012, Peoples R China; [Liu, Tongxin] Chongqing Design &amp; Res Inst, China Coal Int Engn Grp, Chongqing 404100, Peoples R China; [Liu, Hongbo] Heilongjiang Univ, Sch Civil Engn &amp; Architecture, Harbin 150080, Heilongjiang, Peoples R China</t>
        </is>
      </c>
      <c r="Y336" t="inlineStr">
        <is>
          <t>West Anhui University; Heilongjiang University</t>
        </is>
      </c>
      <c r="Z336" t="inlineStr">
        <is>
          <t>Qin, FY (corresponding author), West Anhui Univ, Architecture &amp; Civil Engn, Luan 237012, Peoples R China.</t>
        </is>
      </c>
      <c r="AA336" t="inlineStr">
        <is>
          <t>qinfengyan1207@163.com</t>
        </is>
      </c>
      <c r="AD336" t="inlineStr">
        <is>
          <t>National Natural Science Foundation of China [51678221]; Key Project of Natural Science Research in Anhui Universities [KJ2017A405, KJ2018A0412, KJ103762015B12]</t>
        </is>
      </c>
      <c r="AE336" t="inlineStr">
        <is>
          <t>National Natural Science Foundation of China(National Natural Science Foundation of China (NSFC)); Key Project of Natural Science Research in Anhui Universities</t>
        </is>
      </c>
      <c r="AF336" t="inlineStr">
        <is>
          <t>The research of this paper is made possible by the generous support from The National Natural Science Foundation of China (Grant No: 51678221); Key Project of Natural Science Research in Anhui Universities (Grant No: KJ2017A405; No: KJ2018A0412; No: KJ103762015B12)</t>
        </is>
      </c>
      <c r="AH336" t="n">
        <v>14</v>
      </c>
      <c r="AI336" t="n">
        <v>1</v>
      </c>
      <c r="AJ336" t="n">
        <v>1</v>
      </c>
      <c r="AK336" t="n">
        <v>1</v>
      </c>
      <c r="AL336" t="n">
        <v>19</v>
      </c>
      <c r="AM336" t="inlineStr">
        <is>
          <t>COASTAL EDUCATION &amp; RESEARCH FOUNDATION</t>
        </is>
      </c>
      <c r="AN336" t="inlineStr">
        <is>
          <t>COCONUT CREEK</t>
        </is>
      </c>
      <c r="AO336" t="inlineStr">
        <is>
          <t>5130 NW 54TH STREET, COCONUT CREEK, FL 33073 USA</t>
        </is>
      </c>
      <c r="AP336" t="inlineStr">
        <is>
          <t>0749-0208</t>
        </is>
      </c>
      <c r="AQ336" t="inlineStr">
        <is>
          <t>1551-5036</t>
        </is>
      </c>
      <c r="AS336" t="inlineStr">
        <is>
          <t>J COASTAL RES</t>
        </is>
      </c>
      <c r="AT336" t="inlineStr">
        <is>
          <t>J. Coast. Res.</t>
        </is>
      </c>
      <c r="AU336" t="inlineStr">
        <is>
          <t>SUM</t>
        </is>
      </c>
      <c r="AV336" t="n">
        <v>2019</v>
      </c>
      <c r="BA336" t="n">
        <v>94</v>
      </c>
      <c r="BC336" t="n">
        <v>21</v>
      </c>
      <c r="BD336" t="n">
        <v>25</v>
      </c>
      <c r="BF336" t="inlineStr">
        <is>
          <t>10.2112/SI94-005.1</t>
        </is>
      </c>
      <c r="BG336">
        <f>HYPERLINK("http://dx.doi.org/10.2112/SI94-005.1","http://dx.doi.org/10.2112/SI94-005.1")</f>
        <v/>
      </c>
      <c r="BJ336" t="n">
        <v>5</v>
      </c>
      <c r="BK336" t="inlineStr">
        <is>
          <t>Environmental Sciences; Geography, Physical; Geosciences, Multidisciplinary</t>
        </is>
      </c>
      <c r="BL336" t="inlineStr">
        <is>
          <t>Science Citation Index Expanded (SCI-EXPANDED)</t>
        </is>
      </c>
      <c r="BM336" t="inlineStr">
        <is>
          <t>Environmental Sciences &amp; Ecology; Physical Geography; Geology</t>
        </is>
      </c>
      <c r="BN336" t="inlineStr">
        <is>
          <t>IX5GB</t>
        </is>
      </c>
      <c r="BS336" t="inlineStr">
        <is>
          <t>2023-10-26</t>
        </is>
      </c>
      <c r="BT336" t="inlineStr">
        <is>
          <t>WOS:000485711600006</t>
        </is>
      </c>
      <c r="BU336">
        <f>HYPERLINK("https%3A%2F%2Fwww.webofscience.com%2Fwos%2Fwoscc%2Ffull-record%2FWOS:000485711600006","View Full Record in Web of Science")</f>
        <v/>
      </c>
    </row>
    <row r="337">
      <c r="A337" t="inlineStr">
        <is>
          <t>J</t>
        </is>
      </c>
      <c r="B337" t="inlineStr">
        <is>
          <t>Munaaim, MAC; Al-Obaidi, KM; Ismail, MR; Rahman, AMA</t>
        </is>
      </c>
      <c r="F337" t="inlineStr">
        <is>
          <t>Munaaim, Muhammad Arkam C.; Al-Obaidi, Karam M.; Ismail, Mohd Rodzi; Rahman, Abdul Malek Abdul</t>
        </is>
      </c>
      <c r="J337" t="inlineStr">
        <is>
          <t>SUSTAINABILITY</t>
        </is>
      </c>
      <c r="M337" t="inlineStr">
        <is>
          <t>English</t>
        </is>
      </c>
      <c r="N337" t="inlineStr">
        <is>
          <t>Article</t>
        </is>
      </c>
      <c r="T337" t="inlineStr">
        <is>
          <t>Empirical Evaluation of the Effect of Heat Gain from Fiber Optic Daylighting System on Tropical Building Interiors</t>
        </is>
      </c>
      <c r="U337" t="inlineStr">
        <is>
          <t>heat gain; fiber optic system; daylighting; tropical indoor environment</t>
        </is>
      </c>
      <c r="V337" t="inlineStr">
        <is>
          <t>DESIGN; PERFORMANCE</t>
        </is>
      </c>
      <c r="W337" t="inlineStr">
        <is>
          <t>A fiber optic daylighting system is an evolving technology for transporting illumination from sunlight into building interiors. This system is a solution developed by daylighting designers to reduce operational costs and enhance comfort. As an innovative technology, fiber optic daylighting systems can illuminate building interiors efficiently compared with other daylighting strategies. However, as a transmission medium in daylighting systems, optical fibers require uniform light distribution in sunlight concentration, which could generate heat. Therefore, this study aims to investigate the effect of heat buildup produced by end-emitting fiber optic daylighting systems in tropical buildings. The applied method adopts a new fiber optic daylighting system technology from Sweden called Parans SP3, with a 10 m cable to be tested in an actual room size under the Malaysian climatic environment, particularly within the vicinity of the main campus of the Universiti Sains Malaysia. Results show that the system generated a temperature of 1.3 degrees C under average conditions through fiber optic diffusers and increases indoor temperature by 0.8 degrees C in a 60 m(3) room. According to the results, applying fiber optic daylighting systems, as renewable energy sources, generates extra heat gain in building interiors in the tropics.</t>
        </is>
      </c>
      <c r="X337" t="inlineStr">
        <is>
          <t>[Munaaim, Muhammad Arkam C.; Al-Obaidi, Karam M.; Ismail, Mohd Rodzi; Rahman, Abdul Malek Abdul] Univ Sains Malaysia, Sch Housing Bldg &amp; Planning, George Town 11800, Malaysia</t>
        </is>
      </c>
      <c r="Y337" t="inlineStr">
        <is>
          <t>Universiti Sains Malaysia</t>
        </is>
      </c>
      <c r="Z337" t="inlineStr">
        <is>
          <t>Munaaim, MAC (corresponding author), Univ Sains Malaysia, Sch Housing Bldg &amp; Planning, George Town 11800, Malaysia.</t>
        </is>
      </c>
      <c r="AA337" t="inlineStr">
        <is>
          <t>arkam@engineer.com; karam_arc@yahoo.com; rodzi@usm.my; malik@usm.my</t>
        </is>
      </c>
      <c r="AB337" t="inlineStr">
        <is>
          <t>Al-Obaidi, Karam M./N-7993-2013; Ismail, Mohd Rodzi/C-2031-2015</t>
        </is>
      </c>
      <c r="AC337" t="inlineStr">
        <is>
          <t>Al-Obaidi, Karam M./0000-0002-4379-6964; Ismail, Mohd Rodzi/0000-0002-1020-5398; Che Munaaim, Muhammad Arkam/0000-0003-4027-6354</t>
        </is>
      </c>
      <c r="AD337" t="inlineStr">
        <is>
          <t>Ministry of Higher Education; Universiti Sains Malaysia</t>
        </is>
      </c>
      <c r="AE337" t="inlineStr">
        <is>
          <t>Ministry of Higher Education(Science and Technology Development Fund (STDF)Ministry of Higher Education &amp; Scientific Research (MHESR)); Universiti Sains Malaysia(Universiti Sains Malaysia)</t>
        </is>
      </c>
      <c r="AF337" t="inlineStr">
        <is>
          <t>The authors would like to thank the Ministry of Higher Education and Universiti Sains Malaysia for sponsoring this research, which was conducted in the School of Housing, Building, and Planning, main campus, Universiti Sains Malaysia.</t>
        </is>
      </c>
      <c r="AH337" t="n">
        <v>23</v>
      </c>
      <c r="AI337" t="n">
        <v>5</v>
      </c>
      <c r="AJ337" t="n">
        <v>5</v>
      </c>
      <c r="AK337" t="n">
        <v>1</v>
      </c>
      <c r="AL337" t="n">
        <v>14</v>
      </c>
      <c r="AM337" t="inlineStr">
        <is>
          <t>MDPI</t>
        </is>
      </c>
      <c r="AN337" t="inlineStr">
        <is>
          <t>BASEL</t>
        </is>
      </c>
      <c r="AO337" t="inlineStr">
        <is>
          <t>ST ALBAN-ANLAGE 66, CH-4052 BASEL, SWITZERLAND</t>
        </is>
      </c>
      <c r="AQ337" t="inlineStr">
        <is>
          <t>2071-1050</t>
        </is>
      </c>
      <c r="AS337" t="inlineStr">
        <is>
          <t>SUSTAINABILITY-BASEL</t>
        </is>
      </c>
      <c r="AT337" t="inlineStr">
        <is>
          <t>Sustainability</t>
        </is>
      </c>
      <c r="AU337" t="inlineStr">
        <is>
          <t>DEC</t>
        </is>
      </c>
      <c r="AV337" t="n">
        <v>2014</v>
      </c>
      <c r="AW337" t="n">
        <v>6</v>
      </c>
      <c r="AX337" t="n">
        <v>12</v>
      </c>
      <c r="BC337" t="n">
        <v>9231</v>
      </c>
      <c r="BD337" t="n">
        <v>9243</v>
      </c>
      <c r="BF337" t="inlineStr">
        <is>
          <t>10.3390/su6129231</t>
        </is>
      </c>
      <c r="BG337">
        <f>HYPERLINK("http://dx.doi.org/10.3390/su6129231","http://dx.doi.org/10.3390/su6129231")</f>
        <v/>
      </c>
      <c r="BJ337" t="n">
        <v>13</v>
      </c>
      <c r="BK337" t="inlineStr">
        <is>
          <t>Green &amp; Sustainable Science &amp; Technology; Environmental Sciences; Environmental Studies</t>
        </is>
      </c>
      <c r="BL337" t="inlineStr">
        <is>
          <t>Science Citation Index Expanded (SCI-EXPANDED); Social Science Citation Index (SSCI)</t>
        </is>
      </c>
      <c r="BM337" t="inlineStr">
        <is>
          <t>Science &amp; Technology - Other Topics; Environmental Sciences &amp; Ecology</t>
        </is>
      </c>
      <c r="BN337" t="inlineStr">
        <is>
          <t>AX2SO</t>
        </is>
      </c>
      <c r="BP337" t="inlineStr">
        <is>
          <t>Green Submitted, gold</t>
        </is>
      </c>
      <c r="BS337" t="inlineStr">
        <is>
          <t>2023-10-26</t>
        </is>
      </c>
      <c r="BT337" t="inlineStr">
        <is>
          <t>WOS:000346794700048</t>
        </is>
      </c>
      <c r="BU337">
        <f>HYPERLINK("https%3A%2F%2Fwww.webofscience.com%2Fwos%2Fwoscc%2Ffull-record%2FWOS:000346794700048","View Full Record in Web of Science")</f>
        <v/>
      </c>
    </row>
    <row r="338">
      <c r="A338" t="inlineStr">
        <is>
          <t>J</t>
        </is>
      </c>
      <c r="B338" t="inlineStr">
        <is>
          <t>Zheng, WJ; Yao, HY; Liu, JJ; Yu, SC</t>
        </is>
      </c>
      <c r="F338" t="inlineStr">
        <is>
          <t>Zheng Wen Jing; Yao Hong Yan; Liu Jian Jun; Yu Shi Cheng</t>
        </is>
      </c>
      <c r="J338" t="inlineStr">
        <is>
          <t>BIOMEDICAL AND ENVIRONMENTAL SCIENCES</t>
        </is>
      </c>
      <c r="M338" t="inlineStr">
        <is>
          <t>English</t>
        </is>
      </c>
      <c r="N338" t="inlineStr">
        <is>
          <t>Article</t>
        </is>
      </c>
      <c r="T338" t="inlineStr">
        <is>
          <t>Developing a Subjective Evaluation Scale for Assessing the Built Environments of China's Hygienic City Initiative</t>
        </is>
      </c>
      <c r="U338" t="inlineStr">
        <is>
          <t>Subjective built environment; China's Hygienic City; Reliability and validity; Scale</t>
        </is>
      </c>
      <c r="V338" t="inlineStr">
        <is>
          <t>PHYSICAL-ACTIVITY</t>
        </is>
      </c>
      <c r="W338" t="inlineStr">
        <is>
          <t>Objective To develop a preliminary subjective evaluation scale for assessing the built environments of China's Hygienic City Initiative and to evaluate its reliability and validity. Methods The initial items of the scale were determined based on a review of policy documents and consultations with experts. The final items of the scale were confirmed through individual interviews with residents combined with the discretetrend method, critical ratio method, correlation coefficient method, and factor analysis method. Then, the dimensions of the scale were determined using exploratory factor analysis (EFA). The Cronbach's a coefficient, split-half reliability coefficient, and confirmatory factor analysis (CFA) were used to assess the reliability and validity of the scale. Results A scale containing five dimensions with 22 items was established, including urban lifestyle, governance, basic functions, environmental sanitation, and amenities. The Cronbach's a coefficient of the scale was 0.876, and the split-half reliability coefficient was 0.796. The CFA results indicate that each inspection level was within the standard limit. Conclusion The preliminarily subjective evaluation scale for assessing the built environments of China's Hygienic City Initiative demonstrates a high level of reliability and validity. Additional empirical studies should be carried out to further verify the value of the scale in terms of practical application.</t>
        </is>
      </c>
      <c r="X338" t="inlineStr">
        <is>
          <t>[Zheng Wen Jing; Yao Hong Yan; Yu Shi Cheng] Chinese Ctr Dis Control &amp; Prevent, Off Epidemiol, Beijing 102206, Peoples R China; [Liu Jian Jun] Chinese Ctr Dis Control &amp; Prevent, Beijing 102206, Peoples R China</t>
        </is>
      </c>
      <c r="Y338" t="inlineStr">
        <is>
          <t>Chinese Center for Disease Control &amp; Prevention; Chinese Center for Disease Control &amp; Prevention</t>
        </is>
      </c>
      <c r="Z338" t="inlineStr">
        <is>
          <t>Yao, HY (corresponding author), Chinese Ctr Dis Control &amp; Prevent, Off Epidemiol, Beijing 102206, Peoples R China.</t>
        </is>
      </c>
      <c r="AA338" t="inlineStr">
        <is>
          <t>yaohy@chinacdc.cn</t>
        </is>
      </c>
      <c r="AB338" t="inlineStr">
        <is>
          <t>Zheng, Wenjing/G-9878-2012</t>
        </is>
      </c>
      <c r="AC338" t="inlineStr">
        <is>
          <t>Zheng, Wenjing/0000-0003-0799-3474</t>
        </is>
      </c>
      <c r="AD338" t="inlineStr">
        <is>
          <t>Operation Project of Public Health Emergency Response Mechanism of Chinese Center for Disease Control and Prevention [131031001000150001]; FIDELIS-Hubei Program [2004-fid-4-034]</t>
        </is>
      </c>
      <c r="AE338" t="inlineStr">
        <is>
          <t>Operation Project of Public Health Emergency Response Mechanism of Chinese Center for Disease Control and Prevention; FIDELIS-Hubei Program</t>
        </is>
      </c>
      <c r="AF338" t="inlineStr">
        <is>
          <t>This study was supported by Operation Project of Public Health Emergency Response Mechanism of Chinese Center for Disease Control and Prevention [131031001000150001]; FIDELIS-Hubei Program [No. 2004-fid-4-034].</t>
        </is>
      </c>
      <c r="AH338" t="n">
        <v>18</v>
      </c>
      <c r="AI338" t="n">
        <v>1</v>
      </c>
      <c r="AJ338" t="n">
        <v>1</v>
      </c>
      <c r="AK338" t="n">
        <v>0</v>
      </c>
      <c r="AL338" t="n">
        <v>14</v>
      </c>
      <c r="AM338" t="inlineStr">
        <is>
          <t>CHINESE CENTER DISEASE CONTROL &amp; PREVENTION</t>
        </is>
      </c>
      <c r="AN338" t="inlineStr">
        <is>
          <t>BEIJING</t>
        </is>
      </c>
      <c r="AO338" t="inlineStr">
        <is>
          <t>155 CHANGBAI RD, CHANGPING DISTRICT, BEIJING, 102206, PEOPLES R CHINA</t>
        </is>
      </c>
      <c r="AP338" t="inlineStr">
        <is>
          <t>0895-3988</t>
        </is>
      </c>
      <c r="AQ338" t="inlineStr">
        <is>
          <t>2214-0190</t>
        </is>
      </c>
      <c r="AS338" t="inlineStr">
        <is>
          <t>BIOMED ENVIRON SCI</t>
        </is>
      </c>
      <c r="AT338" t="inlineStr">
        <is>
          <t>Biomed. Environ. Sci.</t>
        </is>
      </c>
      <c r="AU338" t="inlineStr">
        <is>
          <t>MAY</t>
        </is>
      </c>
      <c r="AV338" t="n">
        <v>2021</v>
      </c>
      <c r="AW338" t="n">
        <v>34</v>
      </c>
      <c r="AX338" t="n">
        <v>5</v>
      </c>
      <c r="BC338" t="n">
        <v>372</v>
      </c>
      <c r="BD338" t="n">
        <v>378</v>
      </c>
      <c r="BF338" t="inlineStr">
        <is>
          <t>10.3967/bes2021.049</t>
        </is>
      </c>
      <c r="BG338">
        <f>HYPERLINK("http://dx.doi.org/10.3967/bes2021.049","http://dx.doi.org/10.3967/bes2021.049")</f>
        <v/>
      </c>
      <c r="BJ338" t="n">
        <v>7</v>
      </c>
      <c r="BK338" t="inlineStr">
        <is>
          <t>Environmental Sciences; Public, Environmental &amp; Occupational Health</t>
        </is>
      </c>
      <c r="BL338" t="inlineStr">
        <is>
          <t>Science Citation Index Expanded (SCI-EXPANDED)</t>
        </is>
      </c>
      <c r="BM338" t="inlineStr">
        <is>
          <t>Environmental Sciences &amp; Ecology; Public, Environmental &amp; Occupational Health</t>
        </is>
      </c>
      <c r="BN338" t="inlineStr">
        <is>
          <t>SK3MG</t>
        </is>
      </c>
      <c r="BO338" t="n">
        <v>34059174</v>
      </c>
      <c r="BS338" t="inlineStr">
        <is>
          <t>2023-10-26</t>
        </is>
      </c>
      <c r="BT338" t="inlineStr">
        <is>
          <t>WOS:000656121700005</t>
        </is>
      </c>
      <c r="BU338">
        <f>HYPERLINK("https%3A%2F%2Fwww.webofscience.com%2Fwos%2Fwoscc%2Ffull-record%2FWOS:000656121700005","View Full Record in Web of Science")</f>
        <v/>
      </c>
    </row>
    <row r="339">
      <c r="A339" t="inlineStr">
        <is>
          <t>J</t>
        </is>
      </c>
      <c r="B339" t="inlineStr">
        <is>
          <t>Forberger, S; Bammann, K; Bauer, J; Boll, S; Bolte, G; Brand, T; Hein, A; Koppelin, F; Lippke, S; Meyer, J; Pischke, CR; Voelcker-Rehage, C; Zeeb, H</t>
        </is>
      </c>
      <c r="F339" t="inlineStr">
        <is>
          <t>Forberger, Sarah; Bammann, Karin; Bauer, Juergen; Boll, Susanne; Bolte, Gabriele; Brand, Tilman; Hein, Andreas; Koppelin, Frauke; Lippke, Sonia; Meyer, Jochen; Pischke, Claudia R.; Voelcker-Rehage, Claudia; Zeeb, Hajo</t>
        </is>
      </c>
      <c r="H339" t="inlineStr">
        <is>
          <t>AEQUIPA Consortium</t>
        </is>
      </c>
      <c r="J339" t="inlineStr">
        <is>
          <t>INTERNATIONAL JOURNAL OF ENVIRONMENTAL RESEARCH AND PUBLIC HEALTH</t>
        </is>
      </c>
      <c r="M339" t="inlineStr">
        <is>
          <t>English</t>
        </is>
      </c>
      <c r="N339" t="inlineStr">
        <is>
          <t>Article</t>
        </is>
      </c>
      <c r="T339" t="inlineStr">
        <is>
          <t>How to Tackle Key Challenges in the Promotion of Physical Activity among Older Adults (65+): The AEQUIPA Network Approach</t>
        </is>
      </c>
      <c r="U339" t="inlineStr">
        <is>
          <t>ageing; ageing research; older adults; physical activity</t>
        </is>
      </c>
      <c r="V339" t="inlineStr">
        <is>
          <t>HEALTH BEHAVIOR-CHANGE; ACTIVITY INTERVENTIONS; SOCIAL INEQUALITIES; SCREENING-TEST; ENVIRONMENT; EXERCISE; WALKING; EQUITY; HEART; QUESTIONNAIRE</t>
        </is>
      </c>
      <c r="W339" t="inlineStr">
        <is>
          <t>The paper introduces the theoretical framework and methods/instruments used by the Physical Activity and Health Equity: Primary Prevention for Healthy Ageing (AEQUIPA) prevention research network as an interdisciplinary approach to tackle key challenges in the promotion of physical activity among older people (65+). Drawing on the social-ecological model, the AEQUIPA network developed an interdisciplinary methodological design including quantitative/qualitative studies and systematic reviews, while combining expertise from diverse fields: public health, psychology, urban planning, sports sciences, health technology and geriatrics. AEQUIPA tackles key challenges when promoting physical activity (PA) in older adults: tailoring of interventions, fostering community readiness and participation, strengthening intersectoral collaboration, using new technological devices and evaluating intervention generated inequalities. AEQUIPA aims to strengthen the evidence base for age-specific preventive PA interventions and to yield new insights into the explanatory power of individual and contextual factors. Currently, the empirical work is still underway. First experiences indicate that the network has achieved a strong regional linkage with communities, local stakeholders and individuals. However, involving inactive persons and individuals from minority groups remained challenging. A review of existing PA intervention studies among the elderly revealed the potential to assess equity effects. The results will add to the theoretical and methodological discussion on evidence-based age-specific PA interventions and will contribute to the discussion about European and national health targets.</t>
        </is>
      </c>
      <c r="X339" t="inlineStr">
        <is>
          <t>[Forberger, Sarah; Brand, Tilman; Pischke, Claudia R.; Zeeb, Hajo] Leibniz Inst Prevent Res &amp; Epidemiol BIPS, D-28359 Bremen, Germany; [Bammann, Karin] Univ Bremen, Fac Human &amp; Hlth Sci, Inst Publ Hlth &amp; Nursing Res IPP, Working Grp Epidemiol Demog Change, D-28359 Bremen, Germany; [Bauer, Juergen] Heidelberg Univ, Geriatr Zentrum, Agaples Bethanien Krankenhaus, D-69126 Heidelberg, Germany; [Boll, Susanne] Carl von Ossietzky Univ Oldenburg, Dept Comp Sci, Media Informat &amp; Multimedia Syst, D-26121 Oldenburg, Germany; [Bolte, Gabriele] Univ Bremen, Inst Publ Hlth &amp; Nursing Res, Dept Social Epidemiol, D-28359 Bremen, Germany; [Bolte, Gabriele; Zeeb, Hajo] Univ Bremen, Res Focus Hlth Sci Bremen, D-28359 Bremen, Germany; [Hein, Andreas] Carl von Ossietzky Univ Oldenburg, Sch Med &amp; Hlth Sci, Dept Hlth Serv Res, D-26111 Oldenburg, Germany; [Koppelin, Frauke] Jade Univ Appl Sci Oldenburg, Sect Technol &amp; Hlth Humans, D-26121 Oldenburg, Germany; [Lippke, Sonia] Jacobs Univ Bremen, Dept Psychol &amp; Methods, D-28759 Bremen, Germany; [Meyer, Jochen] OFFIS Inst Informat Technol, D-26121 Oldenburg, Germany; [Voelcker-Rehage, Claudia] Tech Univ Chemnitz, Fac Behav &amp; Social Sci, Inst Human Movement Sci &amp; Hlth, D-09107 Chemnitz, Germany</t>
        </is>
      </c>
      <c r="Y339" t="inlineStr">
        <is>
          <t>Leibniz Institute for Prevention Research &amp; Epidemiology (BIPS); University of Bremen; Ruprecht Karls University Heidelberg; Carl von Ossietzky Universitat Oldenburg; University of Bremen; University of Bremen; Carl von Ossietzky Universitat Oldenburg; Jade University of Applied Sciences; Jacobs University; Technische Universitat Chemnitz</t>
        </is>
      </c>
      <c r="Z339" t="inlineStr">
        <is>
          <t>Forberger, S (corresponding author), Leibniz Inst Prevent Res &amp; Epidemiol BIPS, D-28359 Bremen, Germany.</t>
        </is>
      </c>
      <c r="AA339" t="inlineStr">
        <is>
          <t>forberger@leibniz-bips.de; bammann@uni-bremen.de; juergen.bauer@bethanien-heidelberg.de; Susanne.Boll@informatik.uni-oldenburg.de; gabriele.bolte@uni-bremen.de; brand@leibniz-bips.de; andreas.hein@uni-oldenburg.de; frauke.koppelin@jade-hs.de; s.lippke@jacobs-university.de; jochen.meyer@offis.de; pischke@leibniz-bips.de; claudia.voelcker-rehage@hsw.tu-chemnitz.de; zeeb@leibniz-bips.de</t>
        </is>
      </c>
      <c r="AB339" t="inlineStr">
        <is>
          <t>Forberger, Sarah/AFM-3440-2022; Voelcker-Rehage, Claudia/ABA-2163-2020; Lippke, Sonia/AAT-1209-2020; Lippke, Sonia/B-7564-2014; Zeeb, Hajo/I-2701-2019</t>
        </is>
      </c>
      <c r="AC339" t="inlineStr">
        <is>
          <t>Voelcker-Rehage, Claudia/0000-0001-5398-4099; Lippke, Sonia/0000-0002-8272-0399; Lippke, Sonia/0000-0002-8272-0399; Zeeb, Hajo/0000-0001-7509-242X; Bammann, Karin/0000-0002-5623-8160; Brand, Tilman/0000-0001-5140-7511; Bolte, Gabriele/0000-0002-0269-5059; Meyer, Jochen/0000-0001-9265-4041; Koppelin, Frauke/0000-0002-1827-9279; Forberger, Sarah/0000-0002-7169-675X</t>
        </is>
      </c>
      <c r="AD339" t="inlineStr">
        <is>
          <t>German Federal Ministry of Education and Research (BMBF) [01EL1422A-I]; Open Access Fund of the Leibniz Association</t>
        </is>
      </c>
      <c r="AE339" t="inlineStr">
        <is>
          <t>German Federal Ministry of Education and Research (BMBF)(Federal Ministry of Education &amp; Research (BMBF)); Open Access Fund of the Leibniz Association</t>
        </is>
      </c>
      <c r="AF339" t="inlineStr">
        <is>
          <t>The study is funded by the German Federal Ministry of Education and Research (BMBF) (Project No. 01EL1422A-I). The publication of this article was funded by the Open Access Fund of the Leibniz Association. We would like thank the entire AEQUIPA Consortium (Leibniz Institute for Prevention Research and Epidemiology-BIPS, Achterstra(ss)e 30, 28359 Bremen, Germany (Tilman Brand, Sarah Forberger, Dirk Gansefort, Saskia Mullmann, Claudia Pischke, Maike Wolters, Hajo Zeeb); University of Bremen, Institute for Public Health und Nursing Research (IPP), Grazer Stra(ss)e 4, 28359 Bremen, Germany; Department of Social Epidemiology (Gabriele Bolte, Tanja Bruchert, Gesa Lehne); Working Group Epidemiology of Demographic Change (Karin Bammann, Lena Lubs, Jenny Peplies); Department of Qualification and Curriculum Research (Ingrid Darmann-Finck); SOCIUM (Heinz Rothgang); Chemnitz University of Technology, Institute of Human Movement Science and Health, Faculty of Behavioral and Social Sciences, Thuringer Weg 11, 09126 Chemnitz, Germany (Inna Bragina, Claudia Voelcker-Rehage); OFFIS-Institute for Information Technology, Escherweg 2, 26121 Oldenburg, Germany (Jochen Meyer, Jochen Schnauber); Jacobs University Bremen, Department of Psychology and Methods, Campus Ring 1, 28759 Bremen, Germany (Sonia Lippke, Eric Rost); Carl von Ossietzky University of Oldenburg, Ammerlander Heerstrasse 114-118, 26129 Oldenburg, Germany; Department of Computing Science (Susanne Boll); Department of Geriatric Medicine (Jurgen M. Bauer, Lena Dasenbrock); Department of Health Services Research, School of Medicine and Health Sciences (Sebastian Fudickar, Andreas Hein, Andrea Heinks, Sandra Hellmers); Jade University of Applied Sciences Oldenburg, Section Technology and Health for Humans, Ofener Stra(ss)e 16/19, 26121 Oldenburg, Germany (Frauke Koppelin, Merle Toborg); Dortmund University of Technology, Faculty of Spatial Planning, Department of Urban and Regional Planning (SRP), August-Schmidt-Stra(ss)e 10, 44227 Dortmund, (S Baumgart, Paula Quentin); Gesundheitswirtschaft Nordwest e. V., Hinter dem Schutting 8, 28195 Bremen, Germany (Sabine Roseler, Tobias Ubert)) for their help.</t>
        </is>
      </c>
      <c r="AH339" t="n">
        <v>83</v>
      </c>
      <c r="AI339" t="n">
        <v>41</v>
      </c>
      <c r="AJ339" t="n">
        <v>41</v>
      </c>
      <c r="AK339" t="n">
        <v>3</v>
      </c>
      <c r="AL339" t="n">
        <v>32</v>
      </c>
      <c r="AM339" t="inlineStr">
        <is>
          <t>MDPI</t>
        </is>
      </c>
      <c r="AN339" t="inlineStr">
        <is>
          <t>BASEL</t>
        </is>
      </c>
      <c r="AO339" t="inlineStr">
        <is>
          <t>ST ALBAN-ANLAGE 66, CH-4052 BASEL, SWITZERLAND</t>
        </is>
      </c>
      <c r="AQ339" t="inlineStr">
        <is>
          <t>1660-4601</t>
        </is>
      </c>
      <c r="AS339" t="inlineStr">
        <is>
          <t>INT J ENV RES PUB HE</t>
        </is>
      </c>
      <c r="AT339" t="inlineStr">
        <is>
          <t>Int. J. Environ. Res. Public Health</t>
        </is>
      </c>
      <c r="AU339" t="inlineStr">
        <is>
          <t>APR</t>
        </is>
      </c>
      <c r="AV339" t="n">
        <v>2017</v>
      </c>
      <c r="AW339" t="n">
        <v>14</v>
      </c>
      <c r="AX339" t="n">
        <v>4</v>
      </c>
      <c r="BE339" t="n">
        <v>379</v>
      </c>
      <c r="BF339" t="inlineStr">
        <is>
          <t>10.3390/ijerph14040379</t>
        </is>
      </c>
      <c r="BG339">
        <f>HYPERLINK("http://dx.doi.org/10.3390/ijerph14040379","http://dx.doi.org/10.3390/ijerph14040379")</f>
        <v/>
      </c>
      <c r="BJ339" t="n">
        <v>18</v>
      </c>
      <c r="BK339" t="inlineStr">
        <is>
          <t>Environmental Sciences; Public, Environmental &amp; Occupational Health</t>
        </is>
      </c>
      <c r="BL339" t="inlineStr">
        <is>
          <t>Science Citation Index Expanded (SCI-EXPANDED); Social Science Citation Index (SSCI)</t>
        </is>
      </c>
      <c r="BM339" t="inlineStr">
        <is>
          <t>Environmental Sciences &amp; Ecology; Public, Environmental &amp; Occupational Health</t>
        </is>
      </c>
      <c r="BN339" t="inlineStr">
        <is>
          <t>EY6PG</t>
        </is>
      </c>
      <c r="BO339" t="n">
        <v>28375177</v>
      </c>
      <c r="BP339" t="inlineStr">
        <is>
          <t>Green Published, Green Submitted, gold</t>
        </is>
      </c>
      <c r="BS339" t="inlineStr">
        <is>
          <t>2023-10-26</t>
        </is>
      </c>
      <c r="BT339" t="inlineStr">
        <is>
          <t>WOS:000404105100043</t>
        </is>
      </c>
      <c r="BU339">
        <f>HYPERLINK("https%3A%2F%2Fwww.webofscience.com%2Fwos%2Fwoscc%2Ffull-record%2FWOS:000404105100043","View Full Record in Web of Science")</f>
        <v/>
      </c>
    </row>
    <row r="340">
      <c r="A340" t="inlineStr">
        <is>
          <t>J</t>
        </is>
      </c>
      <c r="B340" t="inlineStr">
        <is>
          <t>Tsang, TW; Mui, KW; Wong, LT</t>
        </is>
      </c>
      <c r="F340" t="inlineStr">
        <is>
          <t>Tsang, Tsz-Wun; Mui, Kwok-Wai; Wong, Ling-Tim</t>
        </is>
      </c>
      <c r="J340" t="inlineStr">
        <is>
          <t>SUSTAINABILITY</t>
        </is>
      </c>
      <c r="M340" t="inlineStr">
        <is>
          <t>English</t>
        </is>
      </c>
      <c r="N340" t="inlineStr">
        <is>
          <t>Article</t>
        </is>
      </c>
      <c r="T340" t="inlineStr">
        <is>
          <t>Adaption and Tolerance in Built Environment-An Evaluation of Environmental Sensation, Acceptance and Overall Indoor Environmental Quality (IEQ) in a Subtropical Region</t>
        </is>
      </c>
      <c r="U340" t="inlineStr">
        <is>
          <t>adaption; tolerance; sensation; acceptance; indoor environment quality (IEQ)</t>
        </is>
      </c>
      <c r="V340" t="inlineStr">
        <is>
          <t>THERMAL COMFORT; MODEL; CLASSIFICATION; PMV; BUILDINGS; ODOR</t>
        </is>
      </c>
      <c r="W340" t="inlineStr">
        <is>
          <t>The relationship between environmental sensations and acceptance in the indoor environment has yet to be fully explored or quantified. This study is the first in the literature that examines these relationships in thermal comfort, indoor air quality, aural comfort, visual comfort, and overall indoor environmental quality (IEQ). Using a regional IEQ database, the relationship between occupants' sensation and acceptance of individual environmental aspects was investigated. The results suggest that building occupants had high tolerances towards indoor air quality and aural and visual discomforts, while cold sensations tended to elicit environmental discomfort. Furthermore, the study developed machine learning models with imbalanced data treatment to predict overall IEQ acceptance based on both sensation and acceptance of individual IEQ domains. These models accounted for the influence of environmental adaptation and tolerance on overall IEQ satisfaction determination. They accurately predicted unseen data, indicating high model generalizability and robustness. Overall, the study has practical implications for improving building performance and provides insights to better understand the relationship between environmental sensations and occupants' acceptance, which should be considered in building design and operation.</t>
        </is>
      </c>
      <c r="X340" t="inlineStr">
        <is>
          <t>[Tsang, Tsz-Wun; Mui, Kwok-Wai; Wong, Ling-Tim] Hong Kong Polytech Univ, Dept Bldg Environm &amp; Energy Engn, Hong Kong, Peoples R China</t>
        </is>
      </c>
      <c r="Y340" t="inlineStr">
        <is>
          <t>Hong Kong Polytechnic University</t>
        </is>
      </c>
      <c r="Z340" t="inlineStr">
        <is>
          <t>Wong, LT (corresponding author), Hong Kong Polytech Univ, Dept Bldg Environm &amp; Energy Engn, Hong Kong, Peoples R China.</t>
        </is>
      </c>
      <c r="AA340" t="inlineStr">
        <is>
          <t>hayley.tsang@polyu.edu.hk; horace.mui@polyu.edu.hk; ling-tim.wong@polyu.edu.hk</t>
        </is>
      </c>
      <c r="AC340" t="inlineStr">
        <is>
          <t>WONG, Ling Tim/0000-0001-8449-4973; Tsang, Tsz Wun/0000-0001-9866-4531</t>
        </is>
      </c>
      <c r="AD340" t="inlineStr">
        <is>
          <t>Collaborative Research Fund (CRF) [P0033675/C5108-20G]; General Research Fund; General Research Fund, the Research Grants Council of the Hong Kong Special Administrative Region, China [PolyU P0037773/Q86B, P0038532]; Research Institute for Smart Energy (RISE) Matching Fund [P0043831/CE12]; PolyU Internal funding [P0033675/C5108-20G, P0043713/WZ2N]; Collaborative Research Fund (CRF) COVID-19; Novel Infectious Disease (NID) Research Exercise</t>
        </is>
      </c>
      <c r="AE340" t="inlineStr">
        <is>
          <t>Collaborative Research Fund (CRF); General Research Fund; General Research Fund, the Research Grants Council of the Hong Kong Special Administrative Region, China; Research Institute for Smart Energy (RISE) Matching Fund; PolyU Internal funding; Collaborative Research Fund (CRF) COVID-19; Novel Infectious Disease (NID) Research Exercise</t>
        </is>
      </c>
      <c r="AF340" t="inlineStr">
        <is>
          <t>This work was jointly supported by a grant from the Collaborative Research Fund (CRF) COVID-19 and Novel Infectious Disease (NID) Research Exercise and the General Research Fund, the Research Grants Council of the Hong Kong Special Administrative Region, China (project no. PolyU P0033675/C5108-20G and PolyU P0037773/Q86B), the Research Institute for Smart Energy (RISE) Matching Fund (project no. P0038532), and PolyU Internal funding (project no. P0043713/WZ2N and P0043831/CE12).</t>
        </is>
      </c>
      <c r="AH340" t="n">
        <v>59</v>
      </c>
      <c r="AI340" t="n">
        <v>0</v>
      </c>
      <c r="AJ340" t="n">
        <v>0</v>
      </c>
      <c r="AK340" t="n">
        <v>1</v>
      </c>
      <c r="AL340" t="n">
        <v>1</v>
      </c>
      <c r="AM340" t="inlineStr">
        <is>
          <t>MDPI</t>
        </is>
      </c>
      <c r="AN340" t="inlineStr">
        <is>
          <t>BASEL</t>
        </is>
      </c>
      <c r="AO340" t="inlineStr">
        <is>
          <t>ST ALBAN-ANLAGE 66, CH-4052 BASEL, SWITZERLAND</t>
        </is>
      </c>
      <c r="AQ340" t="inlineStr">
        <is>
          <t>2071-1050</t>
        </is>
      </c>
      <c r="AS340" t="inlineStr">
        <is>
          <t>SUSTAINABILITY-BASEL</t>
        </is>
      </c>
      <c r="AT340" t="inlineStr">
        <is>
          <t>Sustainability</t>
        </is>
      </c>
      <c r="AU340" t="inlineStr">
        <is>
          <t>JUL</t>
        </is>
      </c>
      <c r="AV340" t="n">
        <v>2023</v>
      </c>
      <c r="AW340" t="n">
        <v>15</v>
      </c>
      <c r="AX340" t="n">
        <v>14</v>
      </c>
      <c r="BE340" t="n">
        <v>11094</v>
      </c>
      <c r="BF340" t="inlineStr">
        <is>
          <t>10.3390/su151411094</t>
        </is>
      </c>
      <c r="BG340">
        <f>HYPERLINK("http://dx.doi.org/10.3390/su151411094","http://dx.doi.org/10.3390/su151411094")</f>
        <v/>
      </c>
      <c r="BJ340" t="n">
        <v>17</v>
      </c>
      <c r="BK340" t="inlineStr">
        <is>
          <t>Green &amp; Sustainable Science &amp; Technology; Environmental Sciences; Environmental Studies</t>
        </is>
      </c>
      <c r="BL340" t="inlineStr">
        <is>
          <t>Science Citation Index Expanded (SCI-EXPANDED); Social Science Citation Index (SSCI)</t>
        </is>
      </c>
      <c r="BM340" t="inlineStr">
        <is>
          <t>Science &amp; Technology - Other Topics; Environmental Sciences &amp; Ecology</t>
        </is>
      </c>
      <c r="BN340" t="inlineStr">
        <is>
          <t>N7TB6</t>
        </is>
      </c>
      <c r="BP340" t="inlineStr">
        <is>
          <t>gold</t>
        </is>
      </c>
      <c r="BS340" t="inlineStr">
        <is>
          <t>2023-10-26</t>
        </is>
      </c>
      <c r="BT340" t="inlineStr">
        <is>
          <t>WOS:001038981400001</t>
        </is>
      </c>
      <c r="BU340">
        <f>HYPERLINK("https%3A%2F%2Fwww.webofscience.com%2Fwos%2Fwoscc%2Ffull-record%2FWOS:001038981400001","View Full Record in Web of Science")</f>
        <v/>
      </c>
    </row>
    <row r="341">
      <c r="A341" t="inlineStr">
        <is>
          <t>J</t>
        </is>
      </c>
      <c r="B341" t="inlineStr">
        <is>
          <t>Wang, ZB; Gong, X; Zhang, YC; Liu, SY; Chen, N</t>
        </is>
      </c>
      <c r="F341" t="inlineStr">
        <is>
          <t>Wang, Zhenbao; Gong, Xin; Zhang, Yuchen; Liu, Shuyue; Chen, Ning</t>
        </is>
      </c>
      <c r="J341" t="inlineStr">
        <is>
          <t>SUSTAINABILITY</t>
        </is>
      </c>
      <c r="M341" t="inlineStr">
        <is>
          <t>English</t>
        </is>
      </c>
      <c r="N341" t="inlineStr">
        <is>
          <t>Article</t>
        </is>
      </c>
      <c r="T341" t="inlineStr">
        <is>
          <t>Multi-Scale Geographically Weighted Elasticity Regression Model to Explore the Elastic Effects of the Built Environment on Ride-Hailing Ridership</t>
        </is>
      </c>
      <c r="U341" t="inlineStr">
        <is>
          <t>ride-hailing; built environment; multi-scale geographically weighted regression; modifiable areal unit problem; elasticity</t>
        </is>
      </c>
      <c r="V341" t="inlineStr">
        <is>
          <t>PHYSICAL-ACTIVITY; TAXI RIDERSHIP; GPS; DEMAND</t>
        </is>
      </c>
      <c r="W341" t="inlineStr">
        <is>
          <t>Understanding the relationship between the built environment and the ride-hailing ridership is crucial to the prediction of the demand for ride-hailing and the formulation of the strategy for upgrading the built environment. However, the existing studies on ride-hailing ignore the scale effect and zone effect of the modifiable area unit problem (MAUP), and show a lack of consideration for the elastic relationship with spatial heterogeneity between built environment variables and ride-hailing ridership. Taking Chengdu as an example, this paper selects 12 independent variables based on the 5Ds (density, diversity, design, destination accessibility and distance to transit) of the built environment, the dependent variables are the density of ride-hailing pick-ups in the morning and evening peak hours, and 11 spatial units are proposed according to different scales and zoning methods for the aggregation of built environment variables and ride-hailing pick-ups. With the goal of global optimal goodness-of-fit, we determined the optimal spatial unit by using the log-linear Ordinary Least-Squares (OLS) model. A multi-scale geographically weighted elastic regression (MGWER) model is formulated to explore the relative effect of the built environment on the ride-hailing ridership and spatial heterogeneity. The average value of positive elastic local regression coefficient of different variables is used to measure the relative positive impact of built environment factors, and the absolute value of the average value of negative elastic local regression coefficient is used to measure the relative negative impact of built environment factors. The results show that: (1) The MGWER model under the community unit division has the best global goodness-of-fit. (2) Different built environment variables have different elastic impacts on the demand for ride-hailing. For the morning peak hours and evening peak hours, the top three built environment factors with positive impacts are ranked as follows: commercial POI density &gt; average house price &gt; population density, and distance to CBD has the highest negative impacts on pick-up ridership. (3) The different local elasticity coefficients of the built environment factors at different stations are discussed, which indicate the spatial heterogeneity of the ride-hailing ridership. The optimal community zoning method can provide a basis for the zoning and scheduling management of ride-hailing. The results of the built environment variables with greater impact are conducive to the formulation of targeted urban renewal strategies in the process of adjusting the ridership of ride-hailing.</t>
        </is>
      </c>
      <c r="X341" t="inlineStr">
        <is>
          <t>[Wang, Zhenbao; Gong, Xin; Liu, Shuyue] Hebei Univ Engn, Sch Architecture &amp; Art, Handan 056038, Peoples R China; [Zhang, Yuchen] Univ Sheffield, Dept Urban Studies &amp; Planning, Sheffield S10 2TN, England; [Chen, Ning] Beijing Univ Technol, Beijing Key Lab Traff Engn, Beijing 100124, Peoples R China</t>
        </is>
      </c>
      <c r="Y341" t="inlineStr">
        <is>
          <t>Hebei University of Engineering; University of Sheffield; Beijing University of Technology</t>
        </is>
      </c>
      <c r="Z341" t="inlineStr">
        <is>
          <t>Wang, ZB (corresponding author), Hebei Univ Engn, Sch Architecture &amp; Art, Handan 056038, Peoples R China.</t>
        </is>
      </c>
      <c r="AA341" t="inlineStr">
        <is>
          <t>wangzhenbao@hebeu.edu.cn</t>
        </is>
      </c>
      <c r="AB341" t="inlineStr">
        <is>
          <t>Wang, Zhenbao/HOC-0202-2023</t>
        </is>
      </c>
      <c r="AC341" t="inlineStr">
        <is>
          <t>Wang, Zhenbao/0000-0002-6402-6280</t>
        </is>
      </c>
      <c r="AD341" t="inlineStr">
        <is>
          <t>Hebei Social Science Development Research Project, China [20210201407]</t>
        </is>
      </c>
      <c r="AE341" t="inlineStr">
        <is>
          <t>Hebei Social Science Development Research Project, China</t>
        </is>
      </c>
      <c r="AF341" t="inlineStr">
        <is>
          <t>This research was supported by Hebei Social Science Development Research Project, China (grant No. 20210201407).</t>
        </is>
      </c>
      <c r="AH341" t="n">
        <v>53</v>
      </c>
      <c r="AI341" t="n">
        <v>0</v>
      </c>
      <c r="AJ341" t="n">
        <v>0</v>
      </c>
      <c r="AK341" t="n">
        <v>22</v>
      </c>
      <c r="AL341" t="n">
        <v>24</v>
      </c>
      <c r="AM341" t="inlineStr">
        <is>
          <t>MDPI</t>
        </is>
      </c>
      <c r="AN341" t="inlineStr">
        <is>
          <t>BASEL</t>
        </is>
      </c>
      <c r="AO341" t="inlineStr">
        <is>
          <t>ST ALBAN-ANLAGE 66, CH-4052 BASEL, SWITZERLAND</t>
        </is>
      </c>
      <c r="AQ341" t="inlineStr">
        <is>
          <t>2071-1050</t>
        </is>
      </c>
      <c r="AS341" t="inlineStr">
        <is>
          <t>SUSTAINABILITY-BASEL</t>
        </is>
      </c>
      <c r="AT341" t="inlineStr">
        <is>
          <t>Sustainability</t>
        </is>
      </c>
      <c r="AU341" t="inlineStr">
        <is>
          <t>MAR</t>
        </is>
      </c>
      <c r="AV341" t="n">
        <v>2023</v>
      </c>
      <c r="AW341" t="n">
        <v>15</v>
      </c>
      <c r="AX341" t="n">
        <v>6</v>
      </c>
      <c r="BE341" t="n">
        <v>4966</v>
      </c>
      <c r="BF341" t="inlineStr">
        <is>
          <t>10.3390/su15064966</t>
        </is>
      </c>
      <c r="BG341">
        <f>HYPERLINK("http://dx.doi.org/10.3390/su15064966","http://dx.doi.org/10.3390/su15064966")</f>
        <v/>
      </c>
      <c r="BJ341" t="n">
        <v>22</v>
      </c>
      <c r="BK341" t="inlineStr">
        <is>
          <t>Green &amp; Sustainable Science &amp; Technology; Environmental Sciences; Environmental Studies</t>
        </is>
      </c>
      <c r="BL341" t="inlineStr">
        <is>
          <t>Science Citation Index Expanded (SCI-EXPANDED); Social Science Citation Index (SSCI)</t>
        </is>
      </c>
      <c r="BM341" t="inlineStr">
        <is>
          <t>Science &amp; Technology - Other Topics; Environmental Sciences &amp; Ecology</t>
        </is>
      </c>
      <c r="BN341" t="inlineStr">
        <is>
          <t>A9PD1</t>
        </is>
      </c>
      <c r="BP341" t="inlineStr">
        <is>
          <t>Green Accepted, gold</t>
        </is>
      </c>
      <c r="BS341" t="inlineStr">
        <is>
          <t>2023-10-26</t>
        </is>
      </c>
      <c r="BT341" t="inlineStr">
        <is>
          <t>WOS:000958355900001</t>
        </is>
      </c>
      <c r="BU341">
        <f>HYPERLINK("https%3A%2F%2Fwww.webofscience.com%2Fwos%2Fwoscc%2Ffull-record%2FWOS:000958355900001","View Full Record in Web of Science")</f>
        <v/>
      </c>
    </row>
    <row r="342">
      <c r="A342" t="inlineStr">
        <is>
          <t>J</t>
        </is>
      </c>
      <c r="B342" t="inlineStr">
        <is>
          <t>Wang, WL; Luo, B</t>
        </is>
      </c>
      <c r="F342" t="inlineStr">
        <is>
          <t>Wang, Weilu; Luo, Bo</t>
        </is>
      </c>
      <c r="J342" t="inlineStr">
        <is>
          <t>JOURNAL OF COASTAL RESEARCH</t>
        </is>
      </c>
      <c r="M342" t="inlineStr">
        <is>
          <t>English</t>
        </is>
      </c>
      <c r="N342" t="inlineStr">
        <is>
          <t>Article</t>
        </is>
      </c>
      <c r="T342" t="inlineStr">
        <is>
          <t>Lingnan Architecture Design Based on Ocean Climate Adaptability</t>
        </is>
      </c>
      <c r="U342" t="inlineStr">
        <is>
          <t>Ocean climate; adaptability; Lingnan architecture; interior design</t>
        </is>
      </c>
      <c r="W342" t="inlineStr">
        <is>
          <t>With the rapid development of national economy, interior design in coastal areas should not only meet the requirements of people to avoid wind and rain, cold and summer, but also gradually change to meet the direction of spiritual entertainment. However, there are many differences between the Coastal Ocean monsoon climate and the land climate environment, which will seriously affect the regional architecture and interior design. Lingnan is a typical marine climate area. Therefore, the interior design of Lingnan architecture needs to adapt to the marine climate, which requires us to adapt to the marine climate from multiple perspectives, such as lighting, building materials, local structures, etc. Lingnan area has the unique topography and climate characteristics of the ocean, which creates the settlement building form with the characteristics of the ocean. Frequent summer rainfall and year-round humidity are the main characteristics of marine climate in Lingnan area. At the same time, the erosiveness of sea breeze and sea steam in Lingnan area is also the main problem to be solved in interior design. By conforming to the marine climate environment, Lingnan architectural design can better meet people's psychological needs and spiritual entertainment needs. Firstly, this paper analyzes the characteristics of marine climate in Lingnan area. Then it lists the typical indoor design scheme of marine climate, which can better meet the needs of people's life.</t>
        </is>
      </c>
      <c r="X342" t="inlineStr">
        <is>
          <t>[Wang, Weilu] Hunan Ind Vocat &amp; Tech Coll, Changsha 410001, Peoples R China; [Luo, Bo] Hunan Mass Media Vocat &amp; Tech Coll, Changsha 410001, Peoples R China</t>
        </is>
      </c>
      <c r="Z342" t="inlineStr">
        <is>
          <t>Luo, B (corresponding author), Hunan Mass Media Vocat &amp; Tech Coll, Changsha 410001, Peoples R China.</t>
        </is>
      </c>
      <c r="AA342" t="inlineStr">
        <is>
          <t>Luobo9717007@163.com</t>
        </is>
      </c>
      <c r="AH342" t="n">
        <v>12</v>
      </c>
      <c r="AI342" t="n">
        <v>0</v>
      </c>
      <c r="AJ342" t="n">
        <v>0</v>
      </c>
      <c r="AK342" t="n">
        <v>4</v>
      </c>
      <c r="AL342" t="n">
        <v>24</v>
      </c>
      <c r="AM342" t="inlineStr">
        <is>
          <t>COASTAL EDUCATION &amp; RESEARCH FOUNDATION</t>
        </is>
      </c>
      <c r="AN342" t="inlineStr">
        <is>
          <t>COCONUT CREEK</t>
        </is>
      </c>
      <c r="AO342" t="inlineStr">
        <is>
          <t>5130 NW 54TH STREET, COCONUT CREEK, FL 33073 USA</t>
        </is>
      </c>
      <c r="AP342" t="inlineStr">
        <is>
          <t>0749-0208</t>
        </is>
      </c>
      <c r="AQ342" t="inlineStr">
        <is>
          <t>1551-5036</t>
        </is>
      </c>
      <c r="AS342" t="inlineStr">
        <is>
          <t>J COASTAL RES</t>
        </is>
      </c>
      <c r="AT342" t="inlineStr">
        <is>
          <t>J. Coast. Res.</t>
        </is>
      </c>
      <c r="AU342" t="inlineStr">
        <is>
          <t>SUM</t>
        </is>
      </c>
      <c r="AV342" t="n">
        <v>2020</v>
      </c>
      <c r="BA342" t="n">
        <v>107</v>
      </c>
      <c r="BC342" t="n">
        <v>226</v>
      </c>
      <c r="BD342" t="n">
        <v>229</v>
      </c>
      <c r="BF342" t="inlineStr">
        <is>
          <t>10.2112/JCR-SI107-057.1</t>
        </is>
      </c>
      <c r="BG342">
        <f>HYPERLINK("http://dx.doi.org/10.2112/JCR-SI107-057.1","http://dx.doi.org/10.2112/JCR-SI107-057.1")</f>
        <v/>
      </c>
      <c r="BJ342" t="n">
        <v>4</v>
      </c>
      <c r="BK342" t="inlineStr">
        <is>
          <t>Environmental Sciences; Geography, Physical; Geosciences, Multidisciplinary</t>
        </is>
      </c>
      <c r="BL342" t="inlineStr">
        <is>
          <t>Science Citation Index Expanded (SCI-EXPANDED)</t>
        </is>
      </c>
      <c r="BM342" t="inlineStr">
        <is>
          <t>Environmental Sciences &amp; Ecology; Physical Geography; Geology</t>
        </is>
      </c>
      <c r="BN342" t="inlineStr">
        <is>
          <t>ND8CF</t>
        </is>
      </c>
      <c r="BS342" t="inlineStr">
        <is>
          <t>2023-10-26</t>
        </is>
      </c>
      <c r="BT342" t="inlineStr">
        <is>
          <t>WOS:000562129100057</t>
        </is>
      </c>
      <c r="BU342">
        <f>HYPERLINK("https%3A%2F%2Fwww.webofscience.com%2Fwos%2Fwoscc%2Ffull-record%2FWOS:000562129100057","View Full Record in Web of Science")</f>
        <v/>
      </c>
    </row>
    <row r="343">
      <c r="A343" t="inlineStr">
        <is>
          <t>J</t>
        </is>
      </c>
      <c r="B343" t="inlineStr">
        <is>
          <t>Yatsugi, H; Chen, T; Chen, S; Liu, X; Kishimoto, H</t>
        </is>
      </c>
      <c r="F343" t="inlineStr">
        <is>
          <t>Yatsugi, Harukaze; Chen, Tao; Chen, Si; Liu, Xin; Kishimoto, Hiro</t>
        </is>
      </c>
      <c r="J343" t="inlineStr">
        <is>
          <t>INTERNATIONAL JOURNAL OF ENVIRONMENTAL RESEARCH AND PUBLIC HEALTH</t>
        </is>
      </c>
      <c r="M343" t="inlineStr">
        <is>
          <t>English</t>
        </is>
      </c>
      <c r="N343" t="inlineStr">
        <is>
          <t>Article</t>
        </is>
      </c>
      <c r="T343" t="inlineStr">
        <is>
          <t>The Associations between Objectively Measured Physical Activity and Physical Function in Community-Dwelling Older Japanese Men and Women</t>
        </is>
      </c>
      <c r="U343" t="inlineStr">
        <is>
          <t>physical activity; physical function; tri-axial accelerometer; older adult</t>
        </is>
      </c>
      <c r="V343" t="inlineStr">
        <is>
          <t>SEDENTARY BEHAVIOR; FRAILTY STATUS; EXERCISE; RISK; DISABILITY; MORTALITY; DEMENTIA; HEALTH; ADULTS; SPEED</t>
        </is>
      </c>
      <c r="W343" t="inlineStr">
        <is>
          <t>Objective: The relationships between physical activity (PA) and physical function (PF) among older Japanese adults have been examined before, with some studies reporting that moderate-to-vigorous physical activity (MVPA) is positively associated with PF. However, it is unclear whether the observed associations differ between men and women. In this study, we investigated the associations of objectively measured MVPA, light physical activity (LPA), and sedentary time (ST) with different PF levels in older Japanese men and women. Subjects and Methods: A total of 810 community-dwelling subjects aged 65-75 years were investigated (52.1% women, 47.9% men). The PF variables included grip strength, one-leg standing, usual and maximum walking speeds, and chair-standing time. PA (MVPA, LPA, and ST) and the number of steps taken daily were assessed for seven consecutive days by a tri-axial accelerometer. We determined the sex-specific quartiles of MVPA, LPA, and ST and analyzed their associations with physical function in separate models for each exposure measure. Results: In the crude analysis, MVPA was significantly associated with all PF variables in the men, and with the usual walking speed, max. walking speed, and chair-standing time in the women. Neither LPA nor ST was significantly associated with any PF variables. After adjusting potential confounding factors, significant associations between MVPA and usual walking speed remained in the men and women. Conclusions: Only greater moderate-to-vigorous physical activity (MVPA) was significantly associated with higher levels of PF variables in both men and women. Thus, time spent in moderate-to-vigorous physical activity (MVPA) can help older adults maintain or improve their physical function.</t>
        </is>
      </c>
      <c r="X343" t="inlineStr">
        <is>
          <t>[Yatsugi, Harukaze; Liu, Xin; Kishimoto, Hiro] Kyushu Univ, Grad Sch Human Environm Studies, Dept Behav &amp; Hlth Sci, Nishi Ku, 744 Motooka, Fukuoka 8190395, Japan; [Chen, Tao] Tongji Univ, Dept Phys Educ, Sports &amp; Hlth Res Ctr, Shanghai 200092, Peoples R China; [Chen, Si] Shandong Univ, Cheeloo Coll Med, Sch Nursing &amp; Rehabil, 44 West Wenhua Rd, Jinan 250012, Peoples R China; [Kishimoto, Hiro] Kyushu Univ, Fac Arts &amp; Sci, IC15, Nishi Ku, 744 Motooka, Fukuoka 8190395, Japan</t>
        </is>
      </c>
      <c r="Y343" t="inlineStr">
        <is>
          <t>Kyushu University; Tongji University; Shandong University; Kyushu University</t>
        </is>
      </c>
      <c r="Z343" t="inlineStr">
        <is>
          <t>Kishimoto, H (corresponding author), Kyushu Univ, Grad Sch Human Environm Studies, Dept Behav &amp; Hlth Sci, Nishi Ku, 744 Motooka, Fukuoka 8190395, Japan.;Kishimoto, H (corresponding author), Kyushu Univ, Fac Arts &amp; Sci, IC15, Nishi Ku, 744 Motooka, Fukuoka 8190395, Japan.</t>
        </is>
      </c>
      <c r="AA343" t="inlineStr">
        <is>
          <t>haru19920424@gmail.com; chentwhy@tongji.edu.cn; chensi@sdu.edu.cn; liuxinjp1992@gmail.com; kishimoto@artsci.kyushu-u.ac.jp</t>
        </is>
      </c>
      <c r="AB343" t="inlineStr">
        <is>
          <t>Yatsugi, Harukaze/AAE-6809-2022; Yatsugi, Harukaze/GPW-5633-2022</t>
        </is>
      </c>
      <c r="AC343" t="inlineStr">
        <is>
          <t>Yatsugi, Harukaze/0000-0003-1354-5002; Kishimoto, Hiro/0000-0001-8944-1539; Chen, Si/0000-0002-6041-1528</t>
        </is>
      </c>
      <c r="AH343" t="n">
        <v>38</v>
      </c>
      <c r="AI343" t="n">
        <v>6</v>
      </c>
      <c r="AJ343" t="n">
        <v>6</v>
      </c>
      <c r="AK343" t="n">
        <v>0</v>
      </c>
      <c r="AL343" t="n">
        <v>10</v>
      </c>
      <c r="AM343" t="inlineStr">
        <is>
          <t>MDPI</t>
        </is>
      </c>
      <c r="AN343" t="inlineStr">
        <is>
          <t>BASEL</t>
        </is>
      </c>
      <c r="AO343" t="inlineStr">
        <is>
          <t>ST ALBAN-ANLAGE 66, CH-4052 BASEL, SWITZERLAND</t>
        </is>
      </c>
      <c r="AQ343" t="inlineStr">
        <is>
          <t>1660-4601</t>
        </is>
      </c>
      <c r="AS343" t="inlineStr">
        <is>
          <t>INT J ENV RES PUB HE</t>
        </is>
      </c>
      <c r="AT343" t="inlineStr">
        <is>
          <t>Int. J. Environ. Res. Public Health</t>
        </is>
      </c>
      <c r="AU343" t="inlineStr">
        <is>
          <t>JAN</t>
        </is>
      </c>
      <c r="AV343" t="n">
        <v>2022</v>
      </c>
      <c r="AW343" t="n">
        <v>19</v>
      </c>
      <c r="AX343" t="n">
        <v>1</v>
      </c>
      <c r="BE343" t="n">
        <v>369</v>
      </c>
      <c r="BF343" t="inlineStr">
        <is>
          <t>10.3390/ijerph19010369</t>
        </is>
      </c>
      <c r="BG343">
        <f>HYPERLINK("http://dx.doi.org/10.3390/ijerph19010369","http://dx.doi.org/10.3390/ijerph19010369")</f>
        <v/>
      </c>
      <c r="BJ343" t="n">
        <v>11</v>
      </c>
      <c r="BK343" t="inlineStr">
        <is>
          <t>Environmental Sciences; Public, Environmental &amp; Occupational Health</t>
        </is>
      </c>
      <c r="BL343" t="inlineStr">
        <is>
          <t>Science Citation Index Expanded (SCI-EXPANDED); Social Science Citation Index (SSCI)</t>
        </is>
      </c>
      <c r="BM343" t="inlineStr">
        <is>
          <t>Environmental Sciences &amp; Ecology; Public, Environmental &amp; Occupational Health</t>
        </is>
      </c>
      <c r="BN343" t="inlineStr">
        <is>
          <t>YT2KG</t>
        </is>
      </c>
      <c r="BO343" t="n">
        <v>35010628</v>
      </c>
      <c r="BP343" t="inlineStr">
        <is>
          <t>Green Published, gold</t>
        </is>
      </c>
      <c r="BS343" t="inlineStr">
        <is>
          <t>2023-10-26</t>
        </is>
      </c>
      <c r="BT343" t="inlineStr">
        <is>
          <t>WOS:000751193900001</t>
        </is>
      </c>
      <c r="BU343">
        <f>HYPERLINK("https%3A%2F%2Fwww.webofscience.com%2Fwos%2Fwoscc%2Ffull-record%2FWOS:000751193900001","View Full Record in Web of Science")</f>
        <v/>
      </c>
    </row>
    <row r="344">
      <c r="A344" t="inlineStr">
        <is>
          <t>J</t>
        </is>
      </c>
      <c r="B344" t="inlineStr">
        <is>
          <t>Ataei, Y; Sun, YX; Liu, W; Ellie, AS; Dong, H; Ahmad, UM</t>
        </is>
      </c>
      <c r="F344" t="inlineStr">
        <is>
          <t>Ataei, Yeganeh; Sun, Yuexia; Liu, Wei; S. Ellie, Agnes; Dong, Hui; Ahmad, Umme Marium</t>
        </is>
      </c>
      <c r="J344" t="inlineStr">
        <is>
          <t>INTERNATIONAL JOURNAL OF ENVIRONMENTAL RESEARCH AND PUBLIC HEALTH</t>
        </is>
      </c>
      <c r="M344" t="inlineStr">
        <is>
          <t>English</t>
        </is>
      </c>
      <c r="N344" t="inlineStr">
        <is>
          <t>Review</t>
        </is>
      </c>
      <c r="T344" t="inlineStr">
        <is>
          <t>Health Effects of Exposure to Indoor Semi-Volatile Organic Compounds in Chinese Building Environment: A Systematic Review</t>
        </is>
      </c>
      <c r="U344" t="inlineStr">
        <is>
          <t>semi-volatile organic compounds (SVOCs); phthalate esters (PAEs); polycyclic aromatic (PAHs); health effects; building environment; China</t>
        </is>
      </c>
      <c r="V344" t="inlineStr">
        <is>
          <t>POLYBROMINATED DIPHENYL ETHERS; POLYCYCLIC AROMATIC-HYDROCARBONS; IN-HOUSE DUST; LUNG-CANCER MORTALITY; RISK-FACTORS; AIR-POLLUTION; URBAN DWELLINGS; SMOKY COAL; ALLERGIC DISEASES; PHTHALATE-ESTERS</t>
        </is>
      </c>
      <c r="W344" t="inlineStr">
        <is>
          <t>People spend a considerable portion of their lives indoors; thus, the quality of the indoor environment is crucial. Semi-volatile organic compounds (SVOCs) are among the primary indoor pollutants responsible for various health risks. This paper systematically reviews the impact of SVOC exposure on human health in Chinese built environments. Based on a set of criteria, we judged 12 publications as providing sufficient information on both SVOC exposure and health effects to inform the relationship. Out of six studies on polycyclic aromatic hydrocarbons (PAHs), three observed a positive association between PAH exposure and lung cancer. Out of six studies of phthalate exposure, two studies reported a significant positive association between DEP and DiBP and asthma, between DEP and DEHP and dry cough among children, and between DBP and rhinitis among younger adults. The results of this review suggest that there might be a link between phthalate exposure and asthma and allergies, as well as a link between PAH exposure and lung cancer. However, due to the limited number of studies conducted, more evidence is necessary to definitively guide the establishment of standards for SVOC control in China.</t>
        </is>
      </c>
      <c r="X344" t="inlineStr">
        <is>
          <t>[Ataei, Yeganeh; Sun, Yuexia; Liu, Wei; S. Ellie, Agnes; Ahmad, Umme Marium] Tianjin Univ, Sch Environm Sci &amp; Engn, Tianjin Key Lab Indoor Air Environm Qual Control, Tianjin 300350, Peoples R China; [Dong, Hui] Imperial Coll London, Ctr Environm Policy, London SW7 2AZ, England</t>
        </is>
      </c>
      <c r="Y344" t="inlineStr">
        <is>
          <t>Tianjin University; Imperial College London</t>
        </is>
      </c>
      <c r="Z344" t="inlineStr">
        <is>
          <t>Sun, YX (corresponding author), Tianjin Univ, Sch Environm Sci &amp; Engn, Tianjin Key Lab Indoor Air Environm Qual Control, Tianjin 300350, Peoples R China.</t>
        </is>
      </c>
      <c r="AA344" t="inlineStr">
        <is>
          <t>yuexiasun@tju.edu.cn</t>
        </is>
      </c>
      <c r="AB344" t="inlineStr">
        <is>
          <t>dong, hui/JDN-2423-2023</t>
        </is>
      </c>
      <c r="AD344" t="inlineStr">
        <is>
          <t>National Key Research and Development Program of China; National Natural Science Foundation of China; Natural Science Foundation of Tianjin City; [2017YFC0702700]; [21207097]; [21JCZDJC00540]</t>
        </is>
      </c>
      <c r="AE344" t="inlineStr">
        <is>
          <t>National Key Research and Development Program of China; National Natural Science Foundation of China(National Natural Science Foundation of China (NSFC)); Natural Science Foundation of Tianjin City(Natural Science Foundation of Tianjin); ; ;</t>
        </is>
      </c>
      <c r="AF344" t="inlineStr">
        <is>
          <t>This research was funded by the National Key Research and Development Program of China (2017YFC0702700), the National Natural Science Foundation of China (21207097), and the Natural Science Foundation of Tianjin City (21JCZDJC00540).</t>
        </is>
      </c>
      <c r="AH344" t="n">
        <v>87</v>
      </c>
      <c r="AI344" t="n">
        <v>2</v>
      </c>
      <c r="AJ344" t="n">
        <v>2</v>
      </c>
      <c r="AK344" t="n">
        <v>29</v>
      </c>
      <c r="AL344" t="n">
        <v>56</v>
      </c>
      <c r="AM344" t="inlineStr">
        <is>
          <t>MDPI</t>
        </is>
      </c>
      <c r="AN344" t="inlineStr">
        <is>
          <t>BASEL</t>
        </is>
      </c>
      <c r="AO344" t="inlineStr">
        <is>
          <t>ST ALBAN-ANLAGE 66, CH-4052 BASEL, SWITZERLAND</t>
        </is>
      </c>
      <c r="AQ344" t="inlineStr">
        <is>
          <t>1660-4601</t>
        </is>
      </c>
      <c r="AS344" t="inlineStr">
        <is>
          <t>INT J ENV RES PUB HE</t>
        </is>
      </c>
      <c r="AT344" t="inlineStr">
        <is>
          <t>Int. J. Environ. Res. Public Health</t>
        </is>
      </c>
      <c r="AU344" t="inlineStr">
        <is>
          <t>JAN</t>
        </is>
      </c>
      <c r="AV344" t="n">
        <v>2023</v>
      </c>
      <c r="AW344" t="n">
        <v>20</v>
      </c>
      <c r="AX344" t="n">
        <v>1</v>
      </c>
      <c r="BE344" t="n">
        <v>678</v>
      </c>
      <c r="BF344" t="inlineStr">
        <is>
          <t>10.3390/ijerph20010678</t>
        </is>
      </c>
      <c r="BG344">
        <f>HYPERLINK("http://dx.doi.org/10.3390/ijerph20010678","http://dx.doi.org/10.3390/ijerph20010678")</f>
        <v/>
      </c>
      <c r="BJ344" t="n">
        <v>14</v>
      </c>
      <c r="BK344" t="inlineStr">
        <is>
          <t>Environmental Sciences; Public, Environmental &amp; Occupational Health</t>
        </is>
      </c>
      <c r="BL344" t="inlineStr">
        <is>
          <t>Science Citation Index Expanded (SCI-EXPANDED); Social Science Citation Index (SSCI)</t>
        </is>
      </c>
      <c r="BM344" t="inlineStr">
        <is>
          <t>Environmental Sciences &amp; Ecology; Public, Environmental &amp; Occupational Health</t>
        </is>
      </c>
      <c r="BN344" t="inlineStr">
        <is>
          <t>7P7JP</t>
        </is>
      </c>
      <c r="BO344" t="n">
        <v>36613006</v>
      </c>
      <c r="BP344" t="inlineStr">
        <is>
          <t>Green Published, gold</t>
        </is>
      </c>
      <c r="BS344" t="inlineStr">
        <is>
          <t>2023-10-26</t>
        </is>
      </c>
      <c r="BT344" t="inlineStr">
        <is>
          <t>WOS:000908877500001</t>
        </is>
      </c>
      <c r="BU344">
        <f>HYPERLINK("https%3A%2F%2Fwww.webofscience.com%2Fwos%2Fwoscc%2Ffull-record%2FWOS:000908877500001","View Full Record in Web of Science")</f>
        <v/>
      </c>
    </row>
    <row r="345">
      <c r="A345" t="inlineStr">
        <is>
          <t>J</t>
        </is>
      </c>
      <c r="B345" t="inlineStr">
        <is>
          <t>Dovjak, M; Shukuya, M; Krainer, A</t>
        </is>
      </c>
      <c r="F345" t="inlineStr">
        <is>
          <t>Dovjak, Mateja; Shukuya, Masanori; Krainer, Ales</t>
        </is>
      </c>
      <c r="J345" t="inlineStr">
        <is>
          <t>INTERNATIONAL JOURNAL OF ENVIRONMENTAL RESEARCH AND PUBLIC HEALTH</t>
        </is>
      </c>
      <c r="M345" t="inlineStr">
        <is>
          <t>English</t>
        </is>
      </c>
      <c r="N345" t="inlineStr">
        <is>
          <t>Article</t>
        </is>
      </c>
      <c r="T345" t="inlineStr">
        <is>
          <t>User-Centred Healing-Oriented Conditions in the Design of Hospital Environments</t>
        </is>
      </c>
      <c r="U345" t="inlineStr">
        <is>
          <t>healing conditions; hospital environment; burn patient; thermodynamic response; user-centred cyber-physical system</t>
        </is>
      </c>
      <c r="V345" t="inlineStr">
        <is>
          <t>BODY EXERGY CONSUMPTION; THERMAL COMFORT; HYPERMETABOLIC RESPONSE; AMBIENT-TEMPERATURE; HEAT-PRODUCTION; BURNED PATIENTS; METABOLIC-RATE; ENERGY; PERFORMANCE; INJURY</t>
        </is>
      </c>
      <c r="W345" t="inlineStr">
        <is>
          <t>Design approaches towards energy efficient hospitals often result in a deteriorated indoor environmental quality, adverse health and comfort outcomes, and is a public health concern. This research presents an advanced approach to the design of a hospital environment based on a stimulative paradigm of healing to achieve not only healthy but also comforting conditions. A hospital room for severely burn patient was considered as one of the most demanding spaces. The healing environment was designed as a multi-levelled, dynamic process including the characteristics of users, building and systems. The developed integral user-centred cyber-physical system (UCCPS) was tested in a test room and compared to the conventional system. The thermodynamic responses of burn patients, health care worker and visitor were simulated by using modified human body exergy models. In a healing environment, UCCPS enables optimal thermal balance, individually regulated according to the user specifics. For burn patient it creates optimal healing-oriented conditions with the lowest possible human body exergy consumption (hbExC), lower metabolic thermal exergy, lower sweat exhalation, evaporation, lower radiation and convection. For healthcare workers and visitors, thermally comfortable conditions are attained with minimal hbExC and neutral thermal load on their bodies. The information on this is an aid in integral hospital design, especially for future extensive renovations and environmental health actions.</t>
        </is>
      </c>
      <c r="X345" t="inlineStr">
        <is>
          <t>[Dovjak, Mateja] Univ Ljubljana, Fac Civil &amp; Geodet Engn, Chair Bldg &amp; Construct Complexes, Ljubljana 1000, Slovenia; [Dovjak, Mateja] Univ Ljubljana, Fac Hlth Sci, Zdravstvena Pot 5, Ljubljana 1000, Slovenia; [Shukuya, Masanori] Tokyo City Univ, Dept Restorat Ecol &amp; Built Environm, Yokohama, Kanagawa 2248551, Japan; [Krainer, Ales] Inst Publ &amp; Environm Hlth, Ljubljana 1000, Slovenia</t>
        </is>
      </c>
      <c r="Y345" t="inlineStr">
        <is>
          <t>University of Ljubljana; University of Ljubljana; Tokyo City University</t>
        </is>
      </c>
      <c r="Z345" t="inlineStr">
        <is>
          <t>Dovjak, M (corresponding author), Univ Ljubljana, Fac Civil &amp; Geodet Engn, Chair Bldg &amp; Construct Complexes, Ljubljana 1000, Slovenia.;Dovjak, M (corresponding author), Univ Ljubljana, Fac Hlth Sci, Zdravstvena Pot 5, Ljubljana 1000, Slovenia.</t>
        </is>
      </c>
      <c r="AA345" t="inlineStr">
        <is>
          <t>mdovjak@fgg.uni-lj.si; shukuya@tcu.ac.jp; ales.krainer@stavba2020.si</t>
        </is>
      </c>
      <c r="AB345" t="inlineStr">
        <is>
          <t>Shukuya, Masanori/ABC-1085-2020; Shukuya, Masanori/K-1407-2018</t>
        </is>
      </c>
      <c r="AD345" t="inlineStr">
        <is>
          <t>Slovenian Research Agency [P2-0158]</t>
        </is>
      </c>
      <c r="AE345" t="inlineStr">
        <is>
          <t>Slovenian Research Agency(Slovenian Research Agency - Slovenia)</t>
        </is>
      </c>
      <c r="AF345" t="inlineStr">
        <is>
          <t>This research was funded by the Slovenian Research Agency (research core funding No. P2-0158, Structural engineering and building physics).</t>
        </is>
      </c>
      <c r="AH345" t="n">
        <v>85</v>
      </c>
      <c r="AI345" t="n">
        <v>23</v>
      </c>
      <c r="AJ345" t="n">
        <v>23</v>
      </c>
      <c r="AK345" t="n">
        <v>3</v>
      </c>
      <c r="AL345" t="n">
        <v>17</v>
      </c>
      <c r="AM345" t="inlineStr">
        <is>
          <t>MDPI</t>
        </is>
      </c>
      <c r="AN345" t="inlineStr">
        <is>
          <t>BASEL</t>
        </is>
      </c>
      <c r="AO345" t="inlineStr">
        <is>
          <t>ST ALBAN-ANLAGE 66, CH-4052 BASEL, SWITZERLAND</t>
        </is>
      </c>
      <c r="AQ345" t="inlineStr">
        <is>
          <t>1660-4601</t>
        </is>
      </c>
      <c r="AS345" t="inlineStr">
        <is>
          <t>INT J ENV RES PUB HE</t>
        </is>
      </c>
      <c r="AT345" t="inlineStr">
        <is>
          <t>Int. J. Environ. Res. Public Health</t>
        </is>
      </c>
      <c r="AU345" t="inlineStr">
        <is>
          <t>OCT</t>
        </is>
      </c>
      <c r="AV345" t="n">
        <v>2018</v>
      </c>
      <c r="AW345" t="n">
        <v>15</v>
      </c>
      <c r="AX345" t="n">
        <v>10</v>
      </c>
      <c r="BE345" t="n">
        <v>2140</v>
      </c>
      <c r="BF345" t="inlineStr">
        <is>
          <t>10.3390/ijerph15102140</t>
        </is>
      </c>
      <c r="BG345">
        <f>HYPERLINK("http://dx.doi.org/10.3390/ijerph15102140","http://dx.doi.org/10.3390/ijerph15102140")</f>
        <v/>
      </c>
      <c r="BJ345" t="n">
        <v>28</v>
      </c>
      <c r="BK345" t="inlineStr">
        <is>
          <t>Environmental Sciences; Public, Environmental &amp; Occupational Health</t>
        </is>
      </c>
      <c r="BL345" t="inlineStr">
        <is>
          <t>Science Citation Index Expanded (SCI-EXPANDED); Social Science Citation Index (SSCI)</t>
        </is>
      </c>
      <c r="BM345" t="inlineStr">
        <is>
          <t>Environmental Sciences &amp; Ecology; Public, Environmental &amp; Occupational Health</t>
        </is>
      </c>
      <c r="BN345" t="inlineStr">
        <is>
          <t>GY7TQ</t>
        </is>
      </c>
      <c r="BO345" t="n">
        <v>30274226</v>
      </c>
      <c r="BP345" t="inlineStr">
        <is>
          <t>Green Published, Green Submitted, gold</t>
        </is>
      </c>
      <c r="BS345" t="inlineStr">
        <is>
          <t>2023-10-26</t>
        </is>
      </c>
      <c r="BT345" t="inlineStr">
        <is>
          <t>WOS:000448818100082</t>
        </is>
      </c>
      <c r="BU345">
        <f>HYPERLINK("https%3A%2F%2Fwww.webofscience.com%2Fwos%2Fwoscc%2Ffull-record%2FWOS:000448818100082","View Full Record in Web of Science")</f>
        <v/>
      </c>
    </row>
    <row r="346">
      <c r="A346" t="inlineStr">
        <is>
          <t>J</t>
        </is>
      </c>
      <c r="B346" t="inlineStr">
        <is>
          <t>Zhu, R; Lv, Y; Wang, ZM; Chen, X</t>
        </is>
      </c>
      <c r="F346" t="inlineStr">
        <is>
          <t>Zhu, Rui; Lv, Yang; Wang, Zhimeng; Chen, Xi</t>
        </is>
      </c>
      <c r="J346" t="inlineStr">
        <is>
          <t>SUSTAINABILITY</t>
        </is>
      </c>
      <c r="M346" t="inlineStr">
        <is>
          <t>English</t>
        </is>
      </c>
      <c r="N346" t="inlineStr">
        <is>
          <t>Article</t>
        </is>
      </c>
      <c r="T346" t="inlineStr">
        <is>
          <t>Prediction of the Hypertension Risk of the Elderly in Built Environments Based on the LSTM Deep Learning and Bayesian Fitting Method</t>
        </is>
      </c>
      <c r="U346" t="inlineStr">
        <is>
          <t>indoor environment; smart building; health risk assessment; cardiovascular disease; LSTM deep learning; Bayesian fitting</t>
        </is>
      </c>
      <c r="V346" t="inlineStr">
        <is>
          <t>PARAMETER-ESTIMATION; BLOOD-PRESSURE; INDOOR AIR; ALGORITHM; OPTIMIZATION; TEMPERATURE; SYSTEM</t>
        </is>
      </c>
      <c r="W346" t="inlineStr">
        <is>
          <t>Hypertension has become the greatest risk factor for death in elderly populations. As factors influencing cardiovascular disease, indoor environmental parameters pose potential risks for older adults. In this study, elderly residents in Dalian (Liaoning Province, China) urban dwellings were selected as the research subjects, and the environmental parameters of the dwellings' main activity rooms and the blood pressure parameters of the older adults were measured. Based on the Long Short-Term Memory (LSTM) deep learning algorithm and Bayesian fitting method, a hypertension disease model was established using the long-term environmental parameters to predict the hypertension risk of older adults in their building's environment. The results showed that temperature, humidity, and some air quality parameters had an impact on blood pressure under single environmental factor, and the comprehensive environmental risks of high systolic blood pressure, high diastolic blood pressure, and high blood pressure were 16.44%, 0%, and 16.44% for the male elderly and 14.11%, 7.14%, and 17.55% for the female elderly, respectively. By comparing the results for the blood pressure measurement and prediction, it can be observed that the risk error of hypertension obtained by the algorithm maintains the variables' relationship, and the result of the algorithm is reliable in this period. This technology can provide a basis for measuring environmental parameters and will be conducive to the development of an ecological smart building environment.</t>
        </is>
      </c>
      <c r="X346" t="inlineStr">
        <is>
          <t>[Zhu, Rui; Lv, Yang; Wang, Zhimeng; Chen, Xi] Dalian Univ Technol, Fac Infrastruct Engn, Dalian 116024, Peoples R China</t>
        </is>
      </c>
      <c r="Y346" t="inlineStr">
        <is>
          <t>Dalian University of Technology</t>
        </is>
      </c>
      <c r="Z346" t="inlineStr">
        <is>
          <t>Lv, Y (corresponding author), Dalian Univ Technol, Fac Infrastruct Engn, Dalian 116024, Peoples R China.</t>
        </is>
      </c>
      <c r="AA346" t="inlineStr">
        <is>
          <t>zhurui9703@163.com; lvyang@dlut.edu.cn; shermeng@163.com; sissi_chen_hi@163.com</t>
        </is>
      </c>
      <c r="AD346" t="inlineStr">
        <is>
          <t>National Natural Science Foundation of China [91743102, 51978121]; Fundamental Research Funds for the Central Universities [DUT21JC22]</t>
        </is>
      </c>
      <c r="AE346" t="inlineStr">
        <is>
          <t>National Natural Science Foundation of China(National Natural Science Foundation of China (NSFC)); Fundamental Research Funds for the Central Universities(Fundamental Research Funds for the Central Universities)</t>
        </is>
      </c>
      <c r="AF346" t="inlineStr">
        <is>
          <t>This study was financially supported by the National Natural Science Foundation of China (No. 91743102, No. 51978121) and the Fundamental Research Funds for the Central Universities (DUT21JC22).</t>
        </is>
      </c>
      <c r="AH346" t="n">
        <v>55</v>
      </c>
      <c r="AI346" t="n">
        <v>3</v>
      </c>
      <c r="AJ346" t="n">
        <v>3</v>
      </c>
      <c r="AK346" t="n">
        <v>8</v>
      </c>
      <c r="AL346" t="n">
        <v>43</v>
      </c>
      <c r="AM346" t="inlineStr">
        <is>
          <t>MDPI</t>
        </is>
      </c>
      <c r="AN346" t="inlineStr">
        <is>
          <t>BASEL</t>
        </is>
      </c>
      <c r="AO346" t="inlineStr">
        <is>
          <t>ST ALBAN-ANLAGE 66, CH-4052 BASEL, SWITZERLAND</t>
        </is>
      </c>
      <c r="AQ346" t="inlineStr">
        <is>
          <t>2071-1050</t>
        </is>
      </c>
      <c r="AS346" t="inlineStr">
        <is>
          <t>SUSTAINABILITY-BASEL</t>
        </is>
      </c>
      <c r="AT346" t="inlineStr">
        <is>
          <t>Sustainability</t>
        </is>
      </c>
      <c r="AU346" t="inlineStr">
        <is>
          <t>MAY</t>
        </is>
      </c>
      <c r="AV346" t="n">
        <v>2021</v>
      </c>
      <c r="AW346" t="n">
        <v>13</v>
      </c>
      <c r="AX346" t="n">
        <v>10</v>
      </c>
      <c r="BE346" t="n">
        <v>5724</v>
      </c>
      <c r="BF346" t="inlineStr">
        <is>
          <t>10.3390/su13105724</t>
        </is>
      </c>
      <c r="BG346">
        <f>HYPERLINK("http://dx.doi.org/10.3390/su13105724","http://dx.doi.org/10.3390/su13105724")</f>
        <v/>
      </c>
      <c r="BJ346" t="n">
        <v>19</v>
      </c>
      <c r="BK346" t="inlineStr">
        <is>
          <t>Green &amp; Sustainable Science &amp; Technology; Environmental Sciences; Environmental Studies</t>
        </is>
      </c>
      <c r="BL346" t="inlineStr">
        <is>
          <t>Science Citation Index Expanded (SCI-EXPANDED); Social Science Citation Index (SSCI)</t>
        </is>
      </c>
      <c r="BM346" t="inlineStr">
        <is>
          <t>Science &amp; Technology - Other Topics; Environmental Sciences &amp; Ecology</t>
        </is>
      </c>
      <c r="BN346" t="inlineStr">
        <is>
          <t>ST7RN</t>
        </is>
      </c>
      <c r="BP346" t="inlineStr">
        <is>
          <t>gold</t>
        </is>
      </c>
      <c r="BS346" t="inlineStr">
        <is>
          <t>2023-10-26</t>
        </is>
      </c>
      <c r="BT346" t="inlineStr">
        <is>
          <t>WOS:000662637100001</t>
        </is>
      </c>
      <c r="BU346">
        <f>HYPERLINK("https%3A%2F%2Fwww.webofscience.com%2Fwos%2Fwoscc%2Ffull-record%2FWOS:000662637100001","View Full Record in Web of Science")</f>
        <v/>
      </c>
    </row>
    <row r="347">
      <c r="A347" t="inlineStr">
        <is>
          <t>J</t>
        </is>
      </c>
      <c r="B347" t="inlineStr">
        <is>
          <t>Williams, BD; Sisson, SB; Dev, DA; Lowery, B; Horm, D; Campbell, J; Finneran, D; Graef-Downard, J; Whaley, L</t>
        </is>
      </c>
      <c r="F347" t="inlineStr">
        <is>
          <t>Williams, Bethany D.; Sisson, Susan B.; Dev, Dipti A.; Lowery, Bryce; Horm, Diane; Campbell, Janis; Finneran, Denise; Graef-Downard, Jennifer; Whaley, Linda</t>
        </is>
      </c>
      <c r="J347" t="inlineStr">
        <is>
          <t>INTERNATIONAL JOURNAL OF ENVIRONMENTAL RESEARCH AND PUBLIC HEALTH</t>
        </is>
      </c>
      <c r="M347" t="inlineStr">
        <is>
          <t>English</t>
        </is>
      </c>
      <c r="N347" t="inlineStr">
        <is>
          <t>Article</t>
        </is>
      </c>
      <c r="T347" t="inlineStr">
        <is>
          <t>Associations between Community Built Environments with Early Care and Education Classroom Physical Activity Practices and Barriers</t>
        </is>
      </c>
      <c r="U347" t="inlineStr">
        <is>
          <t>childcare; physical activity practices; barriers; parks; walkability; GIS</t>
        </is>
      </c>
      <c r="V347" t="inlineStr">
        <is>
          <t>CHILD-CARE; SELF-ASSESSMENT; ACTIVITY POLICIES; NATIONAL-HEALTH; AGED CHILDREN; NAP SACC; NUTRITION; CENTERS; FAMILY; TEACHERS</t>
        </is>
      </c>
      <c r="W347" t="inlineStr">
        <is>
          <t>The influence of community-built environments on physical activity (PA) support in Early Childhood Education settings (ECEs) is unknown. The purpose of this cross-sectional study was to determine associations between community PA environments and ECE classroom PA practices. We included licensed Oklahoma ECE directors serving 3-to-5-year-old children. Parks and playground locations were exported from Google Earth. National Walkability Index was derived from 2010 US Census data. ArcMap 10.6 was used to geocode ECE locations, which were within an Activity Desert if no parks/playgrounds were located within a 1-mile radius or if Walkability Index was 10.5 or below. Classroom PA practices were determined by using the Nutrition and PA Self-Assessment tool (NAP SACC). Barriers to implementing practices were reported. Most Head Starts (n = 41; 80.3%), center-based childcare settings (CBC; n = 135; 87.0%), and family childcare homes (FCCHs; n = 153; 96.4%) were in an Activity Desert. Parks/playgrounds within a 10-mile buffer were correlated with classroom PA practices in FCCHs only (p &lt; 0.001). Activity Desert status was not related to classroom PA practices for any ECE context (p &gt; 0.029). While FCCHs may be the most vulnerable to lack of park and playground access, overall findings suggest ECEs provide a healthful micro-environment protective of the typical influence of community-built environments.</t>
        </is>
      </c>
      <c r="X347" t="inlineStr">
        <is>
          <t>[Williams, Bethany D.; Sisson, Susan B.; Graef-Downard, Jennifer] Univ Oklahoma, Coll Allied Hlth, Dept Nutr Sci, Hlth Sci Ctr, 1200 N Stonewall Ave, Oklahoma City, OK 73114 USA; [Williams, Bethany D.] Washington State Univ Hlth Sci Spokane, Elson S Floyd Coll Med, Dept Nutr &amp; Exercise Physiol, 412 E Spokane Falls Blvd, Spokane, WA 99202 USA; [Dev, Dipti A.] Univ Nebraska Lincoln, Coll Educ &amp; Human Sci, Dept Child Youth &amp; Family Studies, Louise Pound Hall,512 N 12th St, Lincoln, NE 68588 USA; [Lowery, Bryce] Univ Oklahoma, Gibbs Coll Architecture, Dept Reg &amp; City Planning, 830 Van Vleet Oval, Norman, OK 73019 USA; [Horm, Diane] Univ Oklahoma, Early Childhood Educ Inst, 4502 E 41st St, Tulsa, OK 74135 USA; [Campbell, Janis] Univ Oklahoma, Hudson Coll Publ Hlth, Dept Biostat &amp; Epidemiol, Hlth Sci Ctr, 801 N E 13th St, Oklahoma City, OK 73104 USA; [Finneran, Denise] Univ Oklahoma, Coll Allied Hlth, Dept Commun Sci &amp; Disorders, Hlth Sci Ctr, 1200 N Stonewall Ave, Oklahoma City, OK 73114 USA; [Whaley, Linda] Oklahoma Dept Human Serv, Child Care Serv, POB 25352, Oklahoma City, OK 73125 USA</t>
        </is>
      </c>
      <c r="Y347" t="inlineStr">
        <is>
          <t>University of Oklahoma System; University of Oklahoma Health Sciences Center; Washington State University; University of Nebraska System; University of Nebraska Lincoln; University of Oklahoma System; University of Oklahoma - Norman; University of Oklahoma System; University of Oklahoma - Tulsa; University of Oklahoma System; University of Oklahoma Health Sciences Center; University of Oklahoma System; University of Oklahoma Health Sciences Center</t>
        </is>
      </c>
      <c r="Z347" t="inlineStr">
        <is>
          <t>Sisson, SB (corresponding author), Univ Oklahoma, Coll Allied Hlth, Dept Nutr Sci, Hlth Sci Ctr, 1200 N Stonewall Ave, Oklahoma City, OK 73114 USA.</t>
        </is>
      </c>
      <c r="AA347" t="inlineStr">
        <is>
          <t>bethany.williams1@wsu.edu; susan-sisson@ouhsc.edu; ddev2@unl.edu; bryce.c.lowery@ou.edu; dhorm@ou.edu; janis-campbell@ouhsc.edu; Denise-Finneran@ouhsc.edu; Jennifer-GraefDownard@ouhsc.edu; Linda.Whaley@okdhs.org</t>
        </is>
      </c>
      <c r="AC347" t="inlineStr">
        <is>
          <t>Williams, Bethany/0000-0001-7006-0787; Lowery, Bryce/0000-0001-8359-9773</t>
        </is>
      </c>
      <c r="AD347" t="inlineStr">
        <is>
          <t>Administration for Children and Families (ACF) of the United States (US) Department of Health and Human Services (HHS) - ACF/HHS [90YR0115]; University of Oklahoma Health Sciences College of Allied Health Student Research and Creativity Grant; Department of Nutritional Sciences</t>
        </is>
      </c>
      <c r="AE347" t="inlineStr">
        <is>
          <t>Administration for Children and Families (ACF) of the United States (US) Department of Health and Human Services (HHS) - ACF/HHS; University of Oklahoma Health Sciences College of Allied Health Student Research and Creativity Grant; Department of Nutritional Sciences</t>
        </is>
      </c>
      <c r="AF347" t="inlineStr">
        <is>
          <t>This research was supported by the Administration for Children and Families (ACF) of the United States (US) Department of Health and Human Services (HHS) as part of a financial assistance award (Grant #: 90YR0115) totaling $25,000, with 100 percent funded by ACF/HHS. The contents are those of the author(s) and do not necessarily represent the official views of, nor an endorsement by, ACF/HHS or the US Government. For more information, please visit the ACF website, Administrative and National Policy Requirements. Additional funding was provided by the University of Oklahoma Health Sciences College of Allied Health Student Research and Creativity Grant, and the Department of Nutritional Sciences.</t>
        </is>
      </c>
      <c r="AH347" t="n">
        <v>53</v>
      </c>
      <c r="AI347" t="n">
        <v>4</v>
      </c>
      <c r="AJ347" t="n">
        <v>4</v>
      </c>
      <c r="AK347" t="n">
        <v>2</v>
      </c>
      <c r="AL347" t="n">
        <v>10</v>
      </c>
      <c r="AM347" t="inlineStr">
        <is>
          <t>MDPI</t>
        </is>
      </c>
      <c r="AN347" t="inlineStr">
        <is>
          <t>BASEL</t>
        </is>
      </c>
      <c r="AO347" t="inlineStr">
        <is>
          <t>ST ALBAN-ANLAGE 66, CH-4052 BASEL, SWITZERLAND</t>
        </is>
      </c>
      <c r="AQ347" t="inlineStr">
        <is>
          <t>1660-4601</t>
        </is>
      </c>
      <c r="AS347" t="inlineStr">
        <is>
          <t>INT J ENV RES PUB HE</t>
        </is>
      </c>
      <c r="AT347" t="inlineStr">
        <is>
          <t>Int. J. Environ. Res. Public Health</t>
        </is>
      </c>
      <c r="AU347" t="inlineStr">
        <is>
          <t>JUN</t>
        </is>
      </c>
      <c r="AV347" t="n">
        <v>2021</v>
      </c>
      <c r="AW347" t="n">
        <v>18</v>
      </c>
      <c r="AX347" t="n">
        <v>12</v>
      </c>
      <c r="BE347" t="n">
        <v>6524</v>
      </c>
      <c r="BF347" t="inlineStr">
        <is>
          <t>10.3390/ijerph18126524</t>
        </is>
      </c>
      <c r="BG347">
        <f>HYPERLINK("http://dx.doi.org/10.3390/ijerph18126524","http://dx.doi.org/10.3390/ijerph18126524")</f>
        <v/>
      </c>
      <c r="BJ347" t="n">
        <v>16</v>
      </c>
      <c r="BK347" t="inlineStr">
        <is>
          <t>Environmental Sciences; Public, Environmental &amp; Occupational Health</t>
        </is>
      </c>
      <c r="BL347" t="inlineStr">
        <is>
          <t>Science Citation Index Expanded (SCI-EXPANDED); Social Science Citation Index (SSCI)</t>
        </is>
      </c>
      <c r="BM347" t="inlineStr">
        <is>
          <t>Environmental Sciences &amp; Ecology; Public, Environmental &amp; Occupational Health</t>
        </is>
      </c>
      <c r="BN347" t="inlineStr">
        <is>
          <t>SZ3IX</t>
        </is>
      </c>
      <c r="BO347" t="n">
        <v>34204363</v>
      </c>
      <c r="BP347" t="inlineStr">
        <is>
          <t>Green Published, gold</t>
        </is>
      </c>
      <c r="BS347" t="inlineStr">
        <is>
          <t>2023-10-26</t>
        </is>
      </c>
      <c r="BT347" t="inlineStr">
        <is>
          <t>WOS:000666464300001</t>
        </is>
      </c>
      <c r="BU347">
        <f>HYPERLINK("https%3A%2F%2Fwww.webofscience.com%2Fwos%2Fwoscc%2Ffull-record%2FWOS:000666464300001","View Full Record in Web of Science")</f>
        <v/>
      </c>
    </row>
    <row r="348">
      <c r="A348" t="inlineStr">
        <is>
          <t>J</t>
        </is>
      </c>
      <c r="B348" t="inlineStr">
        <is>
          <t>Rahman, ML; Pocock, T; Moore, A; Mandic, S</t>
        </is>
      </c>
      <c r="F348" t="inlineStr">
        <is>
          <t>Rahman, Mohammad Lutfur; Pocock, Tessa; Moore, Antoni; Mandic, Sandra</t>
        </is>
      </c>
      <c r="J348" t="inlineStr">
        <is>
          <t>INTERNATIONAL JOURNAL OF ENVIRONMENTAL RESEARCH AND PUBLIC HEALTH</t>
        </is>
      </c>
      <c r="M348" t="inlineStr">
        <is>
          <t>English</t>
        </is>
      </c>
      <c r="N348" t="inlineStr">
        <is>
          <t>Article</t>
        </is>
      </c>
      <c r="T348" t="inlineStr">
        <is>
          <t>Active Transport to School and School Neighbourhood Built Environment across Urbanisation Settings in Otago, New Zealand</t>
        </is>
      </c>
      <c r="U348" t="inlineStr">
        <is>
          <t>active transport; school neighbourhood; built environment; safety; walking; cycling; adolescents</t>
        </is>
      </c>
      <c r="V348" t="inlineStr">
        <is>
          <t>PHYSICAL-ACTIVITY; PARENTAL PERCEPTIONS; SAFE ROUTES; WALKING; TRAVEL; CHILDREN; ADOLESCENTS; STUDENTS; PROGRAM; BIKING</t>
        </is>
      </c>
      <c r="W348" t="inlineStr">
        <is>
          <t>The school neighbourhood built environment (BE) can facilitate active transport to school (ATS) in adolescents. Most previous studies examining ATS were conducted in large urban centres and focused on BE of home neighbourhoods. This study examined correlations between school-level ATS rates among adolescents, objectively measured school neighbourhood BE features, and adolescents' perceptions of the school route across different urbanisation settings. Adolescents (n = 1260; 15.2 +/- 1.4 years; 43.6% male) were recruited from 23 high schools located in large, medium, and small urban areas, and rural settings in Otago, New Zealand. Adolescents completed an online survey. School neighbourhood BE features were analysed using Geographic Information Systems. School neighbourhood intersection density, residential density and walkability index were higher in large urban areas compared to other urbanisation settings. School-level ATS rates (mean 38.1%; range: 27.8%-43.9%) were negatively correlated with school neighbourhood intersection density (r = -0.58), residential density (r = -0.60), and walkability index (r = -0.64; all p &lt; 0.01). School-level ATS rates were also negatively associated with adolescents' perceived safety concerns for walking (r = -0.76) and cycling (r = -0.78) to school, high traffic volume (r = -0.82), and presence of dangerous intersections (r = -0.75; all p &lt; 0.01). Future initiatives to encourage ATS should focus on school neighbourhood BE features and minimise adolescents' traffic safety related concerns.</t>
        </is>
      </c>
      <c r="X348" t="inlineStr">
        <is>
          <t>[Rahman, Mohammad Lutfur; Mandic, Sandra] Univ Otago, Sch Phys Educ Sport &amp; Exercise Sci, Act Living Lab, Dunedin 9054, New Zealand; [Pocock, Tessa] Univ Auckland, Fac Med &amp; Hlth Sci, Sch Nursing, Auckland 1142, New Zealand; [Moore, Antoni] Univ Otago, Sch Surveying, Dunedin 9054, New Zealand; [Mandic, Sandra] Univ Otago, Ctr Sustainabil, Dunedin 9054, New Zealand; [Mandic, Sandra] Auckland Univ Technol, Fac Hlth &amp; Environm Sci, Sch Sport &amp; Recreat, Auckland 1142, New Zealand</t>
        </is>
      </c>
      <c r="Y348" t="inlineStr">
        <is>
          <t>University of Otago; University of Auckland; University of Otago; University of Otago; Auckland University of Technology</t>
        </is>
      </c>
      <c r="Z348" t="inlineStr">
        <is>
          <t>Rahman, ML (corresponding author), Univ Otago, Sch Phys Educ Sport &amp; Exercise Sci, Act Living Lab, Dunedin 9054, New Zealand.</t>
        </is>
      </c>
      <c r="AA348" t="inlineStr">
        <is>
          <t>rahlu731@student.otago.ac.nz; t.pocock@auckland.ac.nz; tony.moore@otago.ac.nz; sandy07a@gmail.com</t>
        </is>
      </c>
      <c r="AB348" t="inlineStr">
        <is>
          <t>Rahman, Mohammad Lutfur/AAV-1238-2020; Pocock, Tessa/ABC-9929-2020; Mandic, Sandra/F-2689-2016</t>
        </is>
      </c>
      <c r="AC348" t="inlineStr">
        <is>
          <t>Pocock, Tessa/0000-0002-7692-2031; Mandic, Sandra/0000-0003-4126-8874; Rahman, Mohammad Lutfur/0000-0003-4908-8448; Moore, Antoni/0000-0001-7738-2308</t>
        </is>
      </c>
      <c r="AD348" t="inlineStr">
        <is>
          <t>University of Otago PhD Scholarship; Health Research Council of New Zealand Emerging Researcher First Grant [14/565]; National Heart Foundation of New Zealand [1602, 1615]; Lottery Health Research Grant [341129]; University of Otago Research Grant [UORG 2018]; Dunedin City Council; School of Physical Education, Sport and Exercise Sciences, University of Otago; Otago Energy Research Centre Seed Grant; University of Otago Research Grant (UORG 2018)</t>
        </is>
      </c>
      <c r="AE348" t="inlineStr">
        <is>
          <t>University of Otago PhD Scholarship; Health Research Council of New Zealand Emerging Researcher First Grant(Health Research Council of New Zealand); National Heart Foundation of New Zealand; Lottery Health Research Grant; University of Otago Research Grant; Dunedin City Council; School of Physical Education, Sport and Exercise Sciences, University of Otago; Otago Energy Research Centre Seed Grant; University of Otago Research Grant (UORG 2018)</t>
        </is>
      </c>
      <c r="AF348" t="inlineStr">
        <is>
          <t>Rahman was funded by a University of Otago PhD Scholarship. The BEATS Study was supported by the Health Research Council of New Zealand Emerging Researcher First Grant (14/565), National Heart Foundation of New Zealand (1602 and 1615), Lottery Health Research Grant (Applic 341129), University of Otago Research Grant (UORG 2014), Dunedin City Council and internal grants from the School of Physical Education, Sport and Exercise Sciences, University of Otago. The BEATS Rural Study was supported by the University of Otago Research Grant (UORG 2018) and Otago Energy Research Centre Seed Grant.</t>
        </is>
      </c>
      <c r="AH348" t="n">
        <v>45</v>
      </c>
      <c r="AI348" t="n">
        <v>8</v>
      </c>
      <c r="AJ348" t="n">
        <v>8</v>
      </c>
      <c r="AK348" t="n">
        <v>4</v>
      </c>
      <c r="AL348" t="n">
        <v>17</v>
      </c>
      <c r="AM348" t="inlineStr">
        <is>
          <t>MDPI</t>
        </is>
      </c>
      <c r="AN348" t="inlineStr">
        <is>
          <t>BASEL</t>
        </is>
      </c>
      <c r="AO348" t="inlineStr">
        <is>
          <t>ST ALBAN-ANLAGE 66, CH-4052 BASEL, SWITZERLAND</t>
        </is>
      </c>
      <c r="AQ348" t="inlineStr">
        <is>
          <t>1660-4601</t>
        </is>
      </c>
      <c r="AS348" t="inlineStr">
        <is>
          <t>INT J ENV RES PUB HE</t>
        </is>
      </c>
      <c r="AT348" t="inlineStr">
        <is>
          <t>Int. J. Environ. Res. Public Health</t>
        </is>
      </c>
      <c r="AU348" t="inlineStr">
        <is>
          <t>DEC</t>
        </is>
      </c>
      <c r="AV348" t="n">
        <v>2020</v>
      </c>
      <c r="AW348" t="n">
        <v>17</v>
      </c>
      <c r="AX348" t="n">
        <v>23</v>
      </c>
      <c r="BE348" t="n">
        <v>9013</v>
      </c>
      <c r="BF348" t="inlineStr">
        <is>
          <t>10.3390/ijerph17239013</t>
        </is>
      </c>
      <c r="BG348">
        <f>HYPERLINK("http://dx.doi.org/10.3390/ijerph17239013","http://dx.doi.org/10.3390/ijerph17239013")</f>
        <v/>
      </c>
      <c r="BJ348" t="n">
        <v>15</v>
      </c>
      <c r="BK348" t="inlineStr">
        <is>
          <t>Environmental Sciences; Public, Environmental &amp; Occupational Health</t>
        </is>
      </c>
      <c r="BL348" t="inlineStr">
        <is>
          <t>Science Citation Index Expanded (SCI-EXPANDED); Social Science Citation Index (SSCI)</t>
        </is>
      </c>
      <c r="BM348" t="inlineStr">
        <is>
          <t>Environmental Sciences &amp; Ecology; Public, Environmental &amp; Occupational Health</t>
        </is>
      </c>
      <c r="BN348" t="inlineStr">
        <is>
          <t>PD2XP</t>
        </is>
      </c>
      <c r="BO348" t="n">
        <v>33287302</v>
      </c>
      <c r="BP348" t="inlineStr">
        <is>
          <t>gold, Green Published</t>
        </is>
      </c>
      <c r="BS348" t="inlineStr">
        <is>
          <t>2023-10-26</t>
        </is>
      </c>
      <c r="BT348" t="inlineStr">
        <is>
          <t>WOS:000597554400001</t>
        </is>
      </c>
      <c r="BU348">
        <f>HYPERLINK("https%3A%2F%2Fwww.webofscience.com%2Fwos%2Fwoscc%2Ffull-record%2FWOS:000597554400001","View Full Record in Web of Science")</f>
        <v/>
      </c>
    </row>
    <row r="349">
      <c r="A349" t="inlineStr">
        <is>
          <t>J</t>
        </is>
      </c>
      <c r="B349" t="inlineStr">
        <is>
          <t>Koreny, M; Arbillaga-Etxarri, A; de Basea, MB; Foraster, M; Carsin, AE; Cirach, M; Gimeno-Santos, E; Barberan-Garcia, A; Nieuwenhuijsen, M; Vall-Casas, P; Rodriguez-Roisín, R; Garcia-Aymerich, J</t>
        </is>
      </c>
      <c r="F349" t="inlineStr">
        <is>
          <t>Koreny, Maria; Arbillaga-Etxarri, Ane; Bosch de Basea, Magda; Foraster, Maria; Carsin, Anne-Elie; Cirach, Marta; Gimeno-Santos, Elena; Barberan-Garcia, Anael; Nieuwenhuijsen, Mark; Vall-Casas, Pere; Rodriguez-Roisin, Robert; Garcia-Aymerich, Judith</t>
        </is>
      </c>
      <c r="J349" t="inlineStr">
        <is>
          <t>ENVIRONMENTAL RESEARCH</t>
        </is>
      </c>
      <c r="M349" t="inlineStr">
        <is>
          <t>English</t>
        </is>
      </c>
      <c r="N349" t="inlineStr">
        <is>
          <t>Article</t>
        </is>
      </c>
      <c r="T349" t="inlineStr">
        <is>
          <t>Urban environment and physical activity and capacity in patients with chronic obstructive pulmonary disease</t>
        </is>
      </c>
      <c r="U349" t="inlineStr">
        <is>
          <t>Urban environment; Noise; Air pollution; Physical activity; Exercise capacity; Chronic obstructive pulmonary disease</t>
        </is>
      </c>
      <c r="V349" t="inlineStr">
        <is>
          <t>NEIGHBORHOOD BUILT ENVIRONMENT; AIR-POLLUTION EXPOSURE; USE REGRESSION-MODELS; PM2.5 ABSORBENCY; DOWNHILL WALKING; NOISE ANNOYANCE; TRAFFIC NOISE; DAILY-LIFE; AREAS; COPD</t>
        </is>
      </c>
      <c r="W349" t="inlineStr">
        <is>
          <t>Background: Physical activity and exercise capacity are key prognostic factors in chronic obstructive pulmonary disease (COPD) but their environmental determinants are unknown. Objectives: To test the association between urban environment and objective physical activity, physical activity experience and exercise capacity in COPD. Methods: We studied 404 patients with mild-to-very severe COPD from a multi-city study in Catalonia, Spain. We measured objective physical activity (step count and sedentary time) by the Dynaport MoveMonitor, physical activity experience (difficulty with physical activity) by the Clinical visit-PROactive (C-PPAC) instrument, and exercise capacity by the 6-min walk distance (6MWD). We estimated individually (geocoded to the residential address) population density, pedestrian street length, slope of terrain, and long-term (i.e., annual) exposure to road traffic noise, nitrogen dioxide (NO2) and particulate matter (PM2.5). We built single-and multi-exposure mixed-effects linear regressions with a random intercept for city, adjusting for confounders. Results: Patients were 85% male, had mean (SD) age 69 (9) years and walked 7524 (4045) steps/day. In multi -exposure models, higher population density was associated with fewer steps, more sedentary time and worse exercise capacity (-507 [95% CI: 1135, 121] steps, +0.2 [0.0, 0.4] h/day and-13 [-25, 0] m per IQR). Pedestrian street length related with more steps and less sedentary time (156 [9, 304] steps and-0.1 [-0.1, 0.0] h/day per IQR). Steeper slope was associated with better exercise capacity (15 [3, 27] m per IQR). Higher NO2 levels related with more sedentary time and more difficulty in physical activity. PM(2.5 )and noise were not associated with physical activity or exercise capacity. Discussion: Population density, pedestrian street length, slope and NO2 exposure relate to physical activity and capacity of COPD patients living in highly populated areas. These findings support the consideration of neighbourhood environmental factors during COPD management and the attention to patients with chronic diseases when developing urban and transport planning policies.</t>
        </is>
      </c>
      <c r="X349" t="inlineStr">
        <is>
          <t>[Koreny, Maria; Bosch de Basea, Magda; Foraster, Maria; Carsin, Anne-Elie; Cirach, Marta; Gimeno-Santos, Elena; Nieuwenhuijsen, Mark; Garcia-Aymerich, Judith] ISGIobal, Barcelona, Spain; [Koreny, Maria; Bosch de Basea, Magda; Foraster, Maria; Carsin, Anne-Elie; Cirach, Marta; Gimeno-Santos, Elena; Nieuwenhuijsen, Mark; Garcia-Aymerich, Judith] Pompeu Fabra Univ UPF, Barcelona, Spain; [Koreny, Maria; Bosch de Basea, Magda; Foraster, Maria; Carsin, Anne-Elie; Cirach, Marta; Gimeno-Santos, Elena; Nieuwenhuijsen, Mark; Garcia-Aymerich, Judith] CIBER Epidemiol &amp; Salud Publ CIBERESP, Barcelona, Spain; [Arbillaga-Etxarri, Ane] Univ Deusto, Fac Hlth Sci, Physiotherapy Dept, Donostia San Sebastian, Spain; [Foraster, Maria] Univ Ramon LIull URL, Blanquema Sch Hlth Sci, PHAGEX Res Grp, Barcelona, Spain; [Carsin, Anne-Elie] IMIM Hosp Mar Med Res Inst, Barcelona, Spain; [Gimeno-Santos, Elena] Univ Barcelona, Hosp Clin Barcelona, Barcelona, Spain; [Barberan-Garcia, Anael; Rodriguez-Roisin, Robert] Univ Barcelona, Hosp Clin, Inst Invest Biorned August Pi I Sunyer IDIBAPS, GIBER Enfermedades Respiratorias CIBERES, Barcelona, Spain; [Vall-Casas, Pere] Univ Int Catalunya UIC, Barcelona, Spain</t>
        </is>
      </c>
      <c r="Y349" t="inlineStr">
        <is>
          <t>Pompeu Fabra University; CIBER - Centro de Investigacion Biomedica en Red; CIBERESP; University of Deusto; Hospital del Mar Research Institute; University of Barcelona; Hospital Clinic de Barcelona; CIBER - Centro de Investigacion Biomedica en Red; CIBERES; University of Barcelona; Hospital Clinic de Barcelona; Universitat Internacional de Catalunya (UIC)</t>
        </is>
      </c>
      <c r="Z349" t="inlineStr">
        <is>
          <t>Garcia-Aymerich, J (corresponding author), Barcelona Inst Global Hlth ISGlobal, C Doctor Aiguader 88, Barcelona 08003, Spain.</t>
        </is>
      </c>
      <c r="AA349" t="inlineStr">
        <is>
          <t>maria.koreny@gmx.com; ane.arbillaga@duesto.es; magda.boschdebasea@isglobal.org; maria.foraster@isglobal.org; anneelie.carsin@isglobal.org; marta.cirach@isglobal.org; elena.gimeno@isglobal.org; anaelbg@gmail.com; mark.nieuwenhuijsen@isglobal.com; perevall@uic.es; RORORO@clinic.cat; judith.garcia@isglobal.org</t>
        </is>
      </c>
      <c r="AB349" t="inlineStr">
        <is>
          <t>J, Garcia-Aymerich/G-6867-2014; Nieuwenhuijsen, Mark/C-3914-2017</t>
        </is>
      </c>
      <c r="AC349" t="inlineStr">
        <is>
          <t>J, Garcia-Aymerich/0000-0002-7097-4586; Arbillaga-Etxarri, Ane/0000-0003-3565-0751; Foraster, Maria/0000-0003-4450-4123; Vall-Casas, Pere/0000-0001-7566-5419; Carsin, Anne-Elie/0000-0003-3981-977X; Nieuwenhuijsen, Mark/0000-0001-9461-7981; Bosch de Basea Gomez, Magda/0000-0002-3105-0882; Barberan-Garcia, Anael/0000-0002-0378-4467; Gimeno-Santos, Elena/0000-0001-5149-2015</t>
        </is>
      </c>
      <c r="AD349" t="inlineStr">
        <is>
          <t>Fondo de Investigacion Sanitaria, Instituto de Salud Carlos III (ISCIII) [PI11/01283, PI14/0419]; integrated into Plan Estatal I +D +I 2013-2016; ISCIII-Subdireccion General de Evaluacion y Fomento de la Investigacion and Fondo Europeo de Desarrollo Regional (FEDER); Sociedad Espanola de Neumologia y Cirugia Toracica (SEPAR) [147/ 2011, 201/2011]; Societat Catalana de Pneumologia (Ajuts al millor projecte en fisioterapia respiratoria 2013); Spanish Ministry of Science and Innovation through the Centro de Excelencia Severo Ochoa 2019-2023 Program [CEX 2018- 000806-S]; Generalitat de Catalunya through the CERCA Program; AXA Research Fund</t>
        </is>
      </c>
      <c r="AE349" t="inlineStr">
        <is>
          <t>Fondo de Investigacion Sanitaria, Instituto de Salud Carlos III (ISCIII)(Instituto de Salud Carlos III); integrated into Plan Estatal I +D +I 2013-2016; ISCIII-Subdireccion General de Evaluacion y Fomento de la Investigacion and Fondo Europeo de Desarrollo Regional (FEDER); Sociedad Espanola de Neumologia y Cirugia Toracica (SEPAR); Societat Catalana de Pneumologia (Ajuts al millor projecte en fisioterapia respiratoria 2013); Spanish Ministry of Science and Innovation through the Centro de Excelencia Severo Ochoa 2019-2023 Program(Spanish Government); Generalitat de Catalunya through the CERCA Program; AXA Research Fund(AXA Research Fund)</t>
        </is>
      </c>
      <c r="AF349" t="inlineStr">
        <is>
          <t>The Urban Training study was funded by grants from Fondo de Investigacion Sanitaria, Instituto de Salud Carlos III (ISCIII, PI11/01283 and PI14/0419), integrated into Plan Estatal I +D +I 2013-2016 and co-funded by ISCIII-Subdireccion General de Evaluacion y Fomento de la Investigacion and Fondo Europeo de Desarrollo Regional (FEDER); Sociedad Espanola de Neumologia y Cirugia Toracica (SEPAR, 147/ 2011 and 201/2011), Societat Catalana de Pneumologia (Ajuts al millor projecte en fisioterapia respiratoria 2013). We acknowledge support from the Spanish Ministry of Science and Innovation through the Centro de Excelencia Severo Ochoa 2019-2023 Program (CEX 2018- 000806-S), and support from the Generalitat de Catalunya through the CERCA Program. MF is beneficiary of an AXA Research Fund grant.</t>
        </is>
      </c>
      <c r="AH349" t="n">
        <v>79</v>
      </c>
      <c r="AI349" t="n">
        <v>2</v>
      </c>
      <c r="AJ349" t="n">
        <v>2</v>
      </c>
      <c r="AK349" t="n">
        <v>4</v>
      </c>
      <c r="AL349" t="n">
        <v>12</v>
      </c>
      <c r="AM349" t="inlineStr">
        <is>
          <t>ACADEMIC PRESS INC ELSEVIER SCIENCE</t>
        </is>
      </c>
      <c r="AN349" t="inlineStr">
        <is>
          <t>SAN DIEGO</t>
        </is>
      </c>
      <c r="AO349" t="inlineStr">
        <is>
          <t>525 B ST, STE 1900, SAN DIEGO, CA 92101-4495 USA</t>
        </is>
      </c>
      <c r="AP349" t="inlineStr">
        <is>
          <t>0013-9351</t>
        </is>
      </c>
      <c r="AQ349" t="inlineStr">
        <is>
          <t>1096-0953</t>
        </is>
      </c>
      <c r="AS349" t="inlineStr">
        <is>
          <t>ENVIRON RES</t>
        </is>
      </c>
      <c r="AT349" t="inlineStr">
        <is>
          <t>Environ. Res.</t>
        </is>
      </c>
      <c r="AU349" t="inlineStr">
        <is>
          <t>NOV</t>
        </is>
      </c>
      <c r="AV349" t="n">
        <v>2022</v>
      </c>
      <c r="AW349" t="n">
        <v>214</v>
      </c>
      <c r="AY349" t="n">
        <v>2</v>
      </c>
      <c r="BE349" t="n">
        <v>113956</v>
      </c>
      <c r="BF349" t="inlineStr">
        <is>
          <t>10.1016/j.envres.2022.113956</t>
        </is>
      </c>
      <c r="BG349">
        <f>HYPERLINK("http://dx.doi.org/10.1016/j.envres.2022.113956","http://dx.doi.org/10.1016/j.envres.2022.113956")</f>
        <v/>
      </c>
      <c r="BI349" t="inlineStr">
        <is>
          <t>AUG 2022</t>
        </is>
      </c>
      <c r="BJ349" t="n">
        <v>10</v>
      </c>
      <c r="BK349" t="inlineStr">
        <is>
          <t>Environmental Sciences; Public, Environmental &amp; Occupational Health</t>
        </is>
      </c>
      <c r="BL349" t="inlineStr">
        <is>
          <t>Science Citation Index Expanded (SCI-EXPANDED)</t>
        </is>
      </c>
      <c r="BM349" t="inlineStr">
        <is>
          <t>Environmental Sciences &amp; Ecology; Public, Environmental &amp; Occupational Health</t>
        </is>
      </c>
      <c r="BN349" t="inlineStr">
        <is>
          <t>4W9TO</t>
        </is>
      </c>
      <c r="BO349" t="n">
        <v>35872322</v>
      </c>
      <c r="BP349" t="inlineStr">
        <is>
          <t>hybrid, Green Published</t>
        </is>
      </c>
      <c r="BS349" t="inlineStr">
        <is>
          <t>2023-10-26</t>
        </is>
      </c>
      <c r="BT349" t="inlineStr">
        <is>
          <t>WOS:000860497300010</t>
        </is>
      </c>
      <c r="BU349">
        <f>HYPERLINK("https%3A%2F%2Fwww.webofscience.com%2Fwos%2Fwoscc%2Ffull-record%2FWOS:000860497300010","View Full Record in Web of Science")</f>
        <v/>
      </c>
    </row>
    <row r="350">
      <c r="A350" t="inlineStr">
        <is>
          <t>J</t>
        </is>
      </c>
      <c r="B350" t="inlineStr">
        <is>
          <t>Wood, C; Angus, C; Pretty, J; Sandercock, G; Barton, J</t>
        </is>
      </c>
      <c r="F350" t="inlineStr">
        <is>
          <t>Wood, Carly; Angus, Caroline; Pretty, Jules; Sandercock, Gavin; Barton, Jo</t>
        </is>
      </c>
      <c r="J350" t="inlineStr">
        <is>
          <t>INTERNATIONAL JOURNAL OF ENVIRONMENTAL HEALTH RESEARCH</t>
        </is>
      </c>
      <c r="M350" t="inlineStr">
        <is>
          <t>English</t>
        </is>
      </c>
      <c r="N350" t="inlineStr">
        <is>
          <t>Article</t>
        </is>
      </c>
      <c r="T350" t="inlineStr">
        <is>
          <t>A randomised control trial of physical activity in a perceived environment on self-esteem and mood in UK adolescents</t>
        </is>
      </c>
      <c r="U350" t="inlineStr">
        <is>
          <t>self-esteem; mood; physical activity; natural environment; adolescents</t>
        </is>
      </c>
      <c r="V350" t="inlineStr">
        <is>
          <t>BODY-MASS INDEX; ACADEMIC-ACHIEVEMENT; GENDER-DIFFERENCES; HEALTH-BENEFITS; CHILDREN; EXERCISE; BEHAVIOR; WALKING; STRESS; PEOPLE</t>
        </is>
      </c>
      <c r="W350" t="inlineStr">
        <is>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(F(1)=6.10; P&lt;0.05) and mood (F(6)=5.29; P&lt;0.001) due to exercise, but no effect of viewing different environmental scenes (P&gt;0.05). Short bouts of moderate physical activity can have a positive impact on SE and mood in adolescents. Future research should incorporate field studies to examine the psychological effects of contact with real environments.</t>
        </is>
      </c>
      <c r="X350" t="inlineStr">
        <is>
          <t>[Wood, Carly; Angus, Caroline; Pretty, Jules; Sandercock, Gavin; Barton, Jo] Univ Essex, Sch Biol Sci, Colchester CO4 3SQ, Essex, England</t>
        </is>
      </c>
      <c r="Y350" t="inlineStr">
        <is>
          <t>University of Essex</t>
        </is>
      </c>
      <c r="Z350" t="inlineStr">
        <is>
          <t>Wood, C (corresponding author), Univ Essex, Sch Biol Sci, Wivenhoe Pk, Colchester CO4 3SQ, Essex, England.</t>
        </is>
      </c>
      <c r="AA350" t="inlineStr">
        <is>
          <t>cjwood@essex.ac.uk</t>
        </is>
      </c>
      <c r="AB350" t="inlineStr">
        <is>
          <t>Pretty, Jules/D-4071-2012; Barton, Jo L/E-5865-2011</t>
        </is>
      </c>
      <c r="AC350" t="inlineStr">
        <is>
          <t>Wood, Carly/0000-0003-1723-552X; Pretty, Jules/0000-0002-3897-6581; Sandercock, Gavin/0000-0002-5443-6518; Barton, Jo/0000-0003-3548-9478</t>
        </is>
      </c>
      <c r="AH350" t="n">
        <v>48</v>
      </c>
      <c r="AI350" t="n">
        <v>29</v>
      </c>
      <c r="AJ350" t="n">
        <v>31</v>
      </c>
      <c r="AK350" t="n">
        <v>2</v>
      </c>
      <c r="AL350" t="n">
        <v>65</v>
      </c>
      <c r="AM350" t="inlineStr">
        <is>
          <t>TAYLOR &amp; FRANCIS LTD</t>
        </is>
      </c>
      <c r="AN350" t="inlineStr">
        <is>
          <t>ABINGDON</t>
        </is>
      </c>
      <c r="AO350" t="inlineStr">
        <is>
          <t>2-4 PARK SQUARE, MILTON PARK, ABINGDON OR14 4RN, OXON, ENGLAND</t>
        </is>
      </c>
      <c r="AP350" t="inlineStr">
        <is>
          <t>0960-3123</t>
        </is>
      </c>
      <c r="AQ350" t="inlineStr">
        <is>
          <t>1369-1619</t>
        </is>
      </c>
      <c r="AS350" t="inlineStr">
        <is>
          <t>INT J ENVIRON HEAL R</t>
        </is>
      </c>
      <c r="AT350" t="inlineStr">
        <is>
          <t>Int. J. Environ. Health Res.</t>
        </is>
      </c>
      <c r="AU350" t="inlineStr">
        <is>
          <t>AUG 1</t>
        </is>
      </c>
      <c r="AV350" t="n">
        <v>2013</v>
      </c>
      <c r="AW350" t="n">
        <v>23</v>
      </c>
      <c r="AX350" t="n">
        <v>4</v>
      </c>
      <c r="BC350" t="n">
        <v>311</v>
      </c>
      <c r="BD350" t="n">
        <v>320</v>
      </c>
      <c r="BF350" t="inlineStr">
        <is>
          <t>10.1080/09603123.2012.733935</t>
        </is>
      </c>
      <c r="BG350">
        <f>HYPERLINK("http://dx.doi.org/10.1080/09603123.2012.733935","http://dx.doi.org/10.1080/09603123.2012.733935")</f>
        <v/>
      </c>
      <c r="BJ350" t="n">
        <v>10</v>
      </c>
      <c r="BK350" t="inlineStr">
        <is>
          <t>Environmental Sciences; Public, Environmental &amp; Occupational Health</t>
        </is>
      </c>
      <c r="BL350" t="inlineStr">
        <is>
          <t>Science Citation Index Expanded (SCI-EXPANDED); Social Science Citation Index (SSCI)</t>
        </is>
      </c>
      <c r="BM350" t="inlineStr">
        <is>
          <t>Environmental Sciences &amp; Ecology; Public, Environmental &amp; Occupational Health</t>
        </is>
      </c>
      <c r="BN350" t="inlineStr">
        <is>
          <t>203OY</t>
        </is>
      </c>
      <c r="BO350" t="n">
        <v>23075427</v>
      </c>
      <c r="BP350" t="inlineStr">
        <is>
          <t>Green Accepted</t>
        </is>
      </c>
      <c r="BS350" t="inlineStr">
        <is>
          <t>2023-10-26</t>
        </is>
      </c>
      <c r="BT350" t="inlineStr">
        <is>
          <t>WOS:000323303700004</t>
        </is>
      </c>
      <c r="BU350">
        <f>HYPERLINK("https%3A%2F%2Fwww.webofscience.com%2Fwos%2Fwoscc%2Ffull-record%2FWOS:000323303700004","View Full Record in Web of Science")</f>
        <v/>
      </c>
    </row>
    <row r="351">
      <c r="A351" t="inlineStr">
        <is>
          <t>J</t>
        </is>
      </c>
      <c r="B351" t="inlineStr">
        <is>
          <t>Zuurbier, M; van Loenhout, JAF; le Grand, A; Greven, F; Duijm, F; Hoek, G</t>
        </is>
      </c>
      <c r="F351" t="inlineStr">
        <is>
          <t>Zuurbier, Moniek; van Loenhout, Joris Adriaan Frank; le Grand, Amanda; Greven, Frans; Duijm, Frans; Hoek, Gerard</t>
        </is>
      </c>
      <c r="J351" t="inlineStr">
        <is>
          <t>SCIENCE OF THE TOTAL ENVIRONMENT</t>
        </is>
      </c>
      <c r="M351" t="inlineStr">
        <is>
          <t>English</t>
        </is>
      </c>
      <c r="N351" t="inlineStr">
        <is>
          <t>Article</t>
        </is>
      </c>
      <c r="T351" t="inlineStr">
        <is>
          <t>Street temperature and building characteristics as determinants of indoor heat exposure</t>
        </is>
      </c>
      <c r="U351" t="inlineStr">
        <is>
          <t>Heat; Indoor heat; Building characteristics; Climate change</t>
        </is>
      </c>
      <c r="V351" t="inlineStr">
        <is>
          <t>ENERGY EFFICIENCY; MORTALITY; HEALTH; RISK; HUMIDITY; OLDER; WAVE</t>
        </is>
      </c>
      <c r="W351" t="inlineStr">
        <is>
          <t>Higher temperatures are associated with morbidity and mortality. Most epidemiological studies use outdoor temperature data, however, people spend most of their time indoors. Indoor temperatures and determinants of indoor temperatures have rarely been studied on a large scale. We measured living room and bedroom temperature in 113 homes of elderly subjects, as well as outdoor temperatures, in two cities in the Netherlands. Linear regression was used to determine the influence of building characteristics on indoor living room and bedroom temperatures in the warm episode. During the warm episode, indoor temperatures were higher during the night and lower during the day than outdoor temperatures. Indoor temperatures on average exceeded outdoor temperatures. The weekly average indoor temperature in living rooms varied between 23.1 and 30.2 degrees C. Dwellings that warmed up easily, also cooled down more easily. Outdoor and indoor temperatures were moderately correlated (R-2 = 0.36 and 0.34 for living rooms and bedrooms, respectively). Building year before 1930 and rooms being located on the top floor were associated with higher indoor temperatures. Green in the vicinity was associated with lower temperatures in bedrooms. This study shows that indoor temperatures vary widely between dwellings, and are determined by outdoor temperatures and building characteristics. As most people, especially the elderly, spend most of the time indoor, indoor temperature is a more exact predictor of heat exposure than outdoor temperature. The importance of mitigating high indoor temperatures will be more important in the future because of higher temperatures due to climate change. (C) 2020 Elsevier B.V. All rights reserved.</t>
        </is>
      </c>
      <c r="X351" t="inlineStr">
        <is>
          <t>[Zuurbier, Moniek; van Loenhout, Joris Adriaan Frank] Publ Hlth Serv Gelderland Midden, POB 5364, NL-6802 EJ Arnhem, Netherlands; [van Loenhout, Joris Adriaan Frank] Catholic Univ Louvain, Ctr Res Epidemiol Disasters CRED, Inst Hlth &amp; Soc, Brussels, Belgium; [le Grand, Amanda; Greven, Frans; Duijm, Frans] Municipal Hlth Serv Groningen, Groningen, Netherlands; [Hoek, Gerard] Univ Utrecht, Inst Risk Assessment Sci, Div Environm Epidemiol, Utrecht, Netherlands</t>
        </is>
      </c>
      <c r="Y351" t="inlineStr">
        <is>
          <t>Universite Catholique Louvain; Utrecht University</t>
        </is>
      </c>
      <c r="Z351" t="inlineStr">
        <is>
          <t>Zuurbier, M (corresponding author), Publ Hlth Serv Gelderland Midden, POB 5364, NL-6802 EJ Arnhem, Netherlands.</t>
        </is>
      </c>
      <c r="AA351" t="inlineStr">
        <is>
          <t>Moniek.zuurbier@vggm.nl</t>
        </is>
      </c>
      <c r="AD351" t="inlineStr">
        <is>
          <t>ZonMw, the Netherlands organization for health research and development [204010003]</t>
        </is>
      </c>
      <c r="AE351" t="inlineStr">
        <is>
          <t>ZonMw, the Netherlands organization for health research and development(Netherlands Organization for Health Research and DevelopmentNetherlands Government)</t>
        </is>
      </c>
      <c r="AF351" t="inlineStr">
        <is>
          <t>This study was financed by ZonMw, the Netherlands organization for health research and development, project number 204010003.</t>
        </is>
      </c>
      <c r="AH351" t="n">
        <v>47</v>
      </c>
      <c r="AI351" t="n">
        <v>11</v>
      </c>
      <c r="AJ351" t="n">
        <v>11</v>
      </c>
      <c r="AK351" t="n">
        <v>3</v>
      </c>
      <c r="AL351" t="n">
        <v>20</v>
      </c>
      <c r="AM351" t="inlineStr">
        <is>
          <t>ELSEVIER</t>
        </is>
      </c>
      <c r="AN351" t="inlineStr">
        <is>
          <t>AMSTERDAM</t>
        </is>
      </c>
      <c r="AO351" t="inlineStr">
        <is>
          <t>RADARWEG 29, 1043 NX AMSTERDAM, NETHERLANDS</t>
        </is>
      </c>
      <c r="AP351" t="inlineStr">
        <is>
          <t>0048-9697</t>
        </is>
      </c>
      <c r="AQ351" t="inlineStr">
        <is>
          <t>1879-1026</t>
        </is>
      </c>
      <c r="AS351" t="inlineStr">
        <is>
          <t>SCI TOTAL ENVIRON</t>
        </is>
      </c>
      <c r="AT351" t="inlineStr">
        <is>
          <t>Sci. Total Environ.</t>
        </is>
      </c>
      <c r="AU351" t="inlineStr">
        <is>
          <t>APR 20</t>
        </is>
      </c>
      <c r="AV351" t="n">
        <v>2021</v>
      </c>
      <c r="AW351" t="n">
        <v>766</v>
      </c>
      <c r="BE351" t="n">
        <v>144376</v>
      </c>
      <c r="BF351" t="inlineStr">
        <is>
          <t>10.1016/j.scitotenv.2020.144376</t>
        </is>
      </c>
      <c r="BG351">
        <f>HYPERLINK("http://dx.doi.org/10.1016/j.scitotenv.2020.144376","http://dx.doi.org/10.1016/j.scitotenv.2020.144376")</f>
        <v/>
      </c>
      <c r="BI351" t="inlineStr">
        <is>
          <t>JAN 2021</t>
        </is>
      </c>
      <c r="BJ351" t="n">
        <v>9</v>
      </c>
      <c r="BK351" t="inlineStr">
        <is>
          <t>Environmental Sciences</t>
        </is>
      </c>
      <c r="BL351" t="inlineStr">
        <is>
          <t>Science Citation Index Expanded (SCI-EXPANDED)</t>
        </is>
      </c>
      <c r="BM351" t="inlineStr">
        <is>
          <t>Environmental Sciences &amp; Ecology</t>
        </is>
      </c>
      <c r="BN351" t="inlineStr">
        <is>
          <t>QG6EO</t>
        </is>
      </c>
      <c r="BO351" t="n">
        <v>33421789</v>
      </c>
      <c r="BS351" t="inlineStr">
        <is>
          <t>2023-10-26</t>
        </is>
      </c>
      <c r="BT351" t="inlineStr">
        <is>
          <t>WOS:000617676800088</t>
        </is>
      </c>
      <c r="BU351">
        <f>HYPERLINK("https%3A%2F%2Fwww.webofscience.com%2Fwos%2Fwoscc%2Ffull-record%2FWOS:000617676800088","View Full Record in Web of Science")</f>
        <v/>
      </c>
    </row>
    <row r="352">
      <c r="A352" t="inlineStr">
        <is>
          <t>J</t>
        </is>
      </c>
      <c r="B352" t="inlineStr">
        <is>
          <t>Pleson, E; Nieuwendyk, LM; Lee, KK; Chaddah, A; Nykiforuk, CIJ; Schopflocher, D</t>
        </is>
      </c>
      <c r="F352" t="inlineStr">
        <is>
          <t>Pleson, Eryn; Nieuwendyk, Laura M.; Lee, Karen K.; Chaddah, Anuradha; Nykiforuk, Candace I. J.; Schopflocher, Donald</t>
        </is>
      </c>
      <c r="J352" t="inlineStr">
        <is>
          <t>INTERNATIONAL JOURNAL OF ENVIRONMENTAL RESEARCH AND PUBLIC HEALTH</t>
        </is>
      </c>
      <c r="M352" t="inlineStr">
        <is>
          <t>English</t>
        </is>
      </c>
      <c r="N352" t="inlineStr">
        <is>
          <t>Article</t>
        </is>
      </c>
      <c r="T352" t="inlineStr">
        <is>
          <t>Understanding Older Adults' Usage of Community Green Spaces in Taipei, Taiwan</t>
        </is>
      </c>
      <c r="U352" t="inlineStr">
        <is>
          <t>older adults; green spaces; parks; seniors; interviews; System for Observing Play and Recreation in Communities (SOPARC); age-friendly; physical activity</t>
        </is>
      </c>
      <c r="V352" t="inlineStr">
        <is>
          <t>PHYSICAL-ACTIVITY; HEALTH; PARKS; ENVIRONMENT; EXERCISE; BENEFITS; WOMEN</t>
        </is>
      </c>
      <c r="W352" t="inlineStr">
        <is>
          <t>As the world's population ages, there is an increasing need for community environments to support physical activity and social connections for older adults. This exploratory study sought to better understand older adults' usage and perceptions of community green spaces in Taipei, Taiwan, through direct observations of seven green spaces and nineteen structured interviews. Descriptive statistics from observations using the System for Observing Play and Recreation in Communities (SOPARC) confirm that older adults use Taipei's parks extensively. Our analyses of interviews support the following recommendations for age-friendly active living initiatives for older adults: make green spaces accessible to older adults; organize a variety of structured activities that appeal to older adults particularly in the morning; equip green spaces for age-appropriate physical activity; and, promote the health advantages of green spaces to older adults.</t>
        </is>
      </c>
      <c r="X352" t="inlineStr">
        <is>
          <t>[Pleson, Eryn; Nieuwendyk, Laura M.; Lee, Karen K.; Chaddah, Anuradha; Nykiforuk, Candace I. J.; Schopflocher, Donald] Univ Alberta, Sch Publ Hlth, Ctr Hlth Promot Studies, Edmonton Clin Hlth Acad 3 300, Edmonton, AB T6G 1C9, Canada; [Lee, Karen K.] Pratt Inst, New York, NY 10011 USA</t>
        </is>
      </c>
      <c r="Y352" t="inlineStr">
        <is>
          <t>University of Alberta</t>
        </is>
      </c>
      <c r="Z352" t="inlineStr">
        <is>
          <t>Schopflocher, D (corresponding author), Univ Alberta, Sch Publ Hlth, Ctr Hlth Promot Studies, Edmonton Clin Hlth Acad 3 300, Ave 11405-87, Edmonton, AB T6G 1C9, Canada.</t>
        </is>
      </c>
      <c r="AA352" t="inlineStr">
        <is>
          <t>pleson@ualberta.ca; laura.nieuwendyk@ualberta.ca; kkhlee2000@hotmail.com; achaddah@rocketmail.com; candace.nykiforuk@ulaberta.ca; donald.schopflocher@ualberta.ca</t>
        </is>
      </c>
      <c r="AB352" t="inlineStr">
        <is>
          <t>Lee, Karen/GVT-9602-2022</t>
        </is>
      </c>
      <c r="AD352" t="inlineStr">
        <is>
          <t>University of Alberta, School of Public Health; Government of Alberta, Ministry of Health</t>
        </is>
      </c>
      <c r="AE352" t="inlineStr">
        <is>
          <t>University of Alberta, School of Public Health(University of Alberta); Government of Alberta, Ministry of Health</t>
        </is>
      </c>
      <c r="AF352" t="inlineStr">
        <is>
          <t>The authors acknowledge the support of the University of Alberta, School of Public Health, and the Government of Alberta, Ministry of Health in completing this research.</t>
        </is>
      </c>
      <c r="AH352" t="n">
        <v>42</v>
      </c>
      <c r="AI352" t="n">
        <v>53</v>
      </c>
      <c r="AJ352" t="n">
        <v>56</v>
      </c>
      <c r="AK352" t="n">
        <v>14</v>
      </c>
      <c r="AL352" t="n">
        <v>94</v>
      </c>
      <c r="AM352" t="inlineStr">
        <is>
          <t>MDPI</t>
        </is>
      </c>
      <c r="AN352" t="inlineStr">
        <is>
          <t>BASEL</t>
        </is>
      </c>
      <c r="AO352" t="inlineStr">
        <is>
          <t>ST ALBAN-ANLAGE 66, CH-4052 BASEL, SWITZERLAND</t>
        </is>
      </c>
      <c r="AQ352" t="inlineStr">
        <is>
          <t>1660-4601</t>
        </is>
      </c>
      <c r="AS352" t="inlineStr">
        <is>
          <t>INT J ENV RES PUB HE</t>
        </is>
      </c>
      <c r="AT352" t="inlineStr">
        <is>
          <t>Int. J. Environ. Res. Public Health</t>
        </is>
      </c>
      <c r="AU352" t="inlineStr">
        <is>
          <t>FEB</t>
        </is>
      </c>
      <c r="AV352" t="n">
        <v>2014</v>
      </c>
      <c r="AW352" t="n">
        <v>11</v>
      </c>
      <c r="AX352" t="n">
        <v>2</v>
      </c>
      <c r="BC352" t="n">
        <v>1444</v>
      </c>
      <c r="BD352" t="n">
        <v>1464</v>
      </c>
      <c r="BF352" t="inlineStr">
        <is>
          <t>10.3390/ijerph110201444</t>
        </is>
      </c>
      <c r="BG352">
        <f>HYPERLINK("http://dx.doi.org/10.3390/ijerph110201444","http://dx.doi.org/10.3390/ijerph110201444")</f>
        <v/>
      </c>
      <c r="BJ352" t="n">
        <v>21</v>
      </c>
      <c r="BK352" t="inlineStr">
        <is>
          <t>Environmental Sciences; Public, Environmental &amp; Occupational Health</t>
        </is>
      </c>
      <c r="BL352" t="inlineStr">
        <is>
          <t>Science Citation Index Expanded (SCI-EXPANDED); Social Science Citation Index (SSCI)</t>
        </is>
      </c>
      <c r="BM352" t="inlineStr">
        <is>
          <t>Environmental Sciences &amp; Ecology; Public, Environmental &amp; Occupational Health</t>
        </is>
      </c>
      <c r="BN352" t="inlineStr">
        <is>
          <t>AF0WZ</t>
        </is>
      </c>
      <c r="BO352" t="n">
        <v>24473116</v>
      </c>
      <c r="BP352" t="inlineStr">
        <is>
          <t>Green Submitted, Green Published, gold</t>
        </is>
      </c>
      <c r="BS352" t="inlineStr">
        <is>
          <t>2023-10-26</t>
        </is>
      </c>
      <c r="BT352" t="inlineStr">
        <is>
          <t>WOS:000334436600015</t>
        </is>
      </c>
      <c r="BU352">
        <f>HYPERLINK("https%3A%2F%2Fwww.webofscience.com%2Fwos%2Fwoscc%2Ffull-record%2FWOS:000334436600015","View Full Record in Web of Science")</f>
        <v/>
      </c>
    </row>
    <row r="353">
      <c r="A353" t="inlineStr">
        <is>
          <t>J</t>
        </is>
      </c>
      <c r="B353" t="inlineStr">
        <is>
          <t>De Fano, A; Leshem, R; Ben-Soussan, TD</t>
        </is>
      </c>
      <c r="F353" t="inlineStr">
        <is>
          <t>De Fano, Antonio; Leshem, Rotem; Ben-Soussan, Tal Dotan</t>
        </is>
      </c>
      <c r="J353" t="inlineStr">
        <is>
          <t>INTERNATIONAL JOURNAL OF ENVIRONMENTAL RESEARCH AND PUBLIC HEALTH</t>
        </is>
      </c>
      <c r="M353" t="inlineStr">
        <is>
          <t>English</t>
        </is>
      </c>
      <c r="N353" t="inlineStr">
        <is>
          <t>Review</t>
        </is>
      </c>
      <c r="T353" t="inlineStr">
        <is>
          <t>Creating an Internal Environment of Cognitive and Psycho-Emotional Well-Being through an External Movement-Based Environment: An Overview of Quadrato Motor Training</t>
        </is>
      </c>
      <c r="U353" t="inlineStr">
        <is>
          <t>physical activity; Mindful Movement; cognition; emotion; built environment; social environment</t>
        </is>
      </c>
      <c r="V353" t="inlineStr">
        <is>
          <t>WHITE-MATTER CHANGES; CONTINGENT NEGATIVE-VARIATION; PHYSICAL-ACTIVITY; UNCINATE FASCICULUS; NEUROTROPHIC FACTOR; EEG COHERENCE; DEVELOPMENTAL DYSLEXIA; LONGITUDINAL CHANGES; NEURONAL PLASTICITY; EXECUTIVE FUNCTIONS</t>
        </is>
      </c>
      <c r="W353" t="inlineStr">
        <is>
          <t>In this overview, we discuss the internal and external environmental factors associated with cognitive and psycho-emotional well-being in the context of physical activity and Mindful Movement. Our key argument is that improved cognitive and emotional functions associated with mental well-being can be achieved by an external, Mindful Movement-based environment training called Quadrato Motor Training (QMT). QMT is a structured sensorimotor training program aimed at improving coordination, attention, and emotional well-being through behavioral, electrophysiological, neuroanatomical, and molecular changes. In accordance with this argument, we first describe the general neurobiological mechanisms underpinning emotional states and emotion regulation. Next, we review the relationships between QMT, positive emotional state, and increased emotion regulation, and discuss the neurobiological mechanisms underlying these relationships. We consider the relationships between motion, emotion, and cognition, and highlight the need for integrated training paradigms involving these three trajectories. Such training paradigms provide cognitively engaging exercises to improve emotion regulation, which in turn affects adaptive behaviors. Finally, we address the broader implications of improving cognitive and emotional functioning through Mindful Movement training for environmental research and public health.</t>
        </is>
      </c>
      <c r="X353" t="inlineStr">
        <is>
          <t>[De Fano, Antonio; Ben-Soussan, Tal Dotan] Patrizio Paoletti Fdn, Res Inst Neurosci Educ &amp; Didact, I-06081 Assisi, Italy; [Leshem, Rotem] Bar Ilan Univ, Dept Criminol, IL-5290002 Ramat Gan, Israel</t>
        </is>
      </c>
      <c r="Y353" t="inlineStr">
        <is>
          <t>Bar Ilan University</t>
        </is>
      </c>
      <c r="Z353" t="inlineStr">
        <is>
          <t>Ben-Soussan, TD (corresponding author), Patrizio Paoletti Fdn, Res Inst Neurosci Educ &amp; Didact, I-06081 Assisi, Italy.</t>
        </is>
      </c>
      <c r="AA353" t="inlineStr">
        <is>
          <t>a.defano@fondazionepatriziopaoletti.org; rotem.leshem@biu.ac.il; research@fondazionepatriziopaoletti.org</t>
        </is>
      </c>
      <c r="AB353" t="inlineStr">
        <is>
          <t>leshem, rotem/AAI-1035-2021; De Fano, Antonio/GVU-1770-2022</t>
        </is>
      </c>
      <c r="AC353" t="inlineStr">
        <is>
          <t>De Fano, Antonio/0000-0002-8553-1892; leshem, rotem/0000-0002-3685-7028; Ben-Soussan, Tal Dotan/0000-0002-9028-9658</t>
        </is>
      </c>
      <c r="AH353" t="n">
        <v>159</v>
      </c>
      <c r="AI353" t="n">
        <v>12</v>
      </c>
      <c r="AJ353" t="n">
        <v>12</v>
      </c>
      <c r="AK353" t="n">
        <v>0</v>
      </c>
      <c r="AL353" t="n">
        <v>8</v>
      </c>
      <c r="AM353" t="inlineStr">
        <is>
          <t>MDPI</t>
        </is>
      </c>
      <c r="AN353" t="inlineStr">
        <is>
          <t>BASEL</t>
        </is>
      </c>
      <c r="AO353" t="inlineStr">
        <is>
          <t>ST ALBAN-ANLAGE 66, CH-4052 BASEL, SWITZERLAND</t>
        </is>
      </c>
      <c r="AQ353" t="inlineStr">
        <is>
          <t>1660-4601</t>
        </is>
      </c>
      <c r="AS353" t="inlineStr">
        <is>
          <t>INT J ENV RES PUB HE</t>
        </is>
      </c>
      <c r="AT353" t="inlineStr">
        <is>
          <t>Int. J. Environ. Res. Public Health</t>
        </is>
      </c>
      <c r="AU353" t="inlineStr">
        <is>
          <t>JUN 2</t>
        </is>
      </c>
      <c r="AV353" t="n">
        <v>2019</v>
      </c>
      <c r="AW353" t="n">
        <v>16</v>
      </c>
      <c r="AX353" t="n">
        <v>12</v>
      </c>
      <c r="BE353" t="n">
        <v>2160</v>
      </c>
      <c r="BF353" t="inlineStr">
        <is>
          <t>10.3390/ijerph16122160</t>
        </is>
      </c>
      <c r="BG353">
        <f>HYPERLINK("http://dx.doi.org/10.3390/ijerph16122160","http://dx.doi.org/10.3390/ijerph16122160")</f>
        <v/>
      </c>
      <c r="BJ353" t="n">
        <v>20</v>
      </c>
      <c r="BK353" t="inlineStr">
        <is>
          <t>Environmental Sciences; Public, Environmental &amp; Occupational Health</t>
        </is>
      </c>
      <c r="BL353" t="inlineStr">
        <is>
          <t>Science Citation Index Expanded (SCI-EXPANDED); Social Science Citation Index (SSCI)</t>
        </is>
      </c>
      <c r="BM353" t="inlineStr">
        <is>
          <t>Environmental Sciences &amp; Ecology; Public, Environmental &amp; Occupational Health</t>
        </is>
      </c>
      <c r="BN353" t="inlineStr">
        <is>
          <t>IG4CA</t>
        </is>
      </c>
      <c r="BO353" t="n">
        <v>31216778</v>
      </c>
      <c r="BP353" t="inlineStr">
        <is>
          <t>Green Published, gold, Green Submitted</t>
        </is>
      </c>
      <c r="BS353" t="inlineStr">
        <is>
          <t>2023-10-26</t>
        </is>
      </c>
      <c r="BT353" t="inlineStr">
        <is>
          <t>WOS:000473750500094</t>
        </is>
      </c>
      <c r="BU353">
        <f>HYPERLINK("https%3A%2F%2Fwww.webofscience.com%2Fwos%2Fwoscc%2Ffull-record%2FWOS:000473750500094","View Full Record in Web of Science")</f>
        <v/>
      </c>
    </row>
    <row r="354">
      <c r="A354" t="inlineStr">
        <is>
          <t>J</t>
        </is>
      </c>
      <c r="B354" t="inlineStr">
        <is>
          <t>Conceiçao, E; Gomes, J; Awbi, H</t>
        </is>
      </c>
      <c r="F354" t="inlineStr">
        <is>
          <t>Conceicao, Eusebio; Gomes, Joao; Awbi, Hazim</t>
        </is>
      </c>
      <c r="J354" t="inlineStr">
        <is>
          <t>ATMOSPHERE</t>
        </is>
      </c>
      <c r="M354" t="inlineStr">
        <is>
          <t>English</t>
        </is>
      </c>
      <c r="N354" t="inlineStr">
        <is>
          <t>Article</t>
        </is>
      </c>
      <c r="T354" t="inlineStr">
        <is>
          <t>Influence of the Airflow in a Solar Passive Building on the Indoor Air Quality and Thermal Comfort Levels</t>
        </is>
      </c>
      <c r="U354" t="inlineStr">
        <is>
          <t>building; thermal comfort; indoor air quality; solar radiation; cross ventilation</t>
        </is>
      </c>
      <c r="V354" t="inlineStr">
        <is>
          <t>NATURAL VENTILATION; CROSS-VENTILATION; ENVIRONMENTAL-QUALITY; NUMERICAL-SIMULATION; ENERGY; PERFORMANCE; DESIGN; SYSTEM; STRATEGIES; EFFICIENCY</t>
        </is>
      </c>
      <c r="W354" t="inlineStr">
        <is>
          <t>The influence of the airflow in a solar passive building on the indoor air quality and thermal comfort levels was investigated. The numerical study for a university library was conducted using a software that simulates the building thermal behavior with complex topology, in transient conditions, for evaluating the indoor air quality and occupants' thermal comfort levels for typical summer and winter days. Solar radiation was used as a renewable energy source to increase simultaneously the thermal comfort and air quality levels and reduce building energy consumption. Regarding the solar passive building, consideration was given to all of the building structure envelope, shading devices and interior details, while in the solar active building active ventilation was used. To analyze the airflow that simultaneously provides the best indoor air quality and thermal comfort levels, a new integral methodology based on the minimization of the total number of uncomfortable hours was used. The results show that it was possible to determine an air change rate that ensures a good compromise between thermal comfort and indoor air quality. An optimal air change rate of two and three renewals per hour had been determined, respectively, for winter and summer conditions.</t>
        </is>
      </c>
      <c r="X354" t="inlineStr">
        <is>
          <t>[Conceicao, Eusebio] FCT Univ Algarve, Campus Gambelas, P-8005139 Faro, Portugal; [Conceicao, Eusebio; Gomes, Joao] CINTAL, Campus Gambelas, P-8005139 Faro, Portugal; [Awbi, Hazim] Univ Reading, Sch Built Environm, Reading RG6 6AW, Berks, England</t>
        </is>
      </c>
      <c r="Y354" t="inlineStr">
        <is>
          <t>Universidade do Algarve; University of Reading</t>
        </is>
      </c>
      <c r="Z354" t="inlineStr">
        <is>
          <t>Conceiçao, E (corresponding author), FCT Univ Algarve, Campus Gambelas, P-8005139 Faro, Portugal.;Conceiçao, E (corresponding author), CINTAL, Campus Gambelas, P-8005139 Faro, Portugal.</t>
        </is>
      </c>
      <c r="AA354" t="inlineStr">
        <is>
          <t>econcei@ualg.pt; jgomes@ualg.pt; h.b.awbi@reading.ac.uk</t>
        </is>
      </c>
      <c r="AB354" t="inlineStr">
        <is>
          <t>Conceição, Eusébio Z. E./I-7931-2015</t>
        </is>
      </c>
      <c r="AC354" t="inlineStr">
        <is>
          <t>Conceição, Eusébio Z. E./0000-0001-5963-2107</t>
        </is>
      </c>
      <c r="AD354" t="inlineStr">
        <is>
          <t>Algarve Regional Operational Program (CRESC Algarve 2020), under the PORTUGAL 2020 Partnership Agreement, through the European Regional Development Fund (ERDF) [SAICT-ALG/39586/2018]; Algarve Regional Operational Program (CRESC Algarve 2020), under the PORTUGAL 2020 Partnership Agreement, through the National Science and Technology Foundation (FCT) [SAICT-ALG/39586/2018]; Fundação para a Ciência e a Tecnologia [SAICT-ALG/39586/2018] Funding Source: FCT</t>
        </is>
      </c>
      <c r="AE354" t="inlineStr">
        <is>
          <t>Algarve Regional Operational Program (CRESC Algarve 2020), under the PORTUGAL 2020 Partnership Agreement, through the European Regional Development Fund (ERDF); Algarve Regional Operational Program (CRESC Algarve 2020), under the PORTUGAL 2020 Partnership Agreement, through the National Science and Technology Foundation (FCT); Fundação para a Ciência e a Tecnologia(Fundacao para a Ciencia e a Tecnologia (FCT))</t>
        </is>
      </c>
      <c r="AF354" t="inlineStr">
        <is>
          <t>The authors would like to acknowledge to the project (SAICT-ALG/39586/2018) from Algarve Regional Operational Program (CRESC Algarve 2020), under the PORTUGAL 2020 Partnership Agreement, through the European Regional Development Fund (ERDF) and the National Science and Technology Foundation (FCT).</t>
        </is>
      </c>
      <c r="AH354" t="n">
        <v>67</v>
      </c>
      <c r="AI354" t="n">
        <v>6</v>
      </c>
      <c r="AJ354" t="n">
        <v>6</v>
      </c>
      <c r="AK354" t="n">
        <v>2</v>
      </c>
      <c r="AL354" t="n">
        <v>18</v>
      </c>
      <c r="AM354" t="inlineStr">
        <is>
          <t>MDPI</t>
        </is>
      </c>
      <c r="AN354" t="inlineStr">
        <is>
          <t>BASEL</t>
        </is>
      </c>
      <c r="AO354" t="inlineStr">
        <is>
          <t>ST ALBAN-ANLAGE 66, CH-4052 BASEL, SWITZERLAND</t>
        </is>
      </c>
      <c r="AQ354" t="inlineStr">
        <is>
          <t>2073-4433</t>
        </is>
      </c>
      <c r="AS354" t="inlineStr">
        <is>
          <t>ATMOSPHERE-BASEL</t>
        </is>
      </c>
      <c r="AT354" t="inlineStr">
        <is>
          <t>Atmosphere</t>
        </is>
      </c>
      <c r="AU354" t="inlineStr">
        <is>
          <t>DEC</t>
        </is>
      </c>
      <c r="AV354" t="n">
        <v>2019</v>
      </c>
      <c r="AW354" t="n">
        <v>10</v>
      </c>
      <c r="AX354" t="n">
        <v>12</v>
      </c>
      <c r="BE354" t="n">
        <v>766</v>
      </c>
      <c r="BF354" t="inlineStr">
        <is>
          <t>10.3390/atmos10120766</t>
        </is>
      </c>
      <c r="BG354">
        <f>HYPERLINK("http://dx.doi.org/10.3390/atmos10120766","http://dx.doi.org/10.3390/atmos10120766")</f>
        <v/>
      </c>
      <c r="BJ354" t="n">
        <v>18</v>
      </c>
      <c r="BK354" t="inlineStr">
        <is>
          <t>Environmental Sciences; Meteorology &amp; Atmospheric Sciences</t>
        </is>
      </c>
      <c r="BL354" t="inlineStr">
        <is>
          <t>Science Citation Index Expanded (SCI-EXPANDED)</t>
        </is>
      </c>
      <c r="BM354" t="inlineStr">
        <is>
          <t>Environmental Sciences &amp; Ecology; Meteorology &amp; Atmospheric Sciences</t>
        </is>
      </c>
      <c r="BN354" t="inlineStr">
        <is>
          <t>KC7RA</t>
        </is>
      </c>
      <c r="BP354" t="inlineStr">
        <is>
          <t>Green Accepted, gold, Green Published</t>
        </is>
      </c>
      <c r="BS354" t="inlineStr">
        <is>
          <t>2023-10-26</t>
        </is>
      </c>
      <c r="BT354" t="inlineStr">
        <is>
          <t>WOS:000507369200040</t>
        </is>
      </c>
      <c r="BU354">
        <f>HYPERLINK("https%3A%2F%2Fwww.webofscience.com%2Fwos%2Fwoscc%2Ffull-record%2FWOS:000507369200040","View Full Record in Web of Science")</f>
        <v/>
      </c>
    </row>
    <row r="355">
      <c r="A355" t="inlineStr">
        <is>
          <t>J</t>
        </is>
      </c>
      <c r="B355" t="inlineStr">
        <is>
          <t>Groot, J; Keller, A; Pedersen, M; Sigsgaard, T; Loft, S; Andersen, AMN</t>
        </is>
      </c>
      <c r="F355" t="inlineStr">
        <is>
          <t>Groot, Jonathan; Keller, Amelie; Pedersen, Marie; Sigsgaard, Torben; Loft, Steffen; Andersen, Anne-Marie Nybo</t>
        </is>
      </c>
      <c r="J355" t="inlineStr">
        <is>
          <t>ENVIRONMENT INTERNATIONAL</t>
        </is>
      </c>
      <c r="M355" t="inlineStr">
        <is>
          <t>English</t>
        </is>
      </c>
      <c r="N355" t="inlineStr">
        <is>
          <t>Article</t>
        </is>
      </c>
      <c r="T355" t="inlineStr">
        <is>
          <t>Indoor home environments of Danish children and the socioeconomic position and health of their parents: A descriptive study</t>
        </is>
      </c>
      <c r="U355" t="inlineStr">
        <is>
          <t>Indoor air pollution; Danish national birth cohort; Home; Built environment; Environmental epidemiology; Socioeconomic position</t>
        </is>
      </c>
      <c r="V355" t="inlineStr">
        <is>
          <t>AIR-POLLUTION; PARTICULATE MATTER; RESPIRATORY HEALTH; GLOBAL BURDEN; EXPOSURE; ASTHMA; DETERMINANTS; ASSOCIATION; DAMPNESS; DISEASE</t>
        </is>
      </c>
      <c r="W355" t="inlineStr">
        <is>
          <t>Background: Housing and indoor home environments are associated with the risk of infections and asthma in children. To better understand the determinants and characteristics of these environments, we aimed to describe the associations between parental health and socioeconomic position and housing and indoor home environments of children in Denmark, and the clustering of the factors within these environments. Methods: Offspring in the Danish National Birth Cohort (DNBC) whose parents responded to the 11-year followup were eligible for inclusion. We included complete cases only. Data on the indoor and housing environments (i. e. variables on housing, sources of gaseous and particle pollution, mould and moisture, and pets) were collected through an online questionnaire responded to by a parent. Data on socioeconomic position were obtained through linkage with registry data on maternal education at offspring birth and household equivalized income at offspring birth. Data on parental health were obtained by linking self-reported data from the 11-year follow-up for mother and father with administrative registry data for the mother. We present descriptive statistics and exploratory factor analyses. Results: A total of 42 723 offspring were included for analyses. The distributions of nearly all indoor and housing environments differed according to educational and income strata, with patterns similar for both education and income. Generally, higher parental educational and income strata had more favorable indoor and housing environments (less secondhand smoking, gas stove use, mould and condensation and higher house ownership, detached house dwellings and newer building age). However, candle use was approximately similar between strata, fireplace use among lower educational and income strata tended towards the extremes (none or daily), and water damage was more common among higher educational and income strata. Parental health was strongly associated with housing and indoor home environment factors - especially parental affective disorders was strongly associated with mould. Four factors were extracted from the exploratory factor analyses, relating primarily in order of extraction to: housing ownership, mould and moisture, candle use and household density. Conclusion: Parental health and socioeconomic position are strongly related to housing and indoor home environments. Additionally, several factors in these environments correlate strongly and cluster together. Observational studies on associations and causal effects of factors in the indoor and housing environments of children on their morbidity, must consider both of these conclusions to arrive at valid estimates and effects.</t>
        </is>
      </c>
      <c r="X355" t="inlineStr">
        <is>
          <t>[Groot, Jonathan; Keller, Amelie; Pedersen, Marie; Andersen, Anne-Marie Nybo] Univ Copenhagen, Dept Publ Hlth, Sect Epidemiol, Copenhagen, Denmark; [Sigsgaard, Torben] Univ Aarhus, Dept Publ Hlth, Environm Work &amp; Hlth, Aarhus, Denmark; [Loft, Steffen] Univ Copenhagen, Dept Publ Hlth, Sect Environm Hlth, Copenhagen, Denmark</t>
        </is>
      </c>
      <c r="Y355" t="inlineStr">
        <is>
          <t>University of Copenhagen; Aarhus University; University of Copenhagen</t>
        </is>
      </c>
      <c r="Z355" t="inlineStr">
        <is>
          <t>Groot, J (corresponding author), Univ Copenhagen, Fac Hlth &amp; Med Sci, Sect Epidemiol, Oster Farimagsgade 5,Bd 24,POB 2099, DK-1014 Copenhagen K, Denmark.</t>
        </is>
      </c>
      <c r="AA355" t="inlineStr">
        <is>
          <t>jgro@sund.ku.dk</t>
        </is>
      </c>
      <c r="AB355" t="inlineStr">
        <is>
          <t>Nybo Andersen, Anne-Marie/E-4993-2013</t>
        </is>
      </c>
      <c r="AC355" t="inlineStr">
        <is>
          <t>Nybo Andersen, Anne-Marie/0000-0002-4296-8488; Pedersen, Marie/0000-0002-9930-0446; Loft, Steffen/0000-0001-9552-8518; Keller, Amelie/0000-0003-1404-6715; Sigsgaard, Torben/0000-0002-2043-7571; Groot, Jonathan/0000-0002-8610-0963</t>
        </is>
      </c>
      <c r="AD355" t="inlineStr">
        <is>
          <t>RealDania Foundation [PRJ-2019-00020]; Health Effects Institute (HEI) - United States Environmental Protection Agency (EPA) [CR-83590201]</t>
        </is>
      </c>
      <c r="AE355" t="inlineStr">
        <is>
          <t>RealDania Foundation; Health Effects Institute (HEI) - United States Environmental Protection Agency (EPA)(United States Environmental Protection Agency)</t>
        </is>
      </c>
      <c r="AF355" t="inlineStr">
        <is>
          <t>This study was made possible by a grant from the RealDania Foundation (PRJ-2019-00020 `Indoor environment and child health'). The funders of the study had no role in the design, analyses, or interpretation of the study, nor were they involved in the decision to publish. MP was partly funded by the Health Effects Institute (HEI), an organization jointly funded by the United States Environmental Protection Agency (EPA) (Assistance Award No. CR-83590201) and certain motor vehicle and engine manufacturers. The contents of this article do not necessarily reflect the views of HEI, or its sponsors, nor do they necessarily reflect the views and policies of the EPA or motor vehicle and engine manufacturers.</t>
        </is>
      </c>
      <c r="AH355" t="n">
        <v>42</v>
      </c>
      <c r="AI355" t="n">
        <v>6</v>
      </c>
      <c r="AJ355" t="n">
        <v>6</v>
      </c>
      <c r="AK355" t="n">
        <v>1</v>
      </c>
      <c r="AL355" t="n">
        <v>19</v>
      </c>
      <c r="AM355" t="inlineStr">
        <is>
          <t>PERGAMON-ELSEVIER SCIENCE LTD</t>
        </is>
      </c>
      <c r="AN355" t="inlineStr">
        <is>
          <t>OXFORD</t>
        </is>
      </c>
      <c r="AO355" t="inlineStr">
        <is>
          <t>THE BOULEVARD, LANGFORD LANE, KIDLINGTON, OXFORD OX5 1GB, ENGLAND</t>
        </is>
      </c>
      <c r="AP355" t="inlineStr">
        <is>
          <t>0160-4120</t>
        </is>
      </c>
      <c r="AQ355" t="inlineStr">
        <is>
          <t>1873-6750</t>
        </is>
      </c>
      <c r="AS355" t="inlineStr">
        <is>
          <t>ENVIRON INT</t>
        </is>
      </c>
      <c r="AT355" t="inlineStr">
        <is>
          <t>Environ. Int.</t>
        </is>
      </c>
      <c r="AU355" t="inlineStr">
        <is>
          <t>FEB</t>
        </is>
      </c>
      <c r="AV355" t="n">
        <v>2022</v>
      </c>
      <c r="AW355" t="n">
        <v>160</v>
      </c>
      <c r="BE355" t="n">
        <v>107059</v>
      </c>
      <c r="BF355" t="inlineStr">
        <is>
          <t>10.1016/j.envint.2021.107059</t>
        </is>
      </c>
      <c r="BG355">
        <f>HYPERLINK("http://dx.doi.org/10.1016/j.envint.2021.107059","http://dx.doi.org/10.1016/j.envint.2021.107059")</f>
        <v/>
      </c>
      <c r="BI355" t="inlineStr">
        <is>
          <t>DEC 2021</t>
        </is>
      </c>
      <c r="BJ355" t="n">
        <v>12</v>
      </c>
      <c r="BK355" t="inlineStr">
        <is>
          <t>Environmental Sciences</t>
        </is>
      </c>
      <c r="BL355" t="inlineStr">
        <is>
          <t>Science Citation Index Expanded (SCI-EXPANDED)</t>
        </is>
      </c>
      <c r="BM355" t="inlineStr">
        <is>
          <t>Environmental Sciences &amp; Ecology</t>
        </is>
      </c>
      <c r="BN355" t="inlineStr">
        <is>
          <t>YM3XO</t>
        </is>
      </c>
      <c r="BO355" t="n">
        <v>34959195</v>
      </c>
      <c r="BP355" t="inlineStr">
        <is>
          <t>gold</t>
        </is>
      </c>
      <c r="BS355" t="inlineStr">
        <is>
          <t>2023-10-26</t>
        </is>
      </c>
      <c r="BT355" t="inlineStr">
        <is>
          <t>WOS:000746511100013</t>
        </is>
      </c>
      <c r="BU355">
        <f>HYPERLINK("https%3A%2F%2Fwww.webofscience.com%2Fwos%2Fwoscc%2Ffull-record%2FWOS:000746511100013","View Full Record in Web of Science")</f>
        <v/>
      </c>
    </row>
    <row r="356">
      <c r="A356" t="inlineStr">
        <is>
          <t>J</t>
        </is>
      </c>
      <c r="B356" t="inlineStr">
        <is>
          <t>Coleman, S; Touchie, MF; Robinson, JB; Peters, T</t>
        </is>
      </c>
      <c r="F356" t="inlineStr">
        <is>
          <t>Coleman, Sylvia; Touchie, Marianne F.; Robinson, John B.; Peters, Terri</t>
        </is>
      </c>
      <c r="J356" t="inlineStr">
        <is>
          <t>SUSTAINABILITY</t>
        </is>
      </c>
      <c r="M356" t="inlineStr">
        <is>
          <t>English</t>
        </is>
      </c>
      <c r="N356" t="inlineStr">
        <is>
          <t>Article</t>
        </is>
      </c>
      <c r="T356" t="inlineStr">
        <is>
          <t>Rethinking Performance Gaps: A Regenerative Sustainability Approach to Built Environment Performance Assessment</t>
        </is>
      </c>
      <c r="U356" t="inlineStr">
        <is>
          <t>performance gap; gap analysis; regenerative buildings; post-occupancy evaluation (POE); pre-occupancy evaluation; qualitative assessment; quantitative assessment; occupant-centred approach; continuous monitoring; interactive adaptivity</t>
        </is>
      </c>
      <c r="V356" t="inlineStr">
        <is>
          <t>POSTOCCUPANCY EVALUATION; ENERGY PERFORMANCE; GREEN BUILDINGS; SATISFACTION; EXPECTATIONS; CONSUMPTION; OCCUPANTS; FEEDBACK; BEHAVIOR; CLIMATE</t>
        </is>
      </c>
      <c r="W356" t="inlineStr">
        <is>
          <t>Globally, there are significant challenges to meeting built environment performance targets. The gaps found between the predicted performance of new or retrofit buildings and their actual performance impede an understanding of how to achieve these targets. This paper points to the importance of reliable and informative building performance assessments. We argue that if we are to make progress in achieving our climate goals, we need to reframe built environment performance with a shift to net positive goals, while recognising the equal importance of human and environmental outcomes. This paper presents a simple conceptual framework for built environment performance assessment and identifies three performance gaps: (i) Prediction Gap (e.g., modelled and measured energy, water consumption); (ii) Expectations Gap (e.g., occupant expectations in pre- and post-occupancy evaluations); and, (iii) Outcomes Gap (e.g., thermal comfort measurements and survey results). We question which of measured or experienced performance is the true' performance of the built environment. We further identify a Prediction Paradox, indicating that it may not be possible to achieve more accurate predictions of building performance at the early design stage. Instead, we propose that Performance Gaps be seen as creative resources, used to improve the resilience of design strategies through continuous monitoring.</t>
        </is>
      </c>
      <c r="X356" t="inlineStr">
        <is>
          <t>[Coleman, Sylvia] Univ Toronto, John H Daniels Fac Architecture Landscape &amp; Desig, Sustainable Built Environm Performance Assessment, Toronto, ON M5S 2J5, Canada; [Touchie, Marianne F.] Univ Toronto, Civil &amp; Mineral Engn &amp; Mech &amp; Ind Engn, Toronto, ON M5S 1A4, Canada; [Robinson, John B.] Univ Toronto, Munk Sch Global Affairs &amp; Publ Policy, Toronto, ON M5S 3K7, Canada; [Robinson, John B.] Univ Toronto, Sch Environm, Toronto, ON M5S 3K7, Canada; [Peters, Terri] Ryerson Univ Toronto, Dept Architectural Sci, Toronto, ON M5S 1A4, Canada</t>
        </is>
      </c>
      <c r="Y356" t="inlineStr">
        <is>
          <t>University of Toronto; University of Toronto; University of Toronto; University of Toronto; Toronto Metropolitan University</t>
        </is>
      </c>
      <c r="Z356" t="inlineStr">
        <is>
          <t>Coleman, S (corresponding author), Univ Toronto, John H Daniels Fac Architecture Landscape &amp; Desig, Sustainable Built Environm Performance Assessment, Toronto, ON M5S 2J5, Canada.</t>
        </is>
      </c>
      <c r="AA356" t="inlineStr">
        <is>
          <t>sylvia.coleman@utoronto.ca; marianne.touchie@utoronto.ca; johnb.robinson@utoronto.ca; Terri.Peters@Ryerson.ca</t>
        </is>
      </c>
      <c r="AB356" t="inlineStr">
        <is>
          <t>Touchie, Marianne F/HKW-8606-2023</t>
        </is>
      </c>
      <c r="AC356" t="inlineStr">
        <is>
          <t>Touchie, Marianne F/0000-0002-5008-0630; Peters, Terri/0000-0001-9029-3588</t>
        </is>
      </c>
      <c r="AD356" t="inlineStr">
        <is>
          <t>University of Toronto: Faculty of Architecture, Landscape and Design; University of Toronto: Faculty of Arts and Science; University of Toronto: Faculty of Applied Science and Engineering; Dalla Lana School of Public Health</t>
        </is>
      </c>
      <c r="AE356" t="inlineStr">
        <is>
          <t>University of Toronto: Faculty of Architecture, Landscape and Design; University of Toronto: Faculty of Arts and Science; University of Toronto: Faculty of Applied Science and Engineering; Dalla Lana School of Public Health</t>
        </is>
      </c>
      <c r="AF356" t="inlineStr">
        <is>
          <t>We would like to thank the members of the Sustainable Built Environment Performance Assessment group at the University of Toronto for their feedback on drafts, particularly Fiona Miller, Bryan Karney and Frances Silverman. We would like to acknowledge the following University of Toronto Faculties for funding the Sustainable Built Environment Performance Assessment network: Faculty of Architecture, Landscape and Design; Faculty of Arts and Science; Faculty of Applied Science and Engineering; and The Dalla Lana School of Public Health.</t>
        </is>
      </c>
      <c r="AH356" t="n">
        <v>86</v>
      </c>
      <c r="AI356" t="n">
        <v>22</v>
      </c>
      <c r="AJ356" t="n">
        <v>22</v>
      </c>
      <c r="AK356" t="n">
        <v>10</v>
      </c>
      <c r="AL356" t="n">
        <v>40</v>
      </c>
      <c r="AM356" t="inlineStr">
        <is>
          <t>MDPI</t>
        </is>
      </c>
      <c r="AN356" t="inlineStr">
        <is>
          <t>BASEL</t>
        </is>
      </c>
      <c r="AO356" t="inlineStr">
        <is>
          <t>ST ALBAN-ANLAGE 66, CH-4052 BASEL, SWITZERLAND</t>
        </is>
      </c>
      <c r="AQ356" t="inlineStr">
        <is>
          <t>2071-1050</t>
        </is>
      </c>
      <c r="AS356" t="inlineStr">
        <is>
          <t>SUSTAINABILITY-BASEL</t>
        </is>
      </c>
      <c r="AT356" t="inlineStr">
        <is>
          <t>Sustainability</t>
        </is>
      </c>
      <c r="AU356" t="inlineStr">
        <is>
          <t>DEC</t>
        </is>
      </c>
      <c r="AV356" t="n">
        <v>2018</v>
      </c>
      <c r="AW356" t="n">
        <v>10</v>
      </c>
      <c r="AX356" t="n">
        <v>12</v>
      </c>
      <c r="BE356" t="n">
        <v>4829</v>
      </c>
      <c r="BF356" t="inlineStr">
        <is>
          <t>10.3390/su10124829</t>
        </is>
      </c>
      <c r="BG356">
        <f>HYPERLINK("http://dx.doi.org/10.3390/su10124829","http://dx.doi.org/10.3390/su10124829")</f>
        <v/>
      </c>
      <c r="BJ356" t="n">
        <v>22</v>
      </c>
      <c r="BK356" t="inlineStr">
        <is>
          <t>Green &amp; Sustainable Science &amp; Technology; Environmental Sciences; Environmental Studies</t>
        </is>
      </c>
      <c r="BL356" t="inlineStr">
        <is>
          <t>Science Citation Index Expanded (SCI-EXPANDED); Social Science Citation Index (SSCI)</t>
        </is>
      </c>
      <c r="BM356" t="inlineStr">
        <is>
          <t>Science &amp; Technology - Other Topics; Environmental Sciences &amp; Ecology</t>
        </is>
      </c>
      <c r="BN356" t="inlineStr">
        <is>
          <t>HG9OL</t>
        </is>
      </c>
      <c r="BP356" t="inlineStr">
        <is>
          <t>gold, Green Published</t>
        </is>
      </c>
      <c r="BS356" t="inlineStr">
        <is>
          <t>2023-10-26</t>
        </is>
      </c>
      <c r="BT356" t="inlineStr">
        <is>
          <t>WOS:000455338100495</t>
        </is>
      </c>
      <c r="BU356">
        <f>HYPERLINK("https%3A%2F%2Fwww.webofscience.com%2Fwos%2Fwoscc%2Ffull-record%2FWOS:000455338100495","View Full Record in Web of Science")</f>
        <v/>
      </c>
    </row>
    <row r="357">
      <c r="A357" t="inlineStr">
        <is>
          <t>J</t>
        </is>
      </c>
      <c r="B357" t="inlineStr">
        <is>
          <t>Revel, GM; Arnesano, M; Pietroni, F; Frick, J; Reichert, M; Schmitt, K; Huber, J; Ebermann, M; Battista, U; Alessi, F</t>
        </is>
      </c>
      <c r="F357" t="inlineStr">
        <is>
          <t>Revel, Gian Marco; Arnesano, Marco; Pietroni, Filippo; Frick, Juergen; Reichert, Manuela; Schmitt, Katrin; Huber, Jochen; Ebermann, Martin; Battista, Umberto; Alessi, Franck</t>
        </is>
      </c>
      <c r="J357" t="inlineStr">
        <is>
          <t>ENVIRONMENTAL ENGINEERING AND MANAGEMENT JOURNAL</t>
        </is>
      </c>
      <c r="M357" t="inlineStr">
        <is>
          <t>English</t>
        </is>
      </c>
      <c r="N357" t="inlineStr">
        <is>
          <t>Article; Proceedings Paper</t>
        </is>
      </c>
      <c r="O357" t="inlineStr">
        <is>
          <t>18th International Conference on Trade Fair of Material &amp; Energy Recovery and Sustainable Development</t>
        </is>
      </c>
      <c r="P357" t="inlineStr">
        <is>
          <t>NOV 05-08, 2014</t>
        </is>
      </c>
      <c r="Q357" t="inlineStr">
        <is>
          <t>Ecomondo, Rimini, ITALY</t>
        </is>
      </c>
      <c r="S357" t="inlineStr">
        <is>
          <t>Ecomondo</t>
        </is>
      </c>
      <c r="T357" t="inlineStr">
        <is>
          <t>COST-EFFECTIVE TECHNOLOGIES TO CONTROL INDOOR AIR QUALITY AND COMFORT IN ENERGY EFFICIENT BUILDING RETROFITTING</t>
        </is>
      </c>
      <c r="U357" t="inlineStr">
        <is>
          <t>energy efficiency; gas sensor; HVAC control; indoor air quality; thermal comfort</t>
        </is>
      </c>
      <c r="V357" t="inlineStr">
        <is>
          <t>ENVIRONMENTS; RISK</t>
        </is>
      </c>
      <c r="W357" t="inlineStr">
        <is>
          <t>This paper presents a toolset for the efficient control of the indoor air quality and thermal comfort in retrofitted buildings. The refurbishment of existing buildings, compliant to actual regulations, often leads to airtightness and the consequent poor conditions for the occupants that could cause low productivity and even sickness. For this reason, the CETIEB (Cost Effective Tools for Better Indoor Environment in Retrofitted Energy Efficient Buildings) project developed innovative low-cost solutions to monitor and control the indoor air quality and thermal comfort. Among the technologies developed, this paper presents ad-hoc sensors for the monitoring of Total Volatile Organic Components (TVOC), CO2 and thermal comfort together with a control logic that, using measured data, provides the optimal rules to actuate the control devices (ventilation, heating/cooling, windows opening, shutters operation and so on). The application and validation of the integrated solution, monitoring plus control logic, was performed in a laboratory building to compare the performance of the proposed solution with the traditional system employed in buildings. The results turned out to show sensors performances comparable with commercial solutions but with a significant reduction of costs. Moreover, the application of the integrated solution showed an improvement of the indoor air quality and comfort with a 15% of energy saving, compared to the traditional thermostatic control.</t>
        </is>
      </c>
      <c r="X357" t="inlineStr">
        <is>
          <t>[Revel, Gian Marco; Arnesano, Marco; Pietroni, Filippo] Univ Politecn Marche, Dept Ind Engn &amp; Math Sci, Ancona, Italy; [Frick, Juergen; Reichert, Manuela] Univ Stuttgart, Mat Testing Inst Stuttgart, Stuttgart, Germany; [Schmitt, Katrin; Huber, Jochen] Fraunhofer Inst Phys Measurement Tech, Freiburg, Germany; [Ebermann, Martin] InfraTec GmbH, Dresden, Germany; [Battista, Umberto] Stam Srl, Genoa, Italy; [Alessi, Franck] CEA, INES, Lab Energet Batiment, Le Bourget Du Lac, France</t>
        </is>
      </c>
      <c r="Y357" t="inlineStr">
        <is>
          <t>Marche Polytechnic University; University of Stuttgart; Fraunhofer Gesellschaft; CEA</t>
        </is>
      </c>
      <c r="Z357" t="inlineStr">
        <is>
          <t>Arnesano, M (corresponding author), Univ Politecn Marche, Dept Ind Engn &amp; Math Sci, Ancona, Italy.</t>
        </is>
      </c>
      <c r="AA357" t="inlineStr">
        <is>
          <t>m.arnesano@univpm.it</t>
        </is>
      </c>
      <c r="AB357" t="inlineStr">
        <is>
          <t>Revel, Gian Marco/GZN-2320-2022; Arnesano, Marco/O-7735-2018; Schmitt, Katrin/S-2438-2019</t>
        </is>
      </c>
      <c r="AC357" t="inlineStr">
        <is>
          <t>Arnesano, Marco/0000-0003-1700-3075; Battista, Umberto/0000-0001-5479-684X; Revel, Gian Marco/0000-0002-3372-7543; Schmitt, Katrin/0000-0002-4646-8990</t>
        </is>
      </c>
      <c r="AD357" t="inlineStr">
        <is>
          <t>European Commission [285623]</t>
        </is>
      </c>
      <c r="AE357" t="inlineStr">
        <is>
          <t>European Commission(European Union (EU)European Commission Joint Research Centre)</t>
        </is>
      </c>
      <c r="AF357" t="inlineStr">
        <is>
          <t>This work is co-founded by the European Commission within the FP7 European Project CETIEB (Cost - Effective Tools for Better Indoor Environment in Retrofitted Energy Efficient Buildings), Grant agreement no: 285623.</t>
        </is>
      </c>
      <c r="AH357" t="n">
        <v>18</v>
      </c>
      <c r="AI357" t="n">
        <v>18</v>
      </c>
      <c r="AJ357" t="n">
        <v>18</v>
      </c>
      <c r="AK357" t="n">
        <v>0</v>
      </c>
      <c r="AL357" t="n">
        <v>19</v>
      </c>
      <c r="AM357" t="inlineStr">
        <is>
          <t>GH ASACHI TECHNICAL UNIV IASI</t>
        </is>
      </c>
      <c r="AN357" t="inlineStr">
        <is>
          <t>IASI</t>
        </is>
      </c>
      <c r="AO357" t="inlineStr">
        <is>
          <t>71 MANGERON BLVD, IASI, 700050, ROMANIA</t>
        </is>
      </c>
      <c r="AP357" t="inlineStr">
        <is>
          <t>1582-9596</t>
        </is>
      </c>
      <c r="AQ357" t="inlineStr">
        <is>
          <t>1843-3707</t>
        </is>
      </c>
      <c r="AS357" t="inlineStr">
        <is>
          <t>ENVIRON ENG MANAG J</t>
        </is>
      </c>
      <c r="AT357" t="inlineStr">
        <is>
          <t>Environ. Eng. Manag. J.</t>
        </is>
      </c>
      <c r="AU357" t="inlineStr">
        <is>
          <t>JUL</t>
        </is>
      </c>
      <c r="AV357" t="n">
        <v>2015</v>
      </c>
      <c r="AW357" t="n">
        <v>14</v>
      </c>
      <c r="AX357" t="n">
        <v>7</v>
      </c>
      <c r="BC357" t="n">
        <v>1487</v>
      </c>
      <c r="BD357" t="n">
        <v>1494</v>
      </c>
      <c r="BJ357" t="n">
        <v>8</v>
      </c>
      <c r="BK357" t="inlineStr">
        <is>
          <t>Environmental Sciences</t>
        </is>
      </c>
      <c r="BL357" t="inlineStr">
        <is>
          <t>Science Citation Index Expanded (SCI-EXPANDED); Conference Proceedings Citation Index - Science (CPCI-S)</t>
        </is>
      </c>
      <c r="BM357" t="inlineStr">
        <is>
          <t>Environmental Sciences &amp; Ecology</t>
        </is>
      </c>
      <c r="BN357" t="inlineStr">
        <is>
          <t>CQ3KH</t>
        </is>
      </c>
      <c r="BS357" t="inlineStr">
        <is>
          <t>2023-10-26</t>
        </is>
      </c>
      <c r="BT357" t="inlineStr">
        <is>
          <t>WOS:000360500300003</t>
        </is>
      </c>
      <c r="BU357">
        <f>HYPERLINK("https%3A%2F%2Fwww.webofscience.com%2Fwos%2Fwoscc%2Ffull-record%2FWOS:000360500300003","View Full Record in Web of Science")</f>
        <v/>
      </c>
    </row>
    <row r="358">
      <c r="A358" t="inlineStr">
        <is>
          <t>J</t>
        </is>
      </c>
      <c r="B358" t="inlineStr">
        <is>
          <t>Kepper, M; Broyles, S; Scribner, R; Tseng, TS; Zabaleta, J; Griffiths, L; Sothern, M</t>
        </is>
      </c>
      <c r="F358" t="inlineStr">
        <is>
          <t>Kepper, Maura; Broyles, Stephanie; Scribner, Richard; Tseng, Tung-Sung; Zabaleta, Jovanny; Griffiths, Lauren; Sothern, Melinda</t>
        </is>
      </c>
      <c r="J358" t="inlineStr">
        <is>
          <t>INTERNATIONAL JOURNAL OF ENVIRONMENTAL RESEARCH AND PUBLIC HEALTH</t>
        </is>
      </c>
      <c r="M358" t="inlineStr">
        <is>
          <t>English</t>
        </is>
      </c>
      <c r="N358" t="inlineStr">
        <is>
          <t>Article</t>
        </is>
      </c>
      <c r="T358" t="inlineStr">
        <is>
          <t>Parental Perceptions of the Social Environment Are Inversely Related to Constraint of Adolescents' Neighborhood Physical Activity</t>
        </is>
      </c>
      <c r="U358" t="inlineStr">
        <is>
          <t>social environment; adolescent outdoor play; parenting behaviors; physical activity</t>
        </is>
      </c>
      <c r="V358" t="inlineStr">
        <is>
          <t>COLLECTIVE EFFICACY; BUILT ENVIRONMENT; CHILDREN; CRIME; ASSOCIATIONS; FEAR; OBESITY; HEALTH; FAMILY; SAFETY</t>
        </is>
      </c>
      <c r="W358" t="inlineStr">
        <is>
          <t>Background: The current study examined relationships between the neighborhood social environment (parental perceived collective efficacy (PCE)), constrained behaviors (e.g., avoidance or defensive behaviors) and adolescent offspring neighborhood physical activity in low-versus high-incivility neighborhoods. Methods: Adolescents (n = 71; 11-18 years (14.2, SD +/- 1.6); male = 37 (52%); non-white = 24 (33.8%); low-income = 20 (29%); overweight/obese = 40 (56%)) and their parents/guardians enrolled in the Molecular and Social Determinants of Obesity in Developing Youth study were included in the current study. Questionnaires measured parents'/guardians' PCE, constrained outdoor play practices and offspring neighborhood physical activity. Systematic social observation performed at the parcel-level using Google Street View assessed neighborhood incivilities. t-tests and chi-square tests determined differences by incivilities. Multilevel regression models examined relationships between PCE and: (1) constrained behaviors; and (2) neighborhood physical activity. The Hayes (2013) macro determined the mediating role of constrained behaviors. Results: Parents who had higher PCE reported lower levels of avoidance (p = 0.04) and defensive (p = 0.05) behaviors. However, demographic variables (i.e., gender, race and annual household income) limited these results. The direct relationship between PCE and parent-reported neighborhood physical activity was statistically significant in high-incivility neighborhoods only. Neither avoidance nor defensive behavior mediated the relationship between PCE and neighborhood physical activity. Conclusions: PCE influences parenting behaviors related to youth physical activity. Community-based programs that seek to facilitate social cohesion and control may be needed to increase adolescents' physical activity.</t>
        </is>
      </c>
      <c r="X358" t="inlineStr">
        <is>
          <t>[Kepper, Maura; Broyles, Stephanie] Pennington Biomed Res Ctr, Contextual Risk Factors Lab, 6400 Perkins Ave, Baton Rouge, LA 70808 USA; [Kepper, Maura; Broyles, Stephanie; Tseng, Tung-Sung; Zabaleta, Jovanny; Griffiths, Lauren; Sothern, Melinda] Louisiana State Univ, Hlth Sci Ctr, Sch Publ Hlth, Behav &amp; Community Hlth Sci Dept, New Orleans, LA 70112 USA; [Scribner, Richard] Louisiana State Univ, Hlth Sci Ctr, Sch Publ Hlth, Dept Epidemiol, New Orleans, LA 70112 USA; [Scribner, Richard; Zabaleta, Jovanny] Louisiana State Univ, Hlth Sci Ctr, Stanley S Scott Canc Ctr, New Orleans, LA 70112 USA; [Zabaleta, Jovanny] Louisiana State Univ, Hlth Sci Ctr, Sch Med, Dept Pediat, New Orleans, LA 70112 USA</t>
        </is>
      </c>
      <c r="Y358" t="inlineStr">
        <is>
          <t>Louisiana State University System; Louisiana State University; Pennington Biomedical Research Center; Louisiana State University System; Louisiana State University Health Sciences Center New Orleans; Louisiana State University System; Louisiana State University Health Sciences Center New Orleans; Louisiana State University System; Louisiana State University Health Sciences Center New Orleans; Louisiana State University System; Louisiana State University Health Sciences Center New Orleans</t>
        </is>
      </c>
      <c r="Z358" t="inlineStr">
        <is>
          <t>Kepper, M (corresponding author), Pennington Biomed Res Ctr, Contextual Risk Factors Lab, 6400 Perkins Ave, Baton Rouge, LA 70808 USA.;Kepper, M (corresponding author), Louisiana State Univ, Hlth Sci Ctr, Sch Publ Hlth, Behav &amp; Community Hlth Sci Dept, New Orleans, LA 70112 USA.</t>
        </is>
      </c>
      <c r="AA358" t="inlineStr">
        <is>
          <t>maura.kepper@pbrc.edu; stephanie.broyles@pbrc.edu; rscrib@lsuhsc.edu; ttseng@lsuhsc.edu; jzabal@lsuhsc.edu; lgri10@lsuhsc.edu; msothe@lsuhsc.edu</t>
        </is>
      </c>
      <c r="AB358" t="inlineStr">
        <is>
          <t>Broyles, Stephanie/C-8647-2011; Tseng, Tung-Sung/AFL-4208-2022</t>
        </is>
      </c>
      <c r="AC358" t="inlineStr">
        <is>
          <t>Broyles, Stephanie/0000-0003-3168-0056; Tseng, Tung-Sung/0000-0001-6266-9891; Kepper, Maura/0000-0002-5971-9189</t>
        </is>
      </c>
      <c r="AD358" t="inlineStr">
        <is>
          <t>Mid-South Transdisciplinary Collaborative Center for Health Disparities Research (Mid-South TCC) - National Institute of Minority Health and Health Disparities (NIMHD) [U54MD008176]; Schools of Public Health and Medicine; Department of Pediatrics, Louisiana State University Health Sciences Center in New Orleans; Louisiana State University Health Sciences Center School of Public Health Jim Finks Endowed Chair in Health Promotion Research Fund; Louisiana Cancer Research Center, The Nutrition Obesity Research Center at Pennington Biomedical Research Center; NIDDK (CNRU) [1P30 DK072476, R01 HD49046]</t>
        </is>
      </c>
      <c r="AE358" t="inlineStr">
        <is>
          <t>Mid-South Transdisciplinary Collaborative Center for Health Disparities Research (Mid-South TCC) - National Institute of Minority Health and Health Disparities (NIMHD); Schools of Public Health and Medicine; Department of Pediatrics, Louisiana State University Health Sciences Center in New Orleans; Louisiana State University Health Sciences Center School of Public Health Jim Finks Endowed Chair in Health Promotion Research Fund; Louisiana Cancer Research Center, The Nutrition Obesity Research Center at Pennington Biomedical Research Center; NIDDK (CNRU)</t>
        </is>
      </c>
      <c r="AF358" t="inlineStr">
        <is>
          <t>This work was supported by the Mid-South Transdisciplinary Collaborative Center for Health Disparities Research (Mid-South TCC) funded by the National Institute of Minority Health and Health Disparities (NIMHD) (U54MD008176), by the Schools of Public Health and Medicine, Department of Pediatrics, Louisiana State University Health Sciences Center in New Orleans, the Louisiana State University Health Sciences Center School of Public Health Jim Finks Endowed Chair in Health Promotion Research Fund, The Louisiana Cancer Research Center, The Nutrition Obesity Research Center at Pennington Biomedical Research Center and NIDDK (CNRU) 1P30 DK072476 and R01 HD49046.</t>
        </is>
      </c>
      <c r="AH358" t="n">
        <v>48</v>
      </c>
      <c r="AI358" t="n">
        <v>5</v>
      </c>
      <c r="AJ358" t="n">
        <v>5</v>
      </c>
      <c r="AK358" t="n">
        <v>0</v>
      </c>
      <c r="AL358" t="n">
        <v>28</v>
      </c>
      <c r="AM358" t="inlineStr">
        <is>
          <t>MDPI</t>
        </is>
      </c>
      <c r="AN358" t="inlineStr">
        <is>
          <t>BASEL</t>
        </is>
      </c>
      <c r="AO358" t="inlineStr">
        <is>
          <t>ST ALBAN-ANLAGE 66, CH-4052 BASEL, SWITZERLAND</t>
        </is>
      </c>
      <c r="AQ358" t="inlineStr">
        <is>
          <t>1660-4601</t>
        </is>
      </c>
      <c r="AS358" t="inlineStr">
        <is>
          <t>INT J ENV RES PUB HE</t>
        </is>
      </c>
      <c r="AT358" t="inlineStr">
        <is>
          <t>Int. J. Environ. Res. Public Health</t>
        </is>
      </c>
      <c r="AU358" t="inlineStr">
        <is>
          <t>DEC</t>
        </is>
      </c>
      <c r="AV358" t="n">
        <v>2016</v>
      </c>
      <c r="AW358" t="n">
        <v>13</v>
      </c>
      <c r="AX358" t="n">
        <v>12</v>
      </c>
      <c r="BE358" t="n">
        <v>1266</v>
      </c>
      <c r="BF358" t="inlineStr">
        <is>
          <t>10.3390/ijerph13121266</t>
        </is>
      </c>
      <c r="BG358">
        <f>HYPERLINK("http://dx.doi.org/10.3390/ijerph13121266","http://dx.doi.org/10.3390/ijerph13121266")</f>
        <v/>
      </c>
      <c r="BJ358" t="n">
        <v>19</v>
      </c>
      <c r="BK358" t="inlineStr">
        <is>
          <t>Environmental Sciences; Public, Environmental &amp; Occupational Health</t>
        </is>
      </c>
      <c r="BL358" t="inlineStr">
        <is>
          <t>Science Citation Index Expanded (SCI-EXPANDED); Social Science Citation Index (SSCI)</t>
        </is>
      </c>
      <c r="BM358" t="inlineStr">
        <is>
          <t>Environmental Sciences &amp; Ecology; Public, Environmental &amp; Occupational Health</t>
        </is>
      </c>
      <c r="BN358" t="inlineStr">
        <is>
          <t>EI1XN</t>
        </is>
      </c>
      <c r="BO358" t="n">
        <v>28009839</v>
      </c>
      <c r="BP358" t="inlineStr">
        <is>
          <t>gold, Green Submitted, Green Published</t>
        </is>
      </c>
      <c r="BS358" t="inlineStr">
        <is>
          <t>2023-10-26</t>
        </is>
      </c>
      <c r="BT358" t="inlineStr">
        <is>
          <t>WOS:000392280100037</t>
        </is>
      </c>
      <c r="BU358">
        <f>HYPERLINK("https%3A%2F%2Fwww.webofscience.com%2Fwos%2Fwoscc%2Ffull-record%2FWOS:000392280100037","View Full Record in Web of Science")</f>
        <v/>
      </c>
    </row>
    <row r="359">
      <c r="A359" t="inlineStr">
        <is>
          <t>J</t>
        </is>
      </c>
      <c r="B359" t="inlineStr">
        <is>
          <t>Javadpoor, M; Soltani, A; Fatehnia, L; Soltani, N</t>
        </is>
      </c>
      <c r="F359" t="inlineStr">
        <is>
          <t>Javadpoor, Masoud; Soltani, Ali; Fatehnia, Leila; Soltani, Negin</t>
        </is>
      </c>
      <c r="J359" t="inlineStr">
        <is>
          <t>INTERNATIONAL JOURNAL OF ENVIRONMENTAL RESEARCH AND PUBLIC HEALTH</t>
        </is>
      </c>
      <c r="M359" t="inlineStr">
        <is>
          <t>English</t>
        </is>
      </c>
      <c r="N359" t="inlineStr">
        <is>
          <t>Article</t>
        </is>
      </c>
      <c r="T359" t="inlineStr">
        <is>
          <t>How the Built Environment Moderates Gender Gap in Active Commuting to Schools</t>
        </is>
      </c>
      <c r="U359" t="inlineStr">
        <is>
          <t>gender; school travel; built environment; walkability; Iran</t>
        </is>
      </c>
      <c r="V359" t="inlineStr">
        <is>
          <t>CHILDRENS MODE CHOICE; URBAN FORM; PHYSICAL-ACTIVITY; TRAVEL BEHAVIOR; OLDER-ADULTS; LIFE-STYLE; DETERMINANTS; TRANSPORT; WALKING; MORPHOLOGY</t>
        </is>
      </c>
      <c r="W359" t="inlineStr">
        <is>
          <t>This study investigates the influences of built environmental (BE) factors, network design, and sociodemographic factors on active school travel (AST). Although numerous studies have explored these relationships, this study is trying to assess this issue with a focus on gender differences. Data from a cross-sectional sample of children from first to sixth grades from 16 public primary schools exclusive for girls and boys (N = 1260) in Shiraz collected in November 2019 was used. The analysis of the data revealed that, on average, boys are more willing to walk than girls, but that the boys' tendency to walk is less elastic with respect to distance. Moreover, it is shown that street connectivity for all distance thresholds has a positive relationship with walking level, but the street network choice parameter decreases the chance of walking within an 800 metre threshold. It is demonstrated the need to take gender differences into account in local planning policies to promote AST in a developing country context.</t>
        </is>
      </c>
      <c r="X359" t="inlineStr">
        <is>
          <t>[Javadpoor, Masoud; Soltani, Ali; Fatehnia, Leila] Shiraz Univ, Sch Art &amp; Architecture, Shiraz 7194684471, Iran; [Soltani, Ali] Univ South Australia, UniSA Business, Adelaide, SA 5001, Australia; [Soltani, Negin] Shiraz Univ, Sch Civil Engn, Shiraz 7155713876, Iran</t>
        </is>
      </c>
      <c r="Y359" t="inlineStr">
        <is>
          <t>Shiraz University; University of South Australia; Shiraz University</t>
        </is>
      </c>
      <c r="Z359" t="inlineStr">
        <is>
          <t>Soltani, A (corresponding author), Shiraz Univ, Sch Art &amp; Architecture, Shiraz 7194684471, Iran.;Soltani, A (corresponding author), Univ South Australia, UniSA Business, Adelaide, SA 5001, Australia.</t>
        </is>
      </c>
      <c r="AA359" t="inlineStr">
        <is>
          <t>ali.soltani@unisa.edu.au</t>
        </is>
      </c>
      <c r="AB359" t="inlineStr">
        <is>
          <t>Javadpoor, Masoud/ACQ-9049-2022; soltani, ali/P-2651-2018</t>
        </is>
      </c>
      <c r="AC359" t="inlineStr">
        <is>
          <t>Javadpoor, Masoud/0000-0003-1739-7975; soltani, ali/0000-0001-8042-410X</t>
        </is>
      </c>
      <c r="AH359" t="n">
        <v>66</v>
      </c>
      <c r="AI359" t="n">
        <v>2</v>
      </c>
      <c r="AJ359" t="n">
        <v>2</v>
      </c>
      <c r="AK359" t="n">
        <v>3</v>
      </c>
      <c r="AL359" t="n">
        <v>6</v>
      </c>
      <c r="AM359" t="inlineStr">
        <is>
          <t>MDPI</t>
        </is>
      </c>
      <c r="AN359" t="inlineStr">
        <is>
          <t>BASEL</t>
        </is>
      </c>
      <c r="AO359" t="inlineStr">
        <is>
          <t>ST ALBAN-ANLAGE 66, CH-4052 BASEL, SWITZERLAND</t>
        </is>
      </c>
      <c r="AQ359" t="inlineStr">
        <is>
          <t>1660-4601</t>
        </is>
      </c>
      <c r="AS359" t="inlineStr">
        <is>
          <t>INT J ENV RES PUB HE</t>
        </is>
      </c>
      <c r="AT359" t="inlineStr">
        <is>
          <t>Int. J. Environ. Res. Public Health</t>
        </is>
      </c>
      <c r="AU359" t="inlineStr">
        <is>
          <t>JAN</t>
        </is>
      </c>
      <c r="AV359" t="n">
        <v>2023</v>
      </c>
      <c r="AW359" t="n">
        <v>20</v>
      </c>
      <c r="AX359" t="n">
        <v>2</v>
      </c>
      <c r="BE359" t="n">
        <v>1131</v>
      </c>
      <c r="BF359" t="inlineStr">
        <is>
          <t>10.3390/ijerph20021131</t>
        </is>
      </c>
      <c r="BG359">
        <f>HYPERLINK("http://dx.doi.org/10.3390/ijerph20021131","http://dx.doi.org/10.3390/ijerph20021131")</f>
        <v/>
      </c>
      <c r="BJ359" t="n">
        <v>16</v>
      </c>
      <c r="BK359" t="inlineStr">
        <is>
          <t>Environmental Sciences; Public, Environmental &amp; Occupational Health</t>
        </is>
      </c>
      <c r="BL359" t="inlineStr">
        <is>
          <t>Science Citation Index Expanded (SCI-EXPANDED); Social Science Citation Index (SSCI)</t>
        </is>
      </c>
      <c r="BM359" t="inlineStr">
        <is>
          <t>Environmental Sciences &amp; Ecology; Public, Environmental &amp; Occupational Health</t>
        </is>
      </c>
      <c r="BN359" t="inlineStr">
        <is>
          <t>7Y8QZ</t>
        </is>
      </c>
      <c r="BO359" t="n">
        <v>36673888</v>
      </c>
      <c r="BP359" t="inlineStr">
        <is>
          <t>Green Published, gold</t>
        </is>
      </c>
      <c r="BS359" t="inlineStr">
        <is>
          <t>2023-10-26</t>
        </is>
      </c>
      <c r="BT359" t="inlineStr">
        <is>
          <t>WOS:000915137800001</t>
        </is>
      </c>
      <c r="BU359">
        <f>HYPERLINK("https%3A%2F%2Fwww.webofscience.com%2Fwos%2Fwoscc%2Ffull-record%2FWOS:000915137800001","View Full Record in Web of Science")</f>
        <v/>
      </c>
    </row>
    <row r="360">
      <c r="A360" t="inlineStr">
        <is>
          <t>J</t>
        </is>
      </c>
      <c r="B360" t="inlineStr">
        <is>
          <t>Kim, D</t>
        </is>
      </c>
      <c r="F360" t="inlineStr">
        <is>
          <t>Kim, Do Young</t>
        </is>
      </c>
      <c r="J360" t="inlineStr">
        <is>
          <t>SUSTAINABILITY</t>
        </is>
      </c>
      <c r="M360" t="inlineStr">
        <is>
          <t>English</t>
        </is>
      </c>
      <c r="N360" t="inlineStr">
        <is>
          <t>Article</t>
        </is>
      </c>
      <c r="T360" t="inlineStr">
        <is>
          <t>A Design Methodology Using Prototyping Based on the Digital-Physical Models in the Architectural Design Process</t>
        </is>
      </c>
      <c r="U360" t="inlineStr">
        <is>
          <t>prototyping; digital model; physical model; smart building envelope; design process</t>
        </is>
      </c>
      <c r="W360" t="inlineStr">
        <is>
          <t>In this study, a design methodology based on prototyping is proposed. This design methodology is intended to enhance the functionality of the test, differentiating it from the prototyping that is being conducted in conventional architectural design projects. The objective of this study is to explore reference cases that enable designers to maximize the utilization of both digital models and physical models that have been currently used in architectural designs. Also, it is to explore the complementary roles and effects of digital models and physical models. Smart Building Envelopes (SBEs) are one of challenging topics in architectural design and requires innovative design process included tests and risk management. A conceptual prototyping-based model considering the topic is applied to the design studio (education environment in university). Designing SBEs is not difficult to conceive ideas, but it is impossible to implement using the conventional design method. Implementing SBEs requires to strengthen validities and improve responsibilities of ideas in the stages of architectural designs, with cutting-edge technologies and smart materials. The design methodology enables designers (represented by students) to apply materials and manufacturing methods using digital models (parametric design, simulation, BIM) and physical models, rather than representing vanity images that are considered simple science fiction.</t>
        </is>
      </c>
      <c r="X360" t="inlineStr">
        <is>
          <t>[Kim, Do Young] Korea Inst Civil Engn &amp; Bldg Technol KICT, Dept Future Technol &amp; Convergence Res, Gyeonggi Do 10223, South Korea</t>
        </is>
      </c>
      <c r="Y360" t="inlineStr">
        <is>
          <t>Korea Institute of Civil Engineering &amp; Building Technology (KICT)</t>
        </is>
      </c>
      <c r="Z360" t="inlineStr">
        <is>
          <t>Kim, D (corresponding author), Korea Inst Civil Engn &amp; Bldg Technol KICT, Dept Future Technol &amp; Convergence Res, Gyeonggi Do 10223, South Korea.</t>
        </is>
      </c>
      <c r="AA360" t="inlineStr">
        <is>
          <t>doyoungkim0123@kict.re.kr</t>
        </is>
      </c>
      <c r="AD360" t="inlineStr">
        <is>
          <t>Architecture &amp; Urban Development Research Program - Ministry of Land, Infrastructure, and Transport of the South Korean government [19AUDP-B127891-03]; Korea Agency for Infrastructure Technology Advancement (KAIA) [127895] Funding Source: Korea Institute of Science &amp; Technology Information (KISTI), National Science &amp; Technology Information Service (NTIS)</t>
        </is>
      </c>
      <c r="AE360" t="inlineStr">
        <is>
          <t>Architecture &amp; Urban Development Research Program - Ministry of Land, Infrastructure, and Transport of the South Korean government; Korea Agency for Infrastructure Technology Advancement (KAIA)(Korea Agency for Infrastructure Technology Advancement (KAIA))</t>
        </is>
      </c>
      <c r="AF360" t="inlineStr">
        <is>
          <t>This research was supported by a grant (19AUDP-B127891-03) from the Architecture &amp; Urban Development Research Program funded by the Ministry of Land, Infrastructure, and Transport of the South Korean government.</t>
        </is>
      </c>
      <c r="AH360" t="n">
        <v>44</v>
      </c>
      <c r="AI360" t="n">
        <v>7</v>
      </c>
      <c r="AJ360" t="n">
        <v>7</v>
      </c>
      <c r="AK360" t="n">
        <v>3</v>
      </c>
      <c r="AL360" t="n">
        <v>17</v>
      </c>
      <c r="AM360" t="inlineStr">
        <is>
          <t>MDPI</t>
        </is>
      </c>
      <c r="AN360" t="inlineStr">
        <is>
          <t>BASEL</t>
        </is>
      </c>
      <c r="AO360" t="inlineStr">
        <is>
          <t>ST ALBAN-ANLAGE 66, CH-4052 BASEL, SWITZERLAND</t>
        </is>
      </c>
      <c r="AQ360" t="inlineStr">
        <is>
          <t>2071-1050</t>
        </is>
      </c>
      <c r="AS360" t="inlineStr">
        <is>
          <t>SUSTAINABILITY-BASEL</t>
        </is>
      </c>
      <c r="AT360" t="inlineStr">
        <is>
          <t>Sustainability</t>
        </is>
      </c>
      <c r="AU360" t="inlineStr">
        <is>
          <t>AUG</t>
        </is>
      </c>
      <c r="AV360" t="n">
        <v>2019</v>
      </c>
      <c r="AW360" t="n">
        <v>11</v>
      </c>
      <c r="AX360" t="n">
        <v>16</v>
      </c>
      <c r="BE360" t="n">
        <v>4416</v>
      </c>
      <c r="BF360" t="inlineStr">
        <is>
          <t>10.3390/su11164416</t>
        </is>
      </c>
      <c r="BG360">
        <f>HYPERLINK("http://dx.doi.org/10.3390/su11164416","http://dx.doi.org/10.3390/su11164416")</f>
        <v/>
      </c>
      <c r="BJ360" t="n">
        <v>23</v>
      </c>
      <c r="BK360" t="inlineStr">
        <is>
          <t>Green &amp; Sustainable Science &amp; Technology; Environmental Sciences; Environmental Studies</t>
        </is>
      </c>
      <c r="BL360" t="inlineStr">
        <is>
          <t>Science Citation Index Expanded (SCI-EXPANDED); Social Science Citation Index (SSCI)</t>
        </is>
      </c>
      <c r="BM360" t="inlineStr">
        <is>
          <t>Science &amp; Technology - Other Topics; Environmental Sciences &amp; Ecology</t>
        </is>
      </c>
      <c r="BN360" t="inlineStr">
        <is>
          <t>IV7UO</t>
        </is>
      </c>
      <c r="BP360" t="inlineStr">
        <is>
          <t>Green Published, gold</t>
        </is>
      </c>
      <c r="BS360" t="inlineStr">
        <is>
          <t>2023-10-26</t>
        </is>
      </c>
      <c r="BT360" t="inlineStr">
        <is>
          <t>WOS:000484472500160</t>
        </is>
      </c>
      <c r="BU360">
        <f>HYPERLINK("https%3A%2F%2Fwww.webofscience.com%2Fwos%2Fwoscc%2Ffull-record%2FWOS:000484472500160","View Full Record in Web of Science")</f>
        <v/>
      </c>
    </row>
    <row r="361">
      <c r="A361" t="inlineStr">
        <is>
          <t>J</t>
        </is>
      </c>
      <c r="B361" t="inlineStr">
        <is>
          <t>Suzuki, N; Nakaoka, H; Hanazato, M; Nakayama, Y; Tsumura, K; Takaya, K; Todaka, E; Mori, C</t>
        </is>
      </c>
      <c r="F361" t="inlineStr">
        <is>
          <t>Suzuki, Norimichi; Nakaoka, Hiroko; Hanazato, Masamichi; Nakayama, Yoshitake; Tsumura, Kayo; Takaya, Kazunari; Todaka, Emiko; Mori, Chisato</t>
        </is>
      </c>
      <c r="J361" t="inlineStr">
        <is>
          <t>INTERNATIONAL JOURNAL OF ENVIRONMENTAL RESEARCH AND PUBLIC HEALTH</t>
        </is>
      </c>
      <c r="M361" t="inlineStr">
        <is>
          <t>English</t>
        </is>
      </c>
      <c r="N361" t="inlineStr">
        <is>
          <t>Article</t>
        </is>
      </c>
      <c r="T361" t="inlineStr">
        <is>
          <t>Indoor Air Quality Analysis of Newly Built Houses</t>
        </is>
      </c>
      <c r="U361" t="inlineStr">
        <is>
          <t>indoor air quality; volatile organic compounds; total volatile organic compounds; newly built houses; sick building syndrome</t>
        </is>
      </c>
      <c r="V361" t="inlineStr">
        <is>
          <t>HEALTH; POLLUTANTS; CHEMICALS; POLLUTION; RATES; VOC</t>
        </is>
      </c>
      <c r="W361" t="inlineStr">
        <is>
          <t>Recently, people have become increasingly aware of potential health issues related to indoor environments. In this study, we measure the concentrations of various volatile organic compounds, carbonyl compounds, and semi-volatile organic compounds, as well as the ventilation rates, in 49 new houses with light-gauge steel structures one week after completion. The proper indoor air quality of new residential environments can be ensured by characterizing people's exposure to certain chemicals and assessing future risks. Our results show that the concentrations of the measured compounds were lower than the guideline values set by the Ministry of Health, Labour and Welfare of Japan, and would continue to decrease. However, we observed that unregulated compounds, assumed to be substitutes for regulated solvents, contributed substantially to the total volatile organic compounds. To reduce indoor chemical exposure risks, the concentrations of these unregulated compounds should also be minimized. In addition, their sources need to be identified, and manufacture and use must be monitored. We believe it is important to select low-emission building materials for reducing residents' exposure to indoor chemicals.</t>
        </is>
      </c>
      <c r="X361" t="inlineStr">
        <is>
          <t>[Suzuki, Norimichi; Nakaoka, Hiroko; Hanazato, Masamichi; Nakayama, Yoshitake; Tsumura, Kayo; Todaka, Emiko; Mori, Chisato] Chiba Univ, Ctr Prevent Med Sci, 6-2-1 Kashiwanoha, Kashiwa, Chiba 2770882, Japan; [Takaya, Kazunari] Natl Inst Occupat Safety &amp; Hlth, Tama Ku, 6-21-1 Nagao, Kawasaki, Kanagawa 2148585, Japan; [Mori, Chisato] Chiba Univ, Ctr Prevent Med Sci, Grad Sch Med, Chou Ku, 1-8-1 Inohana, Chiba, Chiba 2608672, Japan</t>
        </is>
      </c>
      <c r="Y361" t="inlineStr">
        <is>
          <t>Chiba University; Chiba University</t>
        </is>
      </c>
      <c r="Z361" t="inlineStr">
        <is>
          <t>Suzuki, N (corresponding author), Chiba Univ, Ctr Prevent Med Sci, 6-2-1 Kashiwanoha, Kashiwa, Chiba 2770882, Japan.</t>
        </is>
      </c>
      <c r="AA361" t="inlineStr">
        <is>
          <t>suzu-nori@chiba-u.jp; hnakaoka@faculty.chiba-u.jp; hanazato@chiba-u.jp; seiken@chiba-u.jp; tsumu-kayo@chiba-u.jp; takaya-k@h.jniosh.johas.go.jp; todakae@faculty.chiba-u.jp; cmori@faculty.chiba-u.jp</t>
        </is>
      </c>
      <c r="AB361" t="inlineStr">
        <is>
          <t>hanazato, masamichi/L-6267-2019</t>
        </is>
      </c>
      <c r="AC361" t="inlineStr">
        <is>
          <t>hanazato, masamichi/0000-0002-0317-7616; Suzuki, Norimichi/0000-0003-3102-688X</t>
        </is>
      </c>
      <c r="AD361" t="inlineStr">
        <is>
          <t>Sekisui House Ltd.; Japan Society for the Promotion of Science (JSPS) [19K12455, 18K13885]; JST OPERA Program, Japan [JPMJOP1831]; Grants-in-Aid for Scientific Research [19K12455, 18K13885] Funding Source: KAKEN</t>
        </is>
      </c>
      <c r="AE361" t="inlineStr">
        <is>
          <t>Sekisui House Ltd.; Japan Society for the Promotion of Science (JSPS)(Ministry of Education, Culture, Sports, Science and Technology, Japan (MEXT)Japan Society for the Promotion of Science); JST OPERA Program, Japan; Grants-in-Aid for Scientific Research(Ministry of Education, Culture, Sports, Science and Technology, Japan (MEXT)Japan Society for the Promotion of ScienceGrants-in-Aid for Scientific Research (KAKENHI))</t>
        </is>
      </c>
      <c r="AF361" t="inlineStr">
        <is>
          <t>This research was funded by Sekisui House Ltd. and Japan Society for the Promotion of Science (JSPS) Grants-in-Aid for Scientific Research (C) Grant Number (19K12455, 18K13885). This work was supported by JST OPERA Program Grant Number JPMJOP1831, Japan.</t>
        </is>
      </c>
      <c r="AH361" t="n">
        <v>25</v>
      </c>
      <c r="AI361" t="n">
        <v>9</v>
      </c>
      <c r="AJ361" t="n">
        <v>9</v>
      </c>
      <c r="AK361" t="n">
        <v>4</v>
      </c>
      <c r="AL361" t="n">
        <v>33</v>
      </c>
      <c r="AM361" t="inlineStr">
        <is>
          <t>MDPI</t>
        </is>
      </c>
      <c r="AN361" t="inlineStr">
        <is>
          <t>BASEL</t>
        </is>
      </c>
      <c r="AO361" t="inlineStr">
        <is>
          <t>ST ALBAN-ANLAGE 66, CH-4052 BASEL, SWITZERLAND</t>
        </is>
      </c>
      <c r="AP361" t="inlineStr">
        <is>
          <t>1661-7827</t>
        </is>
      </c>
      <c r="AQ361" t="inlineStr">
        <is>
          <t>1660-4601</t>
        </is>
      </c>
      <c r="AS361" t="inlineStr">
        <is>
          <t>INT J ENV RES PUB HE</t>
        </is>
      </c>
      <c r="AT361" t="inlineStr">
        <is>
          <t>Int. J. Environ. Res. Public Health</t>
        </is>
      </c>
      <c r="AU361" t="inlineStr">
        <is>
          <t>NOV</t>
        </is>
      </c>
      <c r="AV361" t="n">
        <v>2019</v>
      </c>
      <c r="AW361" t="n">
        <v>16</v>
      </c>
      <c r="AX361" t="n">
        <v>21</v>
      </c>
      <c r="BE361" t="n">
        <v>4142</v>
      </c>
      <c r="BF361" t="inlineStr">
        <is>
          <t>10.3390/ijerph16214142</t>
        </is>
      </c>
      <c r="BG361">
        <f>HYPERLINK("http://dx.doi.org/10.3390/ijerph16214142","http://dx.doi.org/10.3390/ijerph16214142")</f>
        <v/>
      </c>
      <c r="BJ361" t="n">
        <v>11</v>
      </c>
      <c r="BK361" t="inlineStr">
        <is>
          <t>Environmental Sciences; Public, Environmental &amp; Occupational Health</t>
        </is>
      </c>
      <c r="BL361" t="inlineStr">
        <is>
          <t>Science Citation Index Expanded (SCI-EXPANDED); Social Science Citation Index (SSCI)</t>
        </is>
      </c>
      <c r="BM361" t="inlineStr">
        <is>
          <t>Environmental Sciences &amp; Ecology; Public, Environmental &amp; Occupational Health</t>
        </is>
      </c>
      <c r="BN361" t="inlineStr">
        <is>
          <t>JQ3IF</t>
        </is>
      </c>
      <c r="BO361" t="n">
        <v>31661790</v>
      </c>
      <c r="BP361" t="inlineStr">
        <is>
          <t>Green Published, gold</t>
        </is>
      </c>
      <c r="BS361" t="inlineStr">
        <is>
          <t>2023-10-26</t>
        </is>
      </c>
      <c r="BT361" t="inlineStr">
        <is>
          <t>WOS:000498842000088</t>
        </is>
      </c>
      <c r="BU361">
        <f>HYPERLINK("https%3A%2F%2Fwww.webofscience.com%2Fwos%2Fwoscc%2Ffull-record%2FWOS:000498842000088","View Full Record in Web of Science")</f>
        <v/>
      </c>
    </row>
    <row r="362">
      <c r="A362" t="inlineStr">
        <is>
          <t>J</t>
        </is>
      </c>
      <c r="B362" t="inlineStr">
        <is>
          <t>Fonseca, F; Papageorgiou, G; Tondelli, S; Ribeiro, P; Conticelli, E; Jabbari, M; Ramos, R</t>
        </is>
      </c>
      <c r="F362" t="inlineStr">
        <is>
          <t>Fonseca, Fernando; Papageorgiou, George; Tondelli, Simona; Ribeiro, Paulo; Conticelli, Elisa; Jabbari, Mona; Ramos, Rui</t>
        </is>
      </c>
      <c r="J362" t="inlineStr">
        <is>
          <t>SUSTAINABILITY</t>
        </is>
      </c>
      <c r="M362" t="inlineStr">
        <is>
          <t>English</t>
        </is>
      </c>
      <c r="N362" t="inlineStr">
        <is>
          <t>Article</t>
        </is>
      </c>
      <c r="T362" t="inlineStr">
        <is>
          <t>Perceived Walkability and Respective Urban Determinants: Insights from Bologna and Porto</t>
        </is>
      </c>
      <c r="U362" t="inlineStr">
        <is>
          <t>perceived walkability; built environment; streetscape design; factor analysis; walking</t>
        </is>
      </c>
      <c r="V362" t="inlineStr">
        <is>
          <t>PRINCIPAL COMPONENT ANALYSIS; BUILT ENVIRONMENT; PHYSICAL-ACTIVITY; NEIGHBORHOOD WALKABILITY; DESIGN QUALITIES; WALKING; MULTICRITERIA; TRAVEL; SATISFACTION; PERCEPTIONS</t>
        </is>
      </c>
      <c r="W362" t="inlineStr">
        <is>
          <t>Walking is undoubtedly a sustainable and healthy mode of transport. However, the decision to walk is influenced by many built environment and streetscape attributes. Specifically, the term walkability is used to describe the extent to which the urban environment is pedestrian-friendly, usually by quantifying multiple built environment attributes at the neighbourhood scale. The present study adopts a qualitative approach to evaluate perceived walkability. Based on a questionnaire (n = 1438) administered in the cities of Bologna and Porto, this paper analyses how respondents perceived and evaluated 19 built environment and streetscape attributes. An Exploratory Factor Analysis was carried out to examine the correlations between the various attributes and to identify the underlying walkability determinants. The analysis indicated that 13 attributes were highly correlated, resulting in four determinants: (i) urban ambiance, which includes land use and street design attributes, such as land use mix, enclosure, transparency, and architectural and landscape diversity; (ii) pedestrian infrastructure, which is related to sidewalk conditions; (iii) street connectivity and proximity to community facilities; and iv) access to other modes of transport. In turn, traffic safety and security were not correlated with perceived walkability in both cities. These findings suggest that specific urban design and pedestrian infrastructure attributes should be highly considered when formulating policies aiming to create more pedestrian-friendly cities, as well as in walkability studies and when developing walkability scores and indexes.</t>
        </is>
      </c>
      <c r="X362" t="inlineStr">
        <is>
          <t>[Fonseca, Fernando; Ribeiro, Paulo; Jabbari, Mona; Ramos, Rui] Univ Minho, Ctr Terr Environm &amp; Construct CTAC, P-4800058 Guimaraes, Portugal; [Papageorgiou, George] European Univ Cyprus, SYSTEMA Res Ctr, CY-2404 Nicosia, Cyprus; [Tondelli, Simona; Conticelli, Elisa] Univ Bologna, Alma Mater Studiorum, I-40136 Bologna, Italy; [Jabbari, Mona] CitUpia AB, S-10430 Stockholm, Sweden</t>
        </is>
      </c>
      <c r="Y362" t="inlineStr">
        <is>
          <t>Universidade do Minho; European University Cyprus; University of Bologna</t>
        </is>
      </c>
      <c r="Z362" t="inlineStr">
        <is>
          <t>Tondelli, S (corresponding author), Univ Bologna, Alma Mater Studiorum, I-40136 Bologna, Italy.</t>
        </is>
      </c>
      <c r="AA362" t="inlineStr">
        <is>
          <t>ffonseca@civil.uminho.pt; g.papageorgiou@euc.ac.cy; simona.tondelli@unibo.it; pauloribeiro@civil.uminho.pt; elisa.conticelli@unibo.it; mona.jabbari@civil.uminho.pt; rui.ramos@civil.uminho.pt</t>
        </is>
      </c>
      <c r="AB362" t="inlineStr">
        <is>
          <t>Ribeiro, Paulo J. G./I-8190-2015; Jabbari, Mona/AFE-2796-2022; Ramos, Rui/N-6369-2013</t>
        </is>
      </c>
      <c r="AC362" t="inlineStr">
        <is>
          <t>Ribeiro, Paulo J. G./0000-0001-9447-2110; Jabbari, Mona/0000-0002-5447-8128; Ramos, Rui/0000-0002-6690-5940; , elisa/0000-0002-6323-8644; Fonseca, Fernando/0000-0003-2336-175X; Tondelli, Simona/0000-0003-0891-7852; Papageorgiou, George/0000-0003-3288-6419</t>
        </is>
      </c>
      <c r="AD362" t="inlineStr">
        <is>
          <t>JPI Urban Europe; FCT-PT [ENSUF/0004/2016]; MIUR-I; FFG-A; RPF-CY; Fundação para a Ciência e a Tecnologia [ENSUF/0004/2016] Funding Source: FCT</t>
        </is>
      </c>
      <c r="AE362" t="inlineStr">
        <is>
          <t>JPI Urban Europe; FCT-PT(Fundacao para a Ciencia e a Tecnologia (FCT)); MIUR-I; FFG-A; RPF-CY; Fundação para a Ciência e a Tecnologia(Fundacao para a Ciencia e a Tecnologia (FCT))</t>
        </is>
      </c>
      <c r="AF362" t="inlineStr">
        <is>
          <t>This research was funded by the JPI Urban Europe, FCT-PT (ENSUF/0004/2016), MIUR-I, FFG-A, and RPF-CY.</t>
        </is>
      </c>
      <c r="AH362" t="n">
        <v>83</v>
      </c>
      <c r="AI362" t="n">
        <v>7</v>
      </c>
      <c r="AJ362" t="n">
        <v>7</v>
      </c>
      <c r="AK362" t="n">
        <v>16</v>
      </c>
      <c r="AL362" t="n">
        <v>50</v>
      </c>
      <c r="AM362" t="inlineStr">
        <is>
          <t>MDPI</t>
        </is>
      </c>
      <c r="AN362" t="inlineStr">
        <is>
          <t>BASEL</t>
        </is>
      </c>
      <c r="AO362" t="inlineStr">
        <is>
          <t>ST ALBAN-ANLAGE 66, CH-4052 BASEL, SWITZERLAND</t>
        </is>
      </c>
      <c r="AQ362" t="inlineStr">
        <is>
          <t>2071-1050</t>
        </is>
      </c>
      <c r="AS362" t="inlineStr">
        <is>
          <t>SUSTAINABILITY-BASEL</t>
        </is>
      </c>
      <c r="AT362" t="inlineStr">
        <is>
          <t>Sustainability</t>
        </is>
      </c>
      <c r="AU362" t="inlineStr">
        <is>
          <t>AUG</t>
        </is>
      </c>
      <c r="AV362" t="n">
        <v>2022</v>
      </c>
      <c r="AW362" t="n">
        <v>14</v>
      </c>
      <c r="AX362" t="n">
        <v>15</v>
      </c>
      <c r="BE362" t="n">
        <v>9089</v>
      </c>
      <c r="BF362" t="inlineStr">
        <is>
          <t>10.3390/su14159089</t>
        </is>
      </c>
      <c r="BG362">
        <f>HYPERLINK("http://dx.doi.org/10.3390/su14159089","http://dx.doi.org/10.3390/su14159089")</f>
        <v/>
      </c>
      <c r="BJ362" t="n">
        <v>19</v>
      </c>
      <c r="BK362" t="inlineStr">
        <is>
          <t>Green &amp; Sustainable Science &amp; Technology; Environmental Sciences; Environmental Studies</t>
        </is>
      </c>
      <c r="BL362" t="inlineStr">
        <is>
          <t>Science Citation Index Expanded (SCI-EXPANDED); Social Science Citation Index (SSCI)</t>
        </is>
      </c>
      <c r="BM362" t="inlineStr">
        <is>
          <t>Science &amp; Technology - Other Topics; Environmental Sciences &amp; Ecology</t>
        </is>
      </c>
      <c r="BN362" t="inlineStr">
        <is>
          <t>3R4FS</t>
        </is>
      </c>
      <c r="BP362" t="inlineStr">
        <is>
          <t>Green Published, gold</t>
        </is>
      </c>
      <c r="BS362" t="inlineStr">
        <is>
          <t>2023-10-26</t>
        </is>
      </c>
      <c r="BT362" t="inlineStr">
        <is>
          <t>WOS:000838871400001</t>
        </is>
      </c>
      <c r="BU362">
        <f>HYPERLINK("https%3A%2F%2Fwww.webofscience.com%2Fwos%2Fwoscc%2Ffull-record%2FWOS:000838871400001","View Full Record in Web of Science")</f>
        <v/>
      </c>
    </row>
    <row r="363">
      <c r="A363" t="inlineStr">
        <is>
          <t>J</t>
        </is>
      </c>
      <c r="B363" t="inlineStr">
        <is>
          <t>Li, J; Lo, KV; Zhang, PY; Guo, M</t>
        </is>
      </c>
      <c r="F363" t="inlineStr">
        <is>
          <t>Li Jing; Lo Kevin; Zhang Pingyu; Guo Meng</t>
        </is>
      </c>
      <c r="J363" t="inlineStr">
        <is>
          <t>CHINESE GEOGRAPHICAL SCIENCE</t>
        </is>
      </c>
      <c r="M363" t="inlineStr">
        <is>
          <t>English</t>
        </is>
      </c>
      <c r="N363" t="inlineStr">
        <is>
          <t>Article</t>
        </is>
      </c>
      <c r="T363" t="inlineStr">
        <is>
          <t>Relationship between built environment, socio-economic factors and carbon emissions from shopping trip in Shenyang City, China</t>
        </is>
      </c>
      <c r="U363" t="inlineStr">
        <is>
          <t>transport carbon emission; travel behavior; built environment; socio-economic factors; shopping trips; China</t>
        </is>
      </c>
      <c r="V363" t="inlineStr">
        <is>
          <t>GREENHOUSE-GAS EMISSIONS; TRAVEL BEHAVIOR; CO2 EMISSIONS; DIOXIDE EMISSIONS; URBAN FORM; STRUCTURAL RELATIONSHIPS; MITIGATION SCENARIOS; PHYSICAL-ACTIVITY; PUBLIC TRANSPORT; SPATIAL-ANALYSIS</t>
        </is>
      </c>
      <c r="W363" t="inlineStr">
        <is>
          <t>Promoting active travel behavior and decreasing transport-related carbon dioxide (CO2) emissions have become a priority in many Chinese cities experiencing rapid urban sprawl and greater automobile dependence. However, there are few studies that holistically examine the physical and social factors associated with travel CO2 emissions. Using a survey of 1525 shoppers conducted in Shenyang, China, this study estimated shopping-related travel CO2 emissions and examined how the built environment and individual socioeconomic characteristics contribute to shopping travel behavior and associated CO2 emissions. We found that, firstly, private car trips generate nearly eight times more carbon emissions than shopping trips using public transport, on average. Second, there was significant spatial autocorrelation with CO2 emissions per trip, and the highest carbon emissions were clustered in the inner suburbs and between the first and second circumferential roads. Third, shopping travel CO2 emissions per trip were negatively correlated with several built environment features including population density, the quantity of public transport stations, road density, and shop density. They were also found to be significantly related to the individual socio-economic characteristics of car ownership, employment status, and education level using a multinomial logistic regression model. These empirical findings have important policy implications, assisting in the development of measures that contribute to the sustainability of urban transportation and meet carbon mitigation targets.</t>
        </is>
      </c>
      <c r="X363" t="inlineStr">
        <is>
          <t>[Li Jing; Zhang Pingyu] Chinese Acad Sci, Northeast Inst Geog &amp; Agroecol, Changchun 130102, Jilin, Peoples R China; [Lo Kevin] Hong Kong Baptist Univ, Dept Geog, Hong Kong 999077, Hong Kong, Peoples R China; [Guo Meng] Northeast Normal Univ, Sch Geog Sci, Changchun 130024, Jilin, Peoples R China</t>
        </is>
      </c>
      <c r="Y363" t="inlineStr">
        <is>
          <t>Chinese Academy of Sciences; Northeast Institute of Geography &amp; Agroecology, CAS; Hong Kong Baptist University; Northeast Normal University - China</t>
        </is>
      </c>
      <c r="Z363" t="inlineStr">
        <is>
          <t>Li, J (corresponding author), Chinese Acad Sci, Northeast Inst Geog &amp; Agroecol, Changchun 130102, Jilin, Peoples R China.</t>
        </is>
      </c>
      <c r="AA363" t="inlineStr">
        <is>
          <t>lijingsara@iga.ac.cn</t>
        </is>
      </c>
      <c r="AB363" t="inlineStr">
        <is>
          <t>Guo, Meng/L-3825-2019</t>
        </is>
      </c>
      <c r="AC363" t="inlineStr">
        <is>
          <t>Lo, Kevin/0000-0001-7721-4726</t>
        </is>
      </c>
      <c r="AD363" t="inlineStr">
        <is>
          <t>National Natural Science Foundation of China [41201159, 41571152, 41401478, 41201160, 41001076]; Key Research Program of the Chinese Academy of Sciences [KSZD-EW-Z-021-03, KZZD-EW-06-03]</t>
        </is>
      </c>
      <c r="AE363" t="inlineStr">
        <is>
          <t>National Natural Science Foundation of China(National Natural Science Foundation of China (NSFC)); Key Research Program of the Chinese Academy of Sciences(Chinese Academy of Sciences)</t>
        </is>
      </c>
      <c r="AF363" t="inlineStr">
        <is>
          <t>Under the auspices of National Natural Science Foundation of China (No. 41201159, 41571152, 41401478, 41201160, 41001076), the Key Research Program of the Chinese Academy of Sciences (No. KSZD-EW-Z-021-03, KZZD-EW-06-03)</t>
        </is>
      </c>
      <c r="AH363" t="n">
        <v>70</v>
      </c>
      <c r="AI363" t="n">
        <v>4</v>
      </c>
      <c r="AJ363" t="n">
        <v>4</v>
      </c>
      <c r="AK363" t="n">
        <v>2</v>
      </c>
      <c r="AL363" t="n">
        <v>55</v>
      </c>
      <c r="AM363" t="inlineStr">
        <is>
          <t>SPRINGER</t>
        </is>
      </c>
      <c r="AN363" t="inlineStr">
        <is>
          <t>NEW YORK</t>
        </is>
      </c>
      <c r="AO363" t="inlineStr">
        <is>
          <t>233 SPRING ST, NEW YORK, NY 10013 USA</t>
        </is>
      </c>
      <c r="AP363" t="inlineStr">
        <is>
          <t>1002-0063</t>
        </is>
      </c>
      <c r="AQ363" t="inlineStr">
        <is>
          <t>1993-064X</t>
        </is>
      </c>
      <c r="AS363" t="inlineStr">
        <is>
          <t>CHINESE GEOGR SCI</t>
        </is>
      </c>
      <c r="AT363" t="inlineStr">
        <is>
          <t>Chin. Geogr. Sci.</t>
        </is>
      </c>
      <c r="AU363" t="inlineStr">
        <is>
          <t>OCT</t>
        </is>
      </c>
      <c r="AV363" t="n">
        <v>2017</v>
      </c>
      <c r="AW363" t="n">
        <v>27</v>
      </c>
      <c r="AX363" t="n">
        <v>5</v>
      </c>
      <c r="BC363" t="n">
        <v>722</v>
      </c>
      <c r="BD363" t="n">
        <v>734</v>
      </c>
      <c r="BF363" t="inlineStr">
        <is>
          <t>10.1007/s11769-017-0904-8</t>
        </is>
      </c>
      <c r="BG363">
        <f>HYPERLINK("http://dx.doi.org/10.1007/s11769-017-0904-8","http://dx.doi.org/10.1007/s11769-017-0904-8")</f>
        <v/>
      </c>
      <c r="BJ363" t="n">
        <v>13</v>
      </c>
      <c r="BK363" t="inlineStr">
        <is>
          <t>Environmental Sciences</t>
        </is>
      </c>
      <c r="BL363" t="inlineStr">
        <is>
          <t>Science Citation Index Expanded (SCI-EXPANDED)</t>
        </is>
      </c>
      <c r="BM363" t="inlineStr">
        <is>
          <t>Environmental Sciences &amp; Ecology</t>
        </is>
      </c>
      <c r="BN363" t="inlineStr">
        <is>
          <t>FG3GE</t>
        </is>
      </c>
      <c r="BP363" t="inlineStr">
        <is>
          <t>hybrid</t>
        </is>
      </c>
      <c r="BS363" t="inlineStr">
        <is>
          <t>2023-10-26</t>
        </is>
      </c>
      <c r="BT363" t="inlineStr">
        <is>
          <t>WOS:000410024000005</t>
        </is>
      </c>
      <c r="BU363">
        <f>HYPERLINK("https%3A%2F%2Fwww.webofscience.com%2Fwos%2Fwoscc%2Ffull-record%2FWOS:000410024000005","View Full Record in Web of Science")</f>
        <v/>
      </c>
    </row>
    <row r="364">
      <c r="A364" t="inlineStr">
        <is>
          <t>J</t>
        </is>
      </c>
      <c r="B364" t="inlineStr">
        <is>
          <t>Appolloni, L; Giretti, A; Corazza, MV; D'Alessandro, D</t>
        </is>
      </c>
      <c r="F364" t="inlineStr">
        <is>
          <t>Appolloni, Letizia; Giretti, Alberto; Corazza, Maria Vittoria; D'Alessandro, Daniela</t>
        </is>
      </c>
      <c r="J364" t="inlineStr">
        <is>
          <t>SUSTAINABILITY</t>
        </is>
      </c>
      <c r="M364" t="inlineStr">
        <is>
          <t>English</t>
        </is>
      </c>
      <c r="N364" t="inlineStr">
        <is>
          <t>Article</t>
        </is>
      </c>
      <c r="T364" t="inlineStr">
        <is>
          <t>Walkable Urban Environments: An Ergonomic Approach of Evaluation</t>
        </is>
      </c>
      <c r="U364" t="inlineStr">
        <is>
          <t>salutogenic cities; walkable environments; urban health; physical activity; healthy urban planning; bayesian networks; sustainable mobility</t>
        </is>
      </c>
      <c r="V364" t="inlineStr">
        <is>
          <t>WALKING-SUITABILITY-INDEX; TERRITORY T-WSI; PHYSICAL-ACTIVITY; BUILT-ENVIRONMENT; PUBLIC-HEALTH; LAND-USE; DESIGN; ACCESSIBILITY; CONNECTIVITY; WALKABILITY</t>
        </is>
      </c>
      <c r="W364" t="inlineStr">
        <is>
          <t>Background. The salutogenicity of urban environments is significantly affected by their ergonomics, i.e., by the quality of the interactions between citizens and the elements of the built environment. Measuring and modelling urban ergonomics is thus a key issue to provide urban policy makers with planning solutions to increase the well-being, usability and safety of the urban environment. However, this is a difficult task due to the complexity of the interrelations between the urban environment and human activities. The paper contributes to the definition of a generalized model of urban ergonomics and salutogenicity, focusing on walkability, by discussing the relevant parameters from the large and variegated sets proposed in the literature, by discussing the emerging model structure from a data mining process, by considering the background of the relevant functional dependency already established in the literature, and by providing evidence of the solutions' effectiveness. The methodology is developed for a case study in central Italy, with a focus on the mobility issue, which is a catalyst to generate more salutogenic and sustainable behaviors.</t>
        </is>
      </c>
      <c r="X364" t="inlineStr">
        <is>
          <t>[Appolloni, Letizia; Corazza, Maria Vittoria; D'Alessandro, Daniela] Sapienza Univ Rome, Dept Civil Bldg &amp; Environm Engn, I-00184 Rome, Italy; [Giretti, Alberto] Polytech Univ Marche, Dept Architecture Construct &amp; Struct, I-60121 Ancona, Italy</t>
        </is>
      </c>
      <c r="Y364" t="inlineStr">
        <is>
          <t>Sapienza University Rome; Marche Polytechnic University</t>
        </is>
      </c>
      <c r="Z364" t="inlineStr">
        <is>
          <t>Appolloni, L (corresponding author), Sapienza Univ Rome, Dept Civil Bldg &amp; Environm Engn, I-00184 Rome, Italy.</t>
        </is>
      </c>
      <c r="AA364" t="inlineStr">
        <is>
          <t>letizia.appolloni@uniroma1.it; a.giretti@univpm.it; mariavittoria.corazza@uniroma1.it; daniela.dalessandro@uniroma1.it</t>
        </is>
      </c>
      <c r="AB364" t="inlineStr">
        <is>
          <t>D'ALESSANDRO, DANIELA D./F-9529-2017; Corazza, Mariavittoria/W-9497-2019</t>
        </is>
      </c>
      <c r="AC364" t="inlineStr">
        <is>
          <t>D'ALESSANDRO, DANIELA D./0000-0002-7980-2908; Corazza, Mariavittoria/0000-0002-9681-2948</t>
        </is>
      </c>
      <c r="AH364" t="n">
        <v>97</v>
      </c>
      <c r="AI364" t="n">
        <v>3</v>
      </c>
      <c r="AJ364" t="n">
        <v>3</v>
      </c>
      <c r="AK364" t="n">
        <v>2</v>
      </c>
      <c r="AL364" t="n">
        <v>25</v>
      </c>
      <c r="AM364" t="inlineStr">
        <is>
          <t>MDPI</t>
        </is>
      </c>
      <c r="AN364" t="inlineStr">
        <is>
          <t>BASEL</t>
        </is>
      </c>
      <c r="AO364" t="inlineStr">
        <is>
          <t>ST ALBAN-ANLAGE 66, CH-4052 BASEL, SWITZERLAND</t>
        </is>
      </c>
      <c r="AQ364" t="inlineStr">
        <is>
          <t>2071-1050</t>
        </is>
      </c>
      <c r="AS364" t="inlineStr">
        <is>
          <t>SUSTAINABILITY-BASEL</t>
        </is>
      </c>
      <c r="AT364" t="inlineStr">
        <is>
          <t>Sustainability</t>
        </is>
      </c>
      <c r="AU364" t="inlineStr">
        <is>
          <t>OCT</t>
        </is>
      </c>
      <c r="AV364" t="n">
        <v>2020</v>
      </c>
      <c r="AW364" t="n">
        <v>12</v>
      </c>
      <c r="AX364" t="n">
        <v>20</v>
      </c>
      <c r="BE364" t="n">
        <v>8347</v>
      </c>
      <c r="BF364" t="inlineStr">
        <is>
          <t>10.3390/su12208347</t>
        </is>
      </c>
      <c r="BG364">
        <f>HYPERLINK("http://dx.doi.org/10.3390/su12208347","http://dx.doi.org/10.3390/su12208347")</f>
        <v/>
      </c>
      <c r="BJ364" t="n">
        <v>31</v>
      </c>
      <c r="BK364" t="inlineStr">
        <is>
          <t>Green &amp; Sustainable Science &amp; Technology; Environmental Sciences; Environmental Studies</t>
        </is>
      </c>
      <c r="BL364" t="inlineStr">
        <is>
          <t>Science Citation Index Expanded (SCI-EXPANDED); Social Science Citation Index (SSCI)</t>
        </is>
      </c>
      <c r="BM364" t="inlineStr">
        <is>
          <t>Science &amp; Technology - Other Topics; Environmental Sciences &amp; Ecology</t>
        </is>
      </c>
      <c r="BN364" t="inlineStr">
        <is>
          <t>OI2KM</t>
        </is>
      </c>
      <c r="BP364" t="inlineStr">
        <is>
          <t>Green Submitted, gold</t>
        </is>
      </c>
      <c r="BS364" t="inlineStr">
        <is>
          <t>2023-10-26</t>
        </is>
      </c>
      <c r="BT364" t="inlineStr">
        <is>
          <t>WOS:000583114100001</t>
        </is>
      </c>
      <c r="BU364">
        <f>HYPERLINK("https%3A%2F%2Fwww.webofscience.com%2Fwos%2Fwoscc%2Ffull-record%2FWOS:000583114100001","View Full Record in Web of Science")</f>
        <v/>
      </c>
    </row>
    <row r="365">
      <c r="A365" t="inlineStr">
        <is>
          <t>J</t>
        </is>
      </c>
      <c r="B365" t="inlineStr">
        <is>
          <t>Gose, M; Plachta-Danielzik, S; Willié, B; Johannsen, M; Landsberg, B; Müller, MJ</t>
        </is>
      </c>
      <c r="F365" t="inlineStr">
        <is>
          <t>Gose, Maria; Plachta-Danielzik, Sandra; Willie, Bianca; Johannsen, Maike; Landsberg, Beate; Mueller, Manfred J.</t>
        </is>
      </c>
      <c r="J365" t="inlineStr">
        <is>
          <t>INTERNATIONAL JOURNAL OF ENVIRONMENTAL RESEARCH AND PUBLIC HEALTH</t>
        </is>
      </c>
      <c r="M365" t="inlineStr">
        <is>
          <t>English</t>
        </is>
      </c>
      <c r="N365" t="inlineStr">
        <is>
          <t>Article</t>
        </is>
      </c>
      <c r="T365" t="inlineStr">
        <is>
          <t>Longitudinal Influences of Neighbourhood Built and Social Environment on Children's Weight Status</t>
        </is>
      </c>
      <c r="U365" t="inlineStr">
        <is>
          <t>overweight; children; longitudinal study; neighbourhood environment</t>
        </is>
      </c>
      <c r="V365" t="inlineStr">
        <is>
          <t>BODY-MASS INDEX; KIEL OBESITY PREVENTION; PHYSICAL-ACTIVITY; FAST-FOOD; CHILDHOOD OVERWEIGHT; SOCIOECONOMIC-STATUS; ASSOCIATIONS; BEHAVIORS; AVAILABILITY; PERSPECTIVES</t>
        </is>
      </c>
      <c r="W365" t="inlineStr">
        <is>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 g., traffic density, walkability, crime rates) were obtained from the State Capital of Kiel, Germany. In a multivariate model, walkability, street type, socioeconomic status of the district and perceived frequency of passing trucks/busses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is>
      </c>
      <c r="X365" t="inlineStr">
        <is>
          <t>[Gose, Maria; Plachta-Danielzik, Sandra; Johannsen, Maike; Landsberg, Beate; Mueller, Manfred J.] Univ Kiel, Inst Human Nutr &amp; Food Sci, D-24105 Kiel, Germany; [Willie, Bianca] Univ Kiel, Ctr Geoinformat, D-24118 Kiel, Germany</t>
        </is>
      </c>
      <c r="Y365" t="inlineStr">
        <is>
          <t>University of Kiel; University of Kiel</t>
        </is>
      </c>
      <c r="Z365" t="inlineStr">
        <is>
          <t>Müller, MJ (corresponding author), Univ Kiel, Inst Human Nutr &amp; Food Sci, Dusternbrooker Weg 17, D-24105 Kiel, Germany.</t>
        </is>
      </c>
      <c r="AA365" t="inlineStr">
        <is>
          <t>gose.maria@gmx.de; sdanielzik@nutrfoodsc.uni-kiel.de; bwillie@torresin-und-partner.de; mjohannsen@nutrfoodsc.uni-kiel.de; blandsberg@nutrfoodsc.uni-kiel.de; mmueller@nutrfoodsc.uni-kiel.de</t>
        </is>
      </c>
      <c r="AD365" t="inlineStr">
        <is>
          <t>Deutsche Forschungsgemeinschaft [DFG Mu 5.1, 5.2, 5.3, 5.5]; Kompetenznetz Adipositas (Competence Network Obesity) [FKZ: 01GI1121A]; Federal Ministry of Education and Research</t>
        </is>
      </c>
      <c r="AE365" t="inlineStr">
        <is>
          <t>Deutsche Forschungsgemeinschaft(German Research Foundation (DFG)); Kompetenznetz Adipositas (Competence Network Obesity); Federal Ministry of Education and Research(Federal Ministry of Education &amp; Research (BMBF))</t>
        </is>
      </c>
      <c r="AF365" t="inlineStr">
        <is>
          <t>This research was supported by Deutsche Forschungsgemeinschaft (DFG Mu 5.1, 5.2, 5.3 and 5.5) and Kompetenznetz Adipositas (Competence Network Obesity; FKZ: 01GI1121A; funded by the Federal Ministry of Education and Research).</t>
        </is>
      </c>
      <c r="AH365" t="n">
        <v>37</v>
      </c>
      <c r="AI365" t="n">
        <v>51</v>
      </c>
      <c r="AJ365" t="n">
        <v>51</v>
      </c>
      <c r="AK365" t="n">
        <v>4</v>
      </c>
      <c r="AL365" t="n">
        <v>52</v>
      </c>
      <c r="AM365" t="inlineStr">
        <is>
          <t>MDPI</t>
        </is>
      </c>
      <c r="AN365" t="inlineStr">
        <is>
          <t>BASEL</t>
        </is>
      </c>
      <c r="AO365" t="inlineStr">
        <is>
          <t>ST ALBAN-ANLAGE 66, CH-4052 BASEL, SWITZERLAND</t>
        </is>
      </c>
      <c r="AP365" t="inlineStr">
        <is>
          <t>1661-7827</t>
        </is>
      </c>
      <c r="AQ365" t="inlineStr">
        <is>
          <t>1660-4601</t>
        </is>
      </c>
      <c r="AS365" t="inlineStr">
        <is>
          <t>INT J ENV RES PUB HE</t>
        </is>
      </c>
      <c r="AT365" t="inlineStr">
        <is>
          <t>Int. J. Environ. Res. Public Health</t>
        </is>
      </c>
      <c r="AU365" t="inlineStr">
        <is>
          <t>OCT</t>
        </is>
      </c>
      <c r="AV365" t="n">
        <v>2013</v>
      </c>
      <c r="AW365" t="n">
        <v>10</v>
      </c>
      <c r="AX365" t="n">
        <v>10</v>
      </c>
      <c r="BC365" t="n">
        <v>5083</v>
      </c>
      <c r="BD365" t="n">
        <v>5096</v>
      </c>
      <c r="BF365" t="inlineStr">
        <is>
          <t>10.3390/ijerph10105083</t>
        </is>
      </c>
      <c r="BG365">
        <f>HYPERLINK("http://dx.doi.org/10.3390/ijerph10105083","http://dx.doi.org/10.3390/ijerph10105083")</f>
        <v/>
      </c>
      <c r="BJ365" t="n">
        <v>14</v>
      </c>
      <c r="BK365" t="inlineStr">
        <is>
          <t>Environmental Sciences; Public, Environmental &amp; Occupational Health</t>
        </is>
      </c>
      <c r="BL365" t="inlineStr">
        <is>
          <t>Science Citation Index Expanded (SCI-EXPANDED); Social Science Citation Index (SSCI)</t>
        </is>
      </c>
      <c r="BM365" t="inlineStr">
        <is>
          <t>Environmental Sciences &amp; Ecology; Public, Environmental &amp; Occupational Health</t>
        </is>
      </c>
      <c r="BN365" t="inlineStr">
        <is>
          <t>301GJ</t>
        </is>
      </c>
      <c r="BO365" t="n">
        <v>24132135</v>
      </c>
      <c r="BP365" t="inlineStr">
        <is>
          <t>Green Published, gold, Green Submitted</t>
        </is>
      </c>
      <c r="BS365" t="inlineStr">
        <is>
          <t>2023-10-26</t>
        </is>
      </c>
      <c r="BT365" t="inlineStr">
        <is>
          <t>WOS:000330520500033</t>
        </is>
      </c>
      <c r="BU365">
        <f>HYPERLINK("https%3A%2F%2Fwww.webofscience.com%2Fwos%2Fwoscc%2Ffull-record%2FWOS:000330520500033","View Full Record in Web of Science")</f>
        <v/>
      </c>
    </row>
    <row r="366">
      <c r="A366" t="inlineStr">
        <is>
          <t>J</t>
        </is>
      </c>
      <c r="B366" t="inlineStr">
        <is>
          <t>Zhang, MX; Xiong, JY; Liu, YJ; Misztal, PK; Goldstein, AH</t>
        </is>
      </c>
      <c r="F366" t="inlineStr">
        <is>
          <t>Zhang, Meixia; Xiong, Jianyin; Liu, Yingjun; Misztal, Pawel K.; Goldstein, Allen H.</t>
        </is>
      </c>
      <c r="J366" t="inlineStr">
        <is>
          <t>ENVIRONMENTAL SCIENCE &amp; TECHNOLOGY</t>
        </is>
      </c>
      <c r="M366" t="inlineStr">
        <is>
          <t>English</t>
        </is>
      </c>
      <c r="N366" t="inlineStr">
        <is>
          <t>Article</t>
        </is>
      </c>
      <c r="T366" t="inlineStr">
        <is>
          <t>Physical-Chemical Coupling Model for Characterizing the Reaction of Ozone with Squalene in Realistic Indoor Environments</t>
        </is>
      </c>
      <c r="V366" t="inlineStr">
        <is>
          <t>ORGANIC-COMPOUNDS VOCS; HETEROGENEOUS OXIDATION; INITIATED CHEMISTRY; REACTION-PRODUCTS; DIFFUSION-MODEL; SKIN LIPIDS; OZONOLYSIS; EXPOSURE; REMOVAL; IMPACT</t>
        </is>
      </c>
      <c r="W366" t="inlineStr">
        <is>
          <t>Squalene can react with indoor ozone to generate a series of volatile and semi-volatile organic compounds, some of which may be skin or respiratory irritants, causing adverse health effects. Better understanding of the ozone/squalene reaction and product transport characteristics is thus important. In this study, we developed a physical-chemical coupling model to describe the behavior of ozone/squalene reaction products, that is, 6-methyl-5-hepten-2-one (6-MHO) and 4-oxopentanal (4-OPA) in the gas phase and skin, by considering the chemical reaction and physical transport processes (external convection, internal diffusion, and surface uptake). Experiments without intervention were performed in a single-family house in California utilizing time- and space-resolved measurements. The key parameters in the model were extracted from 5 day data and then used to predict the behaviors in some other days. Predictions from the present model can reproduce the concentration profiles of the three compounds (ozone, 6-MHO, and 4-OPA) well (R-2 = 0.82-0.89), indicating high accuracy of the model. Exposure analysis shows that the total amount of 6-MHO and 4-OPA entering the blood capillaries in 4 days can reach 14.6 and 30.1 mu g, respectively. The contribution of different sinks to ozone removal in the tested realistic indoor environment was also analyzed.</t>
        </is>
      </c>
      <c r="X366" t="inlineStr">
        <is>
          <t>[Zhang, Meixia; Xiong, Jianyin] Beijing Inst Technol, Sch Mech Engn, Beijing 100081, Peoples R China; [Xiong, Jianyin; Liu, Yingjun; Misztal, Pawel K.; Goldstein, Allen H.] Univ Calif Berkeley, Dept Environm Sci Policy &amp; Management, Berkeley, CA 94720 USA; [Liu, Yingjun] Peking Univ, Coll Environm Sci &amp; Engn, BIC ESAT, Beijing 100871, Peoples R China; [Liu, Yingjun] Peking Univ, Coll Environm Sci &amp; Engn, SKL ESPC, Beijing 100871, Peoples R China; [Misztal, Pawel K.] Univ Texas Austin, Dept Civil Architectural &amp; Environm Engn, Austin, TX 78712 USA; [Goldstein, Allen H.] Univ Calif Berkeley, Dept Civil &amp; Environm Engn, Berkeley, CA 94720 USA</t>
        </is>
      </c>
      <c r="Y366" t="inlineStr">
        <is>
          <t>Beijing Institute of Technology; University of California System; University of California Berkeley; Peking University; Peking University; University of Texas System; University of Texas Austin; University of California System; University of California Berkeley</t>
        </is>
      </c>
      <c r="Z366" t="inlineStr">
        <is>
          <t>Xiong, JY (corresponding author), Beijing Inst Technol, Sch Mech Engn, Beijing 100081, Peoples R China.;Xiong, JY (corresponding author), Univ Calif Berkeley, Dept Environm Sci Policy &amp; Management, Berkeley, CA 94720 USA.</t>
        </is>
      </c>
      <c r="AA366" t="inlineStr">
        <is>
          <t>xiongjy@bit.edu.cn</t>
        </is>
      </c>
      <c r="AB366" t="inlineStr">
        <is>
          <t>Goldstein, Allen/A-6857-2011; Liu, Yingjun/AFD-8275-2022; Xiong, Jianyin/F-8562-2012; Misztal, Pawel K/B-8371-2009</t>
        </is>
      </c>
      <c r="AC366" t="inlineStr">
        <is>
          <t>Goldstein, Allen/0000-0003-4014-4896; Misztal, Pawel K/0000-0003-1060-1750</t>
        </is>
      </c>
      <c r="AD366" t="inlineStr">
        <is>
          <t>National Natural Science Foundation of China [51778053, 51708210]; Alfred P. Sloan Foundation [G-2016-7050, G-2019-11412]</t>
        </is>
      </c>
      <c r="AE366" t="inlineStr">
        <is>
          <t>National Natural Science Foundation of China(National Natural Science Foundation of China (NSFC)); Alfred P. Sloan Foundation(Alfred P. Sloan Foundation)</t>
        </is>
      </c>
      <c r="AF366" t="inlineStr">
        <is>
          <t>This study was supported by the National Natural Science Foundation of China (grant no. 51778053 and 51708210), and the Alfred P. Sloan Foundation (grants no. G-2016-7050 and G-2019-11412).</t>
        </is>
      </c>
      <c r="AH366" t="n">
        <v>48</v>
      </c>
      <c r="AI366" t="n">
        <v>28</v>
      </c>
      <c r="AJ366" t="n">
        <v>28</v>
      </c>
      <c r="AK366" t="n">
        <v>6</v>
      </c>
      <c r="AL366" t="n">
        <v>38</v>
      </c>
      <c r="AM366" t="inlineStr">
        <is>
          <t>AMER CHEMICAL SOC</t>
        </is>
      </c>
      <c r="AN366" t="inlineStr">
        <is>
          <t>WASHINGTON</t>
        </is>
      </c>
      <c r="AO366" t="inlineStr">
        <is>
          <t>1155 16TH ST, NW, WASHINGTON, DC 20036 USA</t>
        </is>
      </c>
      <c r="AP366" t="inlineStr">
        <is>
          <t>0013-936X</t>
        </is>
      </c>
      <c r="AQ366" t="inlineStr">
        <is>
          <t>1520-5851</t>
        </is>
      </c>
      <c r="AS366" t="inlineStr">
        <is>
          <t>ENVIRON SCI TECHNOL</t>
        </is>
      </c>
      <c r="AT366" t="inlineStr">
        <is>
          <t>Environ. Sci. Technol.</t>
        </is>
      </c>
      <c r="AU366" t="inlineStr">
        <is>
          <t>FEB 2</t>
        </is>
      </c>
      <c r="AV366" t="n">
        <v>2021</v>
      </c>
      <c r="AW366" t="n">
        <v>55</v>
      </c>
      <c r="AX366" t="n">
        <v>3</v>
      </c>
      <c r="BC366" t="n">
        <v>1690</v>
      </c>
      <c r="BD366" t="n">
        <v>1698</v>
      </c>
      <c r="BF366" t="inlineStr">
        <is>
          <t>10.1021/acs.est.0c06216</t>
        </is>
      </c>
      <c r="BG366">
        <f>HYPERLINK("http://dx.doi.org/10.1021/acs.est.0c06216","http://dx.doi.org/10.1021/acs.est.0c06216")</f>
        <v/>
      </c>
      <c r="BI366" t="inlineStr">
        <is>
          <t>JAN 2021</t>
        </is>
      </c>
      <c r="BJ366" t="n">
        <v>9</v>
      </c>
      <c r="BK366" t="inlineStr">
        <is>
          <t>Engineering, Environmental; Environmental Sciences</t>
        </is>
      </c>
      <c r="BL366" t="inlineStr">
        <is>
          <t>Science Citation Index Expanded (SCI-EXPANDED)</t>
        </is>
      </c>
      <c r="BM366" t="inlineStr">
        <is>
          <t>Engineering; Environmental Sciences &amp; Ecology</t>
        </is>
      </c>
      <c r="BN366" t="inlineStr">
        <is>
          <t>QH2CD</t>
        </is>
      </c>
      <c r="BO366" t="n">
        <v>33464056</v>
      </c>
      <c r="BS366" t="inlineStr">
        <is>
          <t>2023-10-26</t>
        </is>
      </c>
      <c r="BT366" t="inlineStr">
        <is>
          <t>WOS:000618083600032</t>
        </is>
      </c>
      <c r="BU366">
        <f>HYPERLINK("https%3A%2F%2Fwww.webofscience.com%2Fwos%2Fwoscc%2Ffull-record%2FWOS:000618083600032","View Full Record in Web of Science")</f>
        <v/>
      </c>
    </row>
    <row r="367">
      <c r="A367" t="inlineStr">
        <is>
          <t>J</t>
        </is>
      </c>
      <c r="B367" t="inlineStr">
        <is>
          <t>Lee, S; Alzoubi, HH; Kim, S</t>
        </is>
      </c>
      <c r="F367" t="inlineStr">
        <is>
          <t>Lee, Sangwon; Alzoubi, Hussain H.; Kim, Sooyoung</t>
        </is>
      </c>
      <c r="J367" t="inlineStr">
        <is>
          <t>SUSTAINABILITY</t>
        </is>
      </c>
      <c r="M367" t="inlineStr">
        <is>
          <t>English</t>
        </is>
      </c>
      <c r="N367" t="inlineStr">
        <is>
          <t>Article</t>
        </is>
      </c>
      <c r="T367" t="inlineStr">
        <is>
          <t>The Effect of Interior Design Elements and Lighting Layouts on Prospective Occupants' Perceptions of Amenity and Efficiency in Living Rooms</t>
        </is>
      </c>
      <c r="U367" t="inlineStr">
        <is>
          <t>interior design elements; occupants' perception; amenity; efficiency; causal relationship; residential space; virtual reality environment; spatial design adequacy</t>
        </is>
      </c>
      <c r="V367" t="inlineStr">
        <is>
          <t>POSTOCCUPANCY EVALUATION; DECISION-MAKING; ENVIRONMENT; PERFORMANCE; PERSPECTIVES; AFFORDANCES; COMFORT</t>
        </is>
      </c>
      <c r="W367" t="inlineStr">
        <is>
          <t>This study examines the effect of interior design elements on prospective occupants' perceptions of amenity and efficiency in a residential space. Thirty-one prospective occupants participated in a survey using virtual reality environments that consist of various combinations of interior design elements. In this study, occupants' perceptions were discussed in terms of affordance and satisfaction, and the relationship between them is interpreted statistically. The spatial factors affecting overall satisfaction at a detailed level were discussed. The causal relationship between the interior design elements and space were determined under the elaboration of perception processing. Multiple linear relationships between a limited number of spatial factors and virtually created space were analyzed. The perceived affordance of interior design elements was influenced by priming and concrete behaviors in a space. The materials, surfaces, and colors were weak contributors to clear perceptions about space. The occupants' evaluative perception processing elaborations were not effectively activated in the assessment of spatial design adequacy (SDA) in terms of materials, surfaces, and colors in a space.</t>
        </is>
      </c>
      <c r="X367" t="inlineStr">
        <is>
          <t>[Lee, Sangwon] Samsung C&amp;T Corp, Engn &amp; Construct Grp, Gyeonggi Do 13530, South Korea; [Alzoubi, Hussain H.] Jordan Univ Sci &amp; Technol, Dept Architecture, Irbid 22110, Jordan; [Kim, Sooyoung] Yonsei Univ, Dept Interior Architecture &amp; Built Environm, Seoul 03722, South Korea</t>
        </is>
      </c>
      <c r="Y367" t="inlineStr">
        <is>
          <t>Samsung; Jordan University of Science &amp; Technology; Yonsei University</t>
        </is>
      </c>
      <c r="Z367" t="inlineStr">
        <is>
          <t>Kim, S (corresponding author), Yonsei Univ, Dept Interior Architecture &amp; Built Environm, Seoul 03722, South Korea.</t>
        </is>
      </c>
      <c r="AA367" t="inlineStr">
        <is>
          <t>faab77@kaist.ac.kr; alzoubih@just.edu.jo; sooyoung@yonsei.ac.kr</t>
        </is>
      </c>
      <c r="AC367" t="inlineStr">
        <is>
          <t>Alzoubi, Hussain/0000-0002-4261-0435</t>
        </is>
      </c>
      <c r="AD367" t="inlineStr">
        <is>
          <t>Basic Science Research Program through the National Research Foundation of Korea (NRF) - Ministry of Science, ICT and Future Planning [NRF-2014R1A2A1A11051162]</t>
        </is>
      </c>
      <c r="AE367" t="inlineStr">
        <is>
          <t>Basic Science Research Program through the National Research Foundation of Korea (NRF) - Ministry of Science, ICT and Future Planning</t>
        </is>
      </c>
      <c r="AF367" t="inlineStr">
        <is>
          <t>This research was supported by the Basic Science Research Program through the National Research Foundation of Korea (NRF) funded by the Ministry of Science, ICT and Future Planning (NRF-2014R1A2A1A11051162).</t>
        </is>
      </c>
      <c r="AH367" t="n">
        <v>46</v>
      </c>
      <c r="AI367" t="n">
        <v>9</v>
      </c>
      <c r="AJ367" t="n">
        <v>11</v>
      </c>
      <c r="AK367" t="n">
        <v>5</v>
      </c>
      <c r="AL367" t="n">
        <v>44</v>
      </c>
      <c r="AM367" t="inlineStr">
        <is>
          <t>MDPI</t>
        </is>
      </c>
      <c r="AN367" t="inlineStr">
        <is>
          <t>BASEL</t>
        </is>
      </c>
      <c r="AO367" t="inlineStr">
        <is>
          <t>ST ALBAN-ANLAGE 66, CH-4052 BASEL, SWITZERLAND</t>
        </is>
      </c>
      <c r="AQ367" t="inlineStr">
        <is>
          <t>2071-1050</t>
        </is>
      </c>
      <c r="AS367" t="inlineStr">
        <is>
          <t>SUSTAINABILITY-BASEL</t>
        </is>
      </c>
      <c r="AT367" t="inlineStr">
        <is>
          <t>Sustainability</t>
        </is>
      </c>
      <c r="AU367" t="inlineStr">
        <is>
          <t>JUL</t>
        </is>
      </c>
      <c r="AV367" t="n">
        <v>2017</v>
      </c>
      <c r="AW367" t="n">
        <v>9</v>
      </c>
      <c r="AX367" t="n">
        <v>7</v>
      </c>
      <c r="BE367" t="n">
        <v>1119</v>
      </c>
      <c r="BF367" t="inlineStr">
        <is>
          <t>10.3390/su9071119</t>
        </is>
      </c>
      <c r="BG367">
        <f>HYPERLINK("http://dx.doi.org/10.3390/su9071119","http://dx.doi.org/10.3390/su9071119")</f>
        <v/>
      </c>
      <c r="BJ367" t="n">
        <v>30</v>
      </c>
      <c r="BK367" t="inlineStr">
        <is>
          <t>Green &amp; Sustainable Science &amp; Technology; Environmental Sciences; Environmental Studies</t>
        </is>
      </c>
      <c r="BL367" t="inlineStr">
        <is>
          <t>Science Citation Index Expanded (SCI-EXPANDED); Social Science Citation Index (SSCI)</t>
        </is>
      </c>
      <c r="BM367" t="inlineStr">
        <is>
          <t>Science &amp; Technology - Other Topics; Environmental Sciences &amp; Ecology</t>
        </is>
      </c>
      <c r="BN367" t="inlineStr">
        <is>
          <t>FC3AB</t>
        </is>
      </c>
      <c r="BP367" t="inlineStr">
        <is>
          <t>Green Submitted, gold</t>
        </is>
      </c>
      <c r="BS367" t="inlineStr">
        <is>
          <t>2023-10-26</t>
        </is>
      </c>
      <c r="BT367" t="inlineStr">
        <is>
          <t>WOS:000406709500048</t>
        </is>
      </c>
      <c r="BU367">
        <f>HYPERLINK("https%3A%2F%2Fwww.webofscience.com%2Fwos%2Fwoscc%2Ffull-record%2FWOS:000406709500048","View Full Record in Web of Science")</f>
        <v/>
      </c>
    </row>
    <row r="368">
      <c r="A368" t="inlineStr">
        <is>
          <t>J</t>
        </is>
      </c>
      <c r="B368" t="inlineStr">
        <is>
          <t>De Vincentis, R; Karagulian, F; Liberto, C; Nigro, M; Rosati, V; Valenti, G</t>
        </is>
      </c>
      <c r="F368" t="inlineStr">
        <is>
          <t>De Vincentis, Rosita; Karagulian, Federico; Liberto, Carlo; Nigro, Marialisa; Rosati, Vincenza; Valenti, Gaetano</t>
        </is>
      </c>
      <c r="J368" t="inlineStr">
        <is>
          <t>SUSTAINABILITY</t>
        </is>
      </c>
      <c r="M368" t="inlineStr">
        <is>
          <t>English</t>
        </is>
      </c>
      <c r="N368" t="inlineStr">
        <is>
          <t>Article</t>
        </is>
      </c>
      <c r="T368" t="inlineStr">
        <is>
          <t>A Data-Driven Approach to Analyze Mobility Patterns and the Built Environment: Evidence from Brescia, Catania, and Salerno (Italy)</t>
        </is>
      </c>
      <c r="U368" t="inlineStr">
        <is>
          <t>mobility patterns; built environment; Floating Car Data; OpenStreetMap repository; road network; accessibility</t>
        </is>
      </c>
      <c r="V368" t="inlineStr">
        <is>
          <t>URBAN; ACCESSIBILITY; CHOICE; TRAVEL; MODEL</t>
        </is>
      </c>
      <c r="W368" t="inlineStr">
        <is>
          <t>Investigating the correlation between urban mobility patterns and the built environment is crucial to support an integrated approach to transportation and land-use planning in modern cities. In this study, we aim to conduct a data-driven analysis of these two interrelated parts of the urban environment through the estimation of a set of metrics to assist city planners in making well-informed strategic decisions. Metrics are computed by aggregating and correlating different types of data sources. Floating Car Data (FCD) are used to compute metrics on mobility demand and traffic patterns. The built environment metrics are mainly derived from population and housing census data, as well as by investigating the topology and the functional classification adopted in the OpenStreetMap Repository to describe the importance and the role of each street in the overall network. Thanks to this set of metrics, accessibility indexes are then estimated to capture and explain the interaction between traffic patterns and the built environment in three Italian cities: Brescia, Catania, and Salerno. The results confirm that the proposed data-driven approach can extract valuable information to support decisions leading to more sustainable urban mobility volumes and patterns. More specifically, the application results show how the physical shape of each city and the related street network characteristics affect the accessibility profiles of different city zones and, consequently, the associated traffic patterns and travel delays. In particular, the combined analysis of city layouts, street network distributions, and floating car profiles suggests that cities such as Brescia, which is characterized by a homogeneously distributed radial street system, exhibit a more balanced spread of activities and efficient mobility behaviors.</t>
        </is>
      </c>
      <c r="X368" t="inlineStr">
        <is>
          <t>[De Vincentis, Rosita; Nigro, Marialisa; Rosati, Vincenza] Roma Tre Univ, Dept Engn, Via Vito Volterra 62, I-00146 Rome, Italy; [Karagulian, Federico; Liberto, Carlo; Valenti, Gaetano] ENEA Res Ctr Casaccia, Via Anguillarese 301, I-00123 Rome, Italy</t>
        </is>
      </c>
      <c r="Y368" t="inlineStr">
        <is>
          <t>Roma Tre University; Italian National Agency New Technical Energy &amp; Sustainable Economics Development</t>
        </is>
      </c>
      <c r="Z368" t="inlineStr">
        <is>
          <t>Liberto, C (corresponding author), ENEA Res Ctr Casaccia, Via Anguillarese 301, I-00123 Rome, Italy.</t>
        </is>
      </c>
      <c r="AA368" t="inlineStr">
        <is>
          <t>carlo.liberto@enea.it</t>
        </is>
      </c>
      <c r="AC368" t="inlineStr">
        <is>
          <t>NIGRO, Marialisa/0000-0003-0640-5810; Liberto, Carlo/0000-0003-2792-7722; Karagulian, Federico/0000-0003-0518-0955; Valenti, Gaetano/0000-0001-7300-1790</t>
        </is>
      </c>
      <c r="AH368" t="n">
        <v>35</v>
      </c>
      <c r="AI368" t="n">
        <v>2</v>
      </c>
      <c r="AJ368" t="n">
        <v>2</v>
      </c>
      <c r="AK368" t="n">
        <v>5</v>
      </c>
      <c r="AL368" t="n">
        <v>6</v>
      </c>
      <c r="AM368" t="inlineStr">
        <is>
          <t>MDPI</t>
        </is>
      </c>
      <c r="AN368" t="inlineStr">
        <is>
          <t>BASEL</t>
        </is>
      </c>
      <c r="AO368" t="inlineStr">
        <is>
          <t>ST ALBAN-ANLAGE 66, CH-4052 BASEL, SWITZERLAND</t>
        </is>
      </c>
      <c r="AQ368" t="inlineStr">
        <is>
          <t>2071-1050</t>
        </is>
      </c>
      <c r="AS368" t="inlineStr">
        <is>
          <t>SUSTAINABILITY-BASEL</t>
        </is>
      </c>
      <c r="AT368" t="inlineStr">
        <is>
          <t>Sustainability</t>
        </is>
      </c>
      <c r="AU368" t="inlineStr">
        <is>
          <t>NOV</t>
        </is>
      </c>
      <c r="AV368" t="n">
        <v>2022</v>
      </c>
      <c r="AW368" t="n">
        <v>14</v>
      </c>
      <c r="AX368" t="n">
        <v>21</v>
      </c>
      <c r="BE368" t="n">
        <v>14378</v>
      </c>
      <c r="BF368" t="inlineStr">
        <is>
          <t>10.3390/su142114378</t>
        </is>
      </c>
      <c r="BG368">
        <f>HYPERLINK("http://dx.doi.org/10.3390/su142114378","http://dx.doi.org/10.3390/su142114378")</f>
        <v/>
      </c>
      <c r="BJ368" t="n">
        <v>14</v>
      </c>
      <c r="BK368" t="inlineStr">
        <is>
          <t>Green &amp; Sustainable Science &amp; Technology; Environmental Sciences; Environmental Studies</t>
        </is>
      </c>
      <c r="BL368" t="inlineStr">
        <is>
          <t>Science Citation Index Expanded (SCI-EXPANDED); Social Science Citation Index (SSCI)</t>
        </is>
      </c>
      <c r="BM368" t="inlineStr">
        <is>
          <t>Science &amp; Technology - Other Topics; Environmental Sciences &amp; Ecology</t>
        </is>
      </c>
      <c r="BN368" t="inlineStr">
        <is>
          <t>6E8LG</t>
        </is>
      </c>
      <c r="BP368" t="inlineStr">
        <is>
          <t>gold</t>
        </is>
      </c>
      <c r="BS368" t="inlineStr">
        <is>
          <t>2023-10-26</t>
        </is>
      </c>
      <c r="BT368" t="inlineStr">
        <is>
          <t>WOS:000883624800001</t>
        </is>
      </c>
      <c r="BU368">
        <f>HYPERLINK("https%3A%2F%2Fwww.webofscience.com%2Fwos%2Fwoscc%2Ffull-record%2FWOS:000883624800001","View Full Record in Web of Science")</f>
        <v/>
      </c>
    </row>
    <row r="369">
      <c r="A369" t="inlineStr">
        <is>
          <t>J</t>
        </is>
      </c>
      <c r="B369" t="inlineStr">
        <is>
          <t>Yang, WY; Wang, SJ; Zhao, XM</t>
        </is>
      </c>
      <c r="F369" t="inlineStr">
        <is>
          <t>Yang, Wenyue; Wang, Shaojian; Zhao, Xiaoming</t>
        </is>
      </c>
      <c r="J369" t="inlineStr">
        <is>
          <t>SUSTAINABILITY</t>
        </is>
      </c>
      <c r="M369" t="inlineStr">
        <is>
          <t>English</t>
        </is>
      </c>
      <c r="N369" t="inlineStr">
        <is>
          <t>Article</t>
        </is>
      </c>
      <c r="T369" t="inlineStr">
        <is>
          <t>Measuring the Direct and Indirect Effects of Neighborhood-Built Environments on Travel-related CO2 Emissions: A Structural Equation Modeling Approach</t>
        </is>
      </c>
      <c r="U369" t="inlineStr">
        <is>
          <t>built environment; CO2 emissions; indirect effect; different purposes of trips; structural equation model (SEM)</t>
        </is>
      </c>
      <c r="V369" t="inlineStr">
        <is>
          <t>CARBON-DIOXIDE EMISSIONS; PANEL-DATA ANALYSIS; URBAN FORM; SOCIOECONOMIC-FACTORS; ENERGY-CONSUMPTION; PHYSICAL-ACTIVITY; TRANSPORT SECTOR; LAND-USE; CHINA; BEHAVIOR</t>
        </is>
      </c>
      <c r="W369" t="inlineStr">
        <is>
          <t>Intervening in the built environment is a key way for land-use and transport planning and related policies to promote low-carbon development and low-carbon travel. It is of significance to explore and recognize the actual impact of the neighborhood built environment on travel-related CO2 emissions. This study calculated the CO2 emissions from four purposes of trips, which were within the urban region, using Travel O-D Point Intelligent Query System (TIQS) and 1239 residents' travel survey questionnaires from 15 neighborhoods in Guangzhou. It measured the direct and indirect effects of built environments on CO2 emissions from different purposes of trips by developing structural equation models (SEMs). The results showed that for different purposes of trips, the effects of the neighborhood built environments on CO2 emissions were inconsistent. Almost all built environment elements had significant total effects on CO2 emissions, which were mainly indirect effects through mediators such as car ownership and trip distance, then affecting CO2 emissions indirectly. Most of the direct effects of neighborhood built environments on CO2 emissions were not significant, especially those from non-commuting trips. These findings suggest that in the process of formulating low-carbon oriented land-use and transport planning and policies, the indirect effects of the built environments should not be ignored, and the differences of the effects of the neighborhood built environments among different purposes of the trip should be fully considered.</t>
        </is>
      </c>
      <c r="X369" t="inlineStr">
        <is>
          <t>[Yang, Wenyue; Zhao, Xiaoming] South China Agr Univ, Coll Forestry &amp; Landscape Architecture, Guangzhou 510642, Guangdong, Peoples R China; [Wang, Shaojian] Sun Yat Sen Univ, Sch Geog &amp; Planning, Guangdong Prov Key Lab Urbanizat &amp; Geosimulat, Guangzhou 510275, Guangdong, Peoples R China</t>
        </is>
      </c>
      <c r="Y369" t="inlineStr">
        <is>
          <t>South China Agricultural University; Sun Yat Sen University</t>
        </is>
      </c>
      <c r="Z369" t="inlineStr">
        <is>
          <t>Zhao, XM (corresponding author), South China Agr Univ, Coll Forestry &amp; Landscape Architecture, Guangzhou 510642, Guangdong, Peoples R China.;Wang, SJ (corresponding author), Sun Yat Sen Univ, Sch Geog &amp; Planning, Guangdong Prov Key Lab Urbanizat &amp; Geosimulat, Guangzhou 510275, Guangdong, Peoples R China.</t>
        </is>
      </c>
      <c r="AA369" t="inlineStr">
        <is>
          <t>yangwenyue900780@163.com; wangshj.8@mail.sysu.edu.cn; xm1zhao@126.com</t>
        </is>
      </c>
      <c r="AD369" t="inlineStr">
        <is>
          <t>National Natural Science Foundation of China [41701169, 41601151]; Philosophy and Social Sciences Planning Project of Guangdong Province [GD17YSH01]; Natural Science Foundation of Guangdong Province [2016A030310149]; Pearl River S&amp;T Nova Program of Guangzhou</t>
        </is>
      </c>
      <c r="AE369" t="inlineStr">
        <is>
          <t>National Natural Science Foundation of China(National Natural Science Foundation of China (NSFC)); Philosophy and Social Sciences Planning Project of Guangdong Province; Natural Science Foundation of Guangdong Province(National Natural Science Foundation of Guangdong Province); Pearl River S&amp;T Nova Program of Guangzhou</t>
        </is>
      </c>
      <c r="AF369" t="inlineStr">
        <is>
          <t>This work was supported by the National Natural Science Foundation of China (41701169, 41601151), the Philosophy and Social Sciences Planning Project of Guangdong Province (GD17YSH01), the Natural Science Foundation of Guangdong Province (2016A030310149) and the Pearl River S&amp;T Nova Program of Guangzhou.</t>
        </is>
      </c>
      <c r="AH369" t="n">
        <v>56</v>
      </c>
      <c r="AI369" t="n">
        <v>4</v>
      </c>
      <c r="AJ369" t="n">
        <v>4</v>
      </c>
      <c r="AK369" t="n">
        <v>4</v>
      </c>
      <c r="AL369" t="n">
        <v>61</v>
      </c>
      <c r="AM369" t="inlineStr">
        <is>
          <t>MDPI</t>
        </is>
      </c>
      <c r="AN369" t="inlineStr">
        <is>
          <t>BASEL</t>
        </is>
      </c>
      <c r="AO369" t="inlineStr">
        <is>
          <t>ST ALBAN-ANLAGE 66, CH-4052 BASEL, SWITZERLAND</t>
        </is>
      </c>
      <c r="AQ369" t="inlineStr">
        <is>
          <t>2071-1050</t>
        </is>
      </c>
      <c r="AS369" t="inlineStr">
        <is>
          <t>SUSTAINABILITY-BASEL</t>
        </is>
      </c>
      <c r="AT369" t="inlineStr">
        <is>
          <t>Sustainability</t>
        </is>
      </c>
      <c r="AU369" t="inlineStr">
        <is>
          <t>MAY</t>
        </is>
      </c>
      <c r="AV369" t="n">
        <v>2018</v>
      </c>
      <c r="AW369" t="n">
        <v>10</v>
      </c>
      <c r="AX369" t="n">
        <v>5</v>
      </c>
      <c r="BE369" t="n">
        <v>1372</v>
      </c>
      <c r="BF369" t="inlineStr">
        <is>
          <t>10.3390/su10051372</t>
        </is>
      </c>
      <c r="BG369">
        <f>HYPERLINK("http://dx.doi.org/10.3390/su10051372","http://dx.doi.org/10.3390/su10051372")</f>
        <v/>
      </c>
      <c r="BJ369" t="n">
        <v>14</v>
      </c>
      <c r="BK369" t="inlineStr">
        <is>
          <t>Green &amp; Sustainable Science &amp; Technology; Environmental Sciences; Environmental Studies</t>
        </is>
      </c>
      <c r="BL369" t="inlineStr">
        <is>
          <t>Science Citation Index Expanded (SCI-EXPANDED); Social Science Citation Index (SSCI)</t>
        </is>
      </c>
      <c r="BM369" t="inlineStr">
        <is>
          <t>Science &amp; Technology - Other Topics; Environmental Sciences &amp; Ecology</t>
        </is>
      </c>
      <c r="BN369" t="inlineStr">
        <is>
          <t>GJ7RP</t>
        </is>
      </c>
      <c r="BP369" t="inlineStr">
        <is>
          <t>gold</t>
        </is>
      </c>
      <c r="BS369" t="inlineStr">
        <is>
          <t>2023-10-26</t>
        </is>
      </c>
      <c r="BT369" t="inlineStr">
        <is>
          <t>WOS:000435587100068</t>
        </is>
      </c>
      <c r="BU369">
        <f>HYPERLINK("https%3A%2F%2Fwww.webofscience.com%2Fwos%2Fwoscc%2Ffull-record%2FWOS:000435587100068","View Full Record in Web of Science")</f>
        <v/>
      </c>
    </row>
    <row r="370">
      <c r="A370" t="inlineStr">
        <is>
          <t>J</t>
        </is>
      </c>
      <c r="B370" t="inlineStr">
        <is>
          <t>Yang, EH; Ismail, A; Kim, Y; Erdogmus, E; Boron, J; Goldstein, F; DuBose, J; Zimring, C</t>
        </is>
      </c>
      <c r="F370" t="inlineStr">
        <is>
          <t>Yang, Eunhwa; Ismail, Aliaa; Kim, Yujin; Erdogmus, Ece; Boron, Julie; Goldstein, Felicia; DuBose, Jennifer; Zimring, Craig</t>
        </is>
      </c>
      <c r="J370" t="inlineStr">
        <is>
          <t>INTERNATIONAL JOURNAL OF ENVIRONMENTAL RESEARCH AND PUBLIC HEALTH</t>
        </is>
      </c>
      <c r="M370" t="inlineStr">
        <is>
          <t>English</t>
        </is>
      </c>
      <c r="N370" t="inlineStr">
        <is>
          <t>Review</t>
        </is>
      </c>
      <c r="T370" t="inlineStr">
        <is>
          <t>Multidimensional Environmental Factors and Sleep Health for Aging Adults: A Focused Narrative Review</t>
        </is>
      </c>
      <c r="U370" t="inlineStr">
        <is>
          <t>built environment; psychosocial environments; sleep health; sleep disparities; aging adults</t>
        </is>
      </c>
      <c r="V370" t="inlineStr">
        <is>
          <t>LIGHT EXPOSURE; NURSING-HOME; PROSPECTIVE ASSOCIATIONS; MELATONIN SECRETION; SOCIAL-ISOLATION; DISTURBED SLEEP; HEAT EXPOSURE; EVENING LIGHT; OLDER-ADULTS; QUALITY</t>
        </is>
      </c>
      <c r="W370" t="inlineStr">
        <is>
          <t>The timing, amount, and quality of sleep are critical for an individual's health and quality of life. This paper provides a focused narrative review of the existing literature around multidimensional environments and sleep health for aging adults. Five electronic databases, Scopus, Web of Science, PubMed/Medline; EBSCOhost, PsycINFO (ProQuest), and Google Scholar yielded 54,502 total records. After removing duplicates, non-peer reviewed academic articles, and nonrelevant articles, 70 were included for review. We were able to categorize environmental factors into housing security, home environment, and neighborhood environment, and, within each environmental category, specific elements/aspects are discussed. This paper provides a comprehensive map connecting identified levels of influence (individual, home/house, and neighborhood-level) in which subfactors are listed under each level of influence/category with the related literature list. Our review highlights that multidimensional environmental factors can affect aging adults' sleep health and eventually their physical, mental, and cognitive health and that sleep disparities exist in racial minorities in socioeconomically disadvantaged communities in which cumulative environmental stressors coexist. Based on this focused narrative review on the multidimensional sleep environments for aging adults, knowledge gaps are identified, and future research directions are suggested.</t>
        </is>
      </c>
      <c r="X370" t="inlineStr">
        <is>
          <t>[Yang, Eunhwa; Ismail, Aliaa; Kim, Yujin; Erdogmus, Ece] Georgia Inst Technol, Sch Bldg Construct, Atlanta, GA 30332 USA; [Boron, Julie] Univ Nebraska, Dept Gerontol, Omaha, NE 68182 USA; [Goldstein, Felicia] Emory Univ, Sch Med, Dept Neurol, Atlanta, GA 30322 USA; [DuBose, Jennifer; Zimring, Craig] Georgia Inst Technol, SimTigrate Design Lab, Atlanta, GA 30332 USA</t>
        </is>
      </c>
      <c r="Y370" t="inlineStr">
        <is>
          <t>University System of Georgia; Georgia Institute of Technology; University of Nebraska System; Emory University; University System of Georgia; Georgia Institute of Technology</t>
        </is>
      </c>
      <c r="Z370" t="inlineStr">
        <is>
          <t>Yang, EH (corresponding author), Georgia Inst Technol, Sch Bldg Construct, Atlanta, GA 30332 USA.</t>
        </is>
      </c>
      <c r="AA370" t="inlineStr">
        <is>
          <t>eunhwa.yang@design.gatech.edu</t>
        </is>
      </c>
      <c r="AC370" t="inlineStr">
        <is>
          <t>Kim, Yujin/0000-0002-0649-7471; Blaskewicz Boron, Julie/0000-0003-1121-8120; Erdogmus, Ece/0000-0002-6447-1157</t>
        </is>
      </c>
      <c r="AD370" t="inlineStr">
        <is>
          <t>Charlie and Harriet Shaffer Cognitive Empowerment Program; Emory Brain Health; Georgia Institute of Technology , through the generosity of The James M. Cox Foundation</t>
        </is>
      </c>
      <c r="AE370" t="inlineStr">
        <is>
          <t>Charlie and Harriet Shaffer Cognitive Empowerment Program; Emory Brain Health; Georgia Institute of Technology , through the generosity of The James M. Cox Foundation</t>
        </is>
      </c>
      <c r="AF370" t="inlineStr">
        <is>
          <t>Charlie and Harriet Shaffer Cognitive Empowerment Program, a research partnership between Emory Brain Health and the Georgia Institute of Technology, through the generosity of The James M. Cox Foundation.</t>
        </is>
      </c>
      <c r="AH370" t="n">
        <v>88</v>
      </c>
      <c r="AI370" t="n">
        <v>0</v>
      </c>
      <c r="AJ370" t="n">
        <v>0</v>
      </c>
      <c r="AK370" t="n">
        <v>2</v>
      </c>
      <c r="AL370" t="n">
        <v>12</v>
      </c>
      <c r="AM370" t="inlineStr">
        <is>
          <t>MDPI</t>
        </is>
      </c>
      <c r="AN370" t="inlineStr">
        <is>
          <t>BASEL</t>
        </is>
      </c>
      <c r="AO370" t="inlineStr">
        <is>
          <t>ST ALBAN-ANLAGE 66, CH-4052 BASEL, SWITZERLAND</t>
        </is>
      </c>
      <c r="AQ370" t="inlineStr">
        <is>
          <t>1660-4601</t>
        </is>
      </c>
      <c r="AS370" t="inlineStr">
        <is>
          <t>INT J ENV RES PUB HE</t>
        </is>
      </c>
      <c r="AT370" t="inlineStr">
        <is>
          <t>Int. J. Environ. Res. Public Health</t>
        </is>
      </c>
      <c r="AU370" t="inlineStr">
        <is>
          <t>DEC</t>
        </is>
      </c>
      <c r="AV370" t="n">
        <v>2022</v>
      </c>
      <c r="AW370" t="n">
        <v>19</v>
      </c>
      <c r="AX370" t="n">
        <v>23</v>
      </c>
      <c r="BE370" t="n">
        <v>15481</v>
      </c>
      <c r="BF370" t="inlineStr">
        <is>
          <t>10.3390/ijerph192315481</t>
        </is>
      </c>
      <c r="BG370">
        <f>HYPERLINK("http://dx.doi.org/10.3390/ijerph192315481","http://dx.doi.org/10.3390/ijerph192315481")</f>
        <v/>
      </c>
      <c r="BJ370" t="n">
        <v>14</v>
      </c>
      <c r="BK370" t="inlineStr">
        <is>
          <t>Environmental Sciences; Public, Environmental &amp; Occupational Health</t>
        </is>
      </c>
      <c r="BL370" t="inlineStr">
        <is>
          <t>Science Citation Index Expanded (SCI-EXPANDED); Social Science Citation Index (SSCI)</t>
        </is>
      </c>
      <c r="BM370" t="inlineStr">
        <is>
          <t>Environmental Sciences &amp; Ecology; Public, Environmental &amp; Occupational Health</t>
        </is>
      </c>
      <c r="BN370" t="inlineStr">
        <is>
          <t>6Y7CD</t>
        </is>
      </c>
      <c r="BO370" t="n">
        <v>36497555</v>
      </c>
      <c r="BP370" t="inlineStr">
        <is>
          <t>Green Published, gold</t>
        </is>
      </c>
      <c r="BS370" t="inlineStr">
        <is>
          <t>2023-10-26</t>
        </is>
      </c>
      <c r="BT370" t="inlineStr">
        <is>
          <t>WOS:000897247800001</t>
        </is>
      </c>
      <c r="BU370">
        <f>HYPERLINK("https%3A%2F%2Fwww.webofscience.com%2Fwos%2Fwoscc%2Ffull-record%2FWOS:000897247800001","View Full Record in Web of Science")</f>
        <v/>
      </c>
    </row>
    <row r="371">
      <c r="A371" t="inlineStr">
        <is>
          <t>J</t>
        </is>
      </c>
      <c r="B371" t="inlineStr">
        <is>
          <t>Cao, L; Yang, L; Swanson, CS; Li, S; He, Q</t>
        </is>
      </c>
      <c r="F371" t="inlineStr">
        <is>
          <t>Cao, Liu; Yang, Lu; Swanson, Clifford S.; Li, Shuai; He, Qiang</t>
        </is>
      </c>
      <c r="J371" t="inlineStr">
        <is>
          <t>FRONTIERS OF ENVIRONMENTAL SCIENCE &amp; ENGINEERING</t>
        </is>
      </c>
      <c r="M371" t="inlineStr">
        <is>
          <t>English</t>
        </is>
      </c>
      <c r="N371" t="inlineStr">
        <is>
          <t>Article</t>
        </is>
      </c>
      <c r="T371" t="inlineStr">
        <is>
          <t>Comparative analysis of impact of human occupancy on indoor microbiomes</t>
        </is>
      </c>
      <c r="U371" t="inlineStr">
        <is>
          <t>Built environment; Indoor microbiome; Occupant; Building; Sequencing</t>
        </is>
      </c>
      <c r="V371" t="inlineStr">
        <is>
          <t>ADAPTATION; COMMENSAL; BACTERIA</t>
        </is>
      </c>
      <c r="W371" t="inlineStr">
        <is>
          <t>Educational facilities serve as community hubs and consequently hotspots for exposure to pathogenic microorganisms. Therefore, it is of critical importance to understand processes shaping the indoor microbiomes in educational facilities to protect public health by reducing potential exposure risks of students and the broader community. In this study, the indoor surface bacterial microbiomes were characterized in two multifunctional university buildings with contrasting levels of human occupancy, of which one was recently constructed with minimal human occupancy while the other had been in full operation for six years. Higher levels of human occupancy in the older building were shown to result in greater microbial abundance in the indoor environment and greater proportion of the indoor surface bacterial microbiomes contributed from human-associated microbiota, particularly the skin microbiota. It was further revealed that human-associated microbiota had greater influence on the indoor surface bacterial microbiomes in areas of high occupancy than areas of low occupancy. Consistent with minimal impact from human occupancy in a new construction, the indoor microbiomes in the new building exhibited significantly lower influence from human-associated microbiota than in the older building, with microbial taxa originating from soil and plants representing the dominant constituents of the indoor surface bacterial microbiomes. In contrast, microbial taxa in the older building with extensive human occupancy were represented by constituents of the human microbiota, likely from occupants. These findings provide insights into processes shaping the indoor microbiomes which will aid the development of effective strategies to control microbial exposure risks of occupants in educational facilities.</t>
        </is>
      </c>
      <c r="X371" t="inlineStr">
        <is>
          <t>[Cao, Liu; Yang, Lu; Swanson, Clifford S.; Li, Shuai; He, Qiang] Univ Tennessee, Dept Civil &amp; Environm Engn, Knoxville, TN 37996 USA; [He, Qiang] Univ Tennessee, Inst Secure &amp; Sustainable Environm, Knoxville, TN 37996 USA</t>
        </is>
      </c>
      <c r="Y371" t="inlineStr">
        <is>
          <t>University of Tennessee System; University of Tennessee Knoxville; University of Tennessee System; University of Tennessee Knoxville</t>
        </is>
      </c>
      <c r="Z371" t="inlineStr">
        <is>
          <t>Li, S; He, Q (corresponding author), Univ Tennessee, Dept Civil &amp; Environm Engn, Knoxville, TN 37996 USA.;He, Q (corresponding author), Univ Tennessee, Inst Secure &amp; Sustainable Environm, Knoxville, TN 37996 USA.</t>
        </is>
      </c>
      <c r="AA371" t="inlineStr">
        <is>
          <t>sli48@utk.edu; qianghe@utk.edu</t>
        </is>
      </c>
      <c r="AB371" t="inlineStr">
        <is>
          <t>He, Qiang/G-9061-2011; Cao, Liu/HJI-9290-2023</t>
        </is>
      </c>
      <c r="AC371" t="inlineStr">
        <is>
          <t>He, Qiang/0000-0002-7155-6474; Cao, Liu/0000-0002-6560-154X</t>
        </is>
      </c>
      <c r="AD371" t="inlineStr">
        <is>
          <t>US National Science Foundation [1952140, 2026719]; Direct For Computer &amp; Info Scie &amp; Enginr; Division Of Computer and Network Systems [1952140] Funding Source: National Science Foundation; Div Of Civil, Mechanical, &amp; Manufact Inn; Directorate For Engineering [2026719] Funding Source: National Science Foundation</t>
        </is>
      </c>
      <c r="AE371" t="inlineStr">
        <is>
          <t>US National Science Foundation(National Science Foundation (NSF)); Direct For Computer &amp; Info Scie &amp; Enginr; Division Of Computer and Network Systems(National Science Foundation (NSF)NSF - Directorate for Computer &amp; Information Science &amp; Engineering (CISE)); Div Of Civil, Mechanical, &amp; Manufact Inn; Directorate For Engineering(National Science Foundation (NSF)NSF - Directorate for Engineering (ENG))</t>
        </is>
      </c>
      <c r="AF371" t="inlineStr">
        <is>
          <t>This work was supported in part by US National Science Foundation awards 1952140 and 2026719. Any opinions, findings, recommendations, and conclusions in this paper are those of the authors, and do not necessarily reflect the views of NSF and the University of Tennessee, Knoxville of USA.</t>
        </is>
      </c>
      <c r="AH371" t="n">
        <v>36</v>
      </c>
      <c r="AI371" t="n">
        <v>10</v>
      </c>
      <c r="AJ371" t="n">
        <v>10</v>
      </c>
      <c r="AK371" t="n">
        <v>4</v>
      </c>
      <c r="AL371" t="n">
        <v>29</v>
      </c>
      <c r="AM371" t="inlineStr">
        <is>
          <t>HIGHER EDUCATION PRESS</t>
        </is>
      </c>
      <c r="AN371" t="inlineStr">
        <is>
          <t>BEIJING</t>
        </is>
      </c>
      <c r="AO371" t="inlineStr">
        <is>
          <t>CHAOYANG DIST, 4, HUIXINDONGJIE, FUSHENG BLDG, BEIJING 100029, PEOPLES R CHINA</t>
        </is>
      </c>
      <c r="AP371" t="inlineStr">
        <is>
          <t>2095-2201</t>
        </is>
      </c>
      <c r="AQ371" t="inlineStr">
        <is>
          <t>2095-221X</t>
        </is>
      </c>
      <c r="AS371" t="inlineStr">
        <is>
          <t>FRONT ENV SCI ENG</t>
        </is>
      </c>
      <c r="AT371" t="inlineStr">
        <is>
          <t>Front. Env. Sci. Eng.</t>
        </is>
      </c>
      <c r="AU371" t="inlineStr">
        <is>
          <t>DEC 10</t>
        </is>
      </c>
      <c r="AV371" t="n">
        <v>2021</v>
      </c>
      <c r="AW371" t="n">
        <v>15</v>
      </c>
      <c r="AX371" t="n">
        <v>5</v>
      </c>
      <c r="BE371" t="n">
        <v>89</v>
      </c>
      <c r="BF371" t="inlineStr">
        <is>
          <t>10.1007/s11783-020-1383-1</t>
        </is>
      </c>
      <c r="BG371">
        <f>HYPERLINK("http://dx.doi.org/10.1007/s11783-020-1383-1","http://dx.doi.org/10.1007/s11783-020-1383-1")</f>
        <v/>
      </c>
      <c r="BJ371" t="n">
        <v>10</v>
      </c>
      <c r="BK371" t="inlineStr">
        <is>
          <t>Engineering, Environmental; Environmental Sciences</t>
        </is>
      </c>
      <c r="BL371" t="inlineStr">
        <is>
          <t>Science Citation Index Expanded (SCI-EXPANDED)</t>
        </is>
      </c>
      <c r="BM371" t="inlineStr">
        <is>
          <t>Engineering; Environmental Sciences &amp; Ecology</t>
        </is>
      </c>
      <c r="BN371" t="inlineStr">
        <is>
          <t>PS6PF</t>
        </is>
      </c>
      <c r="BO371" t="n">
        <v>33425458</v>
      </c>
      <c r="BP371" t="inlineStr">
        <is>
          <t>Green Published, Bronze</t>
        </is>
      </c>
      <c r="BS371" t="inlineStr">
        <is>
          <t>2023-10-26</t>
        </is>
      </c>
      <c r="BT371" t="inlineStr">
        <is>
          <t>WOS:000608047800004</t>
        </is>
      </c>
      <c r="BU371">
        <f>HYPERLINK("https%3A%2F%2Fwww.webofscience.com%2Fwos%2Fwoscc%2Ffull-record%2FWOS:000608047800004","View Full Record in Web of Science")</f>
        <v/>
      </c>
    </row>
    <row r="372">
      <c r="A372" t="inlineStr">
        <is>
          <t>J</t>
        </is>
      </c>
      <c r="B372" t="inlineStr">
        <is>
          <t>Koohsari, MJ; Kaczynski, AT; Hanibuchi, T; Shibata, A; Ishii, K; Yasunaga, A; Nakaya, T; Oka, K</t>
        </is>
      </c>
      <c r="F372" t="inlineStr">
        <is>
          <t>Koohsari, Mohammad Javad; Kaczynski, Andrew T.; Hanibuchi, Tomoya; Shibata, Ai; Ishii, Kaori; Yasunaga, Akitomo; Nakaya, Tomoki; Oka, Koichiro</t>
        </is>
      </c>
      <c r="J372" t="inlineStr">
        <is>
          <t>INTERNATIONAL JOURNAL OF ENVIRONMENTAL RESEARCH AND PUBLIC HEALTH</t>
        </is>
      </c>
      <c r="M372" t="inlineStr">
        <is>
          <t>English</t>
        </is>
      </c>
      <c r="N372" t="inlineStr">
        <is>
          <t>Article</t>
        </is>
      </c>
      <c r="T372" t="inlineStr">
        <is>
          <t>Physical Activity Environment and Japanese Adults' Body Mass Index</t>
        </is>
      </c>
      <c r="U372" t="inlineStr">
        <is>
          <t>urban design; neighbourhood; weight; Asia; active behaviour; urban form</t>
        </is>
      </c>
      <c r="V372" t="inlineStr">
        <is>
          <t>BUILT ENVIRONMENT; NEIGHBORHOOD WALKABILITY; SEDENTARY BEHAVIORS; FOOD ENVIRONMENT; STREET LAYOUT; WEIGHT STATUS; IPEN ADULT; WALKING; OBESITY; ASSOCIATIONS</t>
        </is>
      </c>
      <c r="W372" t="inlineStr">
        <is>
          <t>Evidence about the impacts of the physical activity environment on adults' weight in the context of Asian countries is scarce. Likewise, no study exists in Asia examining whether Walk Score a free online walkability tool is related to obesity. This study aimed to examine associations between multiple physical activity environment measures and Walk Score ratings with Japanese adults' body mass index (BMI). Data from 1073 adults in the Healthy Built Environment in Japan study were used. In 2011, participants reported their height and weight. Environmental attributes, including population density, intersection density, density of physical activity facilities, access to public transportation, and availability of sidewalks, were calculated using Geographic Information Systems. Walk Scores ratings were obtained from the website. Multiple linear regression analysis was conducted to examine the association between each environmental attribute and BMI. Adjusting for covariates, all physical activity environmental attributes were negatively associated with BMI. Similarly, an increase of one standard deviation of Walk Score was associated with a 0.29 (95% confidence interval (CI) of-0.49--0.09) decrease in BMI. An activity-friendly built environment was associated with lower adults' BMI in Japan. Investing in healthy community design may positively impact weight status in non-Western contexts.</t>
        </is>
      </c>
      <c r="X372" t="inlineStr">
        <is>
          <t>[Koohsari, Mohammad Javad; Ishii, Kaori; Oka, Koichiro] Waseda Univ, Fac Sport Sci, Saitama 3591192, Japan; [Koohsari, Mohammad Javad] Baker Heart &amp; Diabet Inst, Behav Epidemiol Lab, Melbourne, Vic 3004, Australia; [Koohsari, Mohammad Javad] Australian Catholic Univ, Mary MacKillop Inst Hlth Res, Melbourne, Vic 3000, Australia; [Kaczynski, Andrew T.] Univ South Carolina, Arnold Sch Publ Hlth, Dept Hlth Promot Educ &amp; Behav, Columbia, SC 29229 USA; [Kaczynski, Andrew T.] Univ South Carolina, Prevent Res Ctr, Columbia, SC 29229 USA; [Hanibuchi, Tomoya] Chukyo Univ, Sch Int Liberal Studies, Nagoya, Aichi 4668666, Japan; [Shibata, Ai] Univ Tsukuba, Fac Hlth &amp; Sport Sci, Tsukuba, Ibaraki 3058574, Japan; [Yasunaga, Akitomo] Bunka Gakuen Univ, Fac Liberal Arts &amp; Sci, Tokyo 1518523, Japan; [Nakaya, Tomoki] Ritsumeikan Univ, Dept Geog, Kyoto 6038577, Japan; [Nakaya, Tomoki] Ritsumeikan Univ, Inst Disaster Mitigat Urban Cultural Heritage, Kyoto 6038577, Japan</t>
        </is>
      </c>
      <c r="Y372" t="inlineStr">
        <is>
          <t>Waseda University; Australian Catholic University; University of South Carolina System; University of South Carolina Columbia; University of South Carolina System; University of South Carolina Columbia; Chukyo University; University of Tsukuba; Ritsumeikan University; Ritsumeikan University</t>
        </is>
      </c>
      <c r="Z372" t="inlineStr">
        <is>
          <t>Koohsari, MJ (corresponding author), Waseda Univ, Fac Sport Sci, Saitama 3591192, Japan.;Koohsari, MJ (corresponding author), Baker Heart &amp; Diabet Inst, Behav Epidemiol Lab, Melbourne, Vic 3004, Australia.;Koohsari, MJ (corresponding author), Australian Catholic Univ, Mary MacKillop Inst Hlth Res, Melbourne, Vic 3000, Australia.</t>
        </is>
      </c>
      <c r="AA372" t="inlineStr">
        <is>
          <t>javad.koohsari@baker.edu.au; atkaczyn@mailbox.sc.edu; hanibuchi@gmail.com; shibata.ai.ga@u.tsukuba.ac.jp; ishiikaori@waseda.jp; yasunaga@bunka.ac.jp; nakaya@lt.ritsumei.ac.jp; koka@waseda.jp</t>
        </is>
      </c>
      <c r="AB372" t="inlineStr">
        <is>
          <t>Oka, Koichiro/K-3297-2019; Koohsari, Javad/A-4613-2009</t>
        </is>
      </c>
      <c r="AC372" t="inlineStr">
        <is>
          <t>Koohsari, Javad/0000-0001-9384-5456; Yasunaga, Akitomo/0000-0002-9924-4042; Oka, Koichiro/0000-0001-5571-042X; Nakaya, Tomoki/0000-0002-3827-1012</t>
        </is>
      </c>
      <c r="AD372" t="inlineStr">
        <is>
          <t>JSPS Postdoctoral Fellowship for Research in Japan from the Japan Society for the Promotion of Science [17716]; JSPS KAKENHI [JP25704018]; MEXT-Supported Program for the Strategic Research Foundation at Private Universities; Japan Ministry of Education, Culture, Sports, Science and Technology [S1511017]; Grants-in-Aid for Scientific Research [25704018] Funding Source: KAKEN</t>
        </is>
      </c>
      <c r="AE372" t="inlineStr">
        <is>
          <t>JSPS Postdoctoral Fellowship for Research in Japan from the Japan Society for the Promotion of Science; JSPS KAKENHI(Ministry of Education, Culture, Sports, Science and Technology, Japan (MEXT)Japan Society for the Promotion of ScienceGrants-in-Aid for Scientific Research (KAKENHI)); MEXT-Supported Program for the Strategic Research Foundation at Private Universities(Ministry of Education, Culture, Sports, Science and Technology, Japan (MEXT)); Japan Ministry of Education, Culture, Sports, Science and Technology(Ministry of Education, Culture, Sports, Science and Technology, Japan (MEXT)); Grants-in-Aid for Scientific Research(Ministry of Education, Culture, Sports, Science and Technology, Japan (MEXT)Japan Society for the Promotion of ScienceGrants-in-Aid for Scientific Research (KAKENHI))</t>
        </is>
      </c>
      <c r="AF372" t="inlineStr">
        <is>
          <t>Koohsari was supported by a JSPS Postdoctoral Fellowship for Research in Japan (#17716) from the Japan Society for the Promotion of Science. Hanibuchi was supported by the JSPS KAKENHI (#JP25704018). Oka is supported by the MEXT-Supported Program for the Strategic Research Foundation at Private Universities, 2015-2019 the Japan Ministry of Education, Culture, Sports, Science and Technology (S1511017).</t>
        </is>
      </c>
      <c r="AH372" t="n">
        <v>63</v>
      </c>
      <c r="AI372" t="n">
        <v>10</v>
      </c>
      <c r="AJ372" t="n">
        <v>11</v>
      </c>
      <c r="AK372" t="n">
        <v>1</v>
      </c>
      <c r="AL372" t="n">
        <v>19</v>
      </c>
      <c r="AM372" t="inlineStr">
        <is>
          <t>MDPI</t>
        </is>
      </c>
      <c r="AN372" t="inlineStr">
        <is>
          <t>BASEL</t>
        </is>
      </c>
      <c r="AO372" t="inlineStr">
        <is>
          <t>ST ALBAN-ANLAGE 66, CH-4052 BASEL, SWITZERLAND</t>
        </is>
      </c>
      <c r="AQ372" t="inlineStr">
        <is>
          <t>1660-4601</t>
        </is>
      </c>
      <c r="AS372" t="inlineStr">
        <is>
          <t>INT J ENV RES PUB HE</t>
        </is>
      </c>
      <c r="AT372" t="inlineStr">
        <is>
          <t>Int. J. Environ. Res. Public Health</t>
        </is>
      </c>
      <c r="AU372" t="inlineStr">
        <is>
          <t>APR</t>
        </is>
      </c>
      <c r="AV372" t="n">
        <v>2018</v>
      </c>
      <c r="AW372" t="n">
        <v>15</v>
      </c>
      <c r="AX372" t="n">
        <v>4</v>
      </c>
      <c r="BE372" t="n">
        <v>596</v>
      </c>
      <c r="BF372" t="inlineStr">
        <is>
          <t>10.3390/ijerph15040596</t>
        </is>
      </c>
      <c r="BG372">
        <f>HYPERLINK("http://dx.doi.org/10.3390/ijerph15040596","http://dx.doi.org/10.3390/ijerph15040596")</f>
        <v/>
      </c>
      <c r="BJ372" t="n">
        <v>11</v>
      </c>
      <c r="BK372" t="inlineStr">
        <is>
          <t>Environmental Sciences; Public, Environmental &amp; Occupational Health</t>
        </is>
      </c>
      <c r="BL372" t="inlineStr">
        <is>
          <t>Science Citation Index Expanded (SCI-EXPANDED); Social Science Citation Index (SSCI)</t>
        </is>
      </c>
      <c r="BM372" t="inlineStr">
        <is>
          <t>Environmental Sciences &amp; Ecology; Public, Environmental &amp; Occupational Health</t>
        </is>
      </c>
      <c r="BN372" t="inlineStr">
        <is>
          <t>GI9TK</t>
        </is>
      </c>
      <c r="BO372" t="n">
        <v>29587441</v>
      </c>
      <c r="BP372" t="inlineStr">
        <is>
          <t>Green Published, Green Submitted, gold</t>
        </is>
      </c>
      <c r="BS372" t="inlineStr">
        <is>
          <t>2023-10-26</t>
        </is>
      </c>
      <c r="BT372" t="inlineStr">
        <is>
          <t>WOS:000434868800035</t>
        </is>
      </c>
      <c r="BU372">
        <f>HYPERLINK("https%3A%2F%2Fwww.webofscience.com%2Fwos%2Fwoscc%2Ffull-record%2FWOS:000434868800035","View Full Record in Web of Science")</f>
        <v/>
      </c>
    </row>
    <row r="373">
      <c r="A373" t="inlineStr">
        <is>
          <t>J</t>
        </is>
      </c>
      <c r="B373" t="inlineStr">
        <is>
          <t>Machón, M; Vrotsou, K; Larrañaga, I; Vergara, I</t>
        </is>
      </c>
      <c r="F373" t="inlineStr">
        <is>
          <t>Machon, Monica; Vrotsou, Kalliopi; Larranaga, Isabel; Vergara, Itziar</t>
        </is>
      </c>
      <c r="J373" t="inlineStr">
        <is>
          <t>INTERNATIONAL JOURNAL OF ENVIRONMENTAL RESEARCH AND PUBLIC HEALTH</t>
        </is>
      </c>
      <c r="M373" t="inlineStr">
        <is>
          <t>English</t>
        </is>
      </c>
      <c r="N373" t="inlineStr">
        <is>
          <t>Article</t>
        </is>
      </c>
      <c r="T373" t="inlineStr">
        <is>
          <t>Proximity to Facilities and Its Association with the Health-Related Habits of Functionally Independent Older Adults</t>
        </is>
      </c>
      <c r="U373" t="inlineStr">
        <is>
          <t>older adults; neighborhood environment; physical activity; diet; self-perceived social life</t>
        </is>
      </c>
      <c r="V373" t="inlineStr">
        <is>
          <t>MENTAL STATUS QUESTIONNAIRE; ENVIRONMENT</t>
        </is>
      </c>
      <c r="W373" t="inlineStr">
        <is>
          <t>The aim was to examine how proximity to facilities, as a component of community determinants, is associated with the health-related habits of functionally independent community-dwelling older adults. This was a cross-sectional study. Data were collected by face-to-face interviews. Participants were &gt;65 years old, living in 15 municipalities of Gipuzkoa (Basque Country, Spain). Proximity to park-green spaces, cultural-sport centers, market-food stores, retirement associations, religious centers, primary care centers and hospitals was explored. Sociodemographic variables and health-related habits (diet, physical activity and self-perceived social life) were collected. Logistic regression models were performed. The sample comprised of 634 individuals (55% women; mean age: 74.8, SD 6.7 years). Older age (odds ratio-OR: 0.94, 95% CI: 0.91-0.97) was associated with lower physical activity, while being male (OR: 1.71, 95% CI: 1.08-2.68) and proximity to park-green spaces (OR: 1.64, 95% CI: 1.03-2.61) were related to more physical activity. Individuals with good self-perceived health (OR: 3.50, 95% CI: 1.82-6.74) and religious centers within walking distance (OR: 2.66, 95% CI: 1.40-5.04) had higher odds of a satisfactory social life. Encouraging the creation of park-green spaces and leisure centers near residential areas can assist in promoting physical activity and improving the social life of older adults.</t>
        </is>
      </c>
      <c r="X373" t="inlineStr">
        <is>
          <t>[Machon, Monica; Vrotsou, Kalliopi; Vergara, Itziar] Inst Invest Sanitaria Biodonostia, Grp Atenc Primaria, San Sebastian 20014, Spain; [Machon, Monica; Vrotsou, Kalliopi; Vergara, Itziar] Red Invest Serv Salud Enfermedades Cron REDISSEC, Baracaldo 48902, Spain; [Machon, Monica; Vrotsou, Kalliopi; Vergara, Itziar] Inst Invest Serv Salud Kronikgune, Baracaldo 48902, Spain; [Larranaga, Isabel] Inst Invest Sanitaria Biodonostia, San Sebastian 20014, Spain; [Larranaga, Isabel] Gobierno Vasco, Delegac Terr Gipuzkoa, Dept Salud, San Sebastian 20010, Spain</t>
        </is>
      </c>
      <c r="Y373" t="inlineStr">
        <is>
          <t>Instituto de Investigacion Sanitaria Biodonostia; Instituto de Investigacion Sanitaria Biodonostia</t>
        </is>
      </c>
      <c r="Z373" t="inlineStr">
        <is>
          <t>Machón, M (corresponding author), Inst Invest Sanitaria Biodonostia, Grp Atenc Primaria, San Sebastian 20014, Spain.;Machón, M (corresponding author), Red Invest Serv Salud Enfermedades Cron REDISSEC, Baracaldo 48902, Spain.;Machón, M (corresponding author), Inst Invest Serv Salud Kronikgune, Baracaldo 48902, Spain.</t>
        </is>
      </c>
      <c r="AA373" t="inlineStr">
        <is>
          <t>monica.machonsobrado@osakidetza.eus; kalliopi.vrotsoukanari@osakidetza.eus; mlarranagapadilla@gmail.com; itziar.vergaramitxeltorena@osakidetza.eus</t>
        </is>
      </c>
      <c r="AC373" t="inlineStr">
        <is>
          <t>Machon, Monica/0000-0001-6379-0351; Vergara, Itziar/0000-0001-9671-7898</t>
        </is>
      </c>
      <c r="AD373" t="inlineStr">
        <is>
          <t>Basque Foundation for Social and Health Care Innovation-ETORBIZI [BIOEFF11/FVSS/3.1]</t>
        </is>
      </c>
      <c r="AE373" t="inlineStr">
        <is>
          <t>Basque Foundation for Social and Health Care Innovation-ETORBIZI</t>
        </is>
      </c>
      <c r="AF373" t="inlineStr">
        <is>
          <t>This research was funded by the Basque Foundation for Social and Health Care Innovation-ETORBIZI grant number BIOEFF11/FVSS/3.1.</t>
        </is>
      </c>
      <c r="AH373" t="n">
        <v>20</v>
      </c>
      <c r="AI373" t="n">
        <v>2</v>
      </c>
      <c r="AJ373" t="n">
        <v>3</v>
      </c>
      <c r="AK373" t="n">
        <v>1</v>
      </c>
      <c r="AL373" t="n">
        <v>11</v>
      </c>
      <c r="AM373" t="inlineStr">
        <is>
          <t>MDPI</t>
        </is>
      </c>
      <c r="AN373" t="inlineStr">
        <is>
          <t>BASEL</t>
        </is>
      </c>
      <c r="AO373" t="inlineStr">
        <is>
          <t>ST ALBAN-ANLAGE 66, CH-4052 BASEL, SWITZERLAND</t>
        </is>
      </c>
      <c r="AQ373" t="inlineStr">
        <is>
          <t>1660-4601</t>
        </is>
      </c>
      <c r="AS373" t="inlineStr">
        <is>
          <t>INT J ENV RES PUB HE</t>
        </is>
      </c>
      <c r="AT373" t="inlineStr">
        <is>
          <t>Int. J. Environ. Res. Public Health</t>
        </is>
      </c>
      <c r="AU373" t="inlineStr">
        <is>
          <t>NOV</t>
        </is>
      </c>
      <c r="AV373" t="n">
        <v>2020</v>
      </c>
      <c r="AW373" t="n">
        <v>17</v>
      </c>
      <c r="AX373" t="n">
        <v>22</v>
      </c>
      <c r="BE373" t="n">
        <v>8677</v>
      </c>
      <c r="BF373" t="inlineStr">
        <is>
          <t>10.3390/ijerph17228677</t>
        </is>
      </c>
      <c r="BG373">
        <f>HYPERLINK("http://dx.doi.org/10.3390/ijerph17228677","http://dx.doi.org/10.3390/ijerph17228677")</f>
        <v/>
      </c>
      <c r="BJ373" t="n">
        <v>7</v>
      </c>
      <c r="BK373" t="inlineStr">
        <is>
          <t>Environmental Sciences; Public, Environmental &amp; Occupational Health</t>
        </is>
      </c>
      <c r="BL373" t="inlineStr">
        <is>
          <t>Science Citation Index Expanded (SCI-EXPANDED); Social Science Citation Index (SSCI)</t>
        </is>
      </c>
      <c r="BM373" t="inlineStr">
        <is>
          <t>Environmental Sciences &amp; Ecology; Public, Environmental &amp; Occupational Health</t>
        </is>
      </c>
      <c r="BN373" t="inlineStr">
        <is>
          <t>OZ1HC</t>
        </is>
      </c>
      <c r="BO373" t="n">
        <v>33238364</v>
      </c>
      <c r="BP373" t="inlineStr">
        <is>
          <t>Green Published, gold</t>
        </is>
      </c>
      <c r="BS373" t="inlineStr">
        <is>
          <t>2023-10-26</t>
        </is>
      </c>
      <c r="BT373" t="inlineStr">
        <is>
          <t>WOS:000594684800001</t>
        </is>
      </c>
      <c r="BU373">
        <f>HYPERLINK("https%3A%2F%2Fwww.webofscience.com%2Fwos%2Fwoscc%2Ffull-record%2FWOS:000594684800001","View Full Record in Web of Science")</f>
        <v/>
      </c>
    </row>
    <row r="374">
      <c r="A374" t="inlineStr">
        <is>
          <t>J</t>
        </is>
      </c>
      <c r="B374" t="inlineStr">
        <is>
          <t>Tamrakar, S; Helderop, E; Nelson, JR; Palladino, A; Farelo, DG; Bienenstock, EJ; Grubesic, TH; Guerini, CJ; Valenti, A</t>
        </is>
      </c>
      <c r="F374" t="inlineStr">
        <is>
          <t>Tamrakar, Shailesh; Helderop, Edward; Nelson, Jake R.; Palladino, Anthony; Farelo, David Goldsztajn; Bienenstock, Elisa J.; Grubesic, Tony H.; Guerini, Cosmo J.; Valenti, Andrew</t>
        </is>
      </c>
      <c r="J374" t="inlineStr">
        <is>
          <t>JOURNAL OF APPLIED REMOTE SENSING</t>
        </is>
      </c>
      <c r="M374" t="inlineStr">
        <is>
          <t>English</t>
        </is>
      </c>
      <c r="N374" t="inlineStr">
        <is>
          <t>Article</t>
        </is>
      </c>
      <c r="T374" t="inlineStr">
        <is>
          <t>Correspondence between spectral reflectance and features of the built environment for community resilience</t>
        </is>
      </c>
      <c r="U374" t="inlineStr">
        <is>
          <t>convolutional neural network; classifier; remote sensing; built environment; social capital; community resilience; open data</t>
        </is>
      </c>
      <c r="V374" t="inlineStr">
        <is>
          <t>DISASTER RECOVERY; INFRASTRUCTURE</t>
        </is>
      </c>
      <c r="W374" t="inlineStr">
        <is>
          <t>As humans increasingly settle in dense urban areas, localized natural and anthropogenic shocks become more likely to impact larger numbers of individuals. Research suggests that resilience to shocks is a function of physical fortifications and social processes including critical infrastructure, social networks, and trust. Although physical fortifications are relatively easy to identify and catalog, social processes elude simple measurement due to data limitations and geographic constraints. Recent work has shown that certain types of infrastructure may correlate with social processes that enhance community resilience; however, the ability to assess where and to what extent that infrastructure exists depends on a complete representation of the built environment. OpenStreetMap (OSM) and Google Places are two sources of data commonly used to locate and characterize infrastructure, but they are often incomplete. We address this limitation by applying a convolutional neural network (CNN) to remote sensing data from Sentinel-2 to estimate the density and type of infrastructure. We compare the classification results to known infrastructure locations from OSM data. Our results show that the CNN classifier performs well and may be used to augment incomplete datasets for a deeper understanding of the prevalence of infrastructure associated with social processes that enhance community resilience.</t>
        </is>
      </c>
      <c r="X374" t="inlineStr">
        <is>
          <t>[Tamrakar, Shailesh; Palladino, Anthony; Farelo, David Goldsztajn; Guerini, Cosmo J.; Valenti, Andrew] Boston Fus Corp, Lexington, MA 02421 USA; [Helderop, Edward; Grubesic, Tony H.] Univ Calif Riverside, Ctr Geospatial Sci, Sch Publ Policy, Riverside, CA USA; [Nelson, Jake R.] Auburn Univ, Dept Geosci, Auburn, AL USA; [Bienenstock, Elisa J.] Arizona State Univ, Watts Coll Publ Serv &amp; Community Solut, Phoenix, AZ USA; [Palladino, Anthony] Draper Lab, 555 Technol Sq, Cambridge, MA 02139 USA</t>
        </is>
      </c>
      <c r="Y374" t="inlineStr">
        <is>
          <t>University of California System; University of California Riverside; Auburn University System; Auburn University; Arizona State University; Arizona State University-Downtown Phoenix</t>
        </is>
      </c>
      <c r="Z374" t="inlineStr">
        <is>
          <t>Palladino, A (corresponding author), Boston Fus Corp, Lexington, MA 02421 USA.;Palladino, A (corresponding author), Draper Lab, 555 Technol Sq, Cambridge, MA 02139 USA.</t>
        </is>
      </c>
      <c r="AA374" t="inlineStr">
        <is>
          <t>shaileshtamrakar@gmail.com; Edward.Helderop@ucr.edu; jrn0037@auburn.edu; palladin@bu.edu; david.goldsztajn@bostonfusion.com; ejb01@asu.edu; tony.grubesic@ucr.edu; cosmo.guerini@bostonfusion.com; andrew.valenti@bostonfusion.com</t>
        </is>
      </c>
      <c r="AC374" t="inlineStr">
        <is>
          <t>Bienenstock, Elisa/0000-0001-8747-8872</t>
        </is>
      </c>
      <c r="AD374" t="inlineStr">
        <is>
          <t>Defense Advanced Research Projects Agency (DARPA) [140D0420C0004]</t>
        </is>
      </c>
      <c r="AE374" t="inlineStr">
        <is>
          <t>Defense Advanced Research Projects Agency (DARPA)(United States Department of DefenseDefense Advanced Research Projects Agency (DARPA))</t>
        </is>
      </c>
      <c r="AF374" t="inlineStr">
        <is>
          <t>The authors would like to thank the SPIE 2022 Geospatial Informatics XII conference organizers for inviting us to submit our conference proceedings (SPIE paper #12099-2) as a paper to the Journal of Applied Remote Sensing (JARS), and we thank the anonymous JARS referees for their valuable comments. Map data are copyrighted by OSM contributors and available from Ref. 19. This research was supported by the Defense Advanced Research Projects Agency (DARPA) (Award No. 140D0420C0004) and approved with Distribution Statement A (Approved for Public Release, Distribution Unlimited). The views, opinions, and/or findings contained in this document are those of the authors and should not be interpreted as representing the official policies, either expressed or implied, of DARPA or the United States Government.</t>
        </is>
      </c>
      <c r="AH374" t="n">
        <v>34</v>
      </c>
      <c r="AI374" t="n">
        <v>1</v>
      </c>
      <c r="AJ374" t="n">
        <v>1</v>
      </c>
      <c r="AK374" t="n">
        <v>5</v>
      </c>
      <c r="AL374" t="n">
        <v>5</v>
      </c>
      <c r="AM374" t="inlineStr">
        <is>
          <t>SPIE-SOC PHOTO-OPTICAL INSTRUMENTATION ENGINEERS</t>
        </is>
      </c>
      <c r="AN374" t="inlineStr">
        <is>
          <t>BELLINGHAM</t>
        </is>
      </c>
      <c r="AO374" t="inlineStr">
        <is>
          <t>1000 20TH ST, PO BOX 10, BELLINGHAM, WA 98225 USA</t>
        </is>
      </c>
      <c r="AQ374" t="inlineStr">
        <is>
          <t>1931-3195</t>
        </is>
      </c>
      <c r="AS374" t="inlineStr">
        <is>
          <t>J APPL REMOTE SENS</t>
        </is>
      </c>
      <c r="AT374" t="inlineStr">
        <is>
          <t>J. Appl. Remote Sens.</t>
        </is>
      </c>
      <c r="AU374" t="inlineStr">
        <is>
          <t>JAN 1</t>
        </is>
      </c>
      <c r="AV374" t="n">
        <v>2023</v>
      </c>
      <c r="AW374" t="n">
        <v>17</v>
      </c>
      <c r="AX374" t="n">
        <v>1</v>
      </c>
      <c r="BF374" t="inlineStr">
        <is>
          <t>10.1117/1.JRS.17.018504</t>
        </is>
      </c>
      <c r="BG374">
        <f>HYPERLINK("http://dx.doi.org/10.1117/1.JRS.17.018504","http://dx.doi.org/10.1117/1.JRS.17.018504")</f>
        <v/>
      </c>
      <c r="BJ374" t="n">
        <v>11</v>
      </c>
      <c r="BK374" t="inlineStr">
        <is>
          <t>Environmental Sciences; Remote Sensing; Imaging Science &amp; Photographic Technology</t>
        </is>
      </c>
      <c r="BL374" t="inlineStr">
        <is>
          <t>Science Citation Index Expanded (SCI-EXPANDED)</t>
        </is>
      </c>
      <c r="BM374" t="inlineStr">
        <is>
          <t>Environmental Sciences &amp; Ecology; Remote Sensing; Imaging Science &amp; Photographic Technology</t>
        </is>
      </c>
      <c r="BN374" t="inlineStr">
        <is>
          <t>D5ST7</t>
        </is>
      </c>
      <c r="BS374" t="inlineStr">
        <is>
          <t>2023-10-26</t>
        </is>
      </c>
      <c r="BT374" t="inlineStr">
        <is>
          <t>WOS:000969337300047</t>
        </is>
      </c>
      <c r="BU374">
        <f>HYPERLINK("https%3A%2F%2Fwww.webofscience.com%2Fwos%2Fwoscc%2Ffull-record%2FWOS:000969337300047","View Full Record in Web of Science")</f>
        <v/>
      </c>
    </row>
    <row r="375">
      <c r="A375" t="inlineStr">
        <is>
          <t>J</t>
        </is>
      </c>
      <c r="B375" t="inlineStr">
        <is>
          <t>Majd, E; McCormack, M; Davis, M; Curriero, F; Berman, J; Connolly, F; Leaf, P; Rule, A; Green, T; Clemons-Erby, D; Gummerson, C; Koehler, K</t>
        </is>
      </c>
      <c r="F375" t="inlineStr">
        <is>
          <t>Majd, Ehsan; McCormack, Meredith; Davis, Meghan; Curriero, Frank; Berman, Jesse; Connolly, Faith; Leaf, Philip; Rule, Ana; Green, Timothy; Clemons-Erby, Dorothy; Gummerson, Christine; Koehler, Kirsten</t>
        </is>
      </c>
      <c r="J375" t="inlineStr">
        <is>
          <t>ENVIRONMENTAL RESEARCH</t>
        </is>
      </c>
      <c r="M375" t="inlineStr">
        <is>
          <t>English</t>
        </is>
      </c>
      <c r="N375" t="inlineStr">
        <is>
          <t>Article</t>
        </is>
      </c>
      <c r="T375" t="inlineStr">
        <is>
          <t>Indoor air quality in inner-city schools and its associations with building characteristics and environmental factors</t>
        </is>
      </c>
      <c r="U375" t="inlineStr">
        <is>
          <t>Indoor air quality; School; Exposure; Building characteristics; Environmental factors</t>
        </is>
      </c>
      <c r="V375" t="inlineStr">
        <is>
          <t>URBAN ELEMENTARY-SCHOOLS; PARTICULATE MATTER; OUTDOOR AIR; PARTICLE CONCENTRATIONS; ULTRAFINE PARTICLES; POLLUTANTS; EXPOSURE; CHILDREN; SYMPTOMS; HEALTH</t>
        </is>
      </c>
      <c r="W375" t="inlineStr">
        <is>
          <t>Indoor concentrations of fine particulate matter (PM2.5), nitrogen dioxide (NO2), and carbon monoxide (CO) were measured across 16 urban public schools in three different seasons. Exceedance of the WHO guidelines for indoor air was observed, mainly for the hourly average NO2 concentrations. Seasonal variability was statistically significant for indoor NO2 and CO concentrations, with higher exposures in fall and winter. An extensive list of potential factors at the outdoor environment, school, and room level that may explain the variability in indoor exposure was examined. Factors with significant contributions to indoor exposure were mostly related to the outdoor pollution sources. This is evidenced by the strong associations between indoor concentration of CO and NO2 and factors including outdoor PM2.5 and NO2 concentrations, including length of the nearby roads and the number of nearby industrial facilities. Additionally, we found that poor conditions of the buildings (a prevalent phenomenon in the studied urban area), including physical defects and lack of proper ventilation, contributed to poor air quality in schools. The results suggest that improving building conditions and facilities as well as a consideration of the school surroundings may improve indoor air quality in schools.</t>
        </is>
      </c>
      <c r="X375" t="inlineStr">
        <is>
          <t>[Majd, Ehsan; Davis, Meghan; Curriero, Frank; Rule, Ana; Green, Timothy; Clemons-Erby, Dorothy; Koehler, Kirsten] Johns Hopkins Bloomberg Sch Publ Hlth, 615N Wolfe St, Baltimore, MD 21205 USA; [McCormack, Meredith; Gummerson, Christine] Johns Hopkins Sch Med Pulm &amp; Crit Care Med, 1830 East Monument St, Baltimore, MD 21205 USA; [Berman, Jesse] Univ Minnesota, Sch Publ Hlth, 420 Delaware St SE,Mayo Mail Code 807, Minneapolis, MN 55455 USA; [Connolly, Faith] Johns Hopkins Univ, Baltimore Educ Res Consortium, 2701N Charles St,Suite 300, Baltimore, MD 21218 USA; [Leaf, Philip] Johns Hopkins Bloomberg Sch Publ Hlth, Ctr Adolescent Hlth, 624N Broadway,Hampton House 819, Baltimore, MD 21205 USA</t>
        </is>
      </c>
      <c r="Y375" t="inlineStr">
        <is>
          <t>Johns Hopkins University; Johns Hopkins Bloomberg School of Public Health; University of Minnesota System; University of Minnesota Twin Cities; Johns Hopkins University; Johns Hopkins University; Johns Hopkins Bloomberg School of Public Health</t>
        </is>
      </c>
      <c r="Z375" t="inlineStr">
        <is>
          <t>Koehler, K (corresponding author), Johns Hopkins Bloomberg Sch Publ Hlth, 615N Wolfe St, Baltimore, MD 21205 USA.</t>
        </is>
      </c>
      <c r="AA375" t="inlineStr">
        <is>
          <t>kkoehlel@jhu.edu</t>
        </is>
      </c>
      <c r="AC375" t="inlineStr">
        <is>
          <t>Davis, Meghan/0000-0002-3475-4578; Pham, Hewlett/0000-0003-0330-6104; Koehl, Rachelle/0000-0002-7797-7456; Berman, Jesse/0000-0003-3037-556X</t>
        </is>
      </c>
      <c r="AD375" t="inlineStr">
        <is>
          <t>U.S. Environmental Protection Agency [EPA-G2013-STAR-H1, 83615201]; National Institute of Environmental Health Sciences of the National Institutes of Health [P50ES018176]; NIH ORIP Grant [1K01OD019918]</t>
        </is>
      </c>
      <c r="AE375" t="inlineStr">
        <is>
          <t>U.S. Environmental Protection Agency(United States Environmental Protection Agency); National Institute of Environmental Health Sciences of the National Institutes of Health(United States Department of Health &amp; Human ServicesNational Institutes of Health (NIH) - USANIH National Institute of Environmental Health Sciences (NIEHS)); NIH ORIP Grant</t>
        </is>
      </c>
      <c r="AF375" t="inlineStr">
        <is>
          <t>The authors wish to thank Baltimore City Public Schools for their kind contributions. This article was developed under Assistance Agreements No. EPA-G2013-STAR-H1 and No. 83615201 awarded by the U.S. Environmental Protection Agency to Dr. Meredith C. McCormack, and Dr. Nadia N. Hansel, respectively. It has not been formally reviewed by EPA. The views expressed in this document are solely those of the authors and do not necessarily reflect those of the Agency. EPA does not endorse any products or commercial services mentioned in this publication. This research was also supported by the National Institute of Environmental Health Sciences of the National Institutes of Health under award number P50ES018176. Dr. Meghan Davis was supported by NIH ORIP Grant 1K01OD019918.</t>
        </is>
      </c>
      <c r="AH375" t="n">
        <v>56</v>
      </c>
      <c r="AI375" t="n">
        <v>57</v>
      </c>
      <c r="AJ375" t="n">
        <v>57</v>
      </c>
      <c r="AK375" t="n">
        <v>3</v>
      </c>
      <c r="AL375" t="n">
        <v>61</v>
      </c>
      <c r="AM375" t="inlineStr">
        <is>
          <t>ACADEMIC PRESS INC ELSEVIER SCIENCE</t>
        </is>
      </c>
      <c r="AN375" t="inlineStr">
        <is>
          <t>SAN DIEGO</t>
        </is>
      </c>
      <c r="AO375" t="inlineStr">
        <is>
          <t>525 B ST, STE 1900, SAN DIEGO, CA 92101-4495 USA</t>
        </is>
      </c>
      <c r="AP375" t="inlineStr">
        <is>
          <t>0013-9351</t>
        </is>
      </c>
      <c r="AQ375" t="inlineStr">
        <is>
          <t>1096-0953</t>
        </is>
      </c>
      <c r="AS375" t="inlineStr">
        <is>
          <t>ENVIRON RES</t>
        </is>
      </c>
      <c r="AT375" t="inlineStr">
        <is>
          <t>Environ. Res.</t>
        </is>
      </c>
      <c r="AU375" t="inlineStr">
        <is>
          <t>MAR</t>
        </is>
      </c>
      <c r="AV375" t="n">
        <v>2019</v>
      </c>
      <c r="AW375" t="n">
        <v>170</v>
      </c>
      <c r="BC375" t="n">
        <v>83</v>
      </c>
      <c r="BD375" t="n">
        <v>91</v>
      </c>
      <c r="BF375" t="inlineStr">
        <is>
          <t>10.1016/j.envres.2018.12.012</t>
        </is>
      </c>
      <c r="BG375">
        <f>HYPERLINK("http://dx.doi.org/10.1016/j.envres.2018.12.012","http://dx.doi.org/10.1016/j.envres.2018.12.012")</f>
        <v/>
      </c>
      <c r="BJ375" t="n">
        <v>9</v>
      </c>
      <c r="BK375" t="inlineStr">
        <is>
          <t>Environmental Sciences; Public, Environmental &amp; Occupational Health</t>
        </is>
      </c>
      <c r="BL375" t="inlineStr">
        <is>
          <t>Science Citation Index Expanded (SCI-EXPANDED)</t>
        </is>
      </c>
      <c r="BM375" t="inlineStr">
        <is>
          <t>Environmental Sciences &amp; Ecology; Public, Environmental &amp; Occupational Health</t>
        </is>
      </c>
      <c r="BN375" t="inlineStr">
        <is>
          <t>HL4RM</t>
        </is>
      </c>
      <c r="BO375" t="n">
        <v>30576993</v>
      </c>
      <c r="BP375" t="inlineStr">
        <is>
          <t>Green Accepted</t>
        </is>
      </c>
      <c r="BS375" t="inlineStr">
        <is>
          <t>2023-10-26</t>
        </is>
      </c>
      <c r="BT375" t="inlineStr">
        <is>
          <t>WOS:000458710800011</t>
        </is>
      </c>
      <c r="BU375">
        <f>HYPERLINK("https%3A%2F%2Fwww.webofscience.com%2Fwos%2Fwoscc%2Ffull-record%2FWOS:000458710800011","View Full Record in Web of Science")</f>
        <v/>
      </c>
    </row>
    <row r="376">
      <c r="A376" t="inlineStr">
        <is>
          <t>J</t>
        </is>
      </c>
      <c r="B376" t="inlineStr">
        <is>
          <t>Kylén, M; Von Koch, L; Pessah-Rasmussen, H; Marcheschi, E; Ytterberg, C; Heylighen, A; Elf, M</t>
        </is>
      </c>
      <c r="F376" t="inlineStr">
        <is>
          <t>Kylen, Maya; Von Koch, Lena; Pessah-Rasmussen, Helene; Marcheschi, Elizabeth; Ytterberg, Charlotte; Heylighen, Ann; Elf, Marie</t>
        </is>
      </c>
      <c r="J376" t="inlineStr">
        <is>
          <t>INTERNATIONAL JOURNAL OF ENVIRONMENTAL RESEARCH AND PUBLIC HEALTH</t>
        </is>
      </c>
      <c r="M376" t="inlineStr">
        <is>
          <t>English</t>
        </is>
      </c>
      <c r="N376" t="inlineStr">
        <is>
          <t>Article</t>
        </is>
      </c>
      <c r="T376" t="inlineStr">
        <is>
          <t>The Importance of the Built Environment in Person-Centred Rehabilitation at Home: Study Protocol</t>
        </is>
      </c>
      <c r="U376" t="inlineStr">
        <is>
          <t>rehabilitation; person-centred care; person-environment fit; mixed-methods design; housing</t>
        </is>
      </c>
      <c r="V376" t="inlineStr">
        <is>
          <t>PLACE ATTACHMENT; INTERRATER RELIABILITY; PHYSICAL-ENVIRONMENT; MENTAL-HEALTH; OLDER-PEOPLE; STROKE; CARE; IMPACT; FRAMEWORK; DISCHARGE</t>
        </is>
      </c>
      <c r="W376" t="inlineStr">
        <is>
          <t>Health services will change dramatically as the prevalence of home healthcare increases. Only technologically advanced acute care will be performed in hospitals. This-along with the increased healthcare needs of people with long-term conditions such as stroke and the rising demand for services to be more person-centred-will place pressure on healthcare to consider quality across the continuum of care. Research indicates that planned discharge tailored to individual needs can reduce adverse events and promote competence in self-management. However, the environmental factors that may play a role in a patient's recovery process remain unexplored. This paper presents a protocol with the purpose to explore factors in the built environment that can facilitate/hinder a person-centred rehabilitation process in the home. The project uses a convergent parallel mixed-methods design, with ICF (International Classification of Functioning, Disability and Health) and person-environment theories as conceptual frameworks. Data will be collected during home visits 3 months after stroke onset. Medical records, questionnaires, interviews and observations will be used. Workshops will be held to identify what experts and users (patients, significant others, staff) consider important in the built environment. Data will be used to synthesise the contexts, mechanisms and outcomes that are important to support the rehabilitation process at home.</t>
        </is>
      </c>
      <c r="X376" t="inlineStr">
        <is>
          <t>[Kylen, Maya; Elf, Marie] Dalarna Univ, Sch Educ Hlth &amp; Social Studies, SE-79188 Falun, Sweden; [Von Koch, Lena; Ytterberg, Charlotte] Karolinska Inst, Dept Neurobiol Care Sci &amp; Soc, SE-14183 Huddinge, Sweden; [Von Koch, Lena; Ytterberg, Charlotte] Karolinska Univ Hosp, SE-14186 Stockholm, Sweden; [Pessah-Rasmussen, Helene] Skane Univ Hosp, Dept Neurol &amp; Rehabil Med, S-22185 Lund, Sweden; [Pessah-Rasmussen, Helene] Lund Univ, Dept Clin Sci Lund, Neurol, S-22184 Lund, Sweden; [Marcheschi, Elizabeth; Elf, Marie] Chalmers Univ, ACE, Arkitektur &amp; Samhallsbyggnadsteknik, Byggnadsdesign, SE-41296 Gothenburg, Sweden; [Heylighen, Ann] Katholieke Univ Leuven, Dept Architecture Res X Design, B-3001 Leuven, Belgium</t>
        </is>
      </c>
      <c r="Y376" t="inlineStr">
        <is>
          <t>Dalarna University; Karolinska Institutet; Karolinska Institutet; Karolinska University Hospital; Lund University; Skane University Hospital; Lund University; Chalmers University of Technology; KU Leuven</t>
        </is>
      </c>
      <c r="Z376" t="inlineStr">
        <is>
          <t>Kylén, M (corresponding author), Dalarna Univ, Sch Educ Hlth &amp; Social Studies, SE-79188 Falun, Sweden.</t>
        </is>
      </c>
      <c r="AA376" t="inlineStr">
        <is>
          <t>mky@du.se</t>
        </is>
      </c>
      <c r="AB376" t="inlineStr">
        <is>
          <t>Kylén, Maya/Z-3448-2019; von Koch, Lena/P-2310-2018; Kylén, Maya/Z-3455-2019; Heylighen, Ann/K-2511-2014</t>
        </is>
      </c>
      <c r="AC376" t="inlineStr">
        <is>
          <t>von Koch, Lena/0000-0002-8560-3016; Kylén, Maya/0000-0003-2887-3674; Ytterberg, Charlotte/0000-0003-3704-8887; Heylighen, Ann/0000-0001-6811-3464; Elf, Marie/0000-0001-7044-8896; Marcheschi, Elizabeth/0000-0002-0163-4748</t>
        </is>
      </c>
      <c r="AD376" t="inlineStr">
        <is>
          <t>Formas [2015/389]</t>
        </is>
      </c>
      <c r="AE376" t="inlineStr">
        <is>
          <t>Formas(Swedish Research Council Formas)</t>
        </is>
      </c>
      <c r="AF376" t="inlineStr">
        <is>
          <t>This research is partly funded by Formas, grant number 2015/389.</t>
        </is>
      </c>
      <c r="AH376" t="n">
        <v>62</v>
      </c>
      <c r="AI376" t="n">
        <v>6</v>
      </c>
      <c r="AJ376" t="n">
        <v>6</v>
      </c>
      <c r="AK376" t="n">
        <v>3</v>
      </c>
      <c r="AL376" t="n">
        <v>18</v>
      </c>
      <c r="AM376" t="inlineStr">
        <is>
          <t>MDPI</t>
        </is>
      </c>
      <c r="AN376" t="inlineStr">
        <is>
          <t>BASEL</t>
        </is>
      </c>
      <c r="AO376" t="inlineStr">
        <is>
          <t>ST ALBAN-ANLAGE 66, CH-4052 BASEL, SWITZERLAND</t>
        </is>
      </c>
      <c r="AQ376" t="inlineStr">
        <is>
          <t>1660-4601</t>
        </is>
      </c>
      <c r="AS376" t="inlineStr">
        <is>
          <t>INT J ENV RES PUB HE</t>
        </is>
      </c>
      <c r="AT376" t="inlineStr">
        <is>
          <t>Int. J. Environ. Res. Public Health</t>
        </is>
      </c>
      <c r="AU376" t="inlineStr">
        <is>
          <t>JUL 1</t>
        </is>
      </c>
      <c r="AV376" t="n">
        <v>2019</v>
      </c>
      <c r="AW376" t="n">
        <v>16</v>
      </c>
      <c r="AX376" t="n">
        <v>13</v>
      </c>
      <c r="BE376" t="n">
        <v>2409</v>
      </c>
      <c r="BF376" t="inlineStr">
        <is>
          <t>10.3390/ijerph16132409</t>
        </is>
      </c>
      <c r="BG376">
        <f>HYPERLINK("http://dx.doi.org/10.3390/ijerph16132409","http://dx.doi.org/10.3390/ijerph16132409")</f>
        <v/>
      </c>
      <c r="BJ376" t="n">
        <v>15</v>
      </c>
      <c r="BK376" t="inlineStr">
        <is>
          <t>Environmental Sciences; Public, Environmental &amp; Occupational Health</t>
        </is>
      </c>
      <c r="BL376" t="inlineStr">
        <is>
          <t>Science Citation Index Expanded (SCI-EXPANDED); Social Science Citation Index (SSCI)</t>
        </is>
      </c>
      <c r="BM376" t="inlineStr">
        <is>
          <t>Environmental Sciences &amp; Ecology; Public, Environmental &amp; Occupational Health</t>
        </is>
      </c>
      <c r="BN376" t="inlineStr">
        <is>
          <t>IL1DA</t>
        </is>
      </c>
      <c r="BO376" t="n">
        <v>31284620</v>
      </c>
      <c r="BP376" t="inlineStr">
        <is>
          <t>Green Published, gold, Green Submitted</t>
        </is>
      </c>
      <c r="BS376" t="inlineStr">
        <is>
          <t>2023-10-26</t>
        </is>
      </c>
      <c r="BT376" t="inlineStr">
        <is>
          <t>WOS:000477037900153</t>
        </is>
      </c>
      <c r="BU376">
        <f>HYPERLINK("https%3A%2F%2Fwww.webofscience.com%2Fwos%2Fwoscc%2Ffull-record%2FWOS:000477037900153","View Full Record in Web of Science")</f>
        <v/>
      </c>
    </row>
    <row r="377">
      <c r="A377" t="inlineStr">
        <is>
          <t>J</t>
        </is>
      </c>
      <c r="B377" t="inlineStr">
        <is>
          <t>Shen, YS</t>
        </is>
      </c>
      <c r="F377" t="inlineStr">
        <is>
          <t>Shen, Yu-Sheng</t>
        </is>
      </c>
      <c r="J377" t="inlineStr">
        <is>
          <t>SCIENCE OF THE TOTAL ENVIRONMENT</t>
        </is>
      </c>
      <c r="M377" t="inlineStr">
        <is>
          <t>English</t>
        </is>
      </c>
      <c r="N377" t="inlineStr">
        <is>
          <t>Article</t>
        </is>
      </c>
      <c r="T377" t="inlineStr">
        <is>
          <t>Multiple pathways and mediation effects of built environment on kidney disease rate via mitigation of atmospheric threats</t>
        </is>
      </c>
      <c r="U377" t="inlineStr">
        <is>
          <t>Particulate matter; Urban environment; Sustainable development; Renal morbidity; Urban health; Health adaptation</t>
        </is>
      </c>
      <c r="V377" t="inlineStr">
        <is>
          <t>URBAN FORM; PARTICULATE MATTER; AIR-POLLUTION; PHYSICAL-ACTIVITY; LAND-USE; MORTALITY; RISK; SPRAWL; ASSOCIATION; QUALITY</t>
        </is>
      </c>
      <c r="W377" t="inlineStr">
        <is>
          <t>Air pollution and high temperatures can increase kidney disease rate, especially under climate change. A well-designed urban environment has mediating effects on atmospheric environmental threats and promoting human health, but pre-vious studies have overlooked these effects. This study used partial least squares modeling and urban-scale data from Taiwan to identify the crucial effects (i.e., direct, indirect, and total effects) and pathways of urban form (i.e., urban development intensity, land-use mix, and urban sprawl), urban greening (i.e., green coverage), urban industrial status (e.g., industrial level), atmospheric environment (i.e., high temperature and air pollution), and socioeconomic status (i.e., elderly ratio, medical resources, and economic status) on kidney disease rate. Maximizing land-use mix and green coverage and minimizing urban development intensity, urban sprawl, and industrial levels could help reduce kidney disease rate. Air pollution and high temperature had a mediation effect of built environment on kidney disease rate; with the mediation effect of air pollution was greater than that of high temperature. Furthermore, air pollution, high temperature, and elderly ratio increased kidney disease rate, whereas medical resources decreased kidney disease rate. This study is the first to consider the impact (i.e., direct, indirect, and total effects) and pathways of built environ-ment characteristics on kidney disease rate. The findings revealed that an appropriate urban policy might be a practical strategy and lower kidney disease rate for a healthy city development. Moreover, this study provides a new approach for clarifying complex relationships and identifying crucial factors.</t>
        </is>
      </c>
      <c r="X377" t="inlineStr">
        <is>
          <t>[Shen, Yu-Sheng] Chinese Acad Sci, Inst Urban Environm, Key Lab Urban Environm &amp; Hlth, Xiamen, Peoples R China; [Shen, Yu-Sheng] Chinese Acad Sci, Inst Urban Environm, Xiamen Key Lab Urban Metab, Xiamen, Peoples R China; [Shen, Yu-Sheng] Univ Chinese Acad Sci, Beijing, Peoples R China; [Shen, Yu-Sheng] Inst Urban Environm, Chinese Acad Sci, Key Lab Urban Environm &amp; Hlth, 1799 Jimei Rd, Xiamen 361021, Peoples R China</t>
        </is>
      </c>
      <c r="Y377" t="inlineStr">
        <is>
          <t>Chinese Academy of Sciences; Institute of Urban Environment, CAS; Chinese Academy of Sciences; Institute of Urban Environment, CAS; Chinese Academy of Sciences; University of Chinese Academy of Sciences, CAS; Chinese Academy of Sciences; Institute of Urban Environment, CAS</t>
        </is>
      </c>
      <c r="Z377" t="inlineStr">
        <is>
          <t>Shen, YS (corresponding author), Inst Urban Environm, Chinese Acad Sci, Key Lab Urban Environm &amp; Hlth, 1799 Jimei Rd, Xiamen 361021, Peoples R China.</t>
        </is>
      </c>
      <c r="AA377" t="inlineStr">
        <is>
          <t>ysshen@iue.ac.cn</t>
        </is>
      </c>
      <c r="AB377" t="inlineStr">
        <is>
          <t>CAS, KLUEH/T-5743-2019</t>
        </is>
      </c>
      <c r="AD377" t="inlineStr">
        <is>
          <t>Chinese Academy of Sciences [132C35KYSB20200007, 2019TW2ZA0001]; Ministry of Science and Technology of the People's Republic of China [RW2019TW006]</t>
        </is>
      </c>
      <c r="AE377" t="inlineStr">
        <is>
          <t>Chinese Academy of Sciences(Chinese Academy of Sciences); Ministry of Science and Technology of the People's Republic of China(Ministry of Science and Technology, China)</t>
        </is>
      </c>
      <c r="AF377" t="inlineStr">
        <is>
          <t>Acknowledgment We thank the funding support from the projects (grant number 132C35KYSB20200007 and 2019TW2ZA0001) of the Chinese Academy of Sciences, and the project (grant number RW2019TW006) of Ministry of Science and Technology of the People's Republic of China. The contents of this paper are solely the responsibility of the authors and do not represent the official views of the aforementioned institutes and funding agencies.</t>
        </is>
      </c>
      <c r="AH377" t="n">
        <v>102</v>
      </c>
      <c r="AI377" t="n">
        <v>4</v>
      </c>
      <c r="AJ377" t="n">
        <v>4</v>
      </c>
      <c r="AK377" t="n">
        <v>4</v>
      </c>
      <c r="AL377" t="n">
        <v>18</v>
      </c>
      <c r="AM377" t="inlineStr">
        <is>
          <t>ELSEVIER</t>
        </is>
      </c>
      <c r="AN377" t="inlineStr">
        <is>
          <t>AMSTERDAM</t>
        </is>
      </c>
      <c r="AO377" t="inlineStr">
        <is>
          <t>RADARWEG 29, 1043 NX AMSTERDAM, NETHERLANDS</t>
        </is>
      </c>
      <c r="AP377" t="inlineStr">
        <is>
          <t>0048-9697</t>
        </is>
      </c>
      <c r="AQ377" t="inlineStr">
        <is>
          <t>1879-1026</t>
        </is>
      </c>
      <c r="AS377" t="inlineStr">
        <is>
          <t>SCI TOTAL ENVIRON</t>
        </is>
      </c>
      <c r="AT377" t="inlineStr">
        <is>
          <t>Sci. Total Environ.</t>
        </is>
      </c>
      <c r="AU377" t="inlineStr">
        <is>
          <t>AUG 10</t>
        </is>
      </c>
      <c r="AV377" t="n">
        <v>2022</v>
      </c>
      <c r="AW377" t="n">
        <v>833</v>
      </c>
      <c r="BE377" t="n">
        <v>155177</v>
      </c>
      <c r="BF377" t="inlineStr">
        <is>
          <t>10.1016/j.scitotenv.2022.155177</t>
        </is>
      </c>
      <c r="BG377">
        <f>HYPERLINK("http://dx.doi.org/10.1016/j.scitotenv.2022.155177","http://dx.doi.org/10.1016/j.scitotenv.2022.155177")</f>
        <v/>
      </c>
      <c r="BI377" t="inlineStr">
        <is>
          <t>APR 2022</t>
        </is>
      </c>
      <c r="BJ377" t="n">
        <v>11</v>
      </c>
      <c r="BK377" t="inlineStr">
        <is>
          <t>Environmental Sciences</t>
        </is>
      </c>
      <c r="BL377" t="inlineStr">
        <is>
          <t>Science Citation Index Expanded (SCI-EXPANDED)</t>
        </is>
      </c>
      <c r="BM377" t="inlineStr">
        <is>
          <t>Environmental Sciences &amp; Ecology</t>
        </is>
      </c>
      <c r="BN377" t="inlineStr">
        <is>
          <t>1V0DZ</t>
        </is>
      </c>
      <c r="BO377" t="n">
        <v>35421457</v>
      </c>
      <c r="BS377" t="inlineStr">
        <is>
          <t>2023-10-26</t>
        </is>
      </c>
      <c r="BT377" t="inlineStr">
        <is>
          <t>WOS:000805772900014</t>
        </is>
      </c>
      <c r="BU377">
        <f>HYPERLINK("https%3A%2F%2Fwww.webofscience.com%2Fwos%2Fwoscc%2Ffull-record%2FWOS:000805772900014","View Full Record in Web of Science")</f>
        <v/>
      </c>
    </row>
    <row r="378">
      <c r="A378" t="inlineStr">
        <is>
          <t>J</t>
        </is>
      </c>
      <c r="B378" t="inlineStr">
        <is>
          <t>Huang, LH; Qiao, YQ; Deng, SX; Zhou, MM; Zhao, WP; Yue, Y</t>
        </is>
      </c>
      <c r="F378" t="inlineStr">
        <is>
          <t>Huang, Lihui; Qiao, Yaqi; Deng, Shunxi; Zhou, Meimei; Zhao, Weiping; Yue, Yang</t>
        </is>
      </c>
      <c r="J378" t="inlineStr">
        <is>
          <t>CHEMOSPHERE</t>
        </is>
      </c>
      <c r="M378" t="inlineStr">
        <is>
          <t>English</t>
        </is>
      </c>
      <c r="N378" t="inlineStr">
        <is>
          <t>Article</t>
        </is>
      </c>
      <c r="T378" t="inlineStr">
        <is>
          <t>Airborne phthalates in indoor environment: Partition state and influential built environmental conditions</t>
        </is>
      </c>
      <c r="U378" t="inlineStr">
        <is>
          <t>Indoor air quality; Phthalates; DEHP; DiBP; DnBP</t>
        </is>
      </c>
      <c r="V378" t="inlineStr">
        <is>
          <t>SEMIVOLATILE ORGANIC-COMPOUNDS; ENDOCRINE-DISRUPTING COMPOUNDS; HUMAN EXPOSURE; REPRESENTATIVE REGION; SAMPLING ARTIFACTS; RISK-ASSESSMENT; SETTLED DUST; OUTDOOR AIR; HOUSE-DUST; GAS-PHASE</t>
        </is>
      </c>
      <c r="W378" t="inlineStr">
        <is>
          <t>Exposure to phthalates has recently become a major public health concern. The information of indoor airborne phthalates and their air-particle partition in real indoor environmental condition is still limited. In this study, the gas- and PM2.5 -concentrations of 7 phthalates in 40 residences were concurrently measured in summer and winter. The major phthalates (median concentration in the summer and winter, respectively) in indoor air were DMP (2442.3 and 2403.4 ng/m(3)), DiBP (801.0 and 640.0 ng/m(3)) and DnBP (5173.2 and 1379.6 ng/m(3)), whereas the major phthalates in PM2.5 were DiBP (1055.1 and 585.9 ng/m(3)) and DnBP (1658.5 and 1517.0 ng/m(3)) and DEHP (215.1 and 344.9 ng/m(3)). Air-PM2.5 partition coefficients (K-p) of DiBP, DnBP and DEHP were calculated: the summer and winter median values (m(3)/mu g) were 0.053 and 0.011 for DiBP, 0.010 and 0.004 for DnBP, 0.021 and 0.025 for DEHP, respectively. Air-PM2.5 partition of DiBP and DnBP approached equilibrium, while that of DEHP did not reach equilibrium in either season. The impacts of built environmental conditions on phthalate concentrations were characterized. Elevated temperature resulted in accumulation of airborne phthalates. Higher air humidity led to more water absorption of aerosols in summer, facilitated mass transfer of phthalates from air to PM2.5, and resulted in greater k(p), of DiBP and DnBP in the summer. Any factors such as proximity to local traffic highway and indoor smoking activities, which can increase indoor PM2.5 concentrations, resulted in significantly higher airborne phthalate concentrations. Improving ventilation was not an effective measure to reduce indoor airborne phthalate concentrations. (C) 2020 Elsevier Ltd. All rights reserved.</t>
        </is>
      </c>
      <c r="X378" t="inlineStr">
        <is>
          <t>[Huang, Lihui; Qiao, Yaqi; Deng, Shunxi; Zhou, Meimei] Changan Univ, Sch Water &amp; Environm, Dept Environm Engn, Xian 710054, Peoples R China; [Huang, Lihui; Deng, Shunxi; Zhou, Meimei] Changan Univ, Sch Water &amp; Environm, Key Lab Subsurface Hydrol &amp; Ecol Effects Arid Reg, Minist Educ, Xian 710054, Peoples R China; [Huang, Lihui; Zhao, Weiping; Yue, Yang] Tsinghua Univ, Inst Built Environm, Dept Bldg Sci, Beijing 100084, Peoples R China; [Zhao, Weiping] Hefei Univ Technol, Sch Civil Engn, Hefei 230001, Anhui, Peoples R China</t>
        </is>
      </c>
      <c r="Y378" t="inlineStr">
        <is>
          <t>Chang'an University; Chang'an University; Tsinghua University; Hefei University of Technology</t>
        </is>
      </c>
      <c r="Z378" t="inlineStr">
        <is>
          <t>Huang, LH (corresponding author), Changan Univ, Sch Water &amp; Environm, Xian 710054, Peoples R China.</t>
        </is>
      </c>
      <c r="AA378" t="inlineStr">
        <is>
          <t>huanglh@chd.edu.cn</t>
        </is>
      </c>
      <c r="AD378" t="inlineStr">
        <is>
          <t>Natural Science Foundation of China [21607015]; Science &amp; Technology Support Foundation of Shaanxi Province [2016JQ2008]; Fundamental Research Funds for the Central Universities [300102299101, 300102299104]; National Key Research and Development Plan [2017YFC0212206]; Chinese Postdoctoral Science Foundation [2014M550739]</t>
        </is>
      </c>
      <c r="AE378" t="inlineStr">
        <is>
          <t>Natural Science Foundation of China(National Natural Science Foundation of China (NSFC)); Science &amp; Technology Support Foundation of Shaanxi Province; Fundamental Research Funds for the Central Universities(Fundamental Research Funds for the Central Universities); National Key Research and Development Plan; Chinese Postdoctoral Science Foundation(China Postdoctoral Science Foundation)</t>
        </is>
      </c>
      <c r="AF378" t="inlineStr">
        <is>
          <t>We would like to thank and acknowledge the help of all of our study participants for allowing us to make the measurements in their homes. This study is supported by Natural Science Foundation of China (21607015), Science &amp; Technology Support Foundation of Shaanxi Province (2016JQ2008), Fundamental Research Funds for the Central Universities (300102299101, 300102299104), National Key Research and Development Plan (No. 2017YFC0212206) and Chinese Postdoctoral Science Foundation (2014M550739).</t>
        </is>
      </c>
      <c r="AH378" t="n">
        <v>51</v>
      </c>
      <c r="AI378" t="n">
        <v>23</v>
      </c>
      <c r="AJ378" t="n">
        <v>24</v>
      </c>
      <c r="AK378" t="n">
        <v>9</v>
      </c>
      <c r="AL378" t="n">
        <v>101</v>
      </c>
      <c r="AM378" t="inlineStr">
        <is>
          <t>PERGAMON-ELSEVIER SCIENCE LTD</t>
        </is>
      </c>
      <c r="AN378" t="inlineStr">
        <is>
          <t>OXFORD</t>
        </is>
      </c>
      <c r="AO378" t="inlineStr">
        <is>
          <t>THE BOULEVARD, LANGFORD LANE, KIDLINGTON, OXFORD OX5 1GB, ENGLAND</t>
        </is>
      </c>
      <c r="AP378" t="inlineStr">
        <is>
          <t>0045-6535</t>
        </is>
      </c>
      <c r="AQ378" t="inlineStr">
        <is>
          <t>1879-1298</t>
        </is>
      </c>
      <c r="AS378" t="inlineStr">
        <is>
          <t>CHEMOSPHERE</t>
        </is>
      </c>
      <c r="AT378" t="inlineStr">
        <is>
          <t>Chemosphere</t>
        </is>
      </c>
      <c r="AU378" t="inlineStr">
        <is>
          <t>SEP</t>
        </is>
      </c>
      <c r="AV378" t="n">
        <v>2020</v>
      </c>
      <c r="AW378" t="n">
        <v>254</v>
      </c>
      <c r="BE378" t="n">
        <v>126782</v>
      </c>
      <c r="BF378" t="inlineStr">
        <is>
          <t>10.1016/j.chemosphere.2020.126782</t>
        </is>
      </c>
      <c r="BG378">
        <f>HYPERLINK("http://dx.doi.org/10.1016/j.chemosphere.2020.126782","http://dx.doi.org/10.1016/j.chemosphere.2020.126782")</f>
        <v/>
      </c>
      <c r="BJ378" t="n">
        <v>10</v>
      </c>
      <c r="BK378" t="inlineStr">
        <is>
          <t>Environmental Sciences</t>
        </is>
      </c>
      <c r="BL378" t="inlineStr">
        <is>
          <t>Science Citation Index Expanded (SCI-EXPANDED)</t>
        </is>
      </c>
      <c r="BM378" t="inlineStr">
        <is>
          <t>Environmental Sciences &amp; Ecology</t>
        </is>
      </c>
      <c r="BN378" t="inlineStr">
        <is>
          <t>LV0RC</t>
        </is>
      </c>
      <c r="BO378" t="n">
        <v>32339798</v>
      </c>
      <c r="BS378" t="inlineStr">
        <is>
          <t>2023-10-26</t>
        </is>
      </c>
      <c r="BT378" t="inlineStr">
        <is>
          <t>WOS:000538150400035</t>
        </is>
      </c>
      <c r="BU378">
        <f>HYPERLINK("https%3A%2F%2Fwww.webofscience.com%2Fwos%2Fwoscc%2Ffull-record%2FWOS:000538150400035","View Full Record in Web of Science")</f>
        <v/>
      </c>
    </row>
    <row r="379">
      <c r="A379" t="inlineStr">
        <is>
          <t>J</t>
        </is>
      </c>
      <c r="B379" t="inlineStr">
        <is>
          <t>Toderasc, M; Iordache, V; Petcu, C; Petran, H</t>
        </is>
      </c>
      <c r="F379" t="inlineStr">
        <is>
          <t>Toderasc, Mihai; Iordache, Vlad; Petcu, Cristian; Petran, Horia</t>
        </is>
      </c>
      <c r="J379" t="inlineStr">
        <is>
          <t>ENVIRONMENTAL ENGINEERING AND MANAGEMENT JOURNAL</t>
        </is>
      </c>
      <c r="M379" t="inlineStr">
        <is>
          <t>English</t>
        </is>
      </c>
      <c r="N379" t="inlineStr">
        <is>
          <t>Article</t>
        </is>
      </c>
      <c r="T379" t="inlineStr">
        <is>
          <t>REAL TIME MONITORING OF INDOOR ENVIRONMENT QUALITY AND ENERGY CONSUMPTION IN A RESIDENTIAL BUILDING</t>
        </is>
      </c>
      <c r="U379" t="inlineStr">
        <is>
          <t>building operating; energy efficiency; IEQ</t>
        </is>
      </c>
      <c r="V379" t="inlineStr">
        <is>
          <t>CALL-CENTER OPERATORS; AIR SUPPLY RATE; THERMAL COMFORT; OFFICE BUILDINGS; PERFORMANCE; CLASSROOMS; IEQ; OPTIMIZATION; EFFICIENCY; SCHOOLS</t>
        </is>
      </c>
      <c r="W379" t="inlineStr">
        <is>
          <t>Several theoretical studies were oriented towards the relationship between the main two building design estimators (building energy consumption and indoor environmental quality) but very little experimental research has been carried out in order to underline the correlation between this two parameters. This paper is focused towards the experimental study of the correlation between these two design estimators. Several indoor comfort parameters (air temperature, radiant mean temperature, sound pressure level, outdoor ventilation rate and lighting level) as well as energy consumption were monitored in different rooms inside a laboratory experimental house at real scale located in Bucharest, Romania. Time variations of these parameters and space distribution maps inside the house were analysed in order to understand the indoor comfort variations. Four comfort indexes (thermal comfort index, acoustic comfort index, indoor air quality index and visual comfort index) were determined and their time variations were used to emphasize the correlation between the indoor environment quality and the energy consumption. The overall indoor environment quality was found to be inversely correlated with the energy consumption and that this general trend can be easily influenced by the weight of the four comfort types.</t>
        </is>
      </c>
      <c r="X379" t="inlineStr">
        <is>
          <t>[Toderasc, Mihai; Petcu, Cristian; Petran, Horia] Natl Inst Res &amp; Dev Construct Urban Planning &amp; Su, Pantelimon 266, Bucharest, Romania; [Toderasc, Mihai; Iordache, Vlad] Tech Univ Civil Engn Bucharest, Pache Protopopescu 66, Bucharest, Romania</t>
        </is>
      </c>
      <c r="Y379" t="inlineStr">
        <is>
          <t>Technical University of Civil Engineering of Bucharest (UTCB)</t>
        </is>
      </c>
      <c r="Z379" t="inlineStr">
        <is>
          <t>Iordache, V (corresponding author), Tech Univ Civil Engn Bucharest, Pache Protopopescu 66, Bucharest, Romania.</t>
        </is>
      </c>
      <c r="AA379" t="inlineStr">
        <is>
          <t>viordach@yahoo.com</t>
        </is>
      </c>
      <c r="AB379" t="inlineStr">
        <is>
          <t>Petcu, Cristian/ABA-4560-2021; Iordache, Vlad/C-5203-2011; Petran, Horia-Alexandru M.I./P-7319-2015</t>
        </is>
      </c>
      <c r="AC379" t="inlineStr">
        <is>
          <t>Petcu, Cristian/0000-0001-5055-0084; Iordache, Vlad/0000-0001-9875-9936; Petran, Horia-Alexandru M.I./0000-0001-9780-2461</t>
        </is>
      </c>
      <c r="AD379" t="inlineStr">
        <is>
          <t>Romanian Authority for Scientific Research and Innovation, CNCS/CCCDI - UEFISCDI [PN-III-P2-2.1-PED-2016-1951]</t>
        </is>
      </c>
      <c r="AE379" t="inlineStr">
        <is>
          <t>Romanian Authority for Scientific Research and Innovation, CNCS/CCCDI - UEFISCDI</t>
        </is>
      </c>
      <c r="AF379" t="inlineStr">
        <is>
          <t>This study is supported by Romanian Authority for Scientific Research and Innovation, CNCS/CCCDI - UEFISCDI, through research project PN-III-P2-2.1-PED-2016-1951.</t>
        </is>
      </c>
      <c r="AH379" t="n">
        <v>50</v>
      </c>
      <c r="AI379" t="n">
        <v>1</v>
      </c>
      <c r="AJ379" t="n">
        <v>1</v>
      </c>
      <c r="AK379" t="n">
        <v>2</v>
      </c>
      <c r="AL379" t="n">
        <v>9</v>
      </c>
      <c r="AM379" t="inlineStr">
        <is>
          <t>GH ASACHI TECHNICAL UNIV IASI</t>
        </is>
      </c>
      <c r="AN379" t="inlineStr">
        <is>
          <t>IASI</t>
        </is>
      </c>
      <c r="AO379" t="inlineStr">
        <is>
          <t>71 MANGERON BLVD, IASI, 700050, ROMANIA</t>
        </is>
      </c>
      <c r="AP379" t="inlineStr">
        <is>
          <t>1582-9596</t>
        </is>
      </c>
      <c r="AQ379" t="inlineStr">
        <is>
          <t>1843-3707</t>
        </is>
      </c>
      <c r="AS379" t="inlineStr">
        <is>
          <t>ENVIRON ENG MANAG J</t>
        </is>
      </c>
      <c r="AT379" t="inlineStr">
        <is>
          <t>Environ. Eng. Manag. J.</t>
        </is>
      </c>
      <c r="AU379" t="inlineStr">
        <is>
          <t>JUL</t>
        </is>
      </c>
      <c r="AV379" t="n">
        <v>2019</v>
      </c>
      <c r="AW379" t="n">
        <v>18</v>
      </c>
      <c r="AX379" t="n">
        <v>7</v>
      </c>
      <c r="BC379" t="n">
        <v>1561</v>
      </c>
      <c r="BD379" t="n">
        <v>1574</v>
      </c>
      <c r="BJ379" t="n">
        <v>14</v>
      </c>
      <c r="BK379" t="inlineStr">
        <is>
          <t>Environmental Sciences</t>
        </is>
      </c>
      <c r="BL379" t="inlineStr">
        <is>
          <t>Science Citation Index Expanded (SCI-EXPANDED)</t>
        </is>
      </c>
      <c r="BM379" t="inlineStr">
        <is>
          <t>Environmental Sciences &amp; Ecology</t>
        </is>
      </c>
      <c r="BN379" t="inlineStr">
        <is>
          <t>IO4BB</t>
        </is>
      </c>
      <c r="BS379" t="inlineStr">
        <is>
          <t>2023-10-26</t>
        </is>
      </c>
      <c r="BT379" t="inlineStr">
        <is>
          <t>WOS:000479323400016</t>
        </is>
      </c>
      <c r="BU379">
        <f>HYPERLINK("https%3A%2F%2Fwww.webofscience.com%2Fwos%2Fwoscc%2Ffull-record%2FWOS:000479323400016","View Full Record in Web of Science")</f>
        <v/>
      </c>
    </row>
    <row r="380">
      <c r="A380" t="inlineStr">
        <is>
          <t>J</t>
        </is>
      </c>
      <c r="B380" t="inlineStr">
        <is>
          <t>López-Chao, V; Lorenzo, AA; Martin-Gutiérrez, J</t>
        </is>
      </c>
      <c r="F380" t="inlineStr">
        <is>
          <t>Lopez-Chao, Vicente; Amado Lorenzo, Antonio; Martin-Gutierrez, Jorge</t>
        </is>
      </c>
      <c r="J380" t="inlineStr">
        <is>
          <t>SUSTAINABILITY</t>
        </is>
      </c>
      <c r="M380" t="inlineStr">
        <is>
          <t>English</t>
        </is>
      </c>
      <c r="N380" t="inlineStr">
        <is>
          <t>Article</t>
        </is>
      </c>
      <c r="T380" t="inlineStr">
        <is>
          <t>Architectural Indoor Analysis: A Holistic Approach to Understand the Relation of Higher Education Classrooms and Academic Performance</t>
        </is>
      </c>
      <c r="U380" t="inlineStr">
        <is>
          <t>acoustics; architecture; visual comfort; environmental quality; higher education; learning space; learning physical environment; sustainable buildings; thermal comfort; ventilation comfort</t>
        </is>
      </c>
      <c r="V380" t="inlineStr">
        <is>
          <t>ENVIRONMENTAL-QUALITY; LEARNING-PERFORMANCE; IRRELEVANT SPEECH; THERMAL COMFORT; IMPACT; DESIGN; DIMENSIONS; BUILDINGS; FURNITURE; AIR</t>
        </is>
      </c>
      <c r="W380" t="inlineStr">
        <is>
          <t>The influence of learning space on users has been broadly accepted and tested. However, the literature has focused on single factor research, instead of holistic approaches. Additionally, lower educational levels have been the focus of interest, while higher education is moving towards multi-method teaching. This paper focuses on how learning spaces for different purposes (practice and lecture rooms) may influence academic performance from a holistic approach of learning physical environment perception. For this, the iPEP scale (Indoor physical environment perception) is used and validated through Cronbach Alpha and Exploratory Factorial Analysis. Then, multiple linear regression is conducted. The results indicate that iPEP measures near to 63 percent of the construct, which is structured in six factors. Moreover, linear regression analyses support previous literature concerning the influence of learning physical environment on academic performance (R-2 = 0.154). The differences obtained between practice and lecture room in terms of predictor variables bring to the light the need to diagnose learning environments before designing changes in educational buildings. This research provides a self-reported way to measure indoor environments, as well as evidence concerning the modern university, which desires to combine several teaching methods.</t>
        </is>
      </c>
      <c r="X380" t="inlineStr">
        <is>
          <t>[Lopez-Chao, Vicente] Univ Almeria, Dept Educ, La Canada Almeria 04120, Spain; [Amado Lorenzo, Antonio] Univ A Coruna, Dept Architectural Graph Express, La Coruna 15001, Spain; [Martin-Gutierrez, Jorge] Univ La Laguna, Tech &amp; Projects Engn &amp; Architecture, San Cristobal La Laguna 38200, Spain</t>
        </is>
      </c>
      <c r="Y380" t="inlineStr">
        <is>
          <t>Universidad de Almeria; Universidade da Coruna; Universidad de la Laguna</t>
        </is>
      </c>
      <c r="Z380" t="inlineStr">
        <is>
          <t>López-Chao, V (corresponding author), Univ Almeria, Dept Educ, La Canada Almeria 04120, Spain.</t>
        </is>
      </c>
      <c r="AA380" t="inlineStr">
        <is>
          <t>valchao@ual.es; antonio.amado@udc.es; jmargu@ull.edu.es</t>
        </is>
      </c>
      <c r="AB380" t="inlineStr">
        <is>
          <t>Lopez-Chao, Vicente/AAO-6304-2020; Martin-Gutierrez, Jorge/H-7151-2013</t>
        </is>
      </c>
      <c r="AC380" t="inlineStr">
        <is>
          <t>Lopez-Chao, Vicente/0000-0002-7369-0319; Martin-Gutierrez, Jorge/0000-0002-8367-4363; Amado, Antonio/0000-0002-4208-4463</t>
        </is>
      </c>
      <c r="AH380" t="n">
        <v>67</v>
      </c>
      <c r="AI380" t="n">
        <v>12</v>
      </c>
      <c r="AJ380" t="n">
        <v>12</v>
      </c>
      <c r="AK380" t="n">
        <v>1</v>
      </c>
      <c r="AL380" t="n">
        <v>28</v>
      </c>
      <c r="AM380" t="inlineStr">
        <is>
          <t>MDPI</t>
        </is>
      </c>
      <c r="AN380" t="inlineStr">
        <is>
          <t>BASEL</t>
        </is>
      </c>
      <c r="AO380" t="inlineStr">
        <is>
          <t>ST ALBAN-ANLAGE 66, CH-4052 BASEL, SWITZERLAND</t>
        </is>
      </c>
      <c r="AQ380" t="inlineStr">
        <is>
          <t>2071-1050</t>
        </is>
      </c>
      <c r="AS380" t="inlineStr">
        <is>
          <t>SUSTAINABILITY-BASEL</t>
        </is>
      </c>
      <c r="AT380" t="inlineStr">
        <is>
          <t>Sustainability</t>
        </is>
      </c>
      <c r="AU380" t="inlineStr">
        <is>
          <t>DEC</t>
        </is>
      </c>
      <c r="AV380" t="n">
        <v>2019</v>
      </c>
      <c r="AW380" t="n">
        <v>11</v>
      </c>
      <c r="AX380" t="n">
        <v>23</v>
      </c>
      <c r="BE380" t="n">
        <v>6558</v>
      </c>
      <c r="BF380" t="inlineStr">
        <is>
          <t>10.3390/su11236558</t>
        </is>
      </c>
      <c r="BG380">
        <f>HYPERLINK("http://dx.doi.org/10.3390/su11236558","http://dx.doi.org/10.3390/su11236558")</f>
        <v/>
      </c>
      <c r="BJ380" t="n">
        <v>15</v>
      </c>
      <c r="BK380" t="inlineStr">
        <is>
          <t>Green &amp; Sustainable Science &amp; Technology; Environmental Sciences; Environmental Studies</t>
        </is>
      </c>
      <c r="BL380" t="inlineStr">
        <is>
          <t>Science Citation Index Expanded (SCI-EXPANDED); Social Science Citation Index (SSCI)</t>
        </is>
      </c>
      <c r="BM380" t="inlineStr">
        <is>
          <t>Science &amp; Technology - Other Topics; Environmental Sciences &amp; Ecology</t>
        </is>
      </c>
      <c r="BN380" t="inlineStr">
        <is>
          <t>KD9MV</t>
        </is>
      </c>
      <c r="BP380" t="inlineStr">
        <is>
          <t>Green Published, gold</t>
        </is>
      </c>
      <c r="BS380" t="inlineStr">
        <is>
          <t>2023-10-26</t>
        </is>
      </c>
      <c r="BT380" t="inlineStr">
        <is>
          <t>WOS:000508186400030</t>
        </is>
      </c>
      <c r="BU380">
        <f>HYPERLINK("https%3A%2F%2Fwww.webofscience.com%2Fwos%2Fwoscc%2Ffull-record%2FWOS:000508186400030","View Full Record in Web of Science")</f>
        <v/>
      </c>
    </row>
    <row r="381">
      <c r="A381" t="inlineStr">
        <is>
          <t>J</t>
        </is>
      </c>
      <c r="B381" t="inlineStr">
        <is>
          <t>Almusaed, A; Almssad, A; Alasadi, A; Yitmen, I; Al-Samaraee, S</t>
        </is>
      </c>
      <c r="F381" t="inlineStr">
        <is>
          <t>Almusaed, Amjad; Almssad, Asaad; Alasadi, Asaad; Yitmen, Ibrahim; Al-Samaraee, Sammera</t>
        </is>
      </c>
      <c r="J381" t="inlineStr">
        <is>
          <t>SUSTAINABILITY</t>
        </is>
      </c>
      <c r="M381" t="inlineStr">
        <is>
          <t>English</t>
        </is>
      </c>
      <c r="N381" t="inlineStr">
        <is>
          <t>Article</t>
        </is>
      </c>
      <c r="T381" t="inlineStr">
        <is>
          <t>Assessing the Role and Efficiency of Thermal Insulation by the BIO-GREEN PANEL in Enhancing Sustainability in a Built Environment</t>
        </is>
      </c>
      <c r="U381" t="inlineStr">
        <is>
          <t>climate change; biophilic design; bio-basis product; passport materials; built environment; thermal insulations</t>
        </is>
      </c>
      <c r="V381" t="inlineStr">
        <is>
          <t>SYSTEMS; INFRASTRUCTURE; DESIGN</t>
        </is>
      </c>
      <c r="W381" t="inlineStr">
        <is>
          <t>The pressing concern of climate change and the imperative to mitigate CO2 emissions have significantly influenced the selection of outdoor plant species. Consequently, evaluating CO2's environmental effects on plants has become integral to the decision-making process. Notably, reducing greenhouse gas (GHG) emissions from buildings is significant in tackling the consequences of climate change and addressing energy deficiencies. This article presents a novel approach by introducing plant panels as an integral component in future building designs, epitomizing the next generation of sustainable structures and offering a new and sustainable building solution. The integration of environmentally friendly building materials enhances buildings' indoor environments. Consequently, it becomes crucial to analyze manufacturing processes in order to reduce energy consumption, minimize waste generation, and incorporate green technologies. In this context, experimentation was conducted on six distinct plant species, revealing that the energy-saving potential of different plant types on buildings varies significantly. This finding contributes to the economy's improvement and fosters enhanced health-related and environmental responsibility. The proposed plant panels harmonize various building components and embody a strategic approach to promote health and well-being through bio-innovation. Furthermore, this innovative solution seeks to provide a sustainable alternative by addressing the challenges of unsustainable practices, outdated standards, limited implementation of new technologies, and excessive administrative barriers in the construction industry. The obtained outcomes will provide stakeholders within the building sector with pertinent data concerning performance and durability. Furthermore, these results will enable producers to acquire essential information, facilitating product improvement.</t>
        </is>
      </c>
      <c r="X381" t="inlineStr">
        <is>
          <t>[Almusaed, Amjad; Yitmen, Ibrahim] Jonkoping Univ, Sch Engn, Dept Construct Engn &amp; Lighting Sci, S-55111 Jonkoping, Sweden; [Almssad, Asaad] Karlstad Univ, Dept Engn &amp; Chem Sci, S-65188 Karlstad, Sweden; [Alasadi, Asaad] Univ Basra, Engn Coll, Dept Architectural Engn, Basrah 61001, Iraq; [Al-Samaraee, Sammera] Basrah Univ Oil &amp; Gas, Coll Oil &amp; Gas Engn, Dept Chem &amp; Petr Refining Engn, Basrah 61004, Iraq</t>
        </is>
      </c>
      <c r="Y381" t="inlineStr">
        <is>
          <t>Jonkoping University; Karlstad University; University of Basrah; Basrah University for Oil &amp; Gas</t>
        </is>
      </c>
      <c r="Z381" t="inlineStr">
        <is>
          <t>Almusaed, A (corresponding author), Jonkoping Univ, Sch Engn, Dept Construct Engn &amp; Lighting Sci, S-55111 Jonkoping, Sweden.</t>
        </is>
      </c>
      <c r="AA381" t="inlineStr">
        <is>
          <t>amjad.al-musaed@ju.se; asaad.almssad@kau.se; drasaad1962@yahoo.com; ibrahim.yitmen@ju.se; drsamiraa66@gmail.com</t>
        </is>
      </c>
      <c r="AB381" t="inlineStr">
        <is>
          <t>AlMusaed, Amjad Zaki/AAY-3100-2021; Almssad, Asaad/I-1642-2016</t>
        </is>
      </c>
      <c r="AC381" t="inlineStr">
        <is>
          <t>AlMusaed, Amjad Zaki/0000-0001-5814-2667; Almssad, Asaad/0000-0002-4536-9747; , amjad/0000-0003-1779-6765; Yitmen, Ibrahim/0000-0003-4288-9904</t>
        </is>
      </c>
      <c r="AH381" t="n">
        <v>101</v>
      </c>
      <c r="AI381" t="n">
        <v>0</v>
      </c>
      <c r="AJ381" t="n">
        <v>0</v>
      </c>
      <c r="AK381" t="n">
        <v>5</v>
      </c>
      <c r="AL381" t="n">
        <v>5</v>
      </c>
      <c r="AM381" t="inlineStr">
        <is>
          <t>MDPI</t>
        </is>
      </c>
      <c r="AN381" t="inlineStr">
        <is>
          <t>BASEL</t>
        </is>
      </c>
      <c r="AO381" t="inlineStr">
        <is>
          <t>ST ALBAN-ANLAGE 66, CH-4052 BASEL, SWITZERLAND</t>
        </is>
      </c>
      <c r="AQ381" t="inlineStr">
        <is>
          <t>2071-1050</t>
        </is>
      </c>
      <c r="AS381" t="inlineStr">
        <is>
          <t>SUSTAINABILITY-BASEL</t>
        </is>
      </c>
      <c r="AT381" t="inlineStr">
        <is>
          <t>Sustainability</t>
        </is>
      </c>
      <c r="AU381" t="inlineStr">
        <is>
          <t>JUL</t>
        </is>
      </c>
      <c r="AV381" t="n">
        <v>2023</v>
      </c>
      <c r="AW381" t="n">
        <v>15</v>
      </c>
      <c r="AX381" t="n">
        <v>13</v>
      </c>
      <c r="BE381" t="n">
        <v>10418</v>
      </c>
      <c r="BF381" t="inlineStr">
        <is>
          <t>10.3390/su151310418</t>
        </is>
      </c>
      <c r="BG381">
        <f>HYPERLINK("http://dx.doi.org/10.3390/su151310418","http://dx.doi.org/10.3390/su151310418")</f>
        <v/>
      </c>
      <c r="BJ381" t="n">
        <v>25</v>
      </c>
      <c r="BK381" t="inlineStr">
        <is>
          <t>Green &amp; Sustainable Science &amp; Technology; Environmental Sciences; Environmental Studies</t>
        </is>
      </c>
      <c r="BL381" t="inlineStr">
        <is>
          <t>Science Citation Index Expanded (SCI-EXPANDED); Social Science Citation Index (SSCI)</t>
        </is>
      </c>
      <c r="BM381" t="inlineStr">
        <is>
          <t>Science &amp; Technology - Other Topics; Environmental Sciences &amp; Ecology</t>
        </is>
      </c>
      <c r="BN381" t="inlineStr">
        <is>
          <t>M1YQ2</t>
        </is>
      </c>
      <c r="BP381" t="inlineStr">
        <is>
          <t>Green Published, gold</t>
        </is>
      </c>
      <c r="BS381" t="inlineStr">
        <is>
          <t>2023-10-26</t>
        </is>
      </c>
      <c r="BT381" t="inlineStr">
        <is>
          <t>WOS:001028210800001</t>
        </is>
      </c>
      <c r="BU381">
        <f>HYPERLINK("https%3A%2F%2Fwww.webofscience.com%2Fwos%2Fwoscc%2Ffull-record%2FWOS:001028210800001","View Full Record in Web of Science")</f>
        <v/>
      </c>
    </row>
    <row r="382">
      <c r="A382" t="inlineStr">
        <is>
          <t>J</t>
        </is>
      </c>
      <c r="B382" t="inlineStr">
        <is>
          <t>Wang, YX; Zhu, XS; Lao, YM; Lv, XH; Tao, Y; Huang, BM; Wang, JX; Zhou, J; Cai, ZH</t>
        </is>
      </c>
      <c r="F382" t="inlineStr">
        <is>
          <t>Wang, Yixiang; Zhu, Xiaoshan; Lao, Yongmin; Lv, Xiaohui; Tao, Yi; Huang, Boming; Wang, Jiangxin; Zhou, Jin; Cai, Zhonghua</t>
        </is>
      </c>
      <c r="J382" t="inlineStr">
        <is>
          <t>SCIENCE OF THE TOTAL ENVIRONMENT</t>
        </is>
      </c>
      <c r="M382" t="inlineStr">
        <is>
          <t>English</t>
        </is>
      </c>
      <c r="N382" t="inlineStr">
        <is>
          <t>Article</t>
        </is>
      </c>
      <c r="T382" t="inlineStr">
        <is>
          <t>TiO2 nanoparticles in the marine environment: Physical effects responsible for the toxicity on algae Phaeodactylum tricornutum</t>
        </is>
      </c>
      <c r="U382" t="inlineStr">
        <is>
          <t>Marine environment; Microalgae Phaeodactylum tricomutum; Titanium dioxide (TiO2); Growth inhibition; Toxicity</t>
        </is>
      </c>
      <c r="V382" t="inlineStr">
        <is>
          <t>TITANIUM-DIOXIDE NANOPARTICLES; METAL-OXIDE NANOPARTICLES; NANO-COMPOSITE; MANUFACTURED NANOMATERIALS; DUNALIELLA-TERTIOLECTA; OXIDATIVE STRESS; CARBON; BIOACCUMULATION; BEHAVIOR; BIVALVE</t>
        </is>
      </c>
      <c r="W382" t="inlineStr">
        <is>
          <t>Nanoscale titanium dioxide (nTiO(2)) has beenwidely used in cosmetics, catalysts, varnishes, etc., which is raising concerns about its potential hazards to the ecosystem, including the marine environment. In this study, the toxicological effect of nTiO(2) on the marine phytoplankton Phaeodactylum tricornutum was carefully investigated. The results showed that nTiO(2) at concentrations &gt;= 20 mg/L could significantly inhibit P. tricornutum growth. The 5-day EC50 of nTiO(2) to P. tricornutum growth is 167.71 mg/L. Interestingly, nTiO(2) was found to exert its most severe inhibition effects on the first day of exposure, at a lower EC50 of 12.65 mg/L. During the experiment, nTiO2 aggregates were found to entrap algae cells, which is likely responsible for the observed toxic effects. Direct physical effects such as cell wall damage from the algae entrapment were confirmed by flow cytometry and TEM imaging. Moreover, low indirect effects such as shading and oxidative stress were observed, which supported the idea that direct physical effects could be the dominant factor that causes nTiO(2) toxicity in P. tricornutum. Our research provides direct evidence for the toxicological impact of nTiO(2) on marine microalgae, which will help us to build a good understanding of the ecological risks of nanoparticles in the marine environment. (C) 2016 Elsevier B.V. All rights reserved.</t>
        </is>
      </c>
      <c r="X382" t="inlineStr">
        <is>
          <t>[Wang, Yixiang; Zhu, Xiaoshan; Huang, Boming] Tsinghua Univ, Sch Environm, Beijing 100084, Peoples R China; [Wang, Yixiang; Zhu, Xiaoshan; Lao, Yongmin; Tao, Yi; Huang, Boming; Zhou, Jin; Cai, Zhonghua] Tsinghua Univ, Grad Sch Shenzhen, Shenzhen 518055, Peoples R China; [Zhu, Xiaoshan] JCGCS, Beijing 100875, Peoples R China; [Lv, Xiaohui] Harbin Inst Technol, Shenzhen Grad Sch, Shenzhen 518055, Peoples R China; [Wang, Jiangxin] Shenzhen Univ, Sch Life Sci, Shenzhen 518060, Peoples R China</t>
        </is>
      </c>
      <c r="Y382" t="inlineStr">
        <is>
          <t>Tsinghua University; Tsinghua Shenzhen International Graduate School; Tsinghua University; Harbin Institute of Technology; Shenzhen University</t>
        </is>
      </c>
      <c r="Z382" t="inlineStr">
        <is>
          <t>Zhu, XS (corresponding author), Tsinghua Univ, Sch Environm, Beijing 100084, Peoples R China.;Cai, ZH (corresponding author), Tsinghua Univ, Grad Sch Shenzhen, Shenzhen 518055, Peoples R China.</t>
        </is>
      </c>
      <c r="AA382" t="inlineStr">
        <is>
          <t>zhu.xiaoshan@sz.tsinghua.edu.cn; caizh@sz.tsinghua.edu.cn</t>
        </is>
      </c>
      <c r="AB382" t="inlineStr">
        <is>
          <t>Zhu, Xiaoshan/B-2179-2015; WANG, Jiangxin/AFE-8446-2022; Wang, Yixiang/HHR-9180-2022; Zhu, Xiaoshan/HCG-9804-2022</t>
        </is>
      </c>
      <c r="AC382" t="inlineStr">
        <is>
          <t>Zhu, Xiaoshan/0000-0003-1223-1415; WANG, Jiangxin/0000-0002-9917-067X; Wang, Yixiang/0000-0003-0530-8664; TAO, YI/0000-0001-7692-2122</t>
        </is>
      </c>
      <c r="AD382" t="inlineStr">
        <is>
          <t>National Natural Science Foundation of China [41373089, 41573094]; Natural Science Foundation of Guangdong Province of China [2015A030313831]; Fundamental Research Project of Shenzhen, China [JCYJ20150331151536446]</t>
        </is>
      </c>
      <c r="AE382" t="inlineStr">
        <is>
          <t>National Natural Science Foundation of China(National Natural Science Foundation of China (NSFC)); Natural Science Foundation of Guangdong Province of China(National Natural Science Foundation of Guangdong Province); Fundamental Research Project of Shenzhen, China</t>
        </is>
      </c>
      <c r="AF382" t="inlineStr">
        <is>
          <t>This project was financially supported by the National Natural Science Foundation of China (41373089 and 41573094). It was also supported in part by the Natural Science Foundation of Guangdong Province of China (2015A030313831) and the Fundamental Research Project of Shenzhen, China (JCYJ20150331151536446).</t>
        </is>
      </c>
      <c r="AH382" t="n">
        <v>68</v>
      </c>
      <c r="AI382" t="n">
        <v>138</v>
      </c>
      <c r="AJ382" t="n">
        <v>144</v>
      </c>
      <c r="AK382" t="n">
        <v>13</v>
      </c>
      <c r="AL382" t="n">
        <v>257</v>
      </c>
      <c r="AM382" t="inlineStr">
        <is>
          <t>ELSEVIER SCIENCE BV</t>
        </is>
      </c>
      <c r="AN382" t="inlineStr">
        <is>
          <t>AMSTERDAM</t>
        </is>
      </c>
      <c r="AO382" t="inlineStr">
        <is>
          <t>PO BOX 211, 1000 AE AMSTERDAM, NETHERLANDS</t>
        </is>
      </c>
      <c r="AP382" t="inlineStr">
        <is>
          <t>0048-9697</t>
        </is>
      </c>
      <c r="AQ382" t="inlineStr">
        <is>
          <t>1879-1026</t>
        </is>
      </c>
      <c r="AS382" t="inlineStr">
        <is>
          <t>SCI TOTAL ENVIRON</t>
        </is>
      </c>
      <c r="AT382" t="inlineStr">
        <is>
          <t>Sci. Total Environ.</t>
        </is>
      </c>
      <c r="AU382" t="inlineStr">
        <is>
          <t>SEP 15</t>
        </is>
      </c>
      <c r="AV382" t="n">
        <v>2016</v>
      </c>
      <c r="AW382" t="n">
        <v>565</v>
      </c>
      <c r="BC382" t="n">
        <v>818</v>
      </c>
      <c r="BD382" t="n">
        <v>826</v>
      </c>
      <c r="BF382" t="inlineStr">
        <is>
          <t>10.1016/j.scitotenv.2016.03.164</t>
        </is>
      </c>
      <c r="BG382">
        <f>HYPERLINK("http://dx.doi.org/10.1016/j.scitotenv.2016.03.164","http://dx.doi.org/10.1016/j.scitotenv.2016.03.164")</f>
        <v/>
      </c>
      <c r="BJ382" t="n">
        <v>9</v>
      </c>
      <c r="BK382" t="inlineStr">
        <is>
          <t>Environmental Sciences</t>
        </is>
      </c>
      <c r="BL382" t="inlineStr">
        <is>
          <t>Science Citation Index Expanded (SCI-EXPANDED)</t>
        </is>
      </c>
      <c r="BM382" t="inlineStr">
        <is>
          <t>Environmental Sciences &amp; Ecology</t>
        </is>
      </c>
      <c r="BN382" t="inlineStr">
        <is>
          <t>DP0UV</t>
        </is>
      </c>
      <c r="BO382" t="n">
        <v>27060054</v>
      </c>
      <c r="BS382" t="inlineStr">
        <is>
          <t>2023-10-26</t>
        </is>
      </c>
      <c r="BT382" t="inlineStr">
        <is>
          <t>WOS:000378206300084</t>
        </is>
      </c>
      <c r="BU382">
        <f>HYPERLINK("https%3A%2F%2Fwww.webofscience.com%2Fwos%2Fwoscc%2Ffull-record%2FWOS:000378206300084","View Full Record in Web of Science")</f>
        <v/>
      </c>
    </row>
    <row r="383">
      <c r="A383" t="inlineStr">
        <is>
          <t>J</t>
        </is>
      </c>
      <c r="B383" t="inlineStr">
        <is>
          <t>Rosenwohl-Mack, A; Smith, D; Greene, M; Skultety, K; Deutsch, M; Dubbin, L; Flatt, JD</t>
        </is>
      </c>
      <c r="F383" t="inlineStr">
        <is>
          <t>Rosenwohl-Mack, Amy; Smith, Darin; Greene, Meredith; Skultety, Karyn; Deutsch, Madeline; Dubbin, Leslie; Flatt, Jason D.</t>
        </is>
      </c>
      <c r="J383" t="inlineStr">
        <is>
          <t>INTERNATIONAL JOURNAL OF ENVIRONMENTAL RESEARCH AND PUBLIC HEALTH</t>
        </is>
      </c>
      <c r="M383" t="inlineStr">
        <is>
          <t>English</t>
        </is>
      </c>
      <c r="N383" t="inlineStr">
        <is>
          <t>Article</t>
        </is>
      </c>
      <c r="T383" t="inlineStr">
        <is>
          <t>Building HOUSE (Healthy Outcomes Using a Supportive Environment): Exploring the Role of Affordable and Inclusive Housing for LGBTQIA plus Older Adults</t>
        </is>
      </c>
      <c r="U383" t="inlineStr">
        <is>
          <t>housing; LGBTQIA plus; older adults; HIV; AIDS; inclusion; social support</t>
        </is>
      </c>
      <c r="V383" t="inlineStr">
        <is>
          <t>MENTAL-HEALTH; SOCIAL CARE; LOW-INCOME; GAY; PEOPLE; RISK; DISCRIMINATION; DISPARITIES; EQUITY; NEEDS</t>
        </is>
      </c>
      <c r="W383" t="inlineStr">
        <is>
          <t>Little is known about how permanent, inclusive, affordable, and supportive long-term housing may affect the health of low-income lesbian, gay, bisexual, transgender, queer, intersex, asexual and/or another identity (LGBTQIA+) older adults. Focus group interviews were conducted with 21 older adults to explore the lived experiences and potential health benefits of living in a new LGBTQIA+-welcoming senior housing. Participants reported that moving into the housing was associated with benefits for health and well-being, especially for psychological health. Community, social support, and in-house services were particularly important. However, the combined nature of LGBTQIA+-welcoming and older adult only housing evoked mixed feelings. Appropriate and accessible housing solutions are essential for LGBTQIA+ older adults and may help address health disparities for these populations.</t>
        </is>
      </c>
      <c r="X383" t="inlineStr">
        <is>
          <t>[Rosenwohl-Mack, Amy; Dubbin, Leslie] Univ Calif San Francisco, Sch Nursing, Dept Social &amp; Behav Sci, San Francisco, CA 94143 USA; [Smith, Darin] Oregon Hlth &amp; Sci Univ, Off Community Engagement &amp; Support, Portland, OR 97239 USA; [Greene, Meredith] Univ Calif San Francisco, Sch Med, Dept Med, Div Geriatr, San Francisco, CA 94143 USA; [Skultety, Karyn] Openhouse, San Francisco, CA 94102 USA; [Deutsch, Madeline] Univ Calif San Francisco, Sch Med, Dept Family &amp; Community Med, San Francisco, CA 94143 USA; [Flatt, Jason D.] Univ Nevada, Dept Social &amp; Behav Hlth Sci, Sch Publ Hlth, Las Vegas, NV 89154 USA</t>
        </is>
      </c>
      <c r="Y383" t="inlineStr">
        <is>
          <t>University of California System; University of California San Francisco; Oregon Health &amp; Science University; University of California System; University of California San Francisco; University of California System; University of California San Francisco; Nevada System of Higher Education (NSHE); University of Nevada Las Vegas</t>
        </is>
      </c>
      <c r="Z383" t="inlineStr">
        <is>
          <t>Flatt, JD (corresponding author), Univ Nevada, Dept Social &amp; Behav Hlth Sci, Sch Publ Hlth, Las Vegas, NV 89154 USA.</t>
        </is>
      </c>
      <c r="AA383" t="inlineStr">
        <is>
          <t>amy.rosenwohl-mack@ucsf.edu; smidar@ohsu.edu; meredith.greene@ucsf.edu; karynskultety@gmail.com; madeline.deutsch@ucsf.edu; leslie.dubbin@ucsf.edu; jason.flatt@unlv.edu</t>
        </is>
      </c>
      <c r="AB383" t="inlineStr">
        <is>
          <t>Dubbin, Leslie/AAQ-3091-2020</t>
        </is>
      </c>
      <c r="AC383" t="inlineStr">
        <is>
          <t>Flatt, Jason/0000-0003-1244-738X</t>
        </is>
      </c>
      <c r="AH383" t="n">
        <v>50</v>
      </c>
      <c r="AI383" t="n">
        <v>2</v>
      </c>
      <c r="AJ383" t="n">
        <v>2</v>
      </c>
      <c r="AK383" t="n">
        <v>2</v>
      </c>
      <c r="AL383" t="n">
        <v>11</v>
      </c>
      <c r="AM383" t="inlineStr">
        <is>
          <t>MDPI</t>
        </is>
      </c>
      <c r="AN383" t="inlineStr">
        <is>
          <t>BASEL</t>
        </is>
      </c>
      <c r="AO383" t="inlineStr">
        <is>
          <t>ST ALBAN-ANLAGE 66, CH-4052 BASEL, SWITZERLAND</t>
        </is>
      </c>
      <c r="AQ383" t="inlineStr">
        <is>
          <t>1660-4601</t>
        </is>
      </c>
      <c r="AS383" t="inlineStr">
        <is>
          <t>INT J ENV RES PUB HE</t>
        </is>
      </c>
      <c r="AT383" t="inlineStr">
        <is>
          <t>Int. J. Environ. Res. Public Health</t>
        </is>
      </c>
      <c r="AU383" t="inlineStr">
        <is>
          <t>FEB</t>
        </is>
      </c>
      <c r="AV383" t="n">
        <v>2022</v>
      </c>
      <c r="AW383" t="n">
        <v>19</v>
      </c>
      <c r="AX383" t="n">
        <v>3</v>
      </c>
      <c r="BE383" t="n">
        <v>1699</v>
      </c>
      <c r="BF383" t="inlineStr">
        <is>
          <t>10.3390/ijerph19031699</t>
        </is>
      </c>
      <c r="BG383">
        <f>HYPERLINK("http://dx.doi.org/10.3390/ijerph19031699","http://dx.doi.org/10.3390/ijerph19031699")</f>
        <v/>
      </c>
      <c r="BJ383" t="n">
        <v>15</v>
      </c>
      <c r="BK383" t="inlineStr">
        <is>
          <t>Environmental Sciences; Public, Environmental &amp; Occupational Health</t>
        </is>
      </c>
      <c r="BL383" t="inlineStr">
        <is>
          <t>Science Citation Index Expanded (SCI-EXPANDED); Social Science Citation Index (SSCI)</t>
        </is>
      </c>
      <c r="BM383" t="inlineStr">
        <is>
          <t>Environmental Sciences &amp; Ecology; Public, Environmental &amp; Occupational Health</t>
        </is>
      </c>
      <c r="BN383" t="inlineStr">
        <is>
          <t>ZA1XZ</t>
        </is>
      </c>
      <c r="BO383" t="n">
        <v>35162722</v>
      </c>
      <c r="BP383" t="inlineStr">
        <is>
          <t>Green Published, gold</t>
        </is>
      </c>
      <c r="BS383" t="inlineStr">
        <is>
          <t>2023-10-26</t>
        </is>
      </c>
      <c r="BT383" t="inlineStr">
        <is>
          <t>WOS:000755961500001</t>
        </is>
      </c>
      <c r="BU383">
        <f>HYPERLINK("https%3A%2F%2Fwww.webofscience.com%2Fwos%2Fwoscc%2Ffull-record%2FWOS:000755961500001","View Full Record in Web of Science")</f>
        <v/>
      </c>
    </row>
    <row r="384">
      <c r="A384" t="inlineStr">
        <is>
          <t>J</t>
        </is>
      </c>
      <c r="B384" t="inlineStr">
        <is>
          <t>Yeh, HP; Stone, JA; Churchill, SM; Brymer, E; Davids, K</t>
        </is>
      </c>
      <c r="F384" t="inlineStr">
        <is>
          <t>Yeh, Hsiao-Pu; Stone, Joseph A.; Churchill, Sarah M.; Brymer, Eric; Davids, Keith</t>
        </is>
      </c>
      <c r="J384" t="inlineStr">
        <is>
          <t>INTERNATIONAL JOURNAL OF ENVIRONMENTAL RESEARCH AND PUBLIC HEALTH</t>
        </is>
      </c>
      <c r="M384" t="inlineStr">
        <is>
          <t>English</t>
        </is>
      </c>
      <c r="N384" t="inlineStr">
        <is>
          <t>Article</t>
        </is>
      </c>
      <c r="T384" t="inlineStr">
        <is>
          <t>Physical and Emotional Benefits of Different Exercise Environments Designed for Treadmill Running</t>
        </is>
      </c>
      <c r="U384" t="inlineStr">
        <is>
          <t>green physical activity; environmental design; happiness; ecological dynamics; indoor exercise environments</t>
        </is>
      </c>
      <c r="V384" t="inlineStr">
        <is>
          <t>HIGH-INTENSITY EXERCISE; GREEN EXERCISE; NATURAL ENVIRONMENTS; NATURE EXPERIENCE; HEART-RATE; MUSIC; MOOD; RESPONSES; OUTDOOR; WALKING</t>
        </is>
      </c>
      <c r="W384" t="inlineStr">
        <is>
          <t>(1) Background: Green physical activity promotes physical health and mental wellbeing and interesting questions concern effects of this information on designing indoor exercise environments. This study examined the physical and emotional effects of different nature-based environments designed for indoor treadmill running; (2) Methods: In a counterbalanced experimental design, 30 participants performed three, twenty-minute treadmill runs at a self-selected pace while viewing either a static nature image, a dynamic nature image or self-selected entertainment. Distance ran, heart rate (HR) and five pre-and post-exercise emotional states were measured; (3) Results: Participants ran farther, and with higher HRs, with self-selected entertainment compared to the two nature-based environment designs. Participants attained lowered anger, dejection, anxiety and increased excitement post exercise in all of the designed environments. Happiness increased during the two nature-based environment designs compared with self-selected entertainment; (4) Conclusions: Self-selected entertainment encouraged greater physical performances whereas running in nature-based exercise environments elicited greater happiness immediately after running.</t>
        </is>
      </c>
      <c r="X384" t="inlineStr">
        <is>
          <t>[Yeh, Hsiao-Pu; Davids, Keith] Sheffield Hallam Univ, Ctr Sports Engn Res, Sheffield S10 2BP, S Yorkshire, England; [Stone, Joseph A.; Churchill, Sarah M.] Sheffield Hallam Univ, Acad Sport &amp; Phys Act, Sheffield S10 2BP, S Yorkshire, England; [Brymer, Eric] Leeds Beckett Univ, Inst Sport Phys Act &amp; Leisure, Leeds LS1 3HE, W Yorkshire, England</t>
        </is>
      </c>
      <c r="Y384" t="inlineStr">
        <is>
          <t>Sheffield Hallam University; Sheffield Hallam University; Leeds Beckett University</t>
        </is>
      </c>
      <c r="Z384" t="inlineStr">
        <is>
          <t>Yeh, HP (corresponding author), Sheffield Hallam Univ, Ctr Sports Engn Res, Sheffield S10 2BP, S Yorkshire, England.</t>
        </is>
      </c>
      <c r="AA384" t="inlineStr">
        <is>
          <t>H.yeh@shu.ac.uk; hwbjs9@exchange.shu.ac.uk; hwbsc3@exchange.shu.ac.uk; E.Brymer@leedsbeckett.ac.uk; hwbkd@exchange.shu.ac.uk</t>
        </is>
      </c>
      <c r="AB384" t="inlineStr">
        <is>
          <t>Davids, Keith/J-1095-2012; Brymer, Eric/ACD-4590-2022</t>
        </is>
      </c>
      <c r="AC384" t="inlineStr">
        <is>
          <t>Brymer, Eric/0000-0003-0274-1016</t>
        </is>
      </c>
      <c r="AH384" t="n">
        <v>43</v>
      </c>
      <c r="AI384" t="n">
        <v>23</v>
      </c>
      <c r="AJ384" t="n">
        <v>24</v>
      </c>
      <c r="AK384" t="n">
        <v>8</v>
      </c>
      <c r="AL384" t="n">
        <v>66</v>
      </c>
      <c r="AM384" t="inlineStr">
        <is>
          <t>MDPI</t>
        </is>
      </c>
      <c r="AN384" t="inlineStr">
        <is>
          <t>BASEL</t>
        </is>
      </c>
      <c r="AO384" t="inlineStr">
        <is>
          <t>ST ALBAN-ANLAGE 66, CH-4052 BASEL, SWITZERLAND</t>
        </is>
      </c>
      <c r="AQ384" t="inlineStr">
        <is>
          <t>1660-4601</t>
        </is>
      </c>
      <c r="AS384" t="inlineStr">
        <is>
          <t>INT J ENV RES PUB HE</t>
        </is>
      </c>
      <c r="AT384" t="inlineStr">
        <is>
          <t>Int. J. Environ. Res. Public Health</t>
        </is>
      </c>
      <c r="AU384" t="inlineStr">
        <is>
          <t>JUL</t>
        </is>
      </c>
      <c r="AV384" t="n">
        <v>2017</v>
      </c>
      <c r="AW384" t="n">
        <v>14</v>
      </c>
      <c r="AX384" t="n">
        <v>7</v>
      </c>
      <c r="BE384" t="n">
        <v>752</v>
      </c>
      <c r="BF384" t="inlineStr">
        <is>
          <t>10.3390/ijerph14070752</t>
        </is>
      </c>
      <c r="BG384">
        <f>HYPERLINK("http://dx.doi.org/10.3390/ijerph14070752","http://dx.doi.org/10.3390/ijerph14070752")</f>
        <v/>
      </c>
      <c r="BJ384" t="n">
        <v>11</v>
      </c>
      <c r="BK384" t="inlineStr">
        <is>
          <t>Environmental Sciences; Public, Environmental &amp; Occupational Health</t>
        </is>
      </c>
      <c r="BL384" t="inlineStr">
        <is>
          <t>Science Citation Index Expanded (SCI-EXPANDED); Social Science Citation Index (SSCI)</t>
        </is>
      </c>
      <c r="BM384" t="inlineStr">
        <is>
          <t>Environmental Sciences &amp; Ecology; Public, Environmental &amp; Occupational Health</t>
        </is>
      </c>
      <c r="BN384" t="inlineStr">
        <is>
          <t>FD2ND</t>
        </is>
      </c>
      <c r="BO384" t="n">
        <v>28696384</v>
      </c>
      <c r="BP384" t="inlineStr">
        <is>
          <t>Green Accepted, gold, Green Submitted, Green Published</t>
        </is>
      </c>
      <c r="BS384" t="inlineStr">
        <is>
          <t>2023-10-26</t>
        </is>
      </c>
      <c r="BT384" t="inlineStr">
        <is>
          <t>WOS:000407370700084</t>
        </is>
      </c>
      <c r="BU384">
        <f>HYPERLINK("https%3A%2F%2Fwww.webofscience.com%2Fwos%2Fwoscc%2Ffull-record%2FWOS:000407370700084","View Full Record in Web of Science")</f>
        <v/>
      </c>
    </row>
    <row r="385">
      <c r="A385" t="inlineStr">
        <is>
          <t>J</t>
        </is>
      </c>
      <c r="B385" t="inlineStr">
        <is>
          <t>Pedersen, MRL; Bredahl, TVG; Elmose-Osterlund, K; Hansen, AF</t>
        </is>
      </c>
      <c r="F385" t="inlineStr">
        <is>
          <t>Pedersen, Marlene Rosager Lund; Bredahl, Thomas Viskum Gjelstrup; Elmose-Osterlund, Karsten; Hansen, Anne Faber</t>
        </is>
      </c>
      <c r="J385" t="inlineStr">
        <is>
          <t>INTERNATIONAL JOURNAL OF ENVIRONMENTAL RESEARCH AND PUBLIC HEALTH</t>
        </is>
      </c>
      <c r="M385" t="inlineStr">
        <is>
          <t>English</t>
        </is>
      </c>
      <c r="N385" t="inlineStr">
        <is>
          <t>Article</t>
        </is>
      </c>
      <c r="T385" t="inlineStr">
        <is>
          <t>Motives and Barriers Related to Physical Activity within Different Types of Built Environments: Implications for Health Promotion</t>
        </is>
      </c>
      <c r="U385" t="inlineStr">
        <is>
          <t>infrastructure; walkability; cyclist infrastructure; neighbourhood parks; open spaces; sports facilities; motives; barriers; literature review; scoping review</t>
        </is>
      </c>
      <c r="V385" t="inlineStr">
        <is>
          <t>MENTAL-HEALTH; ADULTS; MOTIVATION; PARTICIPATION; PERCEPTIONS; INACTIVITY; EXERCISE; WALKING; LIFE</t>
        </is>
      </c>
      <c r="W385" t="inlineStr">
        <is>
          <t>Studies have identified individuals' motives and barriers as main predictors of physical-activity behaviour, while other studies found physical-activity behaviour to be related to characteristics of the built environment. However, studies that have a combined focus on motives and barriers and the built environment are less common. This scoping review aims to provide knowledge about motives and barriers related to physical activity within different types of built environments to mitigate this knowledge gap. A systematic literature search was performed in four scientific databases and yielded 2734 articles, of which 31 articles met the inclusion criteria. The review identified four types of built environments within which motives and barriers were studied, including walkability, cyclist infrastructure, neighbourhood parks and open spaces and sports facilities. Several common motives recur across all four types of built environments, especially easy accessibility and good facility conditions. Conversely, poor accessibility and inadequate facility conditions are common barriers. Our review also showed how some motives and barriers seem to be more context-specific because they were only identified within a few types of built environments. This knowledge may help target future health-promotion initiatives in relation to urban planning and the importance of the environment on physical activity.</t>
        </is>
      </c>
      <c r="X385" t="inlineStr">
        <is>
          <t>[Pedersen, Marlene Rosager Lund; Bredahl, Thomas Viskum Gjelstrup; Elmose-Osterlund, Karsten] Univ Southern Denmark, Fac Hlth Sci, Dept Sports Sci &amp; Clin Biomech, Campusvej 55, DK-5230 Odense, Denmark; [Hansen, Anne Faber] Univ Lib Southern Denmark, Dept Res &amp; Anal, DK-5230 Odense, Denmark</t>
        </is>
      </c>
      <c r="Y385" t="inlineStr">
        <is>
          <t>University of Southern Denmark</t>
        </is>
      </c>
      <c r="Z385" t="inlineStr">
        <is>
          <t>Pedersen, MRL (corresponding author), Univ Southern Denmark, Fac Hlth Sci, Dept Sports Sci &amp; Clin Biomech, Campusvej 55, DK-5230 Odense, Denmark.</t>
        </is>
      </c>
      <c r="AA385" t="inlineStr">
        <is>
          <t>mrlpedersen@health.sdu.dk; tbredahl@health.sdu.dk; kosterlund@health.sdu.dk; annefaber@bib.sdu.dk</t>
        </is>
      </c>
      <c r="AB385" t="inlineStr">
        <is>
          <t>; Hansen, Anne Faber/M-3776-2017</t>
        </is>
      </c>
      <c r="AC385" t="inlineStr">
        <is>
          <t>Elmose-Osterlund, Karsten/0000-0002-9335-5585; Bredahl, Thomas Viskum Gjelstrup/0000-0002-4392-9763; Pedersen, Marlene Rosager Lund/0000-0002-1988-9597; Hansen, Anne Faber/0000-0003-3347-8169</t>
        </is>
      </c>
      <c r="AD385" t="inlineStr">
        <is>
          <t>Nordea Foundation [02-2019-00025]</t>
        </is>
      </c>
      <c r="AE385" t="inlineStr">
        <is>
          <t>Nordea Foundation</t>
        </is>
      </c>
      <c r="AF385" t="inlineStr">
        <is>
          <t>This research has been funded by the Nordea Foundation (02-2019-00025) and is part of a major project, Moving Denmark.</t>
        </is>
      </c>
      <c r="AH385" t="n">
        <v>60</v>
      </c>
      <c r="AI385" t="n">
        <v>4</v>
      </c>
      <c r="AJ385" t="n">
        <v>4</v>
      </c>
      <c r="AK385" t="n">
        <v>8</v>
      </c>
      <c r="AL385" t="n">
        <v>16</v>
      </c>
      <c r="AM385" t="inlineStr">
        <is>
          <t>MDPI</t>
        </is>
      </c>
      <c r="AN385" t="inlineStr">
        <is>
          <t>BASEL</t>
        </is>
      </c>
      <c r="AO385" t="inlineStr">
        <is>
          <t>ST ALBAN-ANLAGE 66, CH-4052 BASEL, SWITZERLAND</t>
        </is>
      </c>
      <c r="AQ385" t="inlineStr">
        <is>
          <t>1660-4601</t>
        </is>
      </c>
      <c r="AS385" t="inlineStr">
        <is>
          <t>INT J ENV RES PUB HE</t>
        </is>
      </c>
      <c r="AT385" t="inlineStr">
        <is>
          <t>Int. J. Environ. Res. Public Health</t>
        </is>
      </c>
      <c r="AU385" t="inlineStr">
        <is>
          <t>AUG</t>
        </is>
      </c>
      <c r="AV385" t="n">
        <v>2022</v>
      </c>
      <c r="AW385" t="n">
        <v>19</v>
      </c>
      <c r="AX385" t="n">
        <v>15</v>
      </c>
      <c r="BE385" t="n">
        <v>9000</v>
      </c>
      <c r="BF385" t="inlineStr">
        <is>
          <t>10.3390/ijerph19159000</t>
        </is>
      </c>
      <c r="BG385">
        <f>HYPERLINK("http://dx.doi.org/10.3390/ijerph19159000","http://dx.doi.org/10.3390/ijerph19159000")</f>
        <v/>
      </c>
      <c r="BJ385" t="n">
        <v>12</v>
      </c>
      <c r="BK385" t="inlineStr">
        <is>
          <t>Environmental Sciences; Public, Environmental &amp; Occupational Health</t>
        </is>
      </c>
      <c r="BL385" t="inlineStr">
        <is>
          <t>Science Citation Index Expanded (SCI-EXPANDED); Social Science Citation Index (SSCI)</t>
        </is>
      </c>
      <c r="BM385" t="inlineStr">
        <is>
          <t>Environmental Sciences &amp; Ecology; Public, Environmental &amp; Occupational Health</t>
        </is>
      </c>
      <c r="BN385" t="inlineStr">
        <is>
          <t>3S0GL</t>
        </is>
      </c>
      <c r="BO385" t="n">
        <v>35897374</v>
      </c>
      <c r="BP385" t="inlineStr">
        <is>
          <t>gold, Green Published</t>
        </is>
      </c>
      <c r="BS385" t="inlineStr">
        <is>
          <t>2023-10-26</t>
        </is>
      </c>
      <c r="BT385" t="inlineStr">
        <is>
          <t>WOS:000839281500001</t>
        </is>
      </c>
      <c r="BU385">
        <f>HYPERLINK("https%3A%2F%2Fwww.webofscience.com%2Fwos%2Fwoscc%2Ffull-record%2FWOS:000839281500001","View Full Record in Web of Science")</f>
        <v/>
      </c>
    </row>
    <row r="386">
      <c r="A386" t="inlineStr">
        <is>
          <t>J</t>
        </is>
      </c>
      <c r="B386" t="inlineStr">
        <is>
          <t>Cerin, E; Barnett, A; Shaw, JE; Martino, E; Knibbs, LD; Tham, R; Wheeler, AJ; Anstey, KJ</t>
        </is>
      </c>
      <c r="F386" t="inlineStr">
        <is>
          <t>Cerin, Ester; Barnett, Anthony; Shaw, Jonathan E.; Martino, Erika; Knibbs, Luke D.; Tham, Rachel; Wheeler, Amanda J.; Anstey, Kaarin J.</t>
        </is>
      </c>
      <c r="J386" t="inlineStr">
        <is>
          <t>TOXICS</t>
        </is>
      </c>
      <c r="M386" t="inlineStr">
        <is>
          <t>English</t>
        </is>
      </c>
      <c r="N386" t="inlineStr">
        <is>
          <t>Article</t>
        </is>
      </c>
      <c r="T386" t="inlineStr">
        <is>
          <t>Urban Neighbourhood Environments, Cardiometabolic Health and Cognitive Function: A National Cross-Sectional Study of Middle-Aged and Older Adults in Australia</t>
        </is>
      </c>
      <c r="U386" t="inlineStr">
        <is>
          <t>walkability; greenspace; blue space; cardiometabolic health; cognitive function</t>
        </is>
      </c>
      <c r="V386" t="inlineStr">
        <is>
          <t>LONG-TERM EXPOSURE; ROAD TRAFFIC NOISE; AIR-POLLUTION; PHYSICAL-ACTIVITY; CONSENSUS STATEMENT; LIFE-STYLE; RISK; ASSOCIATIONS; DEMENTIA; OBESITY</t>
        </is>
      </c>
      <c r="W386" t="inlineStr">
        <is>
          <t>Population ageing and urbanisation are global phenomena that call for an understanding of the impacts of features of the urban environment on older adults' cognitive function. Because neighbourhood characteristics that can potentially have opposite effects on cognitive function are interdependent, they need to be considered in conjunction. Using data from an Australian national sample of 4141 adult urban dwellers, we examined the extent to which the associations of interrelated built and natural environment features and ambient air pollution with cognitive function are explained by cardiometabolic risk factors relevant to cognitive health. All examined environmental features were directly and/or indirectly related to cognitive function via other environmental features and/or cardiometabolic risk factors. Findings suggest that dense, interconnected urban environments with access to parks, blue spaces and low levels of air pollution may benefit cognitive health through cardiometabolic risk factors and other mechanisms not captured in this study. This study also highlights the need for a particularly fine-grained characterisation of the built environment in research on cognitive function, which would enable the differentiation of the positive effects of destination-rich neighbourhoods on cognition via participation in cognition-enhancing activities from the negative effects of air pollutants typically present in dense, destination-rich urban areas.</t>
        </is>
      </c>
      <c r="X386" t="inlineStr">
        <is>
          <t>[Cerin, Ester; Barnett, Anthony; Tham, Rachel; Wheeler, Amanda J.] Australian Catholic Univ, Mary MacKillop Inst Hlth Res, Melbourne, Vic 3000, Australia; [Cerin, Ester] Univ Hong Kong, Sch Publ Hlth, Hong Kong, Peoples R China; [Cerin, Ester; Shaw, Jonathan E.] Baker Heart &amp; Diabet Inst, Melbourne, Vic 3004, Australia; [Cerin, Ester] UiT Artic Univ Norway, Dept Community Med, N-9019 Tromso, Norway; [Shaw, Jonathan E.] Monash Univ, Sch Publ Hlth &amp; Prevent Med, Melbourne, Vic 3004, Australia; [Shaw, Jonathan E.] La Trobe Univ, Sch Life Sci, Melbourne, Vic 3086, Australia; [Martino, Erika] Univ Melbourne, Sch Populat &amp; Global Hlth, Melbourne, Vic 3053, Australia; [Knibbs, Luke D.] Univ Sydney, Sydney Sch Publ Hlth, Camperdown, NSW 2006, Australia; [Wheeler, Amanda J.] Univ Tasmania, Menzies Inst Med Res, Coll Hlth &amp; Med, Hobart, Tas 7000, Australia; [Anstey, Kaarin J.] Univ New South Wales, Sch Psychol, Randwick, NSW 2052, Australia; [Anstey, Kaarin J.] Neurosci Res Australia NeuRA, Sydney, NSW 2031, Australia</t>
        </is>
      </c>
      <c r="Y386" t="inlineStr">
        <is>
          <t>Australian Catholic University; University of Hong Kong; UiT The Arctic University of Tromso; Monash University; La Trobe University; University of Melbourne; University of Sydney; University of Tasmania; Menzies Institute for Medical Research; University of New South Wales Sydney; Neuroscience Research Australia</t>
        </is>
      </c>
      <c r="Z386" t="inlineStr">
        <is>
          <t>Cerin, E (corresponding author), Australian Catholic Univ, Mary MacKillop Inst Hlth Res, Melbourne, Vic 3000, Australia.;Cerin, E (corresponding author), Univ Hong Kong, Sch Publ Hlth, Hong Kong, Peoples R China.;Cerin, E (corresponding author), Baker Heart &amp; Diabet Inst, Melbourne, Vic 3004, Australia.;Cerin, E (corresponding author), UiT Artic Univ Norway, Dept Community Med, N-9019 Tromso, Norway.</t>
        </is>
      </c>
      <c r="AA386" t="inlineStr">
        <is>
          <t>Ester.Cerin@acu.edu.au; Anthony.Barnett@acu.edu.au; jonathan.shaw@baker.edu.au; Erika.l.martino@unimelb.edu.au; luke.knibbs@sydney.edu.au; Rachel.Tham@acu.edu.au; Amanda.Wheeler@acu.edu.au; k.anstey@unsw.edu.au</t>
        </is>
      </c>
      <c r="AB386" t="inlineStr">
        <is>
          <t>Cerin, Ester/L-1271-2015; Anstey, Kaarin/A-3852-2008; Wheeler, Amanda/H-1493-2019; Barnett, Anthony/A-8205-2019</t>
        </is>
      </c>
      <c r="AC386" t="inlineStr">
        <is>
          <t>Cerin, Ester/0000-0002-7599-165X; Anstey, Kaarin/0000-0002-9706-9316; Tham, Rachel/0000-0001-9362-5189; Wheeler, Amanda/0000-0001-9288-8163; Barnett, Anthony/0000-0002-6320-4073</t>
        </is>
      </c>
      <c r="AD386" t="inlineStr">
        <is>
          <t>Australian Catholic University [ACURF18]; National Health and Medical Research Council (NHMRC) Investigator Grant [1173952]; Australian Research Council Laureate Fellowship [FL190100011]; National Health and Medical Research Council of Australia [1173952] Funding Source: NHMRC</t>
        </is>
      </c>
      <c r="AE386" t="inlineStr">
        <is>
          <t>Australian Catholic University; National Health and Medical Research Council (NHMRC) Investigator Grant(National Health and Medical Research Council (NHMRC) of Australia); Australian Research Council Laureate Fellowship(Australian Research Council); National Health and Medical Research Council of Australia(National Health and Medical Research Council (NHMRC) of Australia)</t>
        </is>
      </c>
      <c r="AF386" t="inlineStr">
        <is>
          <t>This work was supported by a program grant (The environment, active living and cognitive health: building the evidence base) from the Australian Catholic University [grant number ACURF18]. Jonathan E. Shaw is supported by a National Health and Medical Research Council (NHMRC) Investigator Grant [grant number 1173952]. Kaarin J. Anstey is funded by an Australian Research Council Laureate Fellowship [grant number FL190100011].</t>
        </is>
      </c>
      <c r="AH386" t="n">
        <v>65</v>
      </c>
      <c r="AI386" t="n">
        <v>9</v>
      </c>
      <c r="AJ386" t="n">
        <v>9</v>
      </c>
      <c r="AK386" t="n">
        <v>4</v>
      </c>
      <c r="AL386" t="n">
        <v>15</v>
      </c>
      <c r="AM386" t="inlineStr">
        <is>
          <t>MDPI</t>
        </is>
      </c>
      <c r="AN386" t="inlineStr">
        <is>
          <t>BASEL</t>
        </is>
      </c>
      <c r="AO386" t="inlineStr">
        <is>
          <t>ST ALBAN-ANLAGE 66, CH-4052 BASEL, SWITZERLAND</t>
        </is>
      </c>
      <c r="AQ386" t="inlineStr">
        <is>
          <t>2305-6304</t>
        </is>
      </c>
      <c r="AS386" t="inlineStr">
        <is>
          <t>TOXICS</t>
        </is>
      </c>
      <c r="AT386" t="inlineStr">
        <is>
          <t>Toxics</t>
        </is>
      </c>
      <c r="AU386" t="inlineStr">
        <is>
          <t>JAN</t>
        </is>
      </c>
      <c r="AV386" t="n">
        <v>2022</v>
      </c>
      <c r="AW386" t="n">
        <v>10</v>
      </c>
      <c r="AX386" t="n">
        <v>1</v>
      </c>
      <c r="BE386" t="n">
        <v>23</v>
      </c>
      <c r="BF386" t="inlineStr">
        <is>
          <t>10.3390/toxics10010023</t>
        </is>
      </c>
      <c r="BG386">
        <f>HYPERLINK("http://dx.doi.org/10.3390/toxics10010023","http://dx.doi.org/10.3390/toxics10010023")</f>
        <v/>
      </c>
      <c r="BJ386" t="n">
        <v>16</v>
      </c>
      <c r="BK386" t="inlineStr">
        <is>
          <t>Environmental Sciences; Toxicology</t>
        </is>
      </c>
      <c r="BL386" t="inlineStr">
        <is>
          <t>Science Citation Index Expanded (SCI-EXPANDED)</t>
        </is>
      </c>
      <c r="BM386" t="inlineStr">
        <is>
          <t>Environmental Sciences &amp; Ecology; Toxicology</t>
        </is>
      </c>
      <c r="BN386" t="inlineStr">
        <is>
          <t>ZD3WR</t>
        </is>
      </c>
      <c r="BO386" t="n">
        <v>35051065</v>
      </c>
      <c r="BP386" t="inlineStr">
        <is>
          <t>Green Published, gold</t>
        </is>
      </c>
      <c r="BS386" t="inlineStr">
        <is>
          <t>2023-10-26</t>
        </is>
      </c>
      <c r="BT386" t="inlineStr">
        <is>
          <t>WOS:000758132300001</t>
        </is>
      </c>
      <c r="BU386">
        <f>HYPERLINK("https%3A%2F%2Fwww.webofscience.com%2Fwos%2Fwoscc%2Ffull-record%2FWOS:000758132300001","View Full Record in Web of Science")</f>
        <v/>
      </c>
    </row>
    <row r="387">
      <c r="A387" t="inlineStr">
        <is>
          <t>J</t>
        </is>
      </c>
      <c r="B387" t="inlineStr">
        <is>
          <t>Sakellaris, IA; Saraga, DE; Mandin, C; Roda, C; Fossati, S; de Kluizenaar, Y; Carrer, P; Dimitroulopoulou, S; Mihucz, VG; Szigeti, T; Hänninen, O; Fernandes, ED; Bartzis, JG; Bluyssen, PM</t>
        </is>
      </c>
      <c r="F387" t="inlineStr">
        <is>
          <t>Sakellaris, Ioannis A.; Saraga, Dikaia E.; Mandin, Corinne; Roda, Celina; Fossati, Serena; de Kluizenaar, Yvonne; Carrer, Paolo; Dimitroulopoulou, Sani; Mihucz, Victor G.; Szigeti, Tamas; Hanninen, Otto; Fernandes, Eduardo de Oliveira; Bartzis, John G.; Bluyssen, Philomena M.</t>
        </is>
      </c>
      <c r="J387" t="inlineStr">
        <is>
          <t>INTERNATIONAL JOURNAL OF ENVIRONMENTAL RESEARCH AND PUBLIC HEALTH</t>
        </is>
      </c>
      <c r="M387" t="inlineStr">
        <is>
          <t>English</t>
        </is>
      </c>
      <c r="N387" t="inlineStr">
        <is>
          <t>Article</t>
        </is>
      </c>
      <c r="T387" t="inlineStr">
        <is>
          <t>Perceived Indoor Environment and Occupants' Comfort in European Modern Office Buildings: The OFFICAIR Study</t>
        </is>
      </c>
      <c r="U387" t="inlineStr">
        <is>
          <t>comfort; indoor air; indoor environmental quality; layout; light; noise; office buildings; open-plan office spaces; perception; thermal comfort</t>
        </is>
      </c>
      <c r="V387" t="inlineStr">
        <is>
          <t>EFFORT-REWARD IMBALANCE; OPEN-PLAN OFFICES; WORKSPACE SATISFACTION; QUALITY; WORK; QUESTIONNAIRE; PROJECT; IEQ</t>
        </is>
      </c>
      <c r="W387" t="inlineStr">
        <is>
          <t>Indoor environmental conditions (thermal, noise, light, and indoor air quality) may affect workers' comfort, and consequently their health and well-being, as well as their productivity. This study aimed to assess the relations between perceived indoor environment and occupants' comfort, and to examine the modifying effects of both personal and building characteristics. Within the framework of the European project OFFICAIR, a questionnaire survey was administered to 7441 workers in 167 modern office buildings in eight European countries (Finland, France, Greece, Hungary, Italy, The Netherlands, Portugal, and Spain). Occupants assessed indoor environmental quality (IEQ) using both crude IEQ items (satisfaction with thermal comfort, noise, light, and indoor air quality), and detailed items related to indoor environmental parameters (e.g., too hot/cold temperature, humid/dry air, noise inside/outside, natural/artificial light, odor) of their office environment. Ordinal logistic regression analyses were performed to assess the relations between perceived IEQ and occupants' comfort. The highest association with occupants' overall comfort was found for noise, followed by air quality, light and thermal satisfaction. Analysis of detailed parameters revealed that noise inside the buildings was highly associated with occupants' overall comfort. Layout of the offices was the next parameter highly associated with overall comfort. The relations between IEQ and comfort differed by personal characteristics (gender, age, and the Effort Reward Imbalance index), and building characteristics (office type and building's location). Workplace design should take into account both occupant and the building characteristics in order to provide healthier and more comfortable conditions to their occupants.</t>
        </is>
      </c>
      <c r="X387" t="inlineStr">
        <is>
          <t>[Sakellaris, Ioannis A.; Saraga, Dikaia E.; Dimitroulopoulou, Sani; Bartzis, John G.] Univ West Macedonia, Dept Mech Engn, Sialvera &amp; Bakola Str, Kozani 50100, Greece; [Saraga, Dikaia E.] Natl Ctr Sci Res Demokritos, Environm Res Lab, INRASTES, Athens 15310, Greece; [Mandin, Corinne] Univ Paris Est, CSTB, 84 Ave Jean Jaures, F-77447 Marne La Vallee, France; [Roda, Celina; Bluyssen, Philomena M.] Delft Univ Technol, Fac Architecture &amp; Built Environm, Chair Indoor Environm, NL-2628 GA Delft, Netherlands; [Fossati, Serena; Carrer, Paolo] Univ Milan, Dept Biomed &amp; Clin Sci L Sacco, Occupat &amp; Environm Hlth Unit, Via GB Grassi 74, IT-20157 Milan, Italy; [de Kluizenaar, Yvonne] TNO, Netherlands Org Appl Sci Res, NL-2600 AA Delft 49, Netherlands; [Mihucz, Victor G.; Szigeti, Tamas] Eotvos Lorand Univ, Cooperat Res Ctr Environm Sci, H-1117 Budapest, Hungary; [Hanninen, Otto] Natl Inst Hlth &amp; Welf, Dept Hlth Protect, POB 95, Kuopio 70701, Finland; [Fernandes, Eduardo de Oliveira] INEGI, Inst Sci &amp; Innovat Mech Engn &amp; Ind Management, Rua Dr Roberto Frias, P-4200465 Oporto, Portugal</t>
        </is>
      </c>
      <c r="Y387" t="inlineStr">
        <is>
          <t>National Centre of Scientific Research Demokritos; Universite Gustave-Eiffel; Delft University of Technology; University of Milan; Luigi Sacco Hospital; Netherlands Organization Applied Science Research; Eotvos Lorand University; Finland National Institute for Health &amp; Welfare; Universidade do Porto</t>
        </is>
      </c>
      <c r="Z387" t="inlineStr">
        <is>
          <t>Sakellaris, IA (corresponding author), Univ West Macedonia, Dept Mech Engn, Sialvera &amp; Bakola Str, Kozani 50100, Greece.</t>
        </is>
      </c>
      <c r="AA387" t="inlineStr">
        <is>
          <t>isakellaris@me.com; dsaraga@ipta.demokritos.gr; Corinne.MANDIN@cstb.fr; celine.roda@gmail.com; serena.fossati@unimi.it; yvonne.dekluizenaar@tno.nl; Paolo.carrer@unimi.it; sanidimi@gmail.com; vigami72@yahoo.es; tamas.szigeti@yahoo.com; otto.hanninen@thl.fi; eof@fe.up.pt; bartzis@uowm.gr; P.M.Bluyssen@tudelft.nl</t>
        </is>
      </c>
      <c r="AB387" t="inlineStr">
        <is>
          <t>Mihucz, Victor G./E-1256-2016; Carrer, Paolo/I-7748-2017; Sakellaris, Ioannis/ABC-4391-2020; Roda, Célina/R-1004-2016; Saraga, Dikaia/AAA-1111-2019; Fossati, Serena/V-3772-2019; Hänninen, Otto/C-7951-2012</t>
        </is>
      </c>
      <c r="AC387" t="inlineStr">
        <is>
          <t>Mihucz, Victor G./0000-0002-5320-669X; Carrer, Paolo/0000-0001-5516-2195; Sakellaris, Ioannis/0000-0001-8687-3512; Roda, Célina/0000-0003-0786-5085; Fossati, Serena/0000-0002-7484-5837; Hänninen, Otto/0000-0002-4868-4822; Mandin, Corinne/0000-0001-8462-8812; Bartzis, John/0000-0002-1213-8379; Dimitroulopoulou, Sani/0000-0001-9913-1526; Szigeti, Tamas/0000-0001-5078-9503; Szigeti, Tamas/0000-0002-2158-3052; Saraga, Dikaia/0000-0002-8877-0776</t>
        </is>
      </c>
      <c r="AD387" t="inlineStr">
        <is>
          <t>project OFFICAIR (On the reduction of health effects from combined exposure to indoor air pollutants in modern offices) - European Union Seventh Framework [265267, ENV.2010.1.2.2-1]</t>
        </is>
      </c>
      <c r="AE387" t="inlineStr">
        <is>
          <t>project OFFICAIR (On the reduction of health effects from combined exposure to indoor air pollutants in modern offices) - European Union Seventh Framework</t>
        </is>
      </c>
      <c r="AF387" t="inlineStr">
        <is>
          <t>This work was supported by the project OFFICAIR (On the reduction of health effects from combined exposure to indoor air pollutants in modern offices) funded by the European Union Seventh Framework (Agreement 265267) under the Theme: ENV.2010.1.2.2-1. The authors hereby acknowledge Arja Asikainen (THL), Andrea Cattaneo, Domenico Cavallo and Andrea Spinazze (UNINS), Eric Cornelissen (TNO), Bruno Berthineau and Jacques Riberon (CSTB), and Krystallia Kalimeri (UOWM), who also largely contributed to the OFFICAIR general survey. The authors also acknowledge Stefano Fossati (UMIL) who developed the on-line questionnaire and checklist.</t>
        </is>
      </c>
      <c r="AH387" t="n">
        <v>30</v>
      </c>
      <c r="AI387" t="n">
        <v>104</v>
      </c>
      <c r="AJ387" t="n">
        <v>105</v>
      </c>
      <c r="AK387" t="n">
        <v>9</v>
      </c>
      <c r="AL387" t="n">
        <v>119</v>
      </c>
      <c r="AM387" t="inlineStr">
        <is>
          <t>MDPI</t>
        </is>
      </c>
      <c r="AN387" t="inlineStr">
        <is>
          <t>BASEL</t>
        </is>
      </c>
      <c r="AO387" t="inlineStr">
        <is>
          <t>ST ALBAN-ANLAGE 66, CH-4052 BASEL, SWITZERLAND</t>
        </is>
      </c>
      <c r="AP387" t="inlineStr">
        <is>
          <t>1660-4601</t>
        </is>
      </c>
      <c r="AS387" t="inlineStr">
        <is>
          <t>INT J ENV RES PUB HE</t>
        </is>
      </c>
      <c r="AT387" t="inlineStr">
        <is>
          <t>Int. J. Environ. Res. Public Health</t>
        </is>
      </c>
      <c r="AU387" t="inlineStr">
        <is>
          <t>MAY</t>
        </is>
      </c>
      <c r="AV387" t="n">
        <v>2016</v>
      </c>
      <c r="AW387" t="n">
        <v>13</v>
      </c>
      <c r="AX387" t="n">
        <v>5</v>
      </c>
      <c r="BE387" t="n">
        <v>444</v>
      </c>
      <c r="BF387" t="inlineStr">
        <is>
          <t>10.3390/ijerph13050444</t>
        </is>
      </c>
      <c r="BG387">
        <f>HYPERLINK("http://dx.doi.org/10.3390/ijerph13050444","http://dx.doi.org/10.3390/ijerph13050444")</f>
        <v/>
      </c>
      <c r="BJ387" t="n">
        <v>15</v>
      </c>
      <c r="BK387" t="inlineStr">
        <is>
          <t>Environmental Sciences; Public, Environmental &amp; Occupational Health</t>
        </is>
      </c>
      <c r="BL387" t="inlineStr">
        <is>
          <t>Science Citation Index Expanded (SCI-EXPANDED); Social Science Citation Index (SSCI)</t>
        </is>
      </c>
      <c r="BM387" t="inlineStr">
        <is>
          <t>Environmental Sciences &amp; Ecology; Public, Environmental &amp; Occupational Health</t>
        </is>
      </c>
      <c r="BN387" t="inlineStr">
        <is>
          <t>DN7LI</t>
        </is>
      </c>
      <c r="BO387" t="n">
        <v>27120608</v>
      </c>
      <c r="BP387" t="inlineStr">
        <is>
          <t>Green Submitted, Green Published, gold</t>
        </is>
      </c>
      <c r="BS387" t="inlineStr">
        <is>
          <t>2023-10-26</t>
        </is>
      </c>
      <c r="BT387" t="inlineStr">
        <is>
          <t>WOS:000377256900001</t>
        </is>
      </c>
      <c r="BU387">
        <f>HYPERLINK("https%3A%2F%2Fwww.webofscience.com%2Fwos%2Fwoscc%2Ffull-record%2FWOS:000377256900001","View Full Record in Web of Science")</f>
        <v/>
      </c>
    </row>
    <row r="388">
      <c r="A388" t="inlineStr">
        <is>
          <t>J</t>
        </is>
      </c>
      <c r="B388" t="inlineStr">
        <is>
          <t>Gao, C; Yu, JB; Zhao, XG; Wang, HB; Liu, ZY; Gu, YD</t>
        </is>
      </c>
      <c r="F388" t="inlineStr">
        <is>
          <t>Gao, Chuang; Yu, Jiabin; Zhao, Xiaoguang; Wang, Haibao; Liu, Zhiyong; Gu, Yaodong</t>
        </is>
      </c>
      <c r="J388" t="inlineStr">
        <is>
          <t>SUSTAINABILITY</t>
        </is>
      </c>
      <c r="M388" t="inlineStr">
        <is>
          <t>English</t>
        </is>
      </c>
      <c r="N388" t="inlineStr">
        <is>
          <t>Article</t>
        </is>
      </c>
      <c r="T388" t="inlineStr">
        <is>
          <t>The Effect of Built Environment on Older People Leisure-Time Walking and Physical Activity in Different Sex Groups in the City of Ningbo, China</t>
        </is>
      </c>
      <c r="U388" t="inlineStr">
        <is>
          <t>recreation; sex factors; aged; regression analysis</t>
        </is>
      </c>
      <c r="V388" t="inlineStr">
        <is>
          <t>HEALTH-BENEFITS; ADULTS; URBAN; ATTRIBUTES; ASSOCIATION; POPULATION; PATTERNS; BEHAVIOR</t>
        </is>
      </c>
      <c r="W388" t="inlineStr">
        <is>
          <t>The aim of this study was to examine the effect of built environment (BE) elements on older people's (OP) leisure-time physical activity (LTPA) and leisure-time walking (LTW) level in the city of Ningbo. Older participants numbering 312 were randomly recruited using cross-sectional survey in 2019. International Physical Activity Questionnaire-short version (IPAQ-S) and Neighborhood Environment Walkability Scale-abbreviated (NEWS-A)-were used to gather LTPA data and the perceive scores of BE, respectively. Liner regression analysis was performed to investigate the association relationship between the perceived scores of BE and OP's LTW and LTPA. The study's results showed that, when not considering different sex groups, OP's LTW was significantly related with the perceived scores of access to services (AE, p = 0.045), walking/cycling facilities (W/CF, p = 0.007), aesthetics, and land use mix diversity (LUMD, p = 0.04). OP's LTPA was significantly related with AE (p = 0.04) and aesthetics (p &lt; 0.001). The association relationships of BE with LTW and LTPA varied in different sex groups. Three elements (AE, W/CF, and LUMD) and one element (pedestrian/traffic safety and P/TS) of BE were found be related with older male and older female's LTW, respectively. One element (aesthetics) and two elements (aesthetics, LUMD) of BE were found be related with older male and older female's LTPA, respectively. The results indicated that the effects of BE on OP's LTW and the effects of BE on OP's LTPA were different. The effect also varied in different sex groups. More studies are needed to confirm the effect of BE on OP's LTW and LTPA in different sex groups to globally enrich the scientific data base.</t>
        </is>
      </c>
      <c r="X388" t="inlineStr">
        <is>
          <t>[Gao, Chuang; Yu, Jiabin; Zhao, Xiaoguang; Wang, Haibao; Liu, Zhiyong; Gu, Yaodong] Ningbo Univ, Res Acad Grand Hlth, Fac Sport Sci, Ningbo 315211, Peoples R China</t>
        </is>
      </c>
      <c r="Y388" t="inlineStr">
        <is>
          <t>Ningbo University</t>
        </is>
      </c>
      <c r="Z388" t="inlineStr">
        <is>
          <t>Yu, JB (corresponding author), Ningbo Univ, Res Acad Grand Hlth, Fac Sport Sci, Ningbo 315211, Peoples R China.</t>
        </is>
      </c>
      <c r="AA388" t="inlineStr">
        <is>
          <t>206003158@nbu.edu.cn; yujiabin@nbu.edu.cn; zhaoxiaoguang@nbu.edu.cn; 2011042068@nbu.edu.cn; 2111042021@nbu.edu.cn; guyaodong@nbu.edu.cn</t>
        </is>
      </c>
      <c r="AB388" t="inlineStr">
        <is>
          <t>Zhao, Xiaoguang/HGA-4357-2022</t>
        </is>
      </c>
      <c r="AC388" t="inlineStr">
        <is>
          <t>Zhao, Xiaoguang/0000-0003-4347-5885; gu, yaodong/0000-0003-2187-9440</t>
        </is>
      </c>
      <c r="AD388" t="inlineStr">
        <is>
          <t>MOE (Ministry of Education in China) Project of Humanities and Social Sciences [17YJC890040]</t>
        </is>
      </c>
      <c r="AE388" t="inlineStr">
        <is>
          <t>MOE (Ministry of Education in China) Project of Humanities and Social Sciences</t>
        </is>
      </c>
      <c r="AF388" t="inlineStr">
        <is>
          <t>This study was supported by the MOE (Ministry of Education in China) Project of Humanities and Social Sciences (Project No. 17YJC890040).</t>
        </is>
      </c>
      <c r="AH388" t="n">
        <v>42</v>
      </c>
      <c r="AI388" t="n">
        <v>3</v>
      </c>
      <c r="AJ388" t="n">
        <v>3</v>
      </c>
      <c r="AK388" t="n">
        <v>13</v>
      </c>
      <c r="AL388" t="n">
        <v>31</v>
      </c>
      <c r="AM388" t="inlineStr">
        <is>
          <t>MDPI</t>
        </is>
      </c>
      <c r="AN388" t="inlineStr">
        <is>
          <t>BASEL</t>
        </is>
      </c>
      <c r="AO388" t="inlineStr">
        <is>
          <t>ST ALBAN-ANLAGE 66, CH-4052 BASEL, SWITZERLAND</t>
        </is>
      </c>
      <c r="AQ388" t="inlineStr">
        <is>
          <t>2071-1050</t>
        </is>
      </c>
      <c r="AS388" t="inlineStr">
        <is>
          <t>SUSTAINABILITY-BASEL</t>
        </is>
      </c>
      <c r="AT388" t="inlineStr">
        <is>
          <t>Sustainability</t>
        </is>
      </c>
      <c r="AU388" t="inlineStr">
        <is>
          <t>JUN</t>
        </is>
      </c>
      <c r="AV388" t="n">
        <v>2022</v>
      </c>
      <c r="AW388" t="n">
        <v>14</v>
      </c>
      <c r="AX388" t="n">
        <v>11</v>
      </c>
      <c r="BE388" t="n">
        <v>6562</v>
      </c>
      <c r="BF388" t="inlineStr">
        <is>
          <t>10.3390/su14116562</t>
        </is>
      </c>
      <c r="BG388">
        <f>HYPERLINK("http://dx.doi.org/10.3390/su14116562","http://dx.doi.org/10.3390/su14116562")</f>
        <v/>
      </c>
      <c r="BJ388" t="n">
        <v>10</v>
      </c>
      <c r="BK388" t="inlineStr">
        <is>
          <t>Green &amp; Sustainable Science &amp; Technology; Environmental Sciences; Environmental Studies</t>
        </is>
      </c>
      <c r="BL388" t="inlineStr">
        <is>
          <t>Science Citation Index Expanded (SCI-EXPANDED); Social Science Citation Index (SSCI)</t>
        </is>
      </c>
      <c r="BM388" t="inlineStr">
        <is>
          <t>Science &amp; Technology - Other Topics; Environmental Sciences &amp; Ecology</t>
        </is>
      </c>
      <c r="BN388" t="inlineStr">
        <is>
          <t>1Z7IX</t>
        </is>
      </c>
      <c r="BP388" t="inlineStr">
        <is>
          <t>gold</t>
        </is>
      </c>
      <c r="BS388" t="inlineStr">
        <is>
          <t>2023-10-26</t>
        </is>
      </c>
      <c r="BT388" t="inlineStr">
        <is>
          <t>WOS:000808994500001</t>
        </is>
      </c>
      <c r="BU388">
        <f>HYPERLINK("https%3A%2F%2Fwww.webofscience.com%2Fwos%2Fwoscc%2Ffull-record%2FWOS:000808994500001","View Full Record in Web of Science")</f>
        <v/>
      </c>
    </row>
    <row r="389">
      <c r="A389" t="inlineStr">
        <is>
          <t>J</t>
        </is>
      </c>
      <c r="B389" t="inlineStr">
        <is>
          <t>Taylor, J; Wilkinson, P; Picetti, R; Symonds, P; Heaviside, C; Macintyre, HL; Davies, M; Mavrogianni, A; Hutchinson, E</t>
        </is>
      </c>
      <c r="F389" t="inlineStr">
        <is>
          <t>Taylor, Jonathon; Wilkinson, Paul; Picetti, Roberto; Symonds, Phil; Heaviside, Clare; Macintyre, Helen L.; Davies, Michael; Mavrogianni, Anna; Hutchinson, Emma</t>
        </is>
      </c>
      <c r="J389" t="inlineStr">
        <is>
          <t>ENVIRONMENT INTERNATIONAL</t>
        </is>
      </c>
      <c r="M389" t="inlineStr">
        <is>
          <t>English</t>
        </is>
      </c>
      <c r="N389" t="inlineStr">
        <is>
          <t>Article</t>
        </is>
      </c>
      <c r="T389" t="inlineStr">
        <is>
          <t>Comparison of built environment adaptations to heat exposure and mortality during hot weather, West Midlands region, UK</t>
        </is>
      </c>
      <c r="U389" t="inlineStr">
        <is>
          <t>Heat; Mortality; Adaptation; Dwellings; Indoor temperature; Urban Heat Island</t>
        </is>
      </c>
      <c r="V389" t="inlineStr">
        <is>
          <t>HIGH-TEMPERATURES; CLIMATE-CHANGE; ENGLAND; RISKS</t>
        </is>
      </c>
      <c r="W389" t="inlineStr">
        <is>
          <t>There is growing recognition of the need to improve protection against the adverse health effects of hot weather in the context of climate change. We quantify the impact of the Urban Heat Island (UHI) and selected adaptation measures made to dwellings on temperature exposure and mortality in the West Midlands region of the UK. We used 1) building physics models to assess indoor temperatures, initially in the existing housing stock and then following adaptation measures (energy efficiency building fabric upgrades and/or window shutters), of representative dwelling archetypes using data from the English Housing Survey (EHS), and 2) modelled UHI effect on outdoor temperatures. The ages of residents were combined with evidence on the heat-mortality relationship to estimate mortality risk and to quantify population-level changes in risk following adaptations to reduce summertime heat exposure. Results indicate that the UHI effect accounts for an estimated 21% of mortality. External shutters may reduce heat-related mortality by 30-60% depending on weather conditions, while shutters in conjunction with energy-efficient retrofitting may reduce risk by up to 52%. The use of shutters appears to be one of the most effective measures providing protection against heat-related mortality during periods of high summer temperatures, although their effectiveness may be limited under extreme temperatures. Energy efficiency adaptations to the dwellings and measures to increase green space in the urban environment to combat the UHI effect appear to be less beneficial for reducing heat-related mortality.</t>
        </is>
      </c>
      <c r="X389" t="inlineStr">
        <is>
          <t>[Taylor, Jonathon; Symonds, Phil; Davies, Michael; Mavrogianni, Anna] UCL Inst Environm Design &amp; Engn, Cent House,14 Upper Woburn Pl, London WC1H 0NN, England; [Wilkinson, Paul; Picetti, Roberto; Heaviside, Clare; Hutchinson, Emma] London Sch Hyg &amp; Trop Med, Dept Social &amp; Environm Hlth Res, Keppel St, London WC1E 7HT, England; [Heaviside, Clare; Macintyre, Helen L.] Publ Hlth England, Ctr Radiat Chem &amp; Environm Hazards, Chilton OX11 0RQ, England; [Heaviside, Clare] Univ Birmingham, Sch Geog Earth &amp; Environm Sci, Birmingham B15 2TT, W Midlands, England</t>
        </is>
      </c>
      <c r="Y389" t="inlineStr">
        <is>
          <t>University of London; University College London; University of London; London School of Hygiene &amp; Tropical Medicine; Public Health England; University of Birmingham</t>
        </is>
      </c>
      <c r="Z389" t="inlineStr">
        <is>
          <t>Taylor, J (corresponding author), UCL Inst Environm Design &amp; Engn, Cent House,14 Upper Woburn Pl, London WC1H 0NN, England.</t>
        </is>
      </c>
      <c r="AA389" t="inlineStr">
        <is>
          <t>j.g.taylor@ucl.ac.uk</t>
        </is>
      </c>
      <c r="AB389" t="inlineStr">
        <is>
          <t>Macintyre, Helen L/AAC-3812-2022; Picetti, Roberto/B-9944-2011; Taylor, Jonathon/B-1558-2018; Davies, Michael/GWV-2527-2022</t>
        </is>
      </c>
      <c r="AC389" t="inlineStr">
        <is>
          <t>Macintyre, Helen L/0000-0001-6791-7903; Picetti, Roberto/0000-0003-4756-5271; Taylor, Jonathon/0000-0003-3485-1404; Symonds, Phil/0000-0002-6290-5417; Heaviside, Clare/0000-0002-0263-4985; Mavrogianni, Anna/0000-0002-5104-1238; Wilkinson, Paul/0000-0001-7456-259X</t>
        </is>
      </c>
      <c r="AD389" t="inlineStr">
        <is>
          <t>National Institute for Health Research Health Protection Research Unit (NIHR HPRU) in Environmental Change and Health at the London School of Hygiene and Tropical Medicine [HPRU-2012-10016]; Public Health England (PHE); University of Exeter; University College London; Met Office; EPSRC [EP/P022405/1] Funding Source: UKRI; Engineering and Physical Sciences Research Council [EP/P022405/1] Funding Source: researchfish</t>
        </is>
      </c>
      <c r="AE389" t="inlineStr">
        <is>
          <t>National Institute for Health Research Health Protection Research Unit (NIHR HPRU) in Environmental Change and Health at the London School of Hygiene and Tropical Medicine; Public Health England (PHE); University of Exeter; University College London; Met Office; EPSRC(UK Research &amp; Innovation (UKRI)Engineering &amp; Physical Sciences Research Council (EPSRC)); Engineering and Physical Sciences Research Council(UK Research &amp; Innovation (UKRI)Engineering &amp; Physical Sciences Research Council (EPSRC))</t>
        </is>
      </c>
      <c r="AF389" t="inlineStr">
        <is>
          <t>The research was funded by the National Institute for Health Research Health Protection Research Unit (NIHR HPRU) (HPRU-2012-10016) in Environmental Change and Health at the London School of Hygiene and Tropical Medicine in partnership with Public Health England (PHE), and in collaboration with the University of Exeter, University College London, and the Met Office. The views expressed are those of the author(s) and not necessarily those of the NHS, the NIHR, the Department of Health or Public Health England.</t>
        </is>
      </c>
      <c r="AH389" t="n">
        <v>32</v>
      </c>
      <c r="AI389" t="n">
        <v>34</v>
      </c>
      <c r="AJ389" t="n">
        <v>34</v>
      </c>
      <c r="AK389" t="n">
        <v>7</v>
      </c>
      <c r="AL389" t="n">
        <v>50</v>
      </c>
      <c r="AM389" t="inlineStr">
        <is>
          <t>PERGAMON-ELSEVIER SCIENCE LTD</t>
        </is>
      </c>
      <c r="AN389" t="inlineStr">
        <is>
          <t>OXFORD</t>
        </is>
      </c>
      <c r="AO389" t="inlineStr">
        <is>
          <t>THE BOULEVARD, LANGFORD LANE, KIDLINGTON, OXFORD OX5 1GB, ENGLAND</t>
        </is>
      </c>
      <c r="AP389" t="inlineStr">
        <is>
          <t>0160-4120</t>
        </is>
      </c>
      <c r="AQ389" t="inlineStr">
        <is>
          <t>1873-6750</t>
        </is>
      </c>
      <c r="AS389" t="inlineStr">
        <is>
          <t>ENVIRON INT</t>
        </is>
      </c>
      <c r="AT389" t="inlineStr">
        <is>
          <t>Environ. Int.</t>
        </is>
      </c>
      <c r="AU389" t="inlineStr">
        <is>
          <t>FEB</t>
        </is>
      </c>
      <c r="AV389" t="n">
        <v>2018</v>
      </c>
      <c r="AW389" t="n">
        <v>111</v>
      </c>
      <c r="BC389" t="n">
        <v>287</v>
      </c>
      <c r="BD389" t="n">
        <v>294</v>
      </c>
      <c r="BF389" t="inlineStr">
        <is>
          <t>10.1016/j.envint.2017.11.005</t>
        </is>
      </c>
      <c r="BG389">
        <f>HYPERLINK("http://dx.doi.org/10.1016/j.envint.2017.11.005","http://dx.doi.org/10.1016/j.envint.2017.11.005")</f>
        <v/>
      </c>
      <c r="BJ389" t="n">
        <v>8</v>
      </c>
      <c r="BK389" t="inlineStr">
        <is>
          <t>Environmental Sciences</t>
        </is>
      </c>
      <c r="BL389" t="inlineStr">
        <is>
          <t>Science Citation Index Expanded (SCI-EXPANDED)</t>
        </is>
      </c>
      <c r="BM389" t="inlineStr">
        <is>
          <t>Environmental Sciences &amp; Ecology</t>
        </is>
      </c>
      <c r="BN389" t="inlineStr">
        <is>
          <t>FT8ZK</t>
        </is>
      </c>
      <c r="BO389" t="n">
        <v>29153471</v>
      </c>
      <c r="BP389" t="inlineStr">
        <is>
          <t>Green Accepted, Green Submitted</t>
        </is>
      </c>
      <c r="BS389" t="inlineStr">
        <is>
          <t>2023-10-26</t>
        </is>
      </c>
      <c r="BT389" t="inlineStr">
        <is>
          <t>WOS:000423441500030</t>
        </is>
      </c>
      <c r="BU389">
        <f>HYPERLINK("https%3A%2F%2Fwww.webofscience.com%2Fwos%2Fwoscc%2Ffull-record%2FWOS:000423441500030","View Full Record in Web of Science")</f>
        <v/>
      </c>
    </row>
    <row r="390">
      <c r="A390" t="inlineStr">
        <is>
          <t>J</t>
        </is>
      </c>
      <c r="B390" t="inlineStr">
        <is>
          <t>Hirai, H; Saito, M; Kondo, N; Kondo, K; Ojima, T</t>
        </is>
      </c>
      <c r="F390" t="inlineStr">
        <is>
          <t>Hirai, Hiroshi; Saito, Masashige; Kondo, Naoki; Kondo, Katsunori; Ojima, Toshiyuki</t>
        </is>
      </c>
      <c r="J390" t="inlineStr">
        <is>
          <t>INTERNATIONAL JOURNAL OF ENVIRONMENTAL RESEARCH AND PUBLIC HEALTH</t>
        </is>
      </c>
      <c r="M390" t="inlineStr">
        <is>
          <t>English</t>
        </is>
      </c>
      <c r="N390" t="inlineStr">
        <is>
          <t>Article</t>
        </is>
      </c>
      <c r="T390" t="inlineStr">
        <is>
          <t>Physical Activity and Cumulative Long-Term Care Cost among Older Japanese Adults: A Prospective Study in JAGES</t>
        </is>
      </c>
      <c r="U390" t="inlineStr">
        <is>
          <t>physical activity; older adults; care cost</t>
        </is>
      </c>
      <c r="V390" t="inlineStr">
        <is>
          <t>TIME SPENT WALKING; HEALTH-BENEFITS; GOING OUTDOORS; EXERCISE; DISABILITY; INACTIVITY; MORTALITY; DISEASE; RISK; LIFE</t>
        </is>
      </c>
      <c r="W390" t="inlineStr">
        <is>
          <t>This study aimed to determine the impact of physical activity on the cumulative cost of long-term care insurance (LTCI) services in a cohort of community-dwelling people (65 years and older) in Japan. Using cohort data from the Japan Gerontological Evaluation Study (JAGES) on those who were functionally independent as of 2010/11, we examined differences in the cumulative cost of LTCI services by physical activity. We followed 38,875 participants with LTCI service costs for 59 months. Physical activity was assessed by the frequency of going out and time spent walking. We adopted a generalized linear model with gamma distribution and log-link function, and a classical linear regression with multiple imputation. The cumulative LTCI costs significantly decreased with the frequency of going out and the time spent walking after adjustment for baseline covariates. LTCI's cumulative cost for those who went out once a week or less was USD 600 higher than those who went out almost daily. Furthermore, costs for those who walked for less than 30 min were USD 900 higher than those who walked for more than 60 min. Physical activity among older individuals can reduce LTCI costs, which could provide a rationale for expenditure intervention programs that promote physical activity.</t>
        </is>
      </c>
      <c r="X390" t="inlineStr">
        <is>
          <t>[Hirai, Hiroshi] Univ Yamanashi, Fac Life &amp; Environm Sci, Dept Reg Social Management, 4-4-37 Takeda, Kofu, Yamanashi 4008510, Japan; [Saito, Masashige] Nihon Fukushi Univ, Fac Social Welf, Mihama, Aichi 4703295, Japan; [Saito, Masashige; Kondo, Katsunori] Nihon Fukushi Univ, Ctr Well Being &amp; Soc, Naka Ku, 5-22-35 Chiyoda, Nagoya, Aichi 4600012, Japan; [Kondo, Naoki] Kyoto Univ, Dept Social Epidemiol, Grad Sch Med, Sakyo Ku, Yoshida Konoe Cho, Kyoto 6068501, Japan; [Kondo, Naoki] Kyoto Univ, Sch Publ Hlth, Sakyo Ku, Yoshida Konoe Cho, Kyoto 6068501, Japan; [Kondo, Katsunori] Chiba Univ, Ctr Prevent Med Sci, Dept Social Prevent Med Sci, Chuo Ku, 1-8-1 Inohana, Chiba, Chiba 2608670, Japan; [Kondo, Katsunori] Natl Ctr Geriatr &amp; Gerontol, Dept Gerontol Evaluat, Ctr Gerontol &amp; Social Sci, 7-430 Morioka Cho, Obu, Aichi 4748511, Japan; [Ojima, Toshiyuki] Hamamatsu Univ Sch Med, Dept Community Hlth &amp; Prevent Med, Higashi Ku, 1-20-1 Handayama, Hamamatsu, Shizuoka 4313192, Japan</t>
        </is>
      </c>
      <c r="Y390" t="inlineStr">
        <is>
          <t>University of Yamanashi; Kyoto University; Kyoto University; Chiba University; National Center for Geriatrics &amp; Gerontology; Hamamatsu University School of Medicine</t>
        </is>
      </c>
      <c r="Z390" t="inlineStr">
        <is>
          <t>Hirai, H (corresponding author), Univ Yamanashi, Fac Life &amp; Environm Sci, Dept Reg Social Management, 4-4-37 Takeda, Kofu, Yamanashi 4008510, Japan.</t>
        </is>
      </c>
      <c r="AA390" t="inlineStr">
        <is>
          <t>hhirai@yamanashi.ac.jp; masa-s@n-fukushi.ac.jp; kondo.naoki.0s@kyoto-u.ac.jp; kkondo@chiba-u.jp; ojima@hama-med.ac.jp</t>
        </is>
      </c>
      <c r="AB390" t="inlineStr">
        <is>
          <t>Kondo, Naoki/ABC-5865-2020</t>
        </is>
      </c>
      <c r="AC390" t="inlineStr">
        <is>
          <t>Kondo, Naoki/0000-0002-6425-6844; Saito, Masashige/0000-0002-3997-3884</t>
        </is>
      </c>
      <c r="AD390" t="inlineStr">
        <is>
          <t>JSPS KAKENHI [18H00953, 18H03047, 19K10641]; Research and Development Grants for Longevity Science from AMED (Japan Agency for Medical Research and development) [19dk0110037h0001]; MEXT (Ministry of Education, Culture, Sports, Science and Technology-Japan); JSPS (Japan Society for the Promotion of Science) KAKENHI [JP18390200, JP22330172, JP22390400, JP23243070, JP23590786, JP23790710, JP24390469, JP24530698, JP24683018, JP25253052, JP25870573, JP25870881, JP26285138, JP26882010, JP15H01972]; Health Labour Sciences Research Grants [H22-Choju-Shitei-008, H24-Junkanki [Seishu]-Ippan-007, H24-Chikyukibo-Ippan-009, H24-Choju-Wakate-009, H25-Kenki-Wakate-015, H25-Choju-Ippan-003, H26-Irryo-Shitei-003, H26-Choju-Ippan-006]; Japan Agency for Medical Research and Development (AMED) [JP17dk0110017, JP18dk0110027, JP18ls0110002, JP18le0110009, JP19dk0110034, P20dk0110034, 20lk0310073h0001]; National Center for Geriatrics and Gerontology [24-23, 24-17, 29-42, 30-22]; Program on Open Innovation Platform with Enterprise, Research Institute and Academia [JPMJOP1831]; The Health Labour Sciences Research Grants [H27-Ninchisyou-Ippan-001, H28-choju-Ippan-002, H28-Ninchisyou-Ippan-002, H30-Kenki-Ippan-006, H30-Junkankitou-Ippan-004, 19FA1012]; Grants-in-Aid for Scientific Research [18H00953, 18H03047, 19K10641] Funding Source: KAKEN</t>
        </is>
      </c>
      <c r="AE390" t="inlineStr">
        <is>
          <t>JSPS KAKENHI(Ministry of Education, Culture, Sports, Science and Technology, Japan (MEXT)Japan Society for the Promotion of ScienceGrants-in-Aid for Scientific Research (KAKENHI)); Research and Development Grants for Longevity Science from AMED (Japan Agency for Medical Research and development)(Japan Agency for Medical Research and Development (AMED)); MEXT (Ministry of Education, Culture, Sports, Science and Technology-Japan)(Ministry of Education, Culture, Sports, Science and Technology, Japan (MEXT)); JSPS (Japan Society for the Promotion of Science) KAKENHI(Ministry of Education, Culture, Sports, Science and Technology, Japan (MEXT)Japan Society for the Promotion of ScienceGrants-in-Aid for Scientific Research (KAKENHI)); Health Labour Sciences Research Grants; Japan Agency for Medical Research and Development (AMED)(Japan Agency for Medical Research and Development (AMED)); National Center for Geriatrics and Gerontology; Program on Open Innovation Platform with Enterprise, Research Institute and Academia; The Health Labour Sciences Research Grants; Grants-in-Aid for Scientific Research(Ministry of Education, Culture, Sports, Science and Technology, Japan (MEXT)Japan Society for the Promotion of ScienceGrants-in-Aid for Scientific Research (KAKENHI))</t>
        </is>
      </c>
      <c r="AF390" t="inlineStr">
        <is>
          <t>This study was supported in part by JSPS KAKENHI (18H00953, 18H03047 and 19K10641) and the Research and Development Grants for Longevity Science from AMED (Japan Agency for Medical Research and development, 19dk0110037h0001). This study used data from JAGES (the Japan Gerontological Evaluation Study), which was supported by MEXT (Ministry of Education, Culture, Sports, Science and Technology-Japan)-Supported Program for the Strategic Research Foundation at Private Universities (2009-2013), JSPS (Japan Society for the Promotion of Science) KAKENHI Grant Numbers (JP18390200, JP22330172, JP22390400, JP23243070, JP23590786, JP23790710, JP24390469, JP24530698, JP24683018, JP25253052, JP25870573, JP25870881, JP26285138, JP26882010, JP15H01972), Health Labour Sciences Research Grants (H22-Choju-Shitei-008, H24-Junkanki [Seishu]-Ippan-007, H24-Chikyukibo-Ippan-009, H24-Choju-Wakate-009, H25-Kenki-Wakate-015, H25-Choju-Ippan-003, H26-Irryo-Shitei-003 [Fukkou], H26-Choju-Ippan-006, H27-Ninchisyou-Ippan-001, H28-choju-Ippan-002, H28-Ninchisyou-Ippan-002, H30-Kenki-Ippan-006, H30-Junkankitou-Ippan-004, 19FA1012), Japan Agency for Medical Research and Development (AMED) (JP17dk0110017, JP18dk0110027, JP18ls0110002, JP18le0110009, JP19dk0110034, P20dk0110034, 20lk0310073h0001), the Research Funding for Longevity Sciences from National Center for Geriatrics and Gerontology (24-17, 24-23, 29-42, 30-22), Program on Open Innovation Platform with Enterprise, Research Institute and Academia (JPMJOP1831). The views and opinions expressed in this article are those of the authors and do not necessarily reflect the respective funding organizations' official policy or position.</t>
        </is>
      </c>
      <c r="AH390" t="n">
        <v>40</v>
      </c>
      <c r="AI390" t="n">
        <v>3</v>
      </c>
      <c r="AJ390" t="n">
        <v>3</v>
      </c>
      <c r="AK390" t="n">
        <v>0</v>
      </c>
      <c r="AL390" t="n">
        <v>12</v>
      </c>
      <c r="AM390" t="inlineStr">
        <is>
          <t>MDPI</t>
        </is>
      </c>
      <c r="AN390" t="inlineStr">
        <is>
          <t>BASEL</t>
        </is>
      </c>
      <c r="AO390" t="inlineStr">
        <is>
          <t>ST ALBAN-ANLAGE 66, CH-4052 BASEL, SWITZERLAND</t>
        </is>
      </c>
      <c r="AQ390" t="inlineStr">
        <is>
          <t>1660-4601</t>
        </is>
      </c>
      <c r="AS390" t="inlineStr">
        <is>
          <t>INT J ENV RES PUB HE</t>
        </is>
      </c>
      <c r="AT390" t="inlineStr">
        <is>
          <t>Int. J. Environ. Res. Public Health</t>
        </is>
      </c>
      <c r="AU390" t="inlineStr">
        <is>
          <t>MAY</t>
        </is>
      </c>
      <c r="AV390" t="n">
        <v>2021</v>
      </c>
      <c r="AW390" t="n">
        <v>18</v>
      </c>
      <c r="AX390" t="n">
        <v>9</v>
      </c>
      <c r="BE390" t="n">
        <v>5004</v>
      </c>
      <c r="BF390" t="inlineStr">
        <is>
          <t>10.3390/ijerph18095004</t>
        </is>
      </c>
      <c r="BG390">
        <f>HYPERLINK("http://dx.doi.org/10.3390/ijerph18095004","http://dx.doi.org/10.3390/ijerph18095004")</f>
        <v/>
      </c>
      <c r="BJ390" t="n">
        <v>10</v>
      </c>
      <c r="BK390" t="inlineStr">
        <is>
          <t>Environmental Sciences; Public, Environmental &amp; Occupational Health</t>
        </is>
      </c>
      <c r="BL390" t="inlineStr">
        <is>
          <t>Science Citation Index Expanded (SCI-EXPANDED); Social Science Citation Index (SSCI)</t>
        </is>
      </c>
      <c r="BM390" t="inlineStr">
        <is>
          <t>Environmental Sciences &amp; Ecology; Public, Environmental &amp; Occupational Health</t>
        </is>
      </c>
      <c r="BN390" t="inlineStr">
        <is>
          <t>SB8JQ</t>
        </is>
      </c>
      <c r="BO390" t="n">
        <v>34065052</v>
      </c>
      <c r="BP390" t="inlineStr">
        <is>
          <t>Green Published, gold</t>
        </is>
      </c>
      <c r="BS390" t="inlineStr">
        <is>
          <t>2023-10-26</t>
        </is>
      </c>
      <c r="BT390" t="inlineStr">
        <is>
          <t>WOS:000650233800001</t>
        </is>
      </c>
      <c r="BU390">
        <f>HYPERLINK("https%3A%2F%2Fwww.webofscience.com%2Fwos%2Fwoscc%2Ffull-record%2FWOS:000650233800001","View Full Record in Web of Science")</f>
        <v/>
      </c>
    </row>
    <row r="391">
      <c r="A391" t="inlineStr">
        <is>
          <t>J</t>
        </is>
      </c>
      <c r="B391" t="inlineStr">
        <is>
          <t>Park, SJ; Lee, HC</t>
        </is>
      </c>
      <c r="F391" t="inlineStr">
        <is>
          <t>Park, Sung Jun; Lee, Hyo Chang</t>
        </is>
      </c>
      <c r="J391" t="inlineStr">
        <is>
          <t>SUSTAINABILITY</t>
        </is>
      </c>
      <c r="M391" t="inlineStr">
        <is>
          <t>English</t>
        </is>
      </c>
      <c r="N391" t="inlineStr">
        <is>
          <t>Article</t>
        </is>
      </c>
      <c r="T391" t="inlineStr">
        <is>
          <t>Spatial Design of Childcare Facilities Based on Biophilic Design Patterns</t>
        </is>
      </c>
      <c r="U391" t="inlineStr">
        <is>
          <t>spatial design; childcare facility; biophilic design patterns; childcare; facility planning; biophilia</t>
        </is>
      </c>
      <c r="V391" t="inlineStr">
        <is>
          <t>PHYSICAL-ACTIVITY; ENVIRONMENT; HEALTH</t>
        </is>
      </c>
      <c r="W391" t="inlineStr">
        <is>
          <t>This study covers the issue of insufficient childcare support, which is part of the combined social problem of low birth rates and aging, and sets the direction for the environmental improvement of childcare facilities. This study aims to find the clues to creating an optimized environment for children in nature, which is a key factor that generally promotes children's physical, cognitive, and social development. In this paper, we conducted a literature review and case study to determine the spatial design characteristics of childcare facilities based on a biophilic design and survey. This study reached five conclusions. Firstly, childcare facilities need a spatial design to have a view of the natural ecosystem outside to increase children's concentration and provide a pleasant environment. Secondly, there is a need for open space that makes observation and monitoring more convenient in the different spaces of childcare facilities. Thirdly, childcare facilities need a spatial design where children can enjoy various sensory experiences related to nature. Fourthly, childcare facilities must have an interesting and familiar spatial design using natural elements. Lastly, there must be hiding places considering the children's stage of development and learning ability. The results will be used as the baseline data for the spatial design and planning of childcare facilities based on biophilic design.</t>
        </is>
      </c>
      <c r="X391" t="inlineStr">
        <is>
          <t>[Park, Sung Jun] Keimyung Univ, Dept Architectural Engn, Daegu 42601, South Korea; [Lee, Hyo Chang] Yonsei Univ, Dept Interior Architecture &amp; Built Environm, Seoul 03722, South Korea</t>
        </is>
      </c>
      <c r="Y391" t="inlineStr">
        <is>
          <t>Keimyung University; Yonsei University</t>
        </is>
      </c>
      <c r="Z391" t="inlineStr">
        <is>
          <t>Park, SJ (corresponding author), Keimyung Univ, Dept Architectural Engn, Daegu 42601, South Korea.;Lee, HC (corresponding author), Yonsei Univ, Dept Interior Architecture &amp; Built Environm, Seoul 03722, South Korea.</t>
        </is>
      </c>
      <c r="AA391" t="inlineStr">
        <is>
          <t>sjpark@kmu.ac.kr; spdlee@yonsei.ac.kr</t>
        </is>
      </c>
      <c r="AB391" t="inlineStr">
        <is>
          <t>Lee, Hyo-Chang/C-1883-2015</t>
        </is>
      </c>
      <c r="AC391" t="inlineStr">
        <is>
          <t>Lee, Hyo-Chang/0000-0003-2754-1512</t>
        </is>
      </c>
      <c r="AD391" t="inlineStr">
        <is>
          <t>National Research Foundation of Korea(NRF) - Korea Government (MEST) [NRF-2018R1C1B6008735]</t>
        </is>
      </c>
      <c r="AE391" t="inlineStr">
        <is>
          <t>National Research Foundation of Korea(NRF) - Korea Government (MEST)(Ministry of Education, Science &amp; Technology (MEST), Republic of KoreaNational Research Foundation of KoreaKorean Government)</t>
        </is>
      </c>
      <c r="AF391" t="inlineStr">
        <is>
          <t>This research was funded by National Research Foundation of Korea(NRF) grant funded by the Korea Government (MEST) (NRF-2018R1C1B6008735).</t>
        </is>
      </c>
      <c r="AH391" t="n">
        <v>37</v>
      </c>
      <c r="AI391" t="n">
        <v>7</v>
      </c>
      <c r="AJ391" t="n">
        <v>8</v>
      </c>
      <c r="AK391" t="n">
        <v>4</v>
      </c>
      <c r="AL391" t="n">
        <v>38</v>
      </c>
      <c r="AM391" t="inlineStr">
        <is>
          <t>MDPI</t>
        </is>
      </c>
      <c r="AN391" t="inlineStr">
        <is>
          <t>BASEL</t>
        </is>
      </c>
      <c r="AO391" t="inlineStr">
        <is>
          <t>ST ALBAN-ANLAGE 66, CH-4052 BASEL, SWITZERLAND</t>
        </is>
      </c>
      <c r="AP391" t="inlineStr">
        <is>
          <t>2071-1050</t>
        </is>
      </c>
      <c r="AS391" t="inlineStr">
        <is>
          <t>SUSTAINABILITY-BASEL</t>
        </is>
      </c>
      <c r="AT391" t="inlineStr">
        <is>
          <t>Sustainability</t>
        </is>
      </c>
      <c r="AU391" t="inlineStr">
        <is>
          <t>MAY 2</t>
        </is>
      </c>
      <c r="AV391" t="n">
        <v>2019</v>
      </c>
      <c r="AW391" t="n">
        <v>11</v>
      </c>
      <c r="AX391" t="n">
        <v>10</v>
      </c>
      <c r="BE391" t="n">
        <v>2851</v>
      </c>
      <c r="BF391" t="inlineStr">
        <is>
          <t>10.3390/su11102851</t>
        </is>
      </c>
      <c r="BG391">
        <f>HYPERLINK("http://dx.doi.org/10.3390/su11102851","http://dx.doi.org/10.3390/su11102851")</f>
        <v/>
      </c>
      <c r="BJ391" t="n">
        <v>15</v>
      </c>
      <c r="BK391" t="inlineStr">
        <is>
          <t>Green &amp; Sustainable Science &amp; Technology; Environmental Sciences; Environmental Studies</t>
        </is>
      </c>
      <c r="BL391" t="inlineStr">
        <is>
          <t>Science Citation Index Expanded (SCI-EXPANDED); Social Science Citation Index (SSCI)</t>
        </is>
      </c>
      <c r="BM391" t="inlineStr">
        <is>
          <t>Science &amp; Technology - Other Topics; Environmental Sciences &amp; Ecology</t>
        </is>
      </c>
      <c r="BN391" t="inlineStr">
        <is>
          <t>IC5LV</t>
        </is>
      </c>
      <c r="BP391" t="inlineStr">
        <is>
          <t>Green Published, gold</t>
        </is>
      </c>
      <c r="BS391" t="inlineStr">
        <is>
          <t>2023-10-26</t>
        </is>
      </c>
      <c r="BT391" t="inlineStr">
        <is>
          <t>WOS:000471010300134</t>
        </is>
      </c>
      <c r="BU391">
        <f>HYPERLINK("https%3A%2F%2Fwww.webofscience.com%2Fwos%2Fwoscc%2Ffull-record%2FWOS:000471010300134","View Full Record in Web of Science")</f>
        <v/>
      </c>
    </row>
    <row r="392">
      <c r="A392" t="inlineStr">
        <is>
          <t>J</t>
        </is>
      </c>
      <c r="B392" t="inlineStr">
        <is>
          <t>Lotvonen, S; Kyngäs, H; Koistinen, P; Bloigu, R; Elo, S</t>
        </is>
      </c>
      <c r="F392" t="inlineStr">
        <is>
          <t>Lotvonen, Sinikka; Kyngas, Helvi; Koistinen, Pentti; Bloigu, Risto; Elo, Satu</t>
        </is>
      </c>
      <c r="J392" t="inlineStr">
        <is>
          <t>INTERNATIONAL JOURNAL OF ENVIRONMENTAL RESEARCH AND PUBLIC HEALTH</t>
        </is>
      </c>
      <c r="M392" t="inlineStr">
        <is>
          <t>English</t>
        </is>
      </c>
      <c r="N392" t="inlineStr">
        <is>
          <t>Article</t>
        </is>
      </c>
      <c r="T392" t="inlineStr">
        <is>
          <t>Social Environment of Older People during the First Year in Senior Housing and Its Association with Physical Performance</t>
        </is>
      </c>
      <c r="U392" t="inlineStr">
        <is>
          <t>social environment; older people; senior housing; relocation; physical performance; physical activity; walking speed; grip strength; chair stands</t>
        </is>
      </c>
      <c r="V392" t="inlineStr">
        <is>
          <t>INSTRUMENTAL ACTIVITIES; ADULTS; FACILITATORS; WALKABILITY; LIMITATIONS; STRENGTH</t>
        </is>
      </c>
      <c r="W392" t="inlineStr">
        <is>
          <t>Increasing numbers of older people relocate into senior housing when their physical performance declines. The change in social environment is known to affect their wellbeing, providing both challenges and opportunities, but more information on the relations between social and physical parameters is required. Thus, we elicited perceptions of the social environment of 81 older people (aged 59-93 years, living in northern Finland) and changes in it 3 and 12 months after relocation to senior housing. We also measured their physical performance, then analysed associations between the social and physical variables. Participants reported that they had freedom to do whatever they liked and generally had enough contact with close people (which have recognized importance for older people's wellbeing), but changes in their physical condition limited their social activity. Moreover, their usual walking speed, dominant hand's grip strength and instrumental activities of daily living (IADL) significantly decreased. The pleasantness of the residential community, peer support, constraints on social activity imposed by changes in physical condition, meaningful activity at home and meeting close people all affected these physical performance parameters. Clearly, in addition to assessing physical performance and encouraging regular exercise, the complex interactions among social factors, physical performance and wellbeing should be considered when addressing individuals' needs.</t>
        </is>
      </c>
      <c r="X392" t="inlineStr">
        <is>
          <t>[Lotvonen, Sinikka; Kyngas, Helvi; Elo, Satu] Univ Oulu, Med Res Ctr Oulu, Res Unit Nursing Sci &amp; Hlth Management, POB 5000, Oulu 90014, Finland; [Kyngas, Helvi; Elo, Satu] Oulu Univ Hosp, POB 5000, Oulu, Finland; [Koistinen, Pentti] Univ Oulu, Fac Med, POB 5000, Oulu 90014, Finland; [Bloigu, Risto] Univ Oulu, Med Informat &amp; Stat Res Grp Oulu, POB 5000, Oulu 90014, Finland</t>
        </is>
      </c>
      <c r="Y392" t="inlineStr">
        <is>
          <t>University of Oulu; University of Oulu; University of Oulu; University of Oulu</t>
        </is>
      </c>
      <c r="Z392" t="inlineStr">
        <is>
          <t>Lotvonen, S (corresponding author), Univ Oulu, Med Res Ctr Oulu, Res Unit Nursing Sci &amp; Hlth Management, POB 5000, Oulu 90014, Finland.</t>
        </is>
      </c>
      <c r="AA392" t="inlineStr">
        <is>
          <t>sinikka.lotvonen@student.oulu.fi; helvi.kyngas@oulu.fi; pentti.koistinen@outlook.com; risto.bloigu@oulu.fi; satu.elo@oulu.fi</t>
        </is>
      </c>
      <c r="AC392" t="inlineStr">
        <is>
          <t>Lotvonen, Sinikka/0000-0003-2849-4340</t>
        </is>
      </c>
      <c r="AH392" t="n">
        <v>32</v>
      </c>
      <c r="AI392" t="n">
        <v>9</v>
      </c>
      <c r="AJ392" t="n">
        <v>9</v>
      </c>
      <c r="AK392" t="n">
        <v>1</v>
      </c>
      <c r="AL392" t="n">
        <v>16</v>
      </c>
      <c r="AM392" t="inlineStr">
        <is>
          <t>MDPI</t>
        </is>
      </c>
      <c r="AN392" t="inlineStr">
        <is>
          <t>BASEL</t>
        </is>
      </c>
      <c r="AO392" t="inlineStr">
        <is>
          <t>ST ALBAN-ANLAGE 66, CH-4052 BASEL, SWITZERLAND</t>
        </is>
      </c>
      <c r="AQ392" t="inlineStr">
        <is>
          <t>1660-4601</t>
        </is>
      </c>
      <c r="AS392" t="inlineStr">
        <is>
          <t>INT J ENV RES PUB HE</t>
        </is>
      </c>
      <c r="AT392" t="inlineStr">
        <is>
          <t>Int. J. Environ. Res. Public Health</t>
        </is>
      </c>
      <c r="AU392" t="inlineStr">
        <is>
          <t>SEP</t>
        </is>
      </c>
      <c r="AV392" t="n">
        <v>2017</v>
      </c>
      <c r="AW392" t="n">
        <v>14</v>
      </c>
      <c r="AX392" t="n">
        <v>9</v>
      </c>
      <c r="BE392" t="n">
        <v>960</v>
      </c>
      <c r="BF392" t="inlineStr">
        <is>
          <t>10.3390/ijerph14090960</t>
        </is>
      </c>
      <c r="BG392">
        <f>HYPERLINK("http://dx.doi.org/10.3390/ijerph14090960","http://dx.doi.org/10.3390/ijerph14090960")</f>
        <v/>
      </c>
      <c r="BJ392" t="n">
        <v>16</v>
      </c>
      <c r="BK392" t="inlineStr">
        <is>
          <t>Environmental Sciences; Public, Environmental &amp; Occupational Health</t>
        </is>
      </c>
      <c r="BL392" t="inlineStr">
        <is>
          <t>Science Citation Index Expanded (SCI-EXPANDED); Social Science Citation Index (SSCI)</t>
        </is>
      </c>
      <c r="BM392" t="inlineStr">
        <is>
          <t>Environmental Sciences &amp; Ecology; Public, Environmental &amp; Occupational Health</t>
        </is>
      </c>
      <c r="BN392" t="inlineStr">
        <is>
          <t>FH9YO</t>
        </is>
      </c>
      <c r="BO392" t="n">
        <v>28841198</v>
      </c>
      <c r="BP392" t="inlineStr">
        <is>
          <t>gold, Green Published, Green Submitted</t>
        </is>
      </c>
      <c r="BS392" t="inlineStr">
        <is>
          <t>2023-10-26</t>
        </is>
      </c>
      <c r="BT392" t="inlineStr">
        <is>
          <t>WOS:000411574400012</t>
        </is>
      </c>
      <c r="BU392">
        <f>HYPERLINK("https%3A%2F%2Fwww.webofscience.com%2Fwos%2Fwoscc%2Ffull-record%2FWOS:000411574400012","View Full Record in Web of Science")</f>
        <v/>
      </c>
    </row>
    <row r="393">
      <c r="A393" t="inlineStr">
        <is>
          <t>J</t>
        </is>
      </c>
      <c r="B393" t="inlineStr">
        <is>
          <t>Saint-Onge, K; Bernard, P; Kingsbury, C; Houle, J</t>
        </is>
      </c>
      <c r="F393" t="inlineStr">
        <is>
          <t>Saint-Onge, Kadia; Bernard, Paquito; Kingsbury, Celia; Houle, Janie</t>
        </is>
      </c>
      <c r="J393" t="inlineStr">
        <is>
          <t>INTERNATIONAL JOURNAL OF ENVIRONMENTAL RESEARCH AND PUBLIC HEALTH</t>
        </is>
      </c>
      <c r="M393" t="inlineStr">
        <is>
          <t>English</t>
        </is>
      </c>
      <c r="N393" t="inlineStr">
        <is>
          <t>Article</t>
        </is>
      </c>
      <c r="T393" t="inlineStr">
        <is>
          <t>Older Public Housing Tenants' Capabilities for Physical Activity Described Using Walk-Along Interviews in Montreal, Canada</t>
        </is>
      </c>
      <c r="U393" t="inlineStr">
        <is>
          <t>physical activity; older adults; capabilities; public housing; walk-along interviews</t>
        </is>
      </c>
      <c r="V393" t="inlineStr">
        <is>
          <t>HEALTH-BENEFITS; QUALITATIVE RESEARCH; MENTAL-HEALTH; ADULTS; ASSOCIATION; NEIGHBORHOOD; PROMOTION; EXERCISE; INTERVENTIONS; PEOPLE</t>
        </is>
      </c>
      <c r="W393" t="inlineStr">
        <is>
          <t>Older public housing tenants experience various factors associated with physical inactivity and are locally dependent on their environment to support their physical activity. A better understanding of the person-environment fit for physical activity could highlight avenues to improve access to physical activity for this subgroup of the population. The aim of this study was to evaluate older public housing tenants' capabilities for physical activity in their residential environment using a socioecological approach. We conducted individual semi-structured walk-along interviews with 26 tenants (female = 18, male = 8, mean age = 71.96 years old). Living in housing developments exclusively for adults aged 60 years or over in three neighborhoods in the city of Montreal, Canada. A hybrid thematic analysis produced five capabilities for physical activity: Political, financial, social, physical, and psychological. Themes spanned across ecological levels including individual, public housing, community, and government. Tenant committees appear important to physical activity promotion. Participants called for psychosocial interventions to boost their capability for physical activity as well as greater implication from the housing authority and from government. Results further support a call for intersectoral action to improve access to physical activity for less affluent subgroups of the population such as older public housing tenants.</t>
        </is>
      </c>
      <c r="X393" t="inlineStr">
        <is>
          <t>[Saint-Onge, Kadia; Houle, Janie] Univ Quebec Montreal, Dept Psychol, Montreal, PQ H3C 3P8, Canada; [Saint-Onge, Kadia; Bernard, Paquito; Kingsbury, Celia; Houle, Janie] Univ Montreal, Res Ctr, Inst Mental Hlth, Montreal, PQ H1N 3M5, Canada; [Bernard, Paquito; Kingsbury, Celia] Univ Quebec Montreal, Dept Phys Act Sci, Montreal, PQ H2L 2C4, Canada</t>
        </is>
      </c>
      <c r="Y393" t="inlineStr">
        <is>
          <t>University of Quebec; University of Quebec Montreal; Universite de Montreal; University of Quebec; University of Quebec Montreal</t>
        </is>
      </c>
      <c r="Z393" t="inlineStr">
        <is>
          <t>Houle, J (corresponding author), Univ Quebec Montreal, Dept Psychol, Montreal, PQ H3C 3P8, Canada.;Houle, J (corresponding author), Univ Montreal, Res Ctr, Inst Mental Hlth, Montreal, PQ H1N 3M5, Canada.</t>
        </is>
      </c>
      <c r="AA393" t="inlineStr">
        <is>
          <t>saint-onge.kadia@courrier.uqam.ca; bernard.paquito@uqam.ca; kingsbury.celia@courrier.uqam.ca; houle.janie@uqam.ca</t>
        </is>
      </c>
      <c r="AB393" t="inlineStr">
        <is>
          <t>Bernard, Paquito/ABP-8515-2022</t>
        </is>
      </c>
      <c r="AC393" t="inlineStr">
        <is>
          <t>Bernard, Paquito/0000-0003-2180-9135; Kingsbury, Celia/0000-0002-1348-8653</t>
        </is>
      </c>
      <c r="AD393" t="inlineStr">
        <is>
          <t>FRQ-SC</t>
        </is>
      </c>
      <c r="AE393" t="inlineStr">
        <is>
          <t>FRQ-SC</t>
        </is>
      </c>
      <c r="AF393" t="inlineStr">
        <is>
          <t>The main author received a doctoral research scholarship from the FRQ-SC during this study.</t>
        </is>
      </c>
      <c r="AH393" t="n">
        <v>83</v>
      </c>
      <c r="AI393" t="n">
        <v>2</v>
      </c>
      <c r="AJ393" t="n">
        <v>2</v>
      </c>
      <c r="AK393" t="n">
        <v>0</v>
      </c>
      <c r="AL393" t="n">
        <v>6</v>
      </c>
      <c r="AM393" t="inlineStr">
        <is>
          <t>MDPI</t>
        </is>
      </c>
      <c r="AN393" t="inlineStr">
        <is>
          <t>BASEL</t>
        </is>
      </c>
      <c r="AO393" t="inlineStr">
        <is>
          <t>ST ALBAN-ANLAGE 66, CH-4052 BASEL, SWITZERLAND</t>
        </is>
      </c>
      <c r="AQ393" t="inlineStr">
        <is>
          <t>1660-4601</t>
        </is>
      </c>
      <c r="AS393" t="inlineStr">
        <is>
          <t>INT J ENV RES PUB HE</t>
        </is>
      </c>
      <c r="AT393" t="inlineStr">
        <is>
          <t>Int. J. Environ. Res. Public Health</t>
        </is>
      </c>
      <c r="AU393" t="inlineStr">
        <is>
          <t>NOV</t>
        </is>
      </c>
      <c r="AV393" t="n">
        <v>2021</v>
      </c>
      <c r="AW393" t="n">
        <v>18</v>
      </c>
      <c r="AX393" t="n">
        <v>21</v>
      </c>
      <c r="BE393" t="n">
        <v>11647</v>
      </c>
      <c r="BF393" t="inlineStr">
        <is>
          <t>10.3390/ijerph182111647</t>
        </is>
      </c>
      <c r="BG393">
        <f>HYPERLINK("http://dx.doi.org/10.3390/ijerph182111647","http://dx.doi.org/10.3390/ijerph182111647")</f>
        <v/>
      </c>
      <c r="BJ393" t="n">
        <v>19</v>
      </c>
      <c r="BK393" t="inlineStr">
        <is>
          <t>Environmental Sciences; Public, Environmental &amp; Occupational Health</t>
        </is>
      </c>
      <c r="BL393" t="inlineStr">
        <is>
          <t>Science Citation Index Expanded (SCI-EXPANDED); Social Science Citation Index (SSCI)</t>
        </is>
      </c>
      <c r="BM393" t="inlineStr">
        <is>
          <t>Environmental Sciences &amp; Ecology; Public, Environmental &amp; Occupational Health</t>
        </is>
      </c>
      <c r="BN393" t="inlineStr">
        <is>
          <t>XB8LU</t>
        </is>
      </c>
      <c r="BO393" t="n">
        <v>34770160</v>
      </c>
      <c r="BP393" t="inlineStr">
        <is>
          <t>gold, Green Published</t>
        </is>
      </c>
      <c r="BS393" t="inlineStr">
        <is>
          <t>2023-10-26</t>
        </is>
      </c>
      <c r="BT393" t="inlineStr">
        <is>
          <t>WOS:000721575400001</t>
        </is>
      </c>
      <c r="BU393">
        <f>HYPERLINK("https%3A%2F%2Fwww.webofscience.com%2Fwos%2Fwoscc%2Ffull-record%2FWOS:000721575400001","View Full Record in Web of Science")</f>
        <v/>
      </c>
    </row>
    <row r="394">
      <c r="A394" t="inlineStr">
        <is>
          <t>J</t>
        </is>
      </c>
      <c r="B394" t="inlineStr">
        <is>
          <t>Liao, Y; Lin, CY; Lai, TF; Chen, YJ; Kim, B; Park, JH</t>
        </is>
      </c>
      <c r="F394" t="inlineStr">
        <is>
          <t>Liao, Yung; Lin, Chien-Yu; Lai, Ting-Fu; Chen, Yen-Ju; Kim, Bohyeon; Park, Jong-Hwan</t>
        </is>
      </c>
      <c r="J394" t="inlineStr">
        <is>
          <t>INTERNATIONAL JOURNAL OF ENVIRONMENTAL RESEARCH AND PUBLIC HEALTH</t>
        </is>
      </c>
      <c r="M394" t="inlineStr">
        <is>
          <t>English</t>
        </is>
      </c>
      <c r="N394" t="inlineStr">
        <is>
          <t>Article</t>
        </is>
      </c>
      <c r="T394" t="inlineStr">
        <is>
          <t>Walk Score® and Its Associations with Older Adults' Health Behaviors and Outcomes</t>
        </is>
      </c>
      <c r="U394" t="inlineStr">
        <is>
          <t>walkability; neighborhood; older adult; chronic diseases</t>
        </is>
      </c>
      <c r="V394" t="inlineStr">
        <is>
          <t>NEIGHBORHOOD WALKABILITY; PHYSICAL-ACTIVITY; BUILT ENVIRONMENT; UTILITARIAN WALKING; SEDENTARY BEHAVIOR; RISK; TIME; TRANSPORTATION; MORTALITY; DISEASE</t>
        </is>
      </c>
      <c r="W394" t="inlineStr">
        <is>
          <t>This study aimed to investigate the associations between Walk Score((R)) and lifestyle behaviors and health outcomes in older Taiwanese adults. A nationwide survey was conducted through telephone-based interviews with older adults (65 years and older) in Taiwan. Data on Walk Score((R)), lifestyle behaviors (physical activity, sedentary behavior, healthy eating behavior, alcohol use, and smoking status), health outcomes (overweight/obesity, hypertension, type 2 diabetes, and cardiovascular disease), and personal characteristics were obtained from 1052 respondents. A binary logistic regression adjusting for potential confounders was employed. None of the Walk Score((R)) categories were related to the recommended levels of total physical activity. The categories very walkable and walker's paradise were positively related to total sedentary time and TV viewing among older adults. No significant associations were found between Walk Score((R)) and other lifestyle health behaviors or health outcomes. While Walk Score((R)) was not associated with recommended levels of physical activity, it was positively related to prolonged sedentary time in the context of a non-Western country. The different associations between the walk score and health lifestyle behaviors and health outcomes in different contexts should be noted.</t>
        </is>
      </c>
      <c r="X394" t="inlineStr">
        <is>
          <t>[Liao, Yung; Lai, Ting-Fu] Natl Taiwan Normal Univ, Dept Hlth Promot &amp; Hlth Educ, 162 Heping East Rd,Sect 1, Taipei 106, Taiwan; [Lin, Chien-Yu] Natl Taiwan Univ, Inst Hlth Behav &amp; Community Sci, 17 Xuzhou Rd, Taipei 100, Taiwan; [Chen, Yen-Ju] Natl Taiwan Normal Univ, Grad Inst Sport Leisure &amp; Hospitality Management, 162 Heping East Rd,Sect 1, Taipei 106, Taiwan; [Kim, Bohyeon; Park, Jong-Hwan] Dong A Univ, Inst Convergence Biohlth, Hlth Behav &amp; Dis Prevent Res Grp, Busan 49201, South Korea</t>
        </is>
      </c>
      <c r="Y394" t="inlineStr">
        <is>
          <t>National Taiwan Normal University; National Taiwan University; National Taiwan Normal University; Dong A University</t>
        </is>
      </c>
      <c r="Z394" t="inlineStr">
        <is>
          <t>Park, JH (corresponding author), Dong A Univ, Inst Convergence Biohlth, Hlth Behav &amp; Dis Prevent Res Grp, Busan 49201, South Korea.</t>
        </is>
      </c>
      <c r="AA394" t="inlineStr">
        <is>
          <t>liaoyung@ntnu.edu.tw; chienyulin@ntu.edu; ted971345@gmail.com; lulu0126@gmail.com; gus8179@gmail.com; jpark@dau.ac.kr</t>
        </is>
      </c>
      <c r="AB394" t="inlineStr">
        <is>
          <t>lai, ting/HGD-7592-2022</t>
        </is>
      </c>
      <c r="AC394" t="inlineStr">
        <is>
          <t>Park, Jong-Hwan/0000-0003-2815-7248; Lin, Chien-Yu/0000-0002-5263-8730; Liao, Yung/0000-0002-4401-8275</t>
        </is>
      </c>
      <c r="AD394" t="inlineStr">
        <is>
          <t>Ministry of Science and Technology of Taiwan [MOST 107-2410-H-003-117-MY2]; Ministry of Education of the Republic of Korea; National Research Foundation of Korea (NRF) [NRF-2017S1A2A2038558]; National Research Foundation of Korea [2017S1A2A2038558] Funding Source: Korea Institute of Science &amp; Technology Information (KISTI), National Science &amp; Technology Information Service (NTIS)</t>
        </is>
      </c>
      <c r="AE394" t="inlineStr">
        <is>
          <t>Ministry of Science and Technology of Taiwan(Ministry of Science and Technology, Taiwan); Ministry of Education of the Republic of Korea(Ministry of Education (MOE), Republic of Korea); National Research Foundation of Korea (NRF)(National Research Foundation of Korea); National Research Foundation of Korea(National Research Foundation of Korea)</t>
        </is>
      </c>
      <c r="AF394" t="inlineStr">
        <is>
          <t>Liao received a personal grant from the Ministry of Science and Technology of Taiwan (MOST 107-2410-H-003-117-MY2). The Ministry of Science and Technology of Taiwan was not involved in the study design, data collection, analysis, interpretation, and writing of the manuscript. This work was supported by a Global Research Network program through the Ministry of Education of the Republic of Korea and National Research Foundation of Korea (NRF-Project number: NRF-2017S1A2A2038558).</t>
        </is>
      </c>
      <c r="AH394" t="n">
        <v>57</v>
      </c>
      <c r="AI394" t="n">
        <v>19</v>
      </c>
      <c r="AJ394" t="n">
        <v>19</v>
      </c>
      <c r="AK394" t="n">
        <v>9</v>
      </c>
      <c r="AL394" t="n">
        <v>24</v>
      </c>
      <c r="AM394" t="inlineStr">
        <is>
          <t>MDPI</t>
        </is>
      </c>
      <c r="AN394" t="inlineStr">
        <is>
          <t>BASEL</t>
        </is>
      </c>
      <c r="AO394" t="inlineStr">
        <is>
          <t>ST ALBAN-ANLAGE 66, CH-4052 BASEL, SWITZERLAND</t>
        </is>
      </c>
      <c r="AQ394" t="inlineStr">
        <is>
          <t>1660-4601</t>
        </is>
      </c>
      <c r="AS394" t="inlineStr">
        <is>
          <t>INT J ENV RES PUB HE</t>
        </is>
      </c>
      <c r="AT394" t="inlineStr">
        <is>
          <t>Int. J. Environ. Res. Public Health</t>
        </is>
      </c>
      <c r="AU394" t="inlineStr">
        <is>
          <t>FEB 2</t>
        </is>
      </c>
      <c r="AV394" t="n">
        <v>2019</v>
      </c>
      <c r="AW394" t="n">
        <v>16</v>
      </c>
      <c r="AX394" t="n">
        <v>4</v>
      </c>
      <c r="BE394" t="n">
        <v>622</v>
      </c>
      <c r="BF394" t="inlineStr">
        <is>
          <t>10.3390/ijerph16040622</t>
        </is>
      </c>
      <c r="BG394">
        <f>HYPERLINK("http://dx.doi.org/10.3390/ijerph16040622","http://dx.doi.org/10.3390/ijerph16040622")</f>
        <v/>
      </c>
      <c r="BJ394" t="n">
        <v>12</v>
      </c>
      <c r="BK394" t="inlineStr">
        <is>
          <t>Environmental Sciences; Public, Environmental &amp; Occupational Health</t>
        </is>
      </c>
      <c r="BL394" t="inlineStr">
        <is>
          <t>Science Citation Index Expanded (SCI-EXPANDED); Social Science Citation Index (SSCI)</t>
        </is>
      </c>
      <c r="BM394" t="inlineStr">
        <is>
          <t>Environmental Sciences &amp; Ecology; Public, Environmental &amp; Occupational Health</t>
        </is>
      </c>
      <c r="BN394" t="inlineStr">
        <is>
          <t>HO3FK</t>
        </is>
      </c>
      <c r="BO394" t="n">
        <v>30791631</v>
      </c>
      <c r="BP394" t="inlineStr">
        <is>
          <t>Green Submitted, gold, Green Published</t>
        </is>
      </c>
      <c r="BS394" t="inlineStr">
        <is>
          <t>2023-10-26</t>
        </is>
      </c>
      <c r="BT394" t="inlineStr">
        <is>
          <t>WOS:000460804900101</t>
        </is>
      </c>
      <c r="BU394">
        <f>HYPERLINK("https%3A%2F%2Fwww.webofscience.com%2Fwos%2Fwoscc%2Ffull-record%2FWOS:000460804900101","View Full Record in Web of Science")</f>
        <v/>
      </c>
    </row>
    <row r="395">
      <c r="A395" t="inlineStr">
        <is>
          <t>J</t>
        </is>
      </c>
      <c r="B395" t="inlineStr">
        <is>
          <t>Kapalo, P; Meciarová, L; Vilceková, S; Burdová, EK; Domnita, F; Bacotiu, C; Péterfi, KE</t>
        </is>
      </c>
      <c r="F395" t="inlineStr">
        <is>
          <t>Kapalo, Peter; Meciarova, Ludmila; Vilcekova, Silvia; Burdova, Eva Kridlova; Domnita, Florin; Bacotiu, Ciprian; Peterfi, Kinga-Eva</t>
        </is>
      </c>
      <c r="J395" t="inlineStr">
        <is>
          <t>INTERNATIONAL JOURNAL OF ENVIRONMENTAL HEALTH RESEARCH</t>
        </is>
      </c>
      <c r="M395" t="inlineStr">
        <is>
          <t>English</t>
        </is>
      </c>
      <c r="N395" t="inlineStr">
        <is>
          <t>Article</t>
        </is>
      </c>
      <c r="T395" t="inlineStr">
        <is>
          <t>Investigation of CO2 production depending on physical activity of students</t>
        </is>
      </c>
      <c r="U395" t="inlineStr">
        <is>
          <t>Educational building; indoor environment; Carbon dioxide (CO2) production; physical activity</t>
        </is>
      </c>
      <c r="V395" t="inlineStr">
        <is>
          <t>INDOOR ENVIRONMENTAL-QUALITY; NATURALLY VENTILATED CLASSROOMS; CARBON-DIOXIDE; AIR-QUALITY; LEARNING-PERFORMANCE; PRIMARY-SCHOOLS; EXPOSURE; COMFORT; FLOW</t>
        </is>
      </c>
      <c r="W395" t="inlineStr">
        <is>
          <t>This paper aims to carry out measurements of indoor air temperature, relative humidity and carbon dioxide (CO2) concentrations as well as to determine CO2 production by students and teacher during various physical activities. Two classrooms of Technical University of Kosice were selected for the research. Results of objective measurements confirmed strong correlation between CO2 concentration occupancy for all measurements. Recommended value for indoor CO2 level according to Pettenkofer (1,000 ppm) was exceeding in 60.9%. Results of this study showed the insufficient ventilation intensity in classrooms as well as obvious rise of CO2 concentration during the exams. The highest increase of CO2 was recorded during harder physical activity (run on the spot, squats, right and left side lunges, and rotating of the hips). Regarding CO2 production by respondents it can be see that it is visibly increased with increasing physical activity.</t>
        </is>
      </c>
      <c r="X395" t="inlineStr">
        <is>
          <t>[Kapalo, Peter; Meciarova, Ludmila; Vilcekova, Silvia; Burdova, Eva Kridlova] Tech Univ Kosice, Inst Environm Engn, Fac Civil Engn, Kosice, Slovakia; [Domnita, Florin; Bacotiu, Ciprian; Peterfi, Kinga-Eva] Tech Univ Cluj Napoca, Dept Bldg Serv Engn, Cluj Napoca, Romania</t>
        </is>
      </c>
      <c r="Y395" t="inlineStr">
        <is>
          <t>Technical University Kosice; Technical University of Cluj Napoca</t>
        </is>
      </c>
      <c r="Z395" t="inlineStr">
        <is>
          <t>Meciarová, L (corresponding author), Vysokoskolska 4, Kosice 04200, Slovakia.</t>
        </is>
      </c>
      <c r="AA395" t="inlineStr">
        <is>
          <t>ludmila.meciarova@gmail.com</t>
        </is>
      </c>
      <c r="AB395" t="inlineStr">
        <is>
          <t>Vilcekova, Silvia/K-1565-2014; Burdová, Eva Krídlová/AAA-6293-2019; Kapalo, Peter/AAA-5881-2020; Domnita, Florin/ABF-5292-2020</t>
        </is>
      </c>
      <c r="AC395" t="inlineStr">
        <is>
          <t>Vilcekova, Silvia/0000-0002-1953-1253; Burdová, Eva Krídlová/0000-0001-6496-865X; Vaculova Meciarova, Ludmila/0000-0002-6438-9049</t>
        </is>
      </c>
      <c r="AD395" t="inlineStr">
        <is>
          <t>Grant Agency of Slovak Republic [1/0307/16]</t>
        </is>
      </c>
      <c r="AE395" t="inlineStr">
        <is>
          <t>Grant Agency of Slovak Republic(Grant Agency of the Czech Republic)</t>
        </is>
      </c>
      <c r="AF395" t="inlineStr">
        <is>
          <t>This work was supported by the Grant Agency of Slovak Republic [grant number 1/0307/16]</t>
        </is>
      </c>
      <c r="AH395" t="n">
        <v>36</v>
      </c>
      <c r="AI395" t="n">
        <v>16</v>
      </c>
      <c r="AJ395" t="n">
        <v>17</v>
      </c>
      <c r="AK395" t="n">
        <v>2</v>
      </c>
      <c r="AL395" t="n">
        <v>27</v>
      </c>
      <c r="AM395" t="inlineStr">
        <is>
          <t>TAYLOR &amp; FRANCIS LTD</t>
        </is>
      </c>
      <c r="AN395" t="inlineStr">
        <is>
          <t>ABINGDON</t>
        </is>
      </c>
      <c r="AO395" t="inlineStr">
        <is>
          <t>2-4 PARK SQUARE, MILTON PARK, ABINGDON OR14 4RN, OXON, ENGLAND</t>
        </is>
      </c>
      <c r="AP395" t="inlineStr">
        <is>
          <t>0960-3123</t>
        </is>
      </c>
      <c r="AQ395" t="inlineStr">
        <is>
          <t>1369-1619</t>
        </is>
      </c>
      <c r="AS395" t="inlineStr">
        <is>
          <t>INT J ENVIRON HEAL R</t>
        </is>
      </c>
      <c r="AT395" t="inlineStr">
        <is>
          <t>Int. J. Environ. Health Res.</t>
        </is>
      </c>
      <c r="AV395" t="n">
        <v>2019</v>
      </c>
      <c r="AW395" t="n">
        <v>29</v>
      </c>
      <c r="AX395" t="n">
        <v>1</v>
      </c>
      <c r="BC395" t="n">
        <v>31</v>
      </c>
      <c r="BD395" t="n">
        <v>44</v>
      </c>
      <c r="BF395" t="inlineStr">
        <is>
          <t>10.1080/09603123.2018.1506570</t>
        </is>
      </c>
      <c r="BG395">
        <f>HYPERLINK("http://dx.doi.org/10.1080/09603123.2018.1506570","http://dx.doi.org/10.1080/09603123.2018.1506570")</f>
        <v/>
      </c>
      <c r="BJ395" t="n">
        <v>14</v>
      </c>
      <c r="BK395" t="inlineStr">
        <is>
          <t>Environmental Sciences; Public, Environmental &amp; Occupational Health</t>
        </is>
      </c>
      <c r="BL395" t="inlineStr">
        <is>
          <t>Science Citation Index Expanded (SCI-EXPANDED)</t>
        </is>
      </c>
      <c r="BM395" t="inlineStr">
        <is>
          <t>Environmental Sciences &amp; Ecology; Public, Environmental &amp; Occupational Health</t>
        </is>
      </c>
      <c r="BN395" t="inlineStr">
        <is>
          <t>HJ6GT</t>
        </is>
      </c>
      <c r="BO395" t="n">
        <v>30068229</v>
      </c>
      <c r="BS395" t="inlineStr">
        <is>
          <t>2023-10-26</t>
        </is>
      </c>
      <c r="BT395" t="inlineStr">
        <is>
          <t>WOS:000457284700003</t>
        </is>
      </c>
      <c r="BU395">
        <f>HYPERLINK("https%3A%2F%2Fwww.webofscience.com%2Fwos%2Fwoscc%2Ffull-record%2FWOS:000457284700003","View Full Record in Web of Science")</f>
        <v/>
      </c>
    </row>
    <row r="396">
      <c r="A396" t="inlineStr">
        <is>
          <t>J</t>
        </is>
      </c>
      <c r="B396" t="inlineStr">
        <is>
          <t>Lanau, M; Liu, G; Kral, U; Wiedenhofer, D; Keijzer, E; Yu, C; Ehlert, C</t>
        </is>
      </c>
      <c r="F396" t="inlineStr">
        <is>
          <t>Lanau, Maud; Liu, Gang; Kral, Ulrich; Wiedenhofer, Dominik; Keijzer, Elisabeth; Yu, Chang; Ehlert, Christina</t>
        </is>
      </c>
      <c r="J396" t="inlineStr">
        <is>
          <t>ENVIRONMENTAL SCIENCE &amp; TECHNOLOGY</t>
        </is>
      </c>
      <c r="M396" t="inlineStr">
        <is>
          <t>English</t>
        </is>
      </c>
      <c r="N396" t="inlineStr">
        <is>
          <t>Review</t>
        </is>
      </c>
      <c r="T396" t="inlineStr">
        <is>
          <t>Taking Stock of Built Environment Stock Studies: Progress and Prospects</t>
        </is>
      </c>
      <c r="V396" t="inlineStr">
        <is>
          <t>IN-USE STOCKS; MATERIAL FLOW-ANALYSIS; NIGHTTIME LIGHT DATA; USE COPPER STOCKS; BUILDING-STOCK; DYNAMIC MATERIAL; RESIDENTIAL BUILDINGS; URBAN INFRASTRUCTURE; DEMOLITION WASTE; DWELLING STOCK</t>
        </is>
      </c>
      <c r="W396" t="inlineStr">
        <is>
          <t>Built environment stocks (buildings and infrastructures) play multiple roles in our socio-economic metabolism: they serve as the backbone of modern societies and human well-being, drive the material cycles throughout the economy, entail temporal and spatial lock-ins on energy use and emissions, and represent an extensive reservoir of secondary materials. This review aims at providing a comprehensive and critical review of the state of the art, progress, and prospects of built included 249 publications published from 1985 to 2018, conducted a bibliometric analysis, and assessed the studies by key characteristics including typology of stocks (status of stock and end-use category), type of measurement (object and unit), spatial boundary and level of resolution, and temporal scope. We also highlighted the strengths and weaknesses of different estimation approaches. A comparability analysis of existing studies shows a clearly higher level of stocks per capita and per area in developed countries and cities, confirming the role of urbanization and industrialization in built environment stock growth. However, more spatially refined case studies (e.g., on developing cities and nonresidential buildings) and standardization and improvement of methodology (e.g., with geographic information system and architectural knowledge) and data (e.g., on material intensity and lifetime) would be urgently needed to reveal more robust conclusions on the patterns, drivers, and implications of built environment stocks. Such advanced knowledge on built environment stocks could foster societal and policy agendas such as urban sustainability, circular economy, climate change, and United Nations 2030 Sustainable Development Goals.</t>
        </is>
      </c>
      <c r="X396" t="inlineStr">
        <is>
          <t>[Lanau, Maud; Liu, Gang] Univ Southern Denmark, Dept Chem Engn Biotechnol &amp; Environm Technol, SDU Life Cycle Engn, DK-5230 Odense, Denmark; [Kral, Ulrich] Tech Univ Wien, Inst Water Qual &amp; Resource Management, A-1040 Vienna, Austria; [Wiedenhofer, Dominik] Univ Nat Resources &amp; Life Sci, Dept Econ &amp; Social Sci, Inst Social Ecol, A-1090 Vienna, Austria; [Keijzer, Elisabeth] TNO Climate Air &amp; Sustainabil, NL-3584 CB Utrecht, Netherlands; [Yu, Chang] Beijing Forestry Univ, Sch Econ &amp; Management, Beijing 100083, Peoples R China; [Ehlert, Christina] Luxembourg Inst Sci &amp; Technol, L-4422 Belvaux, Luxembourg</t>
        </is>
      </c>
      <c r="Y396" t="inlineStr">
        <is>
          <t>University of Southern Denmark; Technische Universitat Wien; University of Natural Resources &amp; Life Sciences, Vienna; Netherlands Organization Applied Science Research; Beijing Forestry University; Luxembourg Institute of Science &amp; Technology</t>
        </is>
      </c>
      <c r="Z396" t="inlineStr">
        <is>
          <t>Liu, G (corresponding author), Univ Southern Denmark, Dept Chem Engn Biotechnol &amp; Environm Technol, SDU Life Cycle Engn, DK-5230 Odense, Denmark.</t>
        </is>
      </c>
      <c r="AA396" t="inlineStr">
        <is>
          <t>gli@kbm.sdu.dk</t>
        </is>
      </c>
      <c r="AB396" t="inlineStr">
        <is>
          <t>Lanau, Maud/AAU-7700-2021; Wiedenhofer, Dominik/AAA-5678-2020; Liu, Gang/J-3181-2013</t>
        </is>
      </c>
      <c r="AC396" t="inlineStr">
        <is>
          <t>Lanau, Maud/0000-0001-6315-2608; Wiedenhofer, Dominik/0000-0001-7418-3477; Kral, Ulrich/0000-0002-2848-1673; Liu, Gang/0000-0002-7613-1985</t>
        </is>
      </c>
      <c r="AD396" t="inlineStr">
        <is>
          <t>COST (European Cooperation in Science and Technology); Independent Research Fund Denmark (CityWeight) [6111-0055513]; Natural Science Foundation of China [41728002, 71804012]; Austrian Science Fund (FWF) [I 3148-G29]; Austrian Science Fund (FWF) (MISO) [P27590]; European Research Council (ERC) (MAT_STOCKS) [741950]; European Research Council (ERC) [741950] Funding Source: European Research Council (ERC); Austrian Science Fund (FWF) [P27590] Funding Source: Austrian Science Fund (FWF)</t>
        </is>
      </c>
      <c r="AE396" t="inlineStr">
        <is>
          <t>COST (European Cooperation in Science and Technology)(European Cooperation in Science and Technology (COST)); Independent Research Fund Denmark (CityWeight)(Det Frie Forskningsrad (DFF)); Natural Science Foundation of China(National Natural Science Foundation of China (NSFC)); Austrian Science Fund (FWF)(Austrian Science Fund (FWF)); Austrian Science Fund (FWF) (MISO)(Austrian Science Fund (FWF)); European Research Council (ERC) (MAT_STOCKS)(European Research Council (ERC)); European Research Council (ERC)(European Research Council (ERC)Spanish Government); Austrian Science Fund (FWF)(Austrian Science Fund (FWF))</t>
        </is>
      </c>
      <c r="AF396" t="inlineStr">
        <is>
          <t>This article is based upon work from COST Action MINEA (Mining the European Anthroposphere), supported by COST (European Cooperation in Science and Technology). Maud Lanau and Gang Liu are funded by Independent Research Fund Denmark (CityWeight, 6111-0055513) and Natural Science Foundation of China (41728002). Ulrich Kral thanks Austrian Science Fund (FWF) (Grant No. I 3148-G29), Dominik Wiedenhofer thanks Austrian Science Fund (FWF) (MISO, grant P27590) and European Research Council (ERC) (MAT_STOCKS, grant 741950), and Chang Yu thanks Natural Science Foundation of China (71804012) for financial support. We acknowledge Ruichang Mao and Britta Miekley for valuable research assistance.</t>
        </is>
      </c>
      <c r="AH396" t="n">
        <v>195</v>
      </c>
      <c r="AI396" t="n">
        <v>102</v>
      </c>
      <c r="AJ396" t="n">
        <v>103</v>
      </c>
      <c r="AK396" t="n">
        <v>23</v>
      </c>
      <c r="AL396" t="n">
        <v>138</v>
      </c>
      <c r="AM396" t="inlineStr">
        <is>
          <t>AMER CHEMICAL SOC</t>
        </is>
      </c>
      <c r="AN396" t="inlineStr">
        <is>
          <t>WASHINGTON</t>
        </is>
      </c>
      <c r="AO396" t="inlineStr">
        <is>
          <t>1155 16TH ST, NW, WASHINGTON, DC 20036 USA</t>
        </is>
      </c>
      <c r="AP396" t="inlineStr">
        <is>
          <t>0013-936X</t>
        </is>
      </c>
      <c r="AQ396" t="inlineStr">
        <is>
          <t>1520-5851</t>
        </is>
      </c>
      <c r="AS396" t="inlineStr">
        <is>
          <t>ENVIRON SCI TECHNOL</t>
        </is>
      </c>
      <c r="AT396" t="inlineStr">
        <is>
          <t>Environ. Sci. Technol.</t>
        </is>
      </c>
      <c r="AU396" t="inlineStr">
        <is>
          <t>AUG 6</t>
        </is>
      </c>
      <c r="AV396" t="n">
        <v>2019</v>
      </c>
      <c r="AW396" t="n">
        <v>53</v>
      </c>
      <c r="AX396" t="n">
        <v>15</v>
      </c>
      <c r="BC396" t="n">
        <v>8499</v>
      </c>
      <c r="BD396" t="n">
        <v>8515</v>
      </c>
      <c r="BF396" t="inlineStr">
        <is>
          <t>10.1021/acs.est.8b06652</t>
        </is>
      </c>
      <c r="BG396">
        <f>HYPERLINK("http://dx.doi.org/10.1021/acs.est.8b06652","http://dx.doi.org/10.1021/acs.est.8b06652")</f>
        <v/>
      </c>
      <c r="BJ396" t="n">
        <v>17</v>
      </c>
      <c r="BK396" t="inlineStr">
        <is>
          <t>Engineering, Environmental; Environmental Sciences</t>
        </is>
      </c>
      <c r="BL396" t="inlineStr">
        <is>
          <t>Science Citation Index Expanded (SCI-EXPANDED); Social Science Citation Index (SSCI)</t>
        </is>
      </c>
      <c r="BM396" t="inlineStr">
        <is>
          <t>Engineering; Environmental Sciences &amp; Ecology</t>
        </is>
      </c>
      <c r="BN396" t="inlineStr">
        <is>
          <t>IP9LC</t>
        </is>
      </c>
      <c r="BO396" t="n">
        <v>31246441</v>
      </c>
      <c r="BP396" t="inlineStr">
        <is>
          <t>Green Submitted</t>
        </is>
      </c>
      <c r="BS396" t="inlineStr">
        <is>
          <t>2023-10-26</t>
        </is>
      </c>
      <c r="BT396" t="inlineStr">
        <is>
          <t>WOS:000480370600006</t>
        </is>
      </c>
      <c r="BU396">
        <f>HYPERLINK("https%3A%2F%2Fwww.webofscience.com%2Fwos%2Fwoscc%2Ffull-record%2FWOS:000480370600006","View Full Record in Web of Science")</f>
        <v/>
      </c>
    </row>
    <row r="397">
      <c r="A397" t="inlineStr">
        <is>
          <t>J</t>
        </is>
      </c>
      <c r="B397" t="inlineStr">
        <is>
          <t>Fernandez-Barres, S; Robinson, O; Fossati, S; Márquez, S; Basagaña, X; de Bont, J; de Castro, M; Donaire-Gonzalez, D; Maitre, L; Nieuwenhuijsen, M; Romaguera, D; Urquiza, J; Chatzi, L; Iakovides, M; Vafeiadi, M; Grazuleviciene, R; Dedele, A; Andrusaityte, S; Aasvang, GM; Evandt, J; Krog, NH; Lepeule, J; Heude, B; Wright, J; McEachan, RRC; Sassi, F; Vinels, P; Vrijheid, M</t>
        </is>
      </c>
      <c r="F397" t="inlineStr">
        <is>
          <t>Fernandez-Barres, Silvia; Robinson, Oliver; Fossati, Serena; Marquez, Sandra; Basagana, Xavier; de Bont, Jeroen; de Castro, Montserrat; Donaire-Gonzalez, David; Maitre, Lea; Nieuwenhuijsen, Mark; Romaguera, Dora; Urquiza, Jose; Chatzi, Leda; Iakovides, Minas; Vafeiadi, Marina; Grazuleviciene, Regina; Dedele, Audrius; Andrusaityte, Sandra; Aasvang, Gunn Marit; Evandt, Jorunn; Krog, Norun Hjertager; Lepeule, Johanna; Heude, Barbara; Wright, John; McEachan, Rosemary R. C.; Sassi, Franco; Vinels, Palo; Vrijheid, Martine</t>
        </is>
      </c>
      <c r="J397" t="inlineStr">
        <is>
          <t>ENVIRONMENT INTERNATIONAL</t>
        </is>
      </c>
      <c r="M397" t="inlineStr">
        <is>
          <t>English</t>
        </is>
      </c>
      <c r="N397" t="inlineStr">
        <is>
          <t>Article</t>
        </is>
      </c>
      <c r="T397" t="inlineStr">
        <is>
          <t>Urban environment and health behaviours in children from six European countries</t>
        </is>
      </c>
      <c r="U397" t="inlineStr">
        <is>
          <t>Urban environment; Health behaviours; Multiple exposures; Health patterns; Childhood; Principal component analysis</t>
        </is>
      </c>
      <c r="V397" t="inlineStr">
        <is>
          <t>USE REGRESSION-MODELS; PHYSICAL-ACTIVITY; LAND-USE; NEIGHBORHOOD WALKABILITY; SEDENTARY BEHAVIOR; ASSOCIATIONS; VALIDATION; INDEX; IMPUTATION; EXPOSURE</t>
        </is>
      </c>
      <c r="W397" t="inlineStr">
        <is>
          <t>Background: Urban environmental design is increasingly considered influential for health and wellbeing, but evidence is mostly based on adults and single exposure studies. We evaluated the association between a wide range of urban environment characteristics and health behaviours in childhood.Methods: We estimated exposure to 32 urban environment characteristics (related to the built environment, traffic, and natural spaces) for home and school addresses of 1,581 children aged 6-11 years from six European cohorts. We collected information on health behaviours including total amount of overall moderate-to-vigorous physical activity, physical activity outside school hours, active transport, sedentary behaviours and sleep duration, and developed patterns of behaviours with principal component analysis. We used an exposure-wide association study to screen all exposure-outcome associations, and the deletion-substitution-addition algorithm to build a final multi-exposure model.Results: In multi-exposure models, green spaces (Normalized Difference Vegetation Index, NDVI) were positively associated with active transport, and inversely associated with sedentary time (22.71 min/day less (95 %CI-39.90,-5.51) per interquartile range increase in NDVI). Residence in densely built areas was associated with more physical activity and less sedentary time, and densely populated areas with less physical activity outside school hours and more sedentary time. Presence of a major road was associated with lower sleep duration (-4.80 min/day (95 %CI-9.11,-0.48); compared with no major road). Results for the behavioural patterns were similar. Conclusions: This multicohort study suggests that areas with more vegetation, more building density, less population density and without major roads are associated with improved health behaviours in childhood.</t>
        </is>
      </c>
      <c r="X397" t="inlineStr">
        <is>
          <t>[Fernandez-Barres, Silvia; Fossati, Serena; Marquez, Sandra; Basagana, Xavier; de Bont, Jeroen; de Castro, Montserrat; Maitre, Lea; Nieuwenhuijsen, Mark; Romaguera, Dora; Urquiza, Jose; Vrijheid, Martine] ISGlobal, Doctor Aiguader 88, Barcelona 08003, Catalonia, Spain; [Fernandez-Barres, Silvia; Fossati, Serena; Marquez, Sandra; Basagana, Xavier; de Bont, Jeroen; de Castro, Montserrat; Maitre, Lea; Nieuwenhuijsen, Mark; Urquiza, Jose; Vrijheid, Martine] Univ Pompeu Fabra UPF, Pl Merce 10, Barcelona 08002, Spain; [Fernandez-Barres, Silvia; Robinson, Oliver; Fossati, Serena; Marquez, Sandra; Basagana, Xavier; de Bont, Jeroen; de Castro, Montserrat; Maitre, Lea; Nieuwenhuijsen, Mark; Urquiza, Jose; Vrijheid, Martine] CIBER Epidemiol &amp; Salud Publ CIBERESP, Ave Monforte de Lemos 3-5,Pabellon 11,Planta 0, Madrid 28029, Spain; [Robinson, Oliver; Vinels, Palo] Imperial Coll London, Sch Publ Hlth, MRC Ctr Environm &amp; Hlth, Norfolk Pl, London W2 1PG, England; [Donaire-Gonzalez, David] Univ Utrecht, Inst Risk Assessment Sci IRAS, Div Environm Epidemiol EEPI, Utrecht, Netherlands; [Romaguera, Dora] Hosp Univ Son Espases, Inst Invest Sanitaria Illes Balears, Carretera Valldemossa 79, Palma De Mallorca 07120, Spain; [Romaguera, Dora] CIBER Fisiopatol Obesidad &amp; Nut CIBEROBON, Ave Monforte de Lemos 3-5,Pabellon 2,Planta 0, Madrid 28029, Spain; [Chatzi, Leda] Univ Southern Calif, Keck Sch Med, Dept Prevent Med, Los Angeles, CA 90089 USA; [Iakovides, Minas] Univ Crete, Dept Chem, Environm Chem Proc Lab ECPL, Iraklion, Crete, Greece; [Iakovides, Minas] Cyprus Inst, Climate &amp; Atmosphere Res Ctr CARE C, 20 Konstantinou Kavafi Str, CY-2121 Nicosia, Cyprus; [Vafeiadi, Marina] Univ Crete, Dept Social Med, Fac Med, Voutes Campus, GR-71003 Iraklion, Crete, Greece; [Grazuleviciene, Regina; Dedele, Audrius; Andrusaityte, Sandra] Vytautas Magnus Univ, Dept Environm Sci, Vileikos G 8-212, LT-8212 Kaunas, Lithuania; [Aasvang, Gunn Marit; Evandt, Jorunn; Krog, Norun Hjertager] Norwegian Inst Publ Hlth, Lovisenberggata 8, N-0456 Oslo, Norway; [Lepeule, Johanna] Univ Grenoble Alpes, CNRS, INSERM, Team Environm Epidemiol Appl Dev &amp; Resp Hlth,IAB, Grenoble, France; [Heude, Barbara] Univ Paris Cite, Ctr Res Epidemiol &amp; Stat CRESS, INSERM, INRAE, F-75004 Paris, France; [Wright, John; McEachan, Rosemary R. C.] Bradford Teaching Hosp NHS Fdn Trust, Bradford Inst Hlth Res, Bradford, W Yorkshire, England; [Wright, John; McEachan, Rosemary R. C.] Bradford Royal Infirm, Duckworth Lane, Bradford BD9 6RJ, W Yorkshire, England; [Sassi, Franco] Imperial Coll Business Sch, Dept Econ &amp; Publ Policy, Ctr Hlth Econ &amp; Policy Innovat, London, England; [Vinels, Palo] Italian Inst Technol, Genoa, Italy</t>
        </is>
      </c>
      <c r="Y397" t="inlineStr">
        <is>
          <t>ISGlobal; Pompeu Fabra University; CIBER - Centro de Investigacion Biomedica en Red; CIBERESP; Imperial College London; Utrecht University; Hospital Universitari Son Espases; Institut Investigacio Sanitaria Illes Balears (IdISBa); University of Southern California; University of Crete; University of Crete; Vytautas Magnus University; Norwegian Institute of Public Health (NIPH); Centre National de la Recherche Scientifique (CNRS); UDICE-French Research Universities; Communaute Universite Grenoble Alpes; Universite Grenoble Alpes (UGA); Institut National de la Sante et de la Recherche Medicale (Inserm); Institut National de la Sante et de la Recherche Medicale (Inserm); UDICE-French Research Universities; Universite Paris Cite; INRAE; Bradford Royal Infirmary; Imperial College London; Istituto Italiano di Tecnologia - IIT</t>
        </is>
      </c>
      <c r="Z397" t="inlineStr">
        <is>
          <t>Fernandez-Barres, S; Vrijheid, M (corresponding author), ISGlobal, Doctor Aiguader 88, Barcelona 08003, Catalonia, Spain.</t>
        </is>
      </c>
      <c r="AA397" t="inlineStr">
        <is>
          <t>sfernandezbarres@gmail.com; martine.vrijheid@isglobal.org</t>
        </is>
      </c>
      <c r="AB397" t="inlineStr">
        <is>
          <t>Lepeule, Johanna/N-2579-2013; Krog, Norun Hjertager/HJA-5692-2022; Basagaña, Xavier/C-3901-2017; Romaguera, Dora/ABE-7004-2020; de Bont, Jeroen/HZI-8523-2023; Vrijheid, Martine/H-2702-2014; Ortiz, Jose Miguel Urquiza/E-2446-2018; Wright, John/H-1624-2012; Heude, Barbara/G-3095-2016; Grazuleviciene, Regina/AAR-4539-2021; Fernández-Barrés, Sílvia/AAA-6480-2020</t>
        </is>
      </c>
      <c r="AC397" t="inlineStr">
        <is>
          <t>Lepeule, Johanna/0000-0001-8907-197X; Basagaña, Xavier/0000-0002-8457-1489; Romaguera, Dora/0000-0002-5762-8558; de Bont, Jeroen/0000-0001-9924-5961; Vrijheid, Martine/0000-0002-7090-1758; Ortiz, Jose Miguel Urquiza/0000-0003-2220-607X; Wright, John/0000-0001-9572-7293; Heude, Barbara/0000-0002-1565-1629; Grazuleviciene, Regina/0000-0002-0210-8053; Fernández-Barrés, Sílvia/0000-0002-9977-2291; McEachan, Rosemary/0000-0003-1302-6675; Andrusaityte, Sandra/0000-0002-4309-0208; Iakovides, Minas/0000-0001-9796-4815</t>
        </is>
      </c>
      <c r="AD397" t="inlineStr">
        <is>
          <t>European Union?s Horizon 2020 research and innovation programme [R21ES029681]; Departament de Salut de la Generalitat de Catalunya - Lithuanian Agency for Science Innovation and Technology [FP7/2007-2013, 308333, 733206, 774548, PI18/00547, SLT017/20/000119]; European Community's Seventh Framework Programme; European Union's Horizon 2020 research and innovation programme; Instituto de Salud Carlos III [FEDER funds]; CIBERESP; Generalitat de Catalunya-CIRIT [R21ES029681, R01ES030691]; Spanish regional program PERIS [R01ES029944, R01ES030364]; Departament de Salut de la Generalitat de Catalunya [R21ES028903]; Lithuanian Agency for Science Innovation and Technology; Norwegian Ministry of Health and Care Services and the Ministry of Education and Research; European projects [P30ES007048]; Greek Ministry of Health; National Institute of Environmental Health Science (NIEHS) [FP7/2007-2013]; [6-04-2014_31V-66]</t>
        </is>
      </c>
      <c r="AE397" t="inlineStr">
        <is>
          <t>European Union?s Horizon 2020 research and innovation programme; Departament de Salut de la Generalitat de Catalunya - Lithuanian Agency for Science Innovation and Technology; European Community's Seventh Framework Programme(European Union (EU)); European Union's Horizon 2020 research and innovation programme; Instituto de Salud Carlos III [FEDER funds]; CIBERESP; Generalitat de Catalunya-CIRIT(Generalitat de Catalunya); Spanish regional program PERIS; Departament de Salut de la Generalitat de Catalunya(Generalitat de Catalunya); Lithuanian Agency for Science Innovation and Technology(Research Council of Lithuania (LMTLT)); Norwegian Ministry of Health and Care Services and the Ministry of Education and Research; European projects; Greek Ministry of Health(Greek Ministry of Development-GSRT); National Institute of Environmental Health Science (NIEHS)(United States Department of Health &amp; Human ServicesNational Institutes of Health (NIH) - USANIH National Institute of Environmental Health Sciences (NIEHS));</t>
        </is>
      </c>
      <c r="AF397" t="inlineStr">
        <is>
          <t>The research leading to these results has received funding from the European Community's Seventh Framework Programme [FP7/2007-2013] under grant agreement no 308333 - the HELIX project, from the European Union's Horizon 2020 research and innovation programme [Grant Agreement No. 733206 LifeCycle] , and from the European Union's Horizon 2020 research and innovation programme under Grant Agreement No. 774548 - STOP project (http:// www.st opchildobesity.eu/) . The STOP Consortium is coordinated by Imperial College London and includes 24 organisations across Europe, the United States and New Zealand. The content of this publication reflects only the views of the authors, and the European Commission is not liable for any use that may be made of the information it contains. INMA data collections were supported by grants from the Instituto de Salud Carlos III [PI18/00547 incl. FEDER funds] , CIBERESP, and the Generalitat de Catalunya-CIRIT. Jose Urquiza (JU) is supported by Spanish regional program PERIS (Ref.: SLT017/20/000119) , granted by Departament de Salut de la Generalitat de Catalunya. KANC was funded by the grant of the Lithuanian Agency for Science Innovation and Technology [6-04-2014_31V-66] . For a full list of funding that supported the EDEN cohort, refer to: Heude B et al. Cohort Profile: The EDEN mother-child cohort on the prenatal and early postnatal determinants of child health and development. Int J Epidemiol. 2016 Apr;45 (2) :353-63. The Norwegian Mother, Father and Child Cohort Study (MoBa) is supported by the Norwegian Ministry of Health and Care Services and the Ministry of Education and Research. The RHEA project was financially supported by European projects, and the Greek Ministry of Health [Program of Prevention of Obesity and Neurodevelopmental Disorders in Preschool Children, in Heraklion district, Crete, Greece: 2011-2014; RHEA Plus: Primary Prevention Program of Environmental Risk Factors for Reproductive Health, and Child Health: 2012-2015] . Dr Leda Chatzi (LD) was supported by the National Institute of Environmental Health Science (NIEHS) [R21ES029681, R01ES030691, R01ES029944, R01ES030364, R21ES028903, and P30ES007048] . ISGlobal is a member of the Agency for the Research Centres of Catalonia Generalitat de</t>
        </is>
      </c>
      <c r="AH397" t="n">
        <v>72</v>
      </c>
      <c r="AI397" t="n">
        <v>5</v>
      </c>
      <c r="AJ397" t="n">
        <v>5</v>
      </c>
      <c r="AK397" t="n">
        <v>7</v>
      </c>
      <c r="AL397" t="n">
        <v>27</v>
      </c>
      <c r="AM397" t="inlineStr">
        <is>
          <t>PERGAMON-ELSEVIER SCIENCE LTD</t>
        </is>
      </c>
      <c r="AN397" t="inlineStr">
        <is>
          <t>OXFORD</t>
        </is>
      </c>
      <c r="AO397" t="inlineStr">
        <is>
          <t>THE BOULEVARD, LANGFORD LANE, KIDLINGTON, OXFORD OX5 1GB, ENGLAND</t>
        </is>
      </c>
      <c r="AP397" t="inlineStr">
        <is>
          <t>0160-4120</t>
        </is>
      </c>
      <c r="AQ397" t="inlineStr">
        <is>
          <t>1873-6750</t>
        </is>
      </c>
      <c r="AS397" t="inlineStr">
        <is>
          <t>ENVIRON INT</t>
        </is>
      </c>
      <c r="AT397" t="inlineStr">
        <is>
          <t>Environ. Int.</t>
        </is>
      </c>
      <c r="AU397" t="inlineStr">
        <is>
          <t>JUL</t>
        </is>
      </c>
      <c r="AV397" t="n">
        <v>2022</v>
      </c>
      <c r="AW397" t="n">
        <v>165</v>
      </c>
      <c r="BE397" t="n">
        <v>107319</v>
      </c>
      <c r="BF397" t="inlineStr">
        <is>
          <t>10.1016/j.envint.2022.107319</t>
        </is>
      </c>
      <c r="BG397">
        <f>HYPERLINK("http://dx.doi.org/10.1016/j.envint.2022.107319","http://dx.doi.org/10.1016/j.envint.2022.107319")</f>
        <v/>
      </c>
      <c r="BI397" t="inlineStr">
        <is>
          <t>JUN 2022</t>
        </is>
      </c>
      <c r="BJ397" t="n">
        <v>13</v>
      </c>
      <c r="BK397" t="inlineStr">
        <is>
          <t>Environmental Sciences</t>
        </is>
      </c>
      <c r="BL397" t="inlineStr">
        <is>
          <t>Science Citation Index Expanded (SCI-EXPANDED)</t>
        </is>
      </c>
      <c r="BM397" t="inlineStr">
        <is>
          <t>Environmental Sciences &amp; Ecology</t>
        </is>
      </c>
      <c r="BN397" t="inlineStr">
        <is>
          <t>2E5RR</t>
        </is>
      </c>
      <c r="BO397" t="n">
        <v>35667344</v>
      </c>
      <c r="BP397" t="inlineStr">
        <is>
          <t>gold, Green Published</t>
        </is>
      </c>
      <c r="BS397" t="inlineStr">
        <is>
          <t>2023-10-26</t>
        </is>
      </c>
      <c r="BT397" t="inlineStr">
        <is>
          <t>WOS:000812285600007</t>
        </is>
      </c>
      <c r="BU397">
        <f>HYPERLINK("https%3A%2F%2Fwww.webofscience.com%2Fwos%2Fwoscc%2Ffull-record%2FWOS:000812285600007","View Full Record in Web of Science")</f>
        <v/>
      </c>
    </row>
    <row r="398">
      <c r="A398" t="inlineStr">
        <is>
          <t>J</t>
        </is>
      </c>
      <c r="B398" t="inlineStr">
        <is>
          <t>Liu, ZY; Kemperman, A; Timmermans, H</t>
        </is>
      </c>
      <c r="F398" t="inlineStr">
        <is>
          <t>Liu, Zhengying; Kemperman, Astrid; Timmermans, Harry</t>
        </is>
      </c>
      <c r="J398" t="inlineStr">
        <is>
          <t>INTERNATIONAL JOURNAL OF ENVIRONMENTAL RESEARCH AND PUBLIC HEALTH</t>
        </is>
      </c>
      <c r="M398" t="inlineStr">
        <is>
          <t>English</t>
        </is>
      </c>
      <c r="N398" t="inlineStr">
        <is>
          <t>Article</t>
        </is>
      </c>
      <c r="T398" t="inlineStr">
        <is>
          <t>Location Choice in the Context of Older Adults' Leisure-Time Walking</t>
        </is>
      </c>
      <c r="U398" t="inlineStr">
        <is>
          <t>location choice; leisure-time walking; older adults; open space; neighborhood environment</t>
        </is>
      </c>
      <c r="V398" t="inlineStr">
        <is>
          <t>PUBLIC OPEN SPACE; PHYSICAL-ACTIVITY; NEIGHBORHOOD ENVIRONMENT; PERCEIVED ACCESS; SOCIAL SUPPORT; ASSOCIATIONS; TRAVEL; SIZE; ATTRACTIVENESS; PROXIMITY</t>
        </is>
      </c>
      <c r="W398" t="inlineStr">
        <is>
          <t>Leisure-time walking is the most prevalent and preferred form of physical activity of older adults. In order to promote leisure-time walking and enhance the efficiency of using outdoor open spaces, the supply of different types of walking locations should match the needs, interests and preferences of older adults. However, there is limited knowledge on which location types are chosen by which groups of individuals under which conditions. This study therefore examines the effects of socio-demographics, episode participation attributes and neighborhood characteristics on the location choice of older adults for leisure-time walking. A multinomial logit model is estimated based on data collected among 316 respondents aged 60 or older in Dalian, China. The results indicate that older people's location choices for walking are associated with their socio-demographics, episode participation attributes and neighborhood characteristics. Finally, implications of the results for the planning, design and management of open spaces are identified.</t>
        </is>
      </c>
      <c r="X398" t="inlineStr">
        <is>
          <t>[Liu, Zhengying; Kemperman, Astrid; Timmermans, Harry] Eindhoven Univ Technol, Urban Planning &amp; Transportat Grp, POB 513, NL-5600 MB Eindhoven, Netherlands</t>
        </is>
      </c>
      <c r="Y398" t="inlineStr">
        <is>
          <t>Eindhoven University of Technology</t>
        </is>
      </c>
      <c r="Z398" t="inlineStr">
        <is>
          <t>Liu, ZY (corresponding author), Eindhoven Univ Technol, Urban Planning &amp; Transportat Grp, POB 513, NL-5600 MB Eindhoven, Netherlands.</t>
        </is>
      </c>
      <c r="AA398" t="inlineStr">
        <is>
          <t>z.liu@tue.nl; a.d.a.m.kemperman@tue.nl; H.J.P.Timmermans@tue.nl</t>
        </is>
      </c>
      <c r="AB398" t="inlineStr">
        <is>
          <t>Liu, Zhengying/HPB-6128-2023</t>
        </is>
      </c>
      <c r="AC398" t="inlineStr">
        <is>
          <t>Kemperman, Astrid/0000-0002-1312-4913; Liu, Zhengying/0000-0002-3576-6810</t>
        </is>
      </c>
      <c r="AH398" t="n">
        <v>60</v>
      </c>
      <c r="AI398" t="n">
        <v>2</v>
      </c>
      <c r="AJ398" t="n">
        <v>2</v>
      </c>
      <c r="AK398" t="n">
        <v>1</v>
      </c>
      <c r="AL398" t="n">
        <v>18</v>
      </c>
      <c r="AM398" t="inlineStr">
        <is>
          <t>MDPI</t>
        </is>
      </c>
      <c r="AN398" t="inlineStr">
        <is>
          <t>BASEL</t>
        </is>
      </c>
      <c r="AO398" t="inlineStr">
        <is>
          <t>ST ALBAN-ANLAGE 66, CH-4052 BASEL, SWITZERLAND</t>
        </is>
      </c>
      <c r="AQ398" t="inlineStr">
        <is>
          <t>1660-4601</t>
        </is>
      </c>
      <c r="AS398" t="inlineStr">
        <is>
          <t>INT J ENV RES PUB HE</t>
        </is>
      </c>
      <c r="AT398" t="inlineStr">
        <is>
          <t>Int. J. Environ. Res. Public Health</t>
        </is>
      </c>
      <c r="AU398" t="inlineStr">
        <is>
          <t>JUL</t>
        </is>
      </c>
      <c r="AV398" t="n">
        <v>2020</v>
      </c>
      <c r="AW398" t="n">
        <v>17</v>
      </c>
      <c r="AX398" t="n">
        <v>13</v>
      </c>
      <c r="BE398" t="n">
        <v>4775</v>
      </c>
      <c r="BF398" t="inlineStr">
        <is>
          <t>10.3390/ijerph17134775</t>
        </is>
      </c>
      <c r="BG398">
        <f>HYPERLINK("http://dx.doi.org/10.3390/ijerph17134775","http://dx.doi.org/10.3390/ijerph17134775")</f>
        <v/>
      </c>
      <c r="BJ398" t="n">
        <v>16</v>
      </c>
      <c r="BK398" t="inlineStr">
        <is>
          <t>Environmental Sciences; Public, Environmental &amp; Occupational Health</t>
        </is>
      </c>
      <c r="BL398" t="inlineStr">
        <is>
          <t>Science Citation Index Expanded (SCI-EXPANDED); Social Science Citation Index (SSCI)</t>
        </is>
      </c>
      <c r="BM398" t="inlineStr">
        <is>
          <t>Environmental Sciences &amp; Ecology; Public, Environmental &amp; Occupational Health</t>
        </is>
      </c>
      <c r="BN398" t="inlineStr">
        <is>
          <t>MM7WI</t>
        </is>
      </c>
      <c r="BO398" t="n">
        <v>32630767</v>
      </c>
      <c r="BP398" t="inlineStr">
        <is>
          <t>Green Published, gold</t>
        </is>
      </c>
      <c r="BS398" t="inlineStr">
        <is>
          <t>2023-10-26</t>
        </is>
      </c>
      <c r="BT398" t="inlineStr">
        <is>
          <t>WOS:000550363100001</t>
        </is>
      </c>
      <c r="BU398">
        <f>HYPERLINK("https%3A%2F%2Fwww.webofscience.com%2Fwos%2Fwoscc%2Ffull-record%2FWOS:000550363100001","View Full Record in Web of Science")</f>
        <v/>
      </c>
    </row>
    <row r="399">
      <c r="A399" t="inlineStr">
        <is>
          <t>J</t>
        </is>
      </c>
      <c r="B399" t="inlineStr">
        <is>
          <t>Jana, A; Varghese, JS; Naik, G</t>
        </is>
      </c>
      <c r="F399" t="inlineStr">
        <is>
          <t>Jana, Arup; Varghese, Jesty Saira; Naik, Gita</t>
        </is>
      </c>
      <c r="J399" t="inlineStr">
        <is>
          <t>ENVIRONMENTAL RESEARCH</t>
        </is>
      </c>
      <c r="M399" t="inlineStr">
        <is>
          <t>English</t>
        </is>
      </c>
      <c r="N399" t="inlineStr">
        <is>
          <t>Article</t>
        </is>
      </c>
      <c r="T399" t="inlineStr">
        <is>
          <t>Household air pollution and cognitive health among Indian older adults: Evidence from LAS br</t>
        </is>
      </c>
      <c r="U399" t="inlineStr">
        <is>
          <t>Indoor air pollution; Fuel type; Smoking; Cognitive capacity; Older adults; India</t>
        </is>
      </c>
      <c r="V399" t="inlineStr">
        <is>
          <t>ENVIRONMENTAL TOBACCO-SMOKE; PARTICULATE MATTER; ENDOTHELIAL DYSFUNCTION; OXIDATIVE STRESS; LIFE-COURSE; IMPACT; EXPOSURE; CHILDREN; COOKING; OUTDOOR</t>
        </is>
      </c>
      <c r="W399" t="inlineStr">
        <is>
          <t>Background: Previous shreds of evidence have suggested that ambient air pollution is negatively associated with cognitive health among older adults, but whether indoor air pollutants such as cooking fuel, tobacco smoke, and incense burning exposure affect the cognitive score is unknown, especially in limited-resource areas. Method: The study has utilized the recently released data from the Longitudinal Ageing Study of India (LASI), Wave 1, conducted from 2017 to 2018. A total of 63,883 (&gt;= 45 years) older adults were considered for the analysis. Descriptive statistics, bivariate analysis and ordinary least squares regression were employed in the study. Results: The estimated mean cognitive score was 25.4 and the percentage of solid fuel users was 45.6 in India. The cognitive score gap between the two groups was more remarkable in Tamil Nadu (clean fuels: 29.7; solid fuels: 23.9). A significant cognitive score gap was observed for all indoor air pollutants, i.e., cooking fuel (clean: 29.7 and solid fuels: 23.9), exposure to tobacco smoke (not exposed: 25.7 and exposed: 24.4), and exposure to daily incense burning (not exposed: 25.9 and exposed: 24.8). The unadjusted model found that a one-unit increase of using charcoal/lignite/coal reduces the cognitive score by 5 (95% CI: 5.36, 4.61). A similar effect of exposure to tobacco smoke (beta = 0.79, 95% CI: 0.89, 0.68) and incense burning (beta = 0.28, 95% CI: 0.30, 0.26) was explored in the study. After adjusting socioeconomic and demographic characteristics, indoor air pollution was found to be a significant determinant of cognitive health.Conclusions: The study has identified exposure to indoor air pollution as a risk factor for cognitive impairment among older adults. Therefore, we suggest an urgent need of promoting existing schemes like the Pradhan Mantri Ujjwala Yojana and creating awareness about the adverse effects of indoor air pollutants for a better future.</t>
        </is>
      </c>
      <c r="X399" t="inlineStr">
        <is>
          <t>[Jana, Arup] Int Inst Populat Sci, Mumbai 400088, Maharashtra, India; [Varghese, Jesty Saira] Univ Queensland IIT Delhi Acad Res UQIDAR, Delhi 110016, India; [Naik, Gita] Fakir Mohan Univ, Balasore 756020, Odisha, India; [Jana, Arup] Int Inst Populat Sci IIPS, Dept Populat &amp; Dev, Mumbai, India; [Jana, Arup] Govandi Stn Rd, Mumbai 400088, Maharashtra, India</t>
        </is>
      </c>
      <c r="Y399" t="inlineStr">
        <is>
          <t>International Institute for Population Sciences; Fakir Mohan University; International Institute for Population Sciences</t>
        </is>
      </c>
      <c r="Z399" t="inlineStr">
        <is>
          <t>Jana, A (corresponding author), Int Inst Populat Sci IIPS, Dept Populat &amp; Dev, Mumbai, India.;Jana, A (corresponding author), Govandi Stn Rd, Mumbai 400088, Maharashtra, India.</t>
        </is>
      </c>
      <c r="AA399" t="inlineStr">
        <is>
          <t>arupjana0000@gmail.com; jestysaira@gmail.com; gitanaikgeo@gmail.com</t>
        </is>
      </c>
      <c r="AC399" t="inlineStr">
        <is>
          <t>Saira Varghese, Jesty/0000-0002-4091-5235; Jana, Arup/0000-0001-5377-4614</t>
        </is>
      </c>
      <c r="AH399" t="n">
        <v>70</v>
      </c>
      <c r="AI399" t="n">
        <v>4</v>
      </c>
      <c r="AJ399" t="n">
        <v>4</v>
      </c>
      <c r="AK399" t="n">
        <v>3</v>
      </c>
      <c r="AL399" t="n">
        <v>11</v>
      </c>
      <c r="AM399" t="inlineStr">
        <is>
          <t>ACADEMIC PRESS INC ELSEVIER SCIENCE</t>
        </is>
      </c>
      <c r="AN399" t="inlineStr">
        <is>
          <t>SAN DIEGO</t>
        </is>
      </c>
      <c r="AO399" t="inlineStr">
        <is>
          <t>525 B ST, STE 1900, SAN DIEGO, CA 92101-4495 USA</t>
        </is>
      </c>
      <c r="AP399" t="inlineStr">
        <is>
          <t>0013-9351</t>
        </is>
      </c>
      <c r="AQ399" t="inlineStr">
        <is>
          <t>1096-0953</t>
        </is>
      </c>
      <c r="AS399" t="inlineStr">
        <is>
          <t>ENVIRON RES</t>
        </is>
      </c>
      <c r="AT399" t="inlineStr">
        <is>
          <t>Environ. Res.</t>
        </is>
      </c>
      <c r="AU399" t="inlineStr">
        <is>
          <t>NOV</t>
        </is>
      </c>
      <c r="AV399" t="n">
        <v>2022</v>
      </c>
      <c r="AW399" t="n">
        <v>214</v>
      </c>
      <c r="AY399" t="n">
        <v>1</v>
      </c>
      <c r="BE399" t="n">
        <v>113880</v>
      </c>
      <c r="BF399" t="inlineStr">
        <is>
          <t>10.1016/j.envres.2022.113880</t>
        </is>
      </c>
      <c r="BG399">
        <f>HYPERLINK("http://dx.doi.org/10.1016/j.envres.2022.113880","http://dx.doi.org/10.1016/j.envres.2022.113880")</f>
        <v/>
      </c>
      <c r="BI399" t="inlineStr">
        <is>
          <t>JUL 2022</t>
        </is>
      </c>
      <c r="BJ399" t="n">
        <v>9</v>
      </c>
      <c r="BK399" t="inlineStr">
        <is>
          <t>Environmental Sciences; Public, Environmental &amp; Occupational Health</t>
        </is>
      </c>
      <c r="BL399" t="inlineStr">
        <is>
          <t>Science Citation Index Expanded (SCI-EXPANDED)</t>
        </is>
      </c>
      <c r="BM399" t="inlineStr">
        <is>
          <t>Environmental Sciences &amp; Ecology; Public, Environmental &amp; Occupational Health</t>
        </is>
      </c>
      <c r="BN399" t="inlineStr">
        <is>
          <t>3O7HV</t>
        </is>
      </c>
      <c r="BO399" t="n">
        <v>35820648</v>
      </c>
      <c r="BS399" t="inlineStr">
        <is>
          <t>2023-10-26</t>
        </is>
      </c>
      <c r="BT399" t="inlineStr">
        <is>
          <t>WOS:000837004900006</t>
        </is>
      </c>
      <c r="BU399">
        <f>HYPERLINK("https%3A%2F%2Fwww.webofscience.com%2Fwos%2Fwoscc%2Ffull-record%2FWOS:000837004900006","View Full Record in Web of Science")</f>
        <v/>
      </c>
    </row>
    <row r="400">
      <c r="A400" t="inlineStr">
        <is>
          <t>J</t>
        </is>
      </c>
      <c r="B400" t="inlineStr">
        <is>
          <t>Thirunagari, BK; Garaga, R; Kota, SH</t>
        </is>
      </c>
      <c r="F400" t="inlineStr">
        <is>
          <t>Thirunagari, Baby Keerthi; Garaga, Rajyalakshmi; Kota, Sri Harsha</t>
        </is>
      </c>
      <c r="J400" t="inlineStr">
        <is>
          <t>CURRENT POLLUTION REPORTS</t>
        </is>
      </c>
      <c r="M400" t="inlineStr">
        <is>
          <t>English</t>
        </is>
      </c>
      <c r="N400" t="inlineStr">
        <is>
          <t>Review</t>
        </is>
      </c>
      <c r="T400" t="inlineStr">
        <is>
          <t>Association of Ventilation Rates with Building Design in Various Built Environments: A Critical Review</t>
        </is>
      </c>
      <c r="U400" t="inlineStr">
        <is>
          <t>Indoor air quality; Ventilation rates; Influencing building-related factors; Income groups; Building redesign</t>
        </is>
      </c>
      <c r="V400" t="inlineStr">
        <is>
          <t>INDOOR AIR-QUALITY; WINDOW-OPENING BEHAVIOR; TO-WALL RATIO; NATURAL VENTILATION; SCHOOL BUILDINGS; RESIDENTIAL BUILDINGS; CROSS-VENTILATION; THERMAL COMFORT; ENERGY PERFORMANCE; OFFICE BUILDINGS</t>
        </is>
      </c>
      <c r="W400" t="inlineStr">
        <is>
          <t>Building ventilation rate is a crucial factor in the indoor air quality (IAQ). Furthermore, building-related parameters (window geometry, building orientation, height, and shape) have a substantial impact on the ventilation rates. However, most building designs reported in the literature from various income group countries failed to fulfill the recommended ventilation standards. A systematic and critical review was conducted on the collated literature from the past 20 years using various databases, yielding 145 related articles. Building-related factors influencing the ventilation rates were thoroughly studied in different income groups. In addition, the existing ventilation rates in various building environments were examined. The data analysis of critical literature suggests that the ventilation rates in 80% of the building environments were found lower than the prescribed standards irrespective of the income group countries. Thus, the current study highlights the need for redesign of the existing or new buildings for meeting the adequate ventilation rates.</t>
        </is>
      </c>
      <c r="X400" t="inlineStr">
        <is>
          <t>[Thirunagari, Baby Keerthi; Garaga, Rajyalakshmi; Kota, Sri Harsha] Indian Inst Technol Delhi, Dept Civil Engn, New Delhi, India</t>
        </is>
      </c>
      <c r="Y400" t="inlineStr">
        <is>
          <t>Indian Institute of Technology System (IIT System); Indian Institute of Technology (IIT) - Delhi</t>
        </is>
      </c>
      <c r="Z400" t="inlineStr">
        <is>
          <t>Kota, SH (corresponding author), Indian Inst Technol Delhi, Dept Civil Engn, New Delhi, India.</t>
        </is>
      </c>
      <c r="AA400" t="inlineStr">
        <is>
          <t>harshakota@iitd.ac.in</t>
        </is>
      </c>
      <c r="AC400" t="inlineStr">
        <is>
          <t>GARAGA, RAJYALAKSHMI/0000-0001-6791-6572</t>
        </is>
      </c>
      <c r="AH400" t="n">
        <v>158</v>
      </c>
      <c r="AI400" t="n">
        <v>0</v>
      </c>
      <c r="AJ400" t="n">
        <v>0</v>
      </c>
      <c r="AK400" t="n">
        <v>4</v>
      </c>
      <c r="AL400" t="n">
        <v>4</v>
      </c>
      <c r="AM400" t="inlineStr">
        <is>
          <t>SPRINGER HEIDELBERG</t>
        </is>
      </c>
      <c r="AN400" t="inlineStr">
        <is>
          <t>HEIDELBERG</t>
        </is>
      </c>
      <c r="AO400" t="inlineStr">
        <is>
          <t>TIERGARTENSTRASSE 17, D-69121 HEIDELBERG, GERMANY</t>
        </is>
      </c>
      <c r="AP400" t="inlineStr">
        <is>
          <t>2198-6592</t>
        </is>
      </c>
      <c r="AS400" t="inlineStr">
        <is>
          <t>CURR POLLUT REP</t>
        </is>
      </c>
      <c r="AT400" t="inlineStr">
        <is>
          <t>Curr. Pollut. Rep.</t>
        </is>
      </c>
      <c r="AU400" t="inlineStr">
        <is>
          <t>SEP</t>
        </is>
      </c>
      <c r="AV400" t="n">
        <v>2023</v>
      </c>
      <c r="AW400" t="n">
        <v>9</v>
      </c>
      <c r="AX400" t="n">
        <v>3</v>
      </c>
      <c r="BC400" t="n">
        <v>569</v>
      </c>
      <c r="BD400" t="n">
        <v>589</v>
      </c>
      <c r="BF400" t="inlineStr">
        <is>
          <t>10.1007/s40726-023-00271-w</t>
        </is>
      </c>
      <c r="BG400">
        <f>HYPERLINK("http://dx.doi.org/10.1007/s40726-023-00271-w","http://dx.doi.org/10.1007/s40726-023-00271-w")</f>
        <v/>
      </c>
      <c r="BI400" t="inlineStr">
        <is>
          <t>JUN 2023</t>
        </is>
      </c>
      <c r="BJ400" t="n">
        <v>21</v>
      </c>
      <c r="BK400" t="inlineStr">
        <is>
          <t>Environmental Sciences; Public, Environmental &amp; Occupational Health</t>
        </is>
      </c>
      <c r="BL400" t="inlineStr">
        <is>
          <t>Science Citation Index Expanded (SCI-EXPANDED)</t>
        </is>
      </c>
      <c r="BM400" t="inlineStr">
        <is>
          <t>Environmental Sciences &amp; Ecology; Public, Environmental &amp; Occupational Health</t>
        </is>
      </c>
      <c r="BN400" t="inlineStr">
        <is>
          <t>R4WY8</t>
        </is>
      </c>
      <c r="BS400" t="inlineStr">
        <is>
          <t>2023-10-26</t>
        </is>
      </c>
      <c r="BT400" t="inlineStr">
        <is>
          <t>WOS:001007187000001</t>
        </is>
      </c>
      <c r="BU400">
        <f>HYPERLINK("https%3A%2F%2Fwww.webofscience.com%2Fwos%2Fwoscc%2Ffull-record%2FWOS:001007187000001","View Full Record in Web of Science")</f>
        <v/>
      </c>
    </row>
    <row r="401">
      <c r="A401" t="inlineStr">
        <is>
          <t>J</t>
        </is>
      </c>
      <c r="B401" t="inlineStr">
        <is>
          <t>Remmers, T; Thijs, C; Ettema, D; de Vries, S; Slingerland, M; Kremers, S</t>
        </is>
      </c>
      <c r="F401" t="inlineStr">
        <is>
          <t>Remmers, Teun; Thijs, Carel; Ettema, Dick; de Vries, Sanne; Slingerland, Menno; Kremers, Stef</t>
        </is>
      </c>
      <c r="J401" t="inlineStr">
        <is>
          <t>INTERNATIONAL JOURNAL OF ENVIRONMENTAL RESEARCH AND PUBLIC HEALTH</t>
        </is>
      </c>
      <c r="M401" t="inlineStr">
        <is>
          <t>English</t>
        </is>
      </c>
      <c r="N401" t="inlineStr">
        <is>
          <t>Article</t>
        </is>
      </c>
      <c r="T401" t="inlineStr">
        <is>
          <t>Critical Hours and Important Environments: Relationships between Afterschool Physical Activity and the Physical Environment Using GPS, GIS and Accelerometers in 10-12-Year-Old Children</t>
        </is>
      </c>
      <c r="U401" t="inlineStr">
        <is>
          <t>children; physical activity; accelerometer; GPS; spatial behavior; context-specific</t>
        </is>
      </c>
      <c r="V401" t="inlineStr">
        <is>
          <t>GLOBAL POSITIONING SYSTEMS; BUILT-ENVIRONMENT; HEALTH RESEARCH; SEDENTARY TIME; SCHOOL; YOUTH; COMPENSATION; ASSOCIATIONS; NEIGHBORHOOD; ADOLESCENTS</t>
        </is>
      </c>
      <c r="W401" t="inlineStr">
        <is>
          <t>Introduction: The objective of this study was to assess relationships between children's physical environment and afterschool leisure time physical activity (PA) and active transport. Methods: Children aged 10-12 years participated in a 7-day accelerometer and Global Positioning Systems (GPS) protocol. Afterschool leisure time PA and active transport were identified based on location-and speed-algorithms based on accelerometer, GPS and Geospatial Information Systems (GIS) data. We operationalized children's exposure to the environment by combining home, school and the daily transport environment in individualized daily activity-spaces. Results: In total, 255 children from 20 Dutch primary schools from suburban areas provided valid data. This study showed that greenspaces and smaller distances from the children's home to school were associated with afterschool leisure time PA and walking. Greater distances between home and school, as well as pedestrian infrastructure were associated with increased cycling. Conclusion: We demonstrated associations between environments and afterschool PA within several behavioral contexts. Future studies are encouraged to target specific behavioral domains and to develop natural experiments based on interactions between several types of the environment, child characteristics and potential socio-cognitive processes.</t>
        </is>
      </c>
      <c r="X401" t="inlineStr">
        <is>
          <t>[Remmers, Teun; Slingerland, Menno] Fontys Univ Appl Sci, Sch Sport Studies, NL-5644 HZ Eindhoven, Netherlands; [Remmers, Teun; Thijs, Carel] Maastricht Univ Med Ctr, CAPHRI Care &amp; Publ Hlth Res Inst, Dept Epidemiol, NL-6200 MD Maastricht, Netherlands; [Ettema, Dick] Univ Utrecht, Dept Human Geog &amp; Planning, NL-3584 CS Utrecht, Netherlands; [de Vries, Sanne] Hague Univ Appl Sci, Res Grp Hlth Lifestyle Supporting Environm, NL-2533 SR The Hague, Netherlands; [Kremers, Stef] Maastricht Univ Med Ctr, NUTRIM Sch Nutr &amp; Translat Res Metab, Dept Hlth Promot, NL-6200 MD Maastricht, Netherlands</t>
        </is>
      </c>
      <c r="Y401" t="inlineStr">
        <is>
          <t>Maastricht University; Maastricht University Medical Centre (MUMC); Utrecht University; Maastricht University; Maastricht University Medical Centre (MUMC)</t>
        </is>
      </c>
      <c r="Z401" t="inlineStr">
        <is>
          <t>Remmers, T (corresponding author), Fontys Univ Appl Sci, Sch Sport Studies, NL-5644 HZ Eindhoven, Netherlands.;Remmers, T (corresponding author), Maastricht Univ Med Ctr, CAPHRI Care &amp; Publ Hlth Res Inst, Dept Epidemiol, NL-6200 MD Maastricht, Netherlands.</t>
        </is>
      </c>
      <c r="AA401" t="inlineStr">
        <is>
          <t>t.remmers@fontys.nl</t>
        </is>
      </c>
      <c r="AB401" t="inlineStr">
        <is>
          <t>de Vries, Sanne/ABH-4704-2020; Ettema, Dick/IQS-9627-2023</t>
        </is>
      </c>
      <c r="AC401" t="inlineStr">
        <is>
          <t>Thijs, Carel/0000-0001-6646-5458; De Vries, Sanne/0000-0002-9032-883X</t>
        </is>
      </c>
      <c r="AD401" t="inlineStr">
        <is>
          <t>Netherlands Organization of Scientific Research (NWO) [328-98-005]</t>
        </is>
      </c>
      <c r="AE401" t="inlineStr">
        <is>
          <t>Netherlands Organization of Scientific Research (NWO)(Netherlands Organization for Scientific Research (NWO))</t>
        </is>
      </c>
      <c r="AF401" t="inlineStr">
        <is>
          <t>This research was funded by the Netherlands Organization of Scientific Research (NWO), grant number 328-98-005.</t>
        </is>
      </c>
      <c r="AH401" t="n">
        <v>82</v>
      </c>
      <c r="AI401" t="n">
        <v>18</v>
      </c>
      <c r="AJ401" t="n">
        <v>18</v>
      </c>
      <c r="AK401" t="n">
        <v>1</v>
      </c>
      <c r="AL401" t="n">
        <v>12</v>
      </c>
      <c r="AM401" t="inlineStr">
        <is>
          <t>MDPI</t>
        </is>
      </c>
      <c r="AN401" t="inlineStr">
        <is>
          <t>BASEL</t>
        </is>
      </c>
      <c r="AO401" t="inlineStr">
        <is>
          <t>ST ALBAN-ANLAGE 66, CH-4052 BASEL, SWITZERLAND</t>
        </is>
      </c>
      <c r="AP401" t="inlineStr">
        <is>
          <t>1661-7827</t>
        </is>
      </c>
      <c r="AQ401" t="inlineStr">
        <is>
          <t>1660-4601</t>
        </is>
      </c>
      <c r="AS401" t="inlineStr">
        <is>
          <t>INT J ENV RES PUB HE</t>
        </is>
      </c>
      <c r="AT401" t="inlineStr">
        <is>
          <t>Int. J. Environ. Res. Public Health</t>
        </is>
      </c>
      <c r="AU401" t="inlineStr">
        <is>
          <t>SEP 1</t>
        </is>
      </c>
      <c r="AV401" t="n">
        <v>2019</v>
      </c>
      <c r="AW401" t="n">
        <v>16</v>
      </c>
      <c r="AX401" t="n">
        <v>17</v>
      </c>
      <c r="BE401" t="n">
        <v>3116</v>
      </c>
      <c r="BF401" t="inlineStr">
        <is>
          <t>10.3390/ijerph16173116</t>
        </is>
      </c>
      <c r="BG401">
        <f>HYPERLINK("http://dx.doi.org/10.3390/ijerph16173116","http://dx.doi.org/10.3390/ijerph16173116")</f>
        <v/>
      </c>
      <c r="BJ401" t="n">
        <v>20</v>
      </c>
      <c r="BK401" t="inlineStr">
        <is>
          <t>Environmental Sciences; Public, Environmental &amp; Occupational Health</t>
        </is>
      </c>
      <c r="BL401" t="inlineStr">
        <is>
          <t>Science Citation Index Expanded (SCI-EXPANDED); Social Science Citation Index (SSCI)</t>
        </is>
      </c>
      <c r="BM401" t="inlineStr">
        <is>
          <t>Environmental Sciences &amp; Ecology; Public, Environmental &amp; Occupational Health</t>
        </is>
      </c>
      <c r="BN401" t="inlineStr">
        <is>
          <t>IZ4EQ</t>
        </is>
      </c>
      <c r="BO401" t="n">
        <v>31461924</v>
      </c>
      <c r="BP401" t="inlineStr">
        <is>
          <t>Green Published, Green Submitted, gold</t>
        </is>
      </c>
      <c r="BS401" t="inlineStr">
        <is>
          <t>2023-10-26</t>
        </is>
      </c>
      <c r="BT401" t="inlineStr">
        <is>
          <t>WOS:000487037500111</t>
        </is>
      </c>
      <c r="BU401">
        <f>HYPERLINK("https%3A%2F%2Fwww.webofscience.com%2Fwos%2Fwoscc%2Ffull-record%2FWOS:000487037500111","View Full Record in Web of Science")</f>
        <v/>
      </c>
    </row>
    <row r="402">
      <c r="A402" t="inlineStr">
        <is>
          <t>J</t>
        </is>
      </c>
      <c r="B402" t="inlineStr">
        <is>
          <t>Smielowska, M; Marc, M; Zabiegala, B</t>
        </is>
      </c>
      <c r="F402" t="inlineStr">
        <is>
          <t>Smielowska, Monika; Marc, Mariusz; Zabiegala, Bozena</t>
        </is>
      </c>
      <c r="J402" t="inlineStr">
        <is>
          <t>ENVIRONMENTAL SCIENCE AND POLLUTION RESEARCH</t>
        </is>
      </c>
      <c r="M402" t="inlineStr">
        <is>
          <t>English</t>
        </is>
      </c>
      <c r="N402" t="inlineStr">
        <is>
          <t>Review</t>
        </is>
      </c>
      <c r="T402" t="inlineStr">
        <is>
          <t>Indoor air quality in public utility environments-a review</t>
        </is>
      </c>
      <c r="U402" t="inlineStr">
        <is>
          <t>Indoor environment quality; Public health; Indoor pollutants; Public utilities; Human exposure</t>
        </is>
      </c>
      <c r="V402" t="inlineStr">
        <is>
          <t>VOLATILE ORGANIC-COMPOUNDS; EMISSION RATES; BUILDING-MATERIALS; POLLUTANTS; VOCS; EXPOSURE; POLLUTION; MUSEUM; HOMES; PENETRATION</t>
        </is>
      </c>
      <c r="W402" t="inlineStr">
        <is>
          <t>Indoor air quality has been the object of interest for scientists and specialists from the fields of science such as chemistry, medicine and ventilation system design. This results from a considerable number of potential factors, which may influence the quality of the broadly understood indoor air in a negative way. Poor quality of indoor air in various types of public utility buildings may significantly affect an increase in the incidence of various types of civilisation diseases. This paper presents information about a broad spectrum of chemical compounds that were identified and determined in the indoor environment of various types of public utility rooms such as churches, museums, libraries, temples and hospitals. An analysis of literature data allowed for identification of the most important transport paths of chemical compounds that significantly influence the quality of the indoor environment and thus the comfort of living and the health of persons staying in it.</t>
        </is>
      </c>
      <c r="X402" t="inlineStr">
        <is>
          <t>[Smielowska, Monika; Marc, Mariusz; Zabiegala, Bozena] Gdansk Univ Technol, Dept Analyt Chem, Fac Chem, Narutowicza Str 11-12, PL-80233 Gdansk, Poland</t>
        </is>
      </c>
      <c r="Y402" t="inlineStr">
        <is>
          <t>Fahrenheit Universities; Gdansk University of Technology</t>
        </is>
      </c>
      <c r="Z402" t="inlineStr">
        <is>
          <t>Marc, M (corresponding author), Gdansk Univ Technol, Dept Analyt Chem, Fac Chem, Narutowicza Str 11-12, PL-80233 Gdansk, Poland.</t>
        </is>
      </c>
      <c r="AA402" t="inlineStr">
        <is>
          <t>marmarc@pg.gda.pl</t>
        </is>
      </c>
      <c r="AB402" t="inlineStr">
        <is>
          <t>Zabiegała, Bożena Kozdroń/AAQ-8798-2020; Śmiełowska, Monika/AAP-5275-2021; Marć, Mariusz/AAP-9242-2021</t>
        </is>
      </c>
      <c r="AC402" t="inlineStr">
        <is>
          <t>Zabiegała, Bożena Kozdroń/0000-0002-1699-835X; Smielowska, Monika/0000-0003-2496-8959; Marc, Mariusz/0000-0001-8238-827X</t>
        </is>
      </c>
      <c r="AD402" t="inlineStr">
        <is>
          <t>Ministry of Science and Higher Education [IP2014 028373]</t>
        </is>
      </c>
      <c r="AE402" t="inlineStr">
        <is>
          <t>Ministry of Science and Higher Education(Ministry of Science and Higher Education, Poland)</t>
        </is>
      </c>
      <c r="AF402" t="inlineStr">
        <is>
          <t>The study has been funded by the Ministry of Science and Higher Education under the Iuventus Plus programme in the years 2015-2017, project no. IP2014 028373.</t>
        </is>
      </c>
      <c r="AH402" t="n">
        <v>72</v>
      </c>
      <c r="AI402" t="n">
        <v>95</v>
      </c>
      <c r="AJ402" t="n">
        <v>96</v>
      </c>
      <c r="AK402" t="n">
        <v>10</v>
      </c>
      <c r="AL402" t="n">
        <v>81</v>
      </c>
      <c r="AM402" t="inlineStr">
        <is>
          <t>SPRINGER HEIDELBERG</t>
        </is>
      </c>
      <c r="AN402" t="inlineStr">
        <is>
          <t>HEIDELBERG</t>
        </is>
      </c>
      <c r="AO402" t="inlineStr">
        <is>
          <t>TIERGARTENSTRASSE 17, D-69121 HEIDELBERG, GERMANY</t>
        </is>
      </c>
      <c r="AP402" t="inlineStr">
        <is>
          <t>0944-1344</t>
        </is>
      </c>
      <c r="AQ402" t="inlineStr">
        <is>
          <t>1614-7499</t>
        </is>
      </c>
      <c r="AS402" t="inlineStr">
        <is>
          <t>ENVIRON SCI POLLUT R</t>
        </is>
      </c>
      <c r="AT402" t="inlineStr">
        <is>
          <t>Environ. Sci. Pollut. Res.</t>
        </is>
      </c>
      <c r="AU402" t="inlineStr">
        <is>
          <t>APR</t>
        </is>
      </c>
      <c r="AV402" t="n">
        <v>2017</v>
      </c>
      <c r="AW402" t="n">
        <v>24</v>
      </c>
      <c r="AX402" t="n">
        <v>12</v>
      </c>
      <c r="BC402" t="n">
        <v>11166</v>
      </c>
      <c r="BD402" t="n">
        <v>11176</v>
      </c>
      <c r="BF402" t="inlineStr">
        <is>
          <t>10.1007/s11356-017-8567-7</t>
        </is>
      </c>
      <c r="BG402">
        <f>HYPERLINK("http://dx.doi.org/10.1007/s11356-017-8567-7","http://dx.doi.org/10.1007/s11356-017-8567-7")</f>
        <v/>
      </c>
      <c r="BJ402" t="n">
        <v>11</v>
      </c>
      <c r="BK402" t="inlineStr">
        <is>
          <t>Environmental Sciences</t>
        </is>
      </c>
      <c r="BL402" t="inlineStr">
        <is>
          <t>Science Citation Index Expanded (SCI-EXPANDED)</t>
        </is>
      </c>
      <c r="BM402" t="inlineStr">
        <is>
          <t>Environmental Sciences &amp; Ecology</t>
        </is>
      </c>
      <c r="BN402" t="inlineStr">
        <is>
          <t>ES3AP</t>
        </is>
      </c>
      <c r="BO402" t="n">
        <v>28236201</v>
      </c>
      <c r="BP402" t="inlineStr">
        <is>
          <t>Green Published, hybrid</t>
        </is>
      </c>
      <c r="BS402" t="inlineStr">
        <is>
          <t>2023-10-26</t>
        </is>
      </c>
      <c r="BT402" t="inlineStr">
        <is>
          <t>WOS:000399399700028</t>
        </is>
      </c>
      <c r="BU402">
        <f>HYPERLINK("https%3A%2F%2Fwww.webofscience.com%2Fwos%2Fwoscc%2Ffull-record%2FWOS:000399399700028","View Full Record in Web of Science")</f>
        <v/>
      </c>
    </row>
    <row r="403">
      <c r="A403" t="inlineStr">
        <is>
          <t>J</t>
        </is>
      </c>
      <c r="B403" t="inlineStr">
        <is>
          <t>Chung, PR; Tzeng, CT; Liu, KS</t>
        </is>
      </c>
      <c r="F403" t="inlineStr">
        <is>
          <t>Chung, P. R.; Tzeng, C. T.; Liu, K. S.</t>
        </is>
      </c>
      <c r="J403" t="inlineStr">
        <is>
          <t>JOURNAL OF ENVIRONMENTAL PROTECTION AND ECOLOGY</t>
        </is>
      </c>
      <c r="M403" t="inlineStr">
        <is>
          <t>English</t>
        </is>
      </c>
      <c r="N403" t="inlineStr">
        <is>
          <t>Article</t>
        </is>
      </c>
      <c r="T403" t="inlineStr">
        <is>
          <t>STUDY ON IMPROVING THE INDOOR ENVIRONMENTAL QUALITY OF OLD DETACHED HOUSING</t>
        </is>
      </c>
      <c r="U403" t="inlineStr">
        <is>
          <t>indoor environmental quality; improvement and performance evaluation; old detached housing; renewal technology</t>
        </is>
      </c>
      <c r="V403" t="inlineStr">
        <is>
          <t>DESIGN; TAIWAN</t>
        </is>
      </c>
      <c r="W403" t="inlineStr">
        <is>
          <t>Taiwan is located in the humid and warm subtropical zone where various climatic problems make improving the indoor environmental quality of housing very challenging. The scope of this study includes on-site measurements, analysis and improvement suggestions for this issue. The test and measurements related to indoor environmental quality can be categorised in two groups: physical environment and chemical environment. The construction feature of detached housing is part of the physical environment. The associated investigations mainly focus on the diagnosis of air environment, thermal environment, luminous environment and acoustic environment. For the chemical environment diagnosis, inorganic gases (CO, CO2) and organic gases (HCHO, total volatile organic compounds (TVOC)) are involved. The diagnosis and test mode of the indoor environment include research tasks such as investigating the background and the basic data on the situations, as well as measuring and diagnosing indoor environmental quality. In addition, proposing improvement strategy and modification tasks are part of the research items as well. The evaluation content contains reducing indoor contamination sources, using less-contaminating building materials, investigating every probable cause of indoor environmental quality problems, and providing diagnosis and improvement suggestions through testing and measurement results.</t>
        </is>
      </c>
      <c r="X403" t="inlineStr">
        <is>
          <t>[Chung, P. R.; Tzeng, C. T.] Natl Cheng Kung Univ, Dept Architecture, Tainan 701, Taiwan; [Liu, K. S.] Tung Fang Design Inst, Dept Interior Design, Kaohsiung 82941, Taiwan</t>
        </is>
      </c>
      <c r="Y403" t="inlineStr">
        <is>
          <t>National Cheng Kung University; Tung Fang Design University</t>
        </is>
      </c>
      <c r="Z403" t="inlineStr">
        <is>
          <t>Liu, KS (corresponding author), Tung Fang Design Inst, Dept Interior Design, 110 Tung Fang Rd, Kaohsiung 82941, Taiwan.</t>
        </is>
      </c>
      <c r="AA403" t="inlineStr">
        <is>
          <t>kliu1219@yahoo.com.tw</t>
        </is>
      </c>
      <c r="AH403" t="n">
        <v>12</v>
      </c>
      <c r="AI403" t="n">
        <v>0</v>
      </c>
      <c r="AJ403" t="n">
        <v>0</v>
      </c>
      <c r="AK403" t="n">
        <v>0</v>
      </c>
      <c r="AL403" t="n">
        <v>3</v>
      </c>
      <c r="AM403" t="inlineStr">
        <is>
          <t>SCIBULCOM LTD</t>
        </is>
      </c>
      <c r="AN403" t="inlineStr">
        <is>
          <t>SOFIA</t>
        </is>
      </c>
      <c r="AO403" t="inlineStr">
        <is>
          <t>PO BOX 249, 1113 SOFIA, BULGARIA</t>
        </is>
      </c>
      <c r="AP403" t="inlineStr">
        <is>
          <t>1311-5065</t>
        </is>
      </c>
      <c r="AS403" t="inlineStr">
        <is>
          <t>J ENVIRON PROT ECOL</t>
        </is>
      </c>
      <c r="AT403" t="inlineStr">
        <is>
          <t>J. Environ. Prot. Ecol.</t>
        </is>
      </c>
      <c r="AV403" t="n">
        <v>2014</v>
      </c>
      <c r="AW403" t="n">
        <v>15</v>
      </c>
      <c r="AX403" t="inlineStr">
        <is>
          <t>3A</t>
        </is>
      </c>
      <c r="BA403" t="inlineStr">
        <is>
          <t>SI</t>
        </is>
      </c>
      <c r="BC403" t="n">
        <v>1393</v>
      </c>
      <c r="BD403" t="n">
        <v>1403</v>
      </c>
      <c r="BJ403" t="n">
        <v>11</v>
      </c>
      <c r="BK403" t="inlineStr">
        <is>
          <t>Environmental Sciences</t>
        </is>
      </c>
      <c r="BL403" t="inlineStr">
        <is>
          <t>Science Citation Index Expanded (SCI-EXPANDED)</t>
        </is>
      </c>
      <c r="BM403" t="inlineStr">
        <is>
          <t>Environmental Sciences &amp; Ecology</t>
        </is>
      </c>
      <c r="BN403" t="inlineStr">
        <is>
          <t>AS0IQ</t>
        </is>
      </c>
      <c r="BS403" t="inlineStr">
        <is>
          <t>2023-10-26</t>
        </is>
      </c>
      <c r="BT403" t="inlineStr">
        <is>
          <t>WOS:000343961500019</t>
        </is>
      </c>
      <c r="BU403">
        <f>HYPERLINK("https%3A%2F%2Fwww.webofscience.com%2Fwos%2Fwoscc%2Ffull-record%2FWOS:000343961500019","View Full Record in Web of Science")</f>
        <v/>
      </c>
    </row>
    <row r="404">
      <c r="A404" t="inlineStr">
        <is>
          <t>J</t>
        </is>
      </c>
      <c r="B404" t="inlineStr">
        <is>
          <t>Nakaoka, H; Suzuki, N; Eguchi, A; Matsuzawa, D; Mori, C</t>
        </is>
      </c>
      <c r="F404" t="inlineStr">
        <is>
          <t>Nakaoka, Hiroko; Suzuki, Norimichi; Eguchi, Akifumi; Matsuzawa, Daisuke; Mori, Chisato</t>
        </is>
      </c>
      <c r="J404" t="inlineStr">
        <is>
          <t>SUSTAINABILITY</t>
        </is>
      </c>
      <c r="M404" t="inlineStr">
        <is>
          <t>English</t>
        </is>
      </c>
      <c r="N404" t="inlineStr">
        <is>
          <t>Article</t>
        </is>
      </c>
      <c r="T404" t="inlineStr">
        <is>
          <t>Impact of Exposure to Indoor Air Chemicals on Health and the Progression of Building-Related Symptoms: A Case Report</t>
        </is>
      </c>
      <c r="U404" t="inlineStr">
        <is>
          <t>building-related symptoms; chemical exposure; indoor air quality; social sustainability; volatile organic compounds</t>
        </is>
      </c>
      <c r="V404" t="inlineStr">
        <is>
          <t>SYNDROME SBS; ORGANIC-COMPOUNDS; QUALITY; ENVIRONMENTS; INTOLERANCES; SENSITIVITY; VENTILATION; STRESS; WORK</t>
        </is>
      </c>
      <c r="W404" t="inlineStr">
        <is>
          <t>The aetiology of building-related symptoms (BRSs) is not well supported by sufficient scientific evidence, and it remains unclear whether BRSs are mediated by psychosocial and personal factors or a genuine physical susceptibility to low-dose chemical exposure. In April 2014, a 40-year-old man consulted the Environmental Medical Clinic at Chiba University complaining of recurring BRSs. Indoor air samples were collected from the patient's house at 11 time points and subjected to chemical analyses. The patient simultaneously completed a questionnaire about his symptoms at the time of the measurements. Statistical examination of the indoor environmental factors and patient survey revealed that the patient's symptoms were highly correlated with the indoor air quality. Additionally, ventilation may have mitigated his BRSs, whereas aerial odour did not trigger symptoms. These findings suggest that exposure to specific airborne chemicals in an indoor environment can cause BRSs, and ventilation may be one of the treatment options to mitigate symptoms. Additional investigations on the adverse impacts of airborne environmental chemicals on human health are necessary to develop effective treatments and establish preventive measures for BRSs, and further improvement of ventilation systems is required to ensure clean indoor air.</t>
        </is>
      </c>
      <c r="X404" t="inlineStr">
        <is>
          <t>[Nakaoka, Hiroko; Suzuki, Norimichi; Eguchi, Akifumi; Mori, Chisato] Chiba Univ, Ctr Prevent Med Sci, Inage Ku, 1-33 Yayoicho, Chiba 2638522, Japan; [Nakaoka, Hiroko; Mori, Chisato] Chiba Univ, Grad Sch Med, Dept Bioenvironm Med, Chuo Ku, 1-8-1 Inohana, Chiba 2608670, Japan; [Matsuzawa, Daisuke] Chiba Univ, Res Ctr Child Mental Dev, Chuo Ku, 1-8-1 Inohana, Chiba 2608670, Japan</t>
        </is>
      </c>
      <c r="Y404" t="inlineStr">
        <is>
          <t>Chiba University; Chiba University; Chiba University</t>
        </is>
      </c>
      <c r="Z404" t="inlineStr">
        <is>
          <t>Nakaoka, H (corresponding author), Chiba Univ, Ctr Prevent Med Sci, Inage Ku, 1-33 Yayoicho, Chiba 2638522, Japan.;Nakaoka, H (corresponding author), Chiba Univ, Grad Sch Med, Dept Bioenvironm Med, Chuo Ku, 1-8-1 Inohana, Chiba 2608670, Japan.</t>
        </is>
      </c>
      <c r="AA404" t="inlineStr">
        <is>
          <t>hnakaoka@faculty.chiba-u.jp</t>
        </is>
      </c>
      <c r="AB404" t="inlineStr">
        <is>
          <t>Eguchi, Akifumi/G-9640-2012</t>
        </is>
      </c>
      <c r="AC404" t="inlineStr">
        <is>
          <t>Eguchi, Akifumi/0000-0001-5858-8132; Nakaoka, Hiroko/0000-0002-8325-8044; Suzuki, Norimichi/0000-0003-3102-688X</t>
        </is>
      </c>
      <c r="AD404" t="inlineStr">
        <is>
          <t>Japanese Ministry of Education Culture, Sports, Science and Technology [24510112]</t>
        </is>
      </c>
      <c r="AE404" t="inlineStr">
        <is>
          <t>Japanese Ministry of Education Culture, Sports, Science and Technology(Ministry of Education, Culture, Sports, Science and Technology, Japan (MEXT))</t>
        </is>
      </c>
      <c r="AF404" t="inlineStr">
        <is>
          <t>This study was supported by Grants for Scientific Research (C): Grants-in-Aid for Scientific Research by the Japanese Ministry of Education Culture, Sports, Science and Technology.</t>
        </is>
      </c>
      <c r="AH404" t="n">
        <v>55</v>
      </c>
      <c r="AI404" t="n">
        <v>2</v>
      </c>
      <c r="AJ404" t="n">
        <v>2</v>
      </c>
      <c r="AK404" t="n">
        <v>1</v>
      </c>
      <c r="AL404" t="n">
        <v>2</v>
      </c>
      <c r="AM404" t="inlineStr">
        <is>
          <t>MDPI</t>
        </is>
      </c>
      <c r="AN404" t="inlineStr">
        <is>
          <t>BASEL</t>
        </is>
      </c>
      <c r="AO404" t="inlineStr">
        <is>
          <t>ST ALBAN-ANLAGE 66, CH-4052 BASEL, SWITZERLAND</t>
        </is>
      </c>
      <c r="AQ404" t="inlineStr">
        <is>
          <t>2071-1050</t>
        </is>
      </c>
      <c r="AS404" t="inlineStr">
        <is>
          <t>SUSTAINABILITY-BASEL</t>
        </is>
      </c>
      <c r="AT404" t="inlineStr">
        <is>
          <t>Sustainability</t>
        </is>
      </c>
      <c r="AU404" t="inlineStr">
        <is>
          <t>NOV</t>
        </is>
      </c>
      <c r="AV404" t="n">
        <v>2022</v>
      </c>
      <c r="AW404" t="n">
        <v>14</v>
      </c>
      <c r="AX404" t="n">
        <v>21</v>
      </c>
      <c r="BE404" t="n">
        <v>14421</v>
      </c>
      <c r="BF404" t="inlineStr">
        <is>
          <t>10.3390/su142114421</t>
        </is>
      </c>
      <c r="BG404">
        <f>HYPERLINK("http://dx.doi.org/10.3390/su142114421","http://dx.doi.org/10.3390/su142114421")</f>
        <v/>
      </c>
      <c r="BJ404" t="n">
        <v>13</v>
      </c>
      <c r="BK404" t="inlineStr">
        <is>
          <t>Green &amp; Sustainable Science &amp; Technology; Environmental Sciences; Environmental Studies</t>
        </is>
      </c>
      <c r="BL404" t="inlineStr">
        <is>
          <t>Science Citation Index Expanded (SCI-EXPANDED); Social Science Citation Index (SSCI)</t>
        </is>
      </c>
      <c r="BM404" t="inlineStr">
        <is>
          <t>Science &amp; Technology - Other Topics; Environmental Sciences &amp; Ecology</t>
        </is>
      </c>
      <c r="BN404" t="inlineStr">
        <is>
          <t>6B9HC</t>
        </is>
      </c>
      <c r="BP404" t="inlineStr">
        <is>
          <t>gold</t>
        </is>
      </c>
      <c r="BS404" t="inlineStr">
        <is>
          <t>2023-10-26</t>
        </is>
      </c>
      <c r="BT404" t="inlineStr">
        <is>
          <t>WOS:000881635300001</t>
        </is>
      </c>
      <c r="BU404">
        <f>HYPERLINK("https%3A%2F%2Fwww.webofscience.com%2Fwos%2Fwoscc%2Ffull-record%2FWOS:000881635300001","View Full Record in Web of Science")</f>
        <v/>
      </c>
    </row>
    <row r="405">
      <c r="A405" t="inlineStr">
        <is>
          <t>J</t>
        </is>
      </c>
      <c r="B405" t="inlineStr">
        <is>
          <t>Wang, Z; Shepley, M</t>
        </is>
      </c>
      <c r="F405" t="inlineStr">
        <is>
          <t>Wang, Zhe; Shepley, Mardelle</t>
        </is>
      </c>
      <c r="J405" t="inlineStr">
        <is>
          <t>INTERNATIONAL JOURNAL OF ENVIRONMENTAL RESEARCH AND PUBLIC HEALTH</t>
        </is>
      </c>
      <c r="M405" t="inlineStr">
        <is>
          <t>English</t>
        </is>
      </c>
      <c r="N405" t="inlineStr">
        <is>
          <t>Article</t>
        </is>
      </c>
      <c r="T405" t="inlineStr">
        <is>
          <t>The Relationship of Neighborhood Walking Behavior to Duration of Aging in Place-A Retrospective Cohort Study</t>
        </is>
      </c>
      <c r="U405" t="inlineStr">
        <is>
          <t>physical activity; health; independence; environment; older adults</t>
        </is>
      </c>
      <c r="V405" t="inlineStr">
        <is>
          <t>PHYSICAL-ACTIVITY; OLDER-ADULTS; INSTRUMENTAL ACTIVITIES; PARTICIPATION; MULTILEVEL; RECALL</t>
        </is>
      </c>
      <c r="W405" t="inlineStr">
        <is>
          <t>The benefits of physical activity on health are widely known. However, the impact of physical activity on aging-in-place at home for older adults is unclear. Focusing on older adults who recently moved from home to a senior-living facility, this research explored the impact of walking on the ability to age-in-place. Data were collected through a questionnaire survey completed by residents in 12 assisted-living facilities in Houston, Texas. Controlling for significant personal factors, ANOVAs were applied. Non-Hispanic White older adults (N = 124) who used canes or no aids and engaged in 30 min to 1 h of walking per occurrence were able to remain in their homes for an average of 17.84 years after age 65, 1.85 years longer than their counterparts who walked less than 30 min per occurrence. Those who walked for more than an hour per occurrence remained at home for 22.71 years on average, 6.72 years longer than their counterparts (p &lt;= 0.05). Engaging in neighborhood walking may help older adults maintain more years of aging-in-place at home. The findings have a direct impact on both public health programs and community design and planning strategies promoting aging-in-place.</t>
        </is>
      </c>
      <c r="X405" t="inlineStr">
        <is>
          <t>[Wang, Zhe] Henan Univ, Sch Civil &amp; Architectural Engn, Dept Architecture, Kaifeng 475001, Peoples R China; [Shepley, Mardelle] Cornell Univ, Coll Human Ecol, Dept Human Ctr Design, Ithaca, NY 14853 USA</t>
        </is>
      </c>
      <c r="Y405" t="inlineStr">
        <is>
          <t>Henan University; Cornell University</t>
        </is>
      </c>
      <c r="Z405" t="inlineStr">
        <is>
          <t>Wang, Z (corresponding author), Henan Univ, Sch Civil &amp; Architectural Engn, Dept Architecture, Kaifeng 475001, Peoples R China.</t>
        </is>
      </c>
      <c r="AA405" t="inlineStr">
        <is>
          <t>zwangpublication@gmail.com</t>
        </is>
      </c>
      <c r="AB405" t="inlineStr">
        <is>
          <t>Wang, Zhe/AGJ-8937-2022</t>
        </is>
      </c>
      <c r="AC405" t="inlineStr">
        <is>
          <t>Wang, Zhe/0000-0001-9544-0823; Shepley, Mardelle/0000-0002-5674-1321</t>
        </is>
      </c>
      <c r="AH405" t="n">
        <v>43</v>
      </c>
      <c r="AI405" t="n">
        <v>0</v>
      </c>
      <c r="AJ405" t="n">
        <v>0</v>
      </c>
      <c r="AK405" t="n">
        <v>1</v>
      </c>
      <c r="AL405" t="n">
        <v>4</v>
      </c>
      <c r="AM405" t="inlineStr">
        <is>
          <t>MDPI</t>
        </is>
      </c>
      <c r="AN405" t="inlineStr">
        <is>
          <t>BASEL</t>
        </is>
      </c>
      <c r="AO405" t="inlineStr">
        <is>
          <t>ST ALBAN-ANLAGE 66, CH-4052 BASEL, SWITZERLAND</t>
        </is>
      </c>
      <c r="AQ405" t="inlineStr">
        <is>
          <t>1660-4601</t>
        </is>
      </c>
      <c r="AS405" t="inlineStr">
        <is>
          <t>INT J ENV RES PUB HE</t>
        </is>
      </c>
      <c r="AT405" t="inlineStr">
        <is>
          <t>Int. J. Environ. Res. Public Health</t>
        </is>
      </c>
      <c r="AU405" t="inlineStr">
        <is>
          <t>DEC</t>
        </is>
      </c>
      <c r="AV405" t="n">
        <v>2022</v>
      </c>
      <c r="AW405" t="n">
        <v>19</v>
      </c>
      <c r="AX405" t="n">
        <v>24</v>
      </c>
      <c r="BE405" t="n">
        <v>16428</v>
      </c>
      <c r="BF405" t="inlineStr">
        <is>
          <t>10.3390/ijerph192416428</t>
        </is>
      </c>
      <c r="BG405">
        <f>HYPERLINK("http://dx.doi.org/10.3390/ijerph192416428","http://dx.doi.org/10.3390/ijerph192416428")</f>
        <v/>
      </c>
      <c r="BJ405" t="n">
        <v>13</v>
      </c>
      <c r="BK405" t="inlineStr">
        <is>
          <t>Environmental Sciences; Public, Environmental &amp; Occupational Health</t>
        </is>
      </c>
      <c r="BL405" t="inlineStr">
        <is>
          <t>Science Citation Index Expanded (SCI-EXPANDED); Social Science Citation Index (SSCI)</t>
        </is>
      </c>
      <c r="BM405" t="inlineStr">
        <is>
          <t>Environmental Sciences &amp; Ecology; Public, Environmental &amp; Occupational Health</t>
        </is>
      </c>
      <c r="BN405" t="inlineStr">
        <is>
          <t>7G7SX</t>
        </is>
      </c>
      <c r="BO405" t="n">
        <v>36554309</v>
      </c>
      <c r="BP405" t="inlineStr">
        <is>
          <t>gold, Green Published</t>
        </is>
      </c>
      <c r="BS405" t="inlineStr">
        <is>
          <t>2023-10-26</t>
        </is>
      </c>
      <c r="BT405" t="inlineStr">
        <is>
          <t>WOS:000902720100001</t>
        </is>
      </c>
      <c r="BU405">
        <f>HYPERLINK("https%3A%2F%2Fwww.webofscience.com%2Fwos%2Fwoscc%2Ffull-record%2FWOS:000902720100001","View Full Record in Web of Science")</f>
        <v/>
      </c>
    </row>
    <row r="406">
      <c r="A406" t="inlineStr">
        <is>
          <t>J</t>
        </is>
      </c>
      <c r="B406" t="inlineStr">
        <is>
          <t>Szabados, M; Magyar, D; Tischner, Z; Szigeti, T</t>
        </is>
      </c>
      <c r="F406" t="inlineStr">
        <is>
          <t>Szabados, Mate; Magyar, Donat; Tischner, Zsofia; Szigeti, Tamas</t>
        </is>
      </c>
      <c r="J406" t="inlineStr">
        <is>
          <t>ATMOSPHERIC ENVIRONMENT</t>
        </is>
      </c>
      <c r="M406" t="inlineStr">
        <is>
          <t>English</t>
        </is>
      </c>
      <c r="N406" t="inlineStr">
        <is>
          <t>Article</t>
        </is>
      </c>
      <c r="T406" t="inlineStr">
        <is>
          <t>Indoor air quality in Hungarian passive houses</t>
        </is>
      </c>
      <c r="U406" t="inlineStr">
        <is>
          <t>Dwelling; Energy-efficient building; Indoor air quality; Passive house; Seasonal variation</t>
        </is>
      </c>
      <c r="V406" t="inlineStr">
        <is>
          <t>GRASS-POLLEN ALLERGENS; ENVIRONMENTAL-QUALITY; RELATIVE-HUMIDITY; HUMAN EXPOSURE; BIRCH; PERFORMANCE; BUILDINGS; QUANTIFICATION; PRODUCTS; COMFORT</t>
        </is>
      </c>
      <c r="W406" t="inlineStr">
        <is>
          <t>The indoor air quality (IAQ) was investigated in 15 Passive Houses in the heating and non-heating seasons between 2019 and 2021 in Hungary. The concentrations of volatile organic compounds (VOCs), aldehydes, ozone, nitrogen dioxide, PM2.5 mass, carbon dioxide, bacteria, fungi, and pollen were measured together with the monitoring of temperature, relative humidity and air change rate (ACR). The IAQ varied considerably among the investigated buildings. Significant seasonal differences were obtained for all physical parameters (temperature, relative humidity, ACR), certain VOCs (benzene, alpha-pinene, limonene), acetaldehyde, and airborne fungi. Considerable health concern was associated with the indoor concentrations of PM2.5 mass and nitrogen dioxide in many cases based on the evaluation of IAQ in relation to potential adverse health effects, while the peak con-centrations of other pollutants (e.g. trichloroethylene, alpha-pinene, certain aldehydes, fungi) were also of concern in a couple of cases. The median indoor/outdoor concentration ratios of benzene, PM2.5 mass, nitrogen dioxide, ozone and fungi indicated that these pollutants are mainly of outdoor origin, while the other VOCs, aldehydes and bacteria showed higher concentration indoors. Overheating, the lack of proper particle filters in the me-chanical ventilation system, and low ACR and relative humidity were identified as frequent problems related to the building characteristics. The emissions from building materials and furniture, the proximity of construction works and unpaved roads, and the allergenic vegetation might considerably influence IAQ. The results highlight that risk reduction measures are needed to create healthier indoor environment in the Passive Houses.</t>
        </is>
      </c>
      <c r="X406" t="inlineStr">
        <is>
          <t>[Szabados, Mate; Magyar, Donat; Szigeti, Tamas] Natl Publ Hlth Ctr, Albert Florian ut 2-6, H-1097 Budapest, Hungary; [Szabados, Mate] Eotvos Lorand Univ, Doctoral Sch Environm Sci, Pazmany Peter stny 1-A, H-1117 Budapest, Hungary; [Tischner, Zsofia] Hungarian Univ Agr &amp; Life Sci, Inst Aquaculture &amp; Environm Safety, Dept Environm Safety, H-2100 Godollo, Hungary; [Szigeti, Tamas] Natl Publ Hlth Ctr, Budapest, Hungary</t>
        </is>
      </c>
      <c r="Y406" t="inlineStr">
        <is>
          <t>Eotvos Lorand University; Hungarian University of Agriculture &amp; Life Sciences</t>
        </is>
      </c>
      <c r="Z406" t="inlineStr">
        <is>
          <t>Szigeti, T (corresponding author), Natl Publ Hlth Ctr, Budapest, Hungary.</t>
        </is>
      </c>
      <c r="AA406" t="inlineStr">
        <is>
          <t>szigeti.tamas@nnk.gov.hu</t>
        </is>
      </c>
      <c r="AC406" t="inlineStr">
        <is>
          <t>Szigeti, Tamas/0000-0001-5078-9503</t>
        </is>
      </c>
      <c r="AH406" t="n">
        <v>85</v>
      </c>
      <c r="AI406" t="n">
        <v>1</v>
      </c>
      <c r="AJ406" t="n">
        <v>1</v>
      </c>
      <c r="AK406" t="n">
        <v>5</v>
      </c>
      <c r="AL406" t="n">
        <v>5</v>
      </c>
      <c r="AM406" t="inlineStr">
        <is>
          <t>PERGAMON-ELSEVIER SCIENCE LTD</t>
        </is>
      </c>
      <c r="AN406" t="inlineStr">
        <is>
          <t>OXFORD</t>
        </is>
      </c>
      <c r="AO406" t="inlineStr">
        <is>
          <t>THE BOULEVARD, LANGFORD LANE, KIDLINGTON, OXFORD OX5 1GB, ENGLAND</t>
        </is>
      </c>
      <c r="AP406" t="inlineStr">
        <is>
          <t>1352-2310</t>
        </is>
      </c>
      <c r="AQ406" t="inlineStr">
        <is>
          <t>1873-2844</t>
        </is>
      </c>
      <c r="AS406" t="inlineStr">
        <is>
          <t>ATMOS ENVIRON</t>
        </is>
      </c>
      <c r="AT406" t="inlineStr">
        <is>
          <t>Atmos. Environ.</t>
        </is>
      </c>
      <c r="AU406" t="inlineStr">
        <is>
          <t>AUG 15</t>
        </is>
      </c>
      <c r="AV406" t="n">
        <v>2023</v>
      </c>
      <c r="AW406" t="n">
        <v>307</v>
      </c>
      <c r="BE406" t="n">
        <v>119857</v>
      </c>
      <c r="BF406" t="inlineStr">
        <is>
          <t>10.1016/j.atmosenv.2023.119857</t>
        </is>
      </c>
      <c r="BG406">
        <f>HYPERLINK("http://dx.doi.org/10.1016/j.atmosenv.2023.119857","http://dx.doi.org/10.1016/j.atmosenv.2023.119857")</f>
        <v/>
      </c>
      <c r="BI406" t="inlineStr">
        <is>
          <t>MAY 2023</t>
        </is>
      </c>
      <c r="BJ406" t="n">
        <v>13</v>
      </c>
      <c r="BK406" t="inlineStr">
        <is>
          <t>Environmental Sciences; Meteorology &amp; Atmospheric Sciences</t>
        </is>
      </c>
      <c r="BL406" t="inlineStr">
        <is>
          <t>Science Citation Index Expanded (SCI-EXPANDED)</t>
        </is>
      </c>
      <c r="BM406" t="inlineStr">
        <is>
          <t>Environmental Sciences &amp; Ecology; Meteorology &amp; Atmospheric Sciences</t>
        </is>
      </c>
      <c r="BN406" t="inlineStr">
        <is>
          <t>J6YF6</t>
        </is>
      </c>
      <c r="BP406" t="inlineStr">
        <is>
          <t>hybrid</t>
        </is>
      </c>
      <c r="BS406" t="inlineStr">
        <is>
          <t>2023-10-26</t>
        </is>
      </c>
      <c r="BT406" t="inlineStr">
        <is>
          <t>WOS:001011049400001</t>
        </is>
      </c>
      <c r="BU406">
        <f>HYPERLINK("https%3A%2F%2Fwww.webofscience.com%2Fwos%2Fwoscc%2Ffull-record%2FWOS:001011049400001","View Full Record in Web of Science")</f>
        <v/>
      </c>
    </row>
    <row r="407">
      <c r="A407" t="inlineStr">
        <is>
          <t>J</t>
        </is>
      </c>
      <c r="B407" t="inlineStr">
        <is>
          <t>Matheson, S; Fleck, R; Irga, PJ; Torpy, FR</t>
        </is>
      </c>
      <c r="F407" t="inlineStr">
        <is>
          <t>Matheson, S.; Fleck, R.; Irga, P. J.; Torpy, F. R.</t>
        </is>
      </c>
      <c r="J407" t="inlineStr">
        <is>
          <t>REVIEWS IN ENVIRONMENTAL SCIENCE AND BIO-TECHNOLOGY</t>
        </is>
      </c>
      <c r="M407" t="inlineStr">
        <is>
          <t>English</t>
        </is>
      </c>
      <c r="N407" t="inlineStr">
        <is>
          <t>Review; Early Access</t>
        </is>
      </c>
      <c r="T407" t="inlineStr">
        <is>
          <t>Phytoremediation for the indoor environment: a state-of-the-art review</t>
        </is>
      </c>
      <c r="U407" t="inlineStr">
        <is>
          <t>Sustainable infrastructure; Sustainable development goals; Green walls; Biofilter; Indoor air quality; Green building</t>
        </is>
      </c>
      <c r="V407" t="inlineStr">
        <is>
          <t>VOLATILE ORGANIC-COMPOUNDS; SICK BUILDING SYNDROME; AMBIENT AIR-POLLUTION; ACTIVE GREEN WALLS; POTTED-PLANT; FORMALDEHYDE REMOVAL; IMPROVING INDOOR; FOLIAR UPTAKE; VOC REMOVAL; ORNAMENTAL PLANTS</t>
        </is>
      </c>
      <c r="W407" t="inlineStr">
        <is>
          <t>Poor indoor air quality has become of particular concern within the built environment due to the time people spend indoors, and the associated health burden. Volatile organic compounds (VOCs) off-gassing from synthetic materials, nitrogen dioxide and harmful outdoor VOCs such benzene, toluene, ethyl-benzene and xylene penetrate into the indoor environment through ventilation and are the main contributors to poor indoor air quality with health effects. A considerable body of literature over the last four decades has demonstrate the removal of gaseous contaminants through phytoremediation, a technology that relies on plant material and technologies to remediate contaminated air streams. In this review we present a state-of-the-art on indoor phytoremediation over the last decade. Here we present a review of 38 research articles on both active and passive phytoremediation, and describe the specific chemical removal efficiency of different systems. The literature clearly indicates the efficacy of these systems for the removal of gaseous contaminants in the indoor environment, however it is evident that the application of phytoremediation technologies for research purposes in-situ is currently significantly under studied. In addition, it is common for research studies to assess the removal of single chemical species under controlled conditions, with little relevancy to real-world settings easily concluded. The authors therefore recommend that future phytoremediation research be conducted both in-situ and on chemical sources of a mixed nature, such as those experienced in the urban environment like petroleum vapour, vehicle emissions, and mixed synthetic furnishings off-gassing. The assessment of these systems both in static chambers for their theoretical performance, and in-situ for these mixed chemical sources is essential for the progression of this research field and the widespread adoption of this technology.</t>
        </is>
      </c>
      <c r="X407" t="inlineStr">
        <is>
          <t>[Matheson, S.; Fleck, R.; Torpy, F. R.] Univ Technol Sydney, Fac Sci, Sch Life Sci, Plants &amp; Environm Qual Res Grp, Broadway, NSW 2007, Australia; [Irga, P. J.] Univ Technol Sydney, Fac Engn &amp; Informat Technol, Sch Civil &amp; Environm Engn, Plants &amp; Environm Qual Res Grp, Sydney, Australia</t>
        </is>
      </c>
      <c r="Y407" t="inlineStr">
        <is>
          <t>University of Technology Sydney; University of Technology Sydney</t>
        </is>
      </c>
      <c r="Z407" t="inlineStr">
        <is>
          <t>Matheson, S (corresponding author), Univ Technol Sydney, Fac Sci, Sch Life Sci, Plants &amp; Environm Qual Res Grp, Broadway, NSW 2007, Australia.</t>
        </is>
      </c>
      <c r="AA407" t="inlineStr">
        <is>
          <t>Stephen.matheson@uts.edu.au</t>
        </is>
      </c>
      <c r="AC407" t="inlineStr">
        <is>
          <t>Torpy, Fraser/0000-0002-9137-6948; Fleck, Robert/0000-0002-2045-1656; Matheson, Stephen/0000-0001-6333-5156</t>
        </is>
      </c>
      <c r="AH407" t="n">
        <v>195</v>
      </c>
      <c r="AI407" t="n">
        <v>6</v>
      </c>
      <c r="AJ407" t="n">
        <v>6</v>
      </c>
      <c r="AK407" t="n">
        <v>14</v>
      </c>
      <c r="AL407" t="n">
        <v>25</v>
      </c>
      <c r="AM407" t="inlineStr">
        <is>
          <t>SPRINGER</t>
        </is>
      </c>
      <c r="AN407" t="inlineStr">
        <is>
          <t>DORDRECHT</t>
        </is>
      </c>
      <c r="AO407" t="inlineStr">
        <is>
          <t>VAN GODEWIJCKSTRAAT 30, 3311 GZ DORDRECHT, NETHERLANDS</t>
        </is>
      </c>
      <c r="AP407" t="inlineStr">
        <is>
          <t>1569-1705</t>
        </is>
      </c>
      <c r="AQ407" t="inlineStr">
        <is>
          <t>1572-9826</t>
        </is>
      </c>
      <c r="AS407" t="inlineStr">
        <is>
          <t>REV ENVIRON SCI BIO</t>
        </is>
      </c>
      <c r="AT407" t="inlineStr">
        <is>
          <t>Rev. Environ. Sci. Bio-Technol.</t>
        </is>
      </c>
      <c r="AU407" t="inlineStr">
        <is>
          <t>2023 FEB 27</t>
        </is>
      </c>
      <c r="AV407" t="n">
        <v>2023</v>
      </c>
      <c r="BF407" t="inlineStr">
        <is>
          <t>10.1007/s11157-023-09644-5</t>
        </is>
      </c>
      <c r="BG407">
        <f>HYPERLINK("http://dx.doi.org/10.1007/s11157-023-09644-5","http://dx.doi.org/10.1007/s11157-023-09644-5")</f>
        <v/>
      </c>
      <c r="BI407" t="inlineStr">
        <is>
          <t>FEB 2023</t>
        </is>
      </c>
      <c r="BJ407" t="n">
        <v>32</v>
      </c>
      <c r="BK407" t="inlineStr">
        <is>
          <t>Biotechnology &amp; Applied Microbiology; Environmental Sciences</t>
        </is>
      </c>
      <c r="BL407" t="inlineStr">
        <is>
          <t>Science Citation Index Expanded (SCI-EXPANDED)</t>
        </is>
      </c>
      <c r="BM407" t="inlineStr">
        <is>
          <t>Biotechnology &amp; Applied Microbiology; Environmental Sciences &amp; Ecology</t>
        </is>
      </c>
      <c r="BN407" t="inlineStr">
        <is>
          <t>9I3KR</t>
        </is>
      </c>
      <c r="BO407" t="n">
        <v>36873270</v>
      </c>
      <c r="BP407" t="inlineStr">
        <is>
          <t>hybrid, Green Published</t>
        </is>
      </c>
      <c r="BS407" t="inlineStr">
        <is>
          <t>2023-10-26</t>
        </is>
      </c>
      <c r="BT407" t="inlineStr">
        <is>
          <t>WOS:000939414400001</t>
        </is>
      </c>
      <c r="BU407">
        <f>HYPERLINK("https%3A%2F%2Fwww.webofscience.com%2Fwos%2Fwoscc%2Ffull-record%2FWOS:000939414400001","View Full Record in Web of Science")</f>
        <v/>
      </c>
    </row>
    <row r="408">
      <c r="A408" t="inlineStr">
        <is>
          <t>J</t>
        </is>
      </c>
      <c r="B408" t="inlineStr">
        <is>
          <t>Bughio, M; Schuetze, T; Mahar, WA</t>
        </is>
      </c>
      <c r="F408" t="inlineStr">
        <is>
          <t>Bughio, Mushk; Schuetze, Thorsten; Mahar, Waqas Ahmed</t>
        </is>
      </c>
      <c r="J408" t="inlineStr">
        <is>
          <t>SUSTAINABILITY</t>
        </is>
      </c>
      <c r="M408" t="inlineStr">
        <is>
          <t>English</t>
        </is>
      </c>
      <c r="N408" t="inlineStr">
        <is>
          <t>Article</t>
        </is>
      </c>
      <c r="T408" t="inlineStr">
        <is>
          <t>Comparative Analysis of Indoor Environmental Quality of Architectural Campus Buildings' Lecture Halls and its' Perception by Building Users, in Karachi, Pakistan</t>
        </is>
      </c>
      <c r="U408" t="inlineStr">
        <is>
          <t>bioclimatic chart; thermal comfort; hot-humid climate; end-user satisfaction; educational buildings</t>
        </is>
      </c>
      <c r="V408" t="inlineStr">
        <is>
          <t>THERMAL COMFORT; UNIVERSITY CLASSROOMS; STRATEGIES; OCCUPANTS; CLIMATE; PERFORMANCE; STANDARDS; SCHOOLS</t>
        </is>
      </c>
      <c r="W408" t="inlineStr">
        <is>
          <t>Poor Indoor Environmental Quality (IEQ) adversely affects the performance and health of building users. Building users are an important source of information regarding IEQ and its influence on users' wellbeing and productivity. This paper discusses the analysis and evaluation of IEQ in lecture halls of two public Architectural Campus Buildings (ACB) in Karachi, Pakistan. The method of this research is divided into three parts: (i) An analysis of local climate conditions, (ii) An on-site survey of two existing ACBs to analyze indoor environmental conditions. and (iii) The analysis of users' satisfaction using a questionnaire survey. The research results showed that users are dissatisfied with existing hot and humid indoor environment conditions caused by interactions of local outdoor climate conditions, the building's architecture, and inadequate ventilation within the building. The findings revealed that Karachi has 41.3% comfort hours with the warm sub-humid season to be the most comfortable season having 80.56% comfort hours. IEQ analysis unveiled that airflow in ACB1 is low, whereas, high airflow is observed in ACB2. The findings of this research unveiled that cross-ventilation by the adapted placement of openings, improved external shading devices, and provision of increased vegetation are required in both ACBs to achieve a more comfortable IEQ.</t>
        </is>
      </c>
      <c r="X408" t="inlineStr">
        <is>
          <t>[Bughio, Mushk; Schuetze, Thorsten] Sungkyunkwan Univ, Dept Architecture, Suwon 440746, South Korea; [Bughio, Mushk] Dawood Univ Engn &amp; Technol, Dept Architecture, Karachi 74800, Pakistan; [Mahar, Waqas Ahmed] BUITEMS, Dept Architecture, Airport Rd, Quetta 87100, Pakistan; [Mahar, Waqas Ahmed] Univ Liege, Fac Appl Sci, Dept Urban &amp; Environm Engn UEE, Sustainable Bldg Design SBD Lab, B-4000 Liege, Belgium</t>
        </is>
      </c>
      <c r="Y408" t="inlineStr">
        <is>
          <t>Sungkyunkwan University (SKKU); Balochistan University of Information Technology, Engineering &amp; Management Sciences BUITEMS; University of Liege</t>
        </is>
      </c>
      <c r="Z408" t="inlineStr">
        <is>
          <t>Schuetze, T (corresponding author), Sungkyunkwan Univ, Dept Architecture, Suwon 440746, South Korea.</t>
        </is>
      </c>
      <c r="AA408" t="inlineStr">
        <is>
          <t>mushk@skku.edu; t.schuetze@skku.edu; waqas.ahmed@buitms.edu.pk</t>
        </is>
      </c>
      <c r="AB408" t="inlineStr">
        <is>
          <t>Mahar, Waqas Ahmed/W-5991-2018; Schuetze, Thorsten/ABA-5119-2021</t>
        </is>
      </c>
      <c r="AC408" t="inlineStr">
        <is>
          <t>Mahar, Waqas Ahmed/0000-0003-1478-6246; Schuetze, Thorsten/0000-0001-7849-2330; Bughio, Mushk/0000-0001-6446-5622</t>
        </is>
      </c>
      <c r="AD408" t="inlineStr">
        <is>
          <t>Higher Education Commission (HEC) of Pakistan under the HRDI-UESTP scholarship program Batch-III [50022580]</t>
        </is>
      </c>
      <c r="AE408" t="inlineStr">
        <is>
          <t>Higher Education Commission (HEC) of Pakistan under the HRDI-UESTP scholarship program Batch-III</t>
        </is>
      </c>
      <c r="AF408" t="inlineStr">
        <is>
          <t>The authors acknowledge the Higher Education Commission (HEC) of Pakistan for providing the necessary funds and resources for the completion of the PhD studies of the first author under the HRDI-UESTP scholarship program Batch-III with the ref. no. 50022580. The study is a part of a PhD research being carried out at SKKU, Korea. No funding was provided for the conduct and surveys of this research. The funding agency has no role in the selection of research topics, research domain, methodology, or the results of this PhD.</t>
        </is>
      </c>
      <c r="AH408" t="n">
        <v>66</v>
      </c>
      <c r="AI408" t="n">
        <v>19</v>
      </c>
      <c r="AJ408" t="n">
        <v>19</v>
      </c>
      <c r="AK408" t="n">
        <v>0</v>
      </c>
      <c r="AL408" t="n">
        <v>4</v>
      </c>
      <c r="AM408" t="inlineStr">
        <is>
          <t>MDPI</t>
        </is>
      </c>
      <c r="AN408" t="inlineStr">
        <is>
          <t>BASEL</t>
        </is>
      </c>
      <c r="AO408" t="inlineStr">
        <is>
          <t>ST ALBAN-ANLAGE 66, CH-4052 BASEL, SWITZERLAND</t>
        </is>
      </c>
      <c r="AQ408" t="inlineStr">
        <is>
          <t>2071-1050</t>
        </is>
      </c>
      <c r="AS408" t="inlineStr">
        <is>
          <t>SUSTAINABILITY-BASEL</t>
        </is>
      </c>
      <c r="AT408" t="inlineStr">
        <is>
          <t>Sustainability</t>
        </is>
      </c>
      <c r="AU408" t="inlineStr">
        <is>
          <t>APR</t>
        </is>
      </c>
      <c r="AV408" t="n">
        <v>2020</v>
      </c>
      <c r="AW408" t="n">
        <v>12</v>
      </c>
      <c r="AX408" t="n">
        <v>7</v>
      </c>
      <c r="BE408" t="n">
        <v>2995</v>
      </c>
      <c r="BF408" t="inlineStr">
        <is>
          <t>10.3390/su12072995</t>
        </is>
      </c>
      <c r="BG408">
        <f>HYPERLINK("http://dx.doi.org/10.3390/su12072995","http://dx.doi.org/10.3390/su12072995")</f>
        <v/>
      </c>
      <c r="BJ408" t="n">
        <v>29</v>
      </c>
      <c r="BK408" t="inlineStr">
        <is>
          <t>Green &amp; Sustainable Science &amp; Technology; Environmental Sciences; Environmental Studies</t>
        </is>
      </c>
      <c r="BL408" t="inlineStr">
        <is>
          <t>Science Citation Index Expanded (SCI-EXPANDED); Social Science Citation Index (SSCI)</t>
        </is>
      </c>
      <c r="BM408" t="inlineStr">
        <is>
          <t>Science &amp; Technology - Other Topics; Environmental Sciences &amp; Ecology</t>
        </is>
      </c>
      <c r="BN408" t="inlineStr">
        <is>
          <t>LL4WR</t>
        </is>
      </c>
      <c r="BP408" t="inlineStr">
        <is>
          <t>Green Submitted, gold</t>
        </is>
      </c>
      <c r="BS408" t="inlineStr">
        <is>
          <t>2023-10-26</t>
        </is>
      </c>
      <c r="BT408" t="inlineStr">
        <is>
          <t>WOS:000531558100420</t>
        </is>
      </c>
      <c r="BU408">
        <f>HYPERLINK("https%3A%2F%2Fwww.webofscience.com%2Fwos%2Fwoscc%2Ffull-record%2FWOS:000531558100420","View Full Record in Web of Science")</f>
        <v/>
      </c>
    </row>
    <row r="409">
      <c r="A409" t="inlineStr">
        <is>
          <t>J</t>
        </is>
      </c>
      <c r="B409" t="inlineStr">
        <is>
          <t>Kim, WJ; Lee, TK</t>
        </is>
      </c>
      <c r="F409" t="inlineStr">
        <is>
          <t>Kim, Won-Ji; Lee, Tae-Kyung</t>
        </is>
      </c>
      <c r="J409" t="inlineStr">
        <is>
          <t>SUSTAINABILITY</t>
        </is>
      </c>
      <c r="M409" t="inlineStr">
        <is>
          <t>English</t>
        </is>
      </c>
      <c r="N409" t="inlineStr">
        <is>
          <t>Article</t>
        </is>
      </c>
      <c r="T409" t="inlineStr">
        <is>
          <t>Greenness Index and Preferences for Interior Landscapes in Residential Spaces</t>
        </is>
      </c>
      <c r="U409" t="inlineStr">
        <is>
          <t>residential space; residential landscape; indoor plants; interior landscape space; interior landscape; greenness index; green view index; indoor environment; human-plant interactions</t>
        </is>
      </c>
      <c r="V409" t="inlineStr">
        <is>
          <t>INDOOR PLANTS; ENVIRONMENT; STRESS; HEALTH</t>
        </is>
      </c>
      <c r="W409" t="inlineStr">
        <is>
          <t>Modern people have limited opportunities to experience the natural environment due to reduced outdoor activity time and are not provided with enough opportunities to encounter landscape, even in indoor spaces. Due to the current COVID-19 pandemic, the time spent indoors is getting longer. As the number of health-conscious people increases, interest in the introduction of indoor plants, which help purify the air and improve emotional stability, has increased. This study aimed to identify the direction of creating interior landscapes in residential spaces by examining the Greenness Index (GI) and resident preferences. This study targeted 65 households in residential spaces with over two rooms and growing plants. Pictures and descriptions of interior spaces were collected and analyzed. Case studies were conducted to analyze interior landscape planning preferences. The results indicated that public spaces (72.3%) contained foliage plants (98.5%) and containers using soil (93.8%). Residents perceived all components, from plants to containers, considering the GI. Residents' subjective perceived GI (15% on average) was higher than the objective GI (10% on average) calculated from photos. Psychological stability and visual beauty were high for all items. Preferred locations for interior landscapes were living rooms (55.4%), which are public spaces, and living room verandas (38.5%), which are functional spaces, with foliage plants (52.3%) being predominant. These findings indicated that interior landscape could link the indoor environment in residential spaces and external spaces using nature, creating aesthetic and environmental effects indoors. Furthermore, this study is meaningful, as it identified residents' preferences for interior landscape planning in residential spaces.</t>
        </is>
      </c>
      <c r="X409" t="inlineStr">
        <is>
          <t>[Kim, Won-Ji] Pusan Natl Univ, Inst Ecol Res, Busan 46241, South Korea; [Lee, Tae-Kyung] Pusan Natl Univ, Dept Interior &amp; Environm Design, Busan 46241, South Korea</t>
        </is>
      </c>
      <c r="Y409" t="inlineStr">
        <is>
          <t>Pusan National University; Pusan National University</t>
        </is>
      </c>
      <c r="Z409" t="inlineStr">
        <is>
          <t>Lee, TK (corresponding author), Pusan Natl Univ, Dept Interior &amp; Environm Design, Busan 46241, South Korea.</t>
        </is>
      </c>
      <c r="AA409" t="inlineStr">
        <is>
          <t>flowersk@pusan.ac.kr; sunney@pusan.ac.kr</t>
        </is>
      </c>
      <c r="AD409" t="inlineStr">
        <is>
          <t>Ministry of Education of the Republic of Korea; National Research Foundation of Korea [NRF-2019S1A5B5A07110718]; National Research Foundation of Korea [2019S1A5B5A07110718] Funding Source: Korea Institute of Science &amp; Technology Information (KISTI), National Science &amp; Technology Information Service (NTIS)</t>
        </is>
      </c>
      <c r="AE409" t="inlineStr">
        <is>
          <t>Ministry of Education of the Republic of Korea(Ministry of Education (MOE), Republic of Korea); National Research Foundation of Korea(National Research Foundation of Korea); National Research Foundation of Korea(National Research Foundation of Korea)</t>
        </is>
      </c>
      <c r="AF409" t="inlineStr">
        <is>
          <t>The authors would like to thank the editors and anonymous reviewers for their time on the publication of this paper. The experimental participants and member of Busan National University for their contribution to the study. This work was supported by the Ministry of Education of the Republic of Korea and the National Research Foundation of Korea (NRF- 2019S1A5B5A07110718).</t>
        </is>
      </c>
      <c r="AH409" t="n">
        <v>42</v>
      </c>
      <c r="AI409" t="n">
        <v>1</v>
      </c>
      <c r="AJ409" t="n">
        <v>1</v>
      </c>
      <c r="AK409" t="n">
        <v>6</v>
      </c>
      <c r="AL409" t="n">
        <v>19</v>
      </c>
      <c r="AM409" t="inlineStr">
        <is>
          <t>MDPI</t>
        </is>
      </c>
      <c r="AN409" t="inlineStr">
        <is>
          <t>BASEL</t>
        </is>
      </c>
      <c r="AO409" t="inlineStr">
        <is>
          <t>ST ALBAN-ANLAGE 66, CH-4052 BASEL, SWITZERLAND</t>
        </is>
      </c>
      <c r="AQ409" t="inlineStr">
        <is>
          <t>2071-1050</t>
        </is>
      </c>
      <c r="AS409" t="inlineStr">
        <is>
          <t>SUSTAINABILITY-BASEL</t>
        </is>
      </c>
      <c r="AT409" t="inlineStr">
        <is>
          <t>Sustainability</t>
        </is>
      </c>
      <c r="AU409" t="inlineStr">
        <is>
          <t>MAY</t>
        </is>
      </c>
      <c r="AV409" t="n">
        <v>2022</v>
      </c>
      <c r="AW409" t="n">
        <v>14</v>
      </c>
      <c r="AX409" t="n">
        <v>9</v>
      </c>
      <c r="BE409" t="n">
        <v>5183</v>
      </c>
      <c r="BF409" t="inlineStr">
        <is>
          <t>10.3390/su14095183</t>
        </is>
      </c>
      <c r="BG409">
        <f>HYPERLINK("http://dx.doi.org/10.3390/su14095183","http://dx.doi.org/10.3390/su14095183")</f>
        <v/>
      </c>
      <c r="BJ409" t="n">
        <v>14</v>
      </c>
      <c r="BK409" t="inlineStr">
        <is>
          <t>Green &amp; Sustainable Science &amp; Technology; Environmental Sciences; Environmental Studies</t>
        </is>
      </c>
      <c r="BL409" t="inlineStr">
        <is>
          <t>Science Citation Index Expanded (SCI-EXPANDED); Social Science Citation Index (SSCI)</t>
        </is>
      </c>
      <c r="BM409" t="inlineStr">
        <is>
          <t>Science &amp; Technology - Other Topics; Environmental Sciences &amp; Ecology</t>
        </is>
      </c>
      <c r="BN409" t="inlineStr">
        <is>
          <t>1E6HP</t>
        </is>
      </c>
      <c r="BP409" t="inlineStr">
        <is>
          <t>gold</t>
        </is>
      </c>
      <c r="BS409" t="inlineStr">
        <is>
          <t>2023-10-26</t>
        </is>
      </c>
      <c r="BT409" t="inlineStr">
        <is>
          <t>WOS:000794587500001</t>
        </is>
      </c>
      <c r="BU409">
        <f>HYPERLINK("https%3A%2F%2Fwww.webofscience.com%2Fwos%2Fwoscc%2Ffull-record%2FWOS:000794587500001","View Full Record in Web of Science")</f>
        <v/>
      </c>
    </row>
    <row r="410">
      <c r="A410" t="inlineStr">
        <is>
          <t>J</t>
        </is>
      </c>
      <c r="B410" t="inlineStr">
        <is>
          <t>Lee, S; Lee, C; Rodiek, S</t>
        </is>
      </c>
      <c r="F410" t="inlineStr">
        <is>
          <t>Lee, Sungmin; Lee, Chanam; Rodiek, Susan</t>
        </is>
      </c>
      <c r="J410" t="inlineStr">
        <is>
          <t>INTERNATIONAL JOURNAL OF ENVIRONMENTAL RESEARCH AND PUBLIC HEALTH</t>
        </is>
      </c>
      <c r="M410" t="inlineStr">
        <is>
          <t>English</t>
        </is>
      </c>
      <c r="N410" t="inlineStr">
        <is>
          <t>Article</t>
        </is>
      </c>
      <c r="T410" t="inlineStr">
        <is>
          <t>Neighborhood Factors and Fall-Related Injuries among Older Adults Seen by Emergency Medical Service Providers</t>
        </is>
      </c>
      <c r="U410" t="inlineStr">
        <is>
          <t>fall injuries; older adults; aging; elderly; environmental risk factors</t>
        </is>
      </c>
      <c r="V410" t="inlineStr">
        <is>
          <t>RISK-FACTORS; BUILT ENVIRONMENT; PHYSICAL-ACTIVITY; CHANGING APPROACH; OUTDOOR FALLS; PREVENTION; HEALTH; DETERMINANTS; METAANALYSIS; SEGREGATION</t>
        </is>
      </c>
      <c r="W410" t="inlineStr">
        <is>
          <t>Falls are serious health problems among older adults, and are the leading cause of fatal and nonfatal injuries treated by emergency medical services (EMS). Although considerable research has examined the risk factors of falls at the individual level, relatively few studies have addressed the risk factors at the neighborhood level. This study examines the characteristics of neighborhood environments associated with fall injuries reported to EMS providers. A total of 13,163 EMS records from 2011 to 2014 involving adults aged 65 and older in the city of San Antonio (TX, USA) were analyzed at the census tract level (n = 264). Negative binomial regression was used to identify significant census tract-based neighborhood environmental variables associated with the count of fall injuries in each census tract. Adjusting for exposure variable and the size of the census tract, neighborhoods with higher residential stability, captured as the percent of those who lived in the same house as the previous year were associated with decreased count of fall injuries. Neighborhoods with higher residential density and having a higher vacancy rate were associated with increased count of fall injuries. The study highlights the importance of stable and safe neighborhoods in reducing fall risks among older adults, which should be considered a prerequisite for promoting age-friendly environments.</t>
        </is>
      </c>
      <c r="X410" t="inlineStr">
        <is>
          <t>[Lee, Sungmin; Lee, Chanam] Texas A&amp;M Univ, Coll Architecture, Dept Landscape Architecture &amp; Urban Planning, College Stn, TX 77843 USA; [Rodiek, Susan] Texas A&amp;M Univ, Coll Architecture, Dept Architecture, College Stn, TX 77843 USA</t>
        </is>
      </c>
      <c r="Y410" t="inlineStr">
        <is>
          <t>Texas A&amp;M University System; Texas A&amp;M University College Station; Texas A&amp;M University System; Texas A&amp;M University College Station</t>
        </is>
      </c>
      <c r="Z410" t="inlineStr">
        <is>
          <t>Lee, S (corresponding author), Texas A&amp;M Univ, Coll Architecture, Dept Landscape Architecture &amp; Urban Planning, College Stn, TX 77843 USA.</t>
        </is>
      </c>
      <c r="AA410" t="inlineStr">
        <is>
          <t>saint83@tamu.edu; chanam@tamu.edu; rodiek@tamu.edu</t>
        </is>
      </c>
      <c r="AC410" t="inlineStr">
        <is>
          <t>Lee, Sungmin/0000-0002-4529-9769</t>
        </is>
      </c>
      <c r="AH410" t="n">
        <v>55</v>
      </c>
      <c r="AI410" t="n">
        <v>10</v>
      </c>
      <c r="AJ410" t="n">
        <v>10</v>
      </c>
      <c r="AK410" t="n">
        <v>1</v>
      </c>
      <c r="AL410" t="n">
        <v>17</v>
      </c>
      <c r="AM410" t="inlineStr">
        <is>
          <t>MDPI</t>
        </is>
      </c>
      <c r="AN410" t="inlineStr">
        <is>
          <t>BASEL</t>
        </is>
      </c>
      <c r="AO410" t="inlineStr">
        <is>
          <t>ST ALBAN-ANLAGE 66, CH-4052 BASEL, SWITZERLAND</t>
        </is>
      </c>
      <c r="AQ410" t="inlineStr">
        <is>
          <t>1660-4601</t>
        </is>
      </c>
      <c r="AS410" t="inlineStr">
        <is>
          <t>INT J ENV RES PUB HE</t>
        </is>
      </c>
      <c r="AT410" t="inlineStr">
        <is>
          <t>Int. J. Environ. Res. Public Health</t>
        </is>
      </c>
      <c r="AU410" t="inlineStr">
        <is>
          <t>FEB</t>
        </is>
      </c>
      <c r="AV410" t="n">
        <v>2017</v>
      </c>
      <c r="AW410" t="n">
        <v>14</v>
      </c>
      <c r="AX410" t="n">
        <v>2</v>
      </c>
      <c r="BE410" t="n">
        <v>163</v>
      </c>
      <c r="BF410" t="inlineStr">
        <is>
          <t>10.3390/ijerph14020163</t>
        </is>
      </c>
      <c r="BG410">
        <f>HYPERLINK("http://dx.doi.org/10.3390/ijerph14020163","http://dx.doi.org/10.3390/ijerph14020163")</f>
        <v/>
      </c>
      <c r="BJ410" t="n">
        <v>13</v>
      </c>
      <c r="BK410" t="inlineStr">
        <is>
          <t>Environmental Sciences; Public, Environmental &amp; Occupational Health</t>
        </is>
      </c>
      <c r="BL410" t="inlineStr">
        <is>
          <t>Science Citation Index Expanded (SCI-EXPANDED); Social Science Citation Index (SSCI)</t>
        </is>
      </c>
      <c r="BM410" t="inlineStr">
        <is>
          <t>Environmental Sciences &amp; Ecology; Public, Environmental &amp; Occupational Health</t>
        </is>
      </c>
      <c r="BN410" t="inlineStr">
        <is>
          <t>EM7CA</t>
        </is>
      </c>
      <c r="BO410" t="n">
        <v>28208748</v>
      </c>
      <c r="BP410" t="inlineStr">
        <is>
          <t>Green Submitted, Green Published, gold</t>
        </is>
      </c>
      <c r="BS410" t="inlineStr">
        <is>
          <t>2023-10-26</t>
        </is>
      </c>
      <c r="BT410" t="inlineStr">
        <is>
          <t>WOS:000395467900055</t>
        </is>
      </c>
      <c r="BU410">
        <f>HYPERLINK("https%3A%2F%2Fwww.webofscience.com%2Fwos%2Fwoscc%2Ffull-record%2FWOS:000395467900055","View Full Record in Web of Science")</f>
        <v/>
      </c>
    </row>
    <row r="411">
      <c r="A411" t="inlineStr">
        <is>
          <t>J</t>
        </is>
      </c>
      <c r="B411" t="inlineStr">
        <is>
          <t>Han, H; Lho, LH; Kim, HC</t>
        </is>
      </c>
      <c r="F411" t="inlineStr">
        <is>
          <t>Han, Heesup; Lho, Linda Heejung; Kim, Hyeon-Cheol</t>
        </is>
      </c>
      <c r="J411" t="inlineStr">
        <is>
          <t>SUSTAINABILITY</t>
        </is>
      </c>
      <c r="M411" t="inlineStr">
        <is>
          <t>English</t>
        </is>
      </c>
      <c r="N411" t="inlineStr">
        <is>
          <t>Article</t>
        </is>
      </c>
      <c r="T411" t="inlineStr">
        <is>
          <t>Airport Green Environment and Its Influence on Visitors' Psychological Health and Behaviors</t>
        </is>
      </c>
      <c r="U411" t="inlineStr">
        <is>
          <t>airport green built environment; psychological resilience; airport visitors; healthy atmospherics; brand-self connection; loyalty intentions</t>
        </is>
      </c>
      <c r="V411" t="inlineStr">
        <is>
          <t>MENTAL-HEALTH; CUSTOMER SATISFACTION; GENDER; INTENTION; DECISION; LOYALTY; INDOOR; ATTRIBUTES; ATTACHMENT; BUILDINGS</t>
        </is>
      </c>
      <c r="W411" t="inlineStr">
        <is>
          <t>This study uncovered the influence of an airport's green physical environment on visitors' psychological responses, affective responses, and loyalty behaviors as well as to build a sturdy theorization that related to the psychological resilience, attitude, satisfaction, brand-self connection, and loyalty for the airport. Based on a quantitative approach, our findings provided insight that a green physical environment affected the psychological resilience considerably. Moreover, such association increased a visitor's positive attitude, satisfaction, and brand-self connection with the creation of loyalty intentions. The prominent role of attitude in building loyalty intentions was unearthed. Our finding from a metric invariance test further showed that gender moderated the magnitude of the effect of satisfaction and brand-self connection on loyalty intentions. The study variables' role of mediating effect was also recognizable. Overall, the present study demonstrated the criticality of a green built environment and its role in explicating visitor responses/behaviors in the airport context in a successful manner.</t>
        </is>
      </c>
      <c r="X411" t="inlineStr">
        <is>
          <t>[Han, Heesup; Lho, Linda Heejung] Sejong Univ, Coll Hospitality &amp; Tourism Management, Seoul 143747, South Korea; [Kim, Hyeon-Cheol] Chung Ang Univ, Sch Business Adm, Seoul 06974, South Korea</t>
        </is>
      </c>
      <c r="Y411" t="inlineStr">
        <is>
          <t>Sejong University; Chung Ang University</t>
        </is>
      </c>
      <c r="Z411" t="inlineStr">
        <is>
          <t>Kim, HC (corresponding author), Chung Ang Univ, Sch Business Adm, Seoul 06974, South Korea.</t>
        </is>
      </c>
      <c r="AA411" t="inlineStr">
        <is>
          <t>heesup.han@gmail.com; heeelho@gmail.com; hckim@cau.ac.kr</t>
        </is>
      </c>
      <c r="AB411" t="inlineStr">
        <is>
          <t>Han, Heesup/H-9859-2013</t>
        </is>
      </c>
      <c r="AC411" t="inlineStr">
        <is>
          <t>Han, Heesup/0000-0001-6356-3001</t>
        </is>
      </c>
      <c r="AH411" t="n">
        <v>53</v>
      </c>
      <c r="AI411" t="n">
        <v>5</v>
      </c>
      <c r="AJ411" t="n">
        <v>5</v>
      </c>
      <c r="AK411" t="n">
        <v>4</v>
      </c>
      <c r="AL411" t="n">
        <v>15</v>
      </c>
      <c r="AM411" t="inlineStr">
        <is>
          <t>MDPI</t>
        </is>
      </c>
      <c r="AN411" t="inlineStr">
        <is>
          <t>BASEL</t>
        </is>
      </c>
      <c r="AO411" t="inlineStr">
        <is>
          <t>ST ALBAN-ANLAGE 66, CH-4052 BASEL, SWITZERLAND</t>
        </is>
      </c>
      <c r="AQ411" t="inlineStr">
        <is>
          <t>2071-1050</t>
        </is>
      </c>
      <c r="AS411" t="inlineStr">
        <is>
          <t>SUSTAINABILITY-BASEL</t>
        </is>
      </c>
      <c r="AT411" t="inlineStr">
        <is>
          <t>Sustainability</t>
        </is>
      </c>
      <c r="AU411" t="inlineStr">
        <is>
          <t>DEC 2</t>
        </is>
      </c>
      <c r="AV411" t="n">
        <v>2019</v>
      </c>
      <c r="AW411" t="n">
        <v>11</v>
      </c>
      <c r="AX411" t="n">
        <v>24</v>
      </c>
      <c r="BE411" t="n">
        <v>7018</v>
      </c>
      <c r="BF411" t="inlineStr">
        <is>
          <t>10.3390/su11247018</t>
        </is>
      </c>
      <c r="BG411">
        <f>HYPERLINK("http://dx.doi.org/10.3390/su11247018","http://dx.doi.org/10.3390/su11247018")</f>
        <v/>
      </c>
      <c r="BJ411" t="n">
        <v>15</v>
      </c>
      <c r="BK411" t="inlineStr">
        <is>
          <t>Green &amp; Sustainable Science &amp; Technology; Environmental Sciences; Environmental Studies</t>
        </is>
      </c>
      <c r="BL411" t="inlineStr">
        <is>
          <t>Science Citation Index Expanded (SCI-EXPANDED); Social Science Citation Index (SSCI)</t>
        </is>
      </c>
      <c r="BM411" t="inlineStr">
        <is>
          <t>Science &amp; Technology - Other Topics; Environmental Sciences &amp; Ecology</t>
        </is>
      </c>
      <c r="BN411" t="inlineStr">
        <is>
          <t>KC0SU</t>
        </is>
      </c>
      <c r="BP411" t="inlineStr">
        <is>
          <t>gold, Green Published</t>
        </is>
      </c>
      <c r="BS411" t="inlineStr">
        <is>
          <t>2023-10-26</t>
        </is>
      </c>
      <c r="BT411" t="inlineStr">
        <is>
          <t>WOS:000506899000128</t>
        </is>
      </c>
      <c r="BU411">
        <f>HYPERLINK("https%3A%2F%2Fwww.webofscience.com%2Fwos%2Fwoscc%2Ffull-record%2FWOS:000506899000128","View Full Record in Web of Science")</f>
        <v/>
      </c>
    </row>
    <row r="412">
      <c r="A412" t="inlineStr">
        <is>
          <t>J</t>
        </is>
      </c>
      <c r="B412" t="inlineStr">
        <is>
          <t>Lee, GB; Lee, SM; Lee, SE; Jeong, JW; Lee, JW</t>
        </is>
      </c>
      <c r="F412" t="inlineStr">
        <is>
          <t>Lee, Gyu-Bae; Lee, Seung-Min; Lee, Seung-Eon; Jeong, Jae-Weon; Lee, Jong-Won</t>
        </is>
      </c>
      <c r="J412" t="inlineStr">
        <is>
          <t>INTERNATIONAL JOURNAL OF ENVIRONMENTAL RESEARCH AND PUBLIC HEALTH</t>
        </is>
      </c>
      <c r="M412" t="inlineStr">
        <is>
          <t>English</t>
        </is>
      </c>
      <c r="N412" t="inlineStr">
        <is>
          <t>Article</t>
        </is>
      </c>
      <c r="T412" t="inlineStr">
        <is>
          <t>A Comparative Field Study of Indoor Environment Quality and Work Productivity between Job Types in a Research Institute in Korea</t>
        </is>
      </c>
      <c r="U412" t="inlineStr">
        <is>
          <t>indoor environmental quality (IEQ); occupant satisfaction survey; work productivity; research institute; job types</t>
        </is>
      </c>
      <c r="V412" t="inlineStr">
        <is>
          <t>OCCUPANT SATISFACTION; IEQ; PERFORMANCE; VENTILATION; PERCEPTION; IMPACTS</t>
        </is>
      </c>
      <c r="W412" t="inlineStr">
        <is>
          <t>Indoor environment quality (IEQ) evaluation can help improve building satisfaction and productivity of residents. However, for more efficient analysis, it is necessary to gain a large amount of data on the differences between specific groups, such as building and resident work types. In this study, we conducted an IEQ evaluation for administrators and researchers, which are occupational groups of a research institute. The evaluation was conducted using quantitative and qualitative methods to find the relationships between IEQ satisfaction and work productivity for each job type. Our results showed that light environment and office layout were correlated with the work productivity of administrators, and light environment, office layout, thermal comfort, and sound environment were correlated with the work productivity of researchers. In addition, there was a significant difference in layout and thermal comfort items between administrators and researchers. Therefore, this study revealed significant differences in the effect of IEQ evaluation on work productivity between different occupations in a research institute.</t>
        </is>
      </c>
      <c r="X412" t="inlineStr">
        <is>
          <t>[Lee, Gyu-Bae; Jeong, Jae-Weon; Lee, Jong-Won] Hanyang Univ, Coll Engn, Dept Architectural Engn, Seoul 04763, South Korea; [Lee, Seung-Min; Lee, Seung-Eon; Lee, Jong-Won] Korea Inst Civil Engn &amp; Bldg Technol, 283 Goyang Daero, Goyang Si 10223, South Korea</t>
        </is>
      </c>
      <c r="Y412" t="inlineStr">
        <is>
          <t>Hanyang University; Korea Institute of Civil Engineering &amp; Building Technology (KICT)</t>
        </is>
      </c>
      <c r="Z412" t="inlineStr">
        <is>
          <t>Lee, JW (corresponding author), Hanyang Univ, Coll Engn, Dept Architectural Engn, Seoul 04763, South Korea.;Lee, JW (corresponding author), Korea Inst Civil Engn &amp; Bldg Technol, 283 Goyang Daero, Goyang Si 10223, South Korea.</t>
        </is>
      </c>
      <c r="AA412" t="inlineStr">
        <is>
          <t>jongwonlee@kict.re.kr</t>
        </is>
      </c>
      <c r="AB412" t="inlineStr">
        <is>
          <t>JEONG, JAE-WEON/AAM-3030-2021</t>
        </is>
      </c>
      <c r="AC412" t="inlineStr">
        <is>
          <t>JEONG, JAE-WEON/0000-0002-5391-3298; Lee, Jong-Won/0000-0002-6602-035X</t>
        </is>
      </c>
      <c r="AD412" t="inlineStr">
        <is>
          <t>Major Project of the Korea Institute of Civil Engineering and Building Technology (KICT) [20220260-001]; National Research Council of Science &amp; Technology (NST), Republic of Korea [20220260-001] Funding Source: Korea Institute of Science &amp; Technology Information (KISTI), National Science &amp; Technology Information Service (NTIS)</t>
        </is>
      </c>
      <c r="AE412" t="inlineStr">
        <is>
          <t>Major Project of the Korea Institute of Civil Engineering and Building Technology (KICT); National Research Council of Science &amp; Technology (NST), Republic of Korea(National Research Council of Science &amp; Technology (NST), Republic of Korea)</t>
        </is>
      </c>
      <c r="AF412" t="inlineStr">
        <is>
          <t>This research was funded by the Major Project of the Korea Institute of Civil Engineering and Building Technology (KICT) (grant number 20220260-001).</t>
        </is>
      </c>
      <c r="AH412" t="n">
        <v>58</v>
      </c>
      <c r="AI412" t="n">
        <v>1</v>
      </c>
      <c r="AJ412" t="n">
        <v>1</v>
      </c>
      <c r="AK412" t="n">
        <v>7</v>
      </c>
      <c r="AL412" t="n">
        <v>16</v>
      </c>
      <c r="AM412" t="inlineStr">
        <is>
          <t>MDPI</t>
        </is>
      </c>
      <c r="AN412" t="inlineStr">
        <is>
          <t>BASEL</t>
        </is>
      </c>
      <c r="AO412" t="inlineStr">
        <is>
          <t>ST ALBAN-ANLAGE 66, CH-4052 BASEL, SWITZERLAND</t>
        </is>
      </c>
      <c r="AQ412" t="inlineStr">
        <is>
          <t>1660-4601</t>
        </is>
      </c>
      <c r="AS412" t="inlineStr">
        <is>
          <t>INT J ENV RES PUB HE</t>
        </is>
      </c>
      <c r="AT412" t="inlineStr">
        <is>
          <t>Int. J. Environ. Res. Public Health</t>
        </is>
      </c>
      <c r="AU412" t="inlineStr">
        <is>
          <t>NOV</t>
        </is>
      </c>
      <c r="AV412" t="n">
        <v>2022</v>
      </c>
      <c r="AW412" t="n">
        <v>19</v>
      </c>
      <c r="AX412" t="n">
        <v>21</v>
      </c>
      <c r="BE412" t="n">
        <v>14332</v>
      </c>
      <c r="BF412" t="inlineStr">
        <is>
          <t>10.3390/ijerph192114332</t>
        </is>
      </c>
      <c r="BG412">
        <f>HYPERLINK("http://dx.doi.org/10.3390/ijerph192114332","http://dx.doi.org/10.3390/ijerph192114332")</f>
        <v/>
      </c>
      <c r="BJ412" t="n">
        <v>17</v>
      </c>
      <c r="BK412" t="inlineStr">
        <is>
          <t>Environmental Sciences; Public, Environmental &amp; Occupational Health</t>
        </is>
      </c>
      <c r="BL412" t="inlineStr">
        <is>
          <t>Science Citation Index Expanded (SCI-EXPANDED); Social Science Citation Index (SSCI)</t>
        </is>
      </c>
      <c r="BM412" t="inlineStr">
        <is>
          <t>Environmental Sciences &amp; Ecology; Public, Environmental &amp; Occupational Health</t>
        </is>
      </c>
      <c r="BN412" t="inlineStr">
        <is>
          <t>6F2NV</t>
        </is>
      </c>
      <c r="BO412" t="n">
        <v>36361213</v>
      </c>
      <c r="BP412" t="inlineStr">
        <is>
          <t>Green Published, gold</t>
        </is>
      </c>
      <c r="BS412" t="inlineStr">
        <is>
          <t>2023-10-26</t>
        </is>
      </c>
      <c r="BT412" t="inlineStr">
        <is>
          <t>WOS:000883905300001</t>
        </is>
      </c>
      <c r="BU412">
        <f>HYPERLINK("https%3A%2F%2Fwww.webofscience.com%2Fwos%2Fwoscc%2Ffull-record%2FWOS:000883905300001","View Full Record in Web of Science")</f>
        <v/>
      </c>
    </row>
    <row r="413">
      <c r="A413" t="inlineStr">
        <is>
          <t>J</t>
        </is>
      </c>
      <c r="B413" t="inlineStr">
        <is>
          <t>González, E; Requena, C; Alvarez-Merino, P</t>
        </is>
      </c>
      <c r="F413" t="inlineStr">
        <is>
          <t>Gonzalez, Estela; Requena, Carmen; Alvarez-Merino, Paula</t>
        </is>
      </c>
      <c r="J413" t="inlineStr">
        <is>
          <t>INTERNATIONAL JOURNAL OF ENVIRONMENTAL RESEARCH AND PUBLIC HEALTH</t>
        </is>
      </c>
      <c r="M413" t="inlineStr">
        <is>
          <t>English</t>
        </is>
      </c>
      <c r="N413" t="inlineStr">
        <is>
          <t>Article</t>
        </is>
      </c>
      <c r="T413" t="inlineStr">
        <is>
          <t>Single Time-Point Study of the Home Environment and Functionality of Older Adults in Spain</t>
        </is>
      </c>
      <c r="U413" t="inlineStr">
        <is>
          <t>home; cognitive function; quality of life; older adults; healthy aging</t>
        </is>
      </c>
      <c r="V413" t="inlineStr">
        <is>
          <t>PEOPLE; DECLINE; HEALTH; CARE</t>
        </is>
      </c>
      <c r="W413" t="inlineStr">
        <is>
          <t>Background: The literature favors discussion on socio-spatial conditions at the macro- (city) and micro- (housing) level that promote healthy aging in place. Objectives: (a) Identify the association between physical and social characteristics of the family home and the functional level and quality of life of older people and (b) provide normative data on adequate/inadequate households based on the Home Observation for Measurement of the Environment (HOME) inventory and the Spanish Informant Questionnaire on Cognitive Decline in the Elderly (S-IQCODE) test. Methods: In total, 79 healthy older adults completed the HOME inventory and the Montreal Cognitive Assessment (MoCA), S-IQCODE, Kessler Psychological Distress Scale (K-10) and ICEpop CAPability measure for Older people (ICECAP-O) tests. A regression model, the effect size and the means of the scores of HOME (adequate/inadequate) test and the cognitive level (optimal/normal) were calculated. Results: The regression model discloses that adequate home scores are associated with cognitive level (odds ratio (OR): 0.955, confidence interval (CI)95%: 0.918-0.955); quality of life (OR: 6.542, CI95%: 1.750-24.457), living with other people (OR: 5.753, CI95%: 1.456-22.733) and level of education (OR: 0.252, CI95%: 0.064-0.991). The normative data between HOME and S-IQCODE scores showed a good adjustment (d = 0.70). Conclusion: There is a significant relationship between the physical environment of the home and personal variables (sociodemographic information, quality of life and cognitive functionality). In addition, from this last variable, the normative data of an adequate/inadequate household for an older person have been established.</t>
        </is>
      </c>
      <c r="X413" t="inlineStr">
        <is>
          <t>[Gonzalez, Estela; Requena, Carmen] Univ Leon, Fac Educ, Dept Psicol Sociol &amp; Filosofia, Leon 24071, Spain; [Alvarez-Merino, Paula] Catedra Envejecimiento Todas Edades, Leon 24071, Spain</t>
        </is>
      </c>
      <c r="Y413" t="inlineStr">
        <is>
          <t>Universidad de Leon</t>
        </is>
      </c>
      <c r="Z413" t="inlineStr">
        <is>
          <t>González, E (corresponding author), Univ Leon, Fac Educ, Dept Psicol Sociol &amp; Filosofia, Leon 24071, Spain.</t>
        </is>
      </c>
      <c r="AA413" t="inlineStr">
        <is>
          <t>egonzg11@estudiantes.unileon.es; c.requena@unileon.es; paulaalvarezmerino@gmail.com</t>
        </is>
      </c>
      <c r="AB413" t="inlineStr">
        <is>
          <t>Requena, Carmen/ABG-6994-2020; Requena, Carmen MC/J-6849-2014</t>
        </is>
      </c>
      <c r="AC413" t="inlineStr">
        <is>
          <t>Requena, Carmen/0000-0003-2427-8608; Requena, Carmen MC/0000-0003-2427-8608; Gonzalez-Gonzalez, Estela/0000-0002-3190-0103; Alvarez Merino, Paula/0000-0002-6859-2546</t>
        </is>
      </c>
      <c r="AD413" t="inlineStr">
        <is>
          <t>Ponferrada City Council [0-181]</t>
        </is>
      </c>
      <c r="AE413" t="inlineStr">
        <is>
          <t>Ponferrada City Council</t>
        </is>
      </c>
      <c r="AF413" t="inlineStr">
        <is>
          <t>This research was funded by the Ponferrada City Council, grant number 0-181.</t>
        </is>
      </c>
      <c r="AH413" t="n">
        <v>35</v>
      </c>
      <c r="AI413" t="n">
        <v>5</v>
      </c>
      <c r="AJ413" t="n">
        <v>6</v>
      </c>
      <c r="AK413" t="n">
        <v>3</v>
      </c>
      <c r="AL413" t="n">
        <v>10</v>
      </c>
      <c r="AM413" t="inlineStr">
        <is>
          <t>MDPI</t>
        </is>
      </c>
      <c r="AN413" t="inlineStr">
        <is>
          <t>BASEL</t>
        </is>
      </c>
      <c r="AO413" t="inlineStr">
        <is>
          <t>ST ALBAN-ANLAGE 66, CH-4052 BASEL, SWITZERLAND</t>
        </is>
      </c>
      <c r="AQ413" t="inlineStr">
        <is>
          <t>1660-4601</t>
        </is>
      </c>
      <c r="AS413" t="inlineStr">
        <is>
          <t>INT J ENV RES PUB HE</t>
        </is>
      </c>
      <c r="AT413" t="inlineStr">
        <is>
          <t>Int. J. Environ. Res. Public Health</t>
        </is>
      </c>
      <c r="AU413" t="inlineStr">
        <is>
          <t>NOV</t>
        </is>
      </c>
      <c r="AV413" t="n">
        <v>2020</v>
      </c>
      <c r="AW413" t="n">
        <v>17</v>
      </c>
      <c r="AX413" t="n">
        <v>22</v>
      </c>
      <c r="BE413" t="n">
        <v>8317</v>
      </c>
      <c r="BF413" t="inlineStr">
        <is>
          <t>10.3390/ijerph17228317</t>
        </is>
      </c>
      <c r="BG413">
        <f>HYPERLINK("http://dx.doi.org/10.3390/ijerph17228317","http://dx.doi.org/10.3390/ijerph17228317")</f>
        <v/>
      </c>
      <c r="BJ413" t="n">
        <v>12</v>
      </c>
      <c r="BK413" t="inlineStr">
        <is>
          <t>Environmental Sciences; Public, Environmental &amp; Occupational Health</t>
        </is>
      </c>
      <c r="BL413" t="inlineStr">
        <is>
          <t>Science Citation Index Expanded (SCI-EXPANDED); Social Science Citation Index (SSCI)</t>
        </is>
      </c>
      <c r="BM413" t="inlineStr">
        <is>
          <t>Environmental Sciences &amp; Ecology; Public, Environmental &amp; Occupational Health</t>
        </is>
      </c>
      <c r="BN413" t="inlineStr">
        <is>
          <t>OZ5ZN</t>
        </is>
      </c>
      <c r="BO413" t="n">
        <v>33182788</v>
      </c>
      <c r="BP413" t="inlineStr">
        <is>
          <t>Green Published, gold</t>
        </is>
      </c>
      <c r="BS413" t="inlineStr">
        <is>
          <t>2023-10-26</t>
        </is>
      </c>
      <c r="BT413" t="inlineStr">
        <is>
          <t>WOS:000595004100001</t>
        </is>
      </c>
      <c r="BU413">
        <f>HYPERLINK("https%3A%2F%2Fwww.webofscience.com%2Fwos%2Fwoscc%2Ffull-record%2FWOS:000595004100001","View Full Record in Web of Science")</f>
        <v/>
      </c>
    </row>
    <row r="414">
      <c r="A414" t="inlineStr">
        <is>
          <t>J</t>
        </is>
      </c>
      <c r="B414" t="inlineStr">
        <is>
          <t>Jin, H; Liu, ZM; Jin, YM; Kang, J; Liu, J</t>
        </is>
      </c>
      <c r="F414" t="inlineStr">
        <is>
          <t>Jin, Hong; Liu, Zheming; Jin, Yumeng; Kang, Jian; Liu, Jing</t>
        </is>
      </c>
      <c r="J414" t="inlineStr">
        <is>
          <t>SUSTAINABILITY</t>
        </is>
      </c>
      <c r="M414" t="inlineStr">
        <is>
          <t>English</t>
        </is>
      </c>
      <c r="N414" t="inlineStr">
        <is>
          <t>Article</t>
        </is>
      </c>
      <c r="T414" t="inlineStr">
        <is>
          <t>The Effects of Residential Area Building Layout on Outdoor Wind Environment at the Pedestrian Level in Severe Cold Regions of China</t>
        </is>
      </c>
      <c r="U414" t="inlineStr">
        <is>
          <t>outdoor wind environment; building layout; numerical simulation; residential areas; severe cold regions</t>
        </is>
      </c>
      <c r="V414" t="inlineStr">
        <is>
          <t>THERMAL COMFORT; URBAN GEOMETRY; SIMULATION; TUNNEL; FIELD; MICROCLIMATE; MORTALITY; CLIMATE; HEIGHT</t>
        </is>
      </c>
      <c r="W414" t="inlineStr">
        <is>
          <t>In recent years, there has been a frequent occurrence of extremely cold conditions which has had a serious impact on the life of residents of buildings in various locations around the world. However, there have only been a very limited number of studies on the effects of residential area building layout on the winter wind environments, which led to a lack of quantitative guidance for residential area planning in severely cold regions. This study aims to reveal the relationship between (1) the residential areas' building density, floor area ratio, wind projection angle, average building height, and relative position of high-rise buildings, and; (2) the mean wind velocity ratio at pedestrian level in severe cold regions. In this study, the pedestrian-level outdoor wind environments in 24 typical residential areas of Harbin, China, are simulated using ENVI-met software. The results show that the relative position of high-rise buildings in multi-high-level mixed residential areas has little influence on the mean wind velocity ratio, and the maximum difference is 0.04. The factors of building layout have little influence on the mean wind velocity ratio of multistory residential areas. However, a significant linear correlation exists between the mean wind velocity ratio of high-rise residential areas and both the building density and wind projection angle. The prediction model of the mean pedestrian-level wind velocity ratio was then established.</t>
        </is>
      </c>
      <c r="X414" t="inlineStr">
        <is>
          <t>[Jin, Hong; Liu, Zheming; Jin, Yumeng; Kang, Jian; Liu, Jing] Harbin Inst Technol, Sch Architecture, Heilongjiang Cold Reg Architectural Sci Key Lab, Harbin 15000, Heilongjiang, Peoples R China; [Kang, Jian] Univ Sheffield, Sch Architecture, Sheffield S10 2TN, S Yorkshire, England</t>
        </is>
      </c>
      <c r="Y414" t="inlineStr">
        <is>
          <t>Harbin Institute of Technology; University of Sheffield</t>
        </is>
      </c>
      <c r="Z414" t="inlineStr">
        <is>
          <t>Kang, J (corresponding author), Harbin Inst Technol, Sch Architecture, Heilongjiang Cold Reg Architectural Sci Key Lab, Harbin 15000, Heilongjiang, Peoples R China.;Kang, J (corresponding author), Univ Sheffield, Sch Architecture, Sheffield S10 2TN, S Yorkshire, England.</t>
        </is>
      </c>
      <c r="AA414" t="inlineStr">
        <is>
          <t>jinhong@hit.edu.cn; zhemingliu_umn@outlook.com; jin_ymats@163.com; j.kang@sheffield.ac.uk; liujinghit0@163.com</t>
        </is>
      </c>
      <c r="AB414" t="inlineStr">
        <is>
          <t>LIU, zhe/HGD-6875-2022</t>
        </is>
      </c>
      <c r="AC414" t="inlineStr">
        <is>
          <t>Kang, Jian/0000-0001-8995-5636; Jin, Yumeng/0000-0003-3251-595X</t>
        </is>
      </c>
      <c r="AD414" t="inlineStr">
        <is>
          <t>National Natural Science Foundation of China [51438005]</t>
        </is>
      </c>
      <c r="AE414" t="inlineStr">
        <is>
          <t>National Natural Science Foundation of China(National Natural Science Foundation of China (NSFC))</t>
        </is>
      </c>
      <c r="AF414" t="inlineStr">
        <is>
          <t>This work was financially supported by the National Natural Science Foundation of China (Grant Number: 51438005).</t>
        </is>
      </c>
      <c r="AH414" t="n">
        <v>31</v>
      </c>
      <c r="AI414" t="n">
        <v>31</v>
      </c>
      <c r="AJ414" t="n">
        <v>32</v>
      </c>
      <c r="AK414" t="n">
        <v>8</v>
      </c>
      <c r="AL414" t="n">
        <v>79</v>
      </c>
      <c r="AM414" t="inlineStr">
        <is>
          <t>MDPI</t>
        </is>
      </c>
      <c r="AN414" t="inlineStr">
        <is>
          <t>BASEL</t>
        </is>
      </c>
      <c r="AO414" t="inlineStr">
        <is>
          <t>ST ALBAN-ANLAGE 66, CH-4052 BASEL, SWITZERLAND</t>
        </is>
      </c>
      <c r="AQ414" t="inlineStr">
        <is>
          <t>2071-1050</t>
        </is>
      </c>
      <c r="AS414" t="inlineStr">
        <is>
          <t>SUSTAINABILITY-BASEL</t>
        </is>
      </c>
      <c r="AT414" t="inlineStr">
        <is>
          <t>Sustainability</t>
        </is>
      </c>
      <c r="AU414" t="inlineStr">
        <is>
          <t>DEC</t>
        </is>
      </c>
      <c r="AV414" t="n">
        <v>2017</v>
      </c>
      <c r="AW414" t="n">
        <v>9</v>
      </c>
      <c r="AX414" t="n">
        <v>12</v>
      </c>
      <c r="BE414" t="n">
        <v>2310</v>
      </c>
      <c r="BF414" t="inlineStr">
        <is>
          <t>10.3390/su9122310</t>
        </is>
      </c>
      <c r="BG414">
        <f>HYPERLINK("http://dx.doi.org/10.3390/su9122310","http://dx.doi.org/10.3390/su9122310")</f>
        <v/>
      </c>
      <c r="BJ414" t="n">
        <v>18</v>
      </c>
      <c r="BK414" t="inlineStr">
        <is>
          <t>Green &amp; Sustainable Science &amp; Technology; Environmental Sciences; Environmental Studies</t>
        </is>
      </c>
      <c r="BL414" t="inlineStr">
        <is>
          <t>Science Citation Index Expanded (SCI-EXPANDED); Social Science Citation Index (SSCI)</t>
        </is>
      </c>
      <c r="BM414" t="inlineStr">
        <is>
          <t>Science &amp; Technology - Other Topics; Environmental Sciences &amp; Ecology</t>
        </is>
      </c>
      <c r="BN414" t="inlineStr">
        <is>
          <t>FR7FA</t>
        </is>
      </c>
      <c r="BP414" t="inlineStr">
        <is>
          <t>Green Accepted, Green Submitted, Green Published, gold</t>
        </is>
      </c>
      <c r="BS414" t="inlineStr">
        <is>
          <t>2023-10-26</t>
        </is>
      </c>
      <c r="BT414" t="inlineStr">
        <is>
          <t>WOS:000419231500156</t>
        </is>
      </c>
      <c r="BU414">
        <f>HYPERLINK("https%3A%2F%2Fwww.webofscience.com%2Fwos%2Fwoscc%2Ffull-record%2FWOS:000419231500156","View Full Record in Web of Science")</f>
        <v/>
      </c>
    </row>
    <row r="415">
      <c r="A415" t="inlineStr">
        <is>
          <t>J</t>
        </is>
      </c>
      <c r="B415" t="inlineStr">
        <is>
          <t>Reber, L; Kreschmer, JM; James, TG; Junior, JD; DeShong, GL; Parker, S; Meade, MA</t>
        </is>
      </c>
      <c r="F415" t="inlineStr">
        <is>
          <t>Reber, Lisa; Kreschmer, Jodi M.; James, Tyler G.; Junior, Jaime D.; DeShong, Gina L.; Parker, Shan; Meade, Michelle A.</t>
        </is>
      </c>
      <c r="J415" t="inlineStr">
        <is>
          <t>INTERNATIONAL JOURNAL OF ENVIRONMENTAL RESEARCH AND PUBLIC HEALTH</t>
        </is>
      </c>
      <c r="M415" t="inlineStr">
        <is>
          <t>English</t>
        </is>
      </c>
      <c r="N415" t="inlineStr">
        <is>
          <t>Article</t>
        </is>
      </c>
      <c r="T415" t="inlineStr">
        <is>
          <t>Ableism and Contours of the Attitudinal Environment as Identified by Adults with Long-Term Physical Disabilities: A Qualitative Study</t>
        </is>
      </c>
      <c r="U415" t="inlineStr">
        <is>
          <t>International Classification of Functioning; Disability and Health; attitudinal environment; structural ableism; QOL; stigma; discrimination; physical disability</t>
        </is>
      </c>
      <c r="V415" t="inlineStr">
        <is>
          <t>STRUCTURAL STIGMA; PEOPLE; PERSPECTIVE; DISCRIMINATION; PARTICIPATION; POVERTY</t>
        </is>
      </c>
      <c r="W415" t="inlineStr">
        <is>
          <t>Adults with physical disabilities experience a continuum of enabling and disabling attitudes in the environment. This study identified where adults with physical disabilities experience the attitudinal environment, the continuum of those attitudes, and how they impact emotional and psychological health and well-being. Focus groups and interviews were conducted in 2019 and 2020 with adults with physical disabilities in southeastern Michigan in the United States. Participants discussed environmental factors that impact healthy aging. From an initial thematic coding of narratives, the attitudinal environment was identified. Transcripts were recoded and analyzed focusing on societal attitudes. Qualitative analyses revealed that participants did not experience societal attitudes as simply positive or negative, and that the contexts in which these attitudes were expressed were not limited to interpersonal interactions. Rather, these attitudes were also experienced in the built environment and through social institutions and organizations and their programs, systems, and structures that provide or deny needed accommodations, resources, and support. The spectrum of overlapping attitudes that participants articulated ranged from understanding and supportive, to not understanding, to being viewed and treated as less than human. Societal structures reflect and influence societal attitudes and have material consequences on the lives of adults with physical disabilities.</t>
        </is>
      </c>
      <c r="X415" t="inlineStr">
        <is>
          <t>[Reber, Lisa; Kreschmer, Jodi M.; Meade, Michelle A.] Univ Michigan, Dept Phys Med &amp; Rehabil, Ann Arbor, MI 48108 USA; [James, Tyler G.] Univ Michigan, Dept Family Med, Ann Arbor, MI 48104 USA; [Junior, Jaime D.] Civil Rights Inclus &amp; Opportun Dept, Detroit, MI 48226 USA; [DeShong, Gina L.] Disabil Network, Flint, MI 48507 USA; [Parker, Shan] Univ Michigan, Dept Publ Hlth &amp; Hlth Sci, Flint, MI 48502 USA</t>
        </is>
      </c>
      <c r="Y415" t="inlineStr">
        <is>
          <t>University of Michigan System; University of Michigan; University of Michigan System; University of Michigan; University of Michigan System; University of Michigan Flint; University of Michigan</t>
        </is>
      </c>
      <c r="Z415" t="inlineStr">
        <is>
          <t>Reber, L (corresponding author), Univ Michigan, Dept Phys Med &amp; Rehabil, Ann Arbor, MI 48108 USA.</t>
        </is>
      </c>
      <c r="AA415" t="inlineStr">
        <is>
          <t>ereberri@med.umich.edu; kreschme@med.umich.edu; jamesty@med.umich.edu; jamiedjunior@outlook.com; ginad@disnetwork.org; shanpark@umich.edu; mameade@med.umich.edu</t>
        </is>
      </c>
      <c r="AB415" t="inlineStr">
        <is>
          <t>Santana, Elaine/GNP-2710-2022</t>
        </is>
      </c>
      <c r="AC415" t="inlineStr">
        <is>
          <t>Reber, Lisa/0000-0002-2158-9358; Meade, Michelle/0000-0002-7840-6364; James, Tyler/0000-0002-0694-4702</t>
        </is>
      </c>
      <c r="AD415" t="inlineStr">
        <is>
          <t>National Institute on Disability, Independent Living, and Rehabilitation Research (NIDILRR) [90RTHF0001]; Mcubed program from the University of Michigan; NIDILRR [90RTHF0001, 1098660] Funding Source: Federal RePORTER</t>
        </is>
      </c>
      <c r="AE415" t="inlineStr">
        <is>
          <t>National Institute on Disability, Independent Living, and Rehabilitation Research (NIDILRR)(United States Department of Health &amp; Human Services); Mcubed program from the University of Michigan; NIDILRR(United States Department of Health &amp; Human Services)</t>
        </is>
      </c>
      <c r="AF415" t="inlineStr">
        <is>
          <t>This research was supported by the National Institute on Disability, Independent Living, and Rehabilitation Research (NIDILRR) 90RTHF0001. This project was partially funded by the Mcubed program from the University of Michigan.</t>
        </is>
      </c>
      <c r="AH415" t="n">
        <v>53</v>
      </c>
      <c r="AI415" t="n">
        <v>2</v>
      </c>
      <c r="AJ415" t="n">
        <v>2</v>
      </c>
      <c r="AK415" t="n">
        <v>1</v>
      </c>
      <c r="AL415" t="n">
        <v>3</v>
      </c>
      <c r="AM415" t="inlineStr">
        <is>
          <t>MDPI</t>
        </is>
      </c>
      <c r="AN415" t="inlineStr">
        <is>
          <t>BASEL</t>
        </is>
      </c>
      <c r="AO415" t="inlineStr">
        <is>
          <t>ST ALBAN-ANLAGE 66, CH-4052 BASEL, SWITZERLAND</t>
        </is>
      </c>
      <c r="AQ415" t="inlineStr">
        <is>
          <t>1660-4601</t>
        </is>
      </c>
      <c r="AS415" t="inlineStr">
        <is>
          <t>INT J ENV RES PUB HE</t>
        </is>
      </c>
      <c r="AT415" t="inlineStr">
        <is>
          <t>Int. J. Environ. Res. Public Health</t>
        </is>
      </c>
      <c r="AU415" t="inlineStr">
        <is>
          <t>JUN</t>
        </is>
      </c>
      <c r="AV415" t="n">
        <v>2022</v>
      </c>
      <c r="AW415" t="n">
        <v>19</v>
      </c>
      <c r="AX415" t="n">
        <v>12</v>
      </c>
      <c r="BE415" t="n">
        <v>7469</v>
      </c>
      <c r="BF415" t="inlineStr">
        <is>
          <t>10.3390/ijerph19127469</t>
        </is>
      </c>
      <c r="BG415">
        <f>HYPERLINK("http://dx.doi.org/10.3390/ijerph19127469","http://dx.doi.org/10.3390/ijerph19127469")</f>
        <v/>
      </c>
      <c r="BJ415" t="n">
        <v>22</v>
      </c>
      <c r="BK415" t="inlineStr">
        <is>
          <t>Environmental Sciences; Public, Environmental &amp; Occupational Health</t>
        </is>
      </c>
      <c r="BL415" t="inlineStr">
        <is>
          <t>Science Citation Index Expanded (SCI-EXPANDED); Social Science Citation Index (SSCI)</t>
        </is>
      </c>
      <c r="BM415" t="inlineStr">
        <is>
          <t>Environmental Sciences &amp; Ecology; Public, Environmental &amp; Occupational Health</t>
        </is>
      </c>
      <c r="BN415" t="inlineStr">
        <is>
          <t>2P3AP</t>
        </is>
      </c>
      <c r="BO415" t="n">
        <v>35742718</v>
      </c>
      <c r="BP415" t="inlineStr">
        <is>
          <t>Green Published, gold</t>
        </is>
      </c>
      <c r="BS415" t="inlineStr">
        <is>
          <t>2023-10-26</t>
        </is>
      </c>
      <c r="BT415" t="inlineStr">
        <is>
          <t>WOS:000819618900001</t>
        </is>
      </c>
      <c r="BU415">
        <f>HYPERLINK("https%3A%2F%2Fwww.webofscience.com%2Fwos%2Fwoscc%2Ffull-record%2FWOS:000819618900001","View Full Record in Web of Science")</f>
        <v/>
      </c>
    </row>
    <row r="416">
      <c r="A416" t="inlineStr">
        <is>
          <t>J</t>
        </is>
      </c>
      <c r="B416" t="inlineStr">
        <is>
          <t>Wang, HM; Xiong, JY; Wei, WJ</t>
        </is>
      </c>
      <c r="F416" t="inlineStr">
        <is>
          <t>Wang, Haimei; Xiong, Jianyin; Wei, Wenjuan</t>
        </is>
      </c>
      <c r="J416" t="inlineStr">
        <is>
          <t>ENVIRONMENT INTERNATIONAL</t>
        </is>
      </c>
      <c r="M416" t="inlineStr">
        <is>
          <t>English</t>
        </is>
      </c>
      <c r="N416" t="inlineStr">
        <is>
          <t>Review</t>
        </is>
      </c>
      <c r="T416" t="inlineStr">
        <is>
          <t>Measurement methods and impact factors for the key parameters of VOC/SVOC emissions from materials in indoor and vehicular environments: A review</t>
        </is>
      </c>
      <c r="U416" t="inlineStr">
        <is>
          <t>Volatile organic compounds (VOCs); Semi-volatile organic compounds (SVOCs); Measurement; Temperature; Pre-assessment; Indoor and vehicular air quality (IVAQ)</t>
        </is>
      </c>
      <c r="V416" t="inlineStr">
        <is>
          <t>VOLATILE ORGANIC-COMPOUNDS; INITIAL EMITTABLE CONCENTRATION; C-HISTORY METHOD; AIR/SURFACE ADSORPTION EQUILIBRIUM; MASS-TRANSFER MODEL; BUILDING-MATERIALS; FORMALDEHYDE EMISSION; VOC EMISSIONS; DIFFUSION-COEFFICIENTS; PARTITION-COEFFICIENTS</t>
        </is>
      </c>
      <c r="W416" t="inlineStr">
        <is>
          <t>The emissions of volatile organic compounds (VOCs) and semi-volatile organic compounds (SVOCs) from indoor building and vehicle cabin materials can adversely affect human health. Many mechanistic models to predict the VOC/SVOC emission characteristics have been proposed. Nowadays, the main obstacle to accurate model prediction is the availability and reliability of the physical parameters used in the model, such as the initial emittable concentration, the diffusion coefficient, the partition coefficient, and the gas-phase SVOC concentration adjacent to the material surface. The purpose of this work is to review the existing methods for measuring the key parameters of VOCs/SVOCs from materials in both indoor and vehicular environments. The pros and cons of these methods are analyzed, and the available datasets found in the literature are summarized. Some methods can determine one single key parameter, while other methods can determine two or three key parameters simultaneously. The impacts of multiple factors (temperature, relative humidity, loading ratio, and air change rate) on VOC/SVOC emission behaviors are discussed. The existing measurement methods span very large spatial and time scales: the spatial scale varies from micro to macro dimensions; and the time scale in chamber tests varies from several hours to one month for VOCs, and may even span years for SVOCs. Based on the key parameters, a pre-assessment approach for indoor and vehicular air quality is introduced in this review. The approach uses the key parameters for different material combinations to pre-assess the VOC/SVOC concentrations or human exposure levels during the design stage of buildings or vehicles, which can assist designers to select appropriate materials and achieve effective source control.</t>
        </is>
      </c>
      <c r="X416" t="inlineStr">
        <is>
          <t>[Wang, Haimei; Xiong, Jianyin] Beijing Inst Technol, Sch Mech Engn, Beijing 100081, Peoples R China; [Wei, Wenjuan] Univ Paris Est, Hlth &amp; Comft Dept, French Indoor Air Observ OOAI, Sci &amp; Tech Ctr Bldg CSTB, F-77447 Champs Sur Marne, France</t>
        </is>
      </c>
      <c r="Y416" t="inlineStr">
        <is>
          <t>Beijing Institute of Technology; Universite Gustave-Eiffel</t>
        </is>
      </c>
      <c r="Z416" t="inlineStr">
        <is>
          <t>Xiong, JY (corresponding author), Beijing Inst Technol, Sch Mech Engn, Beijing 100081, Peoples R China.</t>
        </is>
      </c>
      <c r="AA416" t="inlineStr">
        <is>
          <t>xiongjy@bit.edu.cn</t>
        </is>
      </c>
      <c r="AB416" t="inlineStr">
        <is>
          <t>Xiong, Jianyin/F-8562-2012; wei, wenjuan/AAB-5470-2019</t>
        </is>
      </c>
      <c r="AC416" t="inlineStr">
        <is>
          <t>wei, wenjuan/0000-0003-1442-9986</t>
        </is>
      </c>
      <c r="AD416" t="inlineStr">
        <is>
          <t>National Natural Science Foundation of China [52178062]</t>
        </is>
      </c>
      <c r="AE416" t="inlineStr">
        <is>
          <t>National Natural Science Foundation of China(National Natural Science Foundation of China (NSFC))</t>
        </is>
      </c>
      <c r="AF416" t="inlineStr">
        <is>
          <t>This research was supported by the National Natural Science Foundation of China (No. 52178062).</t>
        </is>
      </c>
      <c r="AH416" t="n">
        <v>142</v>
      </c>
      <c r="AI416" t="n">
        <v>9</v>
      </c>
      <c r="AJ416" t="n">
        <v>9</v>
      </c>
      <c r="AK416" t="n">
        <v>34</v>
      </c>
      <c r="AL416" t="n">
        <v>82</v>
      </c>
      <c r="AM416" t="inlineStr">
        <is>
          <t>PERGAMON-ELSEVIER SCIENCE LTD</t>
        </is>
      </c>
      <c r="AN416" t="inlineStr">
        <is>
          <t>OXFORD</t>
        </is>
      </c>
      <c r="AO416" t="inlineStr">
        <is>
          <t>THE BOULEVARD, LANGFORD LANE, KIDLINGTON, OXFORD OX5 1GB, ENGLAND</t>
        </is>
      </c>
      <c r="AP416" t="inlineStr">
        <is>
          <t>0160-4120</t>
        </is>
      </c>
      <c r="AQ416" t="inlineStr">
        <is>
          <t>1873-6750</t>
        </is>
      </c>
      <c r="AS416" t="inlineStr">
        <is>
          <t>ENVIRON INT</t>
        </is>
      </c>
      <c r="AT416" t="inlineStr">
        <is>
          <t>Environ. Int.</t>
        </is>
      </c>
      <c r="AU416" t="inlineStr">
        <is>
          <t>OCT</t>
        </is>
      </c>
      <c r="AV416" t="n">
        <v>2022</v>
      </c>
      <c r="AW416" t="n">
        <v>168</v>
      </c>
      <c r="BE416" t="n">
        <v>107451</v>
      </c>
      <c r="BF416" t="inlineStr">
        <is>
          <t>10.1016/j.envint.2022.107451</t>
        </is>
      </c>
      <c r="BG416">
        <f>HYPERLINK("http://dx.doi.org/10.1016/j.envint.2022.107451","http://dx.doi.org/10.1016/j.envint.2022.107451")</f>
        <v/>
      </c>
      <c r="BI416" t="inlineStr">
        <is>
          <t>AUG 2022</t>
        </is>
      </c>
      <c r="BJ416" t="n">
        <v>17</v>
      </c>
      <c r="BK416" t="inlineStr">
        <is>
          <t>Environmental Sciences</t>
        </is>
      </c>
      <c r="BL416" t="inlineStr">
        <is>
          <t>Science Citation Index Expanded (SCI-EXPANDED)</t>
        </is>
      </c>
      <c r="BM416" t="inlineStr">
        <is>
          <t>Environmental Sciences &amp; Ecology</t>
        </is>
      </c>
      <c r="BN416" t="inlineStr">
        <is>
          <t>4P9FJ</t>
        </is>
      </c>
      <c r="BO416" t="n">
        <v>35963058</v>
      </c>
      <c r="BP416" t="inlineStr">
        <is>
          <t>gold</t>
        </is>
      </c>
      <c r="BS416" t="inlineStr">
        <is>
          <t>2023-10-26</t>
        </is>
      </c>
      <c r="BT416" t="inlineStr">
        <is>
          <t>WOS:000855694700004</t>
        </is>
      </c>
      <c r="BU416">
        <f>HYPERLINK("https%3A%2F%2Fwww.webofscience.com%2Fwos%2Fwoscc%2Ffull-record%2FWOS:000855694700004","View Full Record in Web of Science")</f>
        <v/>
      </c>
    </row>
    <row r="417">
      <c r="A417" t="inlineStr">
        <is>
          <t>J</t>
        </is>
      </c>
      <c r="B417" t="inlineStr">
        <is>
          <t>Mohammed, I; Onur, Z; Cagnan, C</t>
        </is>
      </c>
      <c r="F417" t="inlineStr">
        <is>
          <t>Mohammed, Ibtisam; Onur, Zeynep; Cagnan, Cigdem</t>
        </is>
      </c>
      <c r="J417" t="inlineStr">
        <is>
          <t>SUSTAINABILITY</t>
        </is>
      </c>
      <c r="M417" t="inlineStr">
        <is>
          <t>English</t>
        </is>
      </c>
      <c r="N417" t="inlineStr">
        <is>
          <t>Article</t>
        </is>
      </c>
      <c r="T417" t="inlineStr">
        <is>
          <t>An Exploration of Biophilic Design Features within Preschool Interiors</t>
        </is>
      </c>
      <c r="U417" t="inlineStr">
        <is>
          <t>biophilia; preschool interiors; biophilic interior design matrix; biophilic design</t>
        </is>
      </c>
      <c r="V417" t="inlineStr">
        <is>
          <t>HEALTH</t>
        </is>
      </c>
      <c r="W417" t="inlineStr">
        <is>
          <t>This study examined the incorporation of biophilic elements in Duhok preschool interiors and integrated them into the Biophilic Interior Design Matrix (BID-M). This approach holds great promise for the development of restorative environments. The Biophilic Design Matrix (BDM) is based on Kellert's list of biophilic design attributes, adjusted to suit preschool interiors. Photos and plan drawings were employed as methods to analyze 59 interior spaces within six preschools, both private and public. The biophilic matrix revealed the presence of 30% of biophilic attributes in the analyzed spaces, with an average score of 16.45 out of 53 total points. Individual scores ranged from 8 to 22 for each space, highlighting variations in biophilic design within the six preschools. Notably, the study identified a lack of biophilic features that foster human-nature relationships in the majority of preschools, albeit minimally observed in some spaces. Conversely, the environmental features scored higher than the average. This research highlights the importance of enhancing biophilic design elements, especially those that strengthen human-nature relationships. The results enhance biophilic design in educational settings, promoting nature-centered, restorative environments for future interventions. Furthermore, we propose an innovative approach for assessing and incorporating biophilia in interiors, recognizing its positive impact on human health and wellbeing.</t>
        </is>
      </c>
      <c r="X417" t="inlineStr">
        <is>
          <t>[Mohammed, Ibtisam] Univ Duhok, Fac Engn, Dept Architecture, Duhok 42001, Iraq; [Onur, Zeynep] Int Final Univ, Fac Architecture &amp; Fine Arts, Dept Architecture, Girne 99320, Cyprus; [Cagnan, Cigdem] Near East Univ, Fac Architecture, Dept Architecture, Nicosia 99138, Cyprus</t>
        </is>
      </c>
      <c r="Y417" t="inlineStr">
        <is>
          <t>University of Duhok; Near East University</t>
        </is>
      </c>
      <c r="Z417" t="inlineStr">
        <is>
          <t>Mohammed, I (corresponding author), Univ Duhok, Fac Engn, Dept Architecture, Duhok 42001, Iraq.</t>
        </is>
      </c>
      <c r="AA417" t="inlineStr">
        <is>
          <t>ibtsam_11@yahoo.com; zeynep.onur@final.edu.tr; cigdem.cagnan@neu.edu.tr</t>
        </is>
      </c>
      <c r="AH417" t="n">
        <v>37</v>
      </c>
      <c r="AI417" t="n">
        <v>0</v>
      </c>
      <c r="AJ417" t="n">
        <v>0</v>
      </c>
      <c r="AK417" t="n">
        <v>4</v>
      </c>
      <c r="AL417" t="n">
        <v>4</v>
      </c>
      <c r="AM417" t="inlineStr">
        <is>
          <t>MDPI</t>
        </is>
      </c>
      <c r="AN417" t="inlineStr">
        <is>
          <t>BASEL</t>
        </is>
      </c>
      <c r="AO417" t="inlineStr">
        <is>
          <t>ST ALBAN-ANLAGE 66, CH-4052 BASEL, SWITZERLAND</t>
        </is>
      </c>
      <c r="AQ417" t="inlineStr">
        <is>
          <t>2071-1050</t>
        </is>
      </c>
      <c r="AS417" t="inlineStr">
        <is>
          <t>SUSTAINABILITY-BASEL</t>
        </is>
      </c>
      <c r="AT417" t="inlineStr">
        <is>
          <t>Sustainability</t>
        </is>
      </c>
      <c r="AU417" t="inlineStr">
        <is>
          <t>AUG</t>
        </is>
      </c>
      <c r="AV417" t="n">
        <v>2023</v>
      </c>
      <c r="AW417" t="n">
        <v>15</v>
      </c>
      <c r="AX417" t="n">
        <v>15</v>
      </c>
      <c r="BE417" t="n">
        <v>11913</v>
      </c>
      <c r="BF417" t="inlineStr">
        <is>
          <t>10.3390/su151511913</t>
        </is>
      </c>
      <c r="BG417">
        <f>HYPERLINK("http://dx.doi.org/10.3390/su151511913","http://dx.doi.org/10.3390/su151511913")</f>
        <v/>
      </c>
      <c r="BJ417" t="n">
        <v>24</v>
      </c>
      <c r="BK417" t="inlineStr">
        <is>
          <t>Green &amp; Sustainable Science &amp; Technology; Environmental Sciences; Environmental Studies</t>
        </is>
      </c>
      <c r="BL417" t="inlineStr">
        <is>
          <t>Science Citation Index Expanded (SCI-EXPANDED); Social Science Citation Index (SSCI)</t>
        </is>
      </c>
      <c r="BM417" t="inlineStr">
        <is>
          <t>Science &amp; Technology - Other Topics; Environmental Sciences &amp; Ecology</t>
        </is>
      </c>
      <c r="BN417" t="inlineStr">
        <is>
          <t>O7YK7</t>
        </is>
      </c>
      <c r="BP417" t="inlineStr">
        <is>
          <t>gold</t>
        </is>
      </c>
      <c r="BS417" t="inlineStr">
        <is>
          <t>2023-10-26</t>
        </is>
      </c>
      <c r="BT417" t="inlineStr">
        <is>
          <t>WOS:001045923900001</t>
        </is>
      </c>
      <c r="BU417">
        <f>HYPERLINK("https%3A%2F%2Fwww.webofscience.com%2Fwos%2Fwoscc%2Ffull-record%2FWOS:001045923900001","View Full Record in Web of Science")</f>
        <v/>
      </c>
    </row>
    <row r="418">
      <c r="A418" t="inlineStr">
        <is>
          <t>J</t>
        </is>
      </c>
      <c r="B418" t="inlineStr">
        <is>
          <t>Congdon, P</t>
        </is>
      </c>
      <c r="F418" t="inlineStr">
        <is>
          <t>Congdon, Peter</t>
        </is>
      </c>
      <c r="J418" t="inlineStr">
        <is>
          <t>INTERNATIONAL JOURNAL OF ENVIRONMENTAL RESEARCH AND PUBLIC HEALTH</t>
        </is>
      </c>
      <c r="M418" t="inlineStr">
        <is>
          <t>English</t>
        </is>
      </c>
      <c r="N418" t="inlineStr">
        <is>
          <t>Editorial Material</t>
        </is>
      </c>
      <c r="T418" t="inlineStr">
        <is>
          <t>Obesity and Urban Environments</t>
        </is>
      </c>
      <c r="U418" t="inlineStr">
        <is>
          <t>obesity; urban configuration; sprawl; food desert; fast food; exercise access; social environment</t>
        </is>
      </c>
      <c r="V418" t="inlineStr">
        <is>
          <t>PHYSICAL-ACTIVITY; BUILT ENVIRONMENT; CHILDHOOD OBESITY; FOOD-CONSUMPTION; PUBLIC-HEALTH; UNITED-STATES; RISK; WEIGHT; ACCESS; TIME</t>
        </is>
      </c>
      <c r="W418" t="inlineStr">
        <is>
          <t>Obesity is a major public health issue, affecting both developed and developing societies. Obesity increases the risk for heart disease, stroke, some cancers, and type II diabetes. While individual behaviours are important risk factors, impacts on obesity and overweight of the urban physical and social environment have figured large in the recent epidemiological literature, though evidence is incomplete and from a limited range of countries. Prominent among identified environmental influences are urban layout and sprawl, healthy food access, exercise access, and the neighbourhood social environment. This paper reviews the literature and highlights the special issue contributions within that literature.</t>
        </is>
      </c>
      <c r="X418" t="inlineStr">
        <is>
          <t>[Congdon, Peter] Queen Mary Univ London, Sch Geog, Mile End Rd, London E1 4NS, England</t>
        </is>
      </c>
      <c r="Y418" t="inlineStr">
        <is>
          <t>University of London; Queen Mary University London</t>
        </is>
      </c>
      <c r="Z418" t="inlineStr">
        <is>
          <t>Congdon, P (corresponding author), Queen Mary Univ London, Sch Geog, Mile End Rd, London E1 4NS, England.</t>
        </is>
      </c>
      <c r="AA418" t="inlineStr">
        <is>
          <t>p.congdon@qmul.ac.uk</t>
        </is>
      </c>
      <c r="AB418" t="inlineStr">
        <is>
          <t>Congdon, Peter/P-3639-2018</t>
        </is>
      </c>
      <c r="AC418" t="inlineStr">
        <is>
          <t>Congdon, Peter/0000-0003-1934-9205</t>
        </is>
      </c>
      <c r="AH418" t="n">
        <v>52</v>
      </c>
      <c r="AI418" t="n">
        <v>39</v>
      </c>
      <c r="AJ418" t="n">
        <v>41</v>
      </c>
      <c r="AK418" t="n">
        <v>4</v>
      </c>
      <c r="AL418" t="n">
        <v>43</v>
      </c>
      <c r="AM418" t="inlineStr">
        <is>
          <t>MDPI</t>
        </is>
      </c>
      <c r="AN418" t="inlineStr">
        <is>
          <t>BASEL</t>
        </is>
      </c>
      <c r="AO418" t="inlineStr">
        <is>
          <t>ST ALBAN-ANLAGE 66, CH-4052 BASEL, SWITZERLAND</t>
        </is>
      </c>
      <c r="AQ418" t="inlineStr">
        <is>
          <t>1660-4601</t>
        </is>
      </c>
      <c r="AS418" t="inlineStr">
        <is>
          <t>INT J ENV RES PUB HE</t>
        </is>
      </c>
      <c r="AT418" t="inlineStr">
        <is>
          <t>Int. J. Environ. Res. Public Health</t>
        </is>
      </c>
      <c r="AU418" t="inlineStr">
        <is>
          <t>FEB 1</t>
        </is>
      </c>
      <c r="AV418" t="n">
        <v>2019</v>
      </c>
      <c r="AW418" t="n">
        <v>16</v>
      </c>
      <c r="AX418" t="n">
        <v>3</v>
      </c>
      <c r="BE418" t="n">
        <v>464</v>
      </c>
      <c r="BF418" t="inlineStr">
        <is>
          <t>10.3390/ijerph16030464</t>
        </is>
      </c>
      <c r="BG418">
        <f>HYPERLINK("http://dx.doi.org/10.3390/ijerph16030464","http://dx.doi.org/10.3390/ijerph16030464")</f>
        <v/>
      </c>
      <c r="BJ418" t="n">
        <v>6</v>
      </c>
      <c r="BK418" t="inlineStr">
        <is>
          <t>Environmental Sciences; Public, Environmental &amp; Occupational Health</t>
        </is>
      </c>
      <c r="BL418" t="inlineStr">
        <is>
          <t>Science Citation Index Expanded (SCI-EXPANDED); Social Science Citation Index (SSCI)</t>
        </is>
      </c>
      <c r="BM418" t="inlineStr">
        <is>
          <t>Environmental Sciences &amp; Ecology; Public, Environmental &amp; Occupational Health</t>
        </is>
      </c>
      <c r="BN418" t="inlineStr">
        <is>
          <t>HM0CQ</t>
        </is>
      </c>
      <c r="BO418" t="n">
        <v>30764541</v>
      </c>
      <c r="BP418" t="inlineStr">
        <is>
          <t>Green Submitted, Green Published, gold</t>
        </is>
      </c>
      <c r="BS418" t="inlineStr">
        <is>
          <t>2023-10-26</t>
        </is>
      </c>
      <c r="BT418" t="inlineStr">
        <is>
          <t>WOS:000459113600170</t>
        </is>
      </c>
      <c r="BU418">
        <f>HYPERLINK("https%3A%2F%2Fwww.webofscience.com%2Fwos%2Fwoscc%2Ffull-record%2FWOS:000459113600170","View Full Record in Web of Science")</f>
        <v/>
      </c>
    </row>
    <row r="419">
      <c r="A419" t="inlineStr">
        <is>
          <t>J</t>
        </is>
      </c>
      <c r="B419" t="inlineStr">
        <is>
          <t>Lucattini, L; Poma, G; Covaci, A; de Boer, J; Lamoree, MH; Leonards, PEG</t>
        </is>
      </c>
      <c r="F419" t="inlineStr">
        <is>
          <t>Lucattini, Luisa; Poma, Giulia; Covaci, Adrian; de Boer, Jacob; Lamoree, Marja H.; Leonards, Pim E. G.</t>
        </is>
      </c>
      <c r="J419" t="inlineStr">
        <is>
          <t>CHEMOSPHERE</t>
        </is>
      </c>
      <c r="M419" t="inlineStr">
        <is>
          <t>English</t>
        </is>
      </c>
      <c r="N419" t="inlineStr">
        <is>
          <t>Review</t>
        </is>
      </c>
      <c r="T419" t="inlineStr">
        <is>
          <t>A review of semi-volatile organic compounds (SVOCs) in the indoor environment: occurrence in consumer products, indoor air and dust</t>
        </is>
      </c>
      <c r="U419" t="inlineStr">
        <is>
          <t>Consumer products; Indoor air; Indoor dust; SVOCs</t>
        </is>
      </c>
      <c r="V419" t="inlineStr">
        <is>
          <t>POLYBROMINATED DIPHENYL ETHERS; BROMINATED FLAME RETARDANTS; CHROMATOGRAPHY-MASS SPECTROMETRY; IN-HOUSE DUST; AROMATIC-HYDROCARBONS PAHS; SOLID-PHASE DISPERSION; PERSONAL CARE PRODUCTS; PERFORMANCE LIQUID-CHROMATOGRAPHY; POLYFLUORINATED ALKYL SUBSTANCES; BAR SORPTIVE EXTRACTION</t>
        </is>
      </c>
      <c r="W419" t="inlineStr">
        <is>
          <t>As many people spend a large part of their life indoors, the quality of the indoor environment is important. Data on contaminants such as flame retardants, pesticides and plasticizers are available for indoor air and dust but are scarce for consumer products such as computers, televisions, furniture, carpets, etc. This review presents information on semi-volatile organic compounds (SVOCs) in consumer products in an attempt to link the information available for chemicals in indoor air and dust with their indoor sources. A number of 256 papers were selected and divided among SVOCs found in consumer products (n = 57), indoor dust (n =104) and air (n = 95). Concentrations of SVOCs in consumer products, indoor dust and air are reported (e.g. PFASs max: 13.9 lig/g in textiles, 5.8 ggikg in building materials, 121 ng/g in house dust and 6.4 ng/m(3) in indoor air). Most of the studies show common aims, such as human exposure and risk assessment. The main micro-environments investigated (houses, offices and schools) reflect the relevance of indoor air quality. Most of the studies show a lack of data on concentrations of chemicals in consumer goods and often only the presence of chemicals is reported. At the moment this is the largest obstacle linking chemicals in products to chemicals detected in indoor air and dust. (C) 2018 The Authors. Published by Elsevier Ltd. This is an open access article under the CC BY-NC-ND license.</t>
        </is>
      </c>
      <c r="X419" t="inlineStr">
        <is>
          <t>[Lucattini, Luisa; de Boer, Jacob; Lamoree, Marja H.; Leonards, Pim E. G.] Vrije Univ Amsterdam, Dept Environm &amp; Hlth, De Boelelaan 1108, Amsterdam, Netherlands; [Poma, Giulia; Covaci, Adrian] Univ Antwerp, Dept Pharmaceut Sci, Toxicol Ctr, Univ Pl 1, B-2610 Antwerp, Belgium</t>
        </is>
      </c>
      <c r="Y419" t="inlineStr">
        <is>
          <t>Vrije Universiteit Amsterdam; University of Antwerp</t>
        </is>
      </c>
      <c r="Z419" t="inlineStr">
        <is>
          <t>Lucattini, L (corresponding author), Vrije Univ Amsterdam, Dept Environm &amp; Hlth, De Boelelaan 1108, Amsterdam, Netherlands.</t>
        </is>
      </c>
      <c r="AA419" t="inlineStr">
        <is>
          <t>luisa.lucattini@gmail.com</t>
        </is>
      </c>
      <c r="AB419" t="inlineStr">
        <is>
          <t>Poma, Giulia/AAJ-2506-2020; Lamoree, Marja H/N-4396-2013; Covaci, Adrian/A-9058-2008; Leonards, Pim/N-3040-2013; de Boer, Jacob/L-5094-2013</t>
        </is>
      </c>
      <c r="AC419" t="inlineStr">
        <is>
          <t>Poma, Giulia/0000-0003-0597-2653; Lamoree, Marja H/0000-0002-7373-7738; Covaci, Adrian/0000-0003-0527-1136; de Boer, Jacob/0000-0001-6949-4828; Lucattini, Luisa/0000-0003-1448-3800; Leonards, Pim/0000-0002-3052-8848</t>
        </is>
      </c>
      <c r="AD419" t="inlineStr">
        <is>
          <t>European Union [316665]; European Chemical Industry Council CEFIC through its Long Range Initiative programme [LRI-B17]</t>
        </is>
      </c>
      <c r="AE419" t="inlineStr">
        <is>
          <t>European Union(European Union (EU)); European Chemical Industry Council CEFIC through its Long Range Initiative programme</t>
        </is>
      </c>
      <c r="AF419" t="inlineStr">
        <is>
          <t>The research for this review has received funding from the European Union's Seventh Framework Programme FP7/2007-2013 under grant agreement no. 316665 (A-TEAM project), and from the European Chemical Industry Council CEFIC through its Long Range Initiative programme, research project LRI-B17, SHINE: Target and non-target screening of chemicals in the indoor environment for human exposure assessment (2016-2019).</t>
        </is>
      </c>
      <c r="AH419" t="n">
        <v>185</v>
      </c>
      <c r="AI419" t="n">
        <v>202</v>
      </c>
      <c r="AJ419" t="n">
        <v>204</v>
      </c>
      <c r="AK419" t="n">
        <v>20</v>
      </c>
      <c r="AL419" t="n">
        <v>266</v>
      </c>
      <c r="AM419" t="inlineStr">
        <is>
          <t>PERGAMON-ELSEVIER SCIENCE LTD</t>
        </is>
      </c>
      <c r="AN419" t="inlineStr">
        <is>
          <t>OXFORD</t>
        </is>
      </c>
      <c r="AO419" t="inlineStr">
        <is>
          <t>THE BOULEVARD, LANGFORD LANE, KIDLINGTON, OXFORD OX5 1GB, ENGLAND</t>
        </is>
      </c>
      <c r="AP419" t="inlineStr">
        <is>
          <t>0045-6535</t>
        </is>
      </c>
      <c r="AQ419" t="inlineStr">
        <is>
          <t>1879-1298</t>
        </is>
      </c>
      <c r="AS419" t="inlineStr">
        <is>
          <t>CHEMOSPHERE</t>
        </is>
      </c>
      <c r="AT419" t="inlineStr">
        <is>
          <t>Chemosphere</t>
        </is>
      </c>
      <c r="AU419" t="inlineStr">
        <is>
          <t>JUN</t>
        </is>
      </c>
      <c r="AV419" t="n">
        <v>2018</v>
      </c>
      <c r="AW419" t="n">
        <v>201</v>
      </c>
      <c r="BC419" t="n">
        <v>466</v>
      </c>
      <c r="BD419" t="n">
        <v>482</v>
      </c>
      <c r="BF419" t="inlineStr">
        <is>
          <t>10.1016/j.chemosphere.2018.02.161</t>
        </is>
      </c>
      <c r="BG419">
        <f>HYPERLINK("http://dx.doi.org/10.1016/j.chemosphere.2018.02.161","http://dx.doi.org/10.1016/j.chemosphere.2018.02.161")</f>
        <v/>
      </c>
      <c r="BJ419" t="n">
        <v>17</v>
      </c>
      <c r="BK419" t="inlineStr">
        <is>
          <t>Environmental Sciences</t>
        </is>
      </c>
      <c r="BL419" t="inlineStr">
        <is>
          <t>Science Citation Index Expanded (SCI-EXPANDED)</t>
        </is>
      </c>
      <c r="BM419" t="inlineStr">
        <is>
          <t>Environmental Sciences &amp; Ecology</t>
        </is>
      </c>
      <c r="BN419" t="inlineStr">
        <is>
          <t>GE0HS</t>
        </is>
      </c>
      <c r="BO419" t="n">
        <v>29529574</v>
      </c>
      <c r="BP419" t="inlineStr">
        <is>
          <t>Green Published, hybrid</t>
        </is>
      </c>
      <c r="BS419" t="inlineStr">
        <is>
          <t>2023-10-26</t>
        </is>
      </c>
      <c r="BT419" t="inlineStr">
        <is>
          <t>WOS:000430895300053</t>
        </is>
      </c>
      <c r="BU419">
        <f>HYPERLINK("https%3A%2F%2Fwww.webofscience.com%2Fwos%2Fwoscc%2Ffull-record%2FWOS:000430895300053","View Full Record in Web of Science")</f>
        <v/>
      </c>
    </row>
    <row r="420">
      <c r="A420" t="inlineStr">
        <is>
          <t>J</t>
        </is>
      </c>
      <c r="B420" t="inlineStr">
        <is>
          <t>Rossignol, S; Rio, C; Ustache, A; Fable, S; Nicolle, J; Même, A; D'Anna, B; Nicolas, M; Leoz, E; Chiappini, L</t>
        </is>
      </c>
      <c r="F420" t="inlineStr">
        <is>
          <t>Rossignol, S.; Rio, C.; Ustache, A.; Fable, S.; Nicolle, J.; Meme, A.; D'Anna, B.; Nicolas, M.; Leoz, E.; Chiappini, L.</t>
        </is>
      </c>
      <c r="J420" t="inlineStr">
        <is>
          <t>ATMOSPHERIC ENVIRONMENT</t>
        </is>
      </c>
      <c r="M420" t="inlineStr">
        <is>
          <t>English</t>
        </is>
      </c>
      <c r="N420" t="inlineStr">
        <is>
          <t>Article</t>
        </is>
      </c>
      <c r="T420" t="inlineStr">
        <is>
          <t>The use of a housecleaning product in an indoor environment leading to oxygenated polar compounds and SOA formation: Gas and particulate phase chemical characterization</t>
        </is>
      </c>
      <c r="U420" t="inlineStr">
        <is>
          <t>Indoor environment; Secondary organic aerosols; Household products; Chemical speciation; Limonene</t>
        </is>
      </c>
      <c r="V420" t="inlineStr">
        <is>
          <t>SECONDARY ORGANIC AEROSOL; LOW-MOLECULAR-WEIGHT; D-LIMONENE; OXIDATION-PRODUCTS; CLEANING PRODUCTS; AIR FRESHENERS; OZONE; OZONOLYSIS; YIELDS; PHOTOOXIDATION</t>
        </is>
      </c>
      <c r="W420" t="inlineStr">
        <is>
          <t>This work investigates Secondary Organic Aerosol (SOA) formed by limonene ozonolysis using a housecleaning product in indoor environment. This study combines simulation chamber ozonolysis experiments and field studies in an experimental house allowing different scenarios of housecleaning product use in real conditions. Chemical speciation has been performed using a new method based on simultaneous sampling of both gas and particulate phases on sorbent tubes and filters. This method allowed the identification and quantification of about 35 products in the gas and particulate phases. Among them, products known to be specific from limonene ozonolysis such as limononaldehyde, ketolimonene and ketolimonic acid have been detected. Some other compounds such as 2-methylbutanoic acid had never been detected in previous limonene ozonolysis studies. Some compounds like levulinic acid had already been detected but their formation remained unexplained. Potential reaction pathways are proposed in this study for these compounds. For each experiment, chemical data are coupled together with physical characterization of formed particles: mass and size and number distribution evolution which allowed the observation of new particles formation (about 87,000 particle cm(-3)). The chemical speciation associated to aerosol size distribution results confirmed that limonene emitted by the housecleaning product was responsible for SOA formation. To our knowledge, this work provides the most comprehensive analytical study of detected compounds in a single experiment for limonene ozonolysis in both gaseous and particulate phases in real indoor environment. (C) 2013 Elsevier Ltd. All rights reserved.</t>
        </is>
      </c>
      <c r="X420" t="inlineStr">
        <is>
          <t>[Rossignol, S.; Rio, C.; Ustache, A.; Fable, S.; Leoz, E.; Chiappini, L.] Inst Natl Environm Ind &amp; Risques INERIS, Verneuil En Halatte, France; [Nicolle, J.; Meme, A.; D'Anna, B.] IRCELYON, UMR5256, Villeurbanne, France; [Nicolas, M.] CSTB, Grenoble, France</t>
        </is>
      </c>
      <c r="Y420" t="inlineStr">
        <is>
          <t>Institut National de l'Environnement Industriel et des Risques (INERIS); Centre National de la Recherche Scientifique (CNRS); CNRS - Institute of Chemistry (INC)</t>
        </is>
      </c>
      <c r="Z420" t="inlineStr">
        <is>
          <t>Chiappini, L (corresponding author), Inst Natl Environm Ind &amp; Risques INERIS, Verneuil En Halatte, France.</t>
        </is>
      </c>
      <c r="AA420" t="inlineStr">
        <is>
          <t>laura.chiappini@ineris.fr</t>
        </is>
      </c>
      <c r="AB420" t="inlineStr">
        <is>
          <t>LEOZ, Eva/R-4020-2018; Nicolas, Melanie/ABG-6486-2020</t>
        </is>
      </c>
      <c r="AC420" t="inlineStr">
        <is>
          <t>LEOZ, Eva/0000-0002-7345-0614; Nicolas, Melanie/0000-0002-5553-9869; D'Anna, Barbara/0000-0001-8915-4097</t>
        </is>
      </c>
      <c r="AD420" t="inlineStr">
        <is>
          <t>French Ministry of the Environment; PRIMEQUAL program on Indoor Air quality</t>
        </is>
      </c>
      <c r="AE420" t="inlineStr">
        <is>
          <t>French Ministry of the Environment; PRIMEQUAL program on Indoor Air quality</t>
        </is>
      </c>
      <c r="AF420" t="inlineStr">
        <is>
          <t>Author also would like to thank the French Ministry of the Environment and the PRIMEQUAL program on Indoor Air quality for financial support of the ADOQ project.</t>
        </is>
      </c>
      <c r="AH420" t="n">
        <v>50</v>
      </c>
      <c r="AI420" t="n">
        <v>53</v>
      </c>
      <c r="AJ420" t="n">
        <v>54</v>
      </c>
      <c r="AK420" t="n">
        <v>4</v>
      </c>
      <c r="AL420" t="n">
        <v>77</v>
      </c>
      <c r="AM420" t="inlineStr">
        <is>
          <t>PERGAMON-ELSEVIER SCIENCE LTD</t>
        </is>
      </c>
      <c r="AN420" t="inlineStr">
        <is>
          <t>OXFORD</t>
        </is>
      </c>
      <c r="AO420" t="inlineStr">
        <is>
          <t>THE BOULEVARD, LANGFORD LANE, KIDLINGTON, OXFORD OX5 1GB, ENGLAND</t>
        </is>
      </c>
      <c r="AP420" t="inlineStr">
        <is>
          <t>1352-2310</t>
        </is>
      </c>
      <c r="AQ420" t="inlineStr">
        <is>
          <t>1873-2844</t>
        </is>
      </c>
      <c r="AS420" t="inlineStr">
        <is>
          <t>ATMOS ENVIRON</t>
        </is>
      </c>
      <c r="AT420" t="inlineStr">
        <is>
          <t>Atmos. Environ.</t>
        </is>
      </c>
      <c r="AU420" t="inlineStr">
        <is>
          <t>AUG</t>
        </is>
      </c>
      <c r="AV420" t="n">
        <v>2013</v>
      </c>
      <c r="AW420" t="n">
        <v>75</v>
      </c>
      <c r="BC420" t="n">
        <v>196</v>
      </c>
      <c r="BD420" t="n">
        <v>205</v>
      </c>
      <c r="BF420" t="inlineStr">
        <is>
          <t>10.1016/j.atmosenv.2013.03.045</t>
        </is>
      </c>
      <c r="BG420">
        <f>HYPERLINK("http://dx.doi.org/10.1016/j.atmosenv.2013.03.045","http://dx.doi.org/10.1016/j.atmosenv.2013.03.045")</f>
        <v/>
      </c>
      <c r="BJ420" t="n">
        <v>10</v>
      </c>
      <c r="BK420" t="inlineStr">
        <is>
          <t>Environmental Sciences; Meteorology &amp; Atmospheric Sciences</t>
        </is>
      </c>
      <c r="BL420" t="inlineStr">
        <is>
          <t>Science Citation Index Expanded (SCI-EXPANDED)</t>
        </is>
      </c>
      <c r="BM420" t="inlineStr">
        <is>
          <t>Environmental Sciences &amp; Ecology; Meteorology &amp; Atmospheric Sciences</t>
        </is>
      </c>
      <c r="BN420" t="inlineStr">
        <is>
          <t>178UO</t>
        </is>
      </c>
      <c r="BS420" t="inlineStr">
        <is>
          <t>2023-10-26</t>
        </is>
      </c>
      <c r="BT420" t="inlineStr">
        <is>
          <t>WOS:000321473100023</t>
        </is>
      </c>
      <c r="BU420">
        <f>HYPERLINK("https%3A%2F%2Fwww.webofscience.com%2Fwos%2Fwoscc%2Ffull-record%2FWOS:000321473100023","View Full Record in Web of Science")</f>
        <v/>
      </c>
    </row>
    <row r="421">
      <c r="A421" t="inlineStr">
        <is>
          <t>J</t>
        </is>
      </c>
      <c r="B421" t="inlineStr">
        <is>
          <t>Fatima, K; Moridpour, S; Saghapour, T</t>
        </is>
      </c>
      <c r="F421" t="inlineStr">
        <is>
          <t>Fatima, Kaniz; Moridpour, Sara; Saghapour, Tayebeh</t>
        </is>
      </c>
      <c r="J421" t="inlineStr">
        <is>
          <t>SUSTAINABILITY</t>
        </is>
      </c>
      <c r="M421" t="inlineStr">
        <is>
          <t>English</t>
        </is>
      </c>
      <c r="N421" t="inlineStr">
        <is>
          <t>Article</t>
        </is>
      </c>
      <c r="T421" t="inlineStr">
        <is>
          <t>Measuring Neighbourhood Walking Access for Older Adults</t>
        </is>
      </c>
      <c r="U421" t="inlineStr">
        <is>
          <t>older adult; walking; accessibility; active transport; sustainable mobility; walk time</t>
        </is>
      </c>
      <c r="V421" t="inlineStr">
        <is>
          <t>ALL-CAUSE MORTALITY; TRAVEL MODE CHOICE; PHYSICAL-ACTIVITY; HONG-KONG; BUILT ENVIRONMENT; ELDERLY-PEOPLE; LIFE-STYLE; WALKABILITY; ACCESSIBILITY; BEHAVIOR</t>
        </is>
      </c>
      <c r="W421" t="inlineStr">
        <is>
          <t>Older adults are an important part of the world's population. Many researchers have worked on walking as a mode of transport and measuring walking access. However, considering older adults (aged 65 and over) walk time, older population, and older pedestrians' safety to measure walking accessibility has not been widely discussed. This study proposes two Walking Accessibility Index (OWAI1 and OWAI2) to measure walking access levels for older adults around the neighbourhoods. The index considers the older travelers' walk time to reach various destinations (e.g., shopping, healthcare, education, and recreation services), land use mix, pedestrian crash datasets, street connectivity and the older population. Among these two proposed indices, OWAI1 statistically performs better. The transport and urban planners can use the newly developed OWAI1 for future planning and policy implementations. The index may be applied to measure disabled commuters' walking access levels as considerable walking speed is lower. Besides, the proposed index is also appropriate for other adults by using the corresponding variables for that particular age group. Metropolitan Melbourne is used in this paper as the case study to measure older adults' walking accessibility. This paper outlines that the older adults' walking access level is very low for most Melbourne areas, negatively impacting their travel behavior.</t>
        </is>
      </c>
      <c r="X421" t="inlineStr">
        <is>
          <t>[Fatima, Kaniz; Moridpour, Sara] Royal Melbourne Inst &amp; Technol, Sch Engn, Civil &amp; Infrastruct Engn Discipline, Melbourne, Vic 3000, Australia; [Saghapour, Tayebeh] RMIT Univ, Sch Global Urban &amp; Social Studies, Melbourne, Vic 3000, Australia</t>
        </is>
      </c>
      <c r="Y421" t="inlineStr">
        <is>
          <t>Royal Melbourne Institute of Technology (RMIT); Royal Melbourne Institute of Technology (RMIT)</t>
        </is>
      </c>
      <c r="Z421" t="inlineStr">
        <is>
          <t>Fatima, K (corresponding author), Royal Melbourne Inst &amp; Technol, Sch Engn, Civil &amp; Infrastruct Engn Discipline, Melbourne, Vic 3000, Australia.</t>
        </is>
      </c>
      <c r="AA421" t="inlineStr">
        <is>
          <t>kaniz.fatima.shawon@gmail.com</t>
        </is>
      </c>
      <c r="AC421" t="inlineStr">
        <is>
          <t>Moridpour, Sara/0000-0001-9113-7739; Fatima, Kaniz/0000-0002-1693-1606</t>
        </is>
      </c>
      <c r="AH421" t="n">
        <v>92</v>
      </c>
      <c r="AI421" t="n">
        <v>1</v>
      </c>
      <c r="AJ421" t="n">
        <v>1</v>
      </c>
      <c r="AK421" t="n">
        <v>10</v>
      </c>
      <c r="AL421" t="n">
        <v>16</v>
      </c>
      <c r="AM421" t="inlineStr">
        <is>
          <t>MDPI</t>
        </is>
      </c>
      <c r="AN421" t="inlineStr">
        <is>
          <t>BASEL</t>
        </is>
      </c>
      <c r="AO421" t="inlineStr">
        <is>
          <t>ST ALBAN-ANLAGE 66, CH-4052 BASEL, SWITZERLAND</t>
        </is>
      </c>
      <c r="AQ421" t="inlineStr">
        <is>
          <t>2071-1050</t>
        </is>
      </c>
      <c r="AS421" t="inlineStr">
        <is>
          <t>SUSTAINABILITY-BASEL</t>
        </is>
      </c>
      <c r="AT421" t="inlineStr">
        <is>
          <t>Sustainability</t>
        </is>
      </c>
      <c r="AU421" t="inlineStr">
        <is>
          <t>OCT</t>
        </is>
      </c>
      <c r="AV421" t="n">
        <v>2022</v>
      </c>
      <c r="AW421" t="n">
        <v>14</v>
      </c>
      <c r="AX421" t="n">
        <v>20</v>
      </c>
      <c r="BE421" t="n">
        <v>13366</v>
      </c>
      <c r="BF421" t="inlineStr">
        <is>
          <t>10.3390/su142013366</t>
        </is>
      </c>
      <c r="BG421">
        <f>HYPERLINK("http://dx.doi.org/10.3390/su142013366","http://dx.doi.org/10.3390/su142013366")</f>
        <v/>
      </c>
      <c r="BJ421" t="n">
        <v>21</v>
      </c>
      <c r="BK421" t="inlineStr">
        <is>
          <t>Green &amp; Sustainable Science &amp; Technology; Environmental Sciences; Environmental Studies</t>
        </is>
      </c>
      <c r="BL421" t="inlineStr">
        <is>
          <t>Science Citation Index Expanded (SCI-EXPANDED); Social Science Citation Index (SSCI)</t>
        </is>
      </c>
      <c r="BM421" t="inlineStr">
        <is>
          <t>Science &amp; Technology - Other Topics; Environmental Sciences &amp; Ecology</t>
        </is>
      </c>
      <c r="BN421" t="inlineStr">
        <is>
          <t>5Q0KM</t>
        </is>
      </c>
      <c r="BP421" t="inlineStr">
        <is>
          <t>gold</t>
        </is>
      </c>
      <c r="BS421" t="inlineStr">
        <is>
          <t>2023-10-26</t>
        </is>
      </c>
      <c r="BT421" t="inlineStr">
        <is>
          <t>WOS:000873529500001</t>
        </is>
      </c>
      <c r="BU421">
        <f>HYPERLINK("https%3A%2F%2Fwww.webofscience.com%2Fwos%2Fwoscc%2Ffull-record%2FWOS:000873529500001","View Full Record in Web of Science")</f>
        <v/>
      </c>
    </row>
    <row r="422">
      <c r="A422" t="inlineStr">
        <is>
          <t>J</t>
        </is>
      </c>
      <c r="B422" t="inlineStr">
        <is>
          <t>Lukcso, D; Guidotti, TL; Franklin, DE; Burt, A</t>
        </is>
      </c>
      <c r="F422" t="inlineStr">
        <is>
          <t>Lukcso, David; Guidotti, Tee Lamont; Franklin, Donald E.; Burt, Allan</t>
        </is>
      </c>
      <c r="J422" t="inlineStr">
        <is>
          <t>ARCHIVES OF ENVIRONMENTAL &amp; OCCUPATIONAL HEALTH</t>
        </is>
      </c>
      <c r="M422" t="inlineStr">
        <is>
          <t>English</t>
        </is>
      </c>
      <c r="N422" t="inlineStr">
        <is>
          <t>Article</t>
        </is>
      </c>
      <c r="T422" t="inlineStr">
        <is>
          <t>Indoor environmental and air quality characteristics, building-related health symptoms, and worker productivity in a federal government building complex</t>
        </is>
      </c>
      <c r="U422" t="inlineStr">
        <is>
          <t>Absence; allergy; asthma; atopy; epidemiology; FEV1; glare; housekeeping; indoor air quality; indoor environment; presenteeism; sinusitis; symptom reporting</t>
        </is>
      </c>
      <c r="W422" t="inlineStr">
        <is>
          <t>Building Health Sciences, Inc. (BHS), investigated environmental conditions by many modalities in 71 discreet areas of 12 buildings in a government building complex that had experienced persistent occupant complaints despite correction of deficiencies following a prior survey. An online health survey was completed by 7,637 building occupants (49% response rate), a subset of whom voluntarily wore personal sampling apparatus and underwent medical evaluation. Building environmental measures were within current standards and guidelines, with few outliers. Four environmental factors were consistently associated with group-level building-related health complaints: physical comfort/discomfort, odor, job stress, and glare. Several other factors were frequently commented on by participants, including cleanliness, renovation and construction activities, and noise. Low relative humidity was significantly associated with lower respiratory and sick building syndrome-type symptoms. No other environmental conditions (including formaldehyde, PM10 [particulate matter with an aerodynamic diameter &lt;10 mu m], or mold levels, which were tested by 7 parameters) correlated directly with individual health symptoms. Indicators of atopy or allergy (sinusitis, allergies, and asthma), when present singly, in combinations of 2 conditions, or together, were hierarchically associated with the following: increased absence, increased presenteeism (presence at work but at reduced capacity), and increase in reported symptom-days, including symptoms not related to respiratory disease. We found that in buildings without unusual hazards and with environmental and air quality indicators within the range of acceptable indoor air quality standards, there is an identifiable population of occupants with a high prevalence of asthma and allergic disease who disproportionately report discomfort and lost productivity due to symptoms and that in normal buildings these outcome indicators are more closely associated with host factors than with environmental conditions. We concluded from the experience of this study that building-related health complaints should be investigated at the work-area level and not at a building-wide level. An occupant-centric medical evaluation should guide environmental investigations, especially when screening results of building indoor environmental and air quality measurements show that the building and its work areas are within regulatory standards and industry guidelines.</t>
        </is>
      </c>
      <c r="X422" t="inlineStr">
        <is>
          <t>[Lukcso, David; Guidotti, Tee Lamont] Med Advisory Serv, Bldg Hlth Sci, Rockville, MD USA; [Franklin, Donald E.; Burt, Allan] Bldg Hlth Sci Inc, Rockville, MD USA</t>
        </is>
      </c>
      <c r="Z422" t="inlineStr">
        <is>
          <t>Lukcso, D (corresponding author), Med Advisory Serv, POB 7479, Gaithersburg, MD 20898 USA.</t>
        </is>
      </c>
      <c r="AA422" t="inlineStr">
        <is>
          <t>dlukcso@nmas.com</t>
        </is>
      </c>
      <c r="AH422" t="n">
        <v>21</v>
      </c>
      <c r="AI422" t="n">
        <v>32</v>
      </c>
      <c r="AJ422" t="n">
        <v>33</v>
      </c>
      <c r="AK422" t="n">
        <v>0</v>
      </c>
      <c r="AL422" t="n">
        <v>54</v>
      </c>
      <c r="AM422" t="inlineStr">
        <is>
          <t>ROUTLEDGE JOURNALS, TAYLOR &amp; FRANCIS LTD</t>
        </is>
      </c>
      <c r="AN422" t="inlineStr">
        <is>
          <t>ABINGDON</t>
        </is>
      </c>
      <c r="AO422" t="inlineStr">
        <is>
          <t>2-4 PARK SQUARE, MILTON PARK, ABINGDON OX14 4RN, OXON, ENGLAND</t>
        </is>
      </c>
      <c r="AP422" t="inlineStr">
        <is>
          <t>1933-8244</t>
        </is>
      </c>
      <c r="AQ422" t="inlineStr">
        <is>
          <t>2154-4700</t>
        </is>
      </c>
      <c r="AS422" t="inlineStr">
        <is>
          <t>ARCH ENVIRON OCCUP H</t>
        </is>
      </c>
      <c r="AT422" t="inlineStr">
        <is>
          <t>Arch. Environ. Occup. Health</t>
        </is>
      </c>
      <c r="AU422" t="inlineStr">
        <is>
          <t>MAR 3</t>
        </is>
      </c>
      <c r="AV422" t="n">
        <v>2016</v>
      </c>
      <c r="AW422" t="n">
        <v>71</v>
      </c>
      <c r="AX422" t="n">
        <v>2</v>
      </c>
      <c r="BC422" t="n">
        <v>85</v>
      </c>
      <c r="BD422" t="n">
        <v>101</v>
      </c>
      <c r="BF422" t="inlineStr">
        <is>
          <t>10.1080/19338244.2014.965246</t>
        </is>
      </c>
      <c r="BG422">
        <f>HYPERLINK("http://dx.doi.org/10.1080/19338244.2014.965246","http://dx.doi.org/10.1080/19338244.2014.965246")</f>
        <v/>
      </c>
      <c r="BJ422" t="n">
        <v>17</v>
      </c>
      <c r="BK422" t="inlineStr">
        <is>
          <t>Environmental Sciences; Public, Environmental &amp; Occupational Health</t>
        </is>
      </c>
      <c r="BL422" t="inlineStr">
        <is>
          <t>Science Citation Index Expanded (SCI-EXPANDED)</t>
        </is>
      </c>
      <c r="BM422" t="inlineStr">
        <is>
          <t>Environmental Sciences &amp; Ecology; Public, Environmental &amp; Occupational Health</t>
        </is>
      </c>
      <c r="BN422" t="inlineStr">
        <is>
          <t>DI4XU</t>
        </is>
      </c>
      <c r="BO422" t="n">
        <v>25258108</v>
      </c>
      <c r="BS422" t="inlineStr">
        <is>
          <t>2023-10-26</t>
        </is>
      </c>
      <c r="BT422" t="inlineStr">
        <is>
          <t>WOS:000373503500006</t>
        </is>
      </c>
      <c r="BU422">
        <f>HYPERLINK("https%3A%2F%2Fwww.webofscience.com%2Fwos%2Fwoscc%2Ffull-record%2FWOS:000373503500006","View Full Record in Web of Science")</f>
        <v/>
      </c>
    </row>
    <row r="423">
      <c r="A423" t="inlineStr">
        <is>
          <t>J</t>
        </is>
      </c>
      <c r="B423" t="inlineStr">
        <is>
          <t>Wu, WS; Ma, ZY; Guo, JH; Niu, XY; Zhao, K</t>
        </is>
      </c>
      <c r="F423" t="inlineStr">
        <is>
          <t>Wu, Wanshu; Ma, Ziying; Guo, Jinhan; Niu, Xinyi; Zhao, Kai</t>
        </is>
      </c>
      <c r="J423" t="inlineStr">
        <is>
          <t>INTERNATIONAL JOURNAL OF ENVIRONMENTAL RESEARCH AND PUBLIC HEALTH</t>
        </is>
      </c>
      <c r="M423" t="inlineStr">
        <is>
          <t>English</t>
        </is>
      </c>
      <c r="N423" t="inlineStr">
        <is>
          <t>Article</t>
        </is>
      </c>
      <c r="T423" t="inlineStr">
        <is>
          <t>Evaluating the Effects of Built Environment on Street Vitality at the City Level: An Empirical Research Based on Spatial Panel Durbin Model</t>
        </is>
      </c>
      <c r="U423" t="inlineStr">
        <is>
          <t>street vitality; street activity; built environment; 5D; spatial panel Durbin model; Xiamen Island</t>
        </is>
      </c>
      <c r="V423" t="inlineStr">
        <is>
          <t>URBAN VITALITY; PHYSICAL-ACTIVITY; WALKING ACTIVITY; NEIGHBORHOOD DESIGN; PUBLIC SPACES; JANE JACOBS; WALKABILITY; ASSOCIATIONS; IMPACT; AREAS</t>
        </is>
      </c>
      <c r="W423" t="inlineStr">
        <is>
          <t>There is evidence that the built environment has an influence on street vitality. However, previous studies seldom assess the direct, indirect, and total effect of multiple environmental elements at the city level. In this study, the features of the street vitality on Xiamen Island are described based on the location-based service Big Data. Xiamen Island is the central urban area of Xiamen, one of the national central cities in China. With the help of multi-source data such as street view images, the condition of design that is difficult to effectively measure with traditional data can be better explored in detail on a macro scale. The built environment is measured through a 5D system at the city level, including Density, Diversity, Design, Destination accessibility, and Distance to transit. Spatial panel Durbin models are constructed to analyze the influence of the built environment on the street vitality on weekdays and weekends, and the direct, indirect, and total effects are evaluated. Results indicate that at the city level, the built environment plays a significant role in promoting street vitality. Functional density is not statistically significant. Most of the elements have spatial effects, except for several indicators in the condition of the design. Compared with the conclusions of previous studies, some indicators have different effects on different spatial scales. For instance, on the micro scale, greening can enhance the attractiveness of streets. However, on the macro scale, too much greening brings fewer functions along the street, which inhibits the street vitality. The condition of design has the greatest effect, followed by destination accessibility. The differences in the influences of weekdays and weekends are mainly caused by commuting behaviors. Most of the built environment elements have stronger effects on weekends, indicating that people interact with the environment more easily during this period.</t>
        </is>
      </c>
      <c r="X423" t="inlineStr">
        <is>
          <t>[Wu, Wanshu; Ma, Ziying; Guo, Jinhan] Huaqiao Univ, Sch Architecture, Xiamen 361021, Peoples R China; [Niu, Xinyi] Tongji Univ, Coll Architecture &amp; Urban Planning, Shanghai 200092, Peoples R China; [Niu, Xinyi] Tongji Univ, Key Lab Ecol &amp; Saving Study Dense Habitat, Minist Educ, Shanghai 200092, Peoples R China; [Zhao, Kai] Huaqiao Univ, Sch Stat, 668 Jimei Rd, Xiamen 361021, Peoples R China; [Zhao, Kai] Huaqiao Univ, Modern Appl Stat &amp; Big Data Res Ctr, Xiamen 361021, Peoples R China</t>
        </is>
      </c>
      <c r="Y423" t="inlineStr">
        <is>
          <t>Huaqiao University; Tongji University; Tongji University; Huaqiao University; Huaqiao University</t>
        </is>
      </c>
      <c r="Z423" t="inlineStr">
        <is>
          <t>Wu, WS (corresponding author), Huaqiao Univ, Sch Architecture, Xiamen 361021, Peoples R China.</t>
        </is>
      </c>
      <c r="AA423" t="inlineStr">
        <is>
          <t>wuwanshu131@163.com; maziying0216@163.com; jhguo_work@163.com; niuxinyi@tongji.edu.cn; kzhao_kai@126.com</t>
        </is>
      </c>
      <c r="AC423" t="inlineStr">
        <is>
          <t>Niu, Xinyi/0000-0001-6611-0331; Wu, Wanshu/0000-0002-9361-628X</t>
        </is>
      </c>
      <c r="AH423" t="n">
        <v>82</v>
      </c>
      <c r="AI423" t="n">
        <v>9</v>
      </c>
      <c r="AJ423" t="n">
        <v>11</v>
      </c>
      <c r="AK423" t="n">
        <v>32</v>
      </c>
      <c r="AL423" t="n">
        <v>166</v>
      </c>
      <c r="AM423" t="inlineStr">
        <is>
          <t>MDPI</t>
        </is>
      </c>
      <c r="AN423" t="inlineStr">
        <is>
          <t>BASEL</t>
        </is>
      </c>
      <c r="AO423" t="inlineStr">
        <is>
          <t>ST ALBAN-ANLAGE 66, CH-4052 BASEL, SWITZERLAND</t>
        </is>
      </c>
      <c r="AQ423" t="inlineStr">
        <is>
          <t>1660-4601</t>
        </is>
      </c>
      <c r="AS423" t="inlineStr">
        <is>
          <t>INT J ENV RES PUB HE</t>
        </is>
      </c>
      <c r="AT423" t="inlineStr">
        <is>
          <t>Int. J. Environ. Res. Public Health</t>
        </is>
      </c>
      <c r="AU423" t="inlineStr">
        <is>
          <t>FEB</t>
        </is>
      </c>
      <c r="AV423" t="n">
        <v>2022</v>
      </c>
      <c r="AW423" t="n">
        <v>19</v>
      </c>
      <c r="AX423" t="n">
        <v>3</v>
      </c>
      <c r="BE423" t="n">
        <v>1664</v>
      </c>
      <c r="BF423" t="inlineStr">
        <is>
          <t>10.3390/ijerph19031664</t>
        </is>
      </c>
      <c r="BG423">
        <f>HYPERLINK("http://dx.doi.org/10.3390/ijerph19031664","http://dx.doi.org/10.3390/ijerph19031664")</f>
        <v/>
      </c>
      <c r="BJ423" t="n">
        <v>24</v>
      </c>
      <c r="BK423" t="inlineStr">
        <is>
          <t>Environmental Sciences; Public, Environmental &amp; Occupational Health</t>
        </is>
      </c>
      <c r="BL423" t="inlineStr">
        <is>
          <t>Science Citation Index Expanded (SCI-EXPANDED); Social Science Citation Index (SSCI)</t>
        </is>
      </c>
      <c r="BM423" t="inlineStr">
        <is>
          <t>Environmental Sciences &amp; Ecology; Public, Environmental &amp; Occupational Health</t>
        </is>
      </c>
      <c r="BN423" t="inlineStr">
        <is>
          <t>ZG9LS</t>
        </is>
      </c>
      <c r="BO423" t="n">
        <v>35162687</v>
      </c>
      <c r="BP423" t="inlineStr">
        <is>
          <t>Green Published, gold</t>
        </is>
      </c>
      <c r="BS423" t="inlineStr">
        <is>
          <t>2023-10-26</t>
        </is>
      </c>
      <c r="BT423" t="inlineStr">
        <is>
          <t>WOS:000760572800001</t>
        </is>
      </c>
      <c r="BU423">
        <f>HYPERLINK("https%3A%2F%2Fwww.webofscience.com%2Fwos%2Fwoscc%2Ffull-record%2FWOS:000760572800001","View Full Record in Web of Science")</f>
        <v/>
      </c>
    </row>
    <row r="424">
      <c r="A424" t="inlineStr">
        <is>
          <t>J</t>
        </is>
      </c>
      <c r="B424" t="inlineStr">
        <is>
          <t>Lahti, AM; Mikkola, TM; Salonen, M; Wasenius, N; Sarvimaeki, A; Eriksson, JG; von Bonsdorff, MB</t>
        </is>
      </c>
      <c r="F424" t="inlineStr">
        <is>
          <t>Lahti, Anna-Maria; Mikkola, Tuija M.; Salonen, Minna; Wasenius, Niko; Sarvimaeki, Anneli; Eriksson, Johan G.; von Bonsdorff, Mikaela B.</t>
        </is>
      </c>
      <c r="J424" t="inlineStr">
        <is>
          <t>INTERNATIONAL JOURNAL OF ENVIRONMENTAL RESEARCH AND PUBLIC HEALTH</t>
        </is>
      </c>
      <c r="M424" t="inlineStr">
        <is>
          <t>English</t>
        </is>
      </c>
      <c r="N424" t="inlineStr">
        <is>
          <t>Article</t>
        </is>
      </c>
      <c r="T424" t="inlineStr">
        <is>
          <t>Mental, Physical and Social Functioning in Independently Living Senior House Residents and Community-Dwelling Older Adults</t>
        </is>
      </c>
      <c r="U424" t="inlineStr">
        <is>
          <t>mental functioning; older people; physical functioning; loneliness; senior housing; social contacts</t>
        </is>
      </c>
      <c r="V424" t="inlineStr">
        <is>
          <t>CLINICALLY IMPORTANT DIFFERENCES; HEALTH-STATUS; SF-36; LIFE; LONELINESS; PEOPLE; RETIREMENT; SUPPORT; BIRTH</t>
        </is>
      </c>
      <c r="W424" t="inlineStr">
        <is>
          <t>Senior houses provide social interaction and support, potentially supporting older people's physical and mental functioning. Few studies have investigated functioning of senior house residents. The aim was to compare functioning between senior house residents and community-dwelling older adults in Finland. We compared senior house residents (n = 336, 69% women, mean age 83 years) to community-dwelling older adults (n = 1139, 56% women, mean age 74 years). Physical and mental functioning were assessed using the SF 36-Item Health Survey. Loneliness and frequency of social contacts were self-reported. The analyses were adjusted for age, socioeconomic factors and diseases. Physical functioning was lower among men in senior houses compared to community-dwelling men (mean 41.1 vs. 46.4, p = 0.003). Mental functioning or the frequency of social contacts did not differ between type of residence in either sex. Loneliness was higher among women in senior houses compared to community-dwelling women (OR = 1.67, p = 0.027). This was not observed in men. Results suggest that women in senior houses had similar physical and mental functioning compared to community-dwelling women. Male senior house residents had poorer physical functioning compared to community-dwelling men. Women living in senior houses were lonelier than community-dwelling women despite the social environment.</t>
        </is>
      </c>
      <c r="X424" t="inlineStr">
        <is>
          <t>[Lahti, Anna-Maria; von Bonsdorff, Mikaela B.] Univ Jyvaskyla, Gerontol Res Ctr, Jyvaskyla 40014, Finland; [Lahti, Anna-Maria; von Bonsdorff, Mikaela B.] Univ Jyvaskyla, Fac Sport &amp; Hlth Sci, Jyvaskyla 40014, Finland; [Lahti, Anna-Maria; Mikkola, Tuija M.; Salonen, Minna; Wasenius, Niko; Eriksson, Johan G.; von Bonsdorff, Mikaela B.] Folkhalsan Res Ctr, Helsinki 00250, Finland; [Mikkola, Tuija M.] Univ Helsinki, Clinicum, Fac Med, Helsinki 00014, Finland; [Salonen, Minna] Natl Inst Hlth &amp; Welf, Publ Hlth Promot Unit, Helsinki 00271, Finland; [Wasenius, Niko] Univ Helsinki, Dept Gen Practice &amp; Primary Hlth Care, Helsinki 00014, Finland; [Wasenius, Niko] Helsinki Univ Hosp, Helsinki 00014, Finland; [Sarvimaeki, Anneli] Age Inst, Helsinki 00520, Finland; [Eriksson, Johan G.] Agcy Sci Technol &amp; Res, Singapore Inst Clin Sci, Singapore 117609, Singapore; [Eriksson, Johan G.] Natl Univ Singapore, Yong Loo Lin Sch Med, Dept Obstet &amp; Gynaecol, Singapore 119077, Singapore; [Eriksson, Johan G.] Natl Univ Singapore, Yong Loo Lin Sch Med, Human Potential Translat Res Programme, Singapore 119077, Singapore</t>
        </is>
      </c>
      <c r="Y424" t="inlineStr">
        <is>
          <t>University of Jyvaskyla; University of Jyvaskyla; Folkhalsan Research Center; University of Helsinki; Finland National Institute for Health &amp; Welfare; University of Helsinki; University of Helsinki; Helsinki University Central Hospital; Agency for Science Technology &amp; Research (A*STAR); A*STAR - Singapore Institute for Clinical Sciences (SICS); National University of Singapore; National University of Singapore</t>
        </is>
      </c>
      <c r="Z424" t="inlineStr">
        <is>
          <t>Lahti, AM (corresponding author), Univ Jyvaskyla, Gerontol Res Ctr, Jyvaskyla 40014, Finland.;Lahti, AM (corresponding author), Univ Jyvaskyla, Fac Sport &amp; Hlth Sci, Jyvaskyla 40014, Finland.;Lahti, AM (corresponding author), Folkhalsan Res Ctr, Helsinki 00250, Finland.</t>
        </is>
      </c>
      <c r="AA424" t="inlineStr">
        <is>
          <t>anna.lahti@folkhalsan.fi; tuija.mikkola@folkhalsan.fr; minna.salonen@thl.fi; niko.wasenius@helsinki.fi; Anneli.sarvimaki@ikainstituutti.fi; johan.eriksson@helsinki.fi; Mikaela.vonbonsdorff@jyu.fi</t>
        </is>
      </c>
      <c r="AB424" t="inlineStr">
        <is>
          <t>von Bonsdorff, Mikaela B/A-5218-2015; Mikkola, Tuija M/L-2835-2014</t>
        </is>
      </c>
      <c r="AC424" t="inlineStr">
        <is>
          <t>von Bonsdorff, Mikaela B/0000-0001-8530-5230; Mikkola, Tuija M/0000-0003-0885-2788; Lahti, Anna-Maria/0000-0001-5865-9367; Wasenius, Niko/0000-0002-9007-6660</t>
        </is>
      </c>
      <c r="AD424" t="inlineStr">
        <is>
          <t>Finnish Foundation for Cardiovascular Research; Finnish Foundation for Diabetes Research, Juho Vainio Foundation; Novo Nordisk Foundation; Signe and Ane Gyllenberg Foundation; Samfundet Folkhalsan; Finnish Foundation for Cardiovascular Research, European Commission FP7 (DORIAN) [278603]; EU [733206]; Jan-Magnus Jansson Foundation</t>
        </is>
      </c>
      <c r="AE424" t="inlineStr">
        <is>
          <t>Finnish Foundation for Cardiovascular Research; Finnish Foundation for Diabetes Research, Juho Vainio Foundation; Novo Nordisk Foundation(Novo Nordisk FoundationNovocure Limited); Signe and Ane Gyllenberg Foundation; Samfundet Folkhalsan; Finnish Foundation for Cardiovascular Research, European Commission FP7 (DORIAN); EU(European Union (EU)); Jan-Magnus Jansson Foundation</t>
        </is>
      </c>
      <c r="AF424" t="inlineStr">
        <is>
          <t>HBCS was funded by the Finnish Foundation for Cardiovascular Research, Finnish Foundation for Diabetes Research, Juho Vainio Foundation, Novo Nordisk Foundation, Signe and Ane Gyllenberg Foundation, Samfundet Folkhaelsan, Finska Laekaresaellskapet, Liv och Haelsa, Finnish Foundation for Cardiovascular Research, European Commission FP7 (DORIAN) [grant number 278603], EU H2020-PHC-2014-DynaHealth [grant number 633595] and EU H2020 (LifeCycle) [grant number 733206]. BoAktiv was funded by the Samfundet Folkhaelsan and Jan-Magnus Jansson Foundation.</t>
        </is>
      </c>
      <c r="AH424" t="n">
        <v>46</v>
      </c>
      <c r="AI424" t="n">
        <v>6</v>
      </c>
      <c r="AJ424" t="n">
        <v>6</v>
      </c>
      <c r="AK424" t="n">
        <v>4</v>
      </c>
      <c r="AL424" t="n">
        <v>11</v>
      </c>
      <c r="AM424" t="inlineStr">
        <is>
          <t>MDPI</t>
        </is>
      </c>
      <c r="AN424" t="inlineStr">
        <is>
          <t>BASEL</t>
        </is>
      </c>
      <c r="AO424" t="inlineStr">
        <is>
          <t>ST ALBAN-ANLAGE 66, CH-4052 BASEL, SWITZERLAND</t>
        </is>
      </c>
      <c r="AQ424" t="inlineStr">
        <is>
          <t>1660-4601</t>
        </is>
      </c>
      <c r="AS424" t="inlineStr">
        <is>
          <t>INT J ENV RES PUB HE</t>
        </is>
      </c>
      <c r="AT424" t="inlineStr">
        <is>
          <t>Int. J. Environ. Res. Public Health</t>
        </is>
      </c>
      <c r="AU424" t="inlineStr">
        <is>
          <t>DEC</t>
        </is>
      </c>
      <c r="AV424" t="n">
        <v>2021</v>
      </c>
      <c r="AW424" t="n">
        <v>18</v>
      </c>
      <c r="AX424" t="n">
        <v>23</v>
      </c>
      <c r="BE424" t="n">
        <v>12299</v>
      </c>
      <c r="BF424" t="inlineStr">
        <is>
          <t>10.3390/ijerph182312299</t>
        </is>
      </c>
      <c r="BG424">
        <f>HYPERLINK("http://dx.doi.org/10.3390/ijerph182312299","http://dx.doi.org/10.3390/ijerph182312299")</f>
        <v/>
      </c>
      <c r="BJ424" t="n">
        <v>11</v>
      </c>
      <c r="BK424" t="inlineStr">
        <is>
          <t>Environmental Sciences; Public, Environmental &amp; Occupational Health</t>
        </is>
      </c>
      <c r="BL424" t="inlineStr">
        <is>
          <t>Science Citation Index Expanded (SCI-EXPANDED); Social Science Citation Index (SSCI)</t>
        </is>
      </c>
      <c r="BM424" t="inlineStr">
        <is>
          <t>Environmental Sciences &amp; Ecology; Public, Environmental &amp; Occupational Health</t>
        </is>
      </c>
      <c r="BN424" t="inlineStr">
        <is>
          <t>XV8BE</t>
        </is>
      </c>
      <c r="BO424" t="n">
        <v>34886019</v>
      </c>
      <c r="BP424" t="inlineStr">
        <is>
          <t>Green Published, gold</t>
        </is>
      </c>
      <c r="BS424" t="inlineStr">
        <is>
          <t>2023-10-26</t>
        </is>
      </c>
      <c r="BT424" t="inlineStr">
        <is>
          <t>WOS:000735159700001</t>
        </is>
      </c>
      <c r="BU424">
        <f>HYPERLINK("https%3A%2F%2Fwww.webofscience.com%2Fwos%2Fwoscc%2Ffull-record%2FWOS:000735159700001","View Full Record in Web of Science")</f>
        <v/>
      </c>
    </row>
    <row r="425">
      <c r="A425" t="inlineStr">
        <is>
          <t>J</t>
        </is>
      </c>
      <c r="B425" t="inlineStr">
        <is>
          <t>Perry, M; Cotes, L; Horton, B; Kunac, R; Snell, I; Taylor, B; Wright, A; Devan, H</t>
        </is>
      </c>
      <c r="F425" t="inlineStr">
        <is>
          <t>Perry, Meredith; Cotes, Lucy; Horton, Benjamin; Kunac, Rebecca; Snell, Isaac; Taylor, Blake; Wright, Abbey; Devan, Hemakumar</t>
        </is>
      </c>
      <c r="J425" t="inlineStr">
        <is>
          <t>INTERNATIONAL JOURNAL OF ENVIRONMENTAL RESEARCH AND PUBLIC HEALTH</t>
        </is>
      </c>
      <c r="M425" t="inlineStr">
        <is>
          <t>English</t>
        </is>
      </c>
      <c r="N425" t="inlineStr">
        <is>
          <t>Article</t>
        </is>
      </c>
      <c r="T425" t="inlineStr">
        <is>
          <t>Enticing but Not Necessarily a Space Designed for Me: Experiences of Urban Park Use by Older Adults with Disability</t>
        </is>
      </c>
      <c r="U425" t="inlineStr">
        <is>
          <t>accessibility; disability; green spaces; urban parks; public health; older adults</t>
        </is>
      </c>
      <c r="V425" t="inlineStr">
        <is>
          <t>PHYSICAL-ACTIVITY PARTICIPATION; QUALITATIVE RESEARCH; DATA-COLLECTION; GREEN SPACE; BENEFITS; HEALTH; INTERVIEWS; BARRIERS; OUTDOOR; PEOPLE</t>
        </is>
      </c>
      <c r="W425" t="inlineStr">
        <is>
          <t>Urban parks are spaces that can enhance older adults' physical, social and psychological wellbeing. As the prevalence of older adults with disability increases, it is important that urban parks are accessible to this population so that they too might gain health benefits. There is limited literature investigating the experiences of urban parks by older adults with disability. This qualitative study, set in a region of New Zealand, explored the experiences, including accessibility, of urban parks by 17 older adults (55 years and older) with self-reported disabilities. Three focus groups (n = 4, 5 and 4 people) and four individual interviews were undertaken. Data were analyzed using the General Inductive Approach. Two primary themes of Enticing and Park use considerations are presented. Urban parks and green spaces are perceived to provide an environment for older adults with a disability to improve their physical, psychosocial and spiritual health, and social connectedness. Parks that are not age, ability or culture diverse are uninviting and exclusive. Meaningful collaboration between park designers, city councils and people with disability is required to maximize the public health benefits of parks and make parks inviting and accessible for users of all ages, cultures and abilities. Park co-design with people with disability may provide one means of improving accessibility and park usability and thus park participation by older adults with disability.</t>
        </is>
      </c>
      <c r="X425" t="inlineStr">
        <is>
          <t>[Perry, Meredith; Devan, Hemakumar] Univ Otago, Ctr Hlth Act &amp; Rehabil Res CHARR, Sch Physiotherapy, Wellington 6021, New Zealand; [Cotes, Lucy; Horton, Benjamin; Kunac, Rebecca; Snell, Isaac; Taylor, Blake; Wright, Abbey] Univ Otago, Sch Physiotherapy, Wellington 6021, New Zealand</t>
        </is>
      </c>
      <c r="Y425" t="inlineStr">
        <is>
          <t>University of Otago; University of Otago</t>
        </is>
      </c>
      <c r="Z425" t="inlineStr">
        <is>
          <t>Perry, M (corresponding author), Univ Otago, Ctr Hlth Act &amp; Rehabil Res CHARR, Sch Physiotherapy, Wellington 6021, New Zealand.</t>
        </is>
      </c>
      <c r="AA425" t="inlineStr">
        <is>
          <t>meredith.perry@otgao.ac.nz; Lucycotes14@gmail.com; Horty.ben@hotmail.co.nz; Rebecca.kunac@gmail.com; Isaacsne1113@gmail.com; Blaket.97@gmail.com; Abbey.wright@outlook.co.nz; hemakumar.devan@otago.ac.nz</t>
        </is>
      </c>
      <c r="AB425" t="inlineStr">
        <is>
          <t>Devan, Hemakumar/I-3218-2019; Perry, Meredith/G-8108-2017</t>
        </is>
      </c>
      <c r="AC425" t="inlineStr">
        <is>
          <t>Devan, Hemakumar/0000-0002-2923-7277; Perry, Meredith/0000-0003-1602-4421</t>
        </is>
      </c>
      <c r="AD425" t="inlineStr">
        <is>
          <t>University of Otago</t>
        </is>
      </c>
      <c r="AE425" t="inlineStr">
        <is>
          <t>University of Otago</t>
        </is>
      </c>
      <c r="AF425" t="inlineStr">
        <is>
          <t>This research was funded by University of Otago Research Grant (Park accessibility: Perceived barriers by older adults in the Greater Wellington Region).</t>
        </is>
      </c>
      <c r="AH425" t="n">
        <v>83</v>
      </c>
      <c r="AI425" t="n">
        <v>15</v>
      </c>
      <c r="AJ425" t="n">
        <v>15</v>
      </c>
      <c r="AK425" t="n">
        <v>13</v>
      </c>
      <c r="AL425" t="n">
        <v>56</v>
      </c>
      <c r="AM425" t="inlineStr">
        <is>
          <t>MDPI</t>
        </is>
      </c>
      <c r="AN425" t="inlineStr">
        <is>
          <t>BASEL</t>
        </is>
      </c>
      <c r="AO425" t="inlineStr">
        <is>
          <t>ST ALBAN-ANLAGE 66, CH-4052 BASEL, SWITZERLAND</t>
        </is>
      </c>
      <c r="AQ425" t="inlineStr">
        <is>
          <t>1660-4601</t>
        </is>
      </c>
      <c r="AS425" t="inlineStr">
        <is>
          <t>INT J ENV RES PUB HE</t>
        </is>
      </c>
      <c r="AT425" t="inlineStr">
        <is>
          <t>Int. J. Environ. Res. Public Health</t>
        </is>
      </c>
      <c r="AU425" t="inlineStr">
        <is>
          <t>JAN</t>
        </is>
      </c>
      <c r="AV425" t="n">
        <v>2021</v>
      </c>
      <c r="AW425" t="n">
        <v>18</v>
      </c>
      <c r="AX425" t="n">
        <v>2</v>
      </c>
      <c r="BE425" t="n">
        <v>552</v>
      </c>
      <c r="BF425" t="inlineStr">
        <is>
          <t>10.3390/ijerph18020552</t>
        </is>
      </c>
      <c r="BG425">
        <f>HYPERLINK("http://dx.doi.org/10.3390/ijerph18020552","http://dx.doi.org/10.3390/ijerph18020552")</f>
        <v/>
      </c>
      <c r="BJ425" t="n">
        <v>19</v>
      </c>
      <c r="BK425" t="inlineStr">
        <is>
          <t>Environmental Sciences; Public, Environmental &amp; Occupational Health</t>
        </is>
      </c>
      <c r="BL425" t="inlineStr">
        <is>
          <t>Science Citation Index Expanded (SCI-EXPANDED); Social Science Citation Index (SSCI)</t>
        </is>
      </c>
      <c r="BM425" t="inlineStr">
        <is>
          <t>Environmental Sciences &amp; Ecology; Public, Environmental &amp; Occupational Health</t>
        </is>
      </c>
      <c r="BN425" t="inlineStr">
        <is>
          <t>PY2IB</t>
        </is>
      </c>
      <c r="BO425" t="n">
        <v>33440760</v>
      </c>
      <c r="BP425" t="inlineStr">
        <is>
          <t>Green Published, gold</t>
        </is>
      </c>
      <c r="BS425" t="inlineStr">
        <is>
          <t>2023-10-26</t>
        </is>
      </c>
      <c r="BT425" t="inlineStr">
        <is>
          <t>WOS:000611871400001</t>
        </is>
      </c>
      <c r="BU425">
        <f>HYPERLINK("https%3A%2F%2Fwww.webofscience.com%2Fwos%2Fwoscc%2Ffull-record%2FWOS:000611871400001","View Full Record in Web of Science")</f>
        <v/>
      </c>
    </row>
    <row r="426">
      <c r="A426" t="inlineStr">
        <is>
          <t>J</t>
        </is>
      </c>
      <c r="B426" t="inlineStr">
        <is>
          <t>Deng, Y; Gao, Q; Yang, TY; Wu, B; Liu, Y; Liu, RX</t>
        </is>
      </c>
      <c r="F426" t="inlineStr">
        <is>
          <t>Deng, Yan; Gao, Qian; Yang, Tianyao; Wu, Bo; Liu, Yang; Liu, Ruxi</t>
        </is>
      </c>
      <c r="J426" t="inlineStr">
        <is>
          <t>SCIENCE OF THE TOTAL ENVIRONMENT</t>
        </is>
      </c>
      <c r="M426" t="inlineStr">
        <is>
          <t>English</t>
        </is>
      </c>
      <c r="N426" t="inlineStr">
        <is>
          <t>Article</t>
        </is>
      </c>
      <c r="T426" t="inlineStr">
        <is>
          <t>Indoor solid fuel use and incident arthritis among middle-aged and older adults in rural China: A nationwide population-based cohort study</t>
        </is>
      </c>
      <c r="U426" t="inlineStr">
        <is>
          <t>Solid fuel; Arthritis; Chinese; Middle-aged and older adults; Cohort study</t>
        </is>
      </c>
      <c r="W426" t="inlineStr">
        <is>
          <t>Background: Many households in developing countries, including China, rely on the traditional use of solid fuels for cooking and heating. Arthritis is highly prevalent in middle-aged and older adults and is a major cause of disability. However, evidence linking indoor solid fuel use with arthritis is scarce in this age group (&gt;= 45 years) in developing countries. Objectives: To investigate whether exposure to indoor solid fuel for cooking and heating is associated with arthritis in middle-aged and older adults in rural China. Methods: Data for the present study were extracted from the China Health and Retirement Longitudinal Study (CHARLS), a longitudinal national prospective study of adults aged 45 years and older enrolled in 2010 and followed up through 2015. We included 7807 rural participants without arthritis at baseline, of whom 1548 living in a central heating area in winter were included in the heating analysis (taking the Qinling-Huaihe line as the heating boundary). Cox proportional hazards models were used to examine the association between indoor solid fuel use and arthritis, controlling for age, sex, education, marital status, smoking status, drinking status, self-reported socioeconomic status, BMI, sleep time, napping time, independent cooking, hypertension, diabetes, dyslipidemia, heart problems and stroke. We also investigated the effect of switching primary fuels and using solid fuels for both cooking and heating on arthritis risk. Results: The mean (SD) age of the study participants was 592 (10.0) years old, and 48.0% of participants were women. A total of 64.8% and 63.0% of the participants reported primarily using solid fuel for cooking and heating, respectively. Arthritis incidence rates were lower among clean fuel users than solid fuel users. Compared to those using clean fuels, cooking and heating solid fuel users had a higher risk of arthritis, with hazard ratios (HRs) of 122 (95% confidence interval (CI): 1.01,1.49) and 1.76 (95% CI: 1.07, 2.89), respectively. Switching from clean fuels to solid fuels for heating (HR: 328, 95% CI: 121, 7.91) and using solid fuels for both cooking and heating (HR, 1.71,95% CI, 1.01-2.79) increased the risk of arthritis. Conclusions: Long-term solid fuel use for indoor cooking and heating is associated with an increased risk of arthritis events among adults aged 45 years and older in rural China. The potential benefits of reducing indoor solid fuel use in groups at high risk for arthritis merit further exploration. (C) 2021 Published by Elsevier B.V.</t>
        </is>
      </c>
      <c r="X426" t="inlineStr">
        <is>
          <t>[Deng, Yan; Gao, Qian; Yang, Tianyao; Liu, Yang] China Med Univ, Sch Publ Hlth, Dept Environm Hlth, Shenyang 110122, Peoples R China; [Wu, Bo] China Med Univ, Hosp 1, Dept Anal &amp; Rectal Dis, Shenyang 110001, Peoples R China; [Liu, Ruxi] China Med Univ, Hosp 1, Dept Immunol &amp; Rheumatol, Shenyang 110001, Peoples R China</t>
        </is>
      </c>
      <c r="Y426" t="inlineStr">
        <is>
          <t>China Medical University; China Medical University; China Medical University</t>
        </is>
      </c>
      <c r="Z426" t="inlineStr">
        <is>
          <t>Liu, RX (corresponding author), China Med Univ, Hosp 1, Dept Immunol &amp; Rheumatol, Shenyang 110001, Peoples R China.</t>
        </is>
      </c>
      <c r="AA426" t="inlineStr">
        <is>
          <t>ruxiliucmu@sina.com</t>
        </is>
      </c>
      <c r="AB426" t="inlineStr">
        <is>
          <t>deng, yan/JDW-8815-2023</t>
        </is>
      </c>
      <c r="AD426" t="inlineStr">
        <is>
          <t>National Natural Science Foundation of China [81673133, 81273034]</t>
        </is>
      </c>
      <c r="AE426" t="inlineStr">
        <is>
          <t>National Natural Science Foundation of China(National Natural Science Foundation of China (NSFC))</t>
        </is>
      </c>
      <c r="AF426" t="inlineStr">
        <is>
          <t>The researchwas funded by the National Natural Science Foundation of China (No. 81673133; No. 81273034).</t>
        </is>
      </c>
      <c r="AH426" t="n">
        <v>50</v>
      </c>
      <c r="AI426" t="n">
        <v>28</v>
      </c>
      <c r="AJ426" t="n">
        <v>28</v>
      </c>
      <c r="AK426" t="n">
        <v>5</v>
      </c>
      <c r="AL426" t="n">
        <v>75</v>
      </c>
      <c r="AM426" t="inlineStr">
        <is>
          <t>ELSEVIER</t>
        </is>
      </c>
      <c r="AN426" t="inlineStr">
        <is>
          <t>AMSTERDAM</t>
        </is>
      </c>
      <c r="AO426" t="inlineStr">
        <is>
          <t>RADARWEG 29, 1043 NX AMSTERDAM, NETHERLANDS</t>
        </is>
      </c>
      <c r="AP426" t="inlineStr">
        <is>
          <t>0048-9697</t>
        </is>
      </c>
      <c r="AQ426" t="inlineStr">
        <is>
          <t>1879-1026</t>
        </is>
      </c>
      <c r="AS426" t="inlineStr">
        <is>
          <t>SCI TOTAL ENVIRON</t>
        </is>
      </c>
      <c r="AT426" t="inlineStr">
        <is>
          <t>Sci. Total Environ.</t>
        </is>
      </c>
      <c r="AU426" t="inlineStr">
        <is>
          <t>JUN 10</t>
        </is>
      </c>
      <c r="AV426" t="n">
        <v>2021</v>
      </c>
      <c r="AW426" t="n">
        <v>772</v>
      </c>
      <c r="BE426" t="n">
        <v>145395</v>
      </c>
      <c r="BF426" t="inlineStr">
        <is>
          <t>10.1016/j.scitotenv.2021.145395</t>
        </is>
      </c>
      <c r="BG426">
        <f>HYPERLINK("http://dx.doi.org/10.1016/j.scitotenv.2021.145395","http://dx.doi.org/10.1016/j.scitotenv.2021.145395")</f>
        <v/>
      </c>
      <c r="BI426" t="inlineStr">
        <is>
          <t>FEB 2021</t>
        </is>
      </c>
      <c r="BJ426" t="n">
        <v>8</v>
      </c>
      <c r="BK426" t="inlineStr">
        <is>
          <t>Environmental Sciences</t>
        </is>
      </c>
      <c r="BL426" t="inlineStr">
        <is>
          <t>Science Citation Index Expanded (SCI-EXPANDED); Social Science Citation Index (SSCI)</t>
        </is>
      </c>
      <c r="BM426" t="inlineStr">
        <is>
          <t>Environmental Sciences &amp; Ecology</t>
        </is>
      </c>
      <c r="BN426" t="inlineStr">
        <is>
          <t>QW6JO</t>
        </is>
      </c>
      <c r="BO426" t="n">
        <v>33578144</v>
      </c>
      <c r="BS426" t="inlineStr">
        <is>
          <t>2023-10-26</t>
        </is>
      </c>
      <c r="BT426" t="inlineStr">
        <is>
          <t>WOS:000628753700084</t>
        </is>
      </c>
      <c r="BU426">
        <f>HYPERLINK("https%3A%2F%2Fwww.webofscience.com%2Fwos%2Fwoscc%2Ffull-record%2FWOS:000628753700084","View Full Record in Web of Science")</f>
        <v/>
      </c>
    </row>
    <row r="427">
      <c r="A427" t="inlineStr">
        <is>
          <t>J</t>
        </is>
      </c>
      <c r="B427" t="inlineStr">
        <is>
          <t>Marquet, O; Hipp, AJ</t>
        </is>
      </c>
      <c r="F427" t="inlineStr">
        <is>
          <t>Marquet, Oriol; Hipp, Aaron J.</t>
        </is>
      </c>
      <c r="J427" t="inlineStr">
        <is>
          <t>JOURNAL OF ENVIRONMENTAL HEALTH</t>
        </is>
      </c>
      <c r="M427" t="inlineStr">
        <is>
          <t>English</t>
        </is>
      </c>
      <c r="N427" t="inlineStr">
        <is>
          <t>Article</t>
        </is>
      </c>
      <c r="T427" t="inlineStr">
        <is>
          <t>Worksite Built Environment and Objectively Measured Physical Activity While at Work: An Analysis Using Perceived and Objective Walkability and Greenness</t>
        </is>
      </c>
      <c r="V427" t="inlineStr">
        <is>
          <t>NEIGHBORHOOD ENVIRONMENTS; ACCELEROMETRY; EMPLOYEES; SUPPORTS; WALKING; GPS; PROGRAMS; HEALTH; HOME</t>
        </is>
      </c>
      <c r="W427" t="inlineStr">
        <is>
          <t>The role of worksite environments in promoting physical activity (PA) remains largely unexplored. With workers in the U.S. spending half of their waking day in their work environment, the workplace could be an important venue for the promotion of health and PA. We examined associations between PA gained while at work and the built environment around the workplace. We measured PA using accelerometer devices in a sample of 119 participants of the Supports at Home and Work for Maintaining Energy Balance study, with a wear time of 1 week. Measures of built environment included perceived walkability, two different measures of objective walkability, and greenness. Working in an environment perceived as walkable was associated with more minutes of PA while at work in all models. When measured objectively, walkability was found significant in the adjusted models controlling for both home walkability and amount of PA gained in nonwork related activities. Greenness of the work environment was found nonsignificant. Findings suggest investing in walkable environments around the workplace or having worksites located in walkable areas can contribute to increased minutes of PA for employed people in the U.S.</t>
        </is>
      </c>
      <c r="X427" t="inlineStr">
        <is>
          <t>[Marquet, Oriol] North Carolina State Univ, Ctr Geospatial Analyt, Dept Pk Recreat &amp; Tourism Management, Raleigh, NC 27695 USA; [Hipp, Aaron J.] North Carolina State Univ, Ctr Geospatial Analyt, Ctr Human Hlth &amp; Environm, Dept Pk Recreat &amp; Tourism Management, Raleigh, NC 27695 USA</t>
        </is>
      </c>
      <c r="Y427" t="inlineStr">
        <is>
          <t>North Carolina State University; North Carolina State University</t>
        </is>
      </c>
      <c r="Z427" t="inlineStr">
        <is>
          <t>Marquet, O (corresponding author), North Carolina State Univ, Ctr Geospatial Analyt, Dept Pk Recreat &amp; Tourism Management, Raleigh, NC 27695 USA.</t>
        </is>
      </c>
      <c r="AA427" t="inlineStr">
        <is>
          <t>omarque@ncsu.edu</t>
        </is>
      </c>
      <c r="AB427" t="inlineStr">
        <is>
          <t>Marquet, Oriol/M-6159-2015</t>
        </is>
      </c>
      <c r="AC427" t="inlineStr">
        <is>
          <t>Marquet, Oriol/0000-0002-7346-5664; Hipp, J. Aaron/0000-0002-2394-7112</t>
        </is>
      </c>
      <c r="AD427" t="inlineStr">
        <is>
          <t>Transdisciplinary Research on Energetics and Cancer Center at Washington University in St. Louis, Missouri; Washington University in St. Louis; Alvin J. Siteman Cancer Center; National Institute of Diabetes and Digestive and Kidney Diseases (NIDDK) [1P30DK092950]; Washington University Institute of Clinical and Translational Sciences from National Center for Advancing Translational Sciences [UL1 TR000448, KL2 TR000450]; National Cancer Institute at the National Institutes of Health [U54 CA15549601]</t>
        </is>
      </c>
      <c r="AE427" t="inlineStr">
        <is>
          <t>Transdisciplinary Research on Energetics and Cancer Center at Washington University in St. Louis, Missouri; Washington University in St. Louis; Alvin J. Siteman Cancer Center; National Institute of Diabetes and Digestive and Kidney Diseases (NIDDK)(United States Department of Health &amp; Human ServicesNational Institutes of Health (NIH) - USANIH National Institute of Diabetes &amp; Digestive &amp; Kidney Diseases (NIDDK)); Washington University Institute of Clinical and Translational Sciences from National Center for Advancing Translational Sciences; National Cancer Institute at the National Institutes of Health(United States Department of Health &amp; Human ServicesNational Institutes of Health (NIH) - USANIH National Cancer Institute (NCI))</t>
        </is>
      </c>
      <c r="AF427" t="inlineStr">
        <is>
          <t>This work was supported by the Transdisciplinary Research on Energetics and Cancer Center at Washington University in St. Louis, Missouri. The Center is funded by the National Cancer Institute at the National Institutes of Health (U54 CA15549601); Washington University in St. Louis; and the Alvin J. Siteman Cancer Center.; Additional support was received from the National Institute of Diabetes and Digestive and Kidney Diseases (NIDDK grant number 1P30DK092950) and the Washington University Institute of Clinical and Translational Sciences (grant UL1 TR000448 and KL2 TR000450) from the National Center for Advancing Translational Sciences.</t>
        </is>
      </c>
      <c r="AH427" t="n">
        <v>40</v>
      </c>
      <c r="AI427" t="n">
        <v>4</v>
      </c>
      <c r="AJ427" t="n">
        <v>4</v>
      </c>
      <c r="AK427" t="n">
        <v>2</v>
      </c>
      <c r="AL427" t="n">
        <v>13</v>
      </c>
      <c r="AM427" t="inlineStr">
        <is>
          <t>NATL ENVIRON HEALTH ASSOC</t>
        </is>
      </c>
      <c r="AN427" t="inlineStr">
        <is>
          <t>DENVER</t>
        </is>
      </c>
      <c r="AO427" t="inlineStr">
        <is>
          <t>720 S COLORADO BLVD SUITE 970, SOUTH TOWER, DENVER, CO 80246 USA</t>
        </is>
      </c>
      <c r="AP427" t="inlineStr">
        <is>
          <t>0022-0892</t>
        </is>
      </c>
      <c r="AS427" t="inlineStr">
        <is>
          <t>J ENVIRON HEALTH</t>
        </is>
      </c>
      <c r="AT427" t="inlineStr">
        <is>
          <t>J. Environ. Health</t>
        </is>
      </c>
      <c r="AU427" t="inlineStr">
        <is>
          <t>MAR</t>
        </is>
      </c>
      <c r="AV427" t="n">
        <v>2019</v>
      </c>
      <c r="AW427" t="n">
        <v>81</v>
      </c>
      <c r="AX427" t="n">
        <v>7</v>
      </c>
      <c r="BC427" t="n">
        <v>20</v>
      </c>
      <c r="BD427" t="n">
        <v>26</v>
      </c>
      <c r="BJ427" t="n">
        <v>7</v>
      </c>
      <c r="BK427" t="inlineStr">
        <is>
          <t>Environmental Sciences; Public, Environmental &amp; Occupational Health</t>
        </is>
      </c>
      <c r="BL427" t="inlineStr">
        <is>
          <t>Science Citation Index Expanded (SCI-EXPANDED); Social Science Citation Index (SSCI)</t>
        </is>
      </c>
      <c r="BM427" t="inlineStr">
        <is>
          <t>Environmental Sciences &amp; Ecology; Public, Environmental &amp; Occupational Health</t>
        </is>
      </c>
      <c r="BN427" t="inlineStr">
        <is>
          <t>HM1TC</t>
        </is>
      </c>
      <c r="BS427" t="inlineStr">
        <is>
          <t>2023-10-26</t>
        </is>
      </c>
      <c r="BT427" t="inlineStr">
        <is>
          <t>WOS:000459234900004</t>
        </is>
      </c>
      <c r="BU427">
        <f>HYPERLINK("https%3A%2F%2Fwww.webofscience.com%2Fwos%2Fwoscc%2Ffull-record%2FWOS:000459234900004","View Full Record in Web of Science")</f>
        <v/>
      </c>
    </row>
    <row r="428">
      <c r="A428" t="inlineStr">
        <is>
          <t>J</t>
        </is>
      </c>
      <c r="B428" t="inlineStr">
        <is>
          <t>Cao, LM; Zhai, DK; Kuang, MJ; Xia, Y</t>
        </is>
      </c>
      <c r="F428" t="inlineStr">
        <is>
          <t>Cao, Limin; Zhai, Daokuan; Kuang, Mingjie; Xia, Yang</t>
        </is>
      </c>
      <c r="J428" t="inlineStr">
        <is>
          <t>ENVIRONMENTAL RESEARCH</t>
        </is>
      </c>
      <c r="M428" t="inlineStr">
        <is>
          <t>English</t>
        </is>
      </c>
      <c r="N428" t="inlineStr">
        <is>
          <t>Article</t>
        </is>
      </c>
      <c r="T428" t="inlineStr">
        <is>
          <t>Indoor air pollution and frailty: A cross-sectional and follow-up study among older Chinese adults</t>
        </is>
      </c>
      <c r="U428" t="inlineStr">
        <is>
          <t>Solid fuel use; Phenotypic frailty; Frailty index; Older Chinese adults; Cohort</t>
        </is>
      </c>
      <c r="V428" t="inlineStr">
        <is>
          <t>HEALTH; INDEX; PREVALENCE; MORTALITY</t>
        </is>
      </c>
      <c r="W428" t="inlineStr">
        <is>
          <t>Background: Previous studies have suggested that ambient air pollution negatively affects frailty, but whether indoor air pollution exposure affects frailty is unknown. Method: This study was conducted on 4946 older adults (&gt;= 60 years) followed from baseline to 4 years in the Chinese Longitudinal Healthy Longevity Survey. Household fuel types and frailty were assessed with self-rated questionnaires and physical examination. The relationships between indoor air pollution and frailty via phenotypic frailty and a frailty index were explored with logistic regression models and Cox proportional hazard regression models in both a cross-sectional and follow-up design. Additionally, the effects of indoor air pollution on phenotypic frailty together with mild cognitive impairment (MCI) were further investigated. Results: In the cross-sectional study, the adjusted ORs (95% CIs) for frailty assessment with the frailty index and phenotypic frailty were 1.28 (1.12, 1.46) and 1.36 (1.18, 1.57), respectively. Solid fuel use was a risk factor in prefrail/frail patients with [OR and 95% CI, 1.88 (1.41, 2.50)], or without MCI [OR and 95% CI, 1.37 (1.17, 1.61)], as compared with the groups with no phenotypic prefrailty/frailty and no MCI. Moreover, solid cooking fuel use was positively associated with the incidence of phenotypic prefrailty and frailty. The adjusted HRs (95% CIs) for phenotypic prefrailty and frailty were 1.26 (1.03, 1.55). Conclusions: Solid cooking fuels can be regarded as a risk factor for frailty. Moreover, our findings suggest that more attention should be paid to solid cooking fuel using as it relates to phenotypic frailty together with MCI.</t>
        </is>
      </c>
      <c r="X428" t="inlineStr">
        <is>
          <t>[Kuang, Mingjie] Shandong First Med Univ, Dept Orthoped, Prov Hosp, Jinan 250014, Shandong, Peoples R China; [Cao, Limin; Zhai, Daokuan] Third Cent Hosp Tianjin, 83 Jintang Rd, Tianjin 300170, Peoples R China; [Cao, Limin; Zhai, Daokuan] Tianjin Key Lab Extracorporeal Life Support Crit, Tianjin, Peoples R China; [Xia, Yang] China Med Univ, Dept Clin Epidemiol, Shengjing Hosp, Shenyang, Peoples R China</t>
        </is>
      </c>
      <c r="Y428" t="inlineStr">
        <is>
          <t>Shandong First Medical University &amp; Shandong Academy of Medical Sciences; China Medical University</t>
        </is>
      </c>
      <c r="Z428" t="inlineStr">
        <is>
          <t>Xia, Y (corresponding author), Shandong First Med Univ, Dept Orthoped, Prov Hosp, Jinan 250014, Shandong, Peoples R China.;Kuang, MJ (corresponding author), China Med Univ, Dept Clin Epidemiol, Shengjing Hosp, Shenyang, Peoples R China.</t>
        </is>
      </c>
      <c r="AA428" t="inlineStr">
        <is>
          <t>doctorkmj@tmu.edu.cn; xytmu507@126.com</t>
        </is>
      </c>
      <c r="AB428" t="inlineStr">
        <is>
          <t>Xia, Yang/AAW-9116-2021</t>
        </is>
      </c>
      <c r="AC428" t="inlineStr">
        <is>
          <t>Xia, Yang/0000-0001-8783-1592</t>
        </is>
      </c>
      <c r="AD428" t="inlineStr">
        <is>
          <t>National Natural Science Foundation of China [81903302, 82002302]; 345 Talent Project of Shengjing Hospital of China Medical University [M0294]</t>
        </is>
      </c>
      <c r="AE428" t="inlineStr">
        <is>
          <t>National Natural Science Foundation of China(National Natural Science Foundation of China (NSFC)); 345 Talent Project of Shengjing Hospital of China Medical University</t>
        </is>
      </c>
      <c r="AF428" t="inlineStr">
        <is>
          <t>This work was supported by the National Natural Science Foundation of China [grant number 81903302; 82002302], the sponsor of which is Mingjie Kuang and 345 Talent Project of Shengjing Hospital of China Medical University [grant number M0294].</t>
        </is>
      </c>
      <c r="AH428" t="n">
        <v>39</v>
      </c>
      <c r="AI428" t="n">
        <v>11</v>
      </c>
      <c r="AJ428" t="n">
        <v>11</v>
      </c>
      <c r="AK428" t="n">
        <v>3</v>
      </c>
      <c r="AL428" t="n">
        <v>50</v>
      </c>
      <c r="AM428" t="inlineStr">
        <is>
          <t>ACADEMIC PRESS INC ELSEVIER SCIENCE</t>
        </is>
      </c>
      <c r="AN428" t="inlineStr">
        <is>
          <t>SAN DIEGO</t>
        </is>
      </c>
      <c r="AO428" t="inlineStr">
        <is>
          <t>525 B ST, STE 1900, SAN DIEGO, CA 92101-4495 USA</t>
        </is>
      </c>
      <c r="AP428" t="inlineStr">
        <is>
          <t>0013-9351</t>
        </is>
      </c>
      <c r="AQ428" t="inlineStr">
        <is>
          <t>1096-0953</t>
        </is>
      </c>
      <c r="AS428" t="inlineStr">
        <is>
          <t>ENVIRON RES</t>
        </is>
      </c>
      <c r="AT428" t="inlineStr">
        <is>
          <t>Environ. Res.</t>
        </is>
      </c>
      <c r="AU428" t="inlineStr">
        <is>
          <t>MAR</t>
        </is>
      </c>
      <c r="AV428" t="n">
        <v>2022</v>
      </c>
      <c r="AW428" t="n">
        <v>204</v>
      </c>
      <c r="AY428" t="inlineStr">
        <is>
          <t>A</t>
        </is>
      </c>
      <c r="BE428" t="n">
        <v>112006</v>
      </c>
      <c r="BF428" t="inlineStr">
        <is>
          <t>10.1016/j.envres.2021.112006</t>
        </is>
      </c>
      <c r="BG428">
        <f>HYPERLINK("http://dx.doi.org/10.1016/j.envres.2021.112006","http://dx.doi.org/10.1016/j.envres.2021.112006")</f>
        <v/>
      </c>
      <c r="BI428" t="inlineStr">
        <is>
          <t>SEP 2021</t>
        </is>
      </c>
      <c r="BJ428" t="n">
        <v>7</v>
      </c>
      <c r="BK428" t="inlineStr">
        <is>
          <t>Environmental Sciences; Public, Environmental &amp; Occupational Health</t>
        </is>
      </c>
      <c r="BL428" t="inlineStr">
        <is>
          <t>Science Citation Index Expanded (SCI-EXPANDED); Social Science Citation Index (SSCI)</t>
        </is>
      </c>
      <c r="BM428" t="inlineStr">
        <is>
          <t>Environmental Sciences &amp; Ecology; Public, Environmental &amp; Occupational Health</t>
        </is>
      </c>
      <c r="BN428" t="inlineStr">
        <is>
          <t>WD1GT</t>
        </is>
      </c>
      <c r="BO428" t="n">
        <v>34499891</v>
      </c>
      <c r="BS428" t="inlineStr">
        <is>
          <t>2023-10-26</t>
        </is>
      </c>
      <c r="BT428" t="inlineStr">
        <is>
          <t>WOS:000704698600001</t>
        </is>
      </c>
      <c r="BU428">
        <f>HYPERLINK("https%3A%2F%2Fwww.webofscience.com%2Fwos%2Fwoscc%2Ffull-record%2FWOS:000704698600001","View Full Record in Web of Science")</f>
        <v/>
      </c>
    </row>
    <row r="429">
      <c r="A429" t="inlineStr">
        <is>
          <t>J</t>
        </is>
      </c>
      <c r="B429" t="inlineStr">
        <is>
          <t>Tannis, C; Senerat, A; Garg, M; Peters, D; Rajupet, S; Garland, E</t>
        </is>
      </c>
      <c r="F429" t="inlineStr">
        <is>
          <t>Tannis, Candace; Senerat, Araliya; Garg, Malika; Peters, Dominique; Rajupet, Sritha; Garland, Elizabeth</t>
        </is>
      </c>
      <c r="J429" t="inlineStr">
        <is>
          <t>INTERNATIONAL JOURNAL OF ENVIRONMENTAL RESEARCH AND PUBLIC HEALTH</t>
        </is>
      </c>
      <c r="M429" t="inlineStr">
        <is>
          <t>English</t>
        </is>
      </c>
      <c r="N429" t="inlineStr">
        <is>
          <t>Article</t>
        </is>
      </c>
      <c r="T429" t="inlineStr">
        <is>
          <t>Improving Physical Activity among Residents of Affordable Housing: Is Active Design Enough?</t>
        </is>
      </c>
      <c r="U429" t="inlineStr">
        <is>
          <t>active design; physical activity; affordable housing; health behaviors; built environment</t>
        </is>
      </c>
      <c r="V429" t="inlineStr">
        <is>
          <t>UNITED-STATES; BUILT ENVIRONMENT; STAIR USE; OBESITY; INCOME</t>
        </is>
      </c>
      <c r="W429" t="inlineStr">
        <is>
          <t>Physical inactivity increases risk of chronic disease. Few studies examine how built environment interventions increase physical activity (PA). Active design (AD) utilizes strategies in affordable housing to improve resident health. We assessed how AD housing affects PA among low-income families in Brooklyn, New York. Participants were recruited at lease signings in 2016 from a new AD apartment complex and two recently renovated comparison buildings without AD features. Eligibility included age 18 years with no contraindications to exercise. Anthropometric data were collected. PA was self-reported using the Recent and Global Physical Activity Questionnaires. Smartphone users shared their tracked step. Data collection was repeated one year after move-in. All data were analyzed using SPSS. Eighty-eight eligible participants completed the initial questionnaire (36 AD and 52 from 2 comparison buildings) at baseline (T0). There were no differences between AD and comparison cohorts in: stair use, PA, sitting time or, mean waist-to-hip ratio (WHR) at T0. However, the AD cohort had a lower baseline BMI (27.6 vs. 31.0, p = 0.019). At one-year follow-up (T1), 75 participants completed our survey including a 64% retention rate among those who previously completed the T0 questionnaire. Among T0 questionnaire respondents, mean daily steps increased at T1 among AD participants who moved from an elevator building (6782, p = 0.051) and in the comparison group (2960, p = 0.023). Aggregate moderate work-related activity was higher at T1 in the AD building (746 vs. 401, p = 0.031). AD building women reported more work-related PA overall but AD men engaged in more moderate recreational PA. Living in an AD building can enhance low-income residents' PA. More research with objective measures is needed to identify strategies to sustain higher PA levels and overall health.</t>
        </is>
      </c>
      <c r="X429" t="inlineStr">
        <is>
          <t>[Tannis, Candace; Senerat, Araliya; Garg, Malika; Peters, Dominique; Rajupet, Sritha; Garland, Elizabeth] Icahn Sch Med Mt Sinai, Dept Environm Med &amp; Publ Hlth, New York, NY 10029 USA; [Rajupet, Sritha] James J Peters VA Med Ctr, Dept Primary Care, Bronx, NY 10468 USA</t>
        </is>
      </c>
      <c r="Y429" t="inlineStr">
        <is>
          <t>Icahn School of Medicine at Mount Sinai; US Department of Veterans Affairs; Veterans Health Administration (VHA); James J. Peters VA Medical Center</t>
        </is>
      </c>
      <c r="Z429" t="inlineStr">
        <is>
          <t>Tannis, C (corresponding author), Icahn Sch Med Mt Sinai, Dept Environm Med &amp; Publ Hlth, New York, NY 10029 USA.</t>
        </is>
      </c>
      <c r="AA429" t="inlineStr">
        <is>
          <t>Candace.Tannis@mssm.edu; asenerat@gmail.com; Malika.Garg@mssm.edu; dom.peters92@gmail.com; Sritha.Rajupet@va.gov; Elizabeth.Garland@mssm.edu</t>
        </is>
      </c>
      <c r="AD429" t="inlineStr">
        <is>
          <t>New York State Health Foundation [16-04051]; National Heart, Lung, and Blood Institute Short-term Training Program [5R25HL108857]</t>
        </is>
      </c>
      <c r="AE429" t="inlineStr">
        <is>
          <t>New York State Health Foundation; National Heart, Lung, and Blood Institute Short-term Training Program</t>
        </is>
      </c>
      <c r="AF429" t="inlineStr">
        <is>
          <t>This project was funded by the New York State Health Foundation, grant number 16-04051; and the National Heart, Lung, and Blood Institute Short-term Training Program, grant number 5R25HL108857.</t>
        </is>
      </c>
      <c r="AH429" t="n">
        <v>29</v>
      </c>
      <c r="AI429" t="n">
        <v>6</v>
      </c>
      <c r="AJ429" t="n">
        <v>6</v>
      </c>
      <c r="AK429" t="n">
        <v>0</v>
      </c>
      <c r="AL429" t="n">
        <v>8</v>
      </c>
      <c r="AM429" t="inlineStr">
        <is>
          <t>MDPI</t>
        </is>
      </c>
      <c r="AN429" t="inlineStr">
        <is>
          <t>BASEL</t>
        </is>
      </c>
      <c r="AO429" t="inlineStr">
        <is>
          <t>ST ALBAN-ANLAGE 66, CH-4052 BASEL, SWITZERLAND</t>
        </is>
      </c>
      <c r="AP429" t="inlineStr">
        <is>
          <t>1660-4601</t>
        </is>
      </c>
      <c r="AS429" t="inlineStr">
        <is>
          <t>INT J ENV RES PUB HE</t>
        </is>
      </c>
      <c r="AT429" t="inlineStr">
        <is>
          <t>Int. J. Environ. Res. Public Health</t>
        </is>
      </c>
      <c r="AU429" t="inlineStr">
        <is>
          <t>JAN 1</t>
        </is>
      </c>
      <c r="AV429" t="n">
        <v>2019</v>
      </c>
      <c r="AW429" t="n">
        <v>16</v>
      </c>
      <c r="AX429" t="n">
        <v>1</v>
      </c>
      <c r="BE429" t="n">
        <v>151</v>
      </c>
      <c r="BF429" t="inlineStr">
        <is>
          <t>10.3390/ijerph16010151</t>
        </is>
      </c>
      <c r="BG429">
        <f>HYPERLINK("http://dx.doi.org/10.3390/ijerph16010151","http://dx.doi.org/10.3390/ijerph16010151")</f>
        <v/>
      </c>
      <c r="BJ429" t="n">
        <v>13</v>
      </c>
      <c r="BK429" t="inlineStr">
        <is>
          <t>Environmental Sciences; Public, Environmental &amp; Occupational Health</t>
        </is>
      </c>
      <c r="BL429" t="inlineStr">
        <is>
          <t>Science Citation Index Expanded (SCI-EXPANDED); Social Science Citation Index (SSCI)</t>
        </is>
      </c>
      <c r="BM429" t="inlineStr">
        <is>
          <t>Environmental Sciences &amp; Ecology; Public, Environmental &amp; Occupational Health</t>
        </is>
      </c>
      <c r="BN429" t="inlineStr">
        <is>
          <t>HM0BZ</t>
        </is>
      </c>
      <c r="BO429" t="n">
        <v>30626013</v>
      </c>
      <c r="BP429" t="inlineStr">
        <is>
          <t>Green Submitted, gold, Green Published</t>
        </is>
      </c>
      <c r="BS429" t="inlineStr">
        <is>
          <t>2023-10-26</t>
        </is>
      </c>
      <c r="BT429" t="inlineStr">
        <is>
          <t>WOS:000459111400151</t>
        </is>
      </c>
      <c r="BU429">
        <f>HYPERLINK("https%3A%2F%2Fwww.webofscience.com%2Fwos%2Fwoscc%2Ffull-record%2FWOS:000459111400151","View Full Record in Web of Science")</f>
        <v/>
      </c>
    </row>
    <row r="430">
      <c r="A430" t="inlineStr">
        <is>
          <t>J</t>
        </is>
      </c>
      <c r="B430" t="inlineStr">
        <is>
          <t>Adams, MA; Phillips, CB; Patel, A; Middel, A</t>
        </is>
      </c>
      <c r="F430" t="inlineStr">
        <is>
          <t>Adams, Marc A.; Phillips, Christine B.; Patel, Akshar; Middel, Ariane</t>
        </is>
      </c>
      <c r="J430" t="inlineStr">
        <is>
          <t>INTERNATIONAL JOURNAL OF ENVIRONMENTAL RESEARCH AND PUBLIC HEALTH</t>
        </is>
      </c>
      <c r="M430" t="inlineStr">
        <is>
          <t>English</t>
        </is>
      </c>
      <c r="N430" t="inlineStr">
        <is>
          <t>Article</t>
        </is>
      </c>
      <c r="T430" t="inlineStr">
        <is>
          <t>Training Computers to See the Built Environment Related to Physical Activity: Detection of Microscale Walkability Features Using Computer Vision</t>
        </is>
      </c>
      <c r="U430" t="inlineStr">
        <is>
          <t>built environment; computer vision; deep learning; Google Street View; microscale; walkability</t>
        </is>
      </c>
      <c r="V430" t="inlineStr">
        <is>
          <t>GOOGLE STREET VIEW; SCALE NEWS; AUDIT; CLASSIFICATION; RELIABILITY; VALIDATION; MAPS; FORM</t>
        </is>
      </c>
      <c r="W430" t="inlineStr">
        <is>
          <t>The study purpose was to train and validate a deep learning approach to detect microscale streetscape features related to pedestrian physical activity. This work innovates by combining computer vision techniques with Google Street View (GSV) images to overcome impediments to conducting audits (e.g., time, safety, and expert labor cost). The EfficientNETB5 architecture was used to build deep learning models for eight microscale features guided by the Microscale Audit of Pedestrian Streetscapes Mini tool: sidewalks, sidewalk buffers, curb cuts, zebra and line crosswalks, walk signals, bike symbols, and streetlights. We used a train-correct loop, whereby images were trained on a training dataset, evaluated using a separate validation dataset, and trained further until acceptable performance metrics were achieved. Further, we used trained models to audit participant (N = 512) neighborhoods in the WalkIT Arizona trial. Correlations were explored between microscale features and GIS-measured and participant-reported neighborhood macroscale walkability. Classifier precision, recall, and overall accuracy were all over &gt;84%. Total microscale was associated with overall macroscale walkability (r = 0.30, p &lt; 0.001). Positive associations were found between model-detected and self-reported sidewalks (r = 0.41, p &lt; 0.001) and sidewalk buffers (r = 0.26, p &lt; 0.001). The computer vision model results suggest an alternative to trained human raters, allowing for audits of hundreds or thousands of neighborhoods for population surveillance or hypothesis testing.</t>
        </is>
      </c>
      <c r="X430" t="inlineStr">
        <is>
          <t>[Adams, Marc A.; Patel, Akshar] Arizona State Univ, Coll Hlth Solut, Phoenix, AZ 85004 USA; [Phillips, Christine B.] Clemson Univ, Dept Psychol, Clemson, SC 29634 USA; [Middel, Ariane] Arizona State Univ, Sch Arts Media &amp; Engn, Herberger Inst Design &amp; Arts, Phoenix, AZ 85004 USA</t>
        </is>
      </c>
      <c r="Y430" t="inlineStr">
        <is>
          <t>Arizona State University; Arizona State University-Downtown Phoenix; Clemson University; Arizona State University; Arizona State University-Downtown Phoenix</t>
        </is>
      </c>
      <c r="Z430" t="inlineStr">
        <is>
          <t>Adams, MA (corresponding author), Arizona State Univ, Coll Hlth Solut, Phoenix, AZ 85004 USA.</t>
        </is>
      </c>
      <c r="AA430" t="inlineStr">
        <is>
          <t>marc.adams@asu.edu; cbphill@clemson.edu; aksharpatel@asu.edu; ariane.middel@asu.edu</t>
        </is>
      </c>
      <c r="AB430" t="inlineStr">
        <is>
          <t>Middel, Ariane/P-4221-2016</t>
        </is>
      </c>
      <c r="AC430" t="inlineStr">
        <is>
          <t>Middel, Ariane/0000-0002-1565-095X</t>
        </is>
      </c>
      <c r="AD430" t="inlineStr">
        <is>
          <t>National Institutes of Health [R01CA198915]; National Science Foundation [CMMI-1942805 CAREER]</t>
        </is>
      </c>
      <c r="AE430" t="inlineStr">
        <is>
          <t>National Institutes of Health(United States Department of Health &amp; Human ServicesNational Institutes of Health (NIH) - USA); National Science Foundation(National Science Foundation (NSF))</t>
        </is>
      </c>
      <c r="AF430" t="inlineStr">
        <is>
          <t>This research was funded by the National Institutes of Health through an administrative supplement to the parent grant (#R01CA198915, PI: Adams). It was also supported by the National Science Foundation (#CMMI-1942805 CAREER: Human Thermal Exposure in Cities-Novel Sensing and Modeling to Build Heat Resilience, PI: Middel). Any opinions, findings, and conclusions or recommendations expressed in this material are those of the authors and do not necessarily reflect the views of the sponsoring organizations.</t>
        </is>
      </c>
      <c r="AH430" t="n">
        <v>55</v>
      </c>
      <c r="AI430" t="n">
        <v>5</v>
      </c>
      <c r="AJ430" t="n">
        <v>5</v>
      </c>
      <c r="AK430" t="n">
        <v>6</v>
      </c>
      <c r="AL430" t="n">
        <v>23</v>
      </c>
      <c r="AM430" t="inlineStr">
        <is>
          <t>MDPI</t>
        </is>
      </c>
      <c r="AN430" t="inlineStr">
        <is>
          <t>BASEL</t>
        </is>
      </c>
      <c r="AO430" t="inlineStr">
        <is>
          <t>ST ALBAN-ANLAGE 66, CH-4052 BASEL, SWITZERLAND</t>
        </is>
      </c>
      <c r="AQ430" t="inlineStr">
        <is>
          <t>1660-4601</t>
        </is>
      </c>
      <c r="AS430" t="inlineStr">
        <is>
          <t>INT J ENV RES PUB HE</t>
        </is>
      </c>
      <c r="AT430" t="inlineStr">
        <is>
          <t>Int. J. Environ. Res. Public Health</t>
        </is>
      </c>
      <c r="AU430" t="inlineStr">
        <is>
          <t>APR</t>
        </is>
      </c>
      <c r="AV430" t="n">
        <v>2022</v>
      </c>
      <c r="AW430" t="n">
        <v>19</v>
      </c>
      <c r="AX430" t="n">
        <v>8</v>
      </c>
      <c r="BE430" t="n">
        <v>4548</v>
      </c>
      <c r="BF430" t="inlineStr">
        <is>
          <t>10.3390/ijerph19084548</t>
        </is>
      </c>
      <c r="BG430">
        <f>HYPERLINK("http://dx.doi.org/10.3390/ijerph19084548","http://dx.doi.org/10.3390/ijerph19084548")</f>
        <v/>
      </c>
      <c r="BJ430" t="n">
        <v>16</v>
      </c>
      <c r="BK430" t="inlineStr">
        <is>
          <t>Environmental Sciences; Public, Environmental &amp; Occupational Health</t>
        </is>
      </c>
      <c r="BL430" t="inlineStr">
        <is>
          <t>Science Citation Index Expanded (SCI-EXPANDED); Social Science Citation Index (SSCI)</t>
        </is>
      </c>
      <c r="BM430" t="inlineStr">
        <is>
          <t>Environmental Sciences &amp; Ecology; Public, Environmental &amp; Occupational Health</t>
        </is>
      </c>
      <c r="BN430" t="inlineStr">
        <is>
          <t>0S1AR</t>
        </is>
      </c>
      <c r="BO430" t="n">
        <v>35457416</v>
      </c>
      <c r="BP430" t="inlineStr">
        <is>
          <t>Green Published, gold, Green Submitted</t>
        </is>
      </c>
      <c r="BS430" t="inlineStr">
        <is>
          <t>2023-10-26</t>
        </is>
      </c>
      <c r="BT430" t="inlineStr">
        <is>
          <t>WOS:000786014200001</t>
        </is>
      </c>
      <c r="BU430">
        <f>HYPERLINK("https%3A%2F%2Fwww.webofscience.com%2Fwos%2Fwoscc%2Ffull-record%2FWOS:000786014200001","View Full Record in Web of Science")</f>
        <v/>
      </c>
    </row>
    <row r="431">
      <c r="A431" t="inlineStr">
        <is>
          <t>J</t>
        </is>
      </c>
      <c r="B431" t="inlineStr">
        <is>
          <t>Andrade, A; Dominski, FH</t>
        </is>
      </c>
      <c r="F431" t="inlineStr">
        <is>
          <t>Andrade, Alexandro; Dominski, Fabio Hech</t>
        </is>
      </c>
      <c r="J431" t="inlineStr">
        <is>
          <t>JOURNAL OF ENVIRONMENTAL MANAGEMENT</t>
        </is>
      </c>
      <c r="M431" t="inlineStr">
        <is>
          <t>English</t>
        </is>
      </c>
      <c r="N431" t="inlineStr">
        <is>
          <t>Review</t>
        </is>
      </c>
      <c r="T431" t="inlineStr">
        <is>
          <t>Indoor air quality of environments used for physical exercise and sports practice: Systematic review</t>
        </is>
      </c>
      <c r="U431" t="inlineStr">
        <is>
          <t>Systematic review; Air pollution; Indoor air quality; Motor activity; Environmental pollution</t>
        </is>
      </c>
      <c r="V431" t="inlineStr">
        <is>
          <t>HEALTH IMPACT; PERFORMANCE; POLLUTANTS; COMFORT</t>
        </is>
      </c>
      <c r="W431" t="inlineStr">
        <is>
          <t>Background: Systematic reviews have the potential to contribute substantially to environmental health and risk assessment. Objective: This study aimed to investigate indoor air quality of environments used for physical exercise and sports practice through a systematic review. Methods: The systematic review followed the PRISMA guidelines and was recorded in the PROSPERO registry (CRD42016036057). The search was performed using the SciELO, Science Direct, Scopus, LILACS, MEDLINE via PubMed, and SPORTDiscus databases, from their inception through April 2017. The search terms used in the databases were {air pollutants OR air quality} AND {physical exercise OR physical activity OR sport}. The results of selected studies were divided into 5 categories for analysis: monitoring of air quality in the environment according to international guidelines, indoor to -outdoor ratio (I/O), air quality during physical exercise, impact of air quality on health, and interventions to improve indoor air quality. Results: Among 1281 studies screened, 34 satisfied the inclusion criteria. The monitoring of pollutants was conducted in 20 studies. CO and NO2 were the most investigated pollutants, and guidelines were discussed in most studies. The I/O ratio was investigated in 12 studies, of which 9 showed a higher concentration of some pollutants in indoor rather than outdoor environments. Among the 34 studies selected, only 7 investigated the impact of indoor air pollution on human health. The population in most of these studies consisted of hockey players. Conclusion: Most studies conducted monitoring of pollutants in indoor environments used for physical exercise and sports practice. The earliest studies were conducted in ice skating rinks and the most recent evaluated gymnasiums, fitness centers, and sports centers. The CO, particulate matter, and NO2 concentrations were the most investigated and have the longest history of investigation. These pollutants were within the limits established by guidelines in most studies. Studies that examined the association between air quality documented the adverse effects of pollution. There is a need for more studies focused on the relationship between pollution and health. 2017 Elsevier Ltd. All rights reserved.</t>
        </is>
      </c>
      <c r="X431" t="inlineStr">
        <is>
          <t>[Andrade, Alexandro; Dominski, Fabio Hech] Santa Catarina State Univ, Ctr Hlth &amp; Sport Sci, Lab Sport &amp; Exercise Psychol, Florianopolis, SC, Brazil</t>
        </is>
      </c>
      <c r="Y431" t="inlineStr">
        <is>
          <t>Universidade do Estado de Santa Catarina</t>
        </is>
      </c>
      <c r="Z431" t="inlineStr">
        <is>
          <t>Andrade, A (corresponding author), Santa Catarina State Univ, Florianopolis, SC, Brazil.</t>
        </is>
      </c>
      <c r="AA431" t="inlineStr">
        <is>
          <t>alexandro.andrade.phd@gmail.com</t>
        </is>
      </c>
      <c r="AB431" t="inlineStr">
        <is>
          <t>Dominski, Fábio Hech/H-5956-2016; Andrade, Alexandro/H-5226-2016</t>
        </is>
      </c>
      <c r="AC431" t="inlineStr">
        <is>
          <t>Dominski, Fábio Hech/0000-0003-1767-6405; Andrade, Alexandro/0000-0002-6640-9314; Andrade, Alexandro/0000-0002-4769-7453</t>
        </is>
      </c>
      <c r="AD431" t="inlineStr">
        <is>
          <t>Higher Education Personnel Improvement Coordination (CAPES) [03/2015]; FAPESC (Research Innovation Support Foundation of the State of Santa Catarina) [2287/PAP 04/2014]</t>
        </is>
      </c>
      <c r="AE431" t="inlineStr">
        <is>
          <t>Higher Education Personnel Improvement Coordination (CAPES)(Coordenacao de Aperfeicoamento de Pessoal de Nivel Superior (CAPES)); FAPESC (Research Innovation Support Foundation of the State of Santa Catarina)</t>
        </is>
      </c>
      <c r="AF431" t="inlineStr">
        <is>
          <t>This study was supported by the Higher Education Personnel Improvement Coordination (CAPES), Public Notice (n.03/2015), through master's scholarship and the authors thank FAPESC (Research Innovation Support Foundation of the State of Santa Catarina) for financial support through research (Project No. 2287/PAP 04/2014).</t>
        </is>
      </c>
      <c r="AH431" t="n">
        <v>62</v>
      </c>
      <c r="AI431" t="n">
        <v>42</v>
      </c>
      <c r="AJ431" t="n">
        <v>43</v>
      </c>
      <c r="AK431" t="n">
        <v>2</v>
      </c>
      <c r="AL431" t="n">
        <v>78</v>
      </c>
      <c r="AM431" t="inlineStr">
        <is>
          <t>ACADEMIC PRESS LTD- ELSEVIER SCIENCE LTD</t>
        </is>
      </c>
      <c r="AN431" t="inlineStr">
        <is>
          <t>LONDON</t>
        </is>
      </c>
      <c r="AO431" t="inlineStr">
        <is>
          <t>24-28 OVAL RD, LONDON NW1 7DX, ENGLAND</t>
        </is>
      </c>
      <c r="AP431" t="inlineStr">
        <is>
          <t>0301-4797</t>
        </is>
      </c>
      <c r="AQ431" t="inlineStr">
        <is>
          <t>1095-8630</t>
        </is>
      </c>
      <c r="AS431" t="inlineStr">
        <is>
          <t>J ENVIRON MANAGE</t>
        </is>
      </c>
      <c r="AT431" t="inlineStr">
        <is>
          <t>J. Environ. Manage.</t>
        </is>
      </c>
      <c r="AU431" t="inlineStr">
        <is>
          <t>JAN 15</t>
        </is>
      </c>
      <c r="AV431" t="n">
        <v>2018</v>
      </c>
      <c r="AW431" t="n">
        <v>206</v>
      </c>
      <c r="BC431" t="n">
        <v>577</v>
      </c>
      <c r="BD431" t="n">
        <v>586</v>
      </c>
      <c r="BF431" t="inlineStr">
        <is>
          <t>10.1016/j.jenvman.2017.11.001</t>
        </is>
      </c>
      <c r="BG431">
        <f>HYPERLINK("http://dx.doi.org/10.1016/j.jenvman.2017.11.001","http://dx.doi.org/10.1016/j.jenvman.2017.11.001")</f>
        <v/>
      </c>
      <c r="BJ431" t="n">
        <v>10</v>
      </c>
      <c r="BK431" t="inlineStr">
        <is>
          <t>Environmental Sciences</t>
        </is>
      </c>
      <c r="BL431" t="inlineStr">
        <is>
          <t>Science Citation Index Expanded (SCI-EXPANDED); Social Science Citation Index (SSCI)</t>
        </is>
      </c>
      <c r="BM431" t="inlineStr">
        <is>
          <t>Environmental Sciences &amp; Ecology</t>
        </is>
      </c>
      <c r="BN431" t="inlineStr">
        <is>
          <t>FT6DW</t>
        </is>
      </c>
      <c r="BO431" t="n">
        <v>29127930</v>
      </c>
      <c r="BS431" t="inlineStr">
        <is>
          <t>2023-10-26</t>
        </is>
      </c>
      <c r="BT431" t="inlineStr">
        <is>
          <t>WOS:000423245500058</t>
        </is>
      </c>
      <c r="BU431">
        <f>HYPERLINK("https%3A%2F%2Fwww.webofscience.com%2Fwos%2Fwoscc%2Ffull-record%2FWOS:000423245500058","View Full Record in Web of Science")</f>
        <v/>
      </c>
    </row>
    <row r="432">
      <c r="A432" t="inlineStr">
        <is>
          <t>J</t>
        </is>
      </c>
      <c r="B432" t="inlineStr">
        <is>
          <t>Lu, SL; Liu, Y; Sun, YC; Yin, S; Jiang, XY</t>
        </is>
      </c>
      <c r="F432" t="inlineStr">
        <is>
          <t>Lu, Shilei; Liu, Yi; Sun, Yuncan; Yin, Shuai; Jiang, Xiangyang</t>
        </is>
      </c>
      <c r="J432" t="inlineStr">
        <is>
          <t>JOURNAL OF CLEANER PRODUCTION</t>
        </is>
      </c>
      <c r="M432" t="inlineStr">
        <is>
          <t>English</t>
        </is>
      </c>
      <c r="N432" t="inlineStr">
        <is>
          <t>Article</t>
        </is>
      </c>
      <c r="T432" t="inlineStr">
        <is>
          <t>Indoor thermal environmental evaluation of Chinese green building based on new index OTCP and subjective satisfaction</t>
        </is>
      </c>
      <c r="U432" t="inlineStr">
        <is>
          <t>Green building; Indoor thermal comfort; The evaluation index; Comfort zone</t>
        </is>
      </c>
      <c r="V432" t="inlineStr">
        <is>
          <t>SEVERE COLD AREA; OFFICE BUILDINGS; COMFORT; QUALITY; PERCEPTION; USERS</t>
        </is>
      </c>
      <c r="W432" t="inlineStr">
        <is>
          <t>Due to energy crisis and phenomenon of global warming, green buildings have been undergoing vigorous development in China, and people are paying increasing attention to the actual operational effect of green buildings rather than the design. In this paper, 12 high-star green buildings (3 LEED Gold buildings, 1 operation Two-Star building, 1 operation Three-Star building, 1 design Two-Star building, and 6 design Three-Star buildings) in the cold region and hot summer and warm winter region (HSWW region) were taken as the research objects to evaluate their indoor thermal comfort. First, from December 2016 to March 2018, this paper conducted a continuous collection of indoor objective thermal environment data of green buildings to obtain the actual thermal environment distribution, and proposed new indexes to evaluate indoor thermal environment of green buildings, namely, OTCD (Over Thermal Comfort Distance) and OTCP (Over Thermal Comfort Percentage). It was found that indoor temperature and humidity of most buildings didn't reach the standard. The new evaluation indexes clearly showed the percentage of the indoor temperature and humidity of each green building away from the comfort zone under different standards in mathematical form, which is convenient for comparison. Second, a questionnaire survey on people's subjective satisfaction of indoor thermal comfort in green buildings was carried out at the same time, wherein 1400 valid questionnaires were recovered. Based on the different evaluation results of subjective and objective thermal comfort, the operative comfort temperature/humidity and thermal/humid comfort zone of different building climate zones were obtained by cluster and linear regression analysis. The results showed that there are differences between thermal/humid comfort zone of different building climate zones and it is helpful for the research on thermal comfort of green buildings in China and the development of relevant codes. (C) 2019 Elsevier Ltd. All rights reserved.</t>
        </is>
      </c>
      <c r="X432" t="inlineStr">
        <is>
          <t>[Lu, Shilei; Liu, Yi; Sun, Yuncan; Jiang, Xiangyang] Tianjin Univ, Sch Environm Sci &amp; Engn, Tianjin 300350, Peoples R China; [Yin, Shuai] Minist Housing &amp; Urban Rural Dev, Ctr Sci &amp; Technol, Beijing 100835, Peoples R China</t>
        </is>
      </c>
      <c r="Y432" t="inlineStr">
        <is>
          <t>Tianjin University</t>
        </is>
      </c>
      <c r="Z432" t="inlineStr">
        <is>
          <t>Lu, SL (corresponding author), Tianjin Univ, Sch Environm Sci &amp; Engn, Tianjin 300350, Peoples R China.</t>
        </is>
      </c>
      <c r="AA432" t="inlineStr">
        <is>
          <t>lvshilei@tju.edu.cn</t>
        </is>
      </c>
      <c r="AD432" t="inlineStr">
        <is>
          <t>National Key R&amp;D Program of China [2016YFC0700100]</t>
        </is>
      </c>
      <c r="AE432" t="inlineStr">
        <is>
          <t>National Key R&amp;D Program of China</t>
        </is>
      </c>
      <c r="AF432" t="inlineStr">
        <is>
          <t>This research has been supported by National Key R&amp;D Program of China (Grant No. 2016YFC0700100).</t>
        </is>
      </c>
      <c r="AH432" t="n">
        <v>42</v>
      </c>
      <c r="AI432" t="n">
        <v>13</v>
      </c>
      <c r="AJ432" t="n">
        <v>13</v>
      </c>
      <c r="AK432" t="n">
        <v>7</v>
      </c>
      <c r="AL432" t="n">
        <v>101</v>
      </c>
      <c r="AM432" t="inlineStr">
        <is>
          <t>ELSEVIER SCI LTD</t>
        </is>
      </c>
      <c r="AN432" t="inlineStr">
        <is>
          <t>OXFORD</t>
        </is>
      </c>
      <c r="AO432" t="inlineStr">
        <is>
          <t>THE BOULEVARD, LANGFORD LANE, KIDLINGTON, OXFORD OX5 1GB, OXON, ENGLAND</t>
        </is>
      </c>
      <c r="AP432" t="inlineStr">
        <is>
          <t>0959-6526</t>
        </is>
      </c>
      <c r="AQ432" t="inlineStr">
        <is>
          <t>1879-1786</t>
        </is>
      </c>
      <c r="AS432" t="inlineStr">
        <is>
          <t>J CLEAN PROD</t>
        </is>
      </c>
      <c r="AT432" t="inlineStr">
        <is>
          <t>J. Clean Prod.</t>
        </is>
      </c>
      <c r="AU432" t="inlineStr">
        <is>
          <t>DEC 10</t>
        </is>
      </c>
      <c r="AV432" t="n">
        <v>2019</v>
      </c>
      <c r="AW432" t="n">
        <v>240</v>
      </c>
      <c r="BE432" t="n">
        <v>118151</v>
      </c>
      <c r="BF432" t="inlineStr">
        <is>
          <t>10.1016/j.jclepro.2019.118151</t>
        </is>
      </c>
      <c r="BG432">
        <f>HYPERLINK("http://dx.doi.org/10.1016/j.jclepro.2019.118151","http://dx.doi.org/10.1016/j.jclepro.2019.118151")</f>
        <v/>
      </c>
      <c r="BJ432" t="n">
        <v>17</v>
      </c>
      <c r="BK432" t="inlineStr">
        <is>
          <t>Green &amp; Sustainable Science &amp; Technology; Engineering, Environmental; Environmental Sciences</t>
        </is>
      </c>
      <c r="BL432" t="inlineStr">
        <is>
          <t>Science Citation Index Expanded (SCI-EXPANDED)</t>
        </is>
      </c>
      <c r="BM432" t="inlineStr">
        <is>
          <t>Science &amp; Technology - Other Topics; Engineering; Environmental Sciences &amp; Ecology</t>
        </is>
      </c>
      <c r="BN432" t="inlineStr">
        <is>
          <t>JA6ER</t>
        </is>
      </c>
      <c r="BS432" t="inlineStr">
        <is>
          <t>2023-10-26</t>
        </is>
      </c>
      <c r="BT432" t="inlineStr">
        <is>
          <t>WOS:000487936100031</t>
        </is>
      </c>
      <c r="BU432">
        <f>HYPERLINK("https%3A%2F%2Fwww.webofscience.com%2Fwos%2Fwoscc%2Ffull-record%2FWOS:000487936100031","View Full Record in Web of Science")</f>
        <v/>
      </c>
    </row>
    <row r="433">
      <c r="A433" t="inlineStr">
        <is>
          <t>J</t>
        </is>
      </c>
      <c r="B433" t="inlineStr">
        <is>
          <t>Hong, B; Qin, HQ; Lin, BR</t>
        </is>
      </c>
      <c r="F433" t="inlineStr">
        <is>
          <t>Hong, Bo; Qin, Hongqiao; Lin, Borong</t>
        </is>
      </c>
      <c r="J433" t="inlineStr">
        <is>
          <t>ATMOSPHERE</t>
        </is>
      </c>
      <c r="M433" t="inlineStr">
        <is>
          <t>English</t>
        </is>
      </c>
      <c r="N433" t="inlineStr">
        <is>
          <t>Article</t>
        </is>
      </c>
      <c r="T433" t="inlineStr">
        <is>
          <t>Prediction of Wind Environment and Indoor/Outdoor Relationships for PM2.5 in Different Building-Tree Grouping Patterns</t>
        </is>
      </c>
      <c r="U433" t="inlineStr">
        <is>
          <t>wind environment; Natural Ventilation Potential (NVP); PM2; 5; building-tree grouping patterns; Computational Fluid Dynamics (CFD)</t>
        </is>
      </c>
      <c r="V433" t="inlineStr">
        <is>
          <t>INDOOR AIR-QUALITY; PARTICULATE MATTER; NUMERICAL-SIMULATION; PEDESTRIAN-LEVEL; PARTICLE CONCENTRATION; RESIDENTIAL DISTRICT; THERMAL COMFORT; FINE PARTICLES; OUTDOOR AIR; CFD</t>
        </is>
      </c>
      <c r="W433" t="inlineStr">
        <is>
          <t>Airflow behavior and indoor/outdoor PM2.5 dispersion in different building-tree grouping patterns depend significantly on the building-tree layouts and orientation towards the prevailing wind. By using a standard k-epsilon model and a revised generalized drift flux model, this study evaluated airflow fields and indoor/outdoor relationships for PM2.5 resulting from partly wind-induced natural ventilation in four hypothetical building-tree grouping patterns. Results showed that: (1) Patterns provide a variety of natural ventilation potential that relies on the wind influence, and buildings that deflect wind on the windward facade and separate airflow on the leeward facade have better ventilation potential; (2) Patterns where buildings and trees form a central space and a windward opening side towards the prevailing wind offer the best ventilation conditions; (3) Under the assumption that transported pollution sources are diluted through the inlet, the aerodynamics and deposition effects of trees cause the lower floors of a multi-storey building to be exposed to lower PM2.5 compared with upper floors, and lower indoor PM2.5 values were found close to the tree canopy; (4) Wind pressure differences across each flat showed a poor correlation (R-2 = 0.059), with indoor PM2.5 concentrations; and (5) Patterns with the long facade of buildings and trees perpendicular to the prevailing wind have the lowest indoor PM2.5 concentrations.</t>
        </is>
      </c>
      <c r="X433" t="inlineStr">
        <is>
          <t>[Hong, Bo; Qin, Hongqiao] Northwest A&amp;F Univ, Coll Landscape Architecture &amp; Arts, Yangling 712100, Peoples R China; [Lin, Borong] Tsinghua Univ, Sch Architecture, Dept Bldg Sci, Beijing 100084, Peoples R China</t>
        </is>
      </c>
      <c r="Y433" t="inlineStr">
        <is>
          <t>Northwest A&amp;F University - China; Tsinghua University</t>
        </is>
      </c>
      <c r="Z433" t="inlineStr">
        <is>
          <t>Lin, BR (corresponding author), Tsinghua Univ, Sch Architecture, Dept Bldg Sci, Beijing 100084, Peoples R China.</t>
        </is>
      </c>
      <c r="AA433" t="inlineStr">
        <is>
          <t>hongbo@nwsuaf.edu.cn; qinhq88@163.com; linbr@tsinghua.edu.cn</t>
        </is>
      </c>
      <c r="AC433" t="inlineStr">
        <is>
          <t>Hong, Bo/0000-0002-8316-7396; Lin, Borong/0000-0003-3848-2837; Qin, Hongqiao/0000-0001-7478-1311</t>
        </is>
      </c>
      <c r="AD433" t="inlineStr">
        <is>
          <t>National Natural Science Foundation of China [51708451, 51561135001, 51638003]; Innovative Research Groups of the National Natural Science Foundation of China [51521005]</t>
        </is>
      </c>
      <c r="AE433" t="inlineStr">
        <is>
          <t>National Natural Science Foundation of China(National Natural Science Foundation of China (NSFC)); Innovative Research Groups of the National Natural Science Foundation of China(National Natural Science Foundation of China (NSFC))</t>
        </is>
      </c>
      <c r="AF433" t="inlineStr">
        <is>
          <t>This study is supported by the National Natural Science Foundation of China (51708451, 51561135001 and 51638003) and the Innovative Research Groups of the National Natural Science Foundation of China (51521005).</t>
        </is>
      </c>
      <c r="AH433" t="n">
        <v>69</v>
      </c>
      <c r="AI433" t="n">
        <v>27</v>
      </c>
      <c r="AJ433" t="n">
        <v>28</v>
      </c>
      <c r="AK433" t="n">
        <v>2</v>
      </c>
      <c r="AL433" t="n">
        <v>55</v>
      </c>
      <c r="AM433" t="inlineStr">
        <is>
          <t>MDPI</t>
        </is>
      </c>
      <c r="AN433" t="inlineStr">
        <is>
          <t>BASEL</t>
        </is>
      </c>
      <c r="AO433" t="inlineStr">
        <is>
          <t>ST ALBAN-ANLAGE 66, CH-4052 BASEL, SWITZERLAND</t>
        </is>
      </c>
      <c r="AQ433" t="inlineStr">
        <is>
          <t>2073-4433</t>
        </is>
      </c>
      <c r="AS433" t="inlineStr">
        <is>
          <t>ATMOSPHERE-BASEL</t>
        </is>
      </c>
      <c r="AT433" t="inlineStr">
        <is>
          <t>Atmosphere</t>
        </is>
      </c>
      <c r="AU433" t="inlineStr">
        <is>
          <t>FEB</t>
        </is>
      </c>
      <c r="AV433" t="n">
        <v>2018</v>
      </c>
      <c r="AW433" t="n">
        <v>9</v>
      </c>
      <c r="AX433" t="n">
        <v>2</v>
      </c>
      <c r="BE433" t="n">
        <v>39</v>
      </c>
      <c r="BF433" t="inlineStr">
        <is>
          <t>10.3390/atmos9020039</t>
        </is>
      </c>
      <c r="BG433">
        <f>HYPERLINK("http://dx.doi.org/10.3390/atmos9020039","http://dx.doi.org/10.3390/atmos9020039")</f>
        <v/>
      </c>
      <c r="BJ433" t="n">
        <v>23</v>
      </c>
      <c r="BK433" t="inlineStr">
        <is>
          <t>Environmental Sciences; Meteorology &amp; Atmospheric Sciences</t>
        </is>
      </c>
      <c r="BL433" t="inlineStr">
        <is>
          <t>Science Citation Index Expanded (SCI-EXPANDED)</t>
        </is>
      </c>
      <c r="BM433" t="inlineStr">
        <is>
          <t>Environmental Sciences &amp; Ecology; Meteorology &amp; Atmospheric Sciences</t>
        </is>
      </c>
      <c r="BN433" t="inlineStr">
        <is>
          <t>FZ3RF</t>
        </is>
      </c>
      <c r="BP433" t="inlineStr">
        <is>
          <t>gold, Green Submitted</t>
        </is>
      </c>
      <c r="BS433" t="inlineStr">
        <is>
          <t>2023-10-26</t>
        </is>
      </c>
      <c r="BT433" t="inlineStr">
        <is>
          <t>WOS:000427507000005</t>
        </is>
      </c>
      <c r="BU433">
        <f>HYPERLINK("https%3A%2F%2Fwww.webofscience.com%2Fwos%2Fwoscc%2Ffull-record%2FWOS:000427507000005","View Full Record in Web of Science")</f>
        <v/>
      </c>
    </row>
    <row r="434">
      <c r="A434" t="inlineStr">
        <is>
          <t>J</t>
        </is>
      </c>
      <c r="B434" t="inlineStr">
        <is>
          <t>De Giuli, V; Pontarollo, CM; De Carli, M; Di Bella, A</t>
        </is>
      </c>
      <c r="F434" t="inlineStr">
        <is>
          <t>De Giuli, V; Pontarollo, C. M.; De Carli, M.; Di Bella, A.</t>
        </is>
      </c>
      <c r="J434" t="inlineStr">
        <is>
          <t>INTERNATIONAL JOURNAL OF ENVIRONMENTAL RESEARCH</t>
        </is>
      </c>
      <c r="M434" t="inlineStr">
        <is>
          <t>English</t>
        </is>
      </c>
      <c r="N434" t="inlineStr">
        <is>
          <t>Article</t>
        </is>
      </c>
      <c r="T434" t="inlineStr">
        <is>
          <t>Overall Assessment of Indoor Conditions in a School Building: an Italian Case Study</t>
        </is>
      </c>
      <c r="U434" t="inlineStr">
        <is>
          <t>Indoor environment; Schools; Comfort; Survey</t>
        </is>
      </c>
      <c r="V434" t="inlineStr">
        <is>
          <t>THERMAL COMFORT; ENVIRONMENTAL-QUALITY; ACOUSTIC PERFORMANCE; AIR-QUALITY; CLASSROOMS</t>
        </is>
      </c>
      <c r="W434" t="inlineStr">
        <is>
          <t>Current standards for indoor comfort are based on studies of adults, but they also apply to children, even though children differ in terms of metabolic rates, clothing types, activity levels, and preferences in space arrangement. Children are also more sensitive to a range of environmental factors, they are usually unable to interact with their environment, and they accept indoor conditions passively. This study aims to extend research into indoor environmental quality (IEQ) for children by providing analysis, measurements and surveys carried out in an Italian primary school. Continuous monitoring was combined with a detailed spot monitoring campaign, during which pupils completed a questionnaire so that subjective and objective evaluations could be compared. Thermal comfort was also evaluated by comparing pupils' sensations based on the two most common approaches: the heat balance and adaptive comfort models. Tests revealed that there was no clear, uniform correspondence between subjective response and acoustic and thermal measurements. Children reacted actively to discomfort, suggesting that they should be allowed to interact with their environment. Building acoustics were also measured in order to evaluate the insulating properties of building elements. The following tests were conducted: facade sound insulation, sound insulation of the vertical and horizontal partitions between classrooms, and the impact levels between overlapped classrooms. Reverberation time and background noise were measured in unoccupied, furnished classrooms after school hours. Impulse response and Speech Transmission Index (STI) measurements were also performed in one classroom.</t>
        </is>
      </c>
      <c r="X434" t="inlineStr">
        <is>
          <t>[De Giuli, V; Pontarollo, C. M.; De Carli, M.; Di Bella, A.] Univ Padua, Dept Ind Engn, I-35131 Padua, Italy</t>
        </is>
      </c>
      <c r="Y434" t="inlineStr">
        <is>
          <t>University of Padua</t>
        </is>
      </c>
      <c r="Z434" t="inlineStr">
        <is>
          <t>De Giuli, V (corresponding author), Univ Padua, Dept Ind Engn, I-35131 Padua, Italy.</t>
        </is>
      </c>
      <c r="AA434" t="inlineStr">
        <is>
          <t>valeria.degiuli@unipd.it</t>
        </is>
      </c>
      <c r="AB434" t="inlineStr">
        <is>
          <t>Di Bella, Antonino/AAQ-4740-2021</t>
        </is>
      </c>
      <c r="AC434" t="inlineStr">
        <is>
          <t>Di Bella, Antonino/0000-0002-0842-1198</t>
        </is>
      </c>
      <c r="AD434" t="inlineStr">
        <is>
          <t>PRAT, a research frame of the University of Padua, Italy</t>
        </is>
      </c>
      <c r="AE434" t="inlineStr">
        <is>
          <t>PRAT, a research frame of the University of Padua, Italy</t>
        </is>
      </c>
      <c r="AF434" t="inlineStr">
        <is>
          <t>This research has been supported by PRAT-2010, a research frame of the University of Padua, Italy. The protagonists of this study are the pupils, their parents and their teachers, who gave us the opportunity to conduct this research. Without them, this study would not have been possible. The authors would like to thank Professor Osvaldo Da Pos (Department of Applied Psychology, University of Padua), who provided invaluable advice for improving the questionnaire, Professors Luigi Salmaso and Livio Corain for the statistical support and Gioacchino Morosinotto, a university student, for his help in monitoring and collecting questionnaire data.</t>
        </is>
      </c>
      <c r="AH434" t="n">
        <v>24</v>
      </c>
      <c r="AI434" t="n">
        <v>11</v>
      </c>
      <c r="AJ434" t="n">
        <v>13</v>
      </c>
      <c r="AK434" t="n">
        <v>1</v>
      </c>
      <c r="AL434" t="n">
        <v>118</v>
      </c>
      <c r="AM434" t="inlineStr">
        <is>
          <t>SPRINGER INTERNATIONAL PUBLISHING AG</t>
        </is>
      </c>
      <c r="AN434" t="inlineStr">
        <is>
          <t>CHAM</t>
        </is>
      </c>
      <c r="AO434" t="inlineStr">
        <is>
          <t>GEWERBESTRASSE 11, CHAM, CH-6330, SWITZERLAND</t>
        </is>
      </c>
      <c r="AP434" t="inlineStr">
        <is>
          <t>1735-6865</t>
        </is>
      </c>
      <c r="AQ434" t="inlineStr">
        <is>
          <t>2008-2304</t>
        </is>
      </c>
      <c r="AS434" t="inlineStr">
        <is>
          <t>INT J ENVIRON RES</t>
        </is>
      </c>
      <c r="AT434" t="inlineStr">
        <is>
          <t>Int. J. Environ. Res.</t>
        </is>
      </c>
      <c r="AU434" t="inlineStr">
        <is>
          <t>WIN</t>
        </is>
      </c>
      <c r="AV434" t="n">
        <v>2014</v>
      </c>
      <c r="AW434" t="n">
        <v>8</v>
      </c>
      <c r="AX434" t="n">
        <v>1</v>
      </c>
      <c r="BC434" t="n">
        <v>27</v>
      </c>
      <c r="BD434" t="n">
        <v>38</v>
      </c>
      <c r="BJ434" t="n">
        <v>12</v>
      </c>
      <c r="BK434" t="inlineStr">
        <is>
          <t>Environmental Sciences</t>
        </is>
      </c>
      <c r="BL434" t="inlineStr">
        <is>
          <t>Science Citation Index Expanded (SCI-EXPANDED)</t>
        </is>
      </c>
      <c r="BM434" t="inlineStr">
        <is>
          <t>Environmental Sciences &amp; Ecology</t>
        </is>
      </c>
      <c r="BN434" t="inlineStr">
        <is>
          <t>278EN</t>
        </is>
      </c>
      <c r="BS434" t="inlineStr">
        <is>
          <t>2023-10-26</t>
        </is>
      </c>
      <c r="BT434" t="inlineStr">
        <is>
          <t>WOS:000328872100003</t>
        </is>
      </c>
      <c r="BU434">
        <f>HYPERLINK("https%3A%2F%2Fwww.webofscience.com%2Fwos%2Fwoscc%2Ffull-record%2FWOS:000328872100003","View Full Record in Web of Science")</f>
        <v/>
      </c>
    </row>
    <row r="435">
      <c r="A435" t="inlineStr">
        <is>
          <t>J</t>
        </is>
      </c>
      <c r="B435" t="inlineStr">
        <is>
          <t>Ofem, KI; John, K; Pawlett, M; Eyong, MO; Awaogu, CE; Umeugokwe, P; Ambrose-Igho, G; Ezeaku, PI; Asadu, CLA</t>
        </is>
      </c>
      <c r="F435" t="inlineStr">
        <is>
          <t>Ofem, Kokei Ikpi; John, Kingsley; Pawlett, Mark; Eyong, Michael Otu; Awaogu, Chukwuebuka Edwin; Umeugokwe, Pascal; Ambrose-Igho, Gare; Ezeaku, Peter Ikemefuna; Asadu, Charles Livinus Anija</t>
        </is>
      </c>
      <c r="J435" t="inlineStr">
        <is>
          <t>EARTH SYSTEMS AND ENVIRONMENT</t>
        </is>
      </c>
      <c r="M435" t="inlineStr">
        <is>
          <t>English</t>
        </is>
      </c>
      <c r="N435" t="inlineStr">
        <is>
          <t>Article</t>
        </is>
      </c>
      <c r="T435" t="inlineStr">
        <is>
          <t>Estimating Soil Organic Matter: A Case Study of Soil Physical Properties for Environment-Related Issues in Southeast Nigeria</t>
        </is>
      </c>
      <c r="U435" t="inlineStr">
        <is>
          <t>Agriculture; Environment; Multivariate statistics; Soil health; Humid tropics</t>
        </is>
      </c>
      <c r="V435" t="inlineStr">
        <is>
          <t>CARBON STOCKS; NO-TILLAGE; LAND-USE; WATER; FOREST; MANURE; BULK; PREDICTION; RETENTION</t>
        </is>
      </c>
      <c r="W435" t="inlineStr">
        <is>
          <t>The different deposition periods in sedimentary geological environment have made the build-up and estimation of soil organic matter ambiguous to study. Soil organic matter has received global attention in the ambience of international policy regarding environmental health and safety. This research was to understand the inter-relationship between soil organic matter and bulk density, saturated hydraulic conductivity (Ksat), total, air-filled and capillary porosities for organic matter estimation, via different multiple linear regression functions (i.e., leapbackward, leap forward, leapseq and lmStepAIC), in soils developed over the sedimentary geological environment. Eight mapping units were obtained in Ishibori, Agoi Ibami and Mfamosing via digital elevation model. Two pits were sited within each mapping unit, and 53 soil samples were used for the study. In soils over shale-limestone-sandstone, two pits were sited, six in alluvium, four in sandstone-limestone and four in limestone. Overall correlation between SOM with Ksat (r = 0.626) and BD (r = - 0.588) was significant (p &lt; 0.001). The strongest correlation was obtained for SOM with BD (r = - 0.783) and Ksat (r = 0.790) in soils over limestone. In contrast, soils over shale-limestone and sandstone geological environment gave the weakest relationship (r &lt; 0.6). Linear regression gave a similar prediction output. The best performing was leapbackward (RMSE = 11.50%, R-2 = 0.58, MAE = 8.48%), which produced a smaller error when compared with leap forward, leapseq and lmStepAIC functions in organic matter estimation. Therefore, we recommend applying leapback linear regression when estimating soil organic variation with physical soil properties for solving soil-environmental issues towards sustainable crop production in southeast Nigeria.</t>
        </is>
      </c>
      <c r="X435" t="inlineStr">
        <is>
          <t>[Ofem, Kokei Ikpi; Eyong, Michael Otu] Univ Calabar, Dept Soil Sci, Calabar, Nigeria; [John, Kingsley] Czech Univ Life Sci, Dept Soil Sci &amp; Soil Protect, Prague, Czech Republic; [Pawlett, Mark] Cranfield Univ, Sch Agrifood &amp; Environm, Cranfield, Beds, England; [Awaogu, Chukwuebuka Edwin; Umeugokwe, Pascal; Ezeaku, Peter Ikemefuna; Asadu, Charles Livinus Anija] Univ Nigeria, Dept Soil Sci, Nsukka, Nigeria; [Ambrose-Igho, Gare] Univ Nevada, Dept Geosci, Las Vegas, NV 89154 USA</t>
        </is>
      </c>
      <c r="Y435" t="inlineStr">
        <is>
          <t>University of Calabar; Czech University of Life Sciences Prague; Cranfield University; University of Nigeria; Nevada System of Higher Education (NSHE); University of Nevada Las Vegas</t>
        </is>
      </c>
      <c r="Z435" t="inlineStr">
        <is>
          <t>John, K (corresponding author), Czech Univ Life Sci, Dept Soil Sci &amp; Soil Protect, Prague, Czech Republic.</t>
        </is>
      </c>
      <c r="AA435" t="inlineStr">
        <is>
          <t>johnk@af.czu.cz</t>
        </is>
      </c>
      <c r="AB435" t="inlineStr">
        <is>
          <t>John, Kingsley/GYE-2592-2022</t>
        </is>
      </c>
      <c r="AC435" t="inlineStr">
        <is>
          <t>John, Kingsley/0000-0003-2934-5670; Pawlett, Mark/0000-0001-8060-0345</t>
        </is>
      </c>
      <c r="AH435" t="n">
        <v>60</v>
      </c>
      <c r="AI435" t="n">
        <v>3</v>
      </c>
      <c r="AJ435" t="n">
        <v>3</v>
      </c>
      <c r="AK435" t="n">
        <v>0</v>
      </c>
      <c r="AL435" t="n">
        <v>4</v>
      </c>
      <c r="AM435" t="inlineStr">
        <is>
          <t>SPRINGER INT PUBL AG</t>
        </is>
      </c>
      <c r="AN435" t="inlineStr">
        <is>
          <t>CHAM</t>
        </is>
      </c>
      <c r="AO435" t="inlineStr">
        <is>
          <t>GEWERBESTRASSE 11, CHAM, CH-6330, SWITZERLAND</t>
        </is>
      </c>
      <c r="AP435" t="inlineStr">
        <is>
          <t>2509-9426</t>
        </is>
      </c>
      <c r="AQ435" t="inlineStr">
        <is>
          <t>2509-9434</t>
        </is>
      </c>
      <c r="AS435" t="inlineStr">
        <is>
          <t>EARTH SYST ENVIRON</t>
        </is>
      </c>
      <c r="AT435" t="inlineStr">
        <is>
          <t>Earth Syst. Environ.</t>
        </is>
      </c>
      <c r="AU435" t="inlineStr">
        <is>
          <t>DEC</t>
        </is>
      </c>
      <c r="AV435" t="n">
        <v>2021</v>
      </c>
      <c r="AW435" t="n">
        <v>5</v>
      </c>
      <c r="AX435" t="n">
        <v>4</v>
      </c>
      <c r="BC435" t="n">
        <v>899</v>
      </c>
      <c r="BD435" t="n">
        <v>908</v>
      </c>
      <c r="BF435" t="inlineStr">
        <is>
          <t>10.1007/s41748-021-00263-0</t>
        </is>
      </c>
      <c r="BG435">
        <f>HYPERLINK("http://dx.doi.org/10.1007/s41748-021-00263-0","http://dx.doi.org/10.1007/s41748-021-00263-0")</f>
        <v/>
      </c>
      <c r="BI435" t="inlineStr">
        <is>
          <t>OCT 2021</t>
        </is>
      </c>
      <c r="BJ435" t="n">
        <v>10</v>
      </c>
      <c r="BK435" t="inlineStr">
        <is>
          <t>Environmental Sciences; Geosciences, Multidisciplinary; Meteorology &amp; Atmospheric Sciences</t>
        </is>
      </c>
      <c r="BL435" t="inlineStr">
        <is>
          <t>Emerging Sources Citation Index (ESCI)</t>
        </is>
      </c>
      <c r="BM435" t="inlineStr">
        <is>
          <t>Environmental Sciences &amp; Ecology; Geology; Meteorology &amp; Atmospheric Sciences</t>
        </is>
      </c>
      <c r="BN435" t="inlineStr">
        <is>
          <t>XA4ZA</t>
        </is>
      </c>
      <c r="BP435" t="inlineStr">
        <is>
          <t>Green Submitted</t>
        </is>
      </c>
      <c r="BS435" t="inlineStr">
        <is>
          <t>2023-10-26</t>
        </is>
      </c>
      <c r="BT435" t="inlineStr">
        <is>
          <t>WOS:000707873300002</t>
        </is>
      </c>
      <c r="BU435">
        <f>HYPERLINK("https%3A%2F%2Fwww.webofscience.com%2Fwos%2Fwoscc%2Ffull-record%2FWOS:000707873300002","View Full Record in Web of Science")</f>
        <v/>
      </c>
    </row>
    <row r="436">
      <c r="A436" t="inlineStr">
        <is>
          <t>J</t>
        </is>
      </c>
      <c r="B436" t="inlineStr">
        <is>
          <t>Jamal, S; Newbold, KB</t>
        </is>
      </c>
      <c r="F436" t="inlineStr">
        <is>
          <t>Jamal, Shaila; Newbold, K. Bruce</t>
        </is>
      </c>
      <c r="J436" t="inlineStr">
        <is>
          <t>SUSTAINABILITY</t>
        </is>
      </c>
      <c r="M436" t="inlineStr">
        <is>
          <t>English</t>
        </is>
      </c>
      <c r="N436" t="inlineStr">
        <is>
          <t>Review</t>
        </is>
      </c>
      <c r="T436" t="inlineStr">
        <is>
          <t>Factors Associated with Travel Behavior of Millennials and Older Adults: A Scoping Review</t>
        </is>
      </c>
      <c r="U436" t="inlineStr">
        <is>
          <t>older adults; millennials; young adults; travel behavior; mode choice; generational differences</t>
        </is>
      </c>
      <c r="V436" t="inlineStr">
        <is>
          <t>PUBLIC-TRANSIT USE; YOUNG-ADULTS; CAR USE; TRANSPORT MODE; ACTIVE TRAVEL; LIFE-COURSE; MOBILITY; STUDENTS; PATTERNS; PEOPLE</t>
        </is>
      </c>
      <c r="W436" t="inlineStr">
        <is>
          <t>This study aims to synthesize knowledge on the travel behavior of millennials and older adults based on literature from 2010 to 2018. The study looks into the different factors that contributed to shaping each generation's travel behavior. Both qualitative and quantitative studies that fall within the selection criteria are reviewed, with a total of seventy-eight studies selected for review. Thirty-four papers focused on young adults/millennials, 35 included an older adult population, and 9 investigated both younger and older age groups. Six of the studies utilized qualitative methods, 68 applied quantitative methods, and 4 used mixed methods to explore the factors associated with travel behavior. Travel behaviors are explored in terms of mode choice, trip distance, trip frequency, use of alternative transport, ridesharing, and mobility tool ownership. Associated factors are categorized into five themes: personal attributes, geography and built environment, living arrangements and family life, technology adoption, and perceptions and attitudes towards travel options and environment. This study concludes that difference exists between generations in terms of travel behavior, and that the factors that influence each generation's travel characteristics are either different or differ in their nature of influence (increase/decrease). Finally, based on the reviewed literature, this study proposes future research directions.</t>
        </is>
      </c>
      <c r="X436" t="inlineStr">
        <is>
          <t>[Jamal, Shaila; Newbold, K. Bruce] McMaster Univ, Sch Earth Environm &amp; Soc, 1280 Main St W, Hamilton, ON L8S 4K1, Canada</t>
        </is>
      </c>
      <c r="Y436" t="inlineStr">
        <is>
          <t>McMaster University</t>
        </is>
      </c>
      <c r="Z436" t="inlineStr">
        <is>
          <t>Jamal, S (corresponding author), McMaster Univ, Sch Earth Environm &amp; Soc, 1280 Main St W, Hamilton, ON L8S 4K1, Canada.</t>
        </is>
      </c>
      <c r="AA436" t="inlineStr">
        <is>
          <t>jamals16@mcmaster.ca; newbold@mcmaster.ca</t>
        </is>
      </c>
      <c r="AB436" t="inlineStr">
        <is>
          <t>Jamal, Shaila/ITV-7338-2023</t>
        </is>
      </c>
      <c r="AC436" t="inlineStr">
        <is>
          <t>Jamal, Shaila/0000-0002-3628-4346</t>
        </is>
      </c>
      <c r="AD436" t="inlineStr">
        <is>
          <t>Social Sciences and Humanities Research Council of Canada (SSHRC)</t>
        </is>
      </c>
      <c r="AE436" t="inlineStr">
        <is>
          <t>Social Sciences and Humanities Research Council of Canada (SSHRC)(Social Sciences and Humanities Research Council of Canada (SSHRC)CGIAR)</t>
        </is>
      </c>
      <c r="AF436" t="inlineStr">
        <is>
          <t>Shaila Jamal would like to acknowledge the Doctoral Fellowship she received from the Social Sciences and Humanities Research Council of Canada (SSHRC).</t>
        </is>
      </c>
      <c r="AH436" t="n">
        <v>87</v>
      </c>
      <c r="AI436" t="n">
        <v>14</v>
      </c>
      <c r="AJ436" t="n">
        <v>14</v>
      </c>
      <c r="AK436" t="n">
        <v>8</v>
      </c>
      <c r="AL436" t="n">
        <v>45</v>
      </c>
      <c r="AM436" t="inlineStr">
        <is>
          <t>MDPI</t>
        </is>
      </c>
      <c r="AN436" t="inlineStr">
        <is>
          <t>BASEL</t>
        </is>
      </c>
      <c r="AO436" t="inlineStr">
        <is>
          <t>ST ALBAN-ANLAGE 66, CH-4052 BASEL, SWITZERLAND</t>
        </is>
      </c>
      <c r="AQ436" t="inlineStr">
        <is>
          <t>2071-1050</t>
        </is>
      </c>
      <c r="AS436" t="inlineStr">
        <is>
          <t>SUSTAINABILITY-BASEL</t>
        </is>
      </c>
      <c r="AT436" t="inlineStr">
        <is>
          <t>Sustainability</t>
        </is>
      </c>
      <c r="AU436" t="inlineStr">
        <is>
          <t>OCT</t>
        </is>
      </c>
      <c r="AV436" t="n">
        <v>2020</v>
      </c>
      <c r="AW436" t="n">
        <v>12</v>
      </c>
      <c r="AX436" t="n">
        <v>19</v>
      </c>
      <c r="BE436" t="n">
        <v>8236</v>
      </c>
      <c r="BF436" t="inlineStr">
        <is>
          <t>10.3390/su12198236</t>
        </is>
      </c>
      <c r="BG436">
        <f>HYPERLINK("http://dx.doi.org/10.3390/su12198236","http://dx.doi.org/10.3390/su12198236")</f>
        <v/>
      </c>
      <c r="BJ436" t="n">
        <v>27</v>
      </c>
      <c r="BK436" t="inlineStr">
        <is>
          <t>Green &amp; Sustainable Science &amp; Technology; Environmental Sciences; Environmental Studies</t>
        </is>
      </c>
      <c r="BL436" t="inlineStr">
        <is>
          <t>Science Citation Index Expanded (SCI-EXPANDED); Social Science Citation Index (SSCI)</t>
        </is>
      </c>
      <c r="BM436" t="inlineStr">
        <is>
          <t>Science &amp; Technology - Other Topics; Environmental Sciences &amp; Ecology</t>
        </is>
      </c>
      <c r="BN436" t="inlineStr">
        <is>
          <t>ON4VL</t>
        </is>
      </c>
      <c r="BP436" t="inlineStr">
        <is>
          <t>gold, Green Submitted</t>
        </is>
      </c>
      <c r="BS436" t="inlineStr">
        <is>
          <t>2023-10-26</t>
        </is>
      </c>
      <c r="BT436" t="inlineStr">
        <is>
          <t>WOS:000586700400001</t>
        </is>
      </c>
      <c r="BU436">
        <f>HYPERLINK("https%3A%2F%2Fwww.webofscience.com%2Fwos%2Fwoscc%2Ffull-record%2FWOS:000586700400001","View Full Record in Web of Science")</f>
        <v/>
      </c>
    </row>
    <row r="437">
      <c r="A437" t="inlineStr">
        <is>
          <t>J</t>
        </is>
      </c>
      <c r="B437" t="inlineStr">
        <is>
          <t>Xu, JX; Chen, YW; Wang, YJ; Gao, JL; Huang, LM</t>
        </is>
      </c>
      <c r="F437" t="inlineStr">
        <is>
          <t>Xu, Jixiang; Chen, Yingwei; Wang, Yujie; Gao, Junling; Huang, Limei</t>
        </is>
      </c>
      <c r="J437" t="inlineStr">
        <is>
          <t>INTERNATIONAL JOURNAL OF ENVIRONMENTAL RESEARCH AND PUBLIC HEALTH</t>
        </is>
      </c>
      <c r="M437" t="inlineStr">
        <is>
          <t>English</t>
        </is>
      </c>
      <c r="N437" t="inlineStr">
        <is>
          <t>Article</t>
        </is>
      </c>
      <c r="T437" t="inlineStr">
        <is>
          <t>Association between Age-Friendliness of Communities and Frailty among Older Adults: A Multilevel Analysis</t>
        </is>
      </c>
      <c r="U437" t="inlineStr">
        <is>
          <t>age-friendly community; frailty; older adults; multilevel analysis</t>
        </is>
      </c>
      <c r="V437" t="inlineStr">
        <is>
          <t>PHYSICAL-ACTIVITY; SOCIAL-PARTICIPATION; HEALTH; PEOPLE</t>
        </is>
      </c>
      <c r="W437" t="inlineStr">
        <is>
          <t>An age-friendly environment is one of the measures of healthy aging. However, there is scarce evidence of the relationship between the age-friendliness of communities (AFC) and frailty status among Chinese older adults. This study aims to examine this relationship using a multilevel analysis with the data of a cross-sectional study conducted among 10,958 older adults living in 43 communities in four cities in China. The validated Age-friendly Community Evaluation Scale and Chinese frailty screening-10 Scale (CFS-10) were used to measure AFC and Frailty. Multilevel regression analyses were performed to examine the relationship between the AFC in two assessments of individual- and community-level and frailty status. After controlling for individual-level socio-demographic, health status, and lifestyle variables, compared with older adults in the lowest quartile of the individual-level perception of AFC, the frailty odds ratios for those in the top three quartiles were 0.69 (95% confidence interval [CI]: 0.56-0.83), 0.75 (95% CI: 0.61-0.91), and 0.56 (95% CI: 0.48-0.74). However, there was no association between the community-level AFC and frailty. A higher level of age-friendliness in the community is associated with lower frailty odds. Therefore, building age-friendly communities may be an important measure to prevent frailty among Chinese older adults.</t>
        </is>
      </c>
      <c r="X437" t="inlineStr">
        <is>
          <t>[Xu, Jixiang; Chen, Yingwei; Wang, Yujie; Gao, Junling] Fudan Univ, Sch Publ Hlth, Shanghai 200032, Peoples R China; [Gao, Junling] Natl Clin Res Ctr Geriatr Dis, Collaborat Innovat Cooperat Unit, Shanghai 200032, Peoples R China; [Gao, Junling] Core Unit Shanghai Clin Res Ctr Geriatr Dis, Shanghai 200032, Peoples R China; [Huang, Limei] Songjiang Ctr Dis Prevent &amp; Control, Shanghai 201620, Peoples R China</t>
        </is>
      </c>
      <c r="Y437" t="inlineStr">
        <is>
          <t>Fudan University</t>
        </is>
      </c>
      <c r="Z437" t="inlineStr">
        <is>
          <t>Gao, JL (corresponding author), Fudan Univ, Sch Publ Hlth, Shanghai 200032, Peoples R China.;Gao, JL (corresponding author), Natl Clin Res Ctr Geriatr Dis, Collaborat Innovat Cooperat Unit, Shanghai 200032, Peoples R China.;Gao, JL (corresponding author), Core Unit Shanghai Clin Res Ctr Geriatr Dis, Shanghai 200032, Peoples R China.</t>
        </is>
      </c>
      <c r="AA437" t="inlineStr">
        <is>
          <t>20211020057@fudan.edu.cn; 19211020088@fudan.edu.cn; 21211020060@m.fudan.edu.cn; jlgao@fudan.edu.cn; hlm950526@163.com</t>
        </is>
      </c>
      <c r="AB437" t="inlineStr">
        <is>
          <t>gao, junling/L-7465-2019; Gao, Junling/GLS-4118-2022</t>
        </is>
      </c>
      <c r="AC437" t="inlineStr">
        <is>
          <t>Gao, Junling/0000-0002-0694-2010</t>
        </is>
      </c>
      <c r="AD437" t="inlineStr">
        <is>
          <t>National key Research and Development Program of China [2018YFC2002000, 2018YFC2002001]; National Natural Science Foundation of China [82173634]</t>
        </is>
      </c>
      <c r="AE437" t="inlineStr">
        <is>
          <t>National key Research and Development Program of China; National Natural Science Foundation of China(National Natural Science Foundation of China (NSFC))</t>
        </is>
      </c>
      <c r="AF437" t="inlineStr">
        <is>
          <t>This research was funded by the National key Research and Development Program of China [grant number 2018YFC2002000, 2018YFC2002001]; and the National Natural Science Foundation of China [grant number no. 82173634].</t>
        </is>
      </c>
      <c r="AH437" t="n">
        <v>48</v>
      </c>
      <c r="AI437" t="n">
        <v>3</v>
      </c>
      <c r="AJ437" t="n">
        <v>3</v>
      </c>
      <c r="AK437" t="n">
        <v>14</v>
      </c>
      <c r="AL437" t="n">
        <v>41</v>
      </c>
      <c r="AM437" t="inlineStr">
        <is>
          <t>MDPI</t>
        </is>
      </c>
      <c r="AN437" t="inlineStr">
        <is>
          <t>BASEL</t>
        </is>
      </c>
      <c r="AO437" t="inlineStr">
        <is>
          <t>ST ALBAN-ANLAGE 66, CH-4052 BASEL, SWITZERLAND</t>
        </is>
      </c>
      <c r="AQ437" t="inlineStr">
        <is>
          <t>1660-4601</t>
        </is>
      </c>
      <c r="AS437" t="inlineStr">
        <is>
          <t>INT J ENV RES PUB HE</t>
        </is>
      </c>
      <c r="AT437" t="inlineStr">
        <is>
          <t>Int. J. Environ. Res. Public Health</t>
        </is>
      </c>
      <c r="AU437" t="inlineStr">
        <is>
          <t>JUN</t>
        </is>
      </c>
      <c r="AV437" t="n">
        <v>2022</v>
      </c>
      <c r="AW437" t="n">
        <v>19</v>
      </c>
      <c r="AX437" t="n">
        <v>12</v>
      </c>
      <c r="BE437" t="n">
        <v>7528</v>
      </c>
      <c r="BF437" t="inlineStr">
        <is>
          <t>10.3390/ijerph19127528</t>
        </is>
      </c>
      <c r="BG437">
        <f>HYPERLINK("http://dx.doi.org/10.3390/ijerph19127528","http://dx.doi.org/10.3390/ijerph19127528")</f>
        <v/>
      </c>
      <c r="BJ437" t="n">
        <v>11</v>
      </c>
      <c r="BK437" t="inlineStr">
        <is>
          <t>Environmental Sciences; Public, Environmental &amp; Occupational Health</t>
        </is>
      </c>
      <c r="BL437" t="inlineStr">
        <is>
          <t>Science Citation Index Expanded (SCI-EXPANDED); Social Science Citation Index (SSCI)</t>
        </is>
      </c>
      <c r="BM437" t="inlineStr">
        <is>
          <t>Environmental Sciences &amp; Ecology; Public, Environmental &amp; Occupational Health</t>
        </is>
      </c>
      <c r="BN437" t="inlineStr">
        <is>
          <t>2K8KH</t>
        </is>
      </c>
      <c r="BO437" t="n">
        <v>35742777</v>
      </c>
      <c r="BP437" t="inlineStr">
        <is>
          <t>Green Published, gold</t>
        </is>
      </c>
      <c r="BS437" t="inlineStr">
        <is>
          <t>2023-10-26</t>
        </is>
      </c>
      <c r="BT437" t="inlineStr">
        <is>
          <t>WOS:000816577600001</t>
        </is>
      </c>
      <c r="BU437">
        <f>HYPERLINK("https%3A%2F%2Fwww.webofscience.com%2Fwos%2Fwoscc%2Ffull-record%2FWOS:000816577600001","View Full Record in Web of Science")</f>
        <v/>
      </c>
    </row>
    <row r="438">
      <c r="A438" t="inlineStr">
        <is>
          <t>J</t>
        </is>
      </c>
      <c r="B438" t="inlineStr">
        <is>
          <t>Baurès, E; Blanchard, O; Mercier, F; Surget, E; le Cann, P; Rivier, A; Gangneux, JP; Florentin, A</t>
        </is>
      </c>
      <c r="F438" t="inlineStr">
        <is>
          <t>Baures, Estelle; Blanchard, Olivier; Mercier, Fabien; Surget, Emilie; le Cann, Pierre; Rivier, Alexandre; Gangneux, Jean-Pierre; Florentin, Arnaud</t>
        </is>
      </c>
      <c r="J438" t="inlineStr">
        <is>
          <t>SCIENCE OF THE TOTAL ENVIRONMENT</t>
        </is>
      </c>
      <c r="M438" t="inlineStr">
        <is>
          <t>English</t>
        </is>
      </c>
      <c r="N438" t="inlineStr">
        <is>
          <t>Article</t>
        </is>
      </c>
      <c r="T438" t="inlineStr">
        <is>
          <t>Indoor air quality in two French hospitals: Measurement of chemical and microbiological contaminants</t>
        </is>
      </c>
      <c r="U438" t="inlineStr">
        <is>
          <t>Indoor air; Hospital; Pollutants; Spatial and temporal variability; Air sampling methodology</t>
        </is>
      </c>
      <c r="V438" t="inlineStr">
        <is>
          <t>REAL-TIME PCR; SEMIVOLATILE ORGANIC-COMPOUNDS; OZONE/LIMONENE REACTIONS; SEASONAL DISTRIBUTION; RESPIRATORY HEALTH; EXCHANGE-RATE; DWELLINGS; WATER; ENVIRONMENTS; SENSITIVITY</t>
        </is>
      </c>
      <c r="W438" t="inlineStr">
        <is>
          <t>In addition to being influenced by the environment, the indoor air pollution in hospitals may be associated with specific compounds emitted from various products used, health care activities and building materials. This study has enabled assessment of the chemical and microbiological concentrations of indoor air in two French hospitals. Based on an integrated approach, the methodology defined aims to measure concentrations of a wide range of chemical compounds (&gt;50 volatile and semi-volatile organic compounds), particle concentrations (PM(10 )and PM2.5), microorganisms (fungi, bacteria and viruses) and ambient parameters (temperature, relative humidity, pressure and carbon dioxide). Chemical and microbiological air concentrations were measured during two campaigns (winter and summer) and across seven rooms (for spatial variability). The results have shown that indoor air contains a complex mixture of chemical, physical and microbiological compounds. Concentrations in the same order of magnitude were found in both hospitals. Compared to dwelling indoor air, our study shows low, at least equivalent, contamination for non-hospital specific parameters (aldehydes, limonene, phthalates, aromatic hydrocarbons), which is related to ventilation efficiency. Chemical compounds retrieved at the highest concentration and frequencies are due to healthcare activities, for example alcohol - most commonly ethanol - and hand rubbing (median concentration: ethanol 245.7 mu g/m(3) and isopropanol 13.6 mu g/m(3)); toluene and staining in parasitology (highest median concentration in Nancy laboratory: 2.1 mu g/m(3))). (C) 2018 Elsevier B.V. All rights reserved.</t>
        </is>
      </c>
      <c r="X438" t="inlineStr">
        <is>
          <t>[Baures, Estelle; Blanchard, Olivier; Mercier, Fabien; Surget, Emilie; le Cann, Pierre] Univ Rennes, Irset, Inserm, UMR S 1085,EHESP, Ave Prof Leon Bernard, F-35000 Rennes, France; [Rivier, Alexandre; Florentin, Arnaud] Ctr Hosp Reg Univ Nancy, Serv Hyg &amp; Anal Environm, Rue Morvan, F-54500 Vandoeuvre Les Nancy, France; [Gangneux, Jean-Pierre] Ctr Hosp Reg Univ Rennes, 2 Rue Henri le Guiffoux, F-35000 Rennes, France; [Gangneux, Jean-Pierre] Univ Rennes, Irset, UMR S 1085, Ave Prof Leon Bernard, F-35000 Rennes, France; [Florentin, Arnaud] Univ Lorraine, Fac Med, Dept Hyg Risques Environm &amp; Associes Soins, 9 Ave Foret de Haye,BP 20199, F-54505 Vandoeuvre Les Nancy, France</t>
        </is>
      </c>
      <c r="Y438" t="inlineStr">
        <is>
          <t>Institut National de la Sante et de la Recherche Medicale (Inserm); Universite de Rennes; Ecole des Hautes Etudes en Sante Publique (EHESP); CHU de Nancy; CHU Rennes; Universite de Rennes; Universite de Rennes; Universite de Lorraine</t>
        </is>
      </c>
      <c r="Z438" t="inlineStr">
        <is>
          <t>Baurès, E (corresponding author), Univ Rennes, Irset, Inserm, UMR S 1085,EHESP, Ave Prof Leon Bernard, F-35000 Rennes, France.</t>
        </is>
      </c>
      <c r="AA438" t="inlineStr">
        <is>
          <t>estelle.baures@ehesp.fr</t>
        </is>
      </c>
      <c r="AB438" t="inlineStr">
        <is>
          <t>Gangneux, Jean-Pierre/J-2960-2015; FLORENTIN, Arnaud/V-7506-2019; LE CANN, Pierre/K-1854-2015; Mercier, Fabien/K-7371-2015</t>
        </is>
      </c>
      <c r="AC438" t="inlineStr">
        <is>
          <t>FLORENTIN, Arnaud/0000-0003-2011-4016; LE CANN, PIERRE/0000-0001-5329-4311; Mercier, Fabien/0000-0002-9523-4277; Gangneux, Jean-Pierre/0000-0002-4974-5607</t>
        </is>
      </c>
      <c r="AD438" t="inlineStr">
        <is>
          <t>French Environment and Energy Management Agency (ADEME) under the French National Agency of Sanitary Security (ANSES) national program of Environment-Health-Work research [1362C0029]</t>
        </is>
      </c>
      <c r="AE438" t="inlineStr">
        <is>
          <t>French Environment and Energy Management Agency (ADEME) under the French National Agency of Sanitary Security (ANSES) national program of Environment-Health-Work research</t>
        </is>
      </c>
      <c r="AF438" t="inlineStr">
        <is>
          <t>This work is part of the QAIHOSP (Indoor Air Quality in HOSpitals, no 1362C0029) project funded by the French Environment and Energy Management Agency (ADEME) under the French National Agency of Sanitary Security (ANSES) national program of Environment-Health-Work research (PNREST 2013). Thanks to Aude Caraes, Jerome Ollivier, Virginie Lesdos, Julien Sinquin, Anthony Cambarrat, Vanessa Lelevrier, Gaelle Saramito and Julien Gastine (LERES - EHESP), Sorya Belaz and Pierre-Yves Donnio (Centre Hospitalier Universitaire de Rennes) aswell as Monique Guillaso and Jerome Forin (Centre Hospitalier Regional Universitaire de Nancy) for their assistance with this work.</t>
        </is>
      </c>
      <c r="AH438" t="n">
        <v>41</v>
      </c>
      <c r="AI438" t="n">
        <v>56</v>
      </c>
      <c r="AJ438" t="n">
        <v>56</v>
      </c>
      <c r="AK438" t="n">
        <v>3</v>
      </c>
      <c r="AL438" t="n">
        <v>87</v>
      </c>
      <c r="AM438" t="inlineStr">
        <is>
          <t>ELSEVIER</t>
        </is>
      </c>
      <c r="AN438" t="inlineStr">
        <is>
          <t>AMSTERDAM</t>
        </is>
      </c>
      <c r="AO438" t="inlineStr">
        <is>
          <t>RADARWEG 29, 1043 NX AMSTERDAM, NETHERLANDS</t>
        </is>
      </c>
      <c r="AP438" t="inlineStr">
        <is>
          <t>0048-9697</t>
        </is>
      </c>
      <c r="AQ438" t="inlineStr">
        <is>
          <t>1879-1026</t>
        </is>
      </c>
      <c r="AS438" t="inlineStr">
        <is>
          <t>SCI TOTAL ENVIRON</t>
        </is>
      </c>
      <c r="AT438" t="inlineStr">
        <is>
          <t>Sci. Total Environ.</t>
        </is>
      </c>
      <c r="AU438" t="inlineStr">
        <is>
          <t>NOV 15</t>
        </is>
      </c>
      <c r="AV438" t="n">
        <v>2018</v>
      </c>
      <c r="AW438" t="n">
        <v>642</v>
      </c>
      <c r="BC438" t="n">
        <v>168</v>
      </c>
      <c r="BD438" t="n">
        <v>179</v>
      </c>
      <c r="BF438" t="inlineStr">
        <is>
          <t>10.1016/j.scitotenv.2018.06.047</t>
        </is>
      </c>
      <c r="BG438">
        <f>HYPERLINK("http://dx.doi.org/10.1016/j.scitotenv.2018.06.047","http://dx.doi.org/10.1016/j.scitotenv.2018.06.047")</f>
        <v/>
      </c>
      <c r="BJ438" t="n">
        <v>12</v>
      </c>
      <c r="BK438" t="inlineStr">
        <is>
          <t>Environmental Sciences</t>
        </is>
      </c>
      <c r="BL438" t="inlineStr">
        <is>
          <t>Science Citation Index Expanded (SCI-EXPANDED)</t>
        </is>
      </c>
      <c r="BM438" t="inlineStr">
        <is>
          <t>Environmental Sciences &amp; Ecology</t>
        </is>
      </c>
      <c r="BN438" t="inlineStr">
        <is>
          <t>GN8JE</t>
        </is>
      </c>
      <c r="BO438" t="n">
        <v>29894876</v>
      </c>
      <c r="BS438" t="inlineStr">
        <is>
          <t>2023-10-26</t>
        </is>
      </c>
      <c r="BT438" t="inlineStr">
        <is>
          <t>WOS:000439405600017</t>
        </is>
      </c>
      <c r="BU438">
        <f>HYPERLINK("https%3A%2F%2Fwww.webofscience.com%2Fwos%2Fwoscc%2Ffull-record%2FWOS:000439405600017","View Full Record in Web of Science")</f>
        <v/>
      </c>
    </row>
    <row r="439">
      <c r="A439" t="inlineStr">
        <is>
          <t>J</t>
        </is>
      </c>
      <c r="B439" t="inlineStr">
        <is>
          <t>Kumar, P; Singh, AB; Arora, T; Singh, S; Singh, R</t>
        </is>
      </c>
      <c r="F439" t="inlineStr">
        <is>
          <t>Kumar, Pradeep; Singh, A. B.; Arora, Taruna; Singh, Sevaram; Singh, Rajeev</t>
        </is>
      </c>
      <c r="J439" t="inlineStr">
        <is>
          <t>SCIENCE OF THE TOTAL ENVIRONMENT</t>
        </is>
      </c>
      <c r="M439" t="inlineStr">
        <is>
          <t>English</t>
        </is>
      </c>
      <c r="N439" t="inlineStr">
        <is>
          <t>Review</t>
        </is>
      </c>
      <c r="T439" t="inlineStr">
        <is>
          <t>Critical review on emerging health effects associated with the indoor air quality and its sustainable management</t>
        </is>
      </c>
      <c r="U439" t="inlineStr">
        <is>
          <t>Indoor air quality; Sick building syndrome; Human health; Environment; Exposure</t>
        </is>
      </c>
      <c r="V439" t="inlineStr">
        <is>
          <t>SICK BUILDING SYNDROME; VOLATILE ORGANIC-COMPOUNDS; COMPARATIVE RISK-ASSESSMENT; PARTICULATE MATTER; CARBON-DIOXIDE; OUTDOOR AIR; SHORT-TERM; CARDIOVASCULAR-DISEASE; MIXOTROPHIC CONDITIONS; ARTHROSPIRA-PLATENSIS</t>
        </is>
      </c>
      <c r="W439" t="inlineStr">
        <is>
          <t>Indoor air quality (IAQ) is one of the fundamental elements affecting people's health and well-being. Currently, there is a lack of awareness among people about the quantification, identification, and possible health effects of IAQ. Airborne pollutants such as volatile organic compounds (VOCs), particulate matter (PM), sulfur dioxide (SO2), carbon monoxide (CO), nitrous oxide (NO), polycyclic aromatic hydrocarbons (PAHs) microbial spores, pollen, allergens, etc. primarily contribute to IAQ deterioration. This review discusses the sources of major indoor air pollutants, molecular toxicity mechanisms, and their effects on cardiovascular, ocular, neurological, women, and foetal health. Additionally, contemporary strategies and sustainable methods for regulating and reducing pollutant concentrations are emphasized, and current initiatives to address and enhance IAQ are explored, along with their unique advantages and potentials. Due to their longer exposure times and particular physical characteristics, women and children are more at risk for poor indoor air quality. By triggering many toxicity mechanisms, including oxidative stress, DNA methylation, epigenetic modifications, and gene activation, indoor air pollution can cause a range of health issues. Low birth weight, acute</t>
        </is>
      </c>
      <c r="X439" t="inlineStr">
        <is>
          <t>[Kumar, Pradeep; Singh, Rajeev] Univ Delhi, Satyawati Coll, Dept Environm Studies, Delhi, India; [Singh, Rajeev] Jamia Millia Islamia, Dept Environm Sci, New Delhi 110025, India; [Singh, A. B.] Inst Genom &amp; Integrat Biol IGIB, Mall Rd Campus, Delhi, India; [Arora, Taruna] Indian Council Med Res, Div Reprod Biol Maternal &amp; Child Hlth, New Delhi 110029, India; [Singh, Sevaram] Translat Hlth Sci &amp; Technol Inst, NCR Biotech Sci Cluster, 3rd Milestone, Faridabad 121001, India; [Singh, Sevaram] Jawaharlal Nehru Univ, New Mehrauli Rd, New Delhi 110067, India; [Singh, Rajeev] Jamia Millia Islamia, Dept Environm Sci, New Delhi 110025, India</t>
        </is>
      </c>
      <c r="Y439" t="inlineStr">
        <is>
          <t>University of Delhi; Jamia Millia Islamia; Council of Scientific &amp; Industrial Research (CSIR) - India; CSIR - Institute of Genomics &amp; Integrative Biology (IGIB); Indian Council of Medical Research (ICMR); Department of Biotechnology (DBT) India; Translational Health Science &amp; Technology Institute (THSTI); Jawaharlal Nehru University, New Delhi; Jamia Millia Islamia</t>
        </is>
      </c>
      <c r="Z439" t="inlineStr">
        <is>
          <t>Singh, R (corresponding author), Jamia Millia Islamia, Dept Environm Sci, New Delhi 110025, India.</t>
        </is>
      </c>
      <c r="AA439" t="inlineStr">
        <is>
          <t>10rsingh@gmail.com</t>
        </is>
      </c>
      <c r="AB439" t="inlineStr">
        <is>
          <t>Kumar, Pradeep/ABA-6989-2021; Singh, Dr Rajeev/IUQ-6350-2023</t>
        </is>
      </c>
      <c r="AC439" t="inlineStr">
        <is>
          <t>Kumar, Pradeep/0000-0001-7245-8211; Singh, Rajeev/0000-0001-8804-155X</t>
        </is>
      </c>
      <c r="AH439" t="n">
        <v>253</v>
      </c>
      <c r="AI439" t="n">
        <v>12</v>
      </c>
      <c r="AJ439" t="n">
        <v>12</v>
      </c>
      <c r="AK439" t="n">
        <v>35</v>
      </c>
      <c r="AL439" t="n">
        <v>46</v>
      </c>
      <c r="AM439" t="inlineStr">
        <is>
          <t>ELSEVIER</t>
        </is>
      </c>
      <c r="AN439" t="inlineStr">
        <is>
          <t>AMSTERDAM</t>
        </is>
      </c>
      <c r="AO439" t="inlineStr">
        <is>
          <t>RADARWEG 29, 1043 NX AMSTERDAM, NETHERLANDS</t>
        </is>
      </c>
      <c r="AP439" t="inlineStr">
        <is>
          <t>0048-9697</t>
        </is>
      </c>
      <c r="AQ439" t="inlineStr">
        <is>
          <t>1879-1026</t>
        </is>
      </c>
      <c r="AS439" t="inlineStr">
        <is>
          <t>SCI TOTAL ENVIRON</t>
        </is>
      </c>
      <c r="AT439" t="inlineStr">
        <is>
          <t>Sci. Total Environ.</t>
        </is>
      </c>
      <c r="AU439" t="inlineStr">
        <is>
          <t>MAY 10</t>
        </is>
      </c>
      <c r="AV439" t="n">
        <v>2023</v>
      </c>
      <c r="AW439" t="n">
        <v>872</v>
      </c>
      <c r="BE439" t="n">
        <v>162163</v>
      </c>
      <c r="BF439" t="inlineStr">
        <is>
          <t>10.1016/j.scitotenv.2023.162163</t>
        </is>
      </c>
      <c r="BG439">
        <f>HYPERLINK("http://dx.doi.org/10.1016/j.scitotenv.2023.162163","http://dx.doi.org/10.1016/j.scitotenv.2023.162163")</f>
        <v/>
      </c>
      <c r="BI439" t="inlineStr">
        <is>
          <t>FEB 2023</t>
        </is>
      </c>
      <c r="BJ439" t="n">
        <v>19</v>
      </c>
      <c r="BK439" t="inlineStr">
        <is>
          <t>Environmental Sciences</t>
        </is>
      </c>
      <c r="BL439" t="inlineStr">
        <is>
          <t>Science Citation Index Expanded (SCI-EXPANDED)</t>
        </is>
      </c>
      <c r="BM439" t="inlineStr">
        <is>
          <t>Environmental Sciences &amp; Ecology</t>
        </is>
      </c>
      <c r="BN439" t="inlineStr">
        <is>
          <t>D0ED1</t>
        </is>
      </c>
      <c r="BO439" t="n">
        <v>36781134</v>
      </c>
      <c r="BS439" t="inlineStr">
        <is>
          <t>2023-10-26</t>
        </is>
      </c>
      <c r="BT439" t="inlineStr">
        <is>
          <t>WOS:000965536000001</t>
        </is>
      </c>
      <c r="BU439">
        <f>HYPERLINK("https%3A%2F%2Fwww.webofscience.com%2Fwos%2Fwoscc%2Ffull-record%2FWOS:000965536000001","View Full Record in Web of Science")</f>
        <v/>
      </c>
    </row>
    <row r="440">
      <c r="A440" t="inlineStr">
        <is>
          <t>J</t>
        </is>
      </c>
      <c r="B440" t="inlineStr">
        <is>
          <t>Ross, A; Godwyll, J; Adams, M</t>
        </is>
      </c>
      <c r="F440" t="inlineStr">
        <is>
          <t>Ross, Allison; Godwyll, Josephine; Adams, Marc</t>
        </is>
      </c>
      <c r="J440" t="inlineStr">
        <is>
          <t>INTERNATIONAL JOURNAL OF ENVIRONMENTAL RESEARCH AND PUBLIC HEALTH</t>
        </is>
      </c>
      <c r="M440" t="inlineStr">
        <is>
          <t>English</t>
        </is>
      </c>
      <c r="N440" t="inlineStr">
        <is>
          <t>Article</t>
        </is>
      </c>
      <c r="T440" t="inlineStr">
        <is>
          <t>The Moderating Effect of Distance on Features of the Built Environment and Active School Transport</t>
        </is>
      </c>
      <c r="U440" t="inlineStr">
        <is>
          <t>active school transport; built environment; walking and biking to school</t>
        </is>
      </c>
      <c r="V440" t="inlineStr">
        <is>
          <t>PHYSICAL-ACTIVITY; OBESITY; WALKING; TRAVEL; NEIGHBORHOOD; PERCEPTIONS; CHILDREN; YOUTH</t>
        </is>
      </c>
      <c r="W440" t="inlineStr">
        <is>
          <t>Despite growing research supporting the impact of the built environment on active school transport (AST), distance persists as the most powerful predictor of walking and biking to school. There is a need to better understand how environmental features interact with distance to affect AST, and whether the influence of environmental factors persist across different distance thresholds. Multilevel models using cluster-robust standard errors were used to examine for interactions between objectively measured macroscale environmental features and several reported distances from home to school (up to 1/4, 1/4 up to 1/2, 1/2 up to 1, 1+ miles) on the likelihood of parent reported AST for children grades 3-8 (n = 2751) at 35 schools who completed a Safe Routes to School Parent Survey about Walking and Biking to School (SRTS Parent Survey). An interaction between both intersection density and food-related land use with distance was observed. The likelihood of AST decreased as intersection density and distance increased (i.e., 31.0% reduced odds among those living within 1/4 mile compared to 18.2% using 1/2-1-mile criterion). The likelihood of using AST were reduced as food-related land use and distance increased (i.e., 43.67% reduced odds among those living under 1/4 mile compared to 19.83% reduced odds among those living 1/2-1 mile). Programs and infrastructure improvements focused on overcoming environmental barriers to promote AST may be most effective when targeting neighborhoods within 1/4 mile of schools.</t>
        </is>
      </c>
      <c r="X440" t="inlineStr">
        <is>
          <t>[Ross, Allison; Godwyll, Josephine; Adams, Marc] Arizona State Univ, Coll Hlth Solut, Phoenix, AZ 85004 USA</t>
        </is>
      </c>
      <c r="Y440" t="inlineStr">
        <is>
          <t>Arizona State University; Arizona State University-Downtown Phoenix</t>
        </is>
      </c>
      <c r="Z440" t="inlineStr">
        <is>
          <t>Ross, A (corresponding author), Arizona State Univ, Coll Hlth Solut, Phoenix, AZ 85004 USA.</t>
        </is>
      </c>
      <c r="AA440" t="inlineStr">
        <is>
          <t>Allison.Poulos@asu.edu; jmgodwyl@asu.edu; marc.adams@asu.edu</t>
        </is>
      </c>
      <c r="AB440" t="inlineStr">
        <is>
          <t>Poulos, Allison/HZL-9032-2023; Poulos, Allison/K-1932-2019; Adams, Marc/C-3513-2013</t>
        </is>
      </c>
      <c r="AC440" t="inlineStr">
        <is>
          <t>Poulos, Allison/0000-0002-9645-7691; Godwyll, Josephine/0000-0001-8733-0317; Adams, Marc/0000-0001-6310-1472</t>
        </is>
      </c>
      <c r="AH440" t="n">
        <v>63</v>
      </c>
      <c r="AI440" t="n">
        <v>4</v>
      </c>
      <c r="AJ440" t="n">
        <v>4</v>
      </c>
      <c r="AK440" t="n">
        <v>3</v>
      </c>
      <c r="AL440" t="n">
        <v>13</v>
      </c>
      <c r="AM440" t="inlineStr">
        <is>
          <t>MDPI</t>
        </is>
      </c>
      <c r="AN440" t="inlineStr">
        <is>
          <t>BASEL</t>
        </is>
      </c>
      <c r="AO440" t="inlineStr">
        <is>
          <t>ST ALBAN-ANLAGE 66, CH-4052 BASEL, SWITZERLAND</t>
        </is>
      </c>
      <c r="AQ440" t="inlineStr">
        <is>
          <t>1660-4601</t>
        </is>
      </c>
      <c r="AS440" t="inlineStr">
        <is>
          <t>INT J ENV RES PUB HE</t>
        </is>
      </c>
      <c r="AT440" t="inlineStr">
        <is>
          <t>Int. J. Environ. Res. Public Health</t>
        </is>
      </c>
      <c r="AU440" t="inlineStr">
        <is>
          <t>NOV</t>
        </is>
      </c>
      <c r="AV440" t="n">
        <v>2020</v>
      </c>
      <c r="AW440" t="n">
        <v>17</v>
      </c>
      <c r="AX440" t="n">
        <v>21</v>
      </c>
      <c r="BE440" t="n">
        <v>7856</v>
      </c>
      <c r="BF440" t="inlineStr">
        <is>
          <t>10.3390/ijerph17217856</t>
        </is>
      </c>
      <c r="BG440">
        <f>HYPERLINK("http://dx.doi.org/10.3390/ijerph17217856","http://dx.doi.org/10.3390/ijerph17217856")</f>
        <v/>
      </c>
      <c r="BJ440" t="n">
        <v>11</v>
      </c>
      <c r="BK440" t="inlineStr">
        <is>
          <t>Environmental Sciences; Public, Environmental &amp; Occupational Health</t>
        </is>
      </c>
      <c r="BL440" t="inlineStr">
        <is>
          <t>Science Citation Index Expanded (SCI-EXPANDED); Social Science Citation Index (SSCI)</t>
        </is>
      </c>
      <c r="BM440" t="inlineStr">
        <is>
          <t>Environmental Sciences &amp; Ecology; Public, Environmental &amp; Occupational Health</t>
        </is>
      </c>
      <c r="BN440" t="inlineStr">
        <is>
          <t>OR0HW</t>
        </is>
      </c>
      <c r="BO440" t="n">
        <v>33120926</v>
      </c>
      <c r="BP440" t="inlineStr">
        <is>
          <t>gold, Green Published</t>
        </is>
      </c>
      <c r="BS440" t="inlineStr">
        <is>
          <t>2023-10-26</t>
        </is>
      </c>
      <c r="BT440" t="inlineStr">
        <is>
          <t>WOS:000589157300001</t>
        </is>
      </c>
      <c r="BU440">
        <f>HYPERLINK("https%3A%2F%2Fwww.webofscience.com%2Fwos%2Fwoscc%2Ffull-record%2FWOS:000589157300001","View Full Record in Web of Science")</f>
        <v/>
      </c>
    </row>
    <row r="441">
      <c r="A441" t="inlineStr">
        <is>
          <t>J</t>
        </is>
      </c>
      <c r="B441" t="inlineStr">
        <is>
          <t>Peng, JD; Qi, JJ; Cui, CW; Yan, JM; Dai, Q; Yang, H</t>
        </is>
      </c>
      <c r="F441" t="inlineStr">
        <is>
          <t>Peng, Jiandong; Qi, Jiajie; Cui, Changwei; Yan, Jinming; Dai, Qi; Yang, Hong</t>
        </is>
      </c>
      <c r="J441" t="inlineStr">
        <is>
          <t>INTERNATIONAL JOURNAL OF ENVIRONMENTAL RESEARCH AND PUBLIC HEALTH</t>
        </is>
      </c>
      <c r="M441" t="inlineStr">
        <is>
          <t>English</t>
        </is>
      </c>
      <c r="N441" t="inlineStr">
        <is>
          <t>Article</t>
        </is>
      </c>
      <c r="T441" t="inlineStr">
        <is>
          <t>Research on the Impact of the Built Environment on the Characteristics of Metropolis Rail Transit School Commuting-Take Wuhan as an Example</t>
        </is>
      </c>
      <c r="U441" t="inlineStr">
        <is>
          <t>rail transit; built environment; travel behavior; school commuting; Wuhan</t>
        </is>
      </c>
      <c r="V441" t="inlineStr">
        <is>
          <t>PHYSICAL-ACTIVITY; ACTIVE-TRANSPORT; TRAVEL BEHAVIOR; URBAN FORM; NEIGHBORHOOD; CHILDREN; YOUTH; ADOLESCENTS; WEIGHT; CHOICE</t>
        </is>
      </c>
      <c r="W441" t="inlineStr">
        <is>
          <t>The long-distance commute to school caused by urban sprawl and the car-oriented urban construction model are key factors leading to primary/middle school students being picked up by their parents in cars. Encouraging those students to take rail transit can reduce their dependence on cars. This paper uses a stepwise regression based on rail-transit swipe data to explore the influence of the built environment on rail-transit commuting characteristics in Wuhan, and uses a geographically weighted regression (GWR) model to analyze the spatial heterogeneity of significant influencing variables. The study found that: (1) 60% of students are one-way commuters; (2) 88.6% of students travel less than 10 km; (3) the floor area ratio, bus station density and whether the station is a transfer station have an obvious positive effect on the flow of commuters; (4) whether the station is a departure station has a positive effect on the commuting distance, but the mixed degree of land use and road density have a negative effect on the commuting distance. This research can assist cities in formulating built environment optimization measures and related policies to improve school-age children's use of rail transit. This is important in the development of child-friendly cities.</t>
        </is>
      </c>
      <c r="X441" t="inlineStr">
        <is>
          <t>[Peng, Jiandong; Qi, Jiajie; Cui, Changwei; Yang, Hong] Wuhan Univ, Sch Urban Design, Wuhan 430072, Peoples R China; [Yan, Jinming] Guangzhou Planning &amp; Design Survey Res Inst, Guangzhou 510030, Peoples R China; [Dai, Qi] Wuhan Transportat Dev Strategy Inst, Wuhan 430014, Peoples R China</t>
        </is>
      </c>
      <c r="Y441" t="inlineStr">
        <is>
          <t>Wuhan University</t>
        </is>
      </c>
      <c r="Z441" t="inlineStr">
        <is>
          <t>Yang, H (corresponding author), Wuhan Univ, Sch Urban Design, Wuhan 430072, Peoples R China.</t>
        </is>
      </c>
      <c r="AA441" t="inlineStr">
        <is>
          <t>00006709@whu.edu.cn; 2014301530106@whu.edu.cn; 2014301530087@whu.edu.cn; moveingto@gmail.com; sty_hust@163.com; hyangup@whu.edu.cn</t>
        </is>
      </c>
      <c r="AH441" t="n">
        <v>45</v>
      </c>
      <c r="AI441" t="n">
        <v>5</v>
      </c>
      <c r="AJ441" t="n">
        <v>5</v>
      </c>
      <c r="AK441" t="n">
        <v>7</v>
      </c>
      <c r="AL441" t="n">
        <v>86</v>
      </c>
      <c r="AM441" t="inlineStr">
        <is>
          <t>MDPI</t>
        </is>
      </c>
      <c r="AN441" t="inlineStr">
        <is>
          <t>BASEL</t>
        </is>
      </c>
      <c r="AO441" t="inlineStr">
        <is>
          <t>ST ALBAN-ANLAGE 66, CH-4052 BASEL, SWITZERLAND</t>
        </is>
      </c>
      <c r="AQ441" t="inlineStr">
        <is>
          <t>1660-4601</t>
        </is>
      </c>
      <c r="AS441" t="inlineStr">
        <is>
          <t>INT J ENV RES PUB HE</t>
        </is>
      </c>
      <c r="AT441" t="inlineStr">
        <is>
          <t>Int. J. Environ. Res. Public Health</t>
        </is>
      </c>
      <c r="AU441" t="inlineStr">
        <is>
          <t>SEP</t>
        </is>
      </c>
      <c r="AV441" t="n">
        <v>2021</v>
      </c>
      <c r="AW441" t="n">
        <v>18</v>
      </c>
      <c r="AX441" t="n">
        <v>18</v>
      </c>
      <c r="BE441" t="n">
        <v>9885</v>
      </c>
      <c r="BF441" t="inlineStr">
        <is>
          <t>10.3390/ijerph18189885</t>
        </is>
      </c>
      <c r="BG441">
        <f>HYPERLINK("http://dx.doi.org/10.3390/ijerph18189885","http://dx.doi.org/10.3390/ijerph18189885")</f>
        <v/>
      </c>
      <c r="BJ441" t="n">
        <v>18</v>
      </c>
      <c r="BK441" t="inlineStr">
        <is>
          <t>Environmental Sciences; Public, Environmental &amp; Occupational Health</t>
        </is>
      </c>
      <c r="BL441" t="inlineStr">
        <is>
          <t>Science Citation Index Expanded (SCI-EXPANDED); Social Science Citation Index (SSCI)</t>
        </is>
      </c>
      <c r="BM441" t="inlineStr">
        <is>
          <t>Environmental Sciences &amp; Ecology; Public, Environmental &amp; Occupational Health</t>
        </is>
      </c>
      <c r="BN441" t="inlineStr">
        <is>
          <t>UX3XW</t>
        </is>
      </c>
      <c r="BO441" t="n">
        <v>34574808</v>
      </c>
      <c r="BP441" t="inlineStr">
        <is>
          <t>Green Published, gold</t>
        </is>
      </c>
      <c r="BS441" t="inlineStr">
        <is>
          <t>2023-10-26</t>
        </is>
      </c>
      <c r="BT441" t="inlineStr">
        <is>
          <t>WOS:000700777200001</t>
        </is>
      </c>
      <c r="BU441">
        <f>HYPERLINK("https%3A%2F%2Fwww.webofscience.com%2Fwos%2Fwoscc%2Ffull-record%2FWOS:000700777200001","View Full Record in Web of Science")</f>
        <v/>
      </c>
    </row>
    <row r="442">
      <c r="A442" t="inlineStr">
        <is>
          <t>J</t>
        </is>
      </c>
      <c r="B442" t="inlineStr">
        <is>
          <t>Piasecki, M; Kozicki, M; Firlag, S; Goljan, A; Kostyrko, K</t>
        </is>
      </c>
      <c r="F442" t="inlineStr">
        <is>
          <t>Piasecki, Michal; Kozicki, Mateusz; Firlag, Szymon; Goljan, Anna; Kostyrko, Krystyna</t>
        </is>
      </c>
      <c r="J442" t="inlineStr">
        <is>
          <t>SUSTAINABILITY</t>
        </is>
      </c>
      <c r="M442" t="inlineStr">
        <is>
          <t>English</t>
        </is>
      </c>
      <c r="N442" t="inlineStr">
        <is>
          <t>Article</t>
        </is>
      </c>
      <c r="T442" t="inlineStr">
        <is>
          <t>The Approach of Including TVOCs Concentration in the Indoor Environmental Quality Model (IEQ)-Case Studies of BREEAM Certified Office Buildings</t>
        </is>
      </c>
      <c r="U442" t="inlineStr">
        <is>
          <t>Indoor environment quality; IEQ; IAQ; TVOC; BREEAM assessment</t>
        </is>
      </c>
      <c r="V442" t="inlineStr">
        <is>
          <t>AIR-QUALITY; SATISFACTION; PERFORMANCE; ACCEPTANCE; PERCEPTION; IMPACT; INDEX; IEQ</t>
        </is>
      </c>
      <c r="W442" t="inlineStr">
        <is>
          <t>The article analyzes the impact of measured concentrations of Total Volatile Organic Compounds (TVOC) emissions determined for four BREEAM certified buildings on the Indoor Air Quality Index (IAQ(index)) and the overall Indoor Environment Quality index (IEQ(index)). The IEQ(index) indicates the percentage of building users who are satisfied from the indoor environment. In existing IEQ models, currently the concentration of CO2 is mostly used to evaluate the IAQ(index) sub-component. Authors point out that it is recommended to use TVOC instead CO2 at pre-occupant stage where building is mainly polluted by emission from finishing products. The research provides the approach where the component related to the emission of TVOCs is implemented to IEQ model. The first stage of assessment was a test of the volatile organic compounds concentrations in case study buildings. Secondly, the analysis results were assigned into the number of dissatisfied users (PD((IAQ))) from the theoretical function given by Jokl-Fanger resulting from the Weber-Fechner equation. Finally, the overall IEQ(index) was calculated. The IEQ approach proposed in this paper is mainly based on a consideration of EN 15251 and scientifically accepted models.</t>
        </is>
      </c>
      <c r="X442" t="inlineStr">
        <is>
          <t>[Piasecki, Michal; Kozicki, Mateusz; Goljan, Anna; Kostyrko, Krystyna] Inst Tech Budowlanej, Dept Thermal Phys Acoust &amp; Environm, PL-00611 Warsaw, Poland; [Firlag, Szymon] Warsaw Univ Technol, Fac Civil Engn, PL-00637 Warsaw, Poland</t>
        </is>
      </c>
      <c r="Y442" t="inlineStr">
        <is>
          <t>Instytut Techniki Budowlanej; Warsaw University of Technology</t>
        </is>
      </c>
      <c r="Z442" t="inlineStr">
        <is>
          <t>Piasecki, M (corresponding author), Inst Tech Budowlanej, Dept Thermal Phys Acoust &amp; Environm, PL-00611 Warsaw, Poland.</t>
        </is>
      </c>
      <c r="AA442" t="inlineStr">
        <is>
          <t>m.piasecki@itb.pl; m.kozicki@itb.pl; s.firlag@il.pw.edu.pl; a.goljan@itb.pl; k.kostyrko@itb.pl</t>
        </is>
      </c>
      <c r="AB442" t="inlineStr">
        <is>
          <t>Firląg, Szymon/AAW-1185-2020; Piasecki, Michał/F-8614-2014; Goljan, Anna/C-5820-2014; Kostyrko, Krystyna/G-9825-2015; Kozicki, Mateusz/Q-6099-2019</t>
        </is>
      </c>
      <c r="AC442" t="inlineStr">
        <is>
          <t>Firląg, Szymon/0000-0002-6276-3666; Piasecki, Michał/0000-0002-0201-0478; Goljan, Anna/0000-0002-9891-4673; Kostyrko, Krystyna/0000-0003-4205-0324; Kozicki, Mateusz/0000-0001-6053-6550</t>
        </is>
      </c>
      <c r="AH442" t="n">
        <v>56</v>
      </c>
      <c r="AI442" t="n">
        <v>22</v>
      </c>
      <c r="AJ442" t="n">
        <v>22</v>
      </c>
      <c r="AK442" t="n">
        <v>2</v>
      </c>
      <c r="AL442" t="n">
        <v>12</v>
      </c>
      <c r="AM442" t="inlineStr">
        <is>
          <t>MDPI</t>
        </is>
      </c>
      <c r="AN442" t="inlineStr">
        <is>
          <t>BASEL</t>
        </is>
      </c>
      <c r="AO442" t="inlineStr">
        <is>
          <t>ST ALBAN-ANLAGE 66, CH-4052 BASEL, SWITZERLAND</t>
        </is>
      </c>
      <c r="AP442" t="inlineStr">
        <is>
          <t>2071-1050</t>
        </is>
      </c>
      <c r="AS442" t="inlineStr">
        <is>
          <t>SUSTAINABILITY-BASEL</t>
        </is>
      </c>
      <c r="AT442" t="inlineStr">
        <is>
          <t>Sustainability</t>
        </is>
      </c>
      <c r="AU442" t="inlineStr">
        <is>
          <t>NOV</t>
        </is>
      </c>
      <c r="AV442" t="n">
        <v>2018</v>
      </c>
      <c r="AW442" t="n">
        <v>10</v>
      </c>
      <c r="AX442" t="n">
        <v>11</v>
      </c>
      <c r="BE442" t="n">
        <v>3902</v>
      </c>
      <c r="BF442" t="inlineStr">
        <is>
          <t>10.3390/su10113902</t>
        </is>
      </c>
      <c r="BG442">
        <f>HYPERLINK("http://dx.doi.org/10.3390/su10113902","http://dx.doi.org/10.3390/su10113902")</f>
        <v/>
      </c>
      <c r="BJ442" t="n">
        <v>22</v>
      </c>
      <c r="BK442" t="inlineStr">
        <is>
          <t>Green &amp; Sustainable Science &amp; Technology; Environmental Sciences; Environmental Studies</t>
        </is>
      </c>
      <c r="BL442" t="inlineStr">
        <is>
          <t>Science Citation Index Expanded (SCI-EXPANDED); Social Science Citation Index (SSCI)</t>
        </is>
      </c>
      <c r="BM442" t="inlineStr">
        <is>
          <t>Science &amp; Technology - Other Topics; Environmental Sciences &amp; Ecology</t>
        </is>
      </c>
      <c r="BN442" t="inlineStr">
        <is>
          <t>HC1AQ</t>
        </is>
      </c>
      <c r="BP442" t="inlineStr">
        <is>
          <t>gold</t>
        </is>
      </c>
      <c r="BS442" t="inlineStr">
        <is>
          <t>2023-10-26</t>
        </is>
      </c>
      <c r="BT442" t="inlineStr">
        <is>
          <t>WOS:000451531700076</t>
        </is>
      </c>
      <c r="BU442">
        <f>HYPERLINK("https%3A%2F%2Fwww.webofscience.com%2Fwos%2Fwoscc%2Ffull-record%2FWOS:000451531700076","View Full Record in Web of Science")</f>
        <v/>
      </c>
    </row>
    <row r="443">
      <c r="A443" t="inlineStr">
        <is>
          <t>J</t>
        </is>
      </c>
      <c r="B443" t="inlineStr">
        <is>
          <t>Kim, YJ; Woo, A</t>
        </is>
      </c>
      <c r="F443" t="inlineStr">
        <is>
          <t>Kim, Young-Jae; Woo, Ayoung</t>
        </is>
      </c>
      <c r="J443" t="inlineStr">
        <is>
          <t>SUSTAINABILITY</t>
        </is>
      </c>
      <c r="M443" t="inlineStr">
        <is>
          <t>English</t>
        </is>
      </c>
      <c r="N443" t="inlineStr">
        <is>
          <t>Article</t>
        </is>
      </c>
      <c r="T443" t="inlineStr">
        <is>
          <t>What's the Score? Walkable Environments and Subsidized Households</t>
        </is>
      </c>
      <c r="U443" t="inlineStr">
        <is>
          <t>street smart walk score; walking-related built environment; low-income housing tax credit households; public housing households</t>
        </is>
      </c>
      <c r="V443" t="inlineStr">
        <is>
          <t>ESTIMATING NEIGHBORHOOD WALKABILITY; PHYSICAL-ACTIVITY; BUILT ENVIRONMENT; LOW-INCOME; LAND-USE; ACTIVE TRANSPORTATION; SOCIOECONOMIC-STATUS; URBAN DESIGN; LOS-ANGELES; WALKING</t>
        </is>
      </c>
      <c r="W443" t="inlineStr">
        <is>
          <t>Neighborhood walkability can influence individual health, social interactions, and environmental quality, but the relationships between subsidized households and their walkable environment have not been sufficiently examined in previous empirical studies. Focusing on two types of subsidized housing developments (Low-Income Housing Tax Credit (LIHTC) and Public Housing (PH)) in Austin, Texas, this study evaluates the neighborhood walkability of place-based subsidized households, utilizing objectively measured Walk Score and walking-related built environment data. We also used U.S. Census block group data to account for the socio-demographic covariates. Based on various data, we employed bivariate and multivariate analyses to specify the relationships between subsidized households and their neighborhood walkable environment. The results of our bivariate analyses show that LIHTC households tend to be located in car-dependent neighborhoods and have more undesirable walking-related built environment conditions compared with non-LIHTC neighborhoods. Our regression results also represent that LIHTC households are more likely to be exposed to neighborhoods with low Walk Score, less sidewalk coverage, and more highways and major roads, while there are no significant associations for PH households. These findings imply that more attention and effort toward reducing the inequitable distributions of walkable neighborhood features supporting rather than hindering healthy lifestyles must be provided to subsidized households.</t>
        </is>
      </c>
      <c r="X443" t="inlineStr">
        <is>
          <t>[Kim, Young-Jae] N Dakota State Univ, Dept Architecture &amp; Landscape Architecture, 711 2nd Ave North,Off 308, Fargo, ND 58102 USA; [Woo, Ayoung] Texas A&amp;M Univ, Dept Landscape Architecture &amp; Urban Planning, Langford Architecture Ctr A340, 3137 TAMU, College Stn, TX 77843 USA</t>
        </is>
      </c>
      <c r="Y443" t="inlineStr">
        <is>
          <t>North Dakota State University Fargo; Texas A&amp;M University System; Texas A&amp;M University College Station</t>
        </is>
      </c>
      <c r="Z443" t="inlineStr">
        <is>
          <t>Woo, A (corresponding author), Texas A&amp;M Univ, Dept Landscape Architecture &amp; Urban Planning, Langford Architecture Ctr A340, 3137 TAMU, College Stn, TX 77843 USA.</t>
        </is>
      </c>
      <c r="AA443" t="inlineStr">
        <is>
          <t>young.j.kim@ndsu.edu; ayoungok@tamu.edu</t>
        </is>
      </c>
      <c r="AB443" t="inlineStr">
        <is>
          <t>Woo, Ayoung/AAF-2851-2020</t>
        </is>
      </c>
      <c r="AH443" t="n">
        <v>87</v>
      </c>
      <c r="AI443" t="n">
        <v>7</v>
      </c>
      <c r="AJ443" t="n">
        <v>8</v>
      </c>
      <c r="AK443" t="n">
        <v>1</v>
      </c>
      <c r="AL443" t="n">
        <v>19</v>
      </c>
      <c r="AM443" t="inlineStr">
        <is>
          <t>MDPI</t>
        </is>
      </c>
      <c r="AN443" t="inlineStr">
        <is>
          <t>BASEL</t>
        </is>
      </c>
      <c r="AO443" t="inlineStr">
        <is>
          <t>ST ALBAN-ANLAGE 66, CH-4052 BASEL, SWITZERLAND</t>
        </is>
      </c>
      <c r="AQ443" t="inlineStr">
        <is>
          <t>2071-1050</t>
        </is>
      </c>
      <c r="AS443" t="inlineStr">
        <is>
          <t>SUSTAINABILITY-BASEL</t>
        </is>
      </c>
      <c r="AT443" t="inlineStr">
        <is>
          <t>Sustainability</t>
        </is>
      </c>
      <c r="AU443" t="inlineStr">
        <is>
          <t>APR</t>
        </is>
      </c>
      <c r="AV443" t="n">
        <v>2016</v>
      </c>
      <c r="AW443" t="n">
        <v>8</v>
      </c>
      <c r="AX443" t="n">
        <v>4</v>
      </c>
      <c r="BE443" t="n">
        <v>396</v>
      </c>
      <c r="BF443" t="inlineStr">
        <is>
          <t>10.3390/su8040396</t>
        </is>
      </c>
      <c r="BG443">
        <f>HYPERLINK("http://dx.doi.org/10.3390/su8040396","http://dx.doi.org/10.3390/su8040396")</f>
        <v/>
      </c>
      <c r="BJ443" t="n">
        <v>20</v>
      </c>
      <c r="BK443" t="inlineStr">
        <is>
          <t>Green &amp; Sustainable Science &amp; Technology; Environmental Sciences; Environmental Studies</t>
        </is>
      </c>
      <c r="BL443" t="inlineStr">
        <is>
          <t>Science Citation Index Expanded (SCI-EXPANDED); Social Science Citation Index (SSCI)</t>
        </is>
      </c>
      <c r="BM443" t="inlineStr">
        <is>
          <t>Science &amp; Technology - Other Topics; Environmental Sciences &amp; Ecology</t>
        </is>
      </c>
      <c r="BN443" t="inlineStr">
        <is>
          <t>DK8CW</t>
        </is>
      </c>
      <c r="BP443" t="inlineStr">
        <is>
          <t>Green Submitted, gold</t>
        </is>
      </c>
      <c r="BS443" t="inlineStr">
        <is>
          <t>2023-10-26</t>
        </is>
      </c>
      <c r="BT443" t="inlineStr">
        <is>
          <t>WOS:000375155800106</t>
        </is>
      </c>
      <c r="BU443">
        <f>HYPERLINK("https%3A%2F%2Fwww.webofscience.com%2Fwos%2Fwoscc%2Ffull-record%2FWOS:000375155800106","View Full Record in Web of Science")</f>
        <v/>
      </c>
    </row>
    <row r="444">
      <c r="A444" t="inlineStr">
        <is>
          <t>J</t>
        </is>
      </c>
      <c r="B444" t="inlineStr">
        <is>
          <t>Kloster, S; Kirkegaard, AM; Davidsen, M; Christensen, AI; Nielsen, NS; Gunnarsen, L; Ersboll, AK</t>
        </is>
      </c>
      <c r="F444" t="inlineStr">
        <is>
          <t>Kloster, Stine; Kirkegaard, Anne Marie; Davidsen, Michael; Christensen, Anne Illemann; Nielsen, Niss Skov; Gunnarsen, Lars; Ersboll, Annette Kjaer</t>
        </is>
      </c>
      <c r="J444" t="inlineStr">
        <is>
          <t>INTERNATIONAL JOURNAL OF ENVIRONMENTAL RESEARCH AND PUBLIC HEALTH</t>
        </is>
      </c>
      <c r="M444" t="inlineStr">
        <is>
          <t>English</t>
        </is>
      </c>
      <c r="N444" t="inlineStr">
        <is>
          <t>Article</t>
        </is>
      </c>
      <c r="T444" t="inlineStr">
        <is>
          <t>Patterns of Perceived Indoor Environment in Danish Homes</t>
        </is>
      </c>
      <c r="U444" t="inlineStr">
        <is>
          <t>perceived indoor environment; annoyances; housing condition; environmental epidemiology; clustering; factor analysis; latent class analysis</t>
        </is>
      </c>
      <c r="V444" t="inlineStr">
        <is>
          <t>EXPOSURE</t>
        </is>
      </c>
      <c r="W444" t="inlineStr">
        <is>
          <t>The indoor environment is composed of several exposures existing simultaneously. Therefore, it might be useful to combine exposures into common combined measures when used to assess the association with health. The aim of our study was to identify patterns of the perceived indoor environment. Data from the Danish Health and Morbidity Survey in the year 2000 were used. The perceived indoor environment was assessed using a questionnaire (e.g., annoyances from noise, draught, and stuffy air; 13 items in total). Factor analysis was used to explore the structure of relationships between these 13 items. Furthermore, groups of individuals with similar perceived indoor environment were identified using latent class analysis. A total of 16,688 individuals &gt;= 16 years participated. Their median age was 46 years. Four factors were extracted from the factor analysis. The factors were characterized by: (1) a mixture of items, (2) temperature, (3) traffic, and (4) neighbor noise. Moreover, three groups of individuals sharing the same perception of their indoor environment were identified. They were characterized by: a low (n = 14,829), moderate (n = 980), and large number of annoyances (n = 879). Observational studies need to take this correlation and clustering of perceived annoyances into account when studying associations between the indoor environment and health.</t>
        </is>
      </c>
      <c r="X444" t="inlineStr">
        <is>
          <t>[Kloster, Stine; Kirkegaard, Anne Marie; Davidsen, Michael; Christensen, Anne Illemann; Ersboll, Annette Kjaer] Univ Southern Denmark, Natl Inst Publ Hlth, Studiestr 6, DK-1455 Copenhagen K, Denmark; [Kirkegaard, Anne Marie; Nielsen, Niss Skov; Gunnarsen, Lars] Aalborg Univ, Dept Built Environm, AC Meyers Vaenge 15, DK-2450 Copenhagen SV, Denmark</t>
        </is>
      </c>
      <c r="Y444" t="inlineStr">
        <is>
          <t>University of Southern Denmark; Aalborg University</t>
        </is>
      </c>
      <c r="Z444" t="inlineStr">
        <is>
          <t>Kloster, S (corresponding author), Univ Southern Denmark, Natl Inst Publ Hlth, Studiestr 6, DK-1455 Copenhagen K, Denmark.</t>
        </is>
      </c>
      <c r="AA444" t="inlineStr">
        <is>
          <t>stkl@sdu.dk</t>
        </is>
      </c>
      <c r="AB444" t="inlineStr">
        <is>
          <t>Nielsen, Niss Skov/AAR-1196-2021; Christensen, Anne Illemann/AFN-4639-2022; Kloster, Stine/JDM-2770-2023</t>
        </is>
      </c>
      <c r="AC444" t="inlineStr">
        <is>
          <t>Nielsen, Niss Skov/0000-0002-4705-5143; Kloster, Stine/0000-0002-6142-8305; Davidsen, Michael/0000-0001-6089-9781; Kirkegaard, Anne Marie/0000-0003-4993-4325; Gunnarsen, Lars/0000-0003-2227-7759</t>
        </is>
      </c>
      <c r="AD444" t="inlineStr">
        <is>
          <t>Realdania [PRJ-2019-00310]</t>
        </is>
      </c>
      <c r="AE444" t="inlineStr">
        <is>
          <t>Realdania</t>
        </is>
      </c>
      <c r="AF444" t="inlineStr">
        <is>
          <t>The study received financial support from Realdania (Grant number: PRJ-2019-00310).</t>
        </is>
      </c>
      <c r="AH444" t="n">
        <v>33</v>
      </c>
      <c r="AI444" t="n">
        <v>0</v>
      </c>
      <c r="AJ444" t="n">
        <v>0</v>
      </c>
      <c r="AK444" t="n">
        <v>3</v>
      </c>
      <c r="AL444" t="n">
        <v>5</v>
      </c>
      <c r="AM444" t="inlineStr">
        <is>
          <t>MDPI</t>
        </is>
      </c>
      <c r="AN444" t="inlineStr">
        <is>
          <t>BASEL</t>
        </is>
      </c>
      <c r="AO444" t="inlineStr">
        <is>
          <t>ST ALBAN-ANLAGE 66, CH-4052 BASEL, SWITZERLAND</t>
        </is>
      </c>
      <c r="AQ444" t="inlineStr">
        <is>
          <t>1660-4601</t>
        </is>
      </c>
      <c r="AS444" t="inlineStr">
        <is>
          <t>INT J ENV RES PUB HE</t>
        </is>
      </c>
      <c r="AT444" t="inlineStr">
        <is>
          <t>Int. J. Environ. Res. Public Health</t>
        </is>
      </c>
      <c r="AU444" t="inlineStr">
        <is>
          <t>SEP</t>
        </is>
      </c>
      <c r="AV444" t="n">
        <v>2022</v>
      </c>
      <c r="AW444" t="n">
        <v>19</v>
      </c>
      <c r="AX444" t="n">
        <v>18</v>
      </c>
      <c r="BE444" t="n">
        <v>11498</v>
      </c>
      <c r="BF444" t="inlineStr">
        <is>
          <t>10.3390/ijerph191811498</t>
        </is>
      </c>
      <c r="BG444">
        <f>HYPERLINK("http://dx.doi.org/10.3390/ijerph191811498","http://dx.doi.org/10.3390/ijerph191811498")</f>
        <v/>
      </c>
      <c r="BJ444" t="n">
        <v>15</v>
      </c>
      <c r="BK444" t="inlineStr">
        <is>
          <t>Environmental Sciences; Public, Environmental &amp; Occupational Health</t>
        </is>
      </c>
      <c r="BL444" t="inlineStr">
        <is>
          <t>Science Citation Index Expanded (SCI-EXPANDED); Social Science Citation Index (SSCI)</t>
        </is>
      </c>
      <c r="BM444" t="inlineStr">
        <is>
          <t>Environmental Sciences &amp; Ecology; Public, Environmental &amp; Occupational Health</t>
        </is>
      </c>
      <c r="BN444" t="inlineStr">
        <is>
          <t>4Q9AH</t>
        </is>
      </c>
      <c r="BO444" t="n">
        <v>36141771</v>
      </c>
      <c r="BP444" t="inlineStr">
        <is>
          <t>Green Published, gold, Green Submitted</t>
        </is>
      </c>
      <c r="BS444" t="inlineStr">
        <is>
          <t>2023-10-26</t>
        </is>
      </c>
      <c r="BT444" t="inlineStr">
        <is>
          <t>WOS:000856366900001</t>
        </is>
      </c>
      <c r="BU444">
        <f>HYPERLINK("https%3A%2F%2Fwww.webofscience.com%2Fwos%2Fwoscc%2Ffull-record%2FWOS:000856366900001","View Full Record in Web of Science")</f>
        <v/>
      </c>
    </row>
    <row r="445">
      <c r="A445" t="inlineStr">
        <is>
          <t>J</t>
        </is>
      </c>
      <c r="B445" t="inlineStr">
        <is>
          <t>Lazarus, ED; Goldstein, EB; Taylor, LA; Williams, HE</t>
        </is>
      </c>
      <c r="F445" t="inlineStr">
        <is>
          <t>Lazarus, Eli D.; Goldstein, Evan B.; Taylor, Luke A.; Williams, Hannah E.</t>
        </is>
      </c>
      <c r="J445" t="inlineStr">
        <is>
          <t>EARTHS FUTURE</t>
        </is>
      </c>
      <c r="M445" t="inlineStr">
        <is>
          <t>English</t>
        </is>
      </c>
      <c r="N445" t="inlineStr">
        <is>
          <t>Article</t>
        </is>
      </c>
      <c r="T445" t="inlineStr">
        <is>
          <t>Comparing Patterns of Hurricane Washover into Built and Unbuilt Environments</t>
        </is>
      </c>
      <c r="U445" t="inlineStr">
        <is>
          <t>distortion; hurricane; morphometry; overwash; tropical cyclones; washover</t>
        </is>
      </c>
      <c r="V445" t="inlineStr">
        <is>
          <t>PYROCLASTIC DENSITY CURRENTS; OVERWASH; IMPACTS; BARRIERS; STORMS</t>
        </is>
      </c>
      <c r="W445" t="inlineStr">
        <is>
          <t>Extreme geohazard events can change landscape morphology by redistributing huge volumes of sediment. Event-driven sediment deposition is typically studied in unbuilt settings - despite the ubiquity of occurrence and high economic cost of these geohazard impacts in built environments. Moreover, sedimentary consequences of extreme events in built settings tend to go unrecorded because they are rapidly cleared, at significant expense, from streets and roads to facilitate emergency response. Reducing disaster costs requires an ability to predict disaster impacts, which itself requires comprehensive measurement and study of the physical consequences of geohazard events. Here, using a database of poststorm aerial imagery, we measure plan-view geometric characteristics of sandy washover deposits in built and unbuilt settings following five different hurricane strikes along the Atlantic and Gulf Coasts of the US since 2011. We identify systematic similarities and differences between washover morphology in built and unbuilt environments, which we further explore with a simplified numerical model. Our findings suggest that spatial characteristics of the built environment (termed fabric) - specifically, the built fraction of the depositional zone - exerts a fundamental control on the form of large deposits. Accounting for the influence of built fabric on the morphodynamics of flow-driven geohazards is a tractable step toward improved forecasts of hazard impacts and disaster risk reduction.</t>
        </is>
      </c>
      <c r="X445" t="inlineStr">
        <is>
          <t>[Lazarus, Eli D.; Taylor, Luke A.; Williams, Hannah E.] Univ Southampton, Sch Geog &amp; Environm Sci, Environm Dynam Lab, Southampton, Hants, England; [Goldstein, Evan B.] Univ N Carolina, Dept Geog Environm &amp; Sustainabil, Greensboro, NC USA</t>
        </is>
      </c>
      <c r="Y445" t="inlineStr">
        <is>
          <t>University of Southampton; University of North Carolina; University of North Carolina Greensboro</t>
        </is>
      </c>
      <c r="Z445" t="inlineStr">
        <is>
          <t>Lazarus, ED (corresponding author), Univ Southampton, Sch Geog &amp; Environm Sci, Environm Dynam Lab, Southampton, Hants, England.</t>
        </is>
      </c>
      <c r="AA445" t="inlineStr">
        <is>
          <t>E.D.Lazarus@soton.ac.uk</t>
        </is>
      </c>
      <c r="AB445" t="inlineStr">
        <is>
          <t>Lazarus, Eli D/J-8221-2013</t>
        </is>
      </c>
      <c r="AC445" t="inlineStr">
        <is>
          <t>Lazarus, Eli D/0000-0003-2404-9661; Goldstein, Evan/0000-0001-9358-1016</t>
        </is>
      </c>
      <c r="AD445" t="inlineStr">
        <is>
          <t>Leverhulme Trust [RPG-2018-282]; DoD/DARPA [R0011836623/HR001118200064]; Early Career Research Fellowship from the Gulf Research Program of the National Academies of Sciences, Engineering, and Medicine</t>
        </is>
      </c>
      <c r="AE445" t="inlineStr">
        <is>
          <t>Leverhulme Trust(Leverhulme Trust); DoD/DARPA(United States Department of DefenseDefense Advanced Research Projects Agency (DARPA)); Early Career Research Fellowship from the Gulf Research Program of the National Academies of Sciences, Engineering, and Medicine</t>
        </is>
      </c>
      <c r="AF445" t="inlineStr">
        <is>
          <t>The authors thank two anonymous reviewers for their constructive comments on the manuscript, and for feedback on the EarthArXiv preprint from the WHOI Mudrakers reading group. They gratefully acknowledge support from The Leverhulme Trust (RPG-2018-282, to EDL and EBG), DoD/DARPA (R0011836623/HR001118200064, to EBG), and an Early Career Research Fellowship from the Gulf Research Program of the National Academies of Sciences, Engineering, and Medicine (to EBG). The content is solely the responsibility of the authors and does not necessarily represent the official views of the Gulf Research Program of the National Academies of Sciences, Engineering, and Medicine.T</t>
        </is>
      </c>
      <c r="AH445" t="n">
        <v>59</v>
      </c>
      <c r="AI445" t="n">
        <v>8</v>
      </c>
      <c r="AJ445" t="n">
        <v>8</v>
      </c>
      <c r="AK445" t="n">
        <v>0</v>
      </c>
      <c r="AL445" t="n">
        <v>1</v>
      </c>
      <c r="AM445" t="inlineStr">
        <is>
          <t>AMER GEOPHYSICAL UNION</t>
        </is>
      </c>
      <c r="AN445" t="inlineStr">
        <is>
          <t>WASHINGTON</t>
        </is>
      </c>
      <c r="AO445" t="inlineStr">
        <is>
          <t>2000 FLORIDA AVE NW, WASHINGTON, DC 20009 USA</t>
        </is>
      </c>
      <c r="AQ445" t="inlineStr">
        <is>
          <t>2328-4277</t>
        </is>
      </c>
      <c r="AS445" t="inlineStr">
        <is>
          <t>EARTHS FUTURE</t>
        </is>
      </c>
      <c r="AT445" t="inlineStr">
        <is>
          <t>Earth Future</t>
        </is>
      </c>
      <c r="AU445" t="inlineStr">
        <is>
          <t>MAR</t>
        </is>
      </c>
      <c r="AV445" t="n">
        <v>2021</v>
      </c>
      <c r="AW445" t="n">
        <v>9</v>
      </c>
      <c r="AX445" t="n">
        <v>3</v>
      </c>
      <c r="BE445" t="inlineStr">
        <is>
          <t>e2020EF001818</t>
        </is>
      </c>
      <c r="BF445" t="inlineStr">
        <is>
          <t>10.1029/2020EF001818</t>
        </is>
      </c>
      <c r="BG445">
        <f>HYPERLINK("http://dx.doi.org/10.1029/2020EF001818","http://dx.doi.org/10.1029/2020EF001818")</f>
        <v/>
      </c>
      <c r="BJ445" t="n">
        <v>11</v>
      </c>
      <c r="BK445" t="inlineStr">
        <is>
          <t>Environmental Sciences; Geosciences, Multidisciplinary; Meteorology &amp; Atmospheric Sciences</t>
        </is>
      </c>
      <c r="BL445" t="inlineStr">
        <is>
          <t>Science Citation Index Expanded (SCI-EXPANDED)</t>
        </is>
      </c>
      <c r="BM445" t="inlineStr">
        <is>
          <t>Environmental Sciences &amp; Ecology; Geology; Meteorology &amp; Atmospheric Sciences</t>
        </is>
      </c>
      <c r="BN445" t="inlineStr">
        <is>
          <t>RG0HL</t>
        </is>
      </c>
      <c r="BP445" t="inlineStr">
        <is>
          <t>Green Accepted, Green Submitted</t>
        </is>
      </c>
      <c r="BS445" t="inlineStr">
        <is>
          <t>2023-10-26</t>
        </is>
      </c>
      <c r="BT445" t="inlineStr">
        <is>
          <t>WOS:000635217400006</t>
        </is>
      </c>
      <c r="BU445">
        <f>HYPERLINK("https%3A%2F%2Fwww.webofscience.com%2Fwos%2Fwoscc%2Ffull-record%2FWOS:000635217400006","View Full Record in Web of Science")</f>
        <v/>
      </c>
    </row>
    <row r="446">
      <c r="A446" t="inlineStr">
        <is>
          <t>J</t>
        </is>
      </c>
      <c r="B446" t="inlineStr">
        <is>
          <t>Taylor, WL; Schuldt, SJ; Delorit, JD; Chini, CM; Postolache, TT; Lowry, CA; Brenner, LA; Hoisington, AJ</t>
        </is>
      </c>
      <c r="F446" t="inlineStr">
        <is>
          <t>Taylor, William L.; Schuldt, Steven J.; Delorit, Justin D.; Chini, Christopher M.; Postolache, Teodor T.; Lowry, Christopher A.; Brenner, Lisa A.; Hoisington, Andrew J.</t>
        </is>
      </c>
      <c r="J446" t="inlineStr">
        <is>
          <t>SCIENCE OF THE TOTAL ENVIRONMENT</t>
        </is>
      </c>
      <c r="M446" t="inlineStr">
        <is>
          <t>English</t>
        </is>
      </c>
      <c r="N446" t="inlineStr">
        <is>
          <t>Article</t>
        </is>
      </c>
      <c r="T446" t="inlineStr">
        <is>
          <t>A framework for estimating the United States depression burden attributable to indoor fine particulate matter exposure</t>
        </is>
      </c>
      <c r="U446" t="inlineStr">
        <is>
          <t>Depression; Particulate matter; Mental health; Indoor air; Epidemiology; Built environment</t>
        </is>
      </c>
      <c r="V446" t="inlineStr">
        <is>
          <t>AMBIENT AIR-POLLUTION; LUNG-CANCER INCIDENCE; LONG-TERM EXPOSURE; SOCIOECONOMIC-STATUS; HVAC FILTRATION; CIGARETTE-SMOKING; MAJOR DEPRESSION; OXIDATIVE STRESS; HEALTH-BENEFITS; OUTDOOR ORIGIN</t>
        </is>
      </c>
      <c r="W446" t="inlineStr">
        <is>
          <t>Recently published exploratory studies based on exposure to outdoor fine particulates, defined as particles with a nominal mean diameter less than or equal to 2.5 mu m (PM2.5) indicate that the pollutant may play a role in mental health conditions, such as major depressive disorder. This paper details a model that can estimate the United States (US) major depressive disorder burden attributable to indoor PM2.5 exposure, locally modifiable through input parameter calibrations. By utilizing concentration values in an exposure-response function, along with relative risk values derived from epidemiological studies, the model estimated the prevalence of expected cases of major depressive disorder in multiple scenarios. Model results show that exposure to indoor PM2.5 might contribute to 476,000 cases of major depressive disorder in the US (95% confidence interval 11,000-1,100,000), approximately 2.7% of the total number of cases reported annually. Increasing heating, ventilation, and air conditioning (HVAC) filter efficiency in a residential dwelling results in minor reductions in depressive disorders in rural or urban locations in the US. Nevertheless, a minimum efficiency reporting value (MERV) 13 filter does have a benefit/cost ratio at or near one when smoking occurs indoors: during wildfires: or in locations with elevated outdoor PM2.5 concentrations. The approach undertaken herein could provide a transparent strategy for investment into the built environment to improve the mental health of the occupants. Published by Elsevier B.V.</t>
        </is>
      </c>
      <c r="X446" t="inlineStr">
        <is>
          <t>[Taylor, William L.; Schuldt, Steven J.; Delorit, Justin D.; Chini, Christopher M.; Hoisington, Andrew J.] Air Force Inst Technol, Dept Syst Engn &amp; Management, Wright Patterson AFB, OH 45433 USA; [Postolache, Teodor T.; Lowry, Christopher A.; Brenner, Lisa A.; Hoisington, Andrew J.] Mil &amp; Vet Microbiome Consortium Res &amp; Educ MVM Co, Aurora, CO 80045 USA; [Postolache, Teodor T.; Lowry, Christopher A.; Brenner, Lisa A.; Hoisington, Andrew J.] Rocky Mt Reg Vet Affairs Med Ctr RMRVAMC, Rocky Mt Mental Illness Res Educ &amp; Clin Ctr MIREC, Vet Hlth Adm, Aurora, CO 80045 USA; [Postolache, Teodor T.] Univ Maryland, Dept Psychiat, Mood &amp; Anxiety Program, Sch Med, Baltimore, MD 21201 USA; [Lowry, Christopher A.] Univ Colorado, Ctr Neurosci, Dept Integrat Physiol, Boulder, CO 80309 USA; [Lowry, Christopher A.] Univ Colorado, Ctr Microbial Explorat, Boulder, CO 80309 USA; [Lowry, Christopher A.; Brenner, Lisa A.] Univ Colorado, Dept Phys Med &amp; Rehabil, Anschutz Med Campus, Aurora, CO 80045 USA; [Lowry, Christopher A.; Brenner, Lisa A.] Univ Colorado, Dept Psychiat, Anschutz Med Campus, Aurora, CO 80045 USA; [Lowry, Christopher A.; Brenner, Lisa A.] Univ Colorado, Dept Neurol, Anschutz Med Campus, Aurora, CO 80045 USA; [Brenner, Lisa A.; Hoisington, Andrew J.] Univ Colorado, Dept Psychiat &amp; Neurol, Anschutz Med Campus, Aurora, CO 80045 USA</t>
        </is>
      </c>
      <c r="Y446" t="inlineStr">
        <is>
          <t>Air Force Institute of Technology (AFIT); US Department of Veterans Affairs; Veterans Health Administration (VHA); University System of Maryland; University of Maryland Baltimore; University of Colorado System; University of Colorado Boulder; University of Colorado System; University of Colorado Boulder; University of Colorado System; University of Colorado Anschutz Medical Campus; University of Colorado System; University of Colorado Anschutz Medical Campus; University of Colorado System; University of Colorado Anschutz Medical Campus; University of Colorado System; University of Colorado Anschutz Medical Campus</t>
        </is>
      </c>
      <c r="Z446" t="inlineStr">
        <is>
          <t>Hoisington, AJ (corresponding author), 2850 Hobson Way, Wright Patterson AFB, OH 45419 USA.</t>
        </is>
      </c>
      <c r="AA446" t="inlineStr">
        <is>
          <t>Andrew.Hoisington@us.af.mil</t>
        </is>
      </c>
      <c r="AC446" t="inlineStr">
        <is>
          <t>Postolache, Teodor/0000-0001-6056-4244; Hoisington, Andrew/0000-0001-5523-8567</t>
        </is>
      </c>
      <c r="AH446" t="n">
        <v>120</v>
      </c>
      <c r="AI446" t="n">
        <v>4</v>
      </c>
      <c r="AJ446" t="n">
        <v>4</v>
      </c>
      <c r="AK446" t="n">
        <v>3</v>
      </c>
      <c r="AL446" t="n">
        <v>26</v>
      </c>
      <c r="AM446" t="inlineStr">
        <is>
          <t>ELSEVIER</t>
        </is>
      </c>
      <c r="AN446" t="inlineStr">
        <is>
          <t>AMSTERDAM</t>
        </is>
      </c>
      <c r="AO446" t="inlineStr">
        <is>
          <t>RADARWEG 29, 1043 NX AMSTERDAM, NETHERLANDS</t>
        </is>
      </c>
      <c r="AP446" t="inlineStr">
        <is>
          <t>0048-9697</t>
        </is>
      </c>
      <c r="AQ446" t="inlineStr">
        <is>
          <t>1879-1026</t>
        </is>
      </c>
      <c r="AS446" t="inlineStr">
        <is>
          <t>SCI TOTAL ENVIRON</t>
        </is>
      </c>
      <c r="AT446" t="inlineStr">
        <is>
          <t>Sci. Total Environ.</t>
        </is>
      </c>
      <c r="AU446" t="inlineStr">
        <is>
          <t>FEB 20</t>
        </is>
      </c>
      <c r="AV446" t="n">
        <v>2021</v>
      </c>
      <c r="AW446" t="n">
        <v>756</v>
      </c>
      <c r="BE446" t="n">
        <v>143858</v>
      </c>
      <c r="BF446" t="inlineStr">
        <is>
          <t>10.1016/j.scitotenv.2020.143858</t>
        </is>
      </c>
      <c r="BG446">
        <f>HYPERLINK("http://dx.doi.org/10.1016/j.scitotenv.2020.143858","http://dx.doi.org/10.1016/j.scitotenv.2020.143858")</f>
        <v/>
      </c>
      <c r="BJ446" t="n">
        <v>11</v>
      </c>
      <c r="BK446" t="inlineStr">
        <is>
          <t>Environmental Sciences</t>
        </is>
      </c>
      <c r="BL446" t="inlineStr">
        <is>
          <t>Science Citation Index Expanded (SCI-EXPANDED); Social Science Citation Index (SSCI)</t>
        </is>
      </c>
      <c r="BM446" t="inlineStr">
        <is>
          <t>Environmental Sciences &amp; Ecology</t>
        </is>
      </c>
      <c r="BN446" t="inlineStr">
        <is>
          <t>PM0FY</t>
        </is>
      </c>
      <c r="BO446" t="n">
        <v>33293092</v>
      </c>
      <c r="BP446" t="inlineStr">
        <is>
          <t>hybrid</t>
        </is>
      </c>
      <c r="BS446" t="inlineStr">
        <is>
          <t>2023-10-26</t>
        </is>
      </c>
      <c r="BT446" t="inlineStr">
        <is>
          <t>WOS:000603487500064</t>
        </is>
      </c>
      <c r="BU446">
        <f>HYPERLINK("https%3A%2F%2Fwww.webofscience.com%2Fwos%2Fwoscc%2Ffull-record%2FWOS:000603487500064","View Full Record in Web of Science")</f>
        <v/>
      </c>
    </row>
    <row r="447">
      <c r="A447" t="inlineStr">
        <is>
          <t>J</t>
        </is>
      </c>
      <c r="B447" t="inlineStr">
        <is>
          <t>Al-Rashid, MA; Nadeem, M; Campisi, T; Harumain, YAS; Goh, HC</t>
        </is>
      </c>
      <c r="F447" t="inlineStr">
        <is>
          <t>Al-Rashid, Muhammad Ahmad; Nadeem, Muhammad; Campisi, Tiziana; Harumain, Yong Adilah Shamsul; Goh, Hong Ching</t>
        </is>
      </c>
      <c r="J447" t="inlineStr">
        <is>
          <t>SUSTAINABILITY</t>
        </is>
      </c>
      <c r="M447" t="inlineStr">
        <is>
          <t>English</t>
        </is>
      </c>
      <c r="N447" t="inlineStr">
        <is>
          <t>Article</t>
        </is>
      </c>
      <c r="T447" t="inlineStr">
        <is>
          <t>How Do Psychosocial Barriers Shape Public Transport Use? A Mixed-Method Study among Older Adults in Pakistan</t>
        </is>
      </c>
      <c r="U447" t="inlineStr">
        <is>
          <t>psychosocial; public transport; older adults; Pakistan; mixed-method</t>
        </is>
      </c>
      <c r="V447" t="inlineStr">
        <is>
          <t>SUSTAINABLE URBAN-DEVELOPMENT; TRAVEL BEHAVIOR; MOBILITY CHARACTERISTICS; NEIGHBORHOOD WALKABILITY; PHYSICAL-ACTIVITY; MODE CHOICE; ATTITUDES; INTENTIONS; CONTEXT; WALKING</t>
        </is>
      </c>
      <c r="W447" t="inlineStr">
        <is>
          <t>Transport can significantly contribute to independent and healthy ageing, but in Pakistan-as in various other countries across the globe-many older adults are dependent on others. Age-sensitive transport environments are crucial for generating positive experiences among older adults. Notably, psychosocial experiences significantly impact public transport use. Thus, a thorough understanding of these psychological influences on public transport accessibility can encourage walkability and independent mobility. In the present research, we combine different data into a mixed-method study to investigate the psychosocial barriers to public transport use by older adults for daily travel in Lahore, Pakistan. The data include a questionnaire survey (319 older adults), semi-structured interviews (11 older adults), structured interviews with four experts and an analysis of relevant national-, provincial-, and district-level strategies and transport plans. The findings show how poorly perceived social norms, negative emotional responses, and perceived difficulty are significant barriers to using public transport services among older adults. Moreover, the existing transport plans and documents do not favour and cater to such psychosocial issues. Several strategic interventions that could promote walkability and public transport use are suggested. It includes activating social norms, raising awareness and information, providing social support, improving walking infrastructure and public transport services, pricing mechanisms, and offering specialised services. These initiatives, however, necessitate coordination among government authorities at the national, provincial, and district levels.</t>
        </is>
      </c>
      <c r="X447" t="inlineStr">
        <is>
          <t>[Al-Rashid, Muhammad Ahmad; Harumain, Yong Adilah Shamsul; Goh, Hong Ching] Univ Malaya, Fac Built Environm, Dept Urban &amp; Reg Planning, Kuala Lumpur 50603, Malaysia; [Nadeem, Muhammad] Yokohama Natl Univ, Grad Sch Urban Innovat, Yokohama, Kanagawa 2408501, Japan; [Campisi, Tiziana] Kore Univ Enna, Fac Engn &amp; Architecture, I-94100 Enna, Italy</t>
        </is>
      </c>
      <c r="Y447" t="inlineStr">
        <is>
          <t>Universiti Malaya; Yokohama National University; Universita Kore di ENNA</t>
        </is>
      </c>
      <c r="Z447" t="inlineStr">
        <is>
          <t>Al-Rashid, MA (corresponding author), Univ Malaya, Fac Built Environm, Dept Urban &amp; Reg Planning, Kuala Lumpur 50603, Malaysia.</t>
        </is>
      </c>
      <c r="AA447" t="inlineStr">
        <is>
          <t>bva180010@siswa.um.edu.my</t>
        </is>
      </c>
      <c r="AB447" t="inlineStr">
        <is>
          <t>campisi, tiziana/Y-1156-2018; Shamsul Harumain, Dr. Yong Adilah/H-3389-2016; GOH, HONG CHING/B-8546-2010</t>
        </is>
      </c>
      <c r="AC447" t="inlineStr">
        <is>
          <t>campisi, tiziana/0000-0003-4251-4838; Shamsul Harumain, Dr. Yong Adilah/0000-0002-3980-532X; GOH, HONG CHING/0000-0002-9250-2205; Nadeem, Muhammad/0000-0001-5941-4695; AL-RASHID, MUHAMMAD AHMAD/0000-0002-4858-8750</t>
        </is>
      </c>
      <c r="AD447" t="inlineStr">
        <is>
          <t>Higher Education Commission (HEC), Pakistan (SAP) [50035725]</t>
        </is>
      </c>
      <c r="AE447" t="inlineStr">
        <is>
          <t>Higher Education Commission (HEC), Pakistan (SAP)</t>
        </is>
      </c>
      <c r="AF447" t="inlineStr">
        <is>
          <t>This research was funded by the Higher Education Commission (HEC), Pakistan (SAP #50035725).</t>
        </is>
      </c>
      <c r="AH447" t="n">
        <v>107</v>
      </c>
      <c r="AI447" t="n">
        <v>2</v>
      </c>
      <c r="AJ447" t="n">
        <v>2</v>
      </c>
      <c r="AK447" t="n">
        <v>3</v>
      </c>
      <c r="AL447" t="n">
        <v>7</v>
      </c>
      <c r="AM447" t="inlineStr">
        <is>
          <t>MDPI</t>
        </is>
      </c>
      <c r="AN447" t="inlineStr">
        <is>
          <t>BASEL</t>
        </is>
      </c>
      <c r="AO447" t="inlineStr">
        <is>
          <t>ST ALBAN-ANLAGE 66, CH-4052 BASEL, SWITZERLAND</t>
        </is>
      </c>
      <c r="AQ447" t="inlineStr">
        <is>
          <t>2071-1050</t>
        </is>
      </c>
      <c r="AS447" t="inlineStr">
        <is>
          <t>SUSTAINABILITY-BASEL</t>
        </is>
      </c>
      <c r="AT447" t="inlineStr">
        <is>
          <t>Sustainability</t>
        </is>
      </c>
      <c r="AU447" t="inlineStr">
        <is>
          <t>OCT</t>
        </is>
      </c>
      <c r="AV447" t="n">
        <v>2022</v>
      </c>
      <c r="AW447" t="n">
        <v>14</v>
      </c>
      <c r="AX447" t="n">
        <v>19</v>
      </c>
      <c r="BE447" t="n">
        <v>12471</v>
      </c>
      <c r="BF447" t="inlineStr">
        <is>
          <t>10.3390/su141912471</t>
        </is>
      </c>
      <c r="BG447">
        <f>HYPERLINK("http://dx.doi.org/10.3390/su141912471","http://dx.doi.org/10.3390/su141912471")</f>
        <v/>
      </c>
      <c r="BJ447" t="n">
        <v>20</v>
      </c>
      <c r="BK447" t="inlineStr">
        <is>
          <t>Green &amp; Sustainable Science &amp; Technology; Environmental Sciences; Environmental Studies</t>
        </is>
      </c>
      <c r="BL447" t="inlineStr">
        <is>
          <t>Science Citation Index Expanded (SCI-EXPANDED); Social Science Citation Index (SSCI)</t>
        </is>
      </c>
      <c r="BM447" t="inlineStr">
        <is>
          <t>Science &amp; Technology - Other Topics; Environmental Sciences &amp; Ecology</t>
        </is>
      </c>
      <c r="BN447" t="inlineStr">
        <is>
          <t>5H0YP</t>
        </is>
      </c>
      <c r="BP447" t="inlineStr">
        <is>
          <t>gold</t>
        </is>
      </c>
      <c r="BS447" t="inlineStr">
        <is>
          <t>2023-10-26</t>
        </is>
      </c>
      <c r="BT447" t="inlineStr">
        <is>
          <t>WOS:000867413400001</t>
        </is>
      </c>
      <c r="BU447">
        <f>HYPERLINK("https%3A%2F%2Fwww.webofscience.com%2Fwos%2Fwoscc%2Ffull-record%2FWOS:000867413400001","View Full Record in Web of Science")</f>
        <v/>
      </c>
    </row>
    <row r="448">
      <c r="A448" t="inlineStr">
        <is>
          <t>J</t>
        </is>
      </c>
      <c r="B448" t="inlineStr">
        <is>
          <t>Hsieh, CM; Ni, MC; Tan, H</t>
        </is>
      </c>
      <c r="F448" t="inlineStr">
        <is>
          <t>Hsieh, C. M.; Ni, M. C.; Tan, H.</t>
        </is>
      </c>
      <c r="J448" t="inlineStr">
        <is>
          <t>JOURNAL OF ENVIRONMENTAL PROTECTION AND ECOLOGY</t>
        </is>
      </c>
      <c r="M448" t="inlineStr">
        <is>
          <t>English</t>
        </is>
      </c>
      <c r="N448" t="inlineStr">
        <is>
          <t>Article</t>
        </is>
      </c>
      <c r="T448" t="inlineStr">
        <is>
          <t>OPTIMUM WIND ENVIRONMENT DESIGN FOR PEDESTRIANS IN TRANSIT-ORIENTED DEVELOPMENT PLANNING</t>
        </is>
      </c>
      <c r="U448" t="inlineStr">
        <is>
          <t>computational fluid dynamics; transit-oriented development; wind environment; urban design</t>
        </is>
      </c>
      <c r="V448" t="inlineStr">
        <is>
          <t>THERMAL COMFORT; GUIDELINES; SIMULATION; DENSITY; LEVEL</t>
        </is>
      </c>
      <c r="W448" t="inlineStr">
        <is>
          <t>This paper discusses the influence of buildings on the surrounding wind environment in a high-density area with a transit-oriented development (TOD) planning concept. TOD requires the support of public transportation, and therefore it emphasizes better pedestrian walking environments. Based on the preliminary scheme, a subway station in Shanghai is selected as the research area, and the wind environment of the main pedestrian walking space is analysed. Wind environment simulations are carried out for various architectural designs. The best scheme is determined through a comparison analysis of the wind environment for pedestrians. The research results show that by proper consideration of the prevailing wind direction, a good wind environment can be created by a proper building design using TOD planning where there is high density development. The findings of this paper have significance with regard to urban architectural designs near subway stations.</t>
        </is>
      </c>
      <c r="X448" t="inlineStr">
        <is>
          <t>[Hsieh, C. M.; Tan, H.] Tongji Univ, Res Ctr Green Bldg &amp; New Energy, Dept Urban Planning, Shanghai 200092, Peoples R China; [Ni, M. C.] City Univ Hong Kong, Dept Architecture &amp; Civil Engn, Kowloon, Hong Kong, Peoples R China</t>
        </is>
      </c>
      <c r="Y448" t="inlineStr">
        <is>
          <t>Tongji University; City University of Hong Kong</t>
        </is>
      </c>
      <c r="Z448" t="inlineStr">
        <is>
          <t>Hsieh, CM (corresponding author), Tongji Univ, Res Ctr Green Bldg &amp; New Energy, Dept Urban Planning, 1239 Siping Rd, Shanghai 200092, Peoples R China.</t>
        </is>
      </c>
      <c r="AA448" t="inlineStr">
        <is>
          <t>chunming@tongji.edu.cn</t>
        </is>
      </c>
      <c r="AC448" t="inlineStr">
        <is>
          <t>Hsieh, Chun-Ming/0000-0002-9289-2872</t>
        </is>
      </c>
      <c r="AD448" t="inlineStr">
        <is>
          <t>Fundamental Research Funds for the Central Universities; Key Laboratory of Eco Planning and Green Building, Ministry of Education (Tsinghua University), China</t>
        </is>
      </c>
      <c r="AE448" t="inlineStr">
        <is>
          <t>Fundamental Research Funds for the Central Universities(Fundamental Research Funds for the Central Universities); Key Laboratory of Eco Planning and Green Building, Ministry of Education (Tsinghua University), China</t>
        </is>
      </c>
      <c r="AF448" t="inlineStr">
        <is>
          <t>This work was supported by the Fundamental Research Funds for the Central Universities and special fund of Key Laboratory of Eco Planning and Green Building, Ministry of Education (Tsinghua University), China.</t>
        </is>
      </c>
      <c r="AH448" t="n">
        <v>22</v>
      </c>
      <c r="AI448" t="n">
        <v>8</v>
      </c>
      <c r="AJ448" t="n">
        <v>8</v>
      </c>
      <c r="AK448" t="n">
        <v>1</v>
      </c>
      <c r="AL448" t="n">
        <v>32</v>
      </c>
      <c r="AM448" t="inlineStr">
        <is>
          <t>SCIBULCOM LTD</t>
        </is>
      </c>
      <c r="AN448" t="inlineStr">
        <is>
          <t>SOFIA</t>
        </is>
      </c>
      <c r="AO448" t="inlineStr">
        <is>
          <t>PO BOX 249, 1113 SOFIA, BULGARIA</t>
        </is>
      </c>
      <c r="AP448" t="inlineStr">
        <is>
          <t>1311-5065</t>
        </is>
      </c>
      <c r="AS448" t="inlineStr">
        <is>
          <t>J ENVIRON PROT ECOL</t>
        </is>
      </c>
      <c r="AT448" t="inlineStr">
        <is>
          <t>J. Environ. Prot. Ecol.</t>
        </is>
      </c>
      <c r="AV448" t="n">
        <v>2014</v>
      </c>
      <c r="AW448" t="n">
        <v>15</v>
      </c>
      <c r="AX448" t="inlineStr">
        <is>
          <t>3A</t>
        </is>
      </c>
      <c r="BA448" t="inlineStr">
        <is>
          <t>SI</t>
        </is>
      </c>
      <c r="BC448" t="n">
        <v>1385</v>
      </c>
      <c r="BD448" t="n">
        <v>1392</v>
      </c>
      <c r="BJ448" t="n">
        <v>8</v>
      </c>
      <c r="BK448" t="inlineStr">
        <is>
          <t>Environmental Sciences</t>
        </is>
      </c>
      <c r="BL448" t="inlineStr">
        <is>
          <t>Science Citation Index Expanded (SCI-EXPANDED)</t>
        </is>
      </c>
      <c r="BM448" t="inlineStr">
        <is>
          <t>Environmental Sciences &amp; Ecology</t>
        </is>
      </c>
      <c r="BN448" t="inlineStr">
        <is>
          <t>AS0IQ</t>
        </is>
      </c>
      <c r="BS448" t="inlineStr">
        <is>
          <t>2023-10-26</t>
        </is>
      </c>
      <c r="BT448" t="inlineStr">
        <is>
          <t>WOS:000343961500018</t>
        </is>
      </c>
      <c r="BU448">
        <f>HYPERLINK("https%3A%2F%2Fwww.webofscience.com%2Fwos%2Fwoscc%2Ffull-record%2FWOS:000343961500018","View Full Record in Web of Science")</f>
        <v/>
      </c>
    </row>
    <row r="449">
      <c r="A449" t="inlineStr">
        <is>
          <t>J</t>
        </is>
      </c>
      <c r="B449" t="inlineStr">
        <is>
          <t>Tuszynska-Bogucka, W; Kwiatkowski, B; Chmielewska, M; Dzienkowski, M; Kocki, W; Pelka, J; Przesmycka, N; Bogucki, J; Galkowski, D</t>
        </is>
      </c>
      <c r="F449" t="inlineStr">
        <is>
          <t>Tuszynska-Bogucka, Wioletta; Kwiatkowski, Bartlomiej; Chmielewska, Magdalena; Dzienkowski, Mariusz; Kocki, Wojciech; Pelka, Jaroslaw; Przesmycka, Natalia; Bogucki, Jacek; Galkowski, Dariusz</t>
        </is>
      </c>
      <c r="J449" t="inlineStr">
        <is>
          <t>ANNALS OF AGRICULTURAL AND ENVIRONMENTAL MEDICINE</t>
        </is>
      </c>
      <c r="M449" t="inlineStr">
        <is>
          <t>English</t>
        </is>
      </c>
      <c r="N449" t="inlineStr">
        <is>
          <t>Article</t>
        </is>
      </c>
      <c r="T449" t="inlineStr">
        <is>
          <t>The effects of interior design on wellness - Eye tracking analysis in determining emotional experience of architectural space. A survey on a group of volunteers from the Lublin Region, Eastern Poland</t>
        </is>
      </c>
      <c r="U449" t="inlineStr">
        <is>
          <t>supportive design; healing environment; emotional significance of space; optimisation of treatment conditions; eye tracking in medical research</t>
        </is>
      </c>
      <c r="V449" t="inlineStr">
        <is>
          <t>PUPIL DIAMETER; LIGHT REFLEX; MODULATION; HEALTH; SIZE; MOVEMENTS; RESPONSES; DILATION; PICTURES; CHILDREN</t>
        </is>
      </c>
      <c r="W449" t="inlineStr">
        <is>
          <t>Introduction and objective. Using the concepts of Ulrich's theory of supportive design and Malkin's healing environment, an eye tracking experiment was designed in order to measure respondents' reactions while looking at visualisations of various interiors, with the aim of verifying whether certain parameters of an interior are related to emotional reactions in terms of positive stimulation, and the sense of security and comfort. Materials and method. 12 boards were designed, incorporating standard features of an interior, i.e. (1) proportions, (2) lighting, (3) colour scheme of a room, as well as (4) the colours and spatial arrangement of furnishings. Respondents' reactions were recorded with an eye tracker Tobii TX300 and supplemented by self-descriptions of emotional reactions. Results. The results showed that the varying spatial and colour arrangements presented in the interior visualisations provoked different emotional responses, confirmed by pupil reaction parameters, as measured by the eye tracking device. Conclusions. Architectural space can have a diverse emotional significance and impact on an individual's emotional state. This is an important conclusion from the point of view of optimising and creating the so-called supportive and healing environment. The results have implications for the interpretation of the pupil diameter as an index of emotional reactions to different architectural space visualisations. Testing the eye tracker as a method helpful in diagnosing the emotional reactions to features of the interior is justified, and can provide an effective tool for early diagnosis of the impact of architectural space on the well-being of individuals. It can also be a good form of testing the emotional significance of architectural designs before they are implemented.</t>
        </is>
      </c>
      <c r="X449" t="inlineStr">
        <is>
          <t>[Tuszynska-Bogucka, Wioletta] Univ Econ &amp; Innovat Lublin, Lublin, Poland; [Kwiatkowski, Bartlomiej; Chmielewska, Magdalena; Dzienkowski, Mariusz; Kocki, Wojciech; Przesmycka, Natalia] Lublin Univ Technol, Lublin, Poland; [Pelka, Jaroslaw] Ctr Addict Treatment, Lublin, Poland; [Bogucki, Jacek] Med Univ, Lublin, Poland; [Galkowski, Dariusz] Rutgers Robert Wood Johnson Med Sch, Deptartment Pathol &amp; Lab Med, New Brunswick, NJ USA</t>
        </is>
      </c>
      <c r="Y449" t="inlineStr">
        <is>
          <t>Lublin University of Technology; Medical University of Lublin; Rutgers State University New Brunswick; Rutgers State University Medical Center</t>
        </is>
      </c>
      <c r="Z449" t="inlineStr">
        <is>
          <t>Tuszynska-Bogucka, W (corresponding author), Univ Econ &amp; Innovat Lublin, Lublin, Poland.</t>
        </is>
      </c>
      <c r="AA449" t="inlineStr">
        <is>
          <t>wioletta.tuszynska-bogucka@wsei.lublin.pl</t>
        </is>
      </c>
      <c r="AB449" t="inlineStr">
        <is>
          <t>Kocki, Wojciech/R-4674-2017; Przesmycka, Natalia/AAI-8224-2021; Kwiatkowski, Bartłomiej M/S-5482-2018; Chmielewska, Magdalena/B-3764-2013; Kocki, Wojciech/AAJ-5476-2021; Dzieńkowski, Mariusz/A-7666-2013; Kwiatkowski, Bartłomiej/Z-6066-2019</t>
        </is>
      </c>
      <c r="AC449" t="inlineStr">
        <is>
          <t>Kocki, Wojciech/0000-0002-5954-7735; Przesmycka, Natalia/0000-0002-1755-2448; Kwiatkowski, Bartłomiej M/0000-0002-9541-6759; Chmielewska, Magdalena/0000-0001-5501-7860; Kocki, Wojciech/0000-0002-5954-7735; Dzieńkowski, Mariusz/0000-0002-1932-297X; Kwiatkowski, Bartłomiej/0000-0002-9541-6759; Bogucki, Jacek/0000-0002-8683-545X; Tuszynska-Bogucka, Wioletta/0000-0001-7101-5267; Pelka, Jaroslaw/0000-0001-6445-6726</t>
        </is>
      </c>
      <c r="AD449" t="inlineStr">
        <is>
          <t>[618/P-DUN/2019]</t>
        </is>
      </c>
      <c r="AF449" t="inlineStr">
        <is>
          <t>Generation of the DOI (Digital Object Identifier) - task financed under the agreement No. 618/P-DUN/2019 by the Minister of Science and Higher Education</t>
        </is>
      </c>
      <c r="AH449" t="n">
        <v>68</v>
      </c>
      <c r="AI449" t="n">
        <v>10</v>
      </c>
      <c r="AJ449" t="n">
        <v>10</v>
      </c>
      <c r="AK449" t="n">
        <v>18</v>
      </c>
      <c r="AL449" t="n">
        <v>70</v>
      </c>
      <c r="AM449" t="inlineStr">
        <is>
          <t>INST AGRICULTURAL MEDICINE</t>
        </is>
      </c>
      <c r="AN449" t="inlineStr">
        <is>
          <t>LUBLIN</t>
        </is>
      </c>
      <c r="AO449" t="inlineStr">
        <is>
          <t>JACZEWSKIEGO 2, PO BOX 185, 20-950 LUBLIN, POLAND</t>
        </is>
      </c>
      <c r="AP449" t="inlineStr">
        <is>
          <t>1232-1966</t>
        </is>
      </c>
      <c r="AQ449" t="inlineStr">
        <is>
          <t>1898-2263</t>
        </is>
      </c>
      <c r="AS449" t="inlineStr">
        <is>
          <t>ANN AGR ENV MED</t>
        </is>
      </c>
      <c r="AT449" t="inlineStr">
        <is>
          <t>Ann. Agr. Env. Med.</t>
        </is>
      </c>
      <c r="AV449" t="n">
        <v>2020</v>
      </c>
      <c r="AW449" t="n">
        <v>27</v>
      </c>
      <c r="AX449" t="n">
        <v>1</v>
      </c>
      <c r="BC449" t="n">
        <v>113</v>
      </c>
      <c r="BD449" t="n">
        <v>122</v>
      </c>
      <c r="BF449" t="inlineStr">
        <is>
          <t>10.26444/aaem/106233</t>
        </is>
      </c>
      <c r="BG449">
        <f>HYPERLINK("http://dx.doi.org/10.26444/aaem/106233","http://dx.doi.org/10.26444/aaem/106233")</f>
        <v/>
      </c>
      <c r="BJ449" t="n">
        <v>10</v>
      </c>
      <c r="BK449" t="inlineStr">
        <is>
          <t>Environmental Sciences; Public, Environmental &amp; Occupational Health</t>
        </is>
      </c>
      <c r="BL449" t="inlineStr">
        <is>
          <t>Science Citation Index Expanded (SCI-EXPANDED); Social Science Citation Index (SSCI)</t>
        </is>
      </c>
      <c r="BM449" t="inlineStr">
        <is>
          <t>Environmental Sciences &amp; Ecology; Public, Environmental &amp; Occupational Health</t>
        </is>
      </c>
      <c r="BN449" t="inlineStr">
        <is>
          <t>KY7XG</t>
        </is>
      </c>
      <c r="BO449" t="n">
        <v>32208589</v>
      </c>
      <c r="BP449" t="inlineStr">
        <is>
          <t>Green Submitted, gold</t>
        </is>
      </c>
      <c r="BS449" t="inlineStr">
        <is>
          <t>2023-10-26</t>
        </is>
      </c>
      <c r="BT449" t="inlineStr">
        <is>
          <t>WOS:000522785600018</t>
        </is>
      </c>
      <c r="BU449">
        <f>HYPERLINK("https%3A%2F%2Fwww.webofscience.com%2Fwos%2Fwoscc%2Ffull-record%2FWOS:000522785600018","View Full Record in Web of Science")</f>
        <v/>
      </c>
    </row>
    <row r="450">
      <c r="A450" t="inlineStr">
        <is>
          <t>J</t>
        </is>
      </c>
      <c r="B450" t="inlineStr">
        <is>
          <t>Kashani, SMH; Pazhouhanfar, M; van Oel, CJ</t>
        </is>
      </c>
      <c r="F450" t="inlineStr">
        <is>
          <t>Kashani, S. Mahdi Hashemi; Pazhouhanfar, Mahdieh; van Oel, Clarine J. J.</t>
        </is>
      </c>
      <c r="J450" t="inlineStr">
        <is>
          <t>ENVIRONMENT DEVELOPMENT AND SUSTAINABILITY</t>
        </is>
      </c>
      <c r="M450" t="inlineStr">
        <is>
          <t>English</t>
        </is>
      </c>
      <c r="N450" t="inlineStr">
        <is>
          <t>Article; Early Access</t>
        </is>
      </c>
      <c r="T450" t="inlineStr">
        <is>
          <t>Role of physical attributes of preferred building facades on perceived visual complexity: a discrete choice experiment</t>
        </is>
      </c>
      <c r="U450" t="inlineStr">
        <is>
          <t>Information-processing theory; Multinomial logit model; Building facades; Visual complexity</t>
        </is>
      </c>
      <c r="V450" t="inlineStr">
        <is>
          <t>ENVIRONMENTAL PREFERENCE; ARCHITECTURE; DESIGN; AESTHETICS; COHERENCE; AGE</t>
        </is>
      </c>
      <c r="W450" t="inlineStr">
        <is>
          <t>Complexity has been known as a crucial psychological factor influencing the evaluation of the building facades preferences. However, little is known about the role of physical attributes of preferred building facades on perceived visual complexity. The objective of this study is to assess perceived visual complexity of urban building facades in terms of physical attribute in different levels. Discrete choice experiments were used to study the perceived visual complexity of preferred building facades. A sample of 213 students from Golestan University evaluated preference and perceived visual complexity of 36 pairs of images based on ten physical attributes of building facades in different levels (material (brick, stone), the contrast of materials (absent, present), color (absent, present), ornament (high, low), curve (straight, curved), vegetation (plants, no plants), windows orientations (vertical, horizontal), fenestration (large, small), articulation (side recesses, flat) and architectural style (modern, classic, traditional). The results revealed that all physical attributes of preferred building facades were found significant on perceived visual complexity expect for three attributes: architectural style, color and window to wall size. Thus, participant preferred a high-ornament facade with curved lines, vegetation, classical style, articulation, contrast between materials, as well as vertical windows. The articulation and ornament attributes were the most significant on perceived visual complexity. The results of this study can help city planners, architects, and designers to design facades with more general preferences and reduce the visual pollution of the cities.</t>
        </is>
      </c>
      <c r="X450" t="inlineStr">
        <is>
          <t>[Kashani, S. Mahdi Hashemi; Pazhouhanfar, Mahdieh] Golestan Univ, Fac Engn, Dept Architecture, Gorgan, Iran; [van Oel, Clarine J. J.] Delft Univ Technol, Fac Architecture &amp; Built Environm, Dept Management Built Environm, POB 5043, NL-2600 GA Delft, Netherlands</t>
        </is>
      </c>
      <c r="Y450" t="inlineStr">
        <is>
          <t>Delft University of Technology</t>
        </is>
      </c>
      <c r="Z450" t="inlineStr">
        <is>
          <t>Pazhouhanfar, M (corresponding author), Golestan Univ, Fac Engn, Dept Architecture, Gorgan, Iran.</t>
        </is>
      </c>
      <c r="AA450" t="inlineStr">
        <is>
          <t>m.pazhouhanfar@gu.ac.ir</t>
        </is>
      </c>
      <c r="AB450" t="inlineStr">
        <is>
          <t>van Oel, Clarine/L-5199-2015</t>
        </is>
      </c>
      <c r="AC450" t="inlineStr">
        <is>
          <t>van Oel, Clarine/0000-0002-4959-2938</t>
        </is>
      </c>
      <c r="AH450" t="n">
        <v>56</v>
      </c>
      <c r="AI450" t="n">
        <v>2</v>
      </c>
      <c r="AJ450" t="n">
        <v>2</v>
      </c>
      <c r="AK450" t="n">
        <v>13</v>
      </c>
      <c r="AL450" t="n">
        <v>18</v>
      </c>
      <c r="AM450" t="inlineStr">
        <is>
          <t>SPRINGER</t>
        </is>
      </c>
      <c r="AN450" t="inlineStr">
        <is>
          <t>DORDRECHT</t>
        </is>
      </c>
      <c r="AO450" t="inlineStr">
        <is>
          <t>VAN GODEWIJCKSTRAAT 30, 3311 GZ DORDRECHT, NETHERLANDS</t>
        </is>
      </c>
      <c r="AP450" t="inlineStr">
        <is>
          <t>1387-585X</t>
        </is>
      </c>
      <c r="AQ450" t="inlineStr">
        <is>
          <t>1573-2975</t>
        </is>
      </c>
      <c r="AS450" t="inlineStr">
        <is>
          <t>ENVIRON DEV SUSTAIN</t>
        </is>
      </c>
      <c r="AT450" t="inlineStr">
        <is>
          <t>Environ. Dev. Sustain.</t>
        </is>
      </c>
      <c r="AU450" t="inlineStr">
        <is>
          <t>2023 FEB 12</t>
        </is>
      </c>
      <c r="AV450" t="n">
        <v>2023</v>
      </c>
      <c r="BF450" t="inlineStr">
        <is>
          <t>10.1007/s10668-023-02980-0</t>
        </is>
      </c>
      <c r="BG450">
        <f>HYPERLINK("http://dx.doi.org/10.1007/s10668-023-02980-0","http://dx.doi.org/10.1007/s10668-023-02980-0")</f>
        <v/>
      </c>
      <c r="BI450" t="inlineStr">
        <is>
          <t>FEB 2023</t>
        </is>
      </c>
      <c r="BJ450" t="n">
        <v>20</v>
      </c>
      <c r="BK450" t="inlineStr">
        <is>
          <t>Green &amp; Sustainable Science &amp; Technology; Environmental Sciences</t>
        </is>
      </c>
      <c r="BL450" t="inlineStr">
        <is>
          <t>Science Citation Index Expanded (SCI-EXPANDED)</t>
        </is>
      </c>
      <c r="BM450" t="inlineStr">
        <is>
          <t>Science &amp; Technology - Other Topics; Environmental Sciences &amp; Ecology</t>
        </is>
      </c>
      <c r="BN450" t="inlineStr">
        <is>
          <t>8U4YL</t>
        </is>
      </c>
      <c r="BS450" t="inlineStr">
        <is>
          <t>2023-10-26</t>
        </is>
      </c>
      <c r="BT450" t="inlineStr">
        <is>
          <t>WOS:000929959500001</t>
        </is>
      </c>
      <c r="BU450">
        <f>HYPERLINK("https%3A%2F%2Fwww.webofscience.com%2Fwos%2Fwoscc%2Ffull-record%2FWOS:000929959500001","View Full Record in Web of Science")</f>
        <v/>
      </c>
    </row>
    <row r="451">
      <c r="A451" t="inlineStr">
        <is>
          <t>J</t>
        </is>
      </c>
      <c r="B451" t="inlineStr">
        <is>
          <t>Aksenov, AA; Koelmel, JP; Lin, EZ; Melnik, AV; Vance, ME; Farmer, DK; Pollitt, KJG</t>
        </is>
      </c>
      <c r="F451" t="inlineStr">
        <is>
          <t>Aksenov, Alexander A.; Koelmel, Jeremy P.; Lin, Elizabeth Z.; V. Melnik, Alexey; Vance, Marina E.; Farmer, Delphine K.; Pollitt, Krystal J. Godri</t>
        </is>
      </c>
      <c r="J451" t="inlineStr">
        <is>
          <t>ENVIRONMENTAL SCIENCE &amp; TECHNOLOGY LETTERS</t>
        </is>
      </c>
      <c r="M451" t="inlineStr">
        <is>
          <t>English</t>
        </is>
      </c>
      <c r="N451" t="inlineStr">
        <is>
          <t>Article; Early Access</t>
        </is>
      </c>
      <c r="T451" t="inlineStr">
        <is>
          <t>Human Activities Shape Indoor Volatile Chemistry</t>
        </is>
      </c>
      <c r="U451" t="inlineStr">
        <is>
          <t>indoor exposure; molecular networking; nontargeted mass spectrometry; HOMEchem; passive sampling; environmental chemistry</t>
        </is>
      </c>
      <c r="V451" t="inlineStr">
        <is>
          <t>POLYCYCLIC AROMATIC-HYDROCARBONS; EMISSIONS; METHYLSILOXANES; PRODUCTS; EXPOSURE; IMPACT</t>
        </is>
      </c>
      <c r="W451" t="inlineStr">
        <is>
          <t>Perception of odors created by volatile molecules is central to human well-being. The chemistry of volatile compounds is especially important inside the built environment as humans spend increasingly more time indoors. However, a comprehensive under-standing of the composition and behavior of indoor volatile and semivolatile compounds (volatilome) is limited, in part due to the tremendous complexity and fleeting nature of these chemical distributions. This study explored the comprehensive volatilome, as opposed to individual compounds, of the indoor environment of a residence. We mapped a spatial distribution of volatiles within a house and traced corresponding temporal volatilome changes. Each indoor activity generated a trail of volatiles, and the indoor volatilome after human habitation was found to be distinctly reshaped. Using molecular networking, we explored how multiple chemical families were affected. The portion of the volatilome that has accumulated due to human occupancy appears to be more harmful to human health than emissions from the built environment itself. This is an important consideration for any other human environment with accumulated volatile chemistry, such as hospitals or office spaces.</t>
        </is>
      </c>
      <c r="X451" t="inlineStr">
        <is>
          <t>[Aksenov, Alexander A.; V. Melnik, Alexey; Farmer, Delphine K.] Univ Connecticut, Dept Chem, Storrs, CT 06269 USA; [Koelmel, Jeremy P.; Lin, Elizabeth Z.; Pollitt, Krystal J. Godri] Yale Sch Publ Hlth, Dept Environm Hlth Sci, New Haven, CT 06520 USA; [Vance, Marina E.] Univ Colorado, Paul M Rady Dept Mech Engn, Boulder, CO 80309 USA</t>
        </is>
      </c>
      <c r="Y451" t="inlineStr">
        <is>
          <t>University of Connecticut; Yale University; University of Colorado System; University of Colorado Boulder</t>
        </is>
      </c>
      <c r="Z451" t="inlineStr">
        <is>
          <t>Aksenov, AA (corresponding author), Univ Connecticut, Dept Chem, Storrs, CT 06269 USA.;Pollitt, KJG (corresponding author), Yale Sch Publ Hlth, Dept Environm Hlth Sci, New Haven, CT 06520 USA.</t>
        </is>
      </c>
      <c r="AA451" t="inlineStr">
        <is>
          <t>aaksenov@uconn.edu; krystal.pollitt@yale.edu</t>
        </is>
      </c>
      <c r="AB451" t="inlineStr">
        <is>
          <t>; Vance, Marina/B-8711-2014</t>
        </is>
      </c>
      <c r="AC451" t="inlineStr">
        <is>
          <t>Aksenov, Alexander/0000-0002-9445-2248; Vance, Marina/0000-0003-0940-0353; Godri Pollitt, Krystal/0000-0001-7332-2228</t>
        </is>
      </c>
      <c r="AD451" t="inlineStr">
        <is>
          <t>Chemistry of Indoor Environments Program [G-2017-9944]; Alfred P. Sloan Foundation Micro-biology of the Built Environment Program</t>
        </is>
      </c>
      <c r="AE451" t="inlineStr">
        <is>
          <t>Chemistry of Indoor Environments Program; Alfred P. Sloan Foundation Micro-biology of the Built Environment Program(Alfred P. Sloan Foundation)</t>
        </is>
      </c>
      <c r="AF451" t="inlineStr">
        <is>
          <t>The authors thank the Alfred P. Sloan Foundation Micro-biology of the Built Environment Program and Chemistry of Indoor Environments Program (G-2017-9944) for support of this study and also for its support of previous development of the 3D molecular cartography methodology used in this work. The authors are grateful to Dr. Atila Novoselac and the HOMEChem science team for their work on the test house. The authors are grateful to Rodolfo Salido for creating the 3D model of the house for volatilome mapping. The authors thank Sameer Patel and Sumit Sankhyan for deploying PDMS patches and sorbent bars throughout the HOMEChem campaign. The authors thank Pieter Dorrestein for his role in formulating and conducting the study.</t>
        </is>
      </c>
      <c r="AH451" t="n">
        <v>65</v>
      </c>
      <c r="AI451" t="n">
        <v>0</v>
      </c>
      <c r="AJ451" t="n">
        <v>0</v>
      </c>
      <c r="AK451" t="n">
        <v>6</v>
      </c>
      <c r="AL451" t="n">
        <v>6</v>
      </c>
      <c r="AM451" t="inlineStr">
        <is>
          <t>AMER CHEMICAL SOC</t>
        </is>
      </c>
      <c r="AN451" t="inlineStr">
        <is>
          <t>WASHINGTON</t>
        </is>
      </c>
      <c r="AO451" t="inlineStr">
        <is>
          <t>1155 16TH ST, NW, WASHINGTON, DC 20036 USA</t>
        </is>
      </c>
      <c r="AP451" t="inlineStr">
        <is>
          <t>2328-8930</t>
        </is>
      </c>
      <c r="AS451" t="inlineStr">
        <is>
          <t>ENVIRON SCI TECH LET</t>
        </is>
      </c>
      <c r="AT451" t="inlineStr">
        <is>
          <t>Environ. Sci. Technol. Lett.</t>
        </is>
      </c>
      <c r="AU451" t="inlineStr">
        <is>
          <t>2023 MAR 10</t>
        </is>
      </c>
      <c r="AV451" t="n">
        <v>2023</v>
      </c>
      <c r="BF451" t="inlineStr">
        <is>
          <t>10.1021/acs.estlett.2c00952</t>
        </is>
      </c>
      <c r="BG451">
        <f>HYPERLINK("http://dx.doi.org/10.1021/acs.estlett.2c00952","http://dx.doi.org/10.1021/acs.estlett.2c00952")</f>
        <v/>
      </c>
      <c r="BI451" t="inlineStr">
        <is>
          <t>MAR 2023</t>
        </is>
      </c>
      <c r="BJ451" t="n">
        <v>11</v>
      </c>
      <c r="BK451" t="inlineStr">
        <is>
          <t>Engineering, Environmental; Environmental Sciences</t>
        </is>
      </c>
      <c r="BL451" t="inlineStr">
        <is>
          <t>Science Citation Index Expanded (SCI-EXPANDED)</t>
        </is>
      </c>
      <c r="BM451" t="inlineStr">
        <is>
          <t>Engineering; Environmental Sciences &amp; Ecology</t>
        </is>
      </c>
      <c r="BN451" t="inlineStr">
        <is>
          <t>G4JP9</t>
        </is>
      </c>
      <c r="BS451" t="inlineStr">
        <is>
          <t>2023-10-26</t>
        </is>
      </c>
      <c r="BT451" t="inlineStr">
        <is>
          <t>WOS:000988841100001</t>
        </is>
      </c>
      <c r="BU451">
        <f>HYPERLINK("https%3A%2F%2Fwww.webofscience.com%2Fwos%2Fwoscc%2Ffull-record%2FWOS:000988841100001","View Full Record in Web of Science")</f>
        <v/>
      </c>
    </row>
    <row r="452">
      <c r="A452" t="inlineStr">
        <is>
          <t>J</t>
        </is>
      </c>
      <c r="B452" t="inlineStr">
        <is>
          <t>Vornanen-Winqvist, C; Salonen, H; Järvi, K; Andersson, MA; Mikkola, R; Marik, T; Kredics, L; Kurnitski, J</t>
        </is>
      </c>
      <c r="F452" t="inlineStr">
        <is>
          <t>Vornanen-Winqvist, Camilla; Salonen, Heidi; Jarvi, Kati; Andersson, Maria A.; Mikkola, Raimo; Marik, Tanis; Kredics, Laszlo; Kurnitski, Jarek</t>
        </is>
      </c>
      <c r="J452" t="inlineStr">
        <is>
          <t>INTERNATIONAL JOURNAL OF ENVIRONMENTAL RESEARCH AND PUBLIC HEALTH</t>
        </is>
      </c>
      <c r="M452" t="inlineStr">
        <is>
          <t>English</t>
        </is>
      </c>
      <c r="N452" t="inlineStr">
        <is>
          <t>Article</t>
        </is>
      </c>
      <c r="T452" t="inlineStr">
        <is>
          <t>Effects of Ventilation Improvement on Measured and Perceived Indoor Air Quality in a School Building with a Hybrid Ventilation System</t>
        </is>
      </c>
      <c r="U452" t="inlineStr">
        <is>
          <t>ventilation; hybrid ventilation; indoor air quality; mycobiota; indoor air questionnaire; school building; Trichoderma citrinoviride</t>
        </is>
      </c>
      <c r="V452" t="inlineStr">
        <is>
          <t>NEW-YORK-STATE; TRICHODERMA-LONGIBRACHIATUM; SCIENTIFIC LITERATURE; MAMMALIAN-CELLS; ENVIRONMENTS; HEALTH; PERFORMANCE; SYMPTOMS; WORK; PEPTAIBOLS</t>
        </is>
      </c>
      <c r="W452" t="inlineStr">
        <is>
          <t>Ventilation system design and operation may significantly affect indoor air quality (IAQ). The aims of this case study were to investigate the functionality of a supply air fan-assisted hybrid ventilation system in a newly built school building with reported IAQ problems and to determine the effects of ventilation improvement on measured and perceived IAQ. The ventilation system function was researched simultaneously with IAQ measurements, with an analysis of total volatile organic compounds (TVOC), single volatile organic compounds (VOCs), and indoor mycobiota, and with questionnaires about perceived IAQ. At the baseline, an operational error of the ventilation system was found, which prevented the air from coming into the classrooms, except for short periods of high carbon dioxide (CO2) concentrations. After the ventilation operation was improved, a significant change in indoor mycobiota was found; the dominant, opportunistic human pathogenic species Trichoderma citrinoviride found in settled dust in the classroom before the improvement was no longer detected. In addition, the concentrations of CO2, TVOC, and some single VOCs, especially toluene and decamethylcyclopentasiloxane, decreased. The analysis of the questionnaire results indicated that the perceptions of unpleasant odors and stuffy air decreased, although a statistically significant improvement in perceived IAQ was not observed. The results provided evidence that the properly controlled hybrid ventilation system operating in mechanical supply mode provided adequate ventilation and was effective in decreasing the concentrations of some indoor-generated pollutants. With simple ventilation adjustments, microbiological exposure from building structures might be prevented.</t>
        </is>
      </c>
      <c r="X452" t="inlineStr">
        <is>
          <t>[Vornanen-Winqvist, Camilla; Salonen, Heidi; Jarvi, Kati; Andersson, Maria A.; Mikkola, Raimo; Kurnitski, Jarek] Aalto Univ, Dept Civil Engn, Rakentajanaukio 4, Espoo 02150, Finland; [Marik, Tanis; Kredics, Laszlo] Univ Szeged, Dept Microbiol, Kozep Fasor 52, H-6726 Szeged, Hungary; [Kurnitski, Jarek] Tallinn Univ Technol, Dept Civil Engn &amp; Architecture, Ehitajate Tee 5, EE-19086 Tallinn, Estonia</t>
        </is>
      </c>
      <c r="Y452" t="inlineStr">
        <is>
          <t>Aalto University; Szeged University; Tallinn University of Technology</t>
        </is>
      </c>
      <c r="Z452" t="inlineStr">
        <is>
          <t>Vornanen-Winqvist, C (corresponding author), Aalto Univ, Dept Civil Engn, Rakentajanaukio 4, Espoo 02150, Finland.</t>
        </is>
      </c>
      <c r="AA452" t="inlineStr">
        <is>
          <t>camilla.vornanen@aalto.fi; heidi.salonen@aalto.fi; kati.jarvi@aalto.fi; maria.a.andersson@helsinki.fi; raimo.mikkola@aalto.fi; mariktamas88@gmail.com; kredics@bio.u-szeged.hu; jarek.kurnitski@aalto.fi</t>
        </is>
      </c>
      <c r="AB452" t="inlineStr">
        <is>
          <t>Kurnitski, Jarek/AAB-3503-2020; Salonen, Heidi/G-4685-2016; Kredics, Laszlo/L-8204-2018; Mikkola, Raimo/E-3546-2013</t>
        </is>
      </c>
      <c r="AC452" t="inlineStr">
        <is>
          <t>Kurnitski, Jarek/0000-0003-3254-0637; Kredics, Laszlo/0000-0002-8837-3973; Mikkola, Raimo/0000-0002-6193-5286; Salonen, Heidi/0000-0002-3807-4895</t>
        </is>
      </c>
      <c r="AD452" t="inlineStr">
        <is>
          <t>Academy of Finland [TOXICPM 289161]; Finnish Work Environment Fund [EURA 115376]; Business Finland [4098/31/2015]; Szechenyi 2020 Programme, Hungary [GINOP-2.3.2-15-2016-00012]; Hungarian Academy of Sciences</t>
        </is>
      </c>
      <c r="AE452" t="inlineStr">
        <is>
          <t>Academy of Finland(Research Council of Finland); Finnish Work Environment Fund; Business Finland; Szechenyi 2020 Programme, Hungary; Hungarian Academy of Sciences(Hungarian Academy of Sciences)</t>
        </is>
      </c>
      <c r="AF452" t="inlineStr">
        <is>
          <t>The Academy of Finland (grant for TOXICPM 289161), The Finnish Work Environment Fund (grant for EURA 115376), Business Finland (grant for Indoor air police-detection and prevention of indoor air quality problems 4098/31/2015), Szechenyi 2020 Programme, Hungary (grant GINOP-2.3.2-15-2016-00012) and Hungarian Academy of Sciences (Janos Bolyai Research Scholarship).</t>
        </is>
      </c>
      <c r="AH452" t="n">
        <v>53</v>
      </c>
      <c r="AI452" t="n">
        <v>18</v>
      </c>
      <c r="AJ452" t="n">
        <v>18</v>
      </c>
      <c r="AK452" t="n">
        <v>2</v>
      </c>
      <c r="AL452" t="n">
        <v>25</v>
      </c>
      <c r="AM452" t="inlineStr">
        <is>
          <t>MDPI</t>
        </is>
      </c>
      <c r="AN452" t="inlineStr">
        <is>
          <t>BASEL</t>
        </is>
      </c>
      <c r="AO452" t="inlineStr">
        <is>
          <t>ST ALBAN-ANLAGE 66, CH-4052 BASEL, SWITZERLAND</t>
        </is>
      </c>
      <c r="AQ452" t="inlineStr">
        <is>
          <t>1660-4601</t>
        </is>
      </c>
      <c r="AS452" t="inlineStr">
        <is>
          <t>INT J ENV RES PUB HE</t>
        </is>
      </c>
      <c r="AT452" t="inlineStr">
        <is>
          <t>Int. J. Environ. Res. Public Health</t>
        </is>
      </c>
      <c r="AU452" t="inlineStr">
        <is>
          <t>JUL</t>
        </is>
      </c>
      <c r="AV452" t="n">
        <v>2018</v>
      </c>
      <c r="AW452" t="n">
        <v>15</v>
      </c>
      <c r="AX452" t="n">
        <v>7</v>
      </c>
      <c r="BE452" t="n">
        <v>1414</v>
      </c>
      <c r="BF452" t="inlineStr">
        <is>
          <t>10.3390/ijerph15071414</t>
        </is>
      </c>
      <c r="BG452">
        <f>HYPERLINK("http://dx.doi.org/10.3390/ijerph15071414","http://dx.doi.org/10.3390/ijerph15071414")</f>
        <v/>
      </c>
      <c r="BJ452" t="n">
        <v>18</v>
      </c>
      <c r="BK452" t="inlineStr">
        <is>
          <t>Environmental Sciences; Public, Environmental &amp; Occupational Health</t>
        </is>
      </c>
      <c r="BL452" t="inlineStr">
        <is>
          <t>Science Citation Index Expanded (SCI-EXPANDED); Social Science Citation Index (SSCI)</t>
        </is>
      </c>
      <c r="BM452" t="inlineStr">
        <is>
          <t>Environmental Sciences &amp; Ecology; Public, Environmental &amp; Occupational Health</t>
        </is>
      </c>
      <c r="BN452" t="inlineStr">
        <is>
          <t>GU7XC</t>
        </is>
      </c>
      <c r="BO452" t="n">
        <v>29976864</v>
      </c>
      <c r="BP452" t="inlineStr">
        <is>
          <t>Green Published, Green Submitted, Green Accepted, gold</t>
        </is>
      </c>
      <c r="BS452" t="inlineStr">
        <is>
          <t>2023-10-26</t>
        </is>
      </c>
      <c r="BT452" t="inlineStr">
        <is>
          <t>WOS:000445543500121</t>
        </is>
      </c>
      <c r="BU452">
        <f>HYPERLINK("https%3A%2F%2Fwww.webofscience.com%2Fwos%2Fwoscc%2Ffull-record%2FWOS:000445543500121","View Full Record in Web of Science")</f>
        <v/>
      </c>
    </row>
    <row r="453">
      <c r="A453" t="inlineStr">
        <is>
          <t>J</t>
        </is>
      </c>
      <c r="B453" t="inlineStr">
        <is>
          <t>Aguilera, JJ; Andersen, RK; Toftum, J</t>
        </is>
      </c>
      <c r="F453" t="inlineStr">
        <is>
          <t>Aguilera, Jose Joaquin; Andersen, Rune Korsholm; Toftum, Jorn</t>
        </is>
      </c>
      <c r="J453" t="inlineStr">
        <is>
          <t>INTERNATIONAL JOURNAL OF ENVIRONMENTAL RESEARCH AND PUBLIC HEALTH</t>
        </is>
      </c>
      <c r="M453" t="inlineStr">
        <is>
          <t>English</t>
        </is>
      </c>
      <c r="N453" t="inlineStr">
        <is>
          <t>Article</t>
        </is>
      </c>
      <c r="T453" t="inlineStr">
        <is>
          <t>Prediction of Indoor Air Temperature Using Weather Data and Simple Building Descriptors</t>
        </is>
      </c>
      <c r="U453" t="inlineStr">
        <is>
          <t>indoor temperature; machine learning; user feedback; thermal comfort</t>
        </is>
      </c>
      <c r="V453" t="inlineStr">
        <is>
          <t>OUTDOOR TEMPERATURE; DETERMINANTS; PERFORMANCE; HOUSEHOLDS; HUMIDITY; BEHAVIOR</t>
        </is>
      </c>
      <c r="W453" t="inlineStr">
        <is>
          <t>Non-optimal air temperatures can have serious consequences for human health and productivity. As the climate changes, heatwaves and cold streaks have become more frequent and intense. The ClimApp project aims to develop a smartphone App that provides individualised advice to cope with thermal stress outdoors and indoors. This paper presents a method to predict indoor air temperature to evaluate thermal indoor environments. Two types of input data were used to set up a predictive model: weather data obtained from online weather services and general building attributes to be provided by App users. The method provides discrete predictions of temperature through a decision tree classification algorithm. The data used to train and test the algorithm was obtained from field measurements in seven Danish households and from building simulations considering three different climate regions, ranging from temperate to hot and humid. The results show that the method had an accuracy of 92% (F1-score) when predicting temperatures under previously known conditions (e.g., same household, occupants and climate). However, the performance decreased to 30% under different climate conditions. The approach had the highest performance when predicting the most commonly observed indoor temperatures. The findings suggest that it is possible to develop a straightforward and fairly accurate method for indoor temperature estimation grounded on weather data and simple building attributes.</t>
        </is>
      </c>
      <c r="X453" t="inlineStr">
        <is>
          <t>[Aguilera, Jose Joaquin; Andersen, Rune Korsholm; Toftum, Jorn] Tech Univ Denmark, Int Ctr Indoor Environm &amp; Energy, DK-2800 Lyngby, Denmark</t>
        </is>
      </c>
      <c r="Y453" t="inlineStr">
        <is>
          <t>Technical University of Denmark</t>
        </is>
      </c>
      <c r="Z453" t="inlineStr">
        <is>
          <t>Aguilera, JJ (corresponding author), Tech Univ Denmark, Int Ctr Indoor Environm &amp; Energy, DK-2800 Lyngby, Denmark.</t>
        </is>
      </c>
      <c r="AA453" t="inlineStr">
        <is>
          <t>jojap@byg.dtu.dk</t>
        </is>
      </c>
      <c r="AB453" t="inlineStr">
        <is>
          <t>Aguilera, José Joaquín/AAN-9715-2021; Andersen, Rune Korsholm/C-1925-2009; Toftum, Jorn/B-4670-2017</t>
        </is>
      </c>
      <c r="AC453" t="inlineStr">
        <is>
          <t>Aguilera, José Joaquín/0000-0001-9049-5817; Andersen, Rune Korsholm/0000-0003-0080-1580; Toftum, Jorn/0000-0001-7697-7617</t>
        </is>
      </c>
      <c r="AD453" t="inlineStr">
        <is>
          <t>ClimApp project part of ERA4CS an ERA-NET; JPI Climate; FORMAS (SE); IFD (DK); NWO (NL); European Union [690462]</t>
        </is>
      </c>
      <c r="AE453" t="inlineStr">
        <is>
          <t>ClimApp project part of ERA4CS an ERA-NET; JPI Climate; FORMAS (SE)(Swedish Research Council Formas); IFD (DK); NWO (NL); European Union(European Union (EU))</t>
        </is>
      </c>
      <c r="AF453" t="inlineStr">
        <is>
          <t>The study was supported financially by the ClimApp project, which is part of ERA4CS, an ERA-NET initiated by JPI Climate, and funded by FORMAS (SE), IFD (DK), NWO (NL) with co-funding by the European Union (Grant 690462).</t>
        </is>
      </c>
      <c r="AH453" t="n">
        <v>49</v>
      </c>
      <c r="AI453" t="n">
        <v>15</v>
      </c>
      <c r="AJ453" t="n">
        <v>15</v>
      </c>
      <c r="AK453" t="n">
        <v>0</v>
      </c>
      <c r="AL453" t="n">
        <v>10</v>
      </c>
      <c r="AM453" t="inlineStr">
        <is>
          <t>MDPI</t>
        </is>
      </c>
      <c r="AN453" t="inlineStr">
        <is>
          <t>BASEL</t>
        </is>
      </c>
      <c r="AO453" t="inlineStr">
        <is>
          <t>ST ALBAN-ANLAGE 66, CH-4052 BASEL, SWITZERLAND</t>
        </is>
      </c>
      <c r="AP453" t="inlineStr">
        <is>
          <t>1661-7827</t>
        </is>
      </c>
      <c r="AQ453" t="inlineStr">
        <is>
          <t>1660-4601</t>
        </is>
      </c>
      <c r="AS453" t="inlineStr">
        <is>
          <t>INT J ENV RES PUB HE</t>
        </is>
      </c>
      <c r="AT453" t="inlineStr">
        <is>
          <t>Int. J. Environ. Res. Public Health</t>
        </is>
      </c>
      <c r="AU453" t="inlineStr">
        <is>
          <t>NOV</t>
        </is>
      </c>
      <c r="AV453" t="n">
        <v>2019</v>
      </c>
      <c r="AW453" t="n">
        <v>16</v>
      </c>
      <c r="AX453" t="n">
        <v>22</v>
      </c>
      <c r="BE453" t="n">
        <v>4349</v>
      </c>
      <c r="BF453" t="inlineStr">
        <is>
          <t>10.3390/ijerph16224349</t>
        </is>
      </c>
      <c r="BG453">
        <f>HYPERLINK("http://dx.doi.org/10.3390/ijerph16224349","http://dx.doi.org/10.3390/ijerph16224349")</f>
        <v/>
      </c>
      <c r="BJ453" t="n">
        <v>20</v>
      </c>
      <c r="BK453" t="inlineStr">
        <is>
          <t>Environmental Sciences; Public, Environmental &amp; Occupational Health</t>
        </is>
      </c>
      <c r="BL453" t="inlineStr">
        <is>
          <t>Science Citation Index Expanded (SCI-EXPANDED); Social Science Citation Index (SSCI)</t>
        </is>
      </c>
      <c r="BM453" t="inlineStr">
        <is>
          <t>Environmental Sciences &amp; Ecology; Public, Environmental &amp; Occupational Health</t>
        </is>
      </c>
      <c r="BN453" t="inlineStr">
        <is>
          <t>JV0KZ</t>
        </is>
      </c>
      <c r="BO453" t="n">
        <v>31703430</v>
      </c>
      <c r="BP453" t="inlineStr">
        <is>
          <t>Green Published, gold</t>
        </is>
      </c>
      <c r="BS453" t="inlineStr">
        <is>
          <t>2023-10-26</t>
        </is>
      </c>
      <c r="BT453" t="inlineStr">
        <is>
          <t>WOS:000502057400046</t>
        </is>
      </c>
      <c r="BU453">
        <f>HYPERLINK("https%3A%2F%2Fwww.webofscience.com%2Fwos%2Fwoscc%2Ffull-record%2FWOS:000502057400046","View Full Record in Web of Science")</f>
        <v/>
      </c>
    </row>
    <row r="454">
      <c r="A454" t="inlineStr">
        <is>
          <t>J</t>
        </is>
      </c>
      <c r="B454" t="inlineStr">
        <is>
          <t>Parra-Martínez, J; Gutiérrez-Mozo, ME; Gilsanz-Díaz, A</t>
        </is>
      </c>
      <c r="F454" t="inlineStr">
        <is>
          <t>Parra-Martinez, Jose; Gutierrez-Mozo, Maria-Elia; Gilsanz-Diaz, Ana</t>
        </is>
      </c>
      <c r="J454" t="inlineStr">
        <is>
          <t>SUSTAINABILITY</t>
        </is>
      </c>
      <c r="M454" t="inlineStr">
        <is>
          <t>English</t>
        </is>
      </c>
      <c r="N454" t="inlineStr">
        <is>
          <t>Article</t>
        </is>
      </c>
      <c r="T454" t="inlineStr">
        <is>
          <t>Inclusive Higher Education and the Built Environment. A Research and Teaching Agenda for Gender Mainstreaming in Architecture Studies</t>
        </is>
      </c>
      <c r="U454" t="inlineStr">
        <is>
          <t>gender mainstreaming; co-education; architectural research; equity; diversity; common world; inclusion; built environment; sustainable practices; ecofeminism</t>
        </is>
      </c>
      <c r="V454" t="inlineStr">
        <is>
          <t>UNIVERSITY</t>
        </is>
      </c>
      <c r="W454" t="inlineStr">
        <is>
          <t>As one of the Sustainable Development Goals of the United Nations' 2030 Agenda, gender equality is a necessary foundation for a peaceful and sustainable world. The integration of the frameworks of analysis and action provided by gender perspective into the design, development and assessment of any program related to university education, research and management is essential to the fulfillment of both quality higher education and an effective transfer of knowledge and values to society. Starting from a standpoint of commitment to this progressive outlook, this essay focuses on the specific case of the University of Alicante, Spain, and on its Architecture studies. It seeks to underline the achievements of this institution in the fostering of a critical spirit and the empathy of its students by way of the implementation of gender perspective as a tool for the conception of complex, diverse and integrating projects, aligned to the objective of mutual care between people and the environment. This is crucial for the co-education of future generations of architects, who will play a central role in the definition of new practices and policies related to space and materials, which favor a more sustainable, inclusive and caring scenario for both humans and non-humans.</t>
        </is>
      </c>
      <c r="X454" t="inlineStr">
        <is>
          <t>[Parra-Martinez, Jose] Univ Alicante, Dept Graph Express Architectural Theory &amp; Design, Alicante 03690, Spain; Univ Alicante, Univ Inst Gender Studies Res, Alicante 03690, Spain</t>
        </is>
      </c>
      <c r="Y454" t="inlineStr">
        <is>
          <t>Universitat d'Alacant; Universitat d'Alacant</t>
        </is>
      </c>
      <c r="Z454" t="inlineStr">
        <is>
          <t>Parra-Martínez, J (corresponding author), Univ Alicante, Dept Graph Express Architectural Theory &amp; Design, Alicante 03690, Spain.</t>
        </is>
      </c>
      <c r="AA454" t="inlineStr">
        <is>
          <t>jose.parra@ua.es; eliagmozo@gcloud.ua.es; ana.gilsanz@ua.es</t>
        </is>
      </c>
      <c r="AB454" t="inlineStr">
        <is>
          <t>Parra-Martinez, Jose/I-3828-2016</t>
        </is>
      </c>
      <c r="AC454" t="inlineStr">
        <is>
          <t>Parra-Martinez, Jose/0000-0003-0142-0608; Gilsanz-Diaz, Ana/0000-0002-5043-665X</t>
        </is>
      </c>
      <c r="AD454" t="inlineStr">
        <is>
          <t>Ministry of Science, Innovation and Universities, Spanish Government [PGC2018-095905-A-I00]; Catedra de Arquitectura Sostenible, University of Alicante; Conselleria d'Habitatge i Arquitectura Bioclimatica de la Generalitat Valenciana (Valencia Regional Government, Spain)</t>
        </is>
      </c>
      <c r="AE454" t="inlineStr">
        <is>
          <t>Ministry of Science, Innovation and Universities, Spanish Government; Catedra de Arquitectura Sostenible, University of Alicante; Conselleria d'Habitatge i Arquitectura Bioclimatica de la Generalitat Valenciana (Valencia Regional Government, Spain)</t>
        </is>
      </c>
      <c r="AF454" t="inlineStr">
        <is>
          <t>This research was partially funded by the Ministry of Science, Innovation and Universities, Spanish Government. Research Project Title: Women in Spanish (Post)Modern Architecture Culture, 1965-2000. Grant number: PGC2018-095905-A-I00. It has also benefited from a grant given by the Catedra de Arquitectura Sostenible, University of Alicante and Conselleria d'Habitatge i Arquitectura Bioclimatica de la Generalitat Valenciana (Valencia Regional Government, Spain).</t>
        </is>
      </c>
      <c r="AH454" t="n">
        <v>97</v>
      </c>
      <c r="AI454" t="n">
        <v>6</v>
      </c>
      <c r="AJ454" t="n">
        <v>6</v>
      </c>
      <c r="AK454" t="n">
        <v>7</v>
      </c>
      <c r="AL454" t="n">
        <v>30</v>
      </c>
      <c r="AM454" t="inlineStr">
        <is>
          <t>MDPI</t>
        </is>
      </c>
      <c r="AN454" t="inlineStr">
        <is>
          <t>BASEL</t>
        </is>
      </c>
      <c r="AO454" t="inlineStr">
        <is>
          <t>ST ALBAN-ANLAGE 66, CH-4052 BASEL, SWITZERLAND</t>
        </is>
      </c>
      <c r="AQ454" t="inlineStr">
        <is>
          <t>2071-1050</t>
        </is>
      </c>
      <c r="AS454" t="inlineStr">
        <is>
          <t>SUSTAINABILITY-BASEL</t>
        </is>
      </c>
      <c r="AT454" t="inlineStr">
        <is>
          <t>Sustainability</t>
        </is>
      </c>
      <c r="AU454" t="inlineStr">
        <is>
          <t>MAR</t>
        </is>
      </c>
      <c r="AV454" t="n">
        <v>2021</v>
      </c>
      <c r="AW454" t="n">
        <v>13</v>
      </c>
      <c r="AX454" t="n">
        <v>5</v>
      </c>
      <c r="BE454" t="n">
        <v>2565</v>
      </c>
      <c r="BF454" t="inlineStr">
        <is>
          <t>10.3390/su13052565</t>
        </is>
      </c>
      <c r="BG454">
        <f>HYPERLINK("http://dx.doi.org/10.3390/su13052565","http://dx.doi.org/10.3390/su13052565")</f>
        <v/>
      </c>
      <c r="BJ454" t="n">
        <v>23</v>
      </c>
      <c r="BK454" t="inlineStr">
        <is>
          <t>Green &amp; Sustainable Science &amp; Technology; Environmental Sciences; Environmental Studies</t>
        </is>
      </c>
      <c r="BL454" t="inlineStr">
        <is>
          <t>Science Citation Index Expanded (SCI-EXPANDED); Social Science Citation Index (SSCI)</t>
        </is>
      </c>
      <c r="BM454" t="inlineStr">
        <is>
          <t>Science &amp; Technology - Other Topics; Environmental Sciences &amp; Ecology</t>
        </is>
      </c>
      <c r="BN454" t="inlineStr">
        <is>
          <t>QW3ZI</t>
        </is>
      </c>
      <c r="BP454" t="inlineStr">
        <is>
          <t>Green Published, gold</t>
        </is>
      </c>
      <c r="BS454" t="inlineStr">
        <is>
          <t>2023-10-26</t>
        </is>
      </c>
      <c r="BT454" t="inlineStr">
        <is>
          <t>WOS:000628591400001</t>
        </is>
      </c>
      <c r="BU454">
        <f>HYPERLINK("https%3A%2F%2Fwww.webofscience.com%2Fwos%2Fwoscc%2Ffull-record%2FWOS:000628591400001","View Full Record in Web of Science")</f>
        <v/>
      </c>
    </row>
    <row r="455">
      <c r="A455" t="inlineStr">
        <is>
          <t>J</t>
        </is>
      </c>
      <c r="B455" t="inlineStr">
        <is>
          <t>Kolvir, HR; Madadi, A; Safarianzengir, V; Sobhani, B</t>
        </is>
      </c>
      <c r="F455" t="inlineStr">
        <is>
          <t>Kolvir, Hojjatollah Rashid; Madadi, Aghil; Safarianzengir, Vahid; Sobhani, Behrouz</t>
        </is>
      </c>
      <c r="J455" t="inlineStr">
        <is>
          <t>AIR QUALITY ATMOSPHERE AND HEALTH</t>
        </is>
      </c>
      <c r="M455" t="inlineStr">
        <is>
          <t>English</t>
        </is>
      </c>
      <c r="N455" t="inlineStr">
        <is>
          <t>Article</t>
        </is>
      </c>
      <c r="T455" t="inlineStr">
        <is>
          <t>Monitoring and analysis of the effects of atmospheric temperature and heat extreme of the environment on human health in Central Iran, located in southwest Asia</t>
        </is>
      </c>
      <c r="U455" t="inlineStr">
        <is>
          <t>Heat; TOPSIS and SAW models; Prediction; Temperature; Health</t>
        </is>
      </c>
      <c r="V455" t="inlineStr">
        <is>
          <t>MINIMUM TEMPERATURE; MAXIMUM; DROUGHT; TRENDS</t>
        </is>
      </c>
      <c r="W455" t="inlineStr">
        <is>
          <t>Investigation of temperature extremes is very important as one of the most important climate parameters in different parts. If exposed to enough heat, humans will suffer from extreme heat. Maximum temperature and heat can adversely affect many living organisms. The effects of extreme heat on people with chronic lung disease, including asthma and emphysema, are greater; even for people with healthy lungs, outdoor activities are not recommended during high ozone levels. The purpose of this study is to monitor and analyze the effects of atmospheric temperature extreme and extreme heat on human health in Central Iran. Therefore, the minimum and maximum data of 15 synoptic stations in the study area for the period (1988-2018) using hybrid artificial neural network (HANN) and adaptive neuro-fuzzy inference system (ANFIS) models were used. Finally, multi-criteria decision-making (MCDM) models TOSIS and SAW were used to prioritize the areas exposed to rising temperature. The results showed that according to ANFIS modelling for predicting extreme temperatures, the lowest mean training error and the mean error of validation for the minimum temperature were equal to 0.10 for the Yazd Station and 1.66% for the Damghan station. The lowest mean training error and the mean error of validation for the maximum extreme temperature obtained 0.016 for the Garmsar station and 9.39% for the Shahroud station. The maximum extreme temperature of two stations of Garmsar and Bafgh (1 and 0.9689, respectively) was more exposed to extreme temperatures based on the TOPSIS model. Garmsar and Salafchegan Stations (1 and 0.9873, respectively) were more exposed to extreme temperatures based on the SAW model. Climate change is fundamentally changing the Earth's climate system in a way that directly and indirectly endangers human physical and mental health. Severe increase in temperature is directly associated with death from cardiovascular and respiratory diseases, especially in the elderly. Also in the study area, the house is a place for peace and comfort for every human being. Climatic and weather conditions have a direct impact on creating a sense of comfort in any architectural space. Proper heating and air conditioning in the interior of the building is another case of architecture that will not be easy because this architectural issue is related to the comfort or non-comfort of man, and the concepts of heat or cold are mostly due to the natural feeling of man and his physiological conditions. The rising trend of thermal stresses in the studied stations increases the need to pay attention to the issue of thermal stresses and the spread of diseases (heat attack, syncope, and muscle cramps) in terms of crisis planning and management.</t>
        </is>
      </c>
      <c r="X455" t="inlineStr">
        <is>
          <t>[Kolvir, Hojjatollah Rashid] Univ Mohaghegh Ardabili, Dept Architecture, Fac Engn, Ardebil, Iran; [Madadi, Aghil; Safarianzengir, Vahid; Sobhani, Behrouz] Univ Mohaghegh Ardabili, Fac Literature &amp; Humanities, Ardebil, Iran</t>
        </is>
      </c>
      <c r="Y455" t="inlineStr">
        <is>
          <t>University of Mohaghegh Ardabili; University of Mohaghegh Ardabili</t>
        </is>
      </c>
      <c r="Z455" t="inlineStr">
        <is>
          <t>Sobhani, B (corresponding author), Univ Mohaghegh Ardabili, Fac Literature &amp; Humanities, Ardebil, Iran.</t>
        </is>
      </c>
      <c r="AA455" t="inlineStr">
        <is>
          <t>h_rashid@uma.ac.ir; Aghil38madadi@yahoo.com; safariyan.vahid@gmail.com; behroz.sobhani@yahoo.com</t>
        </is>
      </c>
      <c r="AB455" t="inlineStr">
        <is>
          <t>Madadi, Aghil/AAD-8923-2022; sobhani, behrouz/AAV-4564-2021</t>
        </is>
      </c>
      <c r="AC455" t="inlineStr">
        <is>
          <t>Madadi, Aghil/0000-0002-1036-4292;</t>
        </is>
      </c>
      <c r="AH455" t="n">
        <v>69</v>
      </c>
      <c r="AI455" t="n">
        <v>8</v>
      </c>
      <c r="AJ455" t="n">
        <v>8</v>
      </c>
      <c r="AK455" t="n">
        <v>1</v>
      </c>
      <c r="AL455" t="n">
        <v>35</v>
      </c>
      <c r="AM455" t="inlineStr">
        <is>
          <t>SPRINGER</t>
        </is>
      </c>
      <c r="AN455" t="inlineStr">
        <is>
          <t>DORDRECHT</t>
        </is>
      </c>
      <c r="AO455" t="inlineStr">
        <is>
          <t>VAN GODEWIJCKSTRAAT 30, 3311 GZ DORDRECHT, NETHERLANDS</t>
        </is>
      </c>
      <c r="AP455" t="inlineStr">
        <is>
          <t>1873-9318</t>
        </is>
      </c>
      <c r="AQ455" t="inlineStr">
        <is>
          <t>1873-9326</t>
        </is>
      </c>
      <c r="AS455" t="inlineStr">
        <is>
          <t>AIR QUAL ATMOS HLTH</t>
        </is>
      </c>
      <c r="AT455" t="inlineStr">
        <is>
          <t>Air Qual. Atmos. Health</t>
        </is>
      </c>
      <c r="AU455" t="inlineStr">
        <is>
          <t>OCT</t>
        </is>
      </c>
      <c r="AV455" t="n">
        <v>2020</v>
      </c>
      <c r="AW455" t="n">
        <v>13</v>
      </c>
      <c r="AX455" t="n">
        <v>10</v>
      </c>
      <c r="BC455" t="n">
        <v>1179</v>
      </c>
      <c r="BD455" t="n">
        <v>1191</v>
      </c>
      <c r="BF455" t="inlineStr">
        <is>
          <t>10.1007/s11869-020-00843-5</t>
        </is>
      </c>
      <c r="BG455">
        <f>HYPERLINK("http://dx.doi.org/10.1007/s11869-020-00843-5","http://dx.doi.org/10.1007/s11869-020-00843-5")</f>
        <v/>
      </c>
      <c r="BI455" t="inlineStr">
        <is>
          <t>JUL 2020</t>
        </is>
      </c>
      <c r="BJ455" t="n">
        <v>13</v>
      </c>
      <c r="BK455" t="inlineStr">
        <is>
          <t>Environmental Sciences</t>
        </is>
      </c>
      <c r="BL455" t="inlineStr">
        <is>
          <t>Science Citation Index Expanded (SCI-EXPANDED)</t>
        </is>
      </c>
      <c r="BM455" t="inlineStr">
        <is>
          <t>Environmental Sciences &amp; Ecology</t>
        </is>
      </c>
      <c r="BN455" t="inlineStr">
        <is>
          <t>NO2WX</t>
        </is>
      </c>
      <c r="BS455" t="inlineStr">
        <is>
          <t>2023-10-26</t>
        </is>
      </c>
      <c r="BT455" t="inlineStr">
        <is>
          <t>WOS:000552178100001</t>
        </is>
      </c>
      <c r="BU455">
        <f>HYPERLINK("https%3A%2F%2Fwww.webofscience.com%2Fwos%2Fwoscc%2Ffull-record%2FWOS:000552178100001","View Full Record in Web of Science")</f>
        <v/>
      </c>
    </row>
    <row r="456">
      <c r="A456" t="inlineStr">
        <is>
          <t>J</t>
        </is>
      </c>
      <c r="B456" t="inlineStr">
        <is>
          <t>Abbatt, JPD; Wang, C</t>
        </is>
      </c>
      <c r="F456" t="inlineStr">
        <is>
          <t>Abbatt, Jonathan P. D.; Wang, Chen</t>
        </is>
      </c>
      <c r="J456" t="inlineStr">
        <is>
          <t>ENVIRONMENTAL SCIENCE-PROCESSES &amp; IMPACTS</t>
        </is>
      </c>
      <c r="M456" t="inlineStr">
        <is>
          <t>English</t>
        </is>
      </c>
      <c r="N456" t="inlineStr">
        <is>
          <t>Review</t>
        </is>
      </c>
      <c r="T456" t="inlineStr">
        <is>
          <t>The atmospheric chemistry of indoor environments</t>
        </is>
      </c>
      <c r="V456" t="inlineStr">
        <is>
          <t>VOLATILE ORGANIC-COMPOUNDS; HETEROGENEOUS OXIDATION; BUILDING-MATERIALS; OZONE REMOVAL; NITROUS-ACID; HYDROXYL RADICALS; AEROSOL FORMATION; SURFACE-REACTIONS; FINE PARTICLES; AIR-POLLUTANTS</t>
        </is>
      </c>
      <c r="W456" t="inlineStr">
        <is>
          <t>Through air inhalation, dust ingestion and dermal exposure, the indoor environment plays an important role in controlling human chemical exposure. Indoor emissions and chemistry can also have direct impacts on the quality of outdoor air. And so, it is important to have a strong fundamental knowledge of the chemical processes that occur in indoor environments. This review article summarizes our understanding of the indoor chemistry field. Using a molecular perspective, it addresses primarily the new advances that have occurred in the past decade or so and upon developments in our understanding of multiphase partitioning and reactions. A primary goal of the article is to contrast indoor chemistry to that which occurs outdoors, which we know to be a strongly gas-phase, oxidant-driven system in which substantial oxidative aging of gases and aerosol particles occurs. By contrast, indoor environments are dark, gas-phase oxidant concentrations are relatively low, and due to air exchange, only short times are available for reactive processing of gaseous and particle constituents. However, important gas-surface partitioning and reactive multiphase chemistry occur in the large surface reservoirs that prevail in all indoor environments. These interactions not only play a crucial role in controlling the composition of indoor surfaces but also the surrounding gases and aerosol particles, thus affecting human chemical exposure. There are rich research opportunities available if the advanced measurement and modeling tools of the outdoor atmospheric chemistry community continue to be brought indoors.</t>
        </is>
      </c>
      <c r="X456" t="inlineStr">
        <is>
          <t>[Abbatt, Jonathan P. D.; Wang, Chen] Univ Toronto, Dept Chem, 80 St George St, Toronto, ON M5S 3H6, Canada</t>
        </is>
      </c>
      <c r="Y456" t="inlineStr">
        <is>
          <t>University of Toronto</t>
        </is>
      </c>
      <c r="Z456" t="inlineStr">
        <is>
          <t>Abbatt, JPD (corresponding author), Univ Toronto, Dept Chem, 80 St George St, Toronto, ON M5S 3H6, Canada.</t>
        </is>
      </c>
      <c r="AA456" t="inlineStr">
        <is>
          <t>jonathan.abbatt@utoronto.ca; irenechen.wang@mail.utoronto.ca</t>
        </is>
      </c>
      <c r="AB456" t="inlineStr">
        <is>
          <t>Wang, Chen/A-5674-2018</t>
        </is>
      </c>
      <c r="AC456" t="inlineStr">
        <is>
          <t>Wang, Chen/0000-0001-9565-8777; Abbatt, Jonathan/0000-0002-3372-334X</t>
        </is>
      </c>
      <c r="AD456" t="inlineStr">
        <is>
          <t>Chemistry of the Indoor Environment Program of the Alfred P. Sloan Foundation</t>
        </is>
      </c>
      <c r="AE456" t="inlineStr">
        <is>
          <t>Chemistry of the Indoor Environment Program of the Alfred P. Sloan Foundation(Alfred P. Sloan Foundation)</t>
        </is>
      </c>
      <c r="AF456" t="inlineStr">
        <is>
          <t>JA thanks the journal for the invitation to submit this review. His work in the indoor chemistry.eld has been largely supported by the Chemistry of the Indoor Environment Program of the Alfred P. Sloan Foundation, led by Dr Paula Olsiewski. He also thanks all current and prior members of his research group who have collaborated on indoor chemistry projects, and many members of the indoor chemistry research community for their support and insights. The authors are grateful to Zilin Zhou for cra.ing Fig. 9.</t>
        </is>
      </c>
      <c r="AH456" t="n">
        <v>265</v>
      </c>
      <c r="AI456" t="n">
        <v>101</v>
      </c>
      <c r="AJ456" t="n">
        <v>103</v>
      </c>
      <c r="AK456" t="n">
        <v>9</v>
      </c>
      <c r="AL456" t="n">
        <v>192</v>
      </c>
      <c r="AM456" t="inlineStr">
        <is>
          <t>ROYAL SOC CHEMISTRY</t>
        </is>
      </c>
      <c r="AN456" t="inlineStr">
        <is>
          <t>CAMBRIDGE</t>
        </is>
      </c>
      <c r="AO456" t="inlineStr">
        <is>
          <t>THOMAS GRAHAM HOUSE, SCIENCE PARK, MILTON RD, CAMBRIDGE CB4 0WF, CAMBS, ENGLAND</t>
        </is>
      </c>
      <c r="AP456" t="inlineStr">
        <is>
          <t>2050-7887</t>
        </is>
      </c>
      <c r="AQ456" t="inlineStr">
        <is>
          <t>2050-7895</t>
        </is>
      </c>
      <c r="AS456" t="inlineStr">
        <is>
          <t>ENVIRON SCI-PROC IMP</t>
        </is>
      </c>
      <c r="AT456" t="inlineStr">
        <is>
          <t>Environ. Sci.-Process Impacts</t>
        </is>
      </c>
      <c r="AU456" t="inlineStr">
        <is>
          <t>JAN 1</t>
        </is>
      </c>
      <c r="AV456" t="n">
        <v>2020</v>
      </c>
      <c r="AW456" t="n">
        <v>22</v>
      </c>
      <c r="AX456" t="n">
        <v>1</v>
      </c>
      <c r="BC456" t="n">
        <v>25</v>
      </c>
      <c r="BD456" t="n">
        <v>48</v>
      </c>
      <c r="BF456" t="inlineStr">
        <is>
          <t>10.1039/c9em00386j</t>
        </is>
      </c>
      <c r="BG456">
        <f>HYPERLINK("http://dx.doi.org/10.1039/c9em00386j","http://dx.doi.org/10.1039/c9em00386j")</f>
        <v/>
      </c>
      <c r="BJ456" t="n">
        <v>24</v>
      </c>
      <c r="BK456" t="inlineStr">
        <is>
          <t>Chemistry, Analytical; Environmental Sciences</t>
        </is>
      </c>
      <c r="BL456" t="inlineStr">
        <is>
          <t>Science Citation Index Expanded (SCI-EXPANDED)</t>
        </is>
      </c>
      <c r="BM456" t="inlineStr">
        <is>
          <t>Chemistry; Environmental Sciences &amp; Ecology</t>
        </is>
      </c>
      <c r="BN456" t="inlineStr">
        <is>
          <t>KH4WL</t>
        </is>
      </c>
      <c r="BO456" t="n">
        <v>31712796</v>
      </c>
      <c r="BP456" t="inlineStr">
        <is>
          <t>hybrid</t>
        </is>
      </c>
      <c r="BS456" t="inlineStr">
        <is>
          <t>2023-10-26</t>
        </is>
      </c>
      <c r="BT456" t="inlineStr">
        <is>
          <t>WOS:000510649600003</t>
        </is>
      </c>
      <c r="BU456">
        <f>HYPERLINK("https%3A%2F%2Fwww.webofscience.com%2Fwos%2Fwoscc%2Ffull-record%2FWOS:000510649600003","View Full Record in Web of Science")</f>
        <v/>
      </c>
    </row>
    <row r="457">
      <c r="A457" t="inlineStr">
        <is>
          <t>J</t>
        </is>
      </c>
      <c r="B457" t="inlineStr">
        <is>
          <t>Han, R; Liu, DP</t>
        </is>
      </c>
      <c r="F457" t="inlineStr">
        <is>
          <t>Han, Rui; Liu, Daping</t>
        </is>
      </c>
      <c r="J457" t="inlineStr">
        <is>
          <t>SUSTAINABILITY</t>
        </is>
      </c>
      <c r="M457" t="inlineStr">
        <is>
          <t>English</t>
        </is>
      </c>
      <c r="N457" t="inlineStr">
        <is>
          <t>Article</t>
        </is>
      </c>
      <c r="T457" t="inlineStr">
        <is>
          <t>Architecture Discourses and Thermal Environment of Initial Urban Residence in Northeast China: A Case Study of the 156 Projects Residences</t>
        </is>
      </c>
      <c r="U457" t="inlineStr">
        <is>
          <t>urban residence; 156 projects; architectural discourses; socialist realism; thermal environment</t>
        </is>
      </c>
      <c r="W457" t="inlineStr">
        <is>
          <t>The objective of this study was to understand the development of Chinese contemporary architectural discourses and analyze the comfort of the 156 projects residences to help improve the sustainable planning and design of today's urban residential buildings. With a literature review, we described the formation and evolution process of the Soviet Union socialist realism architectural discourses that initially and deeply influenced urban residence in Northeast China and revealed the input channel and localization process of Chinese socialist realism in residential projects. Through field measurement and investigation into the building design and construction from four aspects-building group planning, unit schema standardization design, facade aesthetics, and structural design-we comparatively analyzed results that indicated the design and construction in that era. The thermal environment was also simulated using analytical software to comprehensively evaluate heat loss and heat accumulation in the cases. Finally, three passive design strategies were discussed to improve the sustainability of residence in Northeast China.</t>
        </is>
      </c>
      <c r="X457" t="inlineStr">
        <is>
          <t>[Han, Rui; Liu, Daping] Harbin Inst Technol, Sch Architecture, Minist Ind &amp; Informat Technol, Harbin 150006, Heilongjiang, Peoples R China; [Han, Rui; Liu, Daping] Harbin Inst Technol, Key Lab Cold Reg Urban &amp; Rural Human Settlement E, Minist Ind &amp; Informat Technol, Harbin 150006, Heilongjiang, Peoples R China; [Han, Rui] Jilin Jianzhu Univ, Coll Art &amp; Design, Changchun 130018, Peoples R China; [Han, Rui] Jilin Jianzhu Univ, Creat Ctr ArtSciArch, Changchun 130018, Peoples R China</t>
        </is>
      </c>
      <c r="Y457" t="inlineStr">
        <is>
          <t>Harbin Institute of Technology; Harbin Institute of Technology; Jilin Jianzhu University; Jilin Jianzhu University</t>
        </is>
      </c>
      <c r="Z457" t="inlineStr">
        <is>
          <t>Han, R; Liu, DP (corresponding author), Harbin Inst Technol, Sch Architecture, Minist Ind &amp; Informat Technol, Harbin 150006, Heilongjiang, Peoples R China.;Han, R; Liu, DP (corresponding author), Harbin Inst Technol, Key Lab Cold Reg Urban &amp; Rural Human Settlement E, Minist Ind &amp; Informat Technol, Harbin 150006, Heilongjiang, Peoples R China.;Han, R (corresponding author), Jilin Jianzhu Univ, Coll Art &amp; Design, Changchun 130018, Peoples R China.;Han, R (corresponding author), Jilin Jianzhu Univ, Creat Ctr ArtSciArch, Changchun 130018, Peoples R China.</t>
        </is>
      </c>
      <c r="AA457" t="inlineStr">
        <is>
          <t>archanrui@sina.com; ldp_abc@sina.com</t>
        </is>
      </c>
      <c r="AD457" t="inlineStr">
        <is>
          <t>National Art Fund [2019-A-05-(373)-1080]; Collaborative Education Project of Ministry of Education [201801154018]; Jilin Province Social Science Fund [2018B172]; Jilin Educational Science Planning Project [GH180378]</t>
        </is>
      </c>
      <c r="AE457" t="inlineStr">
        <is>
          <t>National Art Fund; Collaborative Education Project of Ministry of Education; Jilin Province Social Science Fund; Jilin Educational Science Planning Project</t>
        </is>
      </c>
      <c r="AF457" t="inlineStr">
        <is>
          <t>This research was funded by the National Art Fund (2019-A-05-(373)-1080); Collaborative Education Project of Ministry of Education (201801154018); Jilin Province Social Science Fund (2018B172); Jilin Educational Science Planning Project (GH180378).</t>
        </is>
      </c>
      <c r="AH457" t="n">
        <v>28</v>
      </c>
      <c r="AI457" t="n">
        <v>3</v>
      </c>
      <c r="AJ457" t="n">
        <v>3</v>
      </c>
      <c r="AK457" t="n">
        <v>2</v>
      </c>
      <c r="AL457" t="n">
        <v>10</v>
      </c>
      <c r="AM457" t="inlineStr">
        <is>
          <t>MDPI</t>
        </is>
      </c>
      <c r="AN457" t="inlineStr">
        <is>
          <t>BASEL</t>
        </is>
      </c>
      <c r="AO457" t="inlineStr">
        <is>
          <t>ST ALBAN-ANLAGE 66, CH-4052 BASEL, SWITZERLAND</t>
        </is>
      </c>
      <c r="AQ457" t="inlineStr">
        <is>
          <t>2071-1050</t>
        </is>
      </c>
      <c r="AS457" t="inlineStr">
        <is>
          <t>SUSTAINABILITY-BASEL</t>
        </is>
      </c>
      <c r="AT457" t="inlineStr">
        <is>
          <t>Sustainability</t>
        </is>
      </c>
      <c r="AU457" t="inlineStr">
        <is>
          <t>JAN 2</t>
        </is>
      </c>
      <c r="AV457" t="n">
        <v>2020</v>
      </c>
      <c r="AW457" t="n">
        <v>12</v>
      </c>
      <c r="AX457" t="n">
        <v>2</v>
      </c>
      <c r="BE457" t="n">
        <v>691</v>
      </c>
      <c r="BF457" t="inlineStr">
        <is>
          <t>10.3390/su12020691</t>
        </is>
      </c>
      <c r="BG457">
        <f>HYPERLINK("http://dx.doi.org/10.3390/su12020691","http://dx.doi.org/10.3390/su12020691")</f>
        <v/>
      </c>
      <c r="BJ457" t="n">
        <v>20</v>
      </c>
      <c r="BK457" t="inlineStr">
        <is>
          <t>Green &amp; Sustainable Science &amp; Technology; Environmental Sciences; Environmental Studies</t>
        </is>
      </c>
      <c r="BL457" t="inlineStr">
        <is>
          <t>Science Citation Index Expanded (SCI-EXPANDED); Social Science Citation Index (SSCI)</t>
        </is>
      </c>
      <c r="BM457" t="inlineStr">
        <is>
          <t>Science &amp; Technology - Other Topics; Environmental Sciences &amp; Ecology</t>
        </is>
      </c>
      <c r="BN457" t="inlineStr">
        <is>
          <t>KQ3KE</t>
        </is>
      </c>
      <c r="BP457" t="inlineStr">
        <is>
          <t>gold, Green Published</t>
        </is>
      </c>
      <c r="BS457" t="inlineStr">
        <is>
          <t>2023-10-26</t>
        </is>
      </c>
      <c r="BT457" t="inlineStr">
        <is>
          <t>WOS:000516824600249</t>
        </is>
      </c>
      <c r="BU457">
        <f>HYPERLINK("https%3A%2F%2Fwww.webofscience.com%2Fwos%2Fwoscc%2Ffull-record%2FWOS:000516824600249","View Full Record in Web of Science")</f>
        <v/>
      </c>
    </row>
    <row r="458">
      <c r="A458" t="inlineStr">
        <is>
          <t>J</t>
        </is>
      </c>
      <c r="B458" t="inlineStr">
        <is>
          <t>Sun, Y; Silva, EA; Tian, W; Choudhary, R; Leng, H</t>
        </is>
      </c>
      <c r="F458" t="inlineStr">
        <is>
          <t>Sun, Yu; Silva, Elisabete A.; Tian, Wei; Choudhary, Ruchi; Leng, Hong</t>
        </is>
      </c>
      <c r="J458" t="inlineStr">
        <is>
          <t>SUSTAINABILITY</t>
        </is>
      </c>
      <c r="M458" t="inlineStr">
        <is>
          <t>English</t>
        </is>
      </c>
      <c r="N458" t="inlineStr">
        <is>
          <t>Article</t>
        </is>
      </c>
      <c r="T458" t="inlineStr">
        <is>
          <t>An Integrated Spatial Analysis Computer Environment for Urban-Building Energy in Cities</t>
        </is>
      </c>
      <c r="U458" t="inlineStr">
        <is>
          <t>integrated spatial analysis; building energy efficiency; multi-resolution analysis; scenario analysis</t>
        </is>
      </c>
      <c r="V458" t="inlineStr">
        <is>
          <t>DISTRICT; PERFORMANCE; CONSUMPTION; MODELS; SYSTEM</t>
        </is>
      </c>
      <c r="W458" t="inlineStr">
        <is>
          <t>In this paper, we developed a new integrated analysis environment in order to thoroughly analyses urban-building energy patterns, named IUBEA (integrated urban building energy analysis), which focuses on energy modeling and analysis of a city's building stock to support district or city-scale efficiency programs. It is argued that cities and towns account for more than two-thirds of world energy consumption. Thus, this paper explores techniques to integrate a spatial analysis environment in the field of urban building energy assessment in cites to make full use of current spatial data relevant to urban-building energy consumption and energy efficiency policies. We illustrate how multi-scale sampling and analysis for energy consumption and simulate the energy-saving scenarios by taking as an example of Greater London. In the final part, is an application of an agent-based model (ABM) in IUBEA regarding behavioral and economic characteristics of building stocks in the context of building energy efficiency. This paper first describes the basic concept for this integrated spatial analysis environment IUBEA. Then, this paper discusses the main functions for this new environment in detail. The research serves a new paradigm of the multi-scale integrated analysis that can lead to an efficient energy model, which contributes the body of knowledge of energy modeling beyond the single building scale. Findings also proved that ABM is a feasible tool to tackle intellectual challenges in energy modeling. The final adoption example of Greater London demonstrated that the integrated analysis environment as a feasible tool for building energy consumption have unique advantages and wide applicability.</t>
        </is>
      </c>
      <c r="X458" t="inlineStr">
        <is>
          <t>[Sun, Yu; Leng, Hong] Harbin Inst Technol, Sch Architecture, Key Lab Cold Reg Urban &amp; Rural Human Settlement S, Minist Ind &amp; Informat Technol, Harbin 150000, Heilongjiang, Peoples R China; [Sun, Yu; Leng, Hong] Harbin Inst Technol, Sch Architecture, Harbin 150006, Heilongjiang, Peoples R China; [Silva, Elisabete A.] Univ Cambridge, Dept Land Econ, 19 Silver St, Cambridge CB3 9EP, England; [Tian, Wei] Tianjin Univ Sci &amp; Technol, Mech Engn, Tianjin 300222, Peoples R China; [Choudhary, Ruchi] Univ Cambridge, Dept Engn, Trumpington St, Cambridge CB2 1PZ, England</t>
        </is>
      </c>
      <c r="Y458" t="inlineStr">
        <is>
          <t>Harbin Institute of Technology; Harbin Institute of Technology; University of Cambridge; Tianjin University Science &amp; Technology; University of Cambridge</t>
        </is>
      </c>
      <c r="Z458" t="inlineStr">
        <is>
          <t>Leng, H (corresponding author), Harbin Inst Technol, Sch Architecture, Key Lab Cold Reg Urban &amp; Rural Human Settlement S, Minist Ind &amp; Informat Technol, Harbin 150000, Heilongjiang, Peoples R China.;Leng, H (corresponding author), Harbin Inst Technol, Sch Architecture, Harbin 150006, Heilongjiang, Peoples R China.</t>
        </is>
      </c>
      <c r="AA458" t="inlineStr">
        <is>
          <t>10B934005@hit.edu.cn; es424@cam.ac.uk; tjtianjin@gmail.com; rc488@cam.ac.uk; hitlaura@hit.edu.cn</t>
        </is>
      </c>
      <c r="AB458" t="inlineStr">
        <is>
          <t>Tian, Wei/A-7888-2018; Silva, Elisabete/C-8975-2011</t>
        </is>
      </c>
      <c r="AC458" t="inlineStr">
        <is>
          <t>Tian, Wei/0000-0003-3447-2287; Silva, Elisabete/0000-0002-5816-6447</t>
        </is>
      </c>
      <c r="AD458" t="inlineStr">
        <is>
          <t>National Natural Science Foundation of China [51278140]; China Postdoctoral Science Foundation [2018M630361]; Postdoctoral Science Foundation of Heilongjiang province [AUGA4110003717]; EPSRC [EP/N021614/1, EP/F034350/1, EP/L010917/1, EP/K000314/1, EP/I019308/1] Funding Source: UKRI</t>
        </is>
      </c>
      <c r="AE458" t="inlineStr">
        <is>
          <t>National Natural Science Foundation of China(National Natural Science Foundation of China (NSFC)); China Postdoctoral Science Foundation(China Postdoctoral Science Foundation); Postdoctoral Science Foundation of Heilongjiang province(China Postdoctoral Science Foundation); EPSRC(UK Research &amp; Innovation (UKRI)Engineering &amp; Physical Sciences Research Council (EPSRC))</t>
        </is>
      </c>
      <c r="AF458" t="inlineStr">
        <is>
          <t>This research was funded by National Natural Science Foundation of China, Fund No. 51278140; China Postdoctoral Science Foundation, Fund No. 2018M630361; Postdoctoral Science Foundation of Heilongjiang province, Fund No. AUGA4110003717.</t>
        </is>
      </c>
      <c r="AH458" t="n">
        <v>35</v>
      </c>
      <c r="AI458" t="n">
        <v>3</v>
      </c>
      <c r="AJ458" t="n">
        <v>3</v>
      </c>
      <c r="AK458" t="n">
        <v>1</v>
      </c>
      <c r="AL458" t="n">
        <v>15</v>
      </c>
      <c r="AM458" t="inlineStr">
        <is>
          <t>MDPI</t>
        </is>
      </c>
      <c r="AN458" t="inlineStr">
        <is>
          <t>BASEL</t>
        </is>
      </c>
      <c r="AO458" t="inlineStr">
        <is>
          <t>ST ALBAN-ANLAGE 66, CH-4052 BASEL, SWITZERLAND</t>
        </is>
      </c>
      <c r="AP458" t="inlineStr">
        <is>
          <t>2071-1050</t>
        </is>
      </c>
      <c r="AS458" t="inlineStr">
        <is>
          <t>SUSTAINABILITY-BASEL</t>
        </is>
      </c>
      <c r="AT458" t="inlineStr">
        <is>
          <t>Sustainability</t>
        </is>
      </c>
      <c r="AU458" t="inlineStr">
        <is>
          <t>NOV</t>
        </is>
      </c>
      <c r="AV458" t="n">
        <v>2018</v>
      </c>
      <c r="AW458" t="n">
        <v>10</v>
      </c>
      <c r="AX458" t="n">
        <v>11</v>
      </c>
      <c r="BE458" t="n">
        <v>4235</v>
      </c>
      <c r="BF458" t="inlineStr">
        <is>
          <t>10.3390/su10114235</t>
        </is>
      </c>
      <c r="BG458">
        <f>HYPERLINK("http://dx.doi.org/10.3390/su10114235","http://dx.doi.org/10.3390/su10114235")</f>
        <v/>
      </c>
      <c r="BJ458" t="n">
        <v>19</v>
      </c>
      <c r="BK458" t="inlineStr">
        <is>
          <t>Green &amp; Sustainable Science &amp; Technology; Environmental Sciences; Environmental Studies</t>
        </is>
      </c>
      <c r="BL458" t="inlineStr">
        <is>
          <t>Science Citation Index Expanded (SCI-EXPANDED); Social Science Citation Index (SSCI)</t>
        </is>
      </c>
      <c r="BM458" t="inlineStr">
        <is>
          <t>Science &amp; Technology - Other Topics; Environmental Sciences &amp; Ecology</t>
        </is>
      </c>
      <c r="BN458" t="inlineStr">
        <is>
          <t>HC1AQ</t>
        </is>
      </c>
      <c r="BP458" t="inlineStr">
        <is>
          <t>gold, Green Published</t>
        </is>
      </c>
      <c r="BS458" t="inlineStr">
        <is>
          <t>2023-10-26</t>
        </is>
      </c>
      <c r="BT458" t="inlineStr">
        <is>
          <t>WOS:000451531700409</t>
        </is>
      </c>
      <c r="BU458">
        <f>HYPERLINK("https%3A%2F%2Fwww.webofscience.com%2Fwos%2Fwoscc%2Ffull-record%2FWOS:000451531700409","View Full Record in Web of Science")</f>
        <v/>
      </c>
    </row>
    <row r="459">
      <c r="A459" t="inlineStr">
        <is>
          <t>J</t>
        </is>
      </c>
      <c r="B459" t="inlineStr">
        <is>
          <t>Andualem, Z; Ayenew, Y; Ababu, T; Hailu, B</t>
        </is>
      </c>
      <c r="F459" t="inlineStr">
        <is>
          <t>Andualem, Zewudu; Ayenew, Yeshambel; Ababu, Temesel; Hailu, Betelhem</t>
        </is>
      </c>
      <c r="J459" t="inlineStr">
        <is>
          <t>AIR SOIL AND WATER RESEARCH</t>
        </is>
      </c>
      <c r="M459" t="inlineStr">
        <is>
          <t>English</t>
        </is>
      </c>
      <c r="N459" t="inlineStr">
        <is>
          <t>Article</t>
        </is>
      </c>
      <c r="T459" t="inlineStr">
        <is>
          <t>Assessment of Airborne Culturable Fungal Load in an Indoor Environment of Dormitory Rooms: The Case of University of Gondar Student's Dormitory Rooms, Northwest Ethiopia</t>
        </is>
      </c>
      <c r="U459" t="inlineStr">
        <is>
          <t>Airborne fungal load; dormitory room; indoor air</t>
        </is>
      </c>
      <c r="V459" t="inlineStr">
        <is>
          <t>AIR-QUALITY; FORMALDEHYDE; CONTAMINATION</t>
        </is>
      </c>
      <c r="W459" t="inlineStr">
        <is>
          <t>Pollution caused by fungal contamination on building materials contributes to poor indoor air quality. Fungi are known to cause several health-related problems, such as acute toxicity, hypersensitivity, invasive mycoses, and respiratory problems. Thus, this study aimed to determine the load and diversity of airborne culturable fungi in the dormitory rooms. An institution-based cross-sectional study was conducted from March to June 2019 at the University of Gondar students' dormitory rooms. Statistical analyses were carried out using Stata/SE 14.0. Spearman ranks correlation was used to assess the correlation of fungal load with indoor physical parameters. The median fungal loads were 250 CFU/m(2) and 157 CFU/m(2) in the morning and afternoon. respectively. Most commonly identified fungal genera/species were Aspergillus, Penicillium, Alternaria, Fusarium, Candida, Trichophyton, Piedraia, Microsporum, Geotrichum, Saccharomyces, Rhodotorula, Rhizopus, Exophiala, Arthroderma, Cladosporium, Gliocladium, and Botrytis. Formaldehyde (r=-0.2859, P= .0031), temperature (r=-0.2153, P= .0274), and CO2 (r=-0.3785, P= .0001) were negatively correlated with airborne indoor fungal load in the morning and CO2 (r=0.3183. P= .0009) and temperature (r=0.2046, P= .0363) positively correlated with airborne indoor fungal load in the afternoon. As a conclusion, the airborne fungal load in the dormitory room was intermediate according to the European standard of nonindustrial premises. Substantial action should be taken to reduce the fungal contamination of indoor environments.</t>
        </is>
      </c>
      <c r="X459" t="inlineStr">
        <is>
          <t>[Andualem, Zewudu; Ayenew, Yeshambel; Ababu, Temesel; Hailu, Betelhem] Univ Gondar, Inst Publ Hlth, Dept Environm &amp; Occupat Hlth &amp; Safety, Coll Med &amp; Hlth Sci, POB 196, Gondar, Ethiopia</t>
        </is>
      </c>
      <c r="Y459" t="inlineStr">
        <is>
          <t>University of Gondar</t>
        </is>
      </c>
      <c r="Z459" t="inlineStr">
        <is>
          <t>Andualem, Z (corresponding author), Univ Gondar, Inst Publ Hlth, Dept Environm &amp; Occupat Hlth &amp; Safety, Coll Med &amp; Hlth Sci, POB 196, Gondar, Ethiopia.</t>
        </is>
      </c>
      <c r="AA459" t="inlineStr">
        <is>
          <t>zewuduandualem12@gmail.com</t>
        </is>
      </c>
      <c r="AB459" t="inlineStr">
        <is>
          <t>Andualem, Zewudu/AAM-6234-2020</t>
        </is>
      </c>
      <c r="AC459" t="inlineStr">
        <is>
          <t>Andualem, Zewudu/0000-0002-4731-1696</t>
        </is>
      </c>
      <c r="AH459" t="n">
        <v>36</v>
      </c>
      <c r="AI459" t="n">
        <v>6</v>
      </c>
      <c r="AJ459" t="n">
        <v>6</v>
      </c>
      <c r="AK459" t="n">
        <v>0</v>
      </c>
      <c r="AL459" t="n">
        <v>4</v>
      </c>
      <c r="AM459" t="inlineStr">
        <is>
          <t>SAGE PUBLICATIONS LTD</t>
        </is>
      </c>
      <c r="AN459" t="inlineStr">
        <is>
          <t>LONDON</t>
        </is>
      </c>
      <c r="AO459" t="inlineStr">
        <is>
          <t>1 OLIVERS YARD, 55 CITY ROAD, LONDON EC1Y 1SP, ENGLAND</t>
        </is>
      </c>
      <c r="AP459" t="inlineStr">
        <is>
          <t>1178-6221</t>
        </is>
      </c>
      <c r="AS459" t="inlineStr">
        <is>
          <t>AIR SOIL WATER RES</t>
        </is>
      </c>
      <c r="AT459" t="inlineStr">
        <is>
          <t>Air Soil Water Res.</t>
        </is>
      </c>
      <c r="AU459" t="inlineStr">
        <is>
          <t>JUN</t>
        </is>
      </c>
      <c r="AV459" t="n">
        <v>2020</v>
      </c>
      <c r="AW459" t="n">
        <v>13</v>
      </c>
      <c r="BE459" t="n">
        <v>1178622120933553</v>
      </c>
      <c r="BF459" t="inlineStr">
        <is>
          <t>10.1177/1178622120933553</t>
        </is>
      </c>
      <c r="BG459">
        <f>HYPERLINK("http://dx.doi.org/10.1177/1178622120933553","http://dx.doi.org/10.1177/1178622120933553")</f>
        <v/>
      </c>
      <c r="BJ459" t="n">
        <v>7</v>
      </c>
      <c r="BK459" t="inlineStr">
        <is>
          <t>Environmental Sciences</t>
        </is>
      </c>
      <c r="BL459" t="inlineStr">
        <is>
          <t>Emerging Sources Citation Index (ESCI)</t>
        </is>
      </c>
      <c r="BM459" t="inlineStr">
        <is>
          <t>Environmental Sciences &amp; Ecology</t>
        </is>
      </c>
      <c r="BN459" t="inlineStr">
        <is>
          <t>MF9BU</t>
        </is>
      </c>
      <c r="BP459" t="inlineStr">
        <is>
          <t>gold</t>
        </is>
      </c>
      <c r="BS459" t="inlineStr">
        <is>
          <t>2023-10-26</t>
        </is>
      </c>
      <c r="BT459" t="inlineStr">
        <is>
          <t>WOS:000545633400001</t>
        </is>
      </c>
      <c r="BU459">
        <f>HYPERLINK("https%3A%2F%2Fwww.webofscience.com%2Fwos%2Fwoscc%2Ffull-record%2FWOS:000545633400001","View Full Record in Web of Science")</f>
        <v/>
      </c>
    </row>
    <row r="460">
      <c r="A460" t="inlineStr">
        <is>
          <t>J</t>
        </is>
      </c>
      <c r="B460" t="inlineStr">
        <is>
          <t>Saraga, DE; Querol, X; Duarte, RMBO; Aquilina, NJ; Canha, N; Alvarez, EG; Jovasevic-Stojanovic, M; Bekö, G; Bycenkiene, S; Kovacevic, R; Plauskaite, K; Carslaw, N</t>
        </is>
      </c>
      <c r="F460" t="inlineStr">
        <is>
          <t>Saraga, Dikaia E.; Querol, Xavier; Duarte, Regina M. B. O.; Aquilina, Noel J.; Canha, Nuno; Alvarez, Elena Gomez; Jovasevic-Stojanovic, Milena; Beko, Gabriel; Bycenkiene, Steigvile; Kovacevic, Renata; Plauskaite, Kristina; Carslaw, Nicola</t>
        </is>
      </c>
      <c r="J460" t="inlineStr">
        <is>
          <t>SCIENCE OF THE TOTAL ENVIRONMENT</t>
        </is>
      </c>
      <c r="M460" t="inlineStr">
        <is>
          <t>English</t>
        </is>
      </c>
      <c r="N460" t="inlineStr">
        <is>
          <t>Review</t>
        </is>
      </c>
      <c r="T460" t="inlineStr">
        <is>
          <t>Source apportionment for indoor air pollution: Current challenges and future directions</t>
        </is>
      </c>
      <c r="U460" t="inlineStr">
        <is>
          <t>Indoor air quality; Pollutants; Source apportionment; Receptor models</t>
        </is>
      </c>
      <c r="V460" t="inlineStr">
        <is>
          <t>VOLATILE ORGANIC-COMPOUNDS; POLYCYCLIC AROMATIC-HYDROCARBONS; FINE PARTICULATE MATTER; HEALTH-RISK ASSESSMENT; CHEMICAL-CHARACTERIZATION; SOURCE IDENTIFICATION; ELEMENTAL COMPOSITION; SECONDARY POLLUTANTS; BUILDING-MATERIALS; SCHOOL CLASSROOMS</t>
        </is>
      </c>
      <c r="W460" t="inlineStr">
        <is>
          <t>Source apportionment (SA) for indoor air pollution is challenging due to the multiplicity and high variability of indoor sources, the complex physical and chemical processes that act as primary sources, sinks and sources of precursors that lead to secondary formation, and the interconnection with the outdoor environment. While the major indoor sources have been recognized, there is still a need for understanding the contribution of indoor versus outdoor-generated pollutants penetrating indoors, and how SA is influenced by the complex processes that occur in indoor environments. This paper reviews our current understanding of SA, through reviewing information on the SA techniques used, the targeted pollutants that have been studied to date, and their source apportionment, along with limitations or knowledge gaps in this research field. The majority (78 %) of SA studies to date focused on PM chemical composition/size distribution, with fewer studies covering organic compounds such as ketones, carbonyls and aldehydes. Regarding the SA method used, the majority of studies have used Positive Matrix Factorization (31 %), Principal Component Analysis (26 %) and Chemical Mass Balance (7 %) receptor models. The indoor PM sources identified to date include building materials and furniture emissions, indoor combustion-related sources, cooking-related sources, resuspension, cleaning and consumer products emissions, secondary-generated pollutants indoors and other products and activity-related emissions. The outdoor environment contribution to the measured pollutant indoors varies considerably (&lt;10 %- 90 %) among the studies. Future challenges for this research area include the need for optimization of indoor air quality monitoring and data selection as well as the incorporation of physical and chemical processes in indoor air into source apportionment methodology.</t>
        </is>
      </c>
      <c r="X460" t="inlineStr">
        <is>
          <t>[Saraga, Dikaia E.] NCSR Demokritos, Atmospher Chem &amp; Innovat Technol Lab, INRASTES, Aghia Paraskevi 15310, Athens, Greece; [Querol, Xavier] CSIC, Inst Environm Assessment &amp; Water Res IDAEA, Barcelona, Spain; [Duarte, Regina M. B. O.] Univ Aveiro, CESAM Ctr Environm &amp; Marine Studies, Dept Chem, P-3810193 Aveiro, Portugal; [Aquilina, Noel J.] Univ Malta, Fac Sci Chem &amp; Pharmacol Bldg, Dept Chem, Msida 2080, Msd, Malta; [Canha, Nuno] Univ Lisbon, Ctr Ciencias &amp; Tecnol Nucl C2TN, Inst Super Tecn, Estr Nacl 10,Km 139-7, P-2695066 Bobadela, Portugal; [Alvarez, Elena Gomez] Univ Cordoba, Dept Agron, Campus Rabanales, E-14071 Cordoba, Spain; [Jovasevic-Stojanovic, Milena] Univ Belgrade, Inst Nucl Sci, Natl Inst Republ Serbia, Belgrade, Serbia; [Beko, Gabriel] Tech Univ Denmark, Dept Environm &amp; Resource Engn, Lyngby, Denmark; [Beko, Gabriel] Ajman Univ, Hlth &amp; Sustainable Built Environm Res Ctr, POB 346, Ajman, U Arab Emirates; [Bycenkiene, Steigvile; Plauskaite, Kristina] Ctr Phys Sci &amp; Technol FTMC, Dept Environm Res, Sauletekio ave 3, LT-10257 Vilnius, Lithuania; [Kovacevic, Renata] Min &amp; Met Inst, Bor, Serbia; [Carslaw, Nicola] Univ York, Dept Environm &amp; Geog, York, England</t>
        </is>
      </c>
      <c r="Y460" t="inlineStr">
        <is>
          <t>National Centre of Scientific Research Demokritos; Consejo Superior de Investigaciones Cientificas (CSIC); CSIC - Centro de Investigacion y Desarrollo Pascual Vila (CID-CSIC); CSIC - Instituto de Diagnostico Ambiental y Estudios del Agua (IDAEA); Universidade de Aveiro; University of Malta; Universidade de Lisboa; Instituto Superior Tecnico; Universidad de Cordoba; University of Belgrade; Technical University of Denmark; Ajman University; Center for Physical Sciences &amp; Technology - Lithuania; University of York - UK</t>
        </is>
      </c>
      <c r="Z460" t="inlineStr">
        <is>
          <t>Saraga, DE (corresponding author), NCSR Demokritos, Atmospher Chem &amp; Innovat Technol Lab, INRASTES, Aghia Paraskevi 15310, Athens, Greece.</t>
        </is>
      </c>
      <c r="AA460" t="inlineStr">
        <is>
          <t>dsaraga@ipta.demokritos.gr</t>
        </is>
      </c>
      <c r="AB460" t="inlineStr">
        <is>
          <t>Canha, Nuno/C-1026-2012; Querol, Xavier/E-2800-2014; Gomez Alvarez, Elena/N-2055-2016; Duarte, Regina/E-1115-2011; Beko, Gabriel/C-8684-2009; Aquilina, Noel/AEN-3434-2022</t>
        </is>
      </c>
      <c r="AC460" t="inlineStr">
        <is>
          <t>Canha, Nuno/0000-0002-0856-8448; Querol, Xavier/0000-0002-6549-9899; Gomez Alvarez, Elena/0000-0001-5235-9806; Duarte, Regina/0000-0002-1825-6528; Beko, Gabriel/0000-0001-6107-8336; Saraga, Dikaia/0000-0002-8877-0776; Aquilina, Noel/0000-0002-8199-6692; Kovacevic, Renata/0000-0003-4108-0855</t>
        </is>
      </c>
      <c r="AD460" t="inlineStr">
        <is>
          <t>COST (European Cooperation in Science and Technology) [CA17136]; FCT/MCTES [UIDP/50017/2020 + UIDB/50017/2020 + LA/P/0094/2020]</t>
        </is>
      </c>
      <c r="AE460" t="inlineStr">
        <is>
          <t>COST (European Cooperation in Science and Technology)(European Cooperation in Science and Technology (COST)); FCT/MCTES(Fundacao para a Ciencia e a Tecnologia (FCT))</t>
        </is>
      </c>
      <c r="AF460" t="inlineStr">
        <is>
          <t>This article is based upon work from COST Action INDAIRPOLLNET, CA17136, supported by COST (European Cooperation in Science and Technology). One of the authors (Regina M.B.O. Duarte) also wishes to acknowledge FCT/MCTES for the financial support to CESAM (UIDP/50017/2020 + UIDB/50017/2020 + LA/P/0094/2020) through national funds.</t>
        </is>
      </c>
      <c r="AH460" t="n">
        <v>165</v>
      </c>
      <c r="AI460" t="n">
        <v>0</v>
      </c>
      <c r="AJ460" t="n">
        <v>0</v>
      </c>
      <c r="AK460" t="n">
        <v>20</v>
      </c>
      <c r="AL460" t="n">
        <v>20</v>
      </c>
      <c r="AM460" t="inlineStr">
        <is>
          <t>ELSEVIER</t>
        </is>
      </c>
      <c r="AN460" t="inlineStr">
        <is>
          <t>AMSTERDAM</t>
        </is>
      </c>
      <c r="AO460" t="inlineStr">
        <is>
          <t>RADARWEG 29, 1043 NX AMSTERDAM, NETHERLANDS</t>
        </is>
      </c>
      <c r="AP460" t="inlineStr">
        <is>
          <t>0048-9697</t>
        </is>
      </c>
      <c r="AQ460" t="inlineStr">
        <is>
          <t>1879-1026</t>
        </is>
      </c>
      <c r="AS460" t="inlineStr">
        <is>
          <t>SCI TOTAL ENVIRON</t>
        </is>
      </c>
      <c r="AT460" t="inlineStr">
        <is>
          <t>Sci. Total Environ.</t>
        </is>
      </c>
      <c r="AU460" t="inlineStr">
        <is>
          <t>NOV 20</t>
        </is>
      </c>
      <c r="AV460" t="n">
        <v>2023</v>
      </c>
      <c r="AW460" t="n">
        <v>900</v>
      </c>
      <c r="BE460" t="n">
        <v>165744</v>
      </c>
      <c r="BF460" t="inlineStr">
        <is>
          <t>10.1016/j.scitotenv.2023.165744</t>
        </is>
      </c>
      <c r="BG460">
        <f>HYPERLINK("http://dx.doi.org/10.1016/j.scitotenv.2023.165744","http://dx.doi.org/10.1016/j.scitotenv.2023.165744")</f>
        <v/>
      </c>
      <c r="BJ460" t="n">
        <v>21</v>
      </c>
      <c r="BK460" t="inlineStr">
        <is>
          <t>Environmental Sciences</t>
        </is>
      </c>
      <c r="BL460" t="inlineStr">
        <is>
          <t>Science Citation Index Expanded (SCI-EXPANDED)</t>
        </is>
      </c>
      <c r="BM460" t="inlineStr">
        <is>
          <t>Environmental Sciences &amp; Ecology</t>
        </is>
      </c>
      <c r="BN460" t="inlineStr">
        <is>
          <t>Q5UX1</t>
        </is>
      </c>
      <c r="BO460" t="n">
        <v>37487894</v>
      </c>
      <c r="BS460" t="inlineStr">
        <is>
          <t>2023-10-26</t>
        </is>
      </c>
      <c r="BT460" t="inlineStr">
        <is>
          <t>WOS:001058183500001</t>
        </is>
      </c>
      <c r="BU460">
        <f>HYPERLINK("https%3A%2F%2Fwww.webofscience.com%2Fwos%2Fwoscc%2Ffull-record%2FWOS:001058183500001","View Full Record in Web of Science")</f>
        <v/>
      </c>
    </row>
    <row r="461">
      <c r="A461" t="inlineStr">
        <is>
          <t>J</t>
        </is>
      </c>
      <c r="B461" t="inlineStr">
        <is>
          <t>Vehviläinen, T; Lindholm, H; Rintamäki, H; Pääkkönen, R; Hirvonen, A; Niemi, O; Vinha, J</t>
        </is>
      </c>
      <c r="F461" t="inlineStr">
        <is>
          <t>Vehvilainen, Tommi y; Lindholm, Harri; Rintamaki, Hannu; Paakkonen, Rauno; Hirvonen, Ari; Niemi, Olli; Vinha, Juha</t>
        </is>
      </c>
      <c r="J461" t="inlineStr">
        <is>
          <t>JOURNAL OF OCCUPATIONAL AND ENVIRONMENTAL HYGIENE</t>
        </is>
      </c>
      <c r="M461" t="inlineStr">
        <is>
          <t>English</t>
        </is>
      </c>
      <c r="N461" t="inlineStr">
        <is>
          <t>Article</t>
        </is>
      </c>
      <c r="T461" t="inlineStr">
        <is>
          <t>High indoor CO2 concentrations in an office environment increases the transcutaneous CO2 level and sleepiness during cognitive work</t>
        </is>
      </c>
      <c r="U461" t="inlineStr">
        <is>
          <t>Autonomic nervous system function; blood gases; carbon dioxide; room ventilation; skin temperatures</t>
        </is>
      </c>
      <c r="V461" t="inlineStr">
        <is>
          <t>HEART-RATE-VARIABILITY; SALIVARY ALPHA-AMYLASE; SICK BUILDING SYNDROME; AIR-QUALITY; CARBON-DIOXIDE; BLOOD-FLOW; HEALTH; TEMPERATURE; PERFORMANCE; VENTILATION</t>
        </is>
      </c>
      <c r="W461" t="inlineStr">
        <is>
          <t>The purpose of this study is to perform a multiparametric analysis on the environmental factors, the physiological stress reactions in the body, the measured alertness, and the subjective symptoms during simulated office work. Volunteer male subjects were monitored during three 4-hr work meetings in an office room, both in a ventilated and a non-ventilated environment. The environmental parameters measured included CO2, temperature, and relative humidity. The physiological test battery consisted of measuring autonomic nervous system functions, salivary stress hormones, blood's CO2- content and oxygen saturation, skin temperatures, thermal sensations, vigilance, and sleepiness. The study shows that we can see physiological changes caused by high CO2 concentration. The findings support the view that low or moderate level increases in concentration of CO2 in indoor air might cause elevation in the blood's transcutaneously assessed CO2. The observed findings are higher CO2 concentrations in tissues, changes in heart rate variation, and an increase of peripheral blood circulation during exposure to elevated CO2 concentration. The subjective parameters and symptoms support the physiological findings. This study shows that a high concentration of CO2 in indoor air seem to be one parameter causing physiological effects, which can decrease the facility user's functional ability. The correct amount of ventilation with relation to the number of people using the facility, functional air distribution, and regular breaks can counteract the decrease in functional ability. The findings of the study suggest that merely increasing ventilation is not necessarily a rational solution from a technical-economical viewpoint. Instead or in addition, more comprehensive, anthropocentric planning of space is needed as well as instructions and new kinds of reference values for the design and realization of office environments.</t>
        </is>
      </c>
      <c r="X461" t="inlineStr">
        <is>
          <t>[Vehvilainen, Tommi y] Sirate Grp Ltd, FIN-33100 Tampere, Finland; [Vehvilainen, Tommi y; Niemi, Olli; Vinha, Juha] Tampere Univ Technol, Dept Civil Engn, FIN-33101 Tampere, Finland; [Lindholm, Harri] Finnish Inst Occupat Hlth, Ctr Excellence Hlth &amp; Work Abil Phys Work Capac, Helsinki, Finland; [Rintamaki, Hannu] Finnish Inst Occupat Hlth, Ctr Excellence Hlth &amp; Work Abil Phys Work Capac, Oulu, Finland; [Paakkonen, Rauno] Finnish Inst Occupat Hlth, Theme Well Being Solut Workpl, Tampere, Finland; [Hirvonen, Ari] Finnish Inst Occupat Hlth, Ctr Excellence Hlth &amp; Work Abil, Syst Toxicol, Helsinki, Finland; [Niemi, Olli] Univ Properties Finland Ltd, Tampere, Finland</t>
        </is>
      </c>
      <c r="Y461" t="inlineStr">
        <is>
          <t>Tampere University; Finnish Institute of Occupational Health; Finnish Institute of Occupational Health; Finnish Institute of Occupational Health; Finnish Institute of Occupational Health</t>
        </is>
      </c>
      <c r="Z461" t="inlineStr">
        <is>
          <t>Vehviläinen, T (corresponding author), Sirate Grp Ltd, Erkkilankatu 11 A, FIN-33100 Tampere, Finland.</t>
        </is>
      </c>
      <c r="AA461" t="inlineStr">
        <is>
          <t>tommi.vehvilainen@sirate.fi</t>
        </is>
      </c>
      <c r="AB461" t="inlineStr">
        <is>
          <t>Vinha, Juha/ABY-3830-2022</t>
        </is>
      </c>
      <c r="AD461" t="inlineStr">
        <is>
          <t>University Properties of Finland Ltd.; RYM Indoor Environment Program; Finnish Funding Agency for Technology and Innovation (TEKES)</t>
        </is>
      </c>
      <c r="AE461" t="inlineStr">
        <is>
          <t>University Properties of Finland Ltd.; RYM Indoor Environment Program; Finnish Funding Agency for Technology and Innovation (TEKES)(Finnish Funding Agency for Technology &amp; Innovation (TEKES))</t>
        </is>
      </c>
      <c r="AF461" t="inlineStr">
        <is>
          <t>This research project is sponsored by the University Properties of Finland Ltd. and the RYM Indoor Environment Program with the support of the Finnish Funding Agency for Technology and Innovation (TEKES).</t>
        </is>
      </c>
      <c r="AH461" t="n">
        <v>49</v>
      </c>
      <c r="AI461" t="n">
        <v>85</v>
      </c>
      <c r="AJ461" t="n">
        <v>87</v>
      </c>
      <c r="AK461" t="n">
        <v>4</v>
      </c>
      <c r="AL461" t="n">
        <v>88</v>
      </c>
      <c r="AM461" t="inlineStr">
        <is>
          <t>TAYLOR &amp; FRANCIS INC</t>
        </is>
      </c>
      <c r="AN461" t="inlineStr">
        <is>
          <t>PHILADELPHIA</t>
        </is>
      </c>
      <c r="AO461" t="inlineStr">
        <is>
          <t>530 WALNUT STREET, STE 850, PHILADELPHIA, PA 19106 USA</t>
        </is>
      </c>
      <c r="AP461" t="inlineStr">
        <is>
          <t>1545-9624</t>
        </is>
      </c>
      <c r="AQ461" t="inlineStr">
        <is>
          <t>1545-9632</t>
        </is>
      </c>
      <c r="AS461" t="inlineStr">
        <is>
          <t>J OCCUP ENVIRON HYG</t>
        </is>
      </c>
      <c r="AT461" t="inlineStr">
        <is>
          <t>J. Occup. Environ. Hyg.</t>
        </is>
      </c>
      <c r="AU461" t="inlineStr">
        <is>
          <t>JAN 2</t>
        </is>
      </c>
      <c r="AV461" t="n">
        <v>2016</v>
      </c>
      <c r="AW461" t="n">
        <v>13</v>
      </c>
      <c r="AX461" t="n">
        <v>1</v>
      </c>
      <c r="BC461" t="n">
        <v>19</v>
      </c>
      <c r="BD461" t="n">
        <v>29</v>
      </c>
      <c r="BF461" t="inlineStr">
        <is>
          <t>10.1080/15459624.2015.1076160</t>
        </is>
      </c>
      <c r="BG461">
        <f>HYPERLINK("http://dx.doi.org/10.1080/15459624.2015.1076160","http://dx.doi.org/10.1080/15459624.2015.1076160")</f>
        <v/>
      </c>
      <c r="BJ461" t="n">
        <v>11</v>
      </c>
      <c r="BK461" t="inlineStr">
        <is>
          <t>Environmental Sciences; Public, Environmental &amp; Occupational Health</t>
        </is>
      </c>
      <c r="BL461" t="inlineStr">
        <is>
          <t>Science Citation Index Expanded (SCI-EXPANDED)</t>
        </is>
      </c>
      <c r="BM461" t="inlineStr">
        <is>
          <t>Environmental Sciences &amp; Ecology; Public, Environmental &amp; Occupational Health</t>
        </is>
      </c>
      <c r="BN461" t="inlineStr">
        <is>
          <t>DA1YS</t>
        </is>
      </c>
      <c r="BO461" t="n">
        <v>26273786</v>
      </c>
      <c r="BS461" t="inlineStr">
        <is>
          <t>2023-10-26</t>
        </is>
      </c>
      <c r="BT461" t="inlineStr">
        <is>
          <t>WOS:000367592700003</t>
        </is>
      </c>
      <c r="BU461">
        <f>HYPERLINK("https%3A%2F%2Fwww.webofscience.com%2Fwos%2Fwoscc%2Ffull-record%2FWOS:000367592700003","View Full Record in Web of Science")</f>
        <v/>
      </c>
    </row>
    <row r="462">
      <c r="A462" t="inlineStr">
        <is>
          <t>J</t>
        </is>
      </c>
      <c r="B462" t="inlineStr">
        <is>
          <t>Katapally, TR; Muhajarine, N</t>
        </is>
      </c>
      <c r="F462" t="inlineStr">
        <is>
          <t>Katapally, Tarun R.; Muhajarine, Nazeem</t>
        </is>
      </c>
      <c r="J462" t="inlineStr">
        <is>
          <t>INTERNATIONAL JOURNAL OF ENVIRONMENTAL RESEARCH AND PUBLIC HEALTH</t>
        </is>
      </c>
      <c r="M462" t="inlineStr">
        <is>
          <t>English</t>
        </is>
      </c>
      <c r="N462" t="inlineStr">
        <is>
          <t>Article</t>
        </is>
      </c>
      <c r="T462" t="inlineStr">
        <is>
          <t>Capturing the Interrelationship between Objectively Measured Physical Activity and Sedentary Behaviour in Children in the Context of Diverse Environmental Exposures</t>
        </is>
      </c>
      <c r="U462" t="inlineStr">
        <is>
          <t>active living research; ecological perspective; urban design; built environment; home environment; social environment; children; moderate to vigorous physical activity; light physical activity; sedentary behaviour</t>
        </is>
      </c>
      <c r="V462" t="inlineStr">
        <is>
          <t>NEIGHBORHOOD ENVIRONMENT; ADOLESCENTS; ASSOCIATIONS; PATTERNS; WEEKEND; HEALTH; HOME</t>
        </is>
      </c>
      <c r="W462" t="inlineStr">
        <is>
          <t>Even though physical activity and sedentary behaviour are two distinct behaviours, their interdependent relationship needs to be studied in the same environment. This study examines the influence of urban design, neighbourhood built and social environment, and household and individual factors on the interdependent relationship between objectively measured physical activity and sedentary behaviour in children in the Canadian city of Saskatoon. Saskatoon's built environment was assessed by two validated observation tools. Neighbourhood socioeconomic variables were derived from 2006 Statistics Canada Census and 2010 G5 Census projections. A questionnaire was administered to 10-14 year old children to collect individual and household data, followed by accelerometry to collect physical activity and sedentary behaviour data. Multilevel logistic regression models were developed to understand the interrelationship between physical activity and sedentary behaviour in the context of diverse environmental exposures. A complex set of factors including denser built environment, positive peer relationships and consistent parental support influenced the interrelationship between physical activity and sedentary behaviour. In developing interventions to facilitate active living, it is not only imperative to delineate pathways through which diverse environmental exposures influence physical activity and sedentary behaviour, but also to account for the interrelationship between physical activity and sedentary behaviour.</t>
        </is>
      </c>
      <c r="X462" t="inlineStr">
        <is>
          <t>[Katapally, Tarun R.; Muhajarine, Nazeem] Univ Saskatchewan, Coll Med, Dept Epidemiol &amp; Community Hlth, Saskatoon, SK S7N 5E5, Canada; [Katapally, Tarun R.] Univ Regina, Johnson Shoyama Grad Sch Publ Policy, Regina, SK S4S 7H1, Canada; [Muhajarine, Nazeem] Univ Saskatchewan, Saskatchewan Populat Hlth &amp; Evaluat Res Unit, Saskatoon, SK S7N 5E5, Canada; [Muhajarine, Nazeem] Univ Regina, Saskatoon, SK S7N 5E5, Canada</t>
        </is>
      </c>
      <c r="Y462" t="inlineStr">
        <is>
          <t>University of Saskatchewan; University of Regina; University of Saskatchewan; University of Regina</t>
        </is>
      </c>
      <c r="Z462" t="inlineStr">
        <is>
          <t>Katapally, TR (corresponding author), Univ Saskatchewan, Coll Med, Dept Epidemiol &amp; Community Hlth, Saskatoon, SK S7N 5E5, Canada.</t>
        </is>
      </c>
      <c r="AA462" t="inlineStr">
        <is>
          <t>tarun.katapally@usask.ca; Nazeem.muhajarine@usask.ca</t>
        </is>
      </c>
      <c r="AB462" t="inlineStr">
        <is>
          <t>Muhajarine, Nazeem/D-7360-2012</t>
        </is>
      </c>
      <c r="AD462" t="inlineStr">
        <is>
          <t>Canadian Institutes of Health Research; Heart and Stroke Foundation of Canada; R&amp;D: Health Research Foundation</t>
        </is>
      </c>
      <c r="AE462" t="inlineStr">
        <is>
          <t>Canadian Institutes of Health Research(Canadian Institutes of Health Research (CIHR)); Heart and Stroke Foundation of Canada(Heart &amp; Stroke Foundation of Canada); R&amp;D: Health Research Foundation</t>
        </is>
      </c>
      <c r="AF462" t="inlineStr">
        <is>
          <t>The authors acknowledge the Smart Cities, Healthy Kids research team and staff. Smart Cities, Healthy Kids study is funded by the Canadian Institutes of Health Research, Heart and Stroke Foundation of Canada, and R&amp;D: Health Research Foundation.</t>
        </is>
      </c>
      <c r="AH462" t="n">
        <v>45</v>
      </c>
      <c r="AI462" t="n">
        <v>14</v>
      </c>
      <c r="AJ462" t="n">
        <v>14</v>
      </c>
      <c r="AK462" t="n">
        <v>1</v>
      </c>
      <c r="AL462" t="n">
        <v>21</v>
      </c>
      <c r="AM462" t="inlineStr">
        <is>
          <t>MDPI</t>
        </is>
      </c>
      <c r="AN462" t="inlineStr">
        <is>
          <t>BASEL</t>
        </is>
      </c>
      <c r="AO462" t="inlineStr">
        <is>
          <t>ST ALBAN-ANLAGE 66, CH-4052 BASEL, SWITZERLAND</t>
        </is>
      </c>
      <c r="AQ462" t="inlineStr">
        <is>
          <t>1660-4601</t>
        </is>
      </c>
      <c r="AS462" t="inlineStr">
        <is>
          <t>INT J ENV RES PUB HE</t>
        </is>
      </c>
      <c r="AT462" t="inlineStr">
        <is>
          <t>Int. J. Environ. Res. Public Health</t>
        </is>
      </c>
      <c r="AU462" t="inlineStr">
        <is>
          <t>SEP</t>
        </is>
      </c>
      <c r="AV462" t="n">
        <v>2015</v>
      </c>
      <c r="AW462" t="n">
        <v>12</v>
      </c>
      <c r="AX462" t="n">
        <v>9</v>
      </c>
      <c r="BC462" t="n">
        <v>10995</v>
      </c>
      <c r="BD462" t="n">
        <v>11011</v>
      </c>
      <c r="BF462" t="inlineStr">
        <is>
          <t>10.3390/ijerph120910995</t>
        </is>
      </c>
      <c r="BG462">
        <f>HYPERLINK("http://dx.doi.org/10.3390/ijerph120910995","http://dx.doi.org/10.3390/ijerph120910995")</f>
        <v/>
      </c>
      <c r="BJ462" t="n">
        <v>17</v>
      </c>
      <c r="BK462" t="inlineStr">
        <is>
          <t>Environmental Sciences; Public, Environmental &amp; Occupational Health</t>
        </is>
      </c>
      <c r="BL462" t="inlineStr">
        <is>
          <t>Science Citation Index Expanded (SCI-EXPANDED)</t>
        </is>
      </c>
      <c r="BM462" t="inlineStr">
        <is>
          <t>Environmental Sciences &amp; Ecology; Public, Environmental &amp; Occupational Health</t>
        </is>
      </c>
      <c r="BN462" t="inlineStr">
        <is>
          <t>CS2HF</t>
        </is>
      </c>
      <c r="BO462" t="n">
        <v>26371015</v>
      </c>
      <c r="BP462" t="inlineStr">
        <is>
          <t>Green Published, gold, Green Submitted</t>
        </is>
      </c>
      <c r="BS462" t="inlineStr">
        <is>
          <t>2023-10-26</t>
        </is>
      </c>
      <c r="BT462" t="inlineStr">
        <is>
          <t>WOS:000361889100033</t>
        </is>
      </c>
      <c r="BU462">
        <f>HYPERLINK("https%3A%2F%2Fwww.webofscience.com%2Fwos%2Fwoscc%2Ffull-record%2FWOS:000361889100033","View Full Record in Web of Science")</f>
        <v/>
      </c>
    </row>
    <row r="463">
      <c r="A463" t="inlineStr">
        <is>
          <t>J</t>
        </is>
      </c>
      <c r="B463" t="inlineStr">
        <is>
          <t>Babbu, AH; Haque, M</t>
        </is>
      </c>
      <c r="F463" t="inlineStr">
        <is>
          <t>Babbu, Abdul Halim; Haque, Mazharul</t>
        </is>
      </c>
      <c r="J463" t="inlineStr">
        <is>
          <t>EUROPEAN JOURNAL OF SUSTAINABLE DEVELOPMENT</t>
        </is>
      </c>
      <c r="M463" t="inlineStr">
        <is>
          <t>English</t>
        </is>
      </c>
      <c r="N463" t="inlineStr">
        <is>
          <t>Article</t>
        </is>
      </c>
      <c r="T463" t="inlineStr">
        <is>
          <t>Design Characteristics for Sustainable Pediatric Healthcare Environments: Stakeholder's Perception</t>
        </is>
      </c>
      <c r="U463" t="inlineStr">
        <is>
          <t>pediatric therapeutic environment; healthcare design; child-friendly design; therapeutic play; family-centred care</t>
        </is>
      </c>
      <c r="V463" t="inlineStr">
        <is>
          <t>BUILT ENVIRONMENT; HEALING ENVIRONMENT; CHILDRENS; HOSPITALS; IMPACT; POSTOCCUPANCY; PERSPECTIVES; SATISFACTION; DISTRACTION; PREFERENCES</t>
        </is>
      </c>
      <c r="W463" t="inlineStr">
        <is>
          <t>Background: The therapeutic environments of children and adolescents differ from those of adults, and are complex entities. Though studies have been conducted on the built environments of adult healthcare facilities, the impact of therapeutic environments on the health outcomes of pediatric patients is yet to be explored. Objective: The purpose of this study is to investigate design characteristics for creating a pleasant, comfortable, and child-friendly physical environment in children's healthcare settings. Method: After extracting features that influence pediatric healthcare design from the relevant literature, a survey questionnaire, consisting of 45 items from 14 domains, was conducted. Principal component analysis (PCA) using varimax rotation was used to explore the intrinsic concept in an Indian sample (N= 224). Results: PCA with varimax rotation yielded 4- factors: distraction strategies; and (4) sense of autonomy and control, accounting for 78.14% of the explained variance. A factor loading range of 0.41 to 0.93 was found across the four variables, indicating construct validity, and all the factors were found to be significantly related to each other. Conclusions: This study concludes that the built environment of pediatric healthcare settings impacts patients' health outcomes and behaviour, with decreased patient stress &amp; anxiety, and better family experience. The findings suggest the need of providing comfort to the children through several rejuvenating elements such as positive distraction strategies, play opportunities, family and peer interaction, childfriendly design, age-associated characteristics, etc. It also suggests various design characteristics that help contribute the positive patient health outcomes.</t>
        </is>
      </c>
      <c r="X463" t="inlineStr">
        <is>
          <t>[Babbu, Abdul Halim] Jamia Millia Islamia, Dept Architecture, New Delhi, India; [Babbu, Abdul Halim; Haque, Mazharul] Natl Inst Technol NIT, Dept Architecture, Patna, India</t>
        </is>
      </c>
      <c r="Y463" t="inlineStr">
        <is>
          <t>Jamia Millia Islamia; National Institute of Technology (NIT System); National Institute of Technology Patna</t>
        </is>
      </c>
      <c r="Z463" t="inlineStr">
        <is>
          <t>Babbu, AH (corresponding author), Jamia Millia Islamia, Dept Architecture, New Delhi, India.;Babbu, AH (corresponding author), Natl Inst Technol NIT, Dept Architecture, Patna, India.</t>
        </is>
      </c>
      <c r="AH463" t="n">
        <v>56</v>
      </c>
      <c r="AI463" t="n">
        <v>0</v>
      </c>
      <c r="AJ463" t="n">
        <v>0</v>
      </c>
      <c r="AK463" t="n">
        <v>3</v>
      </c>
      <c r="AL463" t="n">
        <v>3</v>
      </c>
      <c r="AM463" t="inlineStr">
        <is>
          <t>EUROPEAN CENTER SUSTAINABLE DEVELOPMENT</t>
        </is>
      </c>
      <c r="AN463" t="inlineStr">
        <is>
          <t>ROME</t>
        </is>
      </c>
      <c r="AO463" t="inlineStr">
        <is>
          <t>VIA DEI FIORI 34, ROME, 00172, ITALY</t>
        </is>
      </c>
      <c r="AP463" t="inlineStr">
        <is>
          <t>2239-5938</t>
        </is>
      </c>
      <c r="AQ463" t="inlineStr">
        <is>
          <t>2239-6101</t>
        </is>
      </c>
      <c r="AS463" t="inlineStr">
        <is>
          <t>EUR J SUSTAIN DEV</t>
        </is>
      </c>
      <c r="AT463" t="inlineStr">
        <is>
          <t>Eur. J. Sustain. Dev.</t>
        </is>
      </c>
      <c r="AV463" t="n">
        <v>2023</v>
      </c>
      <c r="AW463" t="n">
        <v>12</v>
      </c>
      <c r="AX463" t="n">
        <v>1</v>
      </c>
      <c r="BC463" t="n">
        <v>113</v>
      </c>
      <c r="BD463" t="n">
        <v>128</v>
      </c>
      <c r="BF463" t="inlineStr">
        <is>
          <t>10.14207/ejsd.2023.v12n1p113</t>
        </is>
      </c>
      <c r="BG463">
        <f>HYPERLINK("http://dx.doi.org/10.14207/ejsd.2023.v12n1p113","http://dx.doi.org/10.14207/ejsd.2023.v12n1p113")</f>
        <v/>
      </c>
      <c r="BJ463" t="n">
        <v>16</v>
      </c>
      <c r="BK463" t="inlineStr">
        <is>
          <t>Environmental Sciences</t>
        </is>
      </c>
      <c r="BL463" t="inlineStr">
        <is>
          <t>Emerging Sources Citation Index (ESCI)</t>
        </is>
      </c>
      <c r="BM463" t="inlineStr">
        <is>
          <t>Environmental Sciences &amp; Ecology</t>
        </is>
      </c>
      <c r="BN463" t="inlineStr">
        <is>
          <t>8W4YM</t>
        </is>
      </c>
      <c r="BP463" t="inlineStr">
        <is>
          <t>gold</t>
        </is>
      </c>
      <c r="BS463" t="inlineStr">
        <is>
          <t>2023-10-26</t>
        </is>
      </c>
      <c r="BT463" t="inlineStr">
        <is>
          <t>WOS:000931340300007</t>
        </is>
      </c>
      <c r="BU463">
        <f>HYPERLINK("https%3A%2F%2Fwww.webofscience.com%2Fwos%2Fwoscc%2Ffull-record%2FWOS:000931340300007","View Full Record in Web of Science")</f>
        <v/>
      </c>
    </row>
    <row r="464">
      <c r="A464" t="inlineStr">
        <is>
          <t>J</t>
        </is>
      </c>
      <c r="B464" t="inlineStr">
        <is>
          <t>Hong, YK; Wang, ZY; Cho, JY</t>
        </is>
      </c>
      <c r="F464" t="inlineStr">
        <is>
          <t>Hong, Yi-Kyung; Wang, Ze-Yu; Cho, Ji Young</t>
        </is>
      </c>
      <c r="J464" t="inlineStr">
        <is>
          <t>INTERNATIONAL JOURNAL OF ENVIRONMENTAL RESEARCH AND PUBLIC HEALTH</t>
        </is>
      </c>
      <c r="M464" t="inlineStr">
        <is>
          <t>English</t>
        </is>
      </c>
      <c r="N464" t="inlineStr">
        <is>
          <t>Article</t>
        </is>
      </c>
      <c r="T464" t="inlineStr">
        <is>
          <t>Global Research Trends on Smart Homes for Older Adults: Bibliometric and Scientometric Analyses</t>
        </is>
      </c>
      <c r="U464" t="inlineStr">
        <is>
          <t>bibliometric analysis; scientometric analysis; smart home; older adults; VOSviewer</t>
        </is>
      </c>
      <c r="V464" t="inlineStr">
        <is>
          <t>PRESENT STATE; HEALTH-CARE; TECHNOLOGIES; INTERNET; SUPPORT; THINGS; TOOLS</t>
        </is>
      </c>
      <c r="W464" t="inlineStr">
        <is>
          <t>A growing aging population across the world signifies the importance of smart homes equipped with appropriate technology for the safety and health of older adults. Well-designed smart homes can increase the desire of older adults' aging-in-place and bring economic benefits to the country by reducing budgets for care providers. To obtain a structural overview and provide significant insights into the characteristics of smart homes for older adults, this study conducted bibliometric and scientometric analyses. We used the Web of Science Core Collection database, searching for keywords smart home*, home automation, or domotics with terms related to older adults, resulting in a total of 1408 documents. VOSviewer software was used to map and visualize the documents. The results showed that research on smart homes for older adults began appearing from 1997 and increased steadily, peaking from 2015. The main research areas were technical engineering fields, such as computer science and engineering, telecommunications with minimal research in humanities, social sciences, and design, indicating the necessity to expand research toward a human-centered perspective, age-friendly technology, and convergence study.</t>
        </is>
      </c>
      <c r="X464" t="inlineStr">
        <is>
          <t>[Hong, Yi-Kyung; Wang, Ze-Yu; Cho, Ji Young] Kyung Hee Univ, Dept Housing &amp; Interior Design AgeTech Serv Conve, Seoul 02447, South Korea</t>
        </is>
      </c>
      <c r="Y464" t="inlineStr">
        <is>
          <t>Kyung Hee University</t>
        </is>
      </c>
      <c r="Z464" t="inlineStr">
        <is>
          <t>Cho, JY (corresponding author), Kyung Hee Univ, Dept Housing &amp; Interior Design AgeTech Serv Conve, Seoul 02447, South Korea.</t>
        </is>
      </c>
      <c r="AA464" t="inlineStr">
        <is>
          <t>jcho@khu.ac.kr</t>
        </is>
      </c>
      <c r="AB464" t="inlineStr">
        <is>
          <t>liu, huan/JEO-4705-2023; Cho, Ji Young/ABC-8370-2020</t>
        </is>
      </c>
      <c r="AC464" t="inlineStr">
        <is>
          <t>Cho, Ji Young/0000-0003-2494-9133</t>
        </is>
      </c>
      <c r="AD464" t="inlineStr">
        <is>
          <t>BK21 plus program AgeTech-Service Convergence Major through the National Research Foundation (NRF) - Ministry of Education of Korea [5120200313836]; NRF - Korea government (MSIT) [2020R1A2C1009689]; National Research Foundation of Korea [2020R1A2C1009689] Funding Source: Korea Institute of Science &amp; Technology Information (KISTI), National Science &amp; Technology Information Service (NTIS)</t>
        </is>
      </c>
      <c r="AE464" t="inlineStr">
        <is>
          <t>BK21 plus program AgeTech-Service Convergence Major through the National Research Foundation (NRF) - Ministry of Education of Korea(Ministry of Education (MOE), Republic of Korea); NRF - Korea government (MSIT)(National Research Foundation of KoreaMinistry of Science &amp; ICT (MSIT), Republic of Korea); National Research Foundation of Korea(National Research Foundation of Korea)</t>
        </is>
      </c>
      <c r="AF464" t="inlineStr">
        <is>
          <t>This work was supported by the BK21 plus program AgeTech-Service Convergence Major through the National Research Foundation (NRF) funded by the Ministry of Education of Korea [5120200313836] and by the NRF grant funded by the Korea government (MSIT) [2020R1A2C1009689].</t>
        </is>
      </c>
      <c r="AH464" t="n">
        <v>86</v>
      </c>
      <c r="AI464" t="n">
        <v>1</v>
      </c>
      <c r="AJ464" t="n">
        <v>1</v>
      </c>
      <c r="AK464" t="n">
        <v>18</v>
      </c>
      <c r="AL464" t="n">
        <v>46</v>
      </c>
      <c r="AM464" t="inlineStr">
        <is>
          <t>MDPI</t>
        </is>
      </c>
      <c r="AN464" t="inlineStr">
        <is>
          <t>BASEL</t>
        </is>
      </c>
      <c r="AO464" t="inlineStr">
        <is>
          <t>ST ALBAN-ANLAGE 66, CH-4052 BASEL, SWITZERLAND</t>
        </is>
      </c>
      <c r="AQ464" t="inlineStr">
        <is>
          <t>1660-4601</t>
        </is>
      </c>
      <c r="AS464" t="inlineStr">
        <is>
          <t>INT J ENV RES PUB HE</t>
        </is>
      </c>
      <c r="AT464" t="inlineStr">
        <is>
          <t>Int. J. Environ. Res. Public Health</t>
        </is>
      </c>
      <c r="AU464" t="inlineStr">
        <is>
          <t>NOV</t>
        </is>
      </c>
      <c r="AV464" t="n">
        <v>2022</v>
      </c>
      <c r="AW464" t="n">
        <v>19</v>
      </c>
      <c r="AX464" t="n">
        <v>22</v>
      </c>
      <c r="BE464" t="n">
        <v>14821</v>
      </c>
      <c r="BF464" t="inlineStr">
        <is>
          <t>10.3390/ijerph192214821</t>
        </is>
      </c>
      <c r="BG464">
        <f>HYPERLINK("http://dx.doi.org/10.3390/ijerph192214821","http://dx.doi.org/10.3390/ijerph192214821")</f>
        <v/>
      </c>
      <c r="BJ464" t="n">
        <v>24</v>
      </c>
      <c r="BK464" t="inlineStr">
        <is>
          <t>Environmental Sciences; Public, Environmental &amp; Occupational Health</t>
        </is>
      </c>
      <c r="BL464" t="inlineStr">
        <is>
          <t>Science Citation Index Expanded (SCI-EXPANDED); Social Science Citation Index (SSCI)</t>
        </is>
      </c>
      <c r="BM464" t="inlineStr">
        <is>
          <t>Environmental Sciences &amp; Ecology; Public, Environmental &amp; Occupational Health</t>
        </is>
      </c>
      <c r="BN464" t="inlineStr">
        <is>
          <t>6K0BB</t>
        </is>
      </c>
      <c r="BO464" t="n">
        <v>36429540</v>
      </c>
      <c r="BP464" t="inlineStr">
        <is>
          <t>Green Published, gold</t>
        </is>
      </c>
      <c r="BS464" t="inlineStr">
        <is>
          <t>2023-10-26</t>
        </is>
      </c>
      <c r="BT464" t="inlineStr">
        <is>
          <t>WOS:000887178100001</t>
        </is>
      </c>
      <c r="BU464">
        <f>HYPERLINK("https%3A%2F%2Fwww.webofscience.com%2Fwos%2Fwoscc%2Ffull-record%2FWOS:000887178100001","View Full Record in Web of Science")</f>
        <v/>
      </c>
    </row>
    <row r="465">
      <c r="A465" t="inlineStr">
        <is>
          <t>J</t>
        </is>
      </c>
      <c r="B465" t="inlineStr">
        <is>
          <t>Besir, SE; Altuntas, SK; Sonmez, E; Demirel, O</t>
        </is>
      </c>
      <c r="F465" t="inlineStr">
        <is>
          <t>Besir, S. Ertas; Altuntas, S. Koc; Sonmez, E.; Demirel, O.</t>
        </is>
      </c>
      <c r="J465" t="inlineStr">
        <is>
          <t>JOURNAL OF ENVIRONMENTAL PROTECTION AND ECOLOGY</t>
        </is>
      </c>
      <c r="M465" t="inlineStr">
        <is>
          <t>English</t>
        </is>
      </c>
      <c r="N465" t="inlineStr">
        <is>
          <t>Article</t>
        </is>
      </c>
      <c r="T465" t="inlineStr">
        <is>
          <t>MODEL PROPOSAL TO INDICATE THE IMPACT OF TOURISM ON DETERMINING QUALITY OF LIFE IN RURAL ENVIRONMENTS</t>
        </is>
      </c>
      <c r="U465" t="inlineStr">
        <is>
          <t>rural environment; cultural tourism; socio-economic change; socio-cultural life; rural architectural heritage; indoor environmental quality</t>
        </is>
      </c>
      <c r="W465" t="inlineStr">
        <is>
          <t>The globalisation process has caused a rapid urban change and transformation; in recent years, with the tourism activity in rural areas, they have experienced the change of traditional life culture and texture. In this process, it is necessary to make the right planning decisions at both the settlement and building scale. In particular, the mismanagement of tourism activities; Changes in the life styles of societies may lead to the risk of abandonment of use and functions in traditional buildings. Thus, it can bring about negative developments such as the fact that settlements are a consumption product of mass tourism. With the study, it is aimed to prevent the negative developments of mass tourism in rural areas and to increase the level of social, economic and spatial life quality of tourism activities. A model proposal was developed with the inventory, analysis and evaluation process by using the Post Occupancy Evaluation (POE) method. The model proposal has been handled in three main dimensions and three main frameworks. At the end of the study, steps towards improving the life quality of rural environments were determined. In addition, it is predicted that it will contribute to the literature with the proposed model and solution suggestions.</t>
        </is>
      </c>
      <c r="X465" t="inlineStr">
        <is>
          <t>[Besir, S. Ertas] Akdeniz Univ, Dept Interior Architecture, Fac Architecture, Antalya, Turkey; [Altuntas, S. Koc] Karadeniz Tech Univ, Fac Architecture, Dept Interior Architecture, Trabzon, Turkey; [Sonmez, E.] Altinbas Univ, Dept Interior Architecture &amp; Environm Design, Sch Engn &amp; Nat Sci, Istanbul, Turkey; [Demirel, O.] Kirikkale Univ, Fac Fine Arts, Dept Landscape Architecture, Kirikkale, Turkey</t>
        </is>
      </c>
      <c r="Y465" t="inlineStr">
        <is>
          <t>Akdeniz University; Karadeniz Technical University; Altinbas University; Kirikkale University</t>
        </is>
      </c>
      <c r="Z465" t="inlineStr">
        <is>
          <t>Besir, SE (corresponding author), Akdeniz Univ, Dept Interior Architecture, Fac Architecture, Antalya, Turkey.</t>
        </is>
      </c>
      <c r="AA465" t="inlineStr">
        <is>
          <t>sertasbesir@akdeniz.edu.tr</t>
        </is>
      </c>
      <c r="AB465" t="inlineStr">
        <is>
          <t>Sönmez, Ece/JJC-8093-2023</t>
        </is>
      </c>
      <c r="AH465" t="n">
        <v>28</v>
      </c>
      <c r="AI465" t="n">
        <v>0</v>
      </c>
      <c r="AJ465" t="n">
        <v>0</v>
      </c>
      <c r="AK465" t="n">
        <v>2</v>
      </c>
      <c r="AL465" t="n">
        <v>11</v>
      </c>
      <c r="AM465" t="inlineStr">
        <is>
          <t>SCIBULCOM LTD</t>
        </is>
      </c>
      <c r="AN465" t="inlineStr">
        <is>
          <t>SOFIA</t>
        </is>
      </c>
      <c r="AO465" t="inlineStr">
        <is>
          <t>PO BOX 249, 1113 SOFIA, BULGARIA</t>
        </is>
      </c>
      <c r="AP465" t="inlineStr">
        <is>
          <t>1311-5065</t>
        </is>
      </c>
      <c r="AS465" t="inlineStr">
        <is>
          <t>J ENVIRON PROT ECOL</t>
        </is>
      </c>
      <c r="AT465" t="inlineStr">
        <is>
          <t>J. Environ. Prot. Ecol.</t>
        </is>
      </c>
      <c r="AV465" t="n">
        <v>2021</v>
      </c>
      <c r="AW465" t="n">
        <v>22</v>
      </c>
      <c r="AX465" t="n">
        <v>6</v>
      </c>
      <c r="BC465" t="n">
        <v>2466</v>
      </c>
      <c r="BD465" t="n">
        <v>2475</v>
      </c>
      <c r="BJ465" t="n">
        <v>10</v>
      </c>
      <c r="BK465" t="inlineStr">
        <is>
          <t>Environmental Sciences</t>
        </is>
      </c>
      <c r="BL465" t="inlineStr">
        <is>
          <t>Science Citation Index Expanded (SCI-EXPANDED)</t>
        </is>
      </c>
      <c r="BM465" t="inlineStr">
        <is>
          <t>Environmental Sciences &amp; Ecology</t>
        </is>
      </c>
      <c r="BN465" t="inlineStr">
        <is>
          <t>YY2UW</t>
        </is>
      </c>
      <c r="BS465" t="inlineStr">
        <is>
          <t>2023-10-26</t>
        </is>
      </c>
      <c r="BT465" t="inlineStr">
        <is>
          <t>WOS:000754649200020</t>
        </is>
      </c>
      <c r="BU465">
        <f>HYPERLINK("https%3A%2F%2Fwww.webofscience.com%2Fwos%2Fwoscc%2Ffull-record%2FWOS:000754649200020","View Full Record in Web of Science")</f>
        <v/>
      </c>
    </row>
    <row r="466">
      <c r="A466" t="inlineStr">
        <is>
          <t>J</t>
        </is>
      </c>
      <c r="B466" t="inlineStr">
        <is>
          <t>Stanisic, S; Perisic, M; Jovanovic, G; Milicevic, T; Romanic, SH; Jovanovic, A; Sostaric, A; Udovicic, V; Stojic, A</t>
        </is>
      </c>
      <c r="F466" t="inlineStr">
        <is>
          <t>Stanisic, Svetlana; Perisic, Mirjana; Jovanovic, Gordana; Milicevic, Tijana; Romanic, Snjezana Herceg; Jovanovic, Aleksandar; Sostaric, Andrej; Udovicic, Vladimir; Stojic, Andreja</t>
        </is>
      </c>
      <c r="J466" t="inlineStr">
        <is>
          <t>ENVIRONMENTAL RESEARCH</t>
        </is>
      </c>
      <c r="M466" t="inlineStr">
        <is>
          <t>English</t>
        </is>
      </c>
      <c r="N466" t="inlineStr">
        <is>
          <t>Article</t>
        </is>
      </c>
      <c r="T466" t="inlineStr">
        <is>
          <t>The PM2.5-bound polycyclic aromatic hydrocarbon behavior in indoor and outdoor environments, part I: Emission sources</t>
        </is>
      </c>
      <c r="U466" t="inlineStr">
        <is>
          <t>Indoor/outdoor air quality; Polycyclic aromatic hydrocarbons; Source apportionment; XGBoost method; Explainable artificial intelligence</t>
        </is>
      </c>
      <c r="W466" t="inlineStr">
        <is>
          <t>The previous research, aimed at exploring the relationships between the indoor and outdoor air quality, has evidenced that outdoor PM2.5-bound polycyclic aromatic hydrocarbons (PAH) levels exhibit significant daily and seasonal variations which does not necessary corresponds with PAH indoor dynamics. For the purpose of this study, a three-month measurement campaign was performed simultaneously at indoor and outdoor sampling sites of a university building in an urban area of Belgrade (Serbia), during which the concentrations of O-3, CO, SO2, NOx, radon, PM2.5 and particle constituents including trace metals (As, Cd, Cr, Mn, Ni and Pb), ions (Cl- , Na+, Mg2+, Ca2+, K+, NO3-, SO42- and NH4+) and 16 US EPA priority PAHs were determined. Additionally, the analysis included 31 meteorological parameters, out of which 24 were obtained from Global Data Assimilation System (GDAS1) database. The Unmix and PAH diagnostic ratios analysis resolved the source profiles for both indoor and outdoor environment, which are comparable in terms of their apportionments and pollutant shares, although it should be emphasized that ratio-implied solutions should be taken with caution since these values do not reflect emission sources only. The highest contributions to air quality were attributed to sources identified as coal combustion and related pyrogenic processes. Noticeable correlations were observed between 5- and 6-ring high molecular weight PAHs, but, except for CO, no significant linear dependencies with other investigated variables were identified. The PAH level predictions in the indoor and outdoor environment was performed by using machine learning XGBoost method.</t>
        </is>
      </c>
      <c r="X466" t="inlineStr">
        <is>
          <t>[Stanisic, Svetlana; Perisic, Mirjana; Jovanovic, Gordana; Stojic, Andreja] Singidunum Univ, 32 Danijelova St, Belgrade 11000, Serbia; [Perisic, Mirjana; Jovanovic, Gordana; Milicevic, Tijana; Jovanovic, Aleksandar; Udovicic, Vladimir; Stojic, Andreja] Univ Belgrade, Inst Phys Belgrade, Natl Inst Republ Serbia, 118 Pregrevica St, Belgrade 11000, Serbia; [Romanic, Snjezana Herceg] Inst Med Res &amp; Occupat Hlth, 2 Ksaverska Cesta St,POB 291, Zagreb 10001, Croatia; [Sostaric, Andrej] Inst Publ Hlth Belgrade, 54 Despota Stefana St, Belgrade 11000, Serbia</t>
        </is>
      </c>
      <c r="Y466" t="inlineStr">
        <is>
          <t>University of Belgrade; Institute for Medical Research &amp; Occupational Health (IMROH)</t>
        </is>
      </c>
      <c r="Z466" t="inlineStr">
        <is>
          <t>Stanisic, S (corresponding author), Singidunum Univ, 32 Danijelova St, Belgrade 11000, Serbia.</t>
        </is>
      </c>
      <c r="AA466" t="inlineStr">
        <is>
          <t>sstanisic@singidunum.ac.rs; mirjana.perisic@ipb.ac.rs; gordana.vukovic@ipb.ac.rs; tijana.milicevic@ipb.ac.rs; sherceg@imi.hr; aleksandar.jovanovic@ipb.ac.rs; andrej.sostaric@zdravlje.org.rs; vladimir.udovicic@ipb.ac.rs; andreja.stojic@ipb.ac.rs</t>
        </is>
      </c>
      <c r="AB466" t="inlineStr">
        <is>
          <t>Perišić, Mirjana/W-8608-2019; Milićević, Tijana/M-1487-2019; Jovanovic, Gordana/L-8167-2015; Stojic, Andreja/F-5969-2017; Perisic, Mirjana/L-8943-2018</t>
        </is>
      </c>
      <c r="AC466" t="inlineStr">
        <is>
          <t>Milićević, Tijana/0000-0003-1258-910X; Stanisic, Svetlana/0000-0002-1842-7366; Jovanovic, Gordana/0000-0001-8657-423X; Stojic, Andreja/0000-0002-5293-9533; Perisic, Mirjana/0000-0002-8287-4136</t>
        </is>
      </c>
      <c r="AD466" t="inlineStr">
        <is>
          <t>Institute of Physics Belgrade, through Ministry of Education, Science and Technological Development of the Republic of Serbia; Science Fund of the Republic of Serbia [6524105]; AI ATLAS; Croatian Science Foundation -Project OPENTOX [8366]</t>
        </is>
      </c>
      <c r="AE466" t="inlineStr">
        <is>
          <t>Institute of Physics Belgrade, through Ministry of Education, Science and Technological Development of the Republic of Serbia; Science Fund of the Republic of Serbia; AI ATLAS; Croatian Science Foundation -Project OPENTOX</t>
        </is>
      </c>
      <c r="AF466" t="inlineStr">
        <is>
          <t>Funding: The authors acknowledge funding provided by the Institute of Physics Belgrade, through the grant by the Ministry of Education, Science and Technological Development of the Republic of Serbia, the Science Fund of the Republic of Serbia #GRANT No. 6524105, AI ATLAS, as well as the Croatian Science Foundation -Project OPENTOX No. 8366.</t>
        </is>
      </c>
      <c r="AH466" t="n">
        <v>52</v>
      </c>
      <c r="AI466" t="n">
        <v>8</v>
      </c>
      <c r="AJ466" t="n">
        <v>8</v>
      </c>
      <c r="AK466" t="n">
        <v>4</v>
      </c>
      <c r="AL466" t="n">
        <v>31</v>
      </c>
      <c r="AM466" t="inlineStr">
        <is>
          <t>ACADEMIC PRESS INC ELSEVIER SCIENCE</t>
        </is>
      </c>
      <c r="AN466" t="inlineStr">
        <is>
          <t>SAN DIEGO</t>
        </is>
      </c>
      <c r="AO466" t="inlineStr">
        <is>
          <t>525 B ST, STE 1900, SAN DIEGO, CA 92101-4495 USA</t>
        </is>
      </c>
      <c r="AP466" t="inlineStr">
        <is>
          <t>0013-9351</t>
        </is>
      </c>
      <c r="AQ466" t="inlineStr">
        <is>
          <t>1096-0953</t>
        </is>
      </c>
      <c r="AS466" t="inlineStr">
        <is>
          <t>ENVIRON RES</t>
        </is>
      </c>
      <c r="AT466" t="inlineStr">
        <is>
          <t>Environ. Res.</t>
        </is>
      </c>
      <c r="AU466" t="inlineStr">
        <is>
          <t>FEB</t>
        </is>
      </c>
      <c r="AV466" t="n">
        <v>2021</v>
      </c>
      <c r="AW466" t="n">
        <v>193</v>
      </c>
      <c r="BE466" t="n">
        <v>110520</v>
      </c>
      <c r="BF466" t="inlineStr">
        <is>
          <t>10.1016/j.envres.2020.110520</t>
        </is>
      </c>
      <c r="BG466">
        <f>HYPERLINK("http://dx.doi.org/10.1016/j.envres.2020.110520","http://dx.doi.org/10.1016/j.envres.2020.110520")</f>
        <v/>
      </c>
      <c r="BJ466" t="n">
        <v>13</v>
      </c>
      <c r="BK466" t="inlineStr">
        <is>
          <t>Environmental Sciences; Public, Environmental &amp; Occupational Health</t>
        </is>
      </c>
      <c r="BL466" t="inlineStr">
        <is>
          <t>Science Citation Index Expanded (SCI-EXPANDED)</t>
        </is>
      </c>
      <c r="BM466" t="inlineStr">
        <is>
          <t>Environmental Sciences &amp; Ecology; Public, Environmental &amp; Occupational Health</t>
        </is>
      </c>
      <c r="BN466" t="inlineStr">
        <is>
          <t>QB1XZ</t>
        </is>
      </c>
      <c r="BO466" t="n">
        <v>33259787</v>
      </c>
      <c r="BS466" t="inlineStr">
        <is>
          <t>2023-10-26</t>
        </is>
      </c>
      <c r="BT466" t="inlineStr">
        <is>
          <t>WOS:000613937500009</t>
        </is>
      </c>
      <c r="BU466">
        <f>HYPERLINK("https%3A%2F%2Fwww.webofscience.com%2Fwos%2Fwoscc%2Ffull-record%2FWOS:000613937500009","View Full Record in Web of Science")</f>
        <v/>
      </c>
    </row>
    <row r="467">
      <c r="A467" t="inlineStr">
        <is>
          <t>J</t>
        </is>
      </c>
      <c r="B467" t="inlineStr">
        <is>
          <t>Wu, JD; He, X; Li, Y; Shi, PJ; Ye, T; Li, N</t>
        </is>
      </c>
      <c r="F467" t="inlineStr">
        <is>
          <t>Wu, Jidong; He, Xin; Li, Ying; Shi, Peijun; Ye, Tao; Li, Ning</t>
        </is>
      </c>
      <c r="J467" t="inlineStr">
        <is>
          <t>JOURNAL OF ENVIRONMENTAL MANAGEMENT</t>
        </is>
      </c>
      <c r="M467" t="inlineStr">
        <is>
          <t>English</t>
        </is>
      </c>
      <c r="N467" t="inlineStr">
        <is>
          <t>Article</t>
        </is>
      </c>
      <c r="T467" t="inlineStr">
        <is>
          <t>How earthquake-induced direct economic losses change with earthquake magnitude, asset value, residential building structural type and physical environment: An elasticity perspective</t>
        </is>
      </c>
      <c r="U467" t="inlineStr">
        <is>
          <t>Natural hazard-induced disasters; Loss attribution; Exposure; Vulnerability; Risk assessment; Physical environment instability</t>
        </is>
      </c>
      <c r="V467" t="inlineStr">
        <is>
          <t>WENCHUAN EARTHQUAKE; RISK-ASSESSMENT; LANDSLIDES; DAMAGE; VULNERABILITY; CHINA</t>
        </is>
      </c>
      <c r="W467" t="inlineStr">
        <is>
          <t>Diagnosing all components of risk is essential in earthquake loss attribution science, but quantitative estimates on how sensitive the earthquake-induced direct economic losses (DELs) are to changes in hazard, exposure and vulnerability is rarely known. Here the relationship between earthquake DELs and earthquake magnitude (Ms), asset value exposure (K), proportion of non-steel-concrete residential buildings (H) and physical environment instability (E) is quantified using the concept of economic elasticity. Earthquake disaster event-based DEL records over the period from 1990 to 2016 for the mainland of China are fitted to a regression model. Elasticity values for Ms, K, H and E are 7.63, 0.75, 4.92 and 0.91, respectively, indicating that on average, DEL changes are more sensitive to changes in Ms and H-a 13% increase in Ms or a 20% increase in H would double earthquake DELs, while it may take a 133% increase in K or a 110% increase in E to cause the same economic losses. In turn, this suggests that human factors-decreasing H and K-could be efficient ways to reduce earthquake risk, while these two factors will become increasingly relevant for risk assessment in the future with continued economic growth. The elasticity estimate results could be used for studying future change in earthquake risks and for supporting disaster risk reduction strategies.</t>
        </is>
      </c>
      <c r="X467" t="inlineStr">
        <is>
          <t>[Wu, Jidong; He, Xin; Li, Ying; Shi, Peijun; Ye, Tao; Li, Ning] Beijing Normal Univ, Minist Educ, Key Lab Environm Change &amp; Nat Disaster, Beijing 100875, Peoples R China; [Wu, Jidong; Shi, Peijun; Ye, Tao; Li, Ning] Beijing Normal Univ, Fac Geog Sci, State Key Lab Earth Surface Proc &amp; Resource Ecol, Beijing 100875, Peoples R China</t>
        </is>
      </c>
      <c r="Y467" t="inlineStr">
        <is>
          <t>Beijing Normal University; Beijing Normal University</t>
        </is>
      </c>
      <c r="Z467" t="inlineStr">
        <is>
          <t>Wu, JD (corresponding author), Beijing Normal Univ, Fac Geog Sci, 19 Xinjiekouwai St, Beijing 100875, Peoples R China.</t>
        </is>
      </c>
      <c r="AA467" t="inlineStr">
        <is>
          <t>wujidong@bnu.edu.cn; hxin2017@163.com; ying.li@bnu.edu.cn; spj@bnu.edu.cn; yetao@bnu.edu.cn; ningli@bnu.edu.cn</t>
        </is>
      </c>
      <c r="AB467" t="inlineStr">
        <is>
          <t>Wu, Jidong/A-4500-2017</t>
        </is>
      </c>
      <c r="AC467" t="inlineStr">
        <is>
          <t>Wu, Jidong/0000-0001-8208-8373; Shi, Peijun/0000-0002-2968-7331</t>
        </is>
      </c>
      <c r="AD467" t="inlineStr">
        <is>
          <t>National Natural Science Foundation of China [41571492]; National Key Research and Development Program [2016YEA0602403]; 111 Project [B08008]</t>
        </is>
      </c>
      <c r="AE467" t="inlineStr">
        <is>
          <t>National Natural Science Foundation of China(National Natural Science Foundation of China (NSFC)); National Key Research and Development Program; 111 Project(Ministry of Education, China - 111 Project)</t>
        </is>
      </c>
      <c r="AF467" t="inlineStr">
        <is>
          <t>This work was supported by the National Natural Science Foundation of China (grant number 41571492); the National Key Research and Development Program (grant number 2016YEA0602403); and the 111 Project (grant number B08008).</t>
        </is>
      </c>
      <c r="AH467" t="n">
        <v>48</v>
      </c>
      <c r="AI467" t="n">
        <v>21</v>
      </c>
      <c r="AJ467" t="n">
        <v>22</v>
      </c>
      <c r="AK467" t="n">
        <v>2</v>
      </c>
      <c r="AL467" t="n">
        <v>31</v>
      </c>
      <c r="AM467" t="inlineStr">
        <is>
          <t>ACADEMIC PRESS LTD- ELSEVIER SCIENCE LTD</t>
        </is>
      </c>
      <c r="AN467" t="inlineStr">
        <is>
          <t>LONDON</t>
        </is>
      </c>
      <c r="AO467" t="inlineStr">
        <is>
          <t>24-28 OVAL RD, LONDON NW1 7DX, ENGLAND</t>
        </is>
      </c>
      <c r="AP467" t="inlineStr">
        <is>
          <t>0301-4797</t>
        </is>
      </c>
      <c r="AQ467" t="inlineStr">
        <is>
          <t>1095-8630</t>
        </is>
      </c>
      <c r="AS467" t="inlineStr">
        <is>
          <t>J ENVIRON MANAGE</t>
        </is>
      </c>
      <c r="AT467" t="inlineStr">
        <is>
          <t>J. Environ. Manage.</t>
        </is>
      </c>
      <c r="AU467" t="inlineStr">
        <is>
          <t>FEB 1</t>
        </is>
      </c>
      <c r="AV467" t="n">
        <v>2019</v>
      </c>
      <c r="AW467" t="n">
        <v>231</v>
      </c>
      <c r="BC467" t="n">
        <v>321</v>
      </c>
      <c r="BD467" t="n">
        <v>328</v>
      </c>
      <c r="BF467" t="inlineStr">
        <is>
          <t>10.1016/j.jenvman.2018.10.050</t>
        </is>
      </c>
      <c r="BG467">
        <f>HYPERLINK("http://dx.doi.org/10.1016/j.jenvman.2018.10.050","http://dx.doi.org/10.1016/j.jenvman.2018.10.050")</f>
        <v/>
      </c>
      <c r="BJ467" t="n">
        <v>8</v>
      </c>
      <c r="BK467" t="inlineStr">
        <is>
          <t>Environmental Sciences</t>
        </is>
      </c>
      <c r="BL467" t="inlineStr">
        <is>
          <t>Science Citation Index Expanded (SCI-EXPANDED); Social Science Citation Index (SSCI)</t>
        </is>
      </c>
      <c r="BM467" t="inlineStr">
        <is>
          <t>Environmental Sciences &amp; Ecology</t>
        </is>
      </c>
      <c r="BN467" t="inlineStr">
        <is>
          <t>HI7MU</t>
        </is>
      </c>
      <c r="BO467" t="n">
        <v>30359897</v>
      </c>
      <c r="BS467" t="inlineStr">
        <is>
          <t>2023-10-26</t>
        </is>
      </c>
      <c r="BT467" t="inlineStr">
        <is>
          <t>WOS:000456641100035</t>
        </is>
      </c>
      <c r="BU467">
        <f>HYPERLINK("https%3A%2F%2Fwww.webofscience.com%2Fwos%2Fwoscc%2Ffull-record%2FWOS:000456641100035","View Full Record in Web of Science")</f>
        <v/>
      </c>
    </row>
    <row r="468">
      <c r="A468" t="inlineStr">
        <is>
          <t>J</t>
        </is>
      </c>
      <c r="B468" t="inlineStr">
        <is>
          <t>Baar, J; Romppel, M; Igel, U; Brähler, E; Grande, G</t>
        </is>
      </c>
      <c r="F468" t="inlineStr">
        <is>
          <t>Baar, Johanna; Romppel, Matthias; Igel, Ulrike; Braehler, Elmar; Grande, Gesine</t>
        </is>
      </c>
      <c r="J468" t="inlineStr">
        <is>
          <t>INTERNATIONAL JOURNAL OF ENVIRONMENTAL HEALTH RESEARCH</t>
        </is>
      </c>
      <c r="M468" t="inlineStr">
        <is>
          <t>English</t>
        </is>
      </c>
      <c r="N468" t="inlineStr">
        <is>
          <t>Article</t>
        </is>
      </c>
      <c r="T468" t="inlineStr">
        <is>
          <t>The independent relations of both residential self-selection and the environment to physical activity</t>
        </is>
      </c>
      <c r="U468" t="inlineStr">
        <is>
          <t>residential self-selection; ecological effect; neighbourhood; physical activity</t>
        </is>
      </c>
      <c r="V468" t="inlineStr">
        <is>
          <t>BUILT ENVIRONMENT; TRAVEL BEHAVIOR; NEIGHBORHOOD; CRIME; HEALTH</t>
        </is>
      </c>
      <c r="W468" t="inlineStr">
        <is>
          <t>Residential self-selection is supposed to bias the relation between residential environments and physical activity, but empirical analyses are still rare. This study examines the association while simultaneously considering the effect of residential self-selection criteria. One thousand two hundred and forty-five German students were asked to report their physical activity, their perceived environment, and their reasons for choosing their neighbourhood. Structural equation modelling was employed. Reasons for choosing a neighbourhood were related to actual environmental characteristics. Utilitarian reasons were related to less physical activity, hedonic reasons were related to higher physical activity. The street network was related to higher physical activity independent of residential self-selection. Our results support the weight of both individual preferences and the street network on physical activity. The residential environment has an impact on people's amount of physical activity regardless of their reasons for choosing a neighbourhood and should therefore be considered a resource in health prevention and promotion.</t>
        </is>
      </c>
      <c r="X468" t="inlineStr">
        <is>
          <t>[Baar, Johanna; Igel, Ulrike] Leipzig Univ Appl Sci, Fac Architecture &amp; Social Sci, Leipzig, Germany; [Baar, Johanna; Igel, Ulrike; Braehler, Elmar] Univ Leipzig, Inst Med Psychol &amp; Med Sociol, D-04109 Leipzig, Germany; [Romppel, Matthias; Grande, Gesine] Univ Bremen, Inst Publ Hlth &amp; Nursing Res, D-28359 Bremen, Germany; [Braehler, Elmar] Univ Med Ctr Mainz, Dept Psychosomat Med &amp; Psychotherapy, Mainz, Germany</t>
        </is>
      </c>
      <c r="Y468" t="inlineStr">
        <is>
          <t>Leipzig University; University of Bremen; Johannes Gutenberg University of Mainz</t>
        </is>
      </c>
      <c r="Z468" t="inlineStr">
        <is>
          <t>Baar, J (corresponding author), Leipzig Univ Appl Sci, Fac Architecture &amp; Social Sci, Leipzig, Germany.</t>
        </is>
      </c>
      <c r="AA468" t="inlineStr">
        <is>
          <t>baar@sug.htwk-leipzig.de</t>
        </is>
      </c>
      <c r="AB468" t="inlineStr">
        <is>
          <t>Grande, Gesine/AAT-5671-2020; Braehler, Elmar/C-6535-2009; Romppel, Matthias/B-8977-2017</t>
        </is>
      </c>
      <c r="AC468" t="inlineStr">
        <is>
          <t>Grande, Gesine/0000-0003-1820-8347; Braehler, Elmar/0000-0002-2648-2728; Romppel, Matthias/0000-0003-0420-7941</t>
        </is>
      </c>
      <c r="AD468" t="inlineStr">
        <is>
          <t>European Social Fund by development agency of Saxony (Sachsische Aufbaubank) [100088552, 100087692]</t>
        </is>
      </c>
      <c r="AE468" t="inlineStr">
        <is>
          <t>European Social Fund by development agency of Saxony (Sachsische Aufbaubank)</t>
        </is>
      </c>
      <c r="AF468" t="inlineStr">
        <is>
          <t>Johanna Baar and Ulrike Igel were supported by a doctoral scholarship from the European Social Fund [Grant No. 100088552, 100087692] provided by the development agency of Saxony (Sachsische Aufbaubank, http://www.sab.sachsen.de).</t>
        </is>
      </c>
      <c r="AH468" t="n">
        <v>36</v>
      </c>
      <c r="AI468" t="n">
        <v>12</v>
      </c>
      <c r="AJ468" t="n">
        <v>12</v>
      </c>
      <c r="AK468" t="n">
        <v>0</v>
      </c>
      <c r="AL468" t="n">
        <v>11</v>
      </c>
      <c r="AM468" t="inlineStr">
        <is>
          <t>TAYLOR &amp; FRANCIS LTD</t>
        </is>
      </c>
      <c r="AN468" t="inlineStr">
        <is>
          <t>ABINGDON</t>
        </is>
      </c>
      <c r="AO468" t="inlineStr">
        <is>
          <t>2-4 PARK SQUARE, MILTON PARK, ABINGDON OR14 4RN, OXON, ENGLAND</t>
        </is>
      </c>
      <c r="AP468" t="inlineStr">
        <is>
          <t>0960-3123</t>
        </is>
      </c>
      <c r="AQ468" t="inlineStr">
        <is>
          <t>1369-1619</t>
        </is>
      </c>
      <c r="AS468" t="inlineStr">
        <is>
          <t>INT J ENVIRON HEAL R</t>
        </is>
      </c>
      <c r="AT468" t="inlineStr">
        <is>
          <t>Int. J. Environ. Health Res.</t>
        </is>
      </c>
      <c r="AU468" t="inlineStr">
        <is>
          <t>MAY 4</t>
        </is>
      </c>
      <c r="AV468" t="n">
        <v>2015</v>
      </c>
      <c r="AW468" t="n">
        <v>25</v>
      </c>
      <c r="AX468" t="n">
        <v>3</v>
      </c>
      <c r="BC468" t="n">
        <v>288</v>
      </c>
      <c r="BD468" t="n">
        <v>298</v>
      </c>
      <c r="BF468" t="inlineStr">
        <is>
          <t>10.1080/09603123.2014.938029</t>
        </is>
      </c>
      <c r="BG468">
        <f>HYPERLINK("http://dx.doi.org/10.1080/09603123.2014.938029","http://dx.doi.org/10.1080/09603123.2014.938029")</f>
        <v/>
      </c>
      <c r="BJ468" t="n">
        <v>11</v>
      </c>
      <c r="BK468" t="inlineStr">
        <is>
          <t>Environmental Sciences; Public, Environmental &amp; Occupational Health</t>
        </is>
      </c>
      <c r="BL468" t="inlineStr">
        <is>
          <t>Science Citation Index Expanded (SCI-EXPANDED); Social Science Citation Index (SSCI)</t>
        </is>
      </c>
      <c r="BM468" t="inlineStr">
        <is>
          <t>Environmental Sciences &amp; Ecology; Public, Environmental &amp; Occupational Health</t>
        </is>
      </c>
      <c r="BN468" t="inlineStr">
        <is>
          <t>CG7SF</t>
        </is>
      </c>
      <c r="BO468" t="n">
        <v>25056815</v>
      </c>
      <c r="BS468" t="inlineStr">
        <is>
          <t>2023-10-26</t>
        </is>
      </c>
      <c r="BT468" t="inlineStr">
        <is>
          <t>WOS:000353504500006</t>
        </is>
      </c>
      <c r="BU468">
        <f>HYPERLINK("https%3A%2F%2Fwww.webofscience.com%2Fwos%2Fwoscc%2Ffull-record%2FWOS:000353504500006","View Full Record in Web of Science")</f>
        <v/>
      </c>
    </row>
    <row r="469">
      <c r="A469" t="inlineStr">
        <is>
          <t>J</t>
        </is>
      </c>
      <c r="B469" t="inlineStr">
        <is>
          <t>Edwards, N; Dulai, J; Rahman, A</t>
        </is>
      </c>
      <c r="F469" t="inlineStr">
        <is>
          <t>Edwards, Nancy; Dulai, Joshun; Rahman, Alvi</t>
        </is>
      </c>
      <c r="J469" t="inlineStr">
        <is>
          <t>INTERNATIONAL JOURNAL OF ENVIRONMENTAL RESEARCH AND PUBLIC HEALTH</t>
        </is>
      </c>
      <c r="M469" t="inlineStr">
        <is>
          <t>English</t>
        </is>
      </c>
      <c r="N469" t="inlineStr">
        <is>
          <t>Review</t>
        </is>
      </c>
      <c r="T469" t="inlineStr">
        <is>
          <t>A Scoping Review of Epidemiological, Ergonomic, and Longitudinal Cohort Studies Examining the Links between Stair and Bathroom Falls and the Built Environment</t>
        </is>
      </c>
      <c r="U469" t="inlineStr">
        <is>
          <t>epidemiological studies; ergonomic studies; longitudinal studies on aging; falls; environmental hazards; building codes</t>
        </is>
      </c>
      <c r="V469" t="inlineStr">
        <is>
          <t>GROUND REACTION FORCES; AGE-RELATED DIFFERENCES; TAI CHI EXERCISE; OLDER-ADULTS; PHYSICAL FUNCTION; RISK-FACTORS; INJURIOUS FALLS; BIOMECHANICAL DEMANDS; KNEE OSTEOARTHRITIS; DYNAMIC STABILITY</t>
        </is>
      </c>
      <c r="W469" t="inlineStr">
        <is>
          <t>Stair and bathroom falls contribute to injuries among older adults. This review examined which features of stairs and bathrooms have been assessed in epidemiological, ergonomic, and national aging studies on falls or their risk factors. Epidemiological and ergonomic studies were eligible if published from 2006-2017, written in English, included older persons, and reported built environment measures. The data extracted included the following: study population and design, outcome measures, and stair and bathroom features. National aging studies were eligible if English questionnaires were available, and if data were collected within the last 10 years. Sample characteristics; data collection methods; and data about falls, the environment, and assistive device use were extracted. There were 114 eligible articles assessed38 epidemiologic and 76 ergonomic. Among epidemiological studies, 2 assessed stair falls only, 4 assessed bathroom falls only, and 32 assessed falls in both locations. Among ergonomic studies, 67 simulated stairs and 9 simulated bathrooms. Specific environmental features were described in 14 (36.8%) epidemiological studies and 73 (96%) ergonomic studies. Thirteen national aging studies were identifiedfour had stair data and six had bathroom data. Most epidemiologic and national aging studies did not include specific measures of stairs or bathrooms; the built environment descriptions in ergonomic studies were more detailed. More consistent and detailed environmental measures in epidemiologic and national aging studies would better inform fall prevention approaches targeting the built environment.</t>
        </is>
      </c>
      <c r="X469" t="inlineStr">
        <is>
          <t>[Edwards, Nancy; Dulai, Joshun] Univ Ottawa, Sch Nursing, Ottawa, ON K1S 5L5, Canada; [Rahman, Alvi] McGill Univ, Dept Epidemiol Biostat &amp; Occupat Hlth, Montreal, PQ H3A 0G4, Canada</t>
        </is>
      </c>
      <c r="Y469" t="inlineStr">
        <is>
          <t>University of Ottawa; McGill University</t>
        </is>
      </c>
      <c r="Z469" t="inlineStr">
        <is>
          <t>Edwards, N (corresponding author), Univ Ottawa, Sch Nursing, Ottawa, ON K1S 5L5, Canada.</t>
        </is>
      </c>
      <c r="AA469" t="inlineStr">
        <is>
          <t>nancy.edwards@uottawa.ca; jdulai2@uottawa.ca; alvi.rahman@mail.mcgill.ca</t>
        </is>
      </c>
      <c r="AC469" t="inlineStr">
        <is>
          <t>Edwards, Nancy/0000-0002-3117-5888; Dulai, Joshun/0000-0002-7637-1882; Rahman, Alvi/0000-0001-8881-7020</t>
        </is>
      </c>
      <c r="AD469" t="inlineStr">
        <is>
          <t>Canadian Institutes of Health Research [122510]</t>
        </is>
      </c>
      <c r="AE469" t="inlineStr">
        <is>
          <t>Canadian Institutes of Health Research(Canadian Institutes of Health Research (CIHR))</t>
        </is>
      </c>
      <c r="AF469" t="inlineStr">
        <is>
          <t>This research was funded by the Canadian Institutes of Health Research, grant number #122510.</t>
        </is>
      </c>
      <c r="AH469" t="n">
        <v>117</v>
      </c>
      <c r="AI469" t="n">
        <v>4</v>
      </c>
      <c r="AJ469" t="n">
        <v>4</v>
      </c>
      <c r="AK469" t="n">
        <v>0</v>
      </c>
      <c r="AL469" t="n">
        <v>15</v>
      </c>
      <c r="AM469" t="inlineStr">
        <is>
          <t>MDPI</t>
        </is>
      </c>
      <c r="AN469" t="inlineStr">
        <is>
          <t>BASEL</t>
        </is>
      </c>
      <c r="AO469" t="inlineStr">
        <is>
          <t>ST ALBAN-ANLAGE 66, CH-4052 BASEL, SWITZERLAND</t>
        </is>
      </c>
      <c r="AP469" t="inlineStr">
        <is>
          <t>1661-7827</t>
        </is>
      </c>
      <c r="AQ469" t="inlineStr">
        <is>
          <t>1660-4601</t>
        </is>
      </c>
      <c r="AS469" t="inlineStr">
        <is>
          <t>INT J ENV RES PUB HE</t>
        </is>
      </c>
      <c r="AT469" t="inlineStr">
        <is>
          <t>Int. J. Environ. Res. Public Health</t>
        </is>
      </c>
      <c r="AU469" t="inlineStr">
        <is>
          <t>MAY 1</t>
        </is>
      </c>
      <c r="AV469" t="n">
        <v>2019</v>
      </c>
      <c r="AW469" t="n">
        <v>16</v>
      </c>
      <c r="AX469" t="n">
        <v>9</v>
      </c>
      <c r="BE469" t="n">
        <v>1598</v>
      </c>
      <c r="BF469" t="inlineStr">
        <is>
          <t>10.3390/ijerph16091598</t>
        </is>
      </c>
      <c r="BG469">
        <f>HYPERLINK("http://dx.doi.org/10.3390/ijerph16091598","http://dx.doi.org/10.3390/ijerph16091598")</f>
        <v/>
      </c>
      <c r="BJ469" t="n">
        <v>24</v>
      </c>
      <c r="BK469" t="inlineStr">
        <is>
          <t>Environmental Sciences; Public, Environmental &amp; Occupational Health</t>
        </is>
      </c>
      <c r="BL469" t="inlineStr">
        <is>
          <t>Science Citation Index Expanded (SCI-EXPANDED); Social Science Citation Index (SSCI)</t>
        </is>
      </c>
      <c r="BM469" t="inlineStr">
        <is>
          <t>Environmental Sciences &amp; Ecology; Public, Environmental &amp; Occupational Health</t>
        </is>
      </c>
      <c r="BN469" t="inlineStr">
        <is>
          <t>IA4ER</t>
        </is>
      </c>
      <c r="BO469" t="n">
        <v>31067692</v>
      </c>
      <c r="BP469" t="inlineStr">
        <is>
          <t>Green Published, Green Submitted, gold</t>
        </is>
      </c>
      <c r="BS469" t="inlineStr">
        <is>
          <t>2023-10-26</t>
        </is>
      </c>
      <c r="BT469" t="inlineStr">
        <is>
          <t>WOS:000469517300123</t>
        </is>
      </c>
      <c r="BU469">
        <f>HYPERLINK("https%3A%2F%2Fwww.webofscience.com%2Fwos%2Fwoscc%2Ffull-record%2FWOS:000469517300123","View Full Record in Web of Science")</f>
        <v/>
      </c>
    </row>
    <row r="470">
      <c r="A470" t="inlineStr">
        <is>
          <t>J</t>
        </is>
      </c>
      <c r="B470" t="inlineStr">
        <is>
          <t>Persson, J; Wang, T; Hagberg, J</t>
        </is>
      </c>
      <c r="F470" t="inlineStr">
        <is>
          <t>Persson, Josefin; Wang, Thanh; Hagberg, Jessika</t>
        </is>
      </c>
      <c r="J470" t="inlineStr">
        <is>
          <t>SCIENCE OF THE TOTAL ENVIRONMENT</t>
        </is>
      </c>
      <c r="M470" t="inlineStr">
        <is>
          <t>English</t>
        </is>
      </c>
      <c r="N470" t="inlineStr">
        <is>
          <t>Article</t>
        </is>
      </c>
      <c r="T470" t="inlineStr">
        <is>
          <t>Organophosphate flame retardants and plasticizers in indoor dust, air and window wipes in newly built low-energy preschools</t>
        </is>
      </c>
      <c r="U470" t="inlineStr">
        <is>
          <t>Organophosphate lame retardant; Plasticizer; Low-energy preschool; Environmental certified building; Indoor dust; Surface wipe</t>
        </is>
      </c>
      <c r="V470" t="inlineStr">
        <is>
          <t>PHYSICAL-CHEMICAL PROPERTIES; MULTI-RESIDUE METHOD; DAY-CARE-CENTERS; HUMAN EXPOSURE; SETTLED DUST; HOUSE-DUST; ENVIRONMENT; ESTERS; RECOMMENDATIONS; ORGANOBROMINE</t>
        </is>
      </c>
      <c r="W470" t="inlineStr">
        <is>
          <t>The construction of extremely airtight and energy efficient low-energy buildings is achieved by using functional building materials, such as age-resistant plastics, insulation, adhesives, and sealants. Additives such as organo-phosphate flame retardants (OPFRs) can be added to some of these building materials as flame retardants and plasticizers. Some OPFRs are considered persistent, bioaccumulative and toxic. Therefore, in this pilot study, the occurrence and distribution of nine OPFRs were determined for dust, air, and window wipe samples collected in newly built low-energy preschools with and without environmental certifications. Tris(1,3-dichloroisopropyl) phosphate (TDCIPP) and triphenyl phosphate (TPHP) were detected in all indoor dust samples at concentrations ranging from 0.014 to 10 mu g/g and 0.0069 to 79 mu g/g, respectively. Only six OPFRs (predominantly chlorinated OPFRs) were detected in the indoor air. All nine OPFRs were found on the window surfaces and the highest concentrations, which occurred in the reference preschool, were measured for 2-ethylhexyl diphenyl phosphate (EHDPP) (maximum concentration: 1500 ng/m(2)). Interestingly, the OPFR levels in the environmental certified low-energy preschools were lower than those in the reference preschool and the non-certified low-energy preschool, probably attributed to the usage of environmental friendly and low-emitting building materials, interior decorations, and consumer products. (C) 2018 Elsevier B.V. All rights reserved.</t>
        </is>
      </c>
      <c r="X470" t="inlineStr">
        <is>
          <t>[Persson, Josefin; Wang, Thanh; Hagberg, Jessika] Orebro Univ, Sch Sci &amp; Technol, Man Technol Environm MTM Res Ctr, SE-70182 Orebro, Sweden; [Hagberg, Jessika] Orebro Univ, Fac Med &amp; Hlth, Dept Occupat &amp; Environm Med, SE-70185 Orebro, Sweden</t>
        </is>
      </c>
      <c r="Y470" t="inlineStr">
        <is>
          <t>Orebro University; Orebro University</t>
        </is>
      </c>
      <c r="Z470" t="inlineStr">
        <is>
          <t>Wang, T (corresponding author), Orebro Univ, Sch Sci &amp; Technol, Man Technol Environm MTM Res Ctr, SE-70182 Orebro, Sweden.</t>
        </is>
      </c>
      <c r="AA470" t="inlineStr">
        <is>
          <t>thanh.wang@oru.se</t>
        </is>
      </c>
      <c r="AB470" t="inlineStr">
        <is>
          <t>Wang, Thanh/AAI-4603-2020; Wang, Thanh/D-1934-2011</t>
        </is>
      </c>
      <c r="AC470" t="inlineStr">
        <is>
          <t>Persson, Josefin/0000-0002-8041-4291; Wang, Thanh/0000-0002-5729-1908</t>
        </is>
      </c>
      <c r="AD470" t="inlineStr">
        <is>
          <t>Healthy Building Forum (HBF); Orebro University; Department of Occupational and Environmental Medicine at Orebro University Hospital</t>
        </is>
      </c>
      <c r="AE470" t="inlineStr">
        <is>
          <t>Healthy Building Forum (HBF); Orebro University; Department of Occupational and Environmental Medicine at Orebro University Hospital</t>
        </is>
      </c>
      <c r="AF470" t="inlineStr">
        <is>
          <t>This project was financed by the Healthy Building Forum (HBF), Orebro University and the Department of Occupational and Environmental Medicine at Orebro University Hospital. We would like to thank all the personnel at the participating preschools.</t>
        </is>
      </c>
      <c r="AH470" t="n">
        <v>47</v>
      </c>
      <c r="AI470" t="n">
        <v>48</v>
      </c>
      <c r="AJ470" t="n">
        <v>52</v>
      </c>
      <c r="AK470" t="n">
        <v>3</v>
      </c>
      <c r="AL470" t="n">
        <v>144</v>
      </c>
      <c r="AM470" t="inlineStr">
        <is>
          <t>ELSEVIER</t>
        </is>
      </c>
      <c r="AN470" t="inlineStr">
        <is>
          <t>AMSTERDAM</t>
        </is>
      </c>
      <c r="AO470" t="inlineStr">
        <is>
          <t>RADARWEG 29, 1043 NX AMSTERDAM, NETHERLANDS</t>
        </is>
      </c>
      <c r="AP470" t="inlineStr">
        <is>
          <t>0048-9697</t>
        </is>
      </c>
      <c r="AQ470" t="inlineStr">
        <is>
          <t>1879-1026</t>
        </is>
      </c>
      <c r="AS470" t="inlineStr">
        <is>
          <t>SCI TOTAL ENVIRON</t>
        </is>
      </c>
      <c r="AT470" t="inlineStr">
        <is>
          <t>Sci. Total Environ.</t>
        </is>
      </c>
      <c r="AU470" t="inlineStr">
        <is>
          <t>JUL 1</t>
        </is>
      </c>
      <c r="AV470" t="n">
        <v>2018</v>
      </c>
      <c r="AW470" t="inlineStr">
        <is>
          <t>628-629</t>
        </is>
      </c>
      <c r="BC470" t="n">
        <v>159</v>
      </c>
      <c r="BD470" t="n">
        <v>168</v>
      </c>
      <c r="BF470" t="inlineStr">
        <is>
          <t>10.1016/j.scitotenv.2018.02.053</t>
        </is>
      </c>
      <c r="BG470">
        <f>HYPERLINK("http://dx.doi.org/10.1016/j.scitotenv.2018.02.053","http://dx.doi.org/10.1016/j.scitotenv.2018.02.053")</f>
        <v/>
      </c>
      <c r="BJ470" t="n">
        <v>10</v>
      </c>
      <c r="BK470" t="inlineStr">
        <is>
          <t>Environmental Sciences</t>
        </is>
      </c>
      <c r="BL470" t="inlineStr">
        <is>
          <t>Science Citation Index Expanded (SCI-EXPANDED)</t>
        </is>
      </c>
      <c r="BM470" t="inlineStr">
        <is>
          <t>Environmental Sciences &amp; Ecology</t>
        </is>
      </c>
      <c r="BN470" t="inlineStr">
        <is>
          <t>GG1QP</t>
        </is>
      </c>
      <c r="BO470" t="n">
        <v>29432927</v>
      </c>
      <c r="BS470" t="inlineStr">
        <is>
          <t>2023-10-26</t>
        </is>
      </c>
      <c r="BT470" t="inlineStr">
        <is>
          <t>WOS:000432462000018</t>
        </is>
      </c>
      <c r="BU470">
        <f>HYPERLINK("https%3A%2F%2Fwww.webofscience.com%2Fwos%2Fwoscc%2Ffull-record%2FWOS:000432462000018","View Full Record in Web of Science")</f>
        <v/>
      </c>
    </row>
    <row r="471">
      <c r="A471" t="inlineStr">
        <is>
          <t>J</t>
        </is>
      </c>
      <c r="B471" t="inlineStr">
        <is>
          <t>Dragicevic, V; Kopic, M; Matic, DG; Grujicic, A</t>
        </is>
      </c>
      <c r="F471" t="inlineStr">
        <is>
          <t>Dragicevic, Vladimir; Kopic, Milos; Matic, Darinka Golubovic; Grujicic, Aleksandar</t>
        </is>
      </c>
      <c r="J471" t="inlineStr">
        <is>
          <t>SUSTAINABILITY</t>
        </is>
      </c>
      <c r="M471" t="inlineStr">
        <is>
          <t>English</t>
        </is>
      </c>
      <c r="N471" t="inlineStr">
        <is>
          <t>Article</t>
        </is>
      </c>
      <c r="T471" t="inlineStr">
        <is>
          <t>Urban Planning Impact on Mobility and Residential Satisfaction of Older People in Novi Sad</t>
        </is>
      </c>
      <c r="U471" t="inlineStr">
        <is>
          <t>built environment; sustainable communities; residential satisfaction; mobility; public spaces</t>
        </is>
      </c>
      <c r="V471" t="inlineStr">
        <is>
          <t>ELDERLY-PEOPLE; CITY-CENTER; GENTRIFICATION; TRAJECTORIES</t>
        </is>
      </c>
      <c r="W471" t="inlineStr">
        <is>
          <t>Social, political and economic changes have generated processes of revitalization of the built environment in post-socialist countries since the beginning of the 1990s; these changes are related to the physical structure of the city, its facilities and its functions, as well as the city landscape. Urban planning affects people's quality of and way of life, as well as residential satisfaction with the built environment, especially that of older people, who make up a significant part of sustainable communities. This paper examines the residential satisfaction of older adults in terms of mobility-that is, their ability to move using facilities offered by public transportation and public places-in two neighborhoods of Novi Sad which have undergone the most extensive urban regeneration. This approach is different from the existing urban studies dealing with residential satisfaction, which makes it a contribution to the literature. Unlike previous studies-which have explored residential satisfaction at the level of accessibility to local facilities, safety in the urban environment and support from the environment-this paper also investigates the impact of movement in public space on the residential satisfaction of older people. The results show that the residential satisfaction of older people is low with regard to public transport, the arrangement of public spaces and traffic infrastructure.</t>
        </is>
      </c>
      <c r="X471" t="inlineStr">
        <is>
          <t>[Dragicevic, Vladimir] JP Stand Backa Palanka, Backa Palanka 21400, Serbia; [Kopic, Milos] Univ Novi Sad, Fac Tech Sci, Novi Sad 21000, Serbia; [Matic, Darinka Golubovic] Univ Union Nikola Tesla, Fac Civil Engn, Belgrade 11000, Serbia; [Grujicic, Aleksandar] Univ Belgrade, Fac Architecture, Belgrade 11000, Serbia</t>
        </is>
      </c>
      <c r="Y471" t="inlineStr">
        <is>
          <t>University of Novi Sad; University of Belgrade; University of Belgrade</t>
        </is>
      </c>
      <c r="Z471" t="inlineStr">
        <is>
          <t>Kopic, M (corresponding author), Univ Novi Sad, Fac Tech Sci, Novi Sad 21000, Serbia.</t>
        </is>
      </c>
      <c r="AA471" t="inlineStr">
        <is>
          <t>vladimir.dragicevic@direkcijabp.rs; miloskopic@uns.ac.rs; dgolubovicmatic@unionnikolatesla.edu.rs; aleksandar.grujicic@arh.bg.ac.rs</t>
        </is>
      </c>
      <c r="AC471" t="inlineStr">
        <is>
          <t>Golubovic Matic, Darinka/0000-0003-4111-9385</t>
        </is>
      </c>
      <c r="AH471" t="n">
        <v>41</v>
      </c>
      <c r="AI471" t="n">
        <v>1</v>
      </c>
      <c r="AJ471" t="n">
        <v>1</v>
      </c>
      <c r="AK471" t="n">
        <v>5</v>
      </c>
      <c r="AL471" t="n">
        <v>21</v>
      </c>
      <c r="AM471" t="inlineStr">
        <is>
          <t>MDPI</t>
        </is>
      </c>
      <c r="AN471" t="inlineStr">
        <is>
          <t>BASEL</t>
        </is>
      </c>
      <c r="AO471" t="inlineStr">
        <is>
          <t>ST ALBAN-ANLAGE 66, CH-4052 BASEL, SWITZERLAND</t>
        </is>
      </c>
      <c r="AQ471" t="inlineStr">
        <is>
          <t>2071-1050</t>
        </is>
      </c>
      <c r="AS471" t="inlineStr">
        <is>
          <t>SUSTAINABILITY-BASEL</t>
        </is>
      </c>
      <c r="AT471" t="inlineStr">
        <is>
          <t>Sustainability</t>
        </is>
      </c>
      <c r="AU471" t="inlineStr">
        <is>
          <t>MAR</t>
        </is>
      </c>
      <c r="AV471" t="n">
        <v>2022</v>
      </c>
      <c r="AW471" t="n">
        <v>14</v>
      </c>
      <c r="AX471" t="n">
        <v>5</v>
      </c>
      <c r="BE471" t="n">
        <v>2689</v>
      </c>
      <c r="BF471" t="inlineStr">
        <is>
          <t>10.3390/su14052689</t>
        </is>
      </c>
      <c r="BG471">
        <f>HYPERLINK("http://dx.doi.org/10.3390/su14052689","http://dx.doi.org/10.3390/su14052689")</f>
        <v/>
      </c>
      <c r="BJ471" t="n">
        <v>15</v>
      </c>
      <c r="BK471" t="inlineStr">
        <is>
          <t>Green &amp; Sustainable Science &amp; Technology; Environmental Sciences; Environmental Studies</t>
        </is>
      </c>
      <c r="BL471" t="inlineStr">
        <is>
          <t>Science Citation Index Expanded (SCI-EXPANDED); Social Science Citation Index (SSCI)</t>
        </is>
      </c>
      <c r="BM471" t="inlineStr">
        <is>
          <t>Science &amp; Technology - Other Topics; Environmental Sciences &amp; Ecology</t>
        </is>
      </c>
      <c r="BN471" t="inlineStr">
        <is>
          <t>ZS5KY</t>
        </is>
      </c>
      <c r="BP471" t="inlineStr">
        <is>
          <t>Green Published, gold</t>
        </is>
      </c>
      <c r="BS471" t="inlineStr">
        <is>
          <t>2023-10-26</t>
        </is>
      </c>
      <c r="BT471" t="inlineStr">
        <is>
          <t>WOS:000768506300001</t>
        </is>
      </c>
      <c r="BU471">
        <f>HYPERLINK("https%3A%2F%2Fwww.webofscience.com%2Fwos%2Fwoscc%2Ffull-record%2FWOS:000768506300001","View Full Record in Web of Science")</f>
        <v/>
      </c>
    </row>
    <row r="472">
      <c r="A472" t="inlineStr">
        <is>
          <t>J</t>
        </is>
      </c>
      <c r="B472" t="inlineStr">
        <is>
          <t>Zhang, Q; Dong, R; Xu, D; Zhou, D; Rogora, A</t>
        </is>
      </c>
      <c r="F472" t="inlineStr">
        <is>
          <t>Zhang, Qian; Dong, Rui; Xu, Duo; Zhou, Dian; Rogora, Alessandro</t>
        </is>
      </c>
      <c r="J472" t="inlineStr">
        <is>
          <t>URBAN CLIMATE</t>
        </is>
      </c>
      <c r="M472" t="inlineStr">
        <is>
          <t>English</t>
        </is>
      </c>
      <c r="N472" t="inlineStr">
        <is>
          <t>Article</t>
        </is>
      </c>
      <c r="T472" t="inlineStr">
        <is>
          <t>Associations between summer wind environment and urban physical indicators in commercial blocks based on field measurement and simulation in Xi'an</t>
        </is>
      </c>
      <c r="U472" t="inlineStr">
        <is>
          <t>Wind environment; Commercial block; Spatial morphology; Xi 'an</t>
        </is>
      </c>
      <c r="V472" t="inlineStr">
        <is>
          <t>PEDESTRIAN-LEVEL WINDS; TALL BUILDINGS; AIR-FLOW; COMFORT; DISPERSION; IMPACTS; DESIGN; TUNNEL; SCALE</t>
        </is>
      </c>
      <c r="W472" t="inlineStr">
        <is>
          <t>As a major driving force to improve economic output, commercial blocks also play a significant role in enhancing urban vitality. Due to its characteristics of high building density and large building volume, many wind environment problems are likely to appear in commercial blocks. In this research, we simulated the wind environment of four theoretical block models and real commercial blocks in STREAM software. The results suggest that under the same other conditions, the wind speed inside the block is the lowest when its building footprint ratio reaches about 56%. When the building footprint ratio is greater than 56.3% and gradually increasing, or less than 39.1% and gradually decreasing, the wind speed both inside and around the block will be steadily increased. In addition, we also found the quantitative correlations between the wind environment and other urban physical indicators, such as mean building height, stagger ratio of building height and enclosure degree, according to which we proposed the adjustment strategies of the spatial form of commercial blocks. Finally, we used four cases to verify the effectiveness of these strategies in optimizing the wind environment of commercial blocks.</t>
        </is>
      </c>
      <c r="X472" t="inlineStr">
        <is>
          <t>[Zhang, Qian; Zhou, Dian] Shaanxi Land Engn Construct Grp Co Ltd, Technol Innovat Ctr Land Engn &amp; Human Settlements, Taiyuan, Peoples R China; [Zhang, Qian; Zhou, Dian] Xi An Jiao Tong Univ, Xian, Peoples R China; [Zhang, Qian; Rogora, Alessandro] Politecn Milan, Dept Architecture &amp; Urban Studies, Piazza Leonardo da Vinci, I-20133 Milan, Italy; [Dong, Rui] CCCC First Highway Consultants CO LTD, 62 Keji 2nd Rd, Xian, Shaanxi, Peoples R China; [Xu, Duo; Zhou, Dian] Xi An Jiao Tong Univ, Sch Human Settlements &amp; Civil Engn, 99 Yanxiang Rd, Xian, Shaanxi, Peoples R China</t>
        </is>
      </c>
      <c r="Y472" t="inlineStr">
        <is>
          <t>Xi'an Jiaotong University; Polytechnic University of Milan; Xi'an Jiaotong University</t>
        </is>
      </c>
      <c r="Z472" t="inlineStr">
        <is>
          <t>Zhang, Q (corresponding author), Politecn Milan, Dept Architecture &amp; Urban Studies, Piazza Leonardo da Vinci, I-20133 Milan, Italy.</t>
        </is>
      </c>
      <c r="AA472" t="inlineStr">
        <is>
          <t>qian.zhang@polimi.it</t>
        </is>
      </c>
      <c r="AD472" t="inlineStr">
        <is>
          <t>Technology Innovation Center for Land Engineering and Human Settlements, Shaanxi Land Engineering Construction Group Co...Ltd.; Xian Jiaotong University, China [201912131-A5]; Chinese Scholarship Council [201906280015]; Shaanxi Province Natural Science Foundation, China [2022JQ-311]; China Postdoctoral Science Foundation [2020 M6834975]</t>
        </is>
      </c>
      <c r="AE472" t="inlineStr">
        <is>
          <t>Technology Innovation Center for Land Engineering and Human Settlements, Shaanxi Land Engineering Construction Group Co...Ltd.; Xian Jiaotong University, China(Xi'an Jiaotong University); Chinese Scholarship Council(China Scholarship Council); Shaanxi Province Natural Science Foundation, China; China Postdoctoral Science Foundation(China Postdoctoral Science Foundation)</t>
        </is>
      </c>
      <c r="AF472" t="inlineStr">
        <is>
          <t>This work was supported in part by the Technology Innovation Center for Land Engineering and Human Settlements, Shaanxi Land Engineering Construction Group Co...Ltd. and Xian Jiaotong University, China under grant 201912131-A5, the Chinese Scholarship Council under grant 201906280015, the Shaanxi Province Natural Science Foundation, China under grant 2022JQ-311, and the China Postdoctoral Science Foundation funded project under grant 2020 M6834975. It is a pleasure to thank an anonymous reviewer for careful reading of our manuscript and very helpful comments and suggestions.</t>
        </is>
      </c>
      <c r="AH472" t="n">
        <v>40</v>
      </c>
      <c r="AI472" t="n">
        <v>0</v>
      </c>
      <c r="AJ472" t="n">
        <v>0</v>
      </c>
      <c r="AK472" t="n">
        <v>5</v>
      </c>
      <c r="AL472" t="n">
        <v>5</v>
      </c>
      <c r="AM472" t="inlineStr">
        <is>
          <t>ELSEVIER</t>
        </is>
      </c>
      <c r="AN472" t="inlineStr">
        <is>
          <t>AMSTERDAM</t>
        </is>
      </c>
      <c r="AO472" t="inlineStr">
        <is>
          <t>RADARWEG 29, 1043 NX AMSTERDAM, NETHERLANDS</t>
        </is>
      </c>
      <c r="AP472" t="inlineStr">
        <is>
          <t>2212-0955</t>
        </is>
      </c>
      <c r="AS472" t="inlineStr">
        <is>
          <t>URBAN CLIM</t>
        </is>
      </c>
      <c r="AT472" t="inlineStr">
        <is>
          <t>Urban CLim.</t>
        </is>
      </c>
      <c r="AU472" t="inlineStr">
        <is>
          <t>MAY</t>
        </is>
      </c>
      <c r="AV472" t="n">
        <v>2023</v>
      </c>
      <c r="AW472" t="n">
        <v>49</v>
      </c>
      <c r="BE472" t="n">
        <v>101544</v>
      </c>
      <c r="BF472" t="inlineStr">
        <is>
          <t>10.1016/j.uclim.2023.101544</t>
        </is>
      </c>
      <c r="BG472">
        <f>HYPERLINK("http://dx.doi.org/10.1016/j.uclim.2023.101544","http://dx.doi.org/10.1016/j.uclim.2023.101544")</f>
        <v/>
      </c>
      <c r="BI472" t="inlineStr">
        <is>
          <t>APR 2023</t>
        </is>
      </c>
      <c r="BJ472" t="n">
        <v>16</v>
      </c>
      <c r="BK472" t="inlineStr">
        <is>
          <t>Environmental Sciences; Meteorology &amp; Atmospheric Sciences</t>
        </is>
      </c>
      <c r="BL472" t="inlineStr">
        <is>
          <t>Science Citation Index Expanded (SCI-EXPANDED)</t>
        </is>
      </c>
      <c r="BM472" t="inlineStr">
        <is>
          <t>Environmental Sciences &amp; Ecology; Meteorology &amp; Atmospheric Sciences</t>
        </is>
      </c>
      <c r="BN472" t="inlineStr">
        <is>
          <t>G4DN8</t>
        </is>
      </c>
      <c r="BP472" t="inlineStr">
        <is>
          <t>Green Published, hybrid</t>
        </is>
      </c>
      <c r="BS472" t="inlineStr">
        <is>
          <t>2023-10-26</t>
        </is>
      </c>
      <c r="BT472" t="inlineStr">
        <is>
          <t>WOS:000988682800001</t>
        </is>
      </c>
      <c r="BU472">
        <f>HYPERLINK("https%3A%2F%2Fwww.webofscience.com%2Fwos%2Fwoscc%2Ffull-record%2FWOS:000988682800001","View Full Record in Web of Science")</f>
        <v/>
      </c>
    </row>
    <row r="473">
      <c r="A473" t="inlineStr">
        <is>
          <t>J</t>
        </is>
      </c>
      <c r="B473" t="inlineStr">
        <is>
          <t>Zijlema, WL; Triguero-Mas, M; Smith, G; Cirach, M; Martinez, D; Dadvand, P; Gascon, M; Jones, M; Gidlow, C; Hurst, G; Masterson, D; Ellis, N; van den Berg, M; Maas, J; van Kamp, I; van den Hazel, P; Kruize, H; Nieuwenhuijsen, MJ; Julvez, J</t>
        </is>
      </c>
      <c r="F473" t="inlineStr">
        <is>
          <t>Zijlema, Wilma L.; Triguero-Mas, Margarita; Smith, Graham; Cirach, Marta; Martinez, David; Dadvand, Payam; Gascon, Mireia; Jones, Marc; Gidlow, Christopher; Hurst, Gemma; Masterson, Daniel; Ellis, Naomi; van den Berg, Magdalena; Maas, Jolanda; van Kamp, Irene; van den Hazel, Peter; Kruize, Hanneke; Nieuwenhuijsen, Mark J.; Julvez, Jordi</t>
        </is>
      </c>
      <c r="J473" t="inlineStr">
        <is>
          <t>ENVIRONMENTAL RESEARCH</t>
        </is>
      </c>
      <c r="M473" t="inlineStr">
        <is>
          <t>English</t>
        </is>
      </c>
      <c r="N473" t="inlineStr">
        <is>
          <t>Article</t>
        </is>
      </c>
      <c r="T473" t="inlineStr">
        <is>
          <t>The relationship between natural outdoor environments and cognitive functioning and its mediators</t>
        </is>
      </c>
      <c r="U473" t="inlineStr">
        <is>
          <t>Natural outdoor environments; Green space; Cognition; Mediation; Environmental epidemiology; Built environment</t>
        </is>
      </c>
      <c r="V473" t="inlineStr">
        <is>
          <t>COLOR TRAILS TEST; PHYSICAL-ACTIVITY; MENTAL-HEALTH; AIR-POLLUTION; GREEN SPACE; URBAN ENVIRONMENTS; NATURE EXPERIENCE; EXPOSURE; BENEFITS; STRESS</t>
        </is>
      </c>
      <c r="W473" t="inlineStr">
        <is>
          <t>Background: Urban residents may experience cognitive fatigue and little opportunity for mental restoration due to a lack of access to nature. Natural outdoor environments (NOE) are thought to be beneficial for cognitive functioning, but underlying mechanisms are not clear. Objectives: To investigate the long-term association between NOE and cognitive function, and its potential mediators. 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 Results: Each 100 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en completion time, but no evidence for mediation was found. Nor were there indications for mediation by physical activity, social interaction with neighbors, loneliness, mental health, air pollution worries, or noise annoyance. Conclusions: Our findings provide some indication that proximity to nature may benefit cognitive function. We could not establish which mechanisms may explain this relationship.</t>
        </is>
      </c>
      <c r="X473" t="inlineStr">
        <is>
          <t>[Zijlema, Wilma L.; Triguero-Mas, Margarita; Cirach, Marta; Martinez, David; Dadvand, Payam; Gascon, Mireia; Nieuwenhuijsen, Mark J.; Julvez, Jordi] Barcelona Inst Global Hlth ISGlobal, Doctor Aiguader 88, Barcelona 08003, Spain; [Zijlema, Wilma L.; Triguero-Mas, Margarita; Cirach, Marta; Martinez, David; Dadvand, Payam; Gascon, Mireia; Nieuwenhuijsen, Mark J.; Julvez, Jordi] Univ Pompeu Fabra, Doctor Aiguader 88, Barcelona 08003, Spain; [Zijlema, Wilma L.; Triguero-Mas, Margarita; Cirach, Marta; Martinez, David; Dadvand, Payam; Gascon, Mireia; Nieuwenhuijsen, Mark J.; Julvez, Jordi] CIBERESP, Melchor Fernandez Almagro 3-5, Madrid 28029, Spain; [Smith, Graham; Jones, Marc; Gidlow, Christopher; Hurst, Gemma; Masterson, Daniel; Ellis, Naomi] Staffordshire Univ, Leek Rd, Stoke On Trent ST4 2DF, Staffs, England; [van den Berg, Magdalena] Vrije Univ Amsterdam Med Ctr, Dept Publ &amp; Occupat Hlth, De Boelelaan 1105, NL-1081 HV Amsterdam, Netherlands; [van den Berg, Magdalena] Vrije Univ Amsterdam Med Ctr, EMGO Inst Hlth &amp; Care Res, De Boelelaan 1105, NL-1081 HV Amsterdam, Netherlands; [Maas, Jolanda] Vrije Univ Amsterdam, Dept Clin Neuro &amp; Dev Psychol, De Boelelaan 1105, NL-1081 HV Amsterdam, Netherlands; [van Kamp, Irene; Kruize, Hanneke] RIVM, Antonie van Leeuwenhoeklaan 9, NL-3721 MA Bilthoven, Netherlands; [van den Hazel, Peter] VGGM, Eusebiusbuitensingel 43, NL-6828 HZ Arnhem, Netherlands</t>
        </is>
      </c>
      <c r="Y473" t="inlineStr">
        <is>
          <t>ISGlobal; Pompeu Fabra University; CIBER - Centro de Investigacion Biomedica en Red; CIBERESP; Staffordshire University; Vrije Universiteit Amsterdam; VU UNIVERSITY MEDICAL CENTER; Vrije Universiteit Amsterdam; VU UNIVERSITY MEDICAL CENTER; Vrije Universiteit Amsterdam; Netherlands National Institute for Public Health &amp; the Environment</t>
        </is>
      </c>
      <c r="Z473" t="inlineStr">
        <is>
          <t>Zijlema, WL; Julvez, J (corresponding author), Barcelona Inst Global Hlth ISGlobal, Doctor Aiguader 88, Barcelona 08003, Spain.</t>
        </is>
      </c>
      <c r="AA473" t="inlineStr">
        <is>
          <t>wilma.zijlema@isglobal.org; jordi.julvez@isglobal.org</t>
        </is>
      </c>
      <c r="AB473" t="inlineStr">
        <is>
          <t>Triguero Mas, Margarita/AAA-9148-2020; Zhang, Xiao/V-9027-2017; Zijlema, Wilma/AAE-2409-2021; martinez, david/GQI-0849-2022; Gascon, Mireia/G-1275-2016; Zijlema, Wilma/IXN-0633-2023; Julvez, Jordi/R-4531-2017; Dadvand, Payam/O-8053-2018; Nieuwenhuijsen, Mark J/C-3914-2017; Gidlow, Christopher James/C-5796-2018</t>
        </is>
      </c>
      <c r="AC473" t="inlineStr">
        <is>
          <t>Triguero Mas, Margarita/0000-0002-1580-2693; Zhang, Xiao/0000-0002-2932-5875; Gascon, Mireia/0000-0003-4537-8472; Julvez, Jordi/0000-0003-0818-4003; Dadvand, Payam/0000-0002-2325-1027; Nieuwenhuijsen, Mark J/0000-0001-9461-7981; Gidlow, Christopher James/0000-0003-4990-4572; Hurst, Gemma/0000-0001-6155-1189; Martinez, David/0000-0001-7001-7674; Jones, Marc/0000-0003-2999-3942; Ellis, Naomi/0000-0003-1909-4169; Zijlema, Wilma/0000-0002-6257-5091</t>
        </is>
      </c>
      <c r="AD473" t="inlineStr">
        <is>
          <t>European Community's Seventh Framework Programme (FP7) [282996]; Catalan Government [AGAUR FI-DGR-2013]; Ramon y Cajal [RYC-2012-10995]; Spanish Ministry of Economy and Competitiveness; Instituto de Salud Carlos III [CP14/00108, PI16/00261]; European Regional Development Fund; Miguel Servet [MS14/00108]; Spanish Institute of Health Carlos III; Ministry of Economy and Competitiveness</t>
        </is>
      </c>
      <c r="AE473" t="inlineStr">
        <is>
          <t>European Community's Seventh Framework Programme (FP7)(European Union (EU)); Catalan Government; Ramon y Cajal(Spanish Government); Spanish Ministry of Economy and Competitiveness(Spanish Government); Instituto de Salud Carlos III(Instituto de Salud Carlos IIISpanish Government); European Regional Development Fund(European Union (EU)); Miguel Servet; Spanish Institute of Health Carlos III(Instituto de Salud Carlos III); Ministry of Economy and Competitiveness</t>
        </is>
      </c>
      <c r="AF473" t="inlineStr">
        <is>
          <t>The research leading to these results has received funding from the European Community's Seventh Framework Programme (FP7/20072013) under grant agreement no 282996.Margarita Triguero-Mas is funded by a pre-doctoral grant from the Catalan Government (AGAUR FI-DGR-2013).Payam Dadvand is funded by a Ramon y Cajal fellowship (RYC-2012-10995) awarded by the Spanish Ministry of Economy and Competitiveness.ISGlobal is a member of the CERCA Programme, Generalitat de Catalunya.This study has been funded by Instituto de Salud Carlos III through the projects CP14/00108 &amp; PI16/00261 (Co-funded by European Regional Development Fund A way to make Europe).Jordi Julvez was funded by a Miguel Servet fellowship (MS14/00108) awarded by the Spanish Institute of Health Carlos III (Ministry of Economy and Competitiveness).The fenders had no role in study design,data collection and analysis,decision to publish,or preparation of the manuscript.</t>
        </is>
      </c>
      <c r="AH473" t="n">
        <v>61</v>
      </c>
      <c r="AI473" t="n">
        <v>73</v>
      </c>
      <c r="AJ473" t="n">
        <v>75</v>
      </c>
      <c r="AK473" t="n">
        <v>8</v>
      </c>
      <c r="AL473" t="n">
        <v>134</v>
      </c>
      <c r="AM473" t="inlineStr">
        <is>
          <t>ACADEMIC PRESS INC ELSEVIER SCIENCE</t>
        </is>
      </c>
      <c r="AN473" t="inlineStr">
        <is>
          <t>SAN DIEGO</t>
        </is>
      </c>
      <c r="AO473" t="inlineStr">
        <is>
          <t>525 B ST, STE 1900, SAN DIEGO, CA 92101-4495 USA</t>
        </is>
      </c>
      <c r="AP473" t="inlineStr">
        <is>
          <t>0013-9351</t>
        </is>
      </c>
      <c r="AQ473" t="inlineStr">
        <is>
          <t>1096-0953</t>
        </is>
      </c>
      <c r="AS473" t="inlineStr">
        <is>
          <t>ENVIRON RES</t>
        </is>
      </c>
      <c r="AT473" t="inlineStr">
        <is>
          <t>Environ. Res.</t>
        </is>
      </c>
      <c r="AU473" t="inlineStr">
        <is>
          <t>MAY</t>
        </is>
      </c>
      <c r="AV473" t="n">
        <v>2017</v>
      </c>
      <c r="AW473" t="n">
        <v>155</v>
      </c>
      <c r="BC473" t="n">
        <v>268</v>
      </c>
      <c r="BD473" t="n">
        <v>275</v>
      </c>
      <c r="BF473" t="inlineStr">
        <is>
          <t>10.1016/j.envres.2017.02.017</t>
        </is>
      </c>
      <c r="BG473">
        <f>HYPERLINK("http://dx.doi.org/10.1016/j.envres.2017.02.017","http://dx.doi.org/10.1016/j.envres.2017.02.017")</f>
        <v/>
      </c>
      <c r="BJ473" t="n">
        <v>8</v>
      </c>
      <c r="BK473" t="inlineStr">
        <is>
          <t>Environmental Sciences; Public, Environmental &amp; Occupational Health</t>
        </is>
      </c>
      <c r="BL473" t="inlineStr">
        <is>
          <t>Science Citation Index Expanded (SCI-EXPANDED); Social Science Citation Index (SSCI)</t>
        </is>
      </c>
      <c r="BM473" t="inlineStr">
        <is>
          <t>Environmental Sciences &amp; Ecology; Public, Environmental &amp; Occupational Health</t>
        </is>
      </c>
      <c r="BN473" t="inlineStr">
        <is>
          <t>ER2VD</t>
        </is>
      </c>
      <c r="BO473" t="n">
        <v>28254708</v>
      </c>
      <c r="BP473" t="inlineStr">
        <is>
          <t>Green Accepted</t>
        </is>
      </c>
      <c r="BS473" t="inlineStr">
        <is>
          <t>2023-10-26</t>
        </is>
      </c>
      <c r="BT473" t="inlineStr">
        <is>
          <t>WOS:000398651000032</t>
        </is>
      </c>
      <c r="BU473">
        <f>HYPERLINK("https%3A%2F%2Fwww.webofscience.com%2Fwos%2Fwoscc%2Ffull-record%2FWOS:000398651000032","View Full Record in Web of Science")</f>
        <v/>
      </c>
    </row>
    <row r="474">
      <c r="A474" t="inlineStr">
        <is>
          <t>J</t>
        </is>
      </c>
      <c r="B474" t="inlineStr">
        <is>
          <t>Salinas-Rodríguez, A; Fernández-Niño, JA; Manrique-Espinoza, B; Moreno-Banda, GL; Sosa-Ortiz, AL; Qian, ZM; Lin, HL</t>
        </is>
      </c>
      <c r="F474" t="inlineStr">
        <is>
          <t>Salinas-Rodriguez, Aaron; Alfredo Fernandez-Nino, Julian; Manrique-Espinoza, Betty; Litai Moreno-Banda, Grea; Sosa-Ortiz, Ana Luisa; Qian, Zhengmin (Min); Lin, Hualiang</t>
        </is>
      </c>
      <c r="J474" t="inlineStr">
        <is>
          <t>ENVIRONMENT INTERNATIONAL</t>
        </is>
      </c>
      <c r="M474" t="inlineStr">
        <is>
          <t>English</t>
        </is>
      </c>
      <c r="N474" t="inlineStr">
        <is>
          <t>Article</t>
        </is>
      </c>
      <c r="T474" t="inlineStr">
        <is>
          <t>Exposure to ambient PM2.5 concentrations and cognitive function among older Mexican adults</t>
        </is>
      </c>
      <c r="U474" t="inlineStr">
        <is>
          <t>Older adults; Cognitive function; Outdoor pollution; Indoor pollution; PM2.5; Mexico</t>
        </is>
      </c>
      <c r="V474" t="inlineStr">
        <is>
          <t>MATTER AIR-POLLUTION; PARTICULATE MATTER; ALZHEIMERS-DISEASE; ATTRIBUTABLE RISK; VERBAL FLUENCY; DEMENTIA; HEALTH; IMPAIRMENT; DECLINE; SCREEN</t>
        </is>
      </c>
      <c r="W474" t="inlineStr">
        <is>
          <t>Background: Recent epidemiological research has shown that exposure to fine particulate pollution (PM2.5) is associated with a reduction in cognitive function in older adults. However, primary evidence comes from high-income countries, and no specific studies have been conducted in low and middle-income countries where higher air pollution levels exist. Objectives: To estimate the association between the exposure to PM2.5 and cognitive function in a nationally representative sample of older Mexican adults and the associated effect modifiers. Methods: Data for this study were taken from the National Survey of Health and Nutrition in Mexico carried out in 2012. A total of 7986 older adults composed the analytical sample. Cognitive function was assessed using two tests: semantic verbal fluency and three-word memory. The annual concentration of PM2.5 was calculated using satellite data. Association between exposure to PM2.5 and cognitive function was estimated using two-level logistic and linear regression models. Results: In adjusted multilevel regression models, each 10 mu g/m(3) increase in ambient PM2.5 raised the odds of a poorer cognitive function using the three-word memory test (OR=1.37, 95% CI: 1.08, 1.74), and reduced the number of valid animal named in the verbal fluency test (beta=-0.72, 95% CI: -1.05, -0.40). Stratified analyses did not yield any significant modification effects of age, sex, indoor pollution, urban/rural dwelling, education, smoking and other factors. Conclusions: This study supports an association between exposure to PM2.5 concentrations and cognitive function in older adults. This is particularly relevant to low-and middle-income countries, which are marked by a rapid growth of their aging population and high levels of air pollution.</t>
        </is>
      </c>
      <c r="X474" t="inlineStr">
        <is>
          <t>[Salinas-Rodriguez, Aaron; Manrique-Espinoza, Betty; Litai Moreno-Banda, Grea] Natl Inst Publ Hlth, Cuernavaca, Morelos, Mexico; [Alfredo Fernandez-Nino, Julian] Univ Norte, Dept Salud Publ, Barranquilla, Colombia; [Sosa-Ortiz, Ana Luisa] Natl Inst Neurol &amp; Neurosurg, Lab Dementias, Mexico City, DF, Mexico; [Qian, Zhengmin (Min)] St Louis Univ, Coll Publ Hlth &amp; Social Justice, St Louis, MO 63103 USA; [Lin, Hualiang] Sun Yat Sen Univ, Sch Publ Hlth, Dept Med Stat &amp; Epidemiol, Guangzhou 510080, Guangdong, Peoples R China</t>
        </is>
      </c>
      <c r="Y474" t="inlineStr">
        <is>
          <t>Instituto Nacional de Salud Publica; Universidad del Norte Colombia; Saint Louis University; Sun Yat Sen University</t>
        </is>
      </c>
      <c r="Z474" t="inlineStr">
        <is>
          <t>Lin, HL (corresponding author), Sun Yat Sen Univ, Sch Publ Hlth, Dept Med Stat &amp; Epidemiol, Guangzhou 510080, Guangdong, Peoples R China.</t>
        </is>
      </c>
      <c r="AA474" t="inlineStr">
        <is>
          <t>asalinas@insp.mx; bmanrique@insp.mx; glmoreno@insp.mx; zhengmin.qian@slu.edu; linhualiang2002@163.com</t>
        </is>
      </c>
      <c r="AB474" t="inlineStr">
        <is>
          <t>Manrique Espinoza, Betty Soledad/HHS-7564-2022; Fernández-Niño, Julián Alfredo/AHE-6038-2022; Salinas-Rodriguez, Aaron/L-4395-2019; Ortiz, Ana Luisa Sosa/AAU-9376-2021</t>
        </is>
      </c>
      <c r="AC474" t="inlineStr">
        <is>
          <t>Manrique Espinoza, Betty Soledad/0000-0002-3535-2124; Fernández-Niño, Julián Alfredo/0000-0002-8948-8481; Salinas-Rodriguez, Aaron/0000-0001-5645-814X; Ortiz, Ana Luisa Sosa/0000-0003-3930-3618</t>
        </is>
      </c>
      <c r="AH474" t="n">
        <v>46</v>
      </c>
      <c r="AI474" t="n">
        <v>41</v>
      </c>
      <c r="AJ474" t="n">
        <v>44</v>
      </c>
      <c r="AK474" t="n">
        <v>4</v>
      </c>
      <c r="AL474" t="n">
        <v>28</v>
      </c>
      <c r="AM474" t="inlineStr">
        <is>
          <t>PERGAMON-ELSEVIER SCIENCE LTD</t>
        </is>
      </c>
      <c r="AN474" t="inlineStr">
        <is>
          <t>OXFORD</t>
        </is>
      </c>
      <c r="AO474" t="inlineStr">
        <is>
          <t>THE BOULEVARD, LANGFORD LANE, KIDLINGTON, OXFORD OX5 1GB, ENGLAND</t>
        </is>
      </c>
      <c r="AP474" t="inlineStr">
        <is>
          <t>0160-4120</t>
        </is>
      </c>
      <c r="AQ474" t="inlineStr">
        <is>
          <t>1873-6750</t>
        </is>
      </c>
      <c r="AS474" t="inlineStr">
        <is>
          <t>ENVIRON INT</t>
        </is>
      </c>
      <c r="AT474" t="inlineStr">
        <is>
          <t>Environ. Int.</t>
        </is>
      </c>
      <c r="AU474" t="inlineStr">
        <is>
          <t>AUG</t>
        </is>
      </c>
      <c r="AV474" t="n">
        <v>2018</v>
      </c>
      <c r="AW474" t="n">
        <v>117</v>
      </c>
      <c r="BC474" t="n">
        <v>1</v>
      </c>
      <c r="BD474" t="n">
        <v>9</v>
      </c>
      <c r="BF474" t="inlineStr">
        <is>
          <t>10.1016/j.envint.2018.04.033</t>
        </is>
      </c>
      <c r="BG474">
        <f>HYPERLINK("http://dx.doi.org/10.1016/j.envint.2018.04.033","http://dx.doi.org/10.1016/j.envint.2018.04.033")</f>
        <v/>
      </c>
      <c r="BJ474" t="n">
        <v>9</v>
      </c>
      <c r="BK474" t="inlineStr">
        <is>
          <t>Environmental Sciences</t>
        </is>
      </c>
      <c r="BL474" t="inlineStr">
        <is>
          <t>Science Citation Index Expanded (SCI-EXPANDED); Social Science Citation Index (SSCI)</t>
        </is>
      </c>
      <c r="BM474" t="inlineStr">
        <is>
          <t>Environmental Sciences &amp; Ecology</t>
        </is>
      </c>
      <c r="BN474" t="inlineStr">
        <is>
          <t>GK9ME</t>
        </is>
      </c>
      <c r="BO474" t="n">
        <v>29704751</v>
      </c>
      <c r="BS474" t="inlineStr">
        <is>
          <t>2023-10-26</t>
        </is>
      </c>
      <c r="BT474" t="inlineStr">
        <is>
          <t>WOS:000436573400001</t>
        </is>
      </c>
      <c r="BU474">
        <f>HYPERLINK("https%3A%2F%2Fwww.webofscience.com%2Fwos%2Fwoscc%2Ffull-record%2FWOS:000436573400001","View Full Record in Web of Science")</f>
        <v/>
      </c>
    </row>
    <row r="475">
      <c r="A475" t="inlineStr">
        <is>
          <t>J</t>
        </is>
      </c>
      <c r="B475" t="inlineStr">
        <is>
          <t>Okafor, MU; Awuzie, BO; Otasowie, K; Marcel-Okafor, U; Aigbavboa, C</t>
        </is>
      </c>
      <c r="F475" t="inlineStr">
        <is>
          <t>Okafor, Marcellinus U.; Awuzie, Bankole Osita; Otasowie, Kenneth; Marcel-Okafor, Udochukwu; Aigbavboa, Clinton</t>
        </is>
      </c>
      <c r="J475" t="inlineStr">
        <is>
          <t>SUSTAINABILITY</t>
        </is>
      </c>
      <c r="M475" t="inlineStr">
        <is>
          <t>English</t>
        </is>
      </c>
      <c r="N475" t="inlineStr">
        <is>
          <t>Article</t>
        </is>
      </c>
      <c r="T475" t="inlineStr">
        <is>
          <t>Evaluation of Indoor Thermal Comfort Conditions of Residential Traditional and Modern Buildings in a Warm-Humid Climate</t>
        </is>
      </c>
      <c r="U475" t="inlineStr">
        <is>
          <t>thermal comfort; traditional building; modern building; warm and humid climate; architectural design</t>
        </is>
      </c>
      <c r="V475" t="inlineStr">
        <is>
          <t>ENERGY; PERFORMANCE; OFFICE; SEASON; FIELD</t>
        </is>
      </c>
      <c r="W475" t="inlineStr">
        <is>
          <t>Achieving optimal levels of indoor thermal comfort in a warm, humid climate continues to pose a challenge to building occupants in such climatic regions. Buildings are either being retrofitted or designed differently to cater to thermal comfort. As a result, a variety of tactics have been deployed to guarantee optimal thermal comfort for occupants. Some scholars have highlighted the salient contributions of various types of construction materials toward the delivery of different housing types which perform differently under a diverse range of climatic conditions. A plethora of studies suggesting better indoor thermal comfort performance of traditional buildings as compared to contemporary dwellings due to various reasons have been observed. However, limited studies have sought to investigate this suggestion within warm, humid climatic regions. As such, this study engages in an evaluation of indoor thermal comfort qualities of traditional and modern buildings during the dry season with the goal of developing design guidelines for a thermally pleasant environment in a town, Okigwe, which is situated in a warm, humid climatic region in Southeastern Nigeria. Data were collected utilizing a field measurement technique. Throughout the survey period, variables of the indoor environment such as relative humidity and air temperature were recorded concurrently in nine selected buildings, two traditional and seven modern buildings. The fluctuations and differences in relative humidity and air temperature between the two building types were investigated using Z-test statistical techniques. The study's results revealed that the contemporary structures' indoor air temperature (29.4 degrees C) was 0.6 degrees C higher than traditional buildings' indoor air temperature (28.8 degrees C). Therefore, the study recommends that architects and planners should make concerted efforts to integrate methods of passive design into the provision of a comfortable indoor thermal environment rather than relying solely on active design strategies, which whilst lacking in traditional buildings, nonetheless did not prevent such buildings from recording lower air temperature readings compared to modern buildings.</t>
        </is>
      </c>
      <c r="X475" t="inlineStr">
        <is>
          <t>[Okafor, Marcellinus U.] Imo State Univ, Dept Architecture, Owerri 460108, Nigeria; [Awuzie, Bankole Osita] Cent Univ Technol, Dept Built Environm, ZA-9300 Bloemfontein, South Africa; [Awuzie, Bankole Osita] KO Mbadiwe Univ, Fac Environm Sci, Ogboko 475102, Nigeria; [Otasowie, Kenneth; Aigbavboa, Clinton] Univ Johannesburg, Fac Engn &amp; Built Environm, CIDB Ctr Excellence, ZA-2006 Johannesburg, South Africa; [Otasowie, Kenneth; Aigbavboa, Clinton] Univ Johannesburg, Sustainable Human Settlement &amp; Construct Res Ctr, Fac Engn &amp; Built Environm, ZA-2006 Johannesburg, South Africa; [Marcel-Okafor, Udochukwu] Fed Polytech, Dept Architecture, Nekede 460113, Nigeria</t>
        </is>
      </c>
      <c r="Y475" t="inlineStr">
        <is>
          <t>Central University of Technology; University of Johannesburg; University of Johannesburg</t>
        </is>
      </c>
      <c r="Z475" t="inlineStr">
        <is>
          <t>Otasowie, K (corresponding author), Univ Johannesburg, Fac Engn &amp; Built Environm, CIDB Ctr Excellence, ZA-2006 Johannesburg, South Africa.;Otasowie, K (corresponding author), Univ Johannesburg, Sustainable Human Settlement &amp; Construct Res Ctr, Fac Engn &amp; Built Environm, ZA-2006 Johannesburg, South Africa.</t>
        </is>
      </c>
      <c r="AA475" t="inlineStr">
        <is>
          <t>otasowiekenneth@gmail.com</t>
        </is>
      </c>
      <c r="AB475" t="inlineStr">
        <is>
          <t>Aigbavboa, Clinton/AAS-6493-2020; Otasowie, Kenneth Osamudiamen/CAG-3697-2022; Awuzie, Bankole/AAD-3611-2020</t>
        </is>
      </c>
      <c r="AC475" t="inlineStr">
        <is>
          <t>Aigbavboa, Clinton/0000-0003-2866-3706; Otasowie, Osamudiamen/0000-0001-5249-4346; Awuzie, Bankole/0000-0003-3371-191X; OKAFOR, MARCELLINUS UWADIEGWU/0000-0002-8469-821X</t>
        </is>
      </c>
      <c r="AH475" t="n">
        <v>58</v>
      </c>
      <c r="AI475" t="n">
        <v>1</v>
      </c>
      <c r="AJ475" t="n">
        <v>1</v>
      </c>
      <c r="AK475" t="n">
        <v>1</v>
      </c>
      <c r="AL475" t="n">
        <v>9</v>
      </c>
      <c r="AM475" t="inlineStr">
        <is>
          <t>MDPI</t>
        </is>
      </c>
      <c r="AN475" t="inlineStr">
        <is>
          <t>BASEL</t>
        </is>
      </c>
      <c r="AO475" t="inlineStr">
        <is>
          <t>ST ALBAN-ANLAGE 66, CH-4052 BASEL, SWITZERLAND</t>
        </is>
      </c>
      <c r="AQ475" t="inlineStr">
        <is>
          <t>2071-1050</t>
        </is>
      </c>
      <c r="AS475" t="inlineStr">
        <is>
          <t>SUSTAINABILITY-BASEL</t>
        </is>
      </c>
      <c r="AT475" t="inlineStr">
        <is>
          <t>Sustainability</t>
        </is>
      </c>
      <c r="AU475" t="inlineStr">
        <is>
          <t>OCT</t>
        </is>
      </c>
      <c r="AV475" t="n">
        <v>2022</v>
      </c>
      <c r="AW475" t="n">
        <v>14</v>
      </c>
      <c r="AX475" t="n">
        <v>19</v>
      </c>
      <c r="BE475" t="n">
        <v>12138</v>
      </c>
      <c r="BF475" t="inlineStr">
        <is>
          <t>10.3390/su141912138</t>
        </is>
      </c>
      <c r="BG475">
        <f>HYPERLINK("http://dx.doi.org/10.3390/su141912138","http://dx.doi.org/10.3390/su141912138")</f>
        <v/>
      </c>
      <c r="BJ475" t="n">
        <v>28</v>
      </c>
      <c r="BK475" t="inlineStr">
        <is>
          <t>Green &amp; Sustainable Science &amp; Technology; Environmental Sciences; Environmental Studies</t>
        </is>
      </c>
      <c r="BL475" t="inlineStr">
        <is>
          <t>Science Citation Index Expanded (SCI-EXPANDED); Social Science Citation Index (SSCI)</t>
        </is>
      </c>
      <c r="BM475" t="inlineStr">
        <is>
          <t>Science &amp; Technology - Other Topics; Environmental Sciences &amp; Ecology</t>
        </is>
      </c>
      <c r="BN475" t="inlineStr">
        <is>
          <t>5G6UA</t>
        </is>
      </c>
      <c r="BP475" t="inlineStr">
        <is>
          <t>gold</t>
        </is>
      </c>
      <c r="BS475" t="inlineStr">
        <is>
          <t>2023-10-26</t>
        </is>
      </c>
      <c r="BT475" t="inlineStr">
        <is>
          <t>WOS:000867130500001</t>
        </is>
      </c>
      <c r="BU475">
        <f>HYPERLINK("https%3A%2F%2Fwww.webofscience.com%2Fwos%2Fwoscc%2Ffull-record%2FWOS:000867130500001","View Full Record in Web of Science")</f>
        <v/>
      </c>
    </row>
    <row r="476">
      <c r="A476" t="inlineStr">
        <is>
          <t>J</t>
        </is>
      </c>
      <c r="B476" t="inlineStr">
        <is>
          <t>Schüle, SA; Fromme, H; Bolte, G</t>
        </is>
      </c>
      <c r="F476" t="inlineStr">
        <is>
          <t>Schuele, Steffen Andreas; Fromme, Hermann; Bolte, Gabriele</t>
        </is>
      </c>
      <c r="J476" t="inlineStr">
        <is>
          <t>ENVIRONMENTAL RESEARCH</t>
        </is>
      </c>
      <c r="M476" t="inlineStr">
        <is>
          <t>English</t>
        </is>
      </c>
      <c r="N476" t="inlineStr">
        <is>
          <t>Article</t>
        </is>
      </c>
      <c r="T476" t="inlineStr">
        <is>
          <t>Built and socioeconomic neighbourhood environments and overweight in preschool aged children. A multilevel study to disentangle individual and contextual relationships</t>
        </is>
      </c>
      <c r="U476" t="inlineStr">
        <is>
          <t>Multilevel study; Neighbourhood; Contextual factors; Built environment; Children; Overweight; Socioeconomic position</t>
        </is>
      </c>
      <c r="V476" t="inlineStr">
        <is>
          <t>BRIEF CONCEPTUAL TUTORIAL; KIEL OBESITY PREVENTION; BODY-MASS INDEX; PHYSICAL-ACTIVITY; WEIGHT STATUS; SOCIAL EPIDEMIOLOGY; CHILDHOOD OBESITY; FOOD ENVIRONMENTS; HEALTH; DETERMINANTS</t>
        </is>
      </c>
      <c r="W476" t="inlineStr">
        <is>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 (C) 2016 Elsevier Inc. All rights reserved.</t>
        </is>
      </c>
      <c r="X476" t="inlineStr">
        <is>
          <t>[Schuele, Steffen Andreas; Bolte, Gabriele] Univ Bremen, Inst Publ Hlth &amp; Nursing Res, Dept Social Epidemiol, Bremen, Germany; [Fromme, Hermann] Bavarian Hlth &amp; Food Safety Author, Munich, Germany</t>
        </is>
      </c>
      <c r="Y476" t="inlineStr">
        <is>
          <t>University of Bremen; Bavarian Health &amp; Food Safety Authority</t>
        </is>
      </c>
      <c r="Z476" t="inlineStr">
        <is>
          <t>Schüle, SA (corresponding author), Univ Bremen, Inst Publ Hlth &amp; Nursing Res, Dept Social Epidemiol, Bremen, Germany.</t>
        </is>
      </c>
      <c r="AA476" t="inlineStr">
        <is>
          <t>steffen.schuele@uni-bremen.de</t>
        </is>
      </c>
      <c r="AC476" t="inlineStr">
        <is>
          <t>Bolte, Gabriele/0000-0002-0269-5059; Fromme, Hermann/0000-0002-9215-9005</t>
        </is>
      </c>
      <c r="AD476" t="inlineStr">
        <is>
          <t>foundation 'Fritz und Hildegard Berg- Stiftung' within the 'Stifterverband fur die Deutsche Wissenschaft e.V.', Essen, Germany [T133/22024/2012]</t>
        </is>
      </c>
      <c r="AE476" t="inlineStr">
        <is>
          <t>foundation 'Fritz und Hildegard Berg- Stiftung' within the 'Stifterverband fur die Deutsche Wissenschaft e.V.', Essen, Germany</t>
        </is>
      </c>
      <c r="AF476" t="inlineStr">
        <is>
          <t>S.A. Schule receives a doctoral scholarship within the framework of the Junior Research Group Salus, which is funded by the foundation 'Fritz und Hildegard Berg- Stiftung' (Grant number: T133/22024/2012) within the 'Stifterverband fur die Deutsche Wissenschaft e.V.', Essen, Germany. The funders had no role in study design, data collection and analysis, decision to publish, or</t>
        </is>
      </c>
      <c r="AH476" t="n">
        <v>58</v>
      </c>
      <c r="AI476" t="n">
        <v>22</v>
      </c>
      <c r="AJ476" t="n">
        <v>23</v>
      </c>
      <c r="AK476" t="n">
        <v>5</v>
      </c>
      <c r="AL476" t="n">
        <v>34</v>
      </c>
      <c r="AM476" t="inlineStr">
        <is>
          <t>ACADEMIC PRESS INC ELSEVIER SCIENCE</t>
        </is>
      </c>
      <c r="AN476" t="inlineStr">
        <is>
          <t>SAN DIEGO</t>
        </is>
      </c>
      <c r="AO476" t="inlineStr">
        <is>
          <t>525 B ST, STE 1900, SAN DIEGO, CA 92101-4495 USA</t>
        </is>
      </c>
      <c r="AP476" t="inlineStr">
        <is>
          <t>0013-9351</t>
        </is>
      </c>
      <c r="AQ476" t="inlineStr">
        <is>
          <t>1096-0953</t>
        </is>
      </c>
      <c r="AS476" t="inlineStr">
        <is>
          <t>ENVIRON RES</t>
        </is>
      </c>
      <c r="AT476" t="inlineStr">
        <is>
          <t>Environ. Res.</t>
        </is>
      </c>
      <c r="AU476" t="inlineStr">
        <is>
          <t>OCT</t>
        </is>
      </c>
      <c r="AV476" t="n">
        <v>2016</v>
      </c>
      <c r="AW476" t="n">
        <v>150</v>
      </c>
      <c r="BC476" t="n">
        <v>328</v>
      </c>
      <c r="BD476" t="n">
        <v>336</v>
      </c>
      <c r="BF476" t="inlineStr">
        <is>
          <t>10.1016/j.envres.2016.06.024</t>
        </is>
      </c>
      <c r="BG476">
        <f>HYPERLINK("http://dx.doi.org/10.1016/j.envres.2016.06.024","http://dx.doi.org/10.1016/j.envres.2016.06.024")</f>
        <v/>
      </c>
      <c r="BJ476" t="n">
        <v>9</v>
      </c>
      <c r="BK476" t="inlineStr">
        <is>
          <t>Environmental Sciences; Public, Environmental &amp; Occupational Health</t>
        </is>
      </c>
      <c r="BL476" t="inlineStr">
        <is>
          <t>Science Citation Index Expanded (SCI-EXPANDED); Social Science Citation Index (SSCI)</t>
        </is>
      </c>
      <c r="BM476" t="inlineStr">
        <is>
          <t>Environmental Sciences &amp; Ecology; Public, Environmental &amp; Occupational Health</t>
        </is>
      </c>
      <c r="BN476" t="inlineStr">
        <is>
          <t>DV4NU</t>
        </is>
      </c>
      <c r="BO476" t="n">
        <v>27340813</v>
      </c>
      <c r="BS476" t="inlineStr">
        <is>
          <t>2023-10-26</t>
        </is>
      </c>
      <c r="BT476" t="inlineStr">
        <is>
          <t>WOS:000382903100040</t>
        </is>
      </c>
      <c r="BU476">
        <f>HYPERLINK("https%3A%2F%2Fwww.webofscience.com%2Fwos%2Fwoscc%2Ffull-record%2FWOS:000382903100040","View Full Record in Web of Science")</f>
        <v/>
      </c>
    </row>
    <row r="477">
      <c r="A477" t="inlineStr">
        <is>
          <t>J</t>
        </is>
      </c>
      <c r="B477" t="inlineStr">
        <is>
          <t>Luijkx, K; van Boekel, L; Janssen, M; Verbiest, M; Stoop, A</t>
        </is>
      </c>
      <c r="F477" t="inlineStr">
        <is>
          <t>Luijkx, Katrien; van Boekel, Leonieke; Janssen, Meriam; Verbiest, Marjolein; Stoop, Annerieke</t>
        </is>
      </c>
      <c r="J477" t="inlineStr">
        <is>
          <t>INTERNATIONAL JOURNAL OF ENVIRONMENTAL RESEARCH AND PUBLIC HEALTH</t>
        </is>
      </c>
      <c r="M477" t="inlineStr">
        <is>
          <t>English</t>
        </is>
      </c>
      <c r="N477" t="inlineStr">
        <is>
          <t>Article</t>
        </is>
      </c>
      <c r="T477" t="inlineStr">
        <is>
          <t>The Academic Collaborative Center Older Adults: A Description of Co-Creation between Science, Care Practice and Education with the Aim to Contribute to Person-Centered Care for Older Adults</t>
        </is>
      </c>
      <c r="U477" t="inlineStr">
        <is>
          <t>person-centered care; older adults; co-creation; perspective of older adults; quality improvement</t>
        </is>
      </c>
      <c r="V477" t="inlineStr">
        <is>
          <t>LONG-TERM-CARE; NURSING-HOME RESIDENTS; OPERATIONAL ACCESS; EXPERIENCES; TECHNOLOGY; DEMENTIA; MODEL; PERSPECTIVES; PERCEPTIONS; SEXUALITY</t>
        </is>
      </c>
      <c r="W477" t="inlineStr">
        <is>
          <t>Long-term care for older adults is in transition. Organizations offering long-term care for older adults are expected to provide person-centered care (PCC) in a complex context, with older adults aging in place and participating in society for as long as possible, staff shortages and the slow adoption of technological solutions. To address these challenges, these organizations increasingly use scientific knowledge to evaluate and innovate long-term care. This paper describes how co-creation, in the sense of close, intensive, and equivalent collaboration between science, care practice, and education, is a key factor in the success of improving long-term care for older adults. Such co-creation is central in the Academic Collaborative Center (ACC) Older Adults of Tilburg University. In this ACC, Tilburg University has joined forces with ten organizations that provide care for older adults and CZ zorgkantoor to create both scientific knowledge and societal impact in order to improve the quality of person-centered care for older adults. In the Netherlands, a zorgkantoor arranges long-term (residential) care on behalf of the national government. A zorgkantoor makes agreements on cost and quality with care providers and helps people that are in need of care to decide what the best possible option in their situation is. The CZ zorgkantoor arranges the long-term (residential) care in the south and southwest of the Netherlands. This paper describes how we create scientific knowledge to contribute to the knowledge base of PCC for older adults by conducting social scientific research in which the perspectives of older adults are central. Subsequently, we show how we create societal impact by facilitating and stimulating the use of our scientific knowledge in daily care practice. In the closing section, our ambitions for the future are discussed.</t>
        </is>
      </c>
      <c r="X477" t="inlineStr">
        <is>
          <t>[Luijkx, Katrien; van Boekel, Leonieke; Janssen, Meriam; Verbiest, Marjolein; Stoop, Annerieke] Tilburg Univ, Tilburg Sch Social &amp; Behav Sci, Dept Tranzo, POB 90153, NL-5000 LE Tilburg, Netherlands</t>
        </is>
      </c>
      <c r="Y477" t="inlineStr">
        <is>
          <t>Tilburg University</t>
        </is>
      </c>
      <c r="Z477" t="inlineStr">
        <is>
          <t>Luijkx, K (corresponding author), Tilburg Univ, Tilburg Sch Social &amp; Behav Sci, Dept Tranzo, POB 90153, NL-5000 LE Tilburg, Netherlands.</t>
        </is>
      </c>
      <c r="AA477" t="inlineStr">
        <is>
          <t>K.G.Luijkx@tilburguniversity.edu; L.vanBoekel@tilburguniversity.edu; M.Janssen4@tilburguniversity.edu; M.E.A.Verbiest@tilburguniversity.edu; H.J.Stoop@tilburguniversity.edu</t>
        </is>
      </c>
      <c r="AB477" t="inlineStr">
        <is>
          <t>van Boekel, Leonieke C./M-1665-2019; Verbiest, Marjolein/E-1604-2016</t>
        </is>
      </c>
      <c r="AC477" t="inlineStr">
        <is>
          <t>van Boekel, Leonieke C./0000-0002-4133-8396; Stoop, Annerieke/0000-0002-6855-8073; Janssen, Meriam/0000-0001-8973-725X; Luijkx, Katrien/0000-0002-1856-3819; Verbiest, Marjolein/0000-0003-3731-5295</t>
        </is>
      </c>
      <c r="AD477" t="inlineStr">
        <is>
          <t>Azora; BrabantZorg; De Riethorst Stromenland; De Wever; Groenhuysen; Schakelring; Surplus; SVRZ; Volckaert; Zorggroep West-en Midden-Brabant (Thebe), CZ Zorgkantoor; Dutch Ministry of Health, Welfare and Sport</t>
        </is>
      </c>
      <c r="AE477" t="inlineStr">
        <is>
          <t>Azora; BrabantZorg; De Riethorst Stromenland; De Wever; Groenhuysen; Schakelring; Surplus; SVRZ; Volckaert; Zorggroep West-en Midden-Brabant (Thebe), CZ Zorgkantoor; Dutch Ministry of Health, Welfare and Sport</t>
        </is>
      </c>
      <c r="AF477" t="inlineStr">
        <is>
          <t>The ACC Older Adults is funded by our partnership organizations: Azora, BrabantZorg, De Riethorst Stromenland, De Wever, Groenhuysen, Schakelring, Surplus, SVRZ, Volckaert and Zorggroep West-en Midden-Brabant (Thebe), CZ Zorgkantoor. The Dutch Ministry of Health, Welfare and Sport structurally funds the expansion of the knowledge infrastructure in nursing home care.</t>
        </is>
      </c>
      <c r="AH477" t="n">
        <v>52</v>
      </c>
      <c r="AI477" t="n">
        <v>10</v>
      </c>
      <c r="AJ477" t="n">
        <v>10</v>
      </c>
      <c r="AK477" t="n">
        <v>2</v>
      </c>
      <c r="AL477" t="n">
        <v>10</v>
      </c>
      <c r="AM477" t="inlineStr">
        <is>
          <t>MDPI</t>
        </is>
      </c>
      <c r="AN477" t="inlineStr">
        <is>
          <t>BASEL</t>
        </is>
      </c>
      <c r="AO477" t="inlineStr">
        <is>
          <t>ST ALBAN-ANLAGE 66, CH-4052 BASEL, SWITZERLAND</t>
        </is>
      </c>
      <c r="AQ477" t="inlineStr">
        <is>
          <t>1660-4601</t>
        </is>
      </c>
      <c r="AS477" t="inlineStr">
        <is>
          <t>INT J ENV RES PUB HE</t>
        </is>
      </c>
      <c r="AT477" t="inlineStr">
        <is>
          <t>Int. J. Environ. Res. Public Health</t>
        </is>
      </c>
      <c r="AU477" t="inlineStr">
        <is>
          <t>DEC</t>
        </is>
      </c>
      <c r="AV477" t="n">
        <v>2020</v>
      </c>
      <c r="AW477" t="n">
        <v>17</v>
      </c>
      <c r="AX477" t="n">
        <v>23</v>
      </c>
      <c r="BE477" t="n">
        <v>9014</v>
      </c>
      <c r="BF477" t="inlineStr">
        <is>
          <t>10.3390/ijerph17239014</t>
        </is>
      </c>
      <c r="BG477">
        <f>HYPERLINK("http://dx.doi.org/10.3390/ijerph17239014","http://dx.doi.org/10.3390/ijerph17239014")</f>
        <v/>
      </c>
      <c r="BJ477" t="n">
        <v>14</v>
      </c>
      <c r="BK477" t="inlineStr">
        <is>
          <t>Environmental Sciences; Public, Environmental &amp; Occupational Health</t>
        </is>
      </c>
      <c r="BL477" t="inlineStr">
        <is>
          <t>Science Citation Index Expanded (SCI-EXPANDED); Social Science Citation Index (SSCI)</t>
        </is>
      </c>
      <c r="BM477" t="inlineStr">
        <is>
          <t>Environmental Sciences &amp; Ecology; Public, Environmental &amp; Occupational Health</t>
        </is>
      </c>
      <c r="BN477" t="inlineStr">
        <is>
          <t>PD2XX</t>
        </is>
      </c>
      <c r="BO477" t="n">
        <v>33287307</v>
      </c>
      <c r="BP477" t="inlineStr">
        <is>
          <t>Green Published, gold</t>
        </is>
      </c>
      <c r="BS477" t="inlineStr">
        <is>
          <t>2023-10-26</t>
        </is>
      </c>
      <c r="BT477" t="inlineStr">
        <is>
          <t>WOS:000597555200001</t>
        </is>
      </c>
      <c r="BU477">
        <f>HYPERLINK("https%3A%2F%2Fwww.webofscience.com%2Fwos%2Fwoscc%2Ffull-record%2FWOS:000597555200001","View Full Record in Web of Science")</f>
        <v/>
      </c>
    </row>
    <row r="478">
      <c r="A478" t="inlineStr">
        <is>
          <t>J</t>
        </is>
      </c>
      <c r="B478" t="inlineStr">
        <is>
          <t>Stojanovska, Z; Boev, B; Zunic, ZS; Ivanova, K; Ristova, M; Tsenova, M; Ajka, S; Janevik, E; Taleski, V; Bossew, P</t>
        </is>
      </c>
      <c r="F478" t="inlineStr">
        <is>
          <t>Stojanovska, Zdenka; Boev, Blazo; Zunic, Zora S.; Ivanova, Kremena; Ristova, Mimoza; Tsenova, Martina; Ajka, Sorsa; Janevik, Emilija; Taleski, Vaso; Bossew, Peter</t>
        </is>
      </c>
      <c r="J478" t="inlineStr">
        <is>
          <t>RADIATION AND ENVIRONMENTAL BIOPHYSICS</t>
        </is>
      </c>
      <c r="M478" t="inlineStr">
        <is>
          <t>English</t>
        </is>
      </c>
      <c r="N478" t="inlineStr">
        <is>
          <t>Article</t>
        </is>
      </c>
      <c r="T478" t="inlineStr">
        <is>
          <t>Variation of indoor radon concentration and ambient dose equivalent rate in different outdoor and indoor environments</t>
        </is>
      </c>
      <c r="U478" t="inlineStr">
        <is>
          <t>Radon; Ambient dose equivalent rate; ANOVA; Correlations; Principal component analysis</t>
        </is>
      </c>
      <c r="V478" t="inlineStr">
        <is>
          <t>SERBIAN SCHOOLS; RURAL-AREAS; THORON; EXPOSURE; KOSOVO; POPULATION; DWELLINGS; METOHIJA; RISK; SOIL</t>
        </is>
      </c>
      <c r="W478" t="inlineStr">
        <is>
          <t>Subject of this study is an investigation of the variations of indoor radon concentration and ambient dose equivalent rate in outdoor and indoor environments of 40 dwellings, 31 elementary schools and five kindergartens. The buildings are located in three municipalities of two, geologically different, areas of the Republic of Macedonia. Indoor radon concentrations were measured by nuclear track detectors, deployed in the most occupied room of the building, between June 2013 and May 2014. During the deploying campaign, indoor and outdoor ambient dose equivalent rates were measured simultaneously at the same location. It appeared that the measured values varied from 22 to 990 Bq/m(3) for indoor radon concentrations, from 50 to 195 nSv/h for outdoor ambient dose equivalent rates, and from 38 to 184 nSv/h for indoor ambient dose equivalent rates. The geometric mean value of indoor to outdoor ambient dose equivalent rates was found to be 0.88, i.e. the outdoor ambient dose equivalent rates were on average higher than the indoor ambient dose equivalent rates. All measured can reasonably well be described by log-normal distributions. A detailed statistical analysis of factors which influence the measured quantities is reported.</t>
        </is>
      </c>
      <c r="X478" t="inlineStr">
        <is>
          <t>[Stojanovska, Zdenka; Janevik, Emilija; Taleski, Vaso] Goce Delcev Univ, Fac Med Sci, Krste Misirkov 10-A,PO 201, Stip 2000, North Macedonia; [Boev, Blazo] Goce Delcev Univ, Fac Nat &amp; Tech Sci, Krste Misirkov 10-A,PO 201, Stip 2000, North Macedonia; [Zunic, Zora S.] Univ Belgrade, Inst Nucl Sci Vinca, POB 522, Belgrade 11000, Serbia; [Ivanova, Kremena; Tsenova, Martina] Natl Ctr Radiobiol &amp; Radiat Protect, 3 Sv Georgi Sofiyski St, Sofia 1606, Bulgaria; [Ristova, Mimoza] Univ Ss Cyril &amp; Methodius, Fac Nat Sci &amp; Math, Inst Phys, Arhimedova 3, Skopje 1000, North Macedonia; [Ajka, Sorsa] Croatian Geol Survey, Sachsova 2,POB 268, Zagreb, Croatia; [Bossew, Peter] German Fed Off Radiat Protect, Div SW 1-1,120-130 Kopenicker Allee, D-10318 Berlin, Germany</t>
        </is>
      </c>
      <c r="Y478" t="inlineStr">
        <is>
          <t>Goce Delcev University of Stip; Goce Delcev University of Stip; University of Belgrade; Saints Cyril &amp; Methodius University of Skopje; Croatian Geological Survey</t>
        </is>
      </c>
      <c r="Z478" t="inlineStr">
        <is>
          <t>Stojanovska, Z (corresponding author), Goce Delcev Univ, Fac Med Sci, Krste Misirkov 10-A,PO 201, Stip 2000, North Macedonia.</t>
        </is>
      </c>
      <c r="AA478" t="inlineStr">
        <is>
          <t>stojanovskazdenka@gmail.com</t>
        </is>
      </c>
      <c r="AB478" t="inlineStr">
        <is>
          <t>Šorša, Ajka/AAE-8049-2019; Stojanovska, Zdenka/GZM-3085-2022; Ivanova, Kremena/IZQ-5456-2023; Stojanovska, Zdenka/ABA-6274-2020; Janevik, Emilija/A-1361-2015</t>
        </is>
      </c>
      <c r="AC478" t="inlineStr">
        <is>
          <t>Šorša, Ajka/0000-0001-7781-8247; Stojanovska, Zdenka/0000-0003-0254-2869; Ivanova, Kremena/0000-0003-0731-4259; Janevik, Emilija/0000-0002-8493-5481</t>
        </is>
      </c>
      <c r="AD478" t="inlineStr">
        <is>
          <t>Goce Delcev University, Stip, Republic of Macedonia; Ministry of Education, Science and Technological Development of the Republic of Serbia [P-41028]</t>
        </is>
      </c>
      <c r="AE478" t="inlineStr">
        <is>
          <t>Goce Delcev University, Stip, Republic of Macedonia; Ministry of Education, Science and Technological Development of the Republic of Serbia(Ministry of Education, Science &amp; Technological Development, Serbia)</t>
        </is>
      </c>
      <c r="AF478" t="inlineStr">
        <is>
          <t>The authors highly appreciate the enthusiasm of Mr. Eric Hulbert, Ph.D. from Radosys Company, Budapest, Hungary, who supported this project by donating the RSKS detectors. The authors would also like to express their gratitude to the mayors, schools directors, and the owners of the dwellings in Sveti Nikole, Kratovo, and Probistip municipalities for collaboration during this survey. This survey was funded by the research fund of the Goce Delcev University, Stip, Republic of Macedonia. The Gamma 1 detectors were provided within the Project P-41028 of the Ministry of Education, Science and Technological Development of the Republic of Serbia.</t>
        </is>
      </c>
      <c r="AH478" t="n">
        <v>40</v>
      </c>
      <c r="AI478" t="n">
        <v>19</v>
      </c>
      <c r="AJ478" t="n">
        <v>19</v>
      </c>
      <c r="AK478" t="n">
        <v>0</v>
      </c>
      <c r="AL478" t="n">
        <v>7</v>
      </c>
      <c r="AM478" t="inlineStr">
        <is>
          <t>SPRINGER</t>
        </is>
      </c>
      <c r="AN478" t="inlineStr">
        <is>
          <t>NEW YORK</t>
        </is>
      </c>
      <c r="AO478" t="inlineStr">
        <is>
          <t>ONE NEW YORK PLAZA, SUITE 4600, NEW YORK, NY, UNITED STATES</t>
        </is>
      </c>
      <c r="AP478" t="inlineStr">
        <is>
          <t>0301-634X</t>
        </is>
      </c>
      <c r="AQ478" t="inlineStr">
        <is>
          <t>1432-2099</t>
        </is>
      </c>
      <c r="AS478" t="inlineStr">
        <is>
          <t>RADIAT ENVIRON BIOPH</t>
        </is>
      </c>
      <c r="AT478" t="inlineStr">
        <is>
          <t>Radiat. Environ. Biophys.</t>
        </is>
      </c>
      <c r="AU478" t="inlineStr">
        <is>
          <t>MAY</t>
        </is>
      </c>
      <c r="AV478" t="n">
        <v>2016</v>
      </c>
      <c r="AW478" t="n">
        <v>55</v>
      </c>
      <c r="AX478" t="n">
        <v>2</v>
      </c>
      <c r="BC478" t="n">
        <v>171</v>
      </c>
      <c r="BD478" t="n">
        <v>183</v>
      </c>
      <c r="BF478" t="inlineStr">
        <is>
          <t>10.1007/s00411-016-0640-y</t>
        </is>
      </c>
      <c r="BG478">
        <f>HYPERLINK("http://dx.doi.org/10.1007/s00411-016-0640-y","http://dx.doi.org/10.1007/s00411-016-0640-y")</f>
        <v/>
      </c>
      <c r="BJ478" t="n">
        <v>13</v>
      </c>
      <c r="BK478" t="inlineStr">
        <is>
          <t>Biology; Biophysics; Environmental Sciences; Radiology, Nuclear Medicine &amp; Medical Imaging</t>
        </is>
      </c>
      <c r="BL478" t="inlineStr">
        <is>
          <t>Science Citation Index Expanded (SCI-EXPANDED)</t>
        </is>
      </c>
      <c r="BM478" t="inlineStr">
        <is>
          <t>Life Sciences &amp; Biomedicine - Other Topics; Biophysics; Environmental Sciences &amp; Ecology; Radiology, Nuclear Medicine &amp; Medical Imaging</t>
        </is>
      </c>
      <c r="BN478" t="inlineStr">
        <is>
          <t>DK0CW</t>
        </is>
      </c>
      <c r="BO478" t="n">
        <v>26943159</v>
      </c>
      <c r="BS478" t="inlineStr">
        <is>
          <t>2023-10-26</t>
        </is>
      </c>
      <c r="BT478" t="inlineStr">
        <is>
          <t>WOS:000374581100004</t>
        </is>
      </c>
      <c r="BU478">
        <f>HYPERLINK("https%3A%2F%2Fwww.webofscience.com%2Fwos%2Fwoscc%2Ffull-record%2FWOS:000374581100004","View Full Record in Web of Science")</f>
        <v/>
      </c>
    </row>
    <row r="479">
      <c r="A479" t="inlineStr">
        <is>
          <t>J</t>
        </is>
      </c>
      <c r="B479" t="inlineStr">
        <is>
          <t>Frank, LD; Adhikari, B; White, KR; Dummer, T; Sandhu, J; Demlow, E; Hu, YM; Hong, A; Van den Bosch, M</t>
        </is>
      </c>
      <c r="F479" t="inlineStr">
        <is>
          <t>Frank, Lawrence D.; Adhikari, Binay; White, Katherine R.; Dummer, Trevor; Sandhu, Jat; Demlow, Ellen; Hu, Yumian; Hong, Andy; Van den Bosch, Matilda</t>
        </is>
      </c>
      <c r="J479" t="inlineStr">
        <is>
          <t>ENVIRONMENT INTERNATIONAL</t>
        </is>
      </c>
      <c r="M479" t="inlineStr">
        <is>
          <t>English</t>
        </is>
      </c>
      <c r="N479" t="inlineStr">
        <is>
          <t>Article</t>
        </is>
      </c>
      <c r="T479" t="inlineStr">
        <is>
          <t>Chronic disease and where you live: Built and natural environment relationships with physical activity, obesity, and diabetes</t>
        </is>
      </c>
      <c r="U479" t="inlineStr">
        <is>
          <t>Walkability; Urban health; Green space; Diabetes; Healthy public policy; Healthy cities</t>
        </is>
      </c>
      <c r="V479" t="inlineStr">
        <is>
          <t>PARK PROXIMITY; NEIGHBORHOOD; HEALTH; ACCESS; ASSOCIATIONS; WALKABILITY; GREENNESS; FRAMEWORK; MELLITUS; EQUITY</t>
        </is>
      </c>
      <c r="W479" t="inlineStr">
        <is>
          <t>Background: Diabetes is among the most prevalent non-communicable diseases causing significant morbidity and mortality globally. The aetiology and disease development of diabetes are influenced by genetic, lifestyle, and environmental factors. Due to an increasing number of cases each year, it is imperative to improve the understanding of modifiable environmental risk and protective factors. In this study we aimed to analyse associations between built and natural environment features and diabetes prevalence; and two major risk factors: physical activity and obesity and their mediation effects. Methods: We analysed relationships between walkability and park availability with physical activity, obesity, and diabetes, using self-reported data from a large cross-sectional survey in British Columbia, Canada (n = 22,418). We validated results with an independent cohort (n = 11,972) in a subset of the analyses. The outcome measures included walking, moderate to vigorous physical activity (MVPA), body mass index (BMI), and diabetes. Built and natural environment features within a 1 km road network buffer around residential postal code centroids were assessed using validated indicators of walkability and park availability. We used general linear multivariable models (GLM) to examine the direct relationship between environmental features, physical activity, obesity, and diabetes respectively. Path models were developed to analyse mediation effects of physical activity and obesity on the association between environmental indicators and diabetes. The relative contribution of direct versus indirect effects was assessed. All models were adjusted for age, gender, income. ethnicity, years lived in neighbourhood and regional accessibility. Results: Walkable neighbourhoods and areas with greater park availability were associated with lower rates of diabetes. There was a direct association of walkability and park availability on physical activity (highest vs. lowest quintile OR = 1.15; 95% CI: 1.00, 1.33 and OR = 1.28, 95% CI: 1.13, 1.45 respectively), obesity (highest vs. lowest quintile OR = 0.58, 95% CI: 0.49, 0.70 and OR = 0.57, 95% CI: 0.48, 0.68 respectively) and diabetes (highest vs. lowest quintile OR = 0.62, 95% CI: 0.45, 0.85, and OR = 0.63, 95% CI: 0.47, 0.84 respectively). Results were similar in the independent cohort. The associations between diabetes and walkability and park availability respectively were partly mediated by obesity (41% of total association for walkability and 53% of total association for park availability). The mediating effect of physical activity was negligible. Conclusion: Results support investments in walkability through active transportation and transit infrastructure. Changes in zoning and subdivision regulations governing land use actions are required to enable compact mixed-use environments with access to parks and high quality transit service. Future studies including cost-benefit analyses of health-related economic impacts of such investments can contribute to evidence-based decisions for healthier cities.</t>
        </is>
      </c>
      <c r="X479" t="inlineStr">
        <is>
          <t>[Frank, Lawrence D.] Univ Calif San Diego, Dept Urban Studies &amp; Planning, La Jolla, CA 92093 USA; [Frank, Lawrence D.; Adhikari, Binay; White, Katherine R.; Dummer, Trevor; Sandhu, Jat; Hong, Andy; Van den Bosch, Matilda] Univ British Columbia, Sch Populat &amp; Publ Hlth, Vancouver, BC V6T 1Z3, Canada; [Sandhu, Jat; Demlow, Ellen; Hu, Yumian] Vancouver Coastal Hlth Author, Vancouver, BC, Canada; [Hong, Andy] Univ Oxford, George Inst Global Hlth, Oxford, England; [Dummer, Trevor] BC Canc, Canc Control Res, Vancouver, BC, Canada</t>
        </is>
      </c>
      <c r="Y479" t="inlineStr">
        <is>
          <t>University of California System; University of California San Diego; University of British Columbia; Vancouver Coastal Health Research Institute; University of Oxford</t>
        </is>
      </c>
      <c r="Z479" t="inlineStr">
        <is>
          <t>Frank, LD (corresponding author), Univ Calif San Diego, Dept Urban Studies &amp; Planning, La Jolla, CA 92093 USA.</t>
        </is>
      </c>
      <c r="AA479" t="inlineStr">
        <is>
          <t>ldfrank@ucsd.edu</t>
        </is>
      </c>
      <c r="AB479" t="inlineStr">
        <is>
          <t>; van den Bosch, Matilda/F-1550-2013</t>
        </is>
      </c>
      <c r="AC479" t="inlineStr">
        <is>
          <t>White, Katherine/0000-0002-4319-9692; van den Bosch, Matilda/0000-0003-1410-0099</t>
        </is>
      </c>
      <c r="AD479" t="inlineStr">
        <is>
          <t>Canadian Institutes for Health Research (CIHR); Real Estate Foundation of British Columbia (REFBC); City of Vancouver; TransLink; METRO Vancouver; Canadian Partnership Against Cancer; Health Canada</t>
        </is>
      </c>
      <c r="AE479" t="inlineStr">
        <is>
          <t>Canadian Institutes for Health Research (CIHR)(Canadian Institutes of Health Research (CIHR)); Real Estate Foundation of British Columbia (REFBC); City of Vancouver; TransLink; METRO Vancouver; Canadian Partnership Against Cancer; Health Canada</t>
        </is>
      </c>
      <c r="AF479" t="inlineStr">
        <is>
          <t>We thank the Canadian Institutes for Health Research (CIHR), Real Estate Foundation of British Columbia (REFBC), City of Vancouver, TransLink, and METRO Vancouver for funding this study. BC Generations received financial support from the Canadian Partnership Against Cancer and by Health Canada (The views expressed herein represent the views of the authors and do not necessarily represent the views of Health Canada).</t>
        </is>
      </c>
      <c r="AH479" t="n">
        <v>87</v>
      </c>
      <c r="AI479" t="n">
        <v>15</v>
      </c>
      <c r="AJ479" t="n">
        <v>16</v>
      </c>
      <c r="AK479" t="n">
        <v>8</v>
      </c>
      <c r="AL479" t="n">
        <v>48</v>
      </c>
      <c r="AM479" t="inlineStr">
        <is>
          <t>PERGAMON-ELSEVIER SCIENCE LTD</t>
        </is>
      </c>
      <c r="AN479" t="inlineStr">
        <is>
          <t>OXFORD</t>
        </is>
      </c>
      <c r="AO479" t="inlineStr">
        <is>
          <t>THE BOULEVARD, LANGFORD LANE, KIDLINGTON, OXFORD OX5 1GB, ENGLAND</t>
        </is>
      </c>
      <c r="AP479" t="inlineStr">
        <is>
          <t>0160-4120</t>
        </is>
      </c>
      <c r="AQ479" t="inlineStr">
        <is>
          <t>1873-6750</t>
        </is>
      </c>
      <c r="AS479" t="inlineStr">
        <is>
          <t>ENVIRON INT</t>
        </is>
      </c>
      <c r="AT479" t="inlineStr">
        <is>
          <t>Environ. Int.</t>
        </is>
      </c>
      <c r="AU479" t="inlineStr">
        <is>
          <t>JAN</t>
        </is>
      </c>
      <c r="AV479" t="n">
        <v>2022</v>
      </c>
      <c r="AW479" t="n">
        <v>158</v>
      </c>
      <c r="BE479" t="n">
        <v>106959</v>
      </c>
      <c r="BF479" t="inlineStr">
        <is>
          <t>10.1016/j.envint.2021.106959</t>
        </is>
      </c>
      <c r="BG479">
        <f>HYPERLINK("http://dx.doi.org/10.1016/j.envint.2021.106959","http://dx.doi.org/10.1016/j.envint.2021.106959")</f>
        <v/>
      </c>
      <c r="BI479" t="inlineStr">
        <is>
          <t>NOV 2021</t>
        </is>
      </c>
      <c r="BJ479" t="n">
        <v>12</v>
      </c>
      <c r="BK479" t="inlineStr">
        <is>
          <t>Environmental Sciences</t>
        </is>
      </c>
      <c r="BL479" t="inlineStr">
        <is>
          <t>Science Citation Index Expanded (SCI-EXPANDED)</t>
        </is>
      </c>
      <c r="BM479" t="inlineStr">
        <is>
          <t>Environmental Sciences &amp; Ecology</t>
        </is>
      </c>
      <c r="BN479" t="inlineStr">
        <is>
          <t>WX5EY</t>
        </is>
      </c>
      <c r="BO479" t="n">
        <v>34768046</v>
      </c>
      <c r="BP479" t="inlineStr">
        <is>
          <t>gold</t>
        </is>
      </c>
      <c r="BS479" t="inlineStr">
        <is>
          <t>2023-10-26</t>
        </is>
      </c>
      <c r="BT479" t="inlineStr">
        <is>
          <t>WOS:000718620300001</t>
        </is>
      </c>
      <c r="BU479">
        <f>HYPERLINK("https%3A%2F%2Fwww.webofscience.com%2Fwos%2Fwoscc%2Ffull-record%2FWOS:000718620300001","View Full Record in Web of Science")</f>
        <v/>
      </c>
    </row>
    <row r="480">
      <c r="A480" t="inlineStr">
        <is>
          <t>J</t>
        </is>
      </c>
      <c r="B480" t="inlineStr">
        <is>
          <t>Liao, BJ; Li, X</t>
        </is>
      </c>
      <c r="F480" t="inlineStr">
        <is>
          <t>Liao, Bojing; Li, Xiang</t>
        </is>
      </c>
      <c r="J480" t="inlineStr">
        <is>
          <t>INTERNATIONAL JOURNAL OF ENVIRONMENTAL RESEARCH AND PUBLIC HEALTH</t>
        </is>
      </c>
      <c r="M480" t="inlineStr">
        <is>
          <t>English</t>
        </is>
      </c>
      <c r="N480" t="inlineStr">
        <is>
          <t>Article</t>
        </is>
      </c>
      <c r="T480" t="inlineStr">
        <is>
          <t>Neighborhood Environment and Affective Walking Experience: Cluster Analysis Results of a Virtual-Environment-Based Conjoint Experiment</t>
        </is>
      </c>
      <c r="U480" t="inlineStr">
        <is>
          <t>neighborhood environment; walking experience; virtual environment; conjoint experiment; latent-class analysis</t>
        </is>
      </c>
      <c r="V480" t="inlineStr">
        <is>
          <t>BUILT ENVIRONMENTS; PHYSICAL-ACTIVITY; WALKABILITY; SATISFACTION; HEALTH; TRAVEL; ADULTS; GEOGRAPHIES; PERCEPTION</t>
        </is>
      </c>
      <c r="W480" t="inlineStr">
        <is>
          <t>There is empirical evidence that neighborhood environment characteristics influence individuals' self-reported affective walking experiences. However, much of the research investigates residents' affective walking experiences at the neighborhood level using revealed-preference methodologies, making it difficult to identify the separate impacts of characteristics. In addition, empirical studies have not shown enough evidence that individuals from different sociodemographic backgrounds have distinct affective walking experiences. Therefore, the objective of this paper is to explain how different groups of people perceive the characteristics of a neighborhood differently. To do this, this study conducts a conjoint experiment employing videos of virtual environments involving a sample of 295 respondents. Using a latent-class regression model and a multinomial logit model, we are able to determine how individuals and groups perceive neighborhood characteristics differently based on their different emotions. The results somewhat confirmed the findings of the empirical research, indicating that land use mix, connectivity, road size, open space, and greenery are related to a positive walking experience. The level of affective walking experience that individuals associate with neighborhood environmental characteristics is, however, considerably variable. Therefore, our results show that open space and road width are crucial for a walkable neighborhood since they are most helpful to individuals' subjective well-being.</t>
        </is>
      </c>
      <c r="X480" t="inlineStr">
        <is>
          <t>[Liao, Bojing] Xiamen Univ, Inst Creat &amp; Innovat, Xiamen 361005, Peoples R China; [Li, Xiang] Xiamen Univ, Sch Architecture &amp; Civil Engn, Xiamen 361005, Peoples R China</t>
        </is>
      </c>
      <c r="Y480" t="inlineStr">
        <is>
          <t>Xiamen University; Xiamen University</t>
        </is>
      </c>
      <c r="Z480" t="inlineStr">
        <is>
          <t>Li, X (corresponding author), Xiamen Univ, Sch Architecture &amp; Civil Engn, Xiamen 361005, Peoples R China.</t>
        </is>
      </c>
      <c r="AA480" t="inlineStr">
        <is>
          <t>lxplanning@xmu.edu.cn</t>
        </is>
      </c>
      <c r="AC480" t="inlineStr">
        <is>
          <t>Liao, Bojing/0000-0002-4433-9511; Li, Xiang/0000-0003-1104-1185</t>
        </is>
      </c>
      <c r="AD480" t="inlineStr">
        <is>
          <t>National Natural Science Foundation of China [52208085]; Research and Development Projects of the Ministry of Housing and Urban-Rural Development [2022-K-098]; Fundamental Research Funds for the Central Universities [20720221045, 20720210054]</t>
        </is>
      </c>
      <c r="AE480" t="inlineStr">
        <is>
          <t>National Natural Science Foundation of China(National Natural Science Foundation of China (NSFC)); Research and Development Projects of the Ministry of Housing and Urban-Rural Development; Fundamental Research Funds for the Central Universities(Fundamental Research Funds for the Central Universities)</t>
        </is>
      </c>
      <c r="AF480" t="inlineStr">
        <is>
          <t>This research was supported by the National Natural Science Foundation of China (No. 52208085); Research and Development Projects of the Ministry of Housing and Urban-Rural Development (No. 2022-K-098); the Fundamental Research Funds for the Central Universities (No. 20720221045; No. 20720210054).</t>
        </is>
      </c>
      <c r="AH480" t="n">
        <v>64</v>
      </c>
      <c r="AI480" t="n">
        <v>0</v>
      </c>
      <c r="AJ480" t="n">
        <v>0</v>
      </c>
      <c r="AK480" t="n">
        <v>6</v>
      </c>
      <c r="AL480" t="n">
        <v>12</v>
      </c>
      <c r="AM480" t="inlineStr">
        <is>
          <t>MDPI</t>
        </is>
      </c>
      <c r="AN480" t="inlineStr">
        <is>
          <t>BASEL</t>
        </is>
      </c>
      <c r="AO480" t="inlineStr">
        <is>
          <t>ST ALBAN-ANLAGE 66, CH-4052 BASEL, SWITZERLAND</t>
        </is>
      </c>
      <c r="AQ480" t="inlineStr">
        <is>
          <t>1660-4601</t>
        </is>
      </c>
      <c r="AS480" t="inlineStr">
        <is>
          <t>INT J ENV RES PUB HE</t>
        </is>
      </c>
      <c r="AT480" t="inlineStr">
        <is>
          <t>Int. J. Environ. Res. Public Health</t>
        </is>
      </c>
      <c r="AU480" t="inlineStr">
        <is>
          <t>JAN</t>
        </is>
      </c>
      <c r="AV480" t="n">
        <v>2023</v>
      </c>
      <c r="AW480" t="n">
        <v>20</v>
      </c>
      <c r="AX480" t="n">
        <v>2</v>
      </c>
      <c r="BE480" t="n">
        <v>1396</v>
      </c>
      <c r="BF480" t="inlineStr">
        <is>
          <t>10.3390/ijerph20021396</t>
        </is>
      </c>
      <c r="BG480">
        <f>HYPERLINK("http://dx.doi.org/10.3390/ijerph20021396","http://dx.doi.org/10.3390/ijerph20021396")</f>
        <v/>
      </c>
      <c r="BJ480" t="n">
        <v>19</v>
      </c>
      <c r="BK480" t="inlineStr">
        <is>
          <t>Environmental Sciences; Public, Environmental &amp; Occupational Health</t>
        </is>
      </c>
      <c r="BL480" t="inlineStr">
        <is>
          <t>Science Citation Index Expanded (SCI-EXPANDED); Social Science Citation Index (SSCI)</t>
        </is>
      </c>
      <c r="BM480" t="inlineStr">
        <is>
          <t>Environmental Sciences &amp; Ecology; Public, Environmental &amp; Occupational Health</t>
        </is>
      </c>
      <c r="BN480" t="inlineStr">
        <is>
          <t>7Y8GF</t>
        </is>
      </c>
      <c r="BO480" t="n">
        <v>36674155</v>
      </c>
      <c r="BP480" t="inlineStr">
        <is>
          <t>gold, Green Published</t>
        </is>
      </c>
      <c r="BS480" t="inlineStr">
        <is>
          <t>2023-10-26</t>
        </is>
      </c>
      <c r="BT480" t="inlineStr">
        <is>
          <t>WOS:000915109800001</t>
        </is>
      </c>
      <c r="BU480">
        <f>HYPERLINK("https%3A%2F%2Fwww.webofscience.com%2Fwos%2Fwoscc%2Ffull-record%2FWOS:000915109800001","View Full Record in Web of Science")</f>
        <v/>
      </c>
    </row>
    <row r="481">
      <c r="A481" t="inlineStr">
        <is>
          <t>J</t>
        </is>
      </c>
      <c r="B481" t="inlineStr">
        <is>
          <t>Lukmanji, A; Williams, JVA; Bulloch, AGM; Dores, AK; Patten, SB</t>
        </is>
      </c>
      <c r="F481" t="inlineStr">
        <is>
          <t>Lukmanji, Aysha; Williams, Jeanne V. A.; Bulloch, Andrew G. M.; Dores, Ashley K.; Patten, Scott B.</t>
        </is>
      </c>
      <c r="J481" t="inlineStr">
        <is>
          <t>INTERNATIONAL JOURNAL OF ENVIRONMENTAL RESEARCH AND PUBLIC HEALTH</t>
        </is>
      </c>
      <c r="M481" t="inlineStr">
        <is>
          <t>English</t>
        </is>
      </c>
      <c r="N481" t="inlineStr">
        <is>
          <t>Article</t>
        </is>
      </c>
      <c r="T481" t="inlineStr">
        <is>
          <t>The Association of Active Living Environments and Mental Health: A Canadian Epidemiological Analysis</t>
        </is>
      </c>
      <c r="U481" t="inlineStr">
        <is>
          <t>built environments; mental health; active living environments; active transportation</t>
        </is>
      </c>
      <c r="V481" t="inlineStr">
        <is>
          <t>PHYSICAL-ACTIVITY; DEPRESSION; OBESITY</t>
        </is>
      </c>
      <c r="W481" t="inlineStr">
        <is>
          <t>Environments that promote use of active transport (walking, biking, and public transport use) are known as active living environments (ALE). Using a Canadian national sample, our aim was to determine if ALEs were associated with mental health outcomes, including depressive symptoms, and mood and anxiety disorders. Data from the Canadian Community Health Survey from 2015-2016 was used for demographic characteristics and mental health outcomes (n approximate to 110,000). This data was linked to datasets from the Canadian Urban Environmental Health Research Consortium, reporting ALE and social and material deprivation. Depressive symptoms were evaluated using standard dichotomized scores of 5+ (mild) and 10+ (moderate/severe) from the Patient Health Questionnaire-9. Self-reported diagnosed mood and anxiety disorders were also included. Logistic regression was used to determine the association of mental health outcomes with four classes of ALE. The analysis included adjustments for social and material deprivation, age, sex, chronic conditions, marital status, education, employment, income, BMI, and immigrant status. No association between any mental health outcome and ALE were observed. While the benefits of ALE to physical health are known, these results do not support the hypothesis that more favorable ALE and increased use of active transport is associated with better mental health outcomes.</t>
        </is>
      </c>
      <c r="X481" t="inlineStr">
        <is>
          <t>[Lukmanji, Aysha; Williams, Jeanne V. A.; Bulloch, Andrew G. M.; Dores, Ashley K.; Patten, Scott B.] Univ Calgary, Cumming Sch Med, Dept Community Hlth Sci, 3280 Hosp Dr NW Calgary, Calgary, AB T2N 4Z6, Canada; [Bulloch, Andrew G. M.; Patten, Scott B.] Univ Calgary, Mathison Ctr Mental Hlth Res &amp; Educ, Cumming Sch Med, Hotchkiss Brain Inst, 3280 Hosp Dr NW Calgary, Calgary, AB T2N 4Z6, Canada; [Patten, Scott B.] Univ Calgary, Cuthbertson &amp; Fischer Chair Pediat Mental Hlth, 3280 Hosp Dr NW Calgary, Calgary, AB T2N 4Z6, Canada</t>
        </is>
      </c>
      <c r="Y481" t="inlineStr">
        <is>
          <t>University of Calgary; University of Calgary; University of Calgary</t>
        </is>
      </c>
      <c r="Z481" t="inlineStr">
        <is>
          <t>Patten, SB (corresponding author), Univ Calgary, Cumming Sch Med, Dept Community Hlth Sci, 3280 Hosp Dr NW Calgary, Calgary, AB T2N 4Z6, Canada.;Patten, SB (corresponding author), Univ Calgary, Mathison Ctr Mental Hlth Res &amp; Educ, Cumming Sch Med, Hotchkiss Brain Inst, 3280 Hosp Dr NW Calgary, Calgary, AB T2N 4Z6, Canada.;Patten, SB (corresponding author), Univ Calgary, Cuthbertson &amp; Fischer Chair Pediat Mental Hlth, 3280 Hosp Dr NW Calgary, Calgary, AB T2N 4Z6, Canada.</t>
        </is>
      </c>
      <c r="AA481" t="inlineStr">
        <is>
          <t>ayshalukmanja@ucalgary.ca; jvawilli@ucalgary.ca; bulloch@ucalgary.ca; akdores@ucalgary.ca; patten@ucalgary.ca</t>
        </is>
      </c>
      <c r="AB481" t="inlineStr">
        <is>
          <t>Patten, Scott/B-4434-2011</t>
        </is>
      </c>
      <c r="AC481" t="inlineStr">
        <is>
          <t>Patten, Scott/0000-0001-9871-4041; Lukmanji, Aysha/0000-0002-7033-2612</t>
        </is>
      </c>
      <c r="AD481" t="inlineStr">
        <is>
          <t>Cuthbertson &amp; Fischer Chair in Pediatric Mental Health; University of Calgary</t>
        </is>
      </c>
      <c r="AE481" t="inlineStr">
        <is>
          <t>Cuthbertson &amp; Fischer Chair in Pediatric Mental Health; University of Calgary</t>
        </is>
      </c>
      <c r="AF481" t="inlineStr">
        <is>
          <t>This research was funded by Cuthbertson &amp; Fischer Chair in Pediatric Mental Health and the University of Calgary.</t>
        </is>
      </c>
      <c r="AH481" t="n">
        <v>25</v>
      </c>
      <c r="AI481" t="n">
        <v>6</v>
      </c>
      <c r="AJ481" t="n">
        <v>6</v>
      </c>
      <c r="AK481" t="n">
        <v>5</v>
      </c>
      <c r="AL481" t="n">
        <v>21</v>
      </c>
      <c r="AM481" t="inlineStr">
        <is>
          <t>MDPI</t>
        </is>
      </c>
      <c r="AN481" t="inlineStr">
        <is>
          <t>BASEL</t>
        </is>
      </c>
      <c r="AO481" t="inlineStr">
        <is>
          <t>ST ALBAN-ANLAGE 66, CH-4052 BASEL, SWITZERLAND</t>
        </is>
      </c>
      <c r="AQ481" t="inlineStr">
        <is>
          <t>1660-4601</t>
        </is>
      </c>
      <c r="AS481" t="inlineStr">
        <is>
          <t>INT J ENV RES PUB HE</t>
        </is>
      </c>
      <c r="AT481" t="inlineStr">
        <is>
          <t>Int. J. Environ. Res. Public Health</t>
        </is>
      </c>
      <c r="AU481" t="inlineStr">
        <is>
          <t>MAR 2</t>
        </is>
      </c>
      <c r="AV481" t="n">
        <v>2020</v>
      </c>
      <c r="AW481" t="n">
        <v>17</v>
      </c>
      <c r="AX481" t="n">
        <v>6</v>
      </c>
      <c r="BE481" t="n">
        <v>1910</v>
      </c>
      <c r="BF481" t="inlineStr">
        <is>
          <t>10.3390/ijerph17061910</t>
        </is>
      </c>
      <c r="BG481">
        <f>HYPERLINK("http://dx.doi.org/10.3390/ijerph17061910","http://dx.doi.org/10.3390/ijerph17061910")</f>
        <v/>
      </c>
      <c r="BJ481" t="n">
        <v>12</v>
      </c>
      <c r="BK481" t="inlineStr">
        <is>
          <t>Environmental Sciences; Public, Environmental &amp; Occupational Health</t>
        </is>
      </c>
      <c r="BL481" t="inlineStr">
        <is>
          <t>Science Citation Index Expanded (SCI-EXPANDED); Social Science Citation Index (SSCI)</t>
        </is>
      </c>
      <c r="BM481" t="inlineStr">
        <is>
          <t>Environmental Sciences &amp; Ecology; Public, Environmental &amp; Occupational Health</t>
        </is>
      </c>
      <c r="BN481" t="inlineStr">
        <is>
          <t>LI2VS</t>
        </is>
      </c>
      <c r="BO481" t="n">
        <v>32183467</v>
      </c>
      <c r="BP481" t="inlineStr">
        <is>
          <t>Green Published, gold</t>
        </is>
      </c>
      <c r="BS481" t="inlineStr">
        <is>
          <t>2023-10-26</t>
        </is>
      </c>
      <c r="BT481" t="inlineStr">
        <is>
          <t>WOS:000529342300100</t>
        </is>
      </c>
      <c r="BU481">
        <f>HYPERLINK("https%3A%2F%2Fwww.webofscience.com%2Fwos%2Fwoscc%2Ffull-record%2FWOS:000529342300100","View Full Record in Web of Science")</f>
        <v/>
      </c>
    </row>
    <row r="482">
      <c r="A482" t="inlineStr">
        <is>
          <t>J</t>
        </is>
      </c>
      <c r="B482" t="inlineStr">
        <is>
          <t>Neira-Zambrano, K; Trebilcock-Kelly, M; Briede-Westermeyer, JC</t>
        </is>
      </c>
      <c r="F482" t="inlineStr">
        <is>
          <t>Neira-Zambrano, Karina; Trebilcock-Kelly, Maureen; Briede-Westermeyer, Juan Carlos</t>
        </is>
      </c>
      <c r="J482" t="inlineStr">
        <is>
          <t>SUSTAINABILITY</t>
        </is>
      </c>
      <c r="M482" t="inlineStr">
        <is>
          <t>English</t>
        </is>
      </c>
      <c r="N482" t="inlineStr">
        <is>
          <t>Article</t>
        </is>
      </c>
      <c r="T482" t="inlineStr">
        <is>
          <t>Older Adults' Thermal Comfort in Nursing Homes: Exploratory Research in Three Case Studies</t>
        </is>
      </c>
      <c r="U482" t="inlineStr">
        <is>
          <t>indoor environmental comfort; thermal sensation; adaptive response; older adults; elderly; caregivers; nursing homes; global south</t>
        </is>
      </c>
      <c r="V482" t="inlineStr">
        <is>
          <t>TEMPERATURE; FIELD</t>
        </is>
      </c>
      <c r="W482" t="inlineStr">
        <is>
          <t>There are two types of occupants in nursing homes: older adults and caregivers. Because the former has different physiological qualities, they are more sensitive to high and low temperatures, presenting discrepancies with caregivers regarding thermal sensation. The objective of this exploratory research was to determine to what extent the range of thermal comfort differed between older adults and caregivers in three nursing homes in Gran Concepcion. Indoor and outdoor temperature and relative humidity were monitored during winter and spring. Simultaneously, a thermal sensation and preference survey was applied while clothing insulation, metabolic rate, and adaptive responses were observed. Neutral temperature was calculated using Griffiths' method for both groups to determine the comfort ranges and compare them. The older adults presented a higher neutral temperature than the caregivers with a difference of 0.8 degrees C in winter and 1.74 degrees C in spring. Regarding the adaptive response, both occupant types performed the same actions to achieve comfort, but older adults had less control over these. It is hoped that this study can lay the groundwork regarding comfort temperatures for older adults in Chile and integrate a discussion regarding their well-being on a local and global scale.</t>
        </is>
      </c>
      <c r="X482" t="inlineStr">
        <is>
          <t>[Neira-Zambrano, Karina] Univ Bio Bio, Magister Habitat Sustentable &amp; Eficiencia Energet, Avda Collao 1202, Concepcion 4081112, Chile; [Trebilcock-Kelly, Maureen] Univ Bio Bio, Dept Diseno &amp; Teoria Arquitectura, Avda Collao 1202, Concepcion 4081112, Chile; [Briede-Westermeyer, Juan Carlos] Univ Tecn Feder Santa Maria, Dept Engn Design, Valparaiso 2390212, Chile</t>
        </is>
      </c>
      <c r="Y482" t="inlineStr">
        <is>
          <t>Universidad del Bio-Bio; Universidad del Bio-Bio; Universidad Tecnica Federico Santa Maria</t>
        </is>
      </c>
      <c r="Z482" t="inlineStr">
        <is>
          <t>Briede-Westermeyer, JC (corresponding author), Univ Tecn Feder Santa Maria, Dept Engn Design, Valparaiso 2390212, Chile.</t>
        </is>
      </c>
      <c r="AA482" t="inlineStr">
        <is>
          <t>juancarlos.briede@usm.cl</t>
        </is>
      </c>
      <c r="AB482" t="inlineStr">
        <is>
          <t>Briede Westermeyer, Juan Carlos/GSN-8766-2022; Trebilcock, Maureen/C-7148-2011; Briede-Westermeyer, Juan Carlos/Q-8766-2018</t>
        </is>
      </c>
      <c r="AC482" t="inlineStr">
        <is>
          <t>Trebilcock, Maureen/0000-0002-1984-0259; Briede-Westermeyer, Juan Carlos/0000-0002-5746-0169</t>
        </is>
      </c>
      <c r="AD482" t="inlineStr">
        <is>
          <t>National Agency for Research and Development ANID-Human Capital Subdirection/Magister [Nacional/2021-22211070]; National Agency for Research and Development ANID-FONDECYT Regular [1201987]; Universidad del Bio-Bio</t>
        </is>
      </c>
      <c r="AE482" t="inlineStr">
        <is>
          <t>National Agency for Research and Development ANID-Human Capital Subdirection/Magister; National Agency for Research and Development ANID-FONDECYT Regular; Universidad del Bio-Bio</t>
        </is>
      </c>
      <c r="AF482" t="inlineStr">
        <is>
          <t>This work was funded by the National Agency for Research and Development ANID-Human Capital Subdirection/Magister Nacional/2021-22211070 and the National Agency for Research and Development ANID-FONDECYT Regular, No. 1201987. Universidad del Bio-Bio provided funding for the data gathering through Beca de Investigacion de Postgrado, ano 2022.</t>
        </is>
      </c>
      <c r="AH482" t="n">
        <v>31</v>
      </c>
      <c r="AI482" t="n">
        <v>0</v>
      </c>
      <c r="AJ482" t="n">
        <v>0</v>
      </c>
      <c r="AK482" t="n">
        <v>7</v>
      </c>
      <c r="AL482" t="n">
        <v>11</v>
      </c>
      <c r="AM482" t="inlineStr">
        <is>
          <t>MDPI</t>
        </is>
      </c>
      <c r="AN482" t="inlineStr">
        <is>
          <t>BASEL</t>
        </is>
      </c>
      <c r="AO482" t="inlineStr">
        <is>
          <t>ST ALBAN-ANLAGE 66, CH-4052 BASEL, SWITZERLAND</t>
        </is>
      </c>
      <c r="AQ482" t="inlineStr">
        <is>
          <t>2071-1050</t>
        </is>
      </c>
      <c r="AS482" t="inlineStr">
        <is>
          <t>SUSTAINABILITY-BASEL</t>
        </is>
      </c>
      <c r="AT482" t="inlineStr">
        <is>
          <t>Sustainability</t>
        </is>
      </c>
      <c r="AU482" t="inlineStr">
        <is>
          <t>FEB</t>
        </is>
      </c>
      <c r="AV482" t="n">
        <v>2023</v>
      </c>
      <c r="AW482" t="n">
        <v>15</v>
      </c>
      <c r="AX482" t="n">
        <v>4</v>
      </c>
      <c r="BE482" t="n">
        <v>3002</v>
      </c>
      <c r="BF482" t="inlineStr">
        <is>
          <t>10.3390/su15043002</t>
        </is>
      </c>
      <c r="BG482">
        <f>HYPERLINK("http://dx.doi.org/10.3390/su15043002","http://dx.doi.org/10.3390/su15043002")</f>
        <v/>
      </c>
      <c r="BJ482" t="n">
        <v>16</v>
      </c>
      <c r="BK482" t="inlineStr">
        <is>
          <t>Green &amp; Sustainable Science &amp; Technology; Environmental Sciences; Environmental Studies</t>
        </is>
      </c>
      <c r="BL482" t="inlineStr">
        <is>
          <t>Science Citation Index Expanded (SCI-EXPANDED); Social Science Citation Index (SSCI)</t>
        </is>
      </c>
      <c r="BM482" t="inlineStr">
        <is>
          <t>Science &amp; Technology - Other Topics; Environmental Sciences &amp; Ecology</t>
        </is>
      </c>
      <c r="BN482" t="inlineStr">
        <is>
          <t>9M2MJ</t>
        </is>
      </c>
      <c r="BP482" t="inlineStr">
        <is>
          <t>gold</t>
        </is>
      </c>
      <c r="BS482" t="inlineStr">
        <is>
          <t>2023-10-26</t>
        </is>
      </c>
      <c r="BT482" t="inlineStr">
        <is>
          <t>WOS:000942070300001</t>
        </is>
      </c>
      <c r="BU482">
        <f>HYPERLINK("https%3A%2F%2Fwww.webofscience.com%2Fwos%2Fwoscc%2Ffull-record%2FWOS:000942070300001","View Full Record in Web of Science")</f>
        <v/>
      </c>
    </row>
    <row r="483">
      <c r="A483" t="inlineStr">
        <is>
          <t>J</t>
        </is>
      </c>
      <c r="B483" t="inlineStr">
        <is>
          <t>Van Holle, V; Van Cauwenberg, J; De Bourdeaudhuij, I; Deforche, B; Van de Weghe, N; Van Dyck, D</t>
        </is>
      </c>
      <c r="F483" t="inlineStr">
        <is>
          <t>Van Holle, Veerle; Van Cauwenberg, Jelle; De Bourdeaudhuij, Ilse; Deforche, Benedicte; Van de Weghe, Nico; Van Dyck, Delfien</t>
        </is>
      </c>
      <c r="J483" t="inlineStr">
        <is>
          <t>INTERNATIONAL JOURNAL OF ENVIRONMENTAL RESEARCH AND PUBLIC HEALTH</t>
        </is>
      </c>
      <c r="M483" t="inlineStr">
        <is>
          <t>English</t>
        </is>
      </c>
      <c r="N483" t="inlineStr">
        <is>
          <t>Article</t>
        </is>
      </c>
      <c r="T483" t="inlineStr">
        <is>
          <t>Interactions between Neighborhood Social Environment and Walkability to Explain Belgian Older Adults' Physical Activity and Sedentary Time</t>
        </is>
      </c>
      <c r="U483" t="inlineStr">
        <is>
          <t>aging in place; elderly; walking; sitting; socio-ecological models</t>
        </is>
      </c>
      <c r="V483" t="inlineStr">
        <is>
          <t>COMPUTER-SCIENCE; PLACE ATTACHMENT; WALKING; HEALTH; TRANSPORTATION; VALIDITY; BEHAVIOR; TRAVEL; EPIDEMIOLOGY; DETERMINANTS</t>
        </is>
      </c>
      <c r="W483" t="inlineStr">
        <is>
          <t>This study examined associations between neighborhood social factors and physical activity (PA) and sedentary behavior (SB) in older adults. Furthermore, possible moderating effects of neighborhood walkability were explored. Data from 431 community-dwelling Belgian older adults (&gt;= 65 years) were analyzed. Neighborhood social factors included measures of neighboring, social trust and cohesion and social diversity. Neighborhood walkability was measured objectively. Outcome measures were self-reported weekly minutes of domain-specific walking and TV viewing, and accelerometer-assessed weekly minutes of moderate-to-vigorous physical activity (MVPA) and overall SB. A higher frequency of talking to neighbors was associated with higher levels of self-reported walking for transport and for recreation. Moderation analyses showed that only in highly-walkable neighborhoods, higher social diversity of the neighborhood environment was associated with more transport walking; and talking to neighbors and social interactions among neighbors were negatively associated with overall SB and television viewing, respectively. Findings suggest that a combination of a favorable neighborhood social and physical environment are important to promote older adults' PA and limit SB.</t>
        </is>
      </c>
      <c r="X483" t="inlineStr">
        <is>
          <t>[Van Holle, Veerle; De Bourdeaudhuij, Ilse; Van Dyck, Delfien] Univ Ghent, Dept Movement &amp; Sports Sci, Watersportlaan 2, B-9000 Ghent, Belgium; [Van Holle, Veerle; Van Cauwenberg, Jelle; Van Dyck, Delfien] Res Fdn Flanders FWO, Egmontstr 5, B-1000 Brussels, Belgium; [Van Cauwenberg, Jelle; Deforche, Benedicte] Univ Ghent, Dept Publ Hlth, De Pintelaan 185,4K3, B-9000 Ghent, Belgium; [Deforche, Benedicte] Vrije Univ Brussel, Dept Human Biometry &amp; Biomech, Pl Laan 2, B-1050 Brussels, Belgium; [Van de Weghe, Nico] Univ Ghent, Dept Geog, Krijgslaan 281 S8, B-9000 Ghent, Belgium</t>
        </is>
      </c>
      <c r="Y483" t="inlineStr">
        <is>
          <t>Ghent University; Ghent University; Ghent University Hospital; Vrije Universiteit Brussel; Ghent University</t>
        </is>
      </c>
      <c r="Z483" t="inlineStr">
        <is>
          <t>Van Dyck, D (corresponding author), Univ Ghent, Dept Movement &amp; Sports Sci, Watersportlaan 2, B-9000 Ghent, Belgium.;Van Dyck, D (corresponding author), Res Fdn Flanders FWO, Egmontstr 5, B-1000 Brussels, Belgium.</t>
        </is>
      </c>
      <c r="AA483" t="inlineStr">
        <is>
          <t>veerle.vanholle@ugent.be; jelle.vancauwenberg@ugent.be; ilse.debourdeaudhuij@ugent.be; benedicte.deforche@ugent.be; nico.vandeweghe@ugent.be; delfien.vandyck@ugent.be</t>
        </is>
      </c>
      <c r="AB483" t="inlineStr">
        <is>
          <t>De+Bourdeaudhuij, Ilse/AAC-5528-2019; Van Cauwenberg, Jelle/H-7962-2014; Van de Weghe, Nico/N-4214-2019; Van Dyck, Delfien/AAO-8981-2020; Van de Weghe, Nico/B-7680-2011</t>
        </is>
      </c>
      <c r="AC483" t="inlineStr">
        <is>
          <t>De+Bourdeaudhuij, Ilse/0000-0001-9969-7597; Van de Weghe, Nico/0000-0002-5327-4000; Van Dyck, Delfien/0000-0003-1783-9075; Van de Weghe, Nico/0000-0002-5327-4000; Van Cauwenberg, Jelle/0000-0003-1292-6241</t>
        </is>
      </c>
      <c r="AD483" t="inlineStr">
        <is>
          <t>Fund for Scientific Research Flanders (FWO)</t>
        </is>
      </c>
      <c r="AE483" t="inlineStr">
        <is>
          <t>Fund for Scientific Research Flanders (FWO)(FWO)</t>
        </is>
      </c>
      <c r="AF483" t="inlineStr">
        <is>
          <t>This research was supported by the Fund for Scientific Research Flanders (FWO).</t>
        </is>
      </c>
      <c r="AH483" t="n">
        <v>67</v>
      </c>
      <c r="AI483" t="n">
        <v>54</v>
      </c>
      <c r="AJ483" t="n">
        <v>55</v>
      </c>
      <c r="AK483" t="n">
        <v>4</v>
      </c>
      <c r="AL483" t="n">
        <v>57</v>
      </c>
      <c r="AM483" t="inlineStr">
        <is>
          <t>MDPI</t>
        </is>
      </c>
      <c r="AN483" t="inlineStr">
        <is>
          <t>BASEL</t>
        </is>
      </c>
      <c r="AO483" t="inlineStr">
        <is>
          <t>ST ALBAN-ANLAGE 66, CH-4052 BASEL, SWITZERLAND</t>
        </is>
      </c>
      <c r="AQ483" t="inlineStr">
        <is>
          <t>1660-4601</t>
        </is>
      </c>
      <c r="AS483" t="inlineStr">
        <is>
          <t>INT J ENV RES PUB HE</t>
        </is>
      </c>
      <c r="AT483" t="inlineStr">
        <is>
          <t>Int. J. Environ. Res. Public Health</t>
        </is>
      </c>
      <c r="AU483" t="inlineStr">
        <is>
          <t>JUN</t>
        </is>
      </c>
      <c r="AV483" t="n">
        <v>2016</v>
      </c>
      <c r="AW483" t="n">
        <v>13</v>
      </c>
      <c r="AX483" t="n">
        <v>6</v>
      </c>
      <c r="BE483" t="n">
        <v>569</v>
      </c>
      <c r="BF483" t="inlineStr">
        <is>
          <t>10.3390/ijerph13060569</t>
        </is>
      </c>
      <c r="BG483">
        <f>HYPERLINK("http://dx.doi.org/10.3390/ijerph13060569","http://dx.doi.org/10.3390/ijerph13060569")</f>
        <v/>
      </c>
      <c r="BJ483" t="n">
        <v>14</v>
      </c>
      <c r="BK483" t="inlineStr">
        <is>
          <t>Environmental Sciences; Public, Environmental &amp; Occupational Health</t>
        </is>
      </c>
      <c r="BL483" t="inlineStr">
        <is>
          <t>Science Citation Index Expanded (SCI-EXPANDED); Social Science Citation Index (SSCI)</t>
        </is>
      </c>
      <c r="BM483" t="inlineStr">
        <is>
          <t>Environmental Sciences &amp; Ecology; Public, Environmental &amp; Occupational Health</t>
        </is>
      </c>
      <c r="BN483" t="inlineStr">
        <is>
          <t>DQ0AS</t>
        </is>
      </c>
      <c r="BO483" t="n">
        <v>27338426</v>
      </c>
      <c r="BP483" t="inlineStr">
        <is>
          <t>Green Published, Green Submitted, gold</t>
        </is>
      </c>
      <c r="BS483" t="inlineStr">
        <is>
          <t>2023-10-26</t>
        </is>
      </c>
      <c r="BT483" t="inlineStr">
        <is>
          <t>WOS:000378860100048</t>
        </is>
      </c>
      <c r="BU483">
        <f>HYPERLINK("https%3A%2F%2Fwww.webofscience.com%2Fwos%2Fwoscc%2Ffull-record%2FWOS:000378860100048","View Full Record in Web of Science")</f>
        <v/>
      </c>
    </row>
    <row r="484">
      <c r="A484" t="inlineStr">
        <is>
          <t>J</t>
        </is>
      </c>
      <c r="B484" t="inlineStr">
        <is>
          <t>Borgoni, R; De Francesco, D; De Bartolo, D; Tzavidis, N</t>
        </is>
      </c>
      <c r="F484" t="inlineStr">
        <is>
          <t>Borgoni, Riccardo; De Francesco, Davide; De Bartolo, Daniela; Tzavidis, Nikos</t>
        </is>
      </c>
      <c r="J484" t="inlineStr">
        <is>
          <t>JOURNAL OF ENVIRONMENTAL RADIOACTIVITY</t>
        </is>
      </c>
      <c r="M484" t="inlineStr">
        <is>
          <t>English</t>
        </is>
      </c>
      <c r="N484" t="inlineStr">
        <is>
          <t>Article</t>
        </is>
      </c>
      <c r="T484" t="inlineStr">
        <is>
          <t>Hierarchical modeling of indoor radon concentration: how much do geology and building factors matter?</t>
        </is>
      </c>
      <c r="U484" t="inlineStr">
        <is>
          <t>Indoor radon concentration; Hierarchical mixed models; Building factors; Floor effect</t>
        </is>
      </c>
      <c r="V484" t="inlineStr">
        <is>
          <t>RESIDENTIAL RADON; SPATIAL ASSOCIATION; NEW-HAMPSHIRE; SOIL-GAS; PREDICTION; URANIUM; SWEDEN; HOUSES; HOMES</t>
        </is>
      </c>
      <c r="W484" t="inlineStr">
        <is>
          <t>Radon is a natural gas known to be the main contributor to natural background radiation exposure and only second to smoking as major leading cause of lung cancer. The main concern is in indoor environments where the gas tends to accumulate and can reach high concentrations. The primary contributor of this gas into the building is from the soil although architectonic characteristics, such as building materials, can largely affect concentration values. Understanding the factors affecting the concentration in dwellings and workplaces is important both in prevention, when the construction of a new building is being planned, and in mitigation when the amount of Radon detected inside a building is too high. In this paper we investigate how several factors, such as geologic typologies of the soil and a range of building characteristics, impact on indoor concentration focusing, in particular, on how concentration changes as a function of the floor level. Adopting a mixed effects model to account for the hierarchical nature of the data, we also quantify the extent to which such measurable factors manage to explain the variability of indoor radon concentration. (C) 2014 Elsevier Ltd. All rights reserved.</t>
        </is>
      </c>
      <c r="X484" t="inlineStr">
        <is>
          <t>[Borgoni, Riccardo] Univ Milano Bicocca, Dept Econ Metodi Quantitat &amp; Strategie Impresa, I-20126 Milan, Italy; [De Francesco, Davide] UCL, Res Dept Infect &amp; Populat Hlth, London, England; [De Bartolo, Daniela] Agenzia Reg Protez Ambiente Lombardia, Milan, Italy; [Tzavidis, Nikos] Univ Southampton, Southampton Stat Sci Res Inst, Southampton SO9 5NH, Hants, England; [Tzavidis, Nikos] Univ Southampton, Dept Social Stat &amp; Demog, Southampton SO9 5NH, Hants, England</t>
        </is>
      </c>
      <c r="Y484" t="inlineStr">
        <is>
          <t>University of Milano-Bicocca; University of London; University College London; Regional Environmental Protection Agency - Italy; University of Southampton; University of Southampton</t>
        </is>
      </c>
      <c r="Z484" t="inlineStr">
        <is>
          <t>Borgoni, R (corresponding author), Univ Milano Bicocca, Dept Econ Metodi Quantitat &amp; Strategie Impresa, Bldg U7,Piazza Ateneo Nuovo 1, I-20126 Milan, Italy.</t>
        </is>
      </c>
      <c r="AA484" t="inlineStr">
        <is>
          <t>riccardo.borgoni@unimib.it</t>
        </is>
      </c>
      <c r="AB484" t="inlineStr">
        <is>
          <t>borgoni, riccardo/AAZ-4171-2020</t>
        </is>
      </c>
      <c r="AC484" t="inlineStr">
        <is>
          <t>borgoni, riccardo/0000-0002-2520-3512; De Francesco, Davide/0000-0002-6185-0514; Tzavidis, Nikolaos/0000-0002-8413-8095</t>
        </is>
      </c>
      <c r="AH484" t="n">
        <v>41</v>
      </c>
      <c r="AI484" t="n">
        <v>32</v>
      </c>
      <c r="AJ484" t="n">
        <v>33</v>
      </c>
      <c r="AK484" t="n">
        <v>0</v>
      </c>
      <c r="AL484" t="n">
        <v>41</v>
      </c>
      <c r="AM484" t="inlineStr">
        <is>
          <t>ELSEVIER SCI LTD</t>
        </is>
      </c>
      <c r="AN484" t="inlineStr">
        <is>
          <t>OXFORD</t>
        </is>
      </c>
      <c r="AO484" t="inlineStr">
        <is>
          <t>THE BOULEVARD, LANGFORD LANE, KIDLINGTON, OXFORD OX5 1GB, OXON, ENGLAND</t>
        </is>
      </c>
      <c r="AP484" t="inlineStr">
        <is>
          <t>0265-931X</t>
        </is>
      </c>
      <c r="AQ484" t="inlineStr">
        <is>
          <t>1879-1700</t>
        </is>
      </c>
      <c r="AS484" t="inlineStr">
        <is>
          <t>J ENVIRON RADIOACTIV</t>
        </is>
      </c>
      <c r="AT484" t="inlineStr">
        <is>
          <t>J. Environ. Radioact.</t>
        </is>
      </c>
      <c r="AU484" t="inlineStr">
        <is>
          <t>DEC</t>
        </is>
      </c>
      <c r="AV484" t="n">
        <v>2014</v>
      </c>
      <c r="AW484" t="n">
        <v>138</v>
      </c>
      <c r="BA484" t="inlineStr">
        <is>
          <t>SI</t>
        </is>
      </c>
      <c r="BC484" t="n">
        <v>227</v>
      </c>
      <c r="BD484" t="n">
        <v>237</v>
      </c>
      <c r="BF484" t="inlineStr">
        <is>
          <t>10.1016/j.jenvrad.2014.08.022</t>
        </is>
      </c>
      <c r="BG484">
        <f>HYPERLINK("http://dx.doi.org/10.1016/j.jenvrad.2014.08.022","http://dx.doi.org/10.1016/j.jenvrad.2014.08.022")</f>
        <v/>
      </c>
      <c r="BJ484" t="n">
        <v>11</v>
      </c>
      <c r="BK484" t="inlineStr">
        <is>
          <t>Environmental Sciences</t>
        </is>
      </c>
      <c r="BL484" t="inlineStr">
        <is>
          <t>Science Citation Index Expanded (SCI-EXPANDED)</t>
        </is>
      </c>
      <c r="BM484" t="inlineStr">
        <is>
          <t>Environmental Sciences &amp; Ecology</t>
        </is>
      </c>
      <c r="BN484" t="inlineStr">
        <is>
          <t>AW3WY</t>
        </is>
      </c>
      <c r="BO484" t="n">
        <v>25261869</v>
      </c>
      <c r="BS484" t="inlineStr">
        <is>
          <t>2023-10-26</t>
        </is>
      </c>
      <c r="BT484" t="inlineStr">
        <is>
          <t>WOS:000346215100029</t>
        </is>
      </c>
      <c r="BU484">
        <f>HYPERLINK("https%3A%2F%2Fwww.webofscience.com%2Fwos%2Fwoscc%2Ffull-record%2FWOS:000346215100029","View Full Record in Web of Science")</f>
        <v/>
      </c>
    </row>
    <row r="485">
      <c r="A485" t="inlineStr">
        <is>
          <t>J</t>
        </is>
      </c>
      <c r="B485" t="inlineStr">
        <is>
          <t>Li, CC; Guo, HX; Yin, MY; Zhou, XL; Zhang, XS; Ji, QF</t>
        </is>
      </c>
      <c r="F485" t="inlineStr">
        <is>
          <t>Li, Chuancheng; Guo, Haixu; Yin, Mengya; Zhou, Xilin; Zhang, Xinshuang; Ji, Qunfeng</t>
        </is>
      </c>
      <c r="J485" t="inlineStr">
        <is>
          <t>SUSTAINABILITY</t>
        </is>
      </c>
      <c r="M485" t="inlineStr">
        <is>
          <t>English</t>
        </is>
      </c>
      <c r="N485" t="inlineStr">
        <is>
          <t>Review</t>
        </is>
      </c>
      <c r="T485" t="inlineStr">
        <is>
          <t>A Systematic Review of Factors Influencing Signage Salience in Indoor Environments</t>
        </is>
      </c>
      <c r="U485" t="inlineStr">
        <is>
          <t>signage; indoor environment; wayfinding; visual salience; decision points</t>
        </is>
      </c>
      <c r="V485" t="inlineStr">
        <is>
          <t>VISUAL-ATTENTION; VIRTUAL-REALITY; VISIBILITY; DESIGN; BEHAVIOR; MODEL</t>
        </is>
      </c>
      <c r="W485" t="inlineStr">
        <is>
          <t>Wayfinding signage is an intermediary public facility that coordinates the relationship between space and people, and it is crucial to help people find their way in complex indoor environments. In people's cognitive behaviour towards wayfinding signs, the visual salience of the signs is the prerequisite and key to ensuring their effective operation. This paper aims to review published research articles on the effect of indoor environments on the saliency of wayfinding signs. The literature review was conducted by PICO methodology to formulate the research question and develop search strategies. Relevant research articles were identified by systematically searching electronic databases, including Web of Science, ScienceDirect, ProQuest, and EBSCO. This paper summarises two categories of factors influencing signage salience: (1) floor plan factors and (2) environmental factors. This study examined and condensed the attributes of wayfinding signage and their impact on how pedestrians perceive visuals while navigating. Exploring the elements that influence the visual prominence of indoor signs enhances our comprehension of how pedestrians engage with visually guided information indoors. Furthermore, this offers a theoretical foundation for the realm of indoor wayfinding.</t>
        </is>
      </c>
      <c r="X485" t="inlineStr">
        <is>
          <t>[Li, Chuancheng; Guo, Haixu; Yin, Mengya; Zhou, Xilin; Ji, Qunfeng] Wuhan Univ Technol, Sch Civil Engn &amp; Architecture, Wuhan 430070, Peoples R China; [Zhang, Xinshuang] Univ Reading, Sch Built Environm, Reading RG6 6EX, England</t>
        </is>
      </c>
      <c r="Y485" t="inlineStr">
        <is>
          <t>Wuhan University of Technology; University of Reading</t>
        </is>
      </c>
      <c r="Z485" t="inlineStr">
        <is>
          <t>Ji, QF (corresponding author), Wuhan Univ Technol, Sch Civil Engn &amp; Architecture, Wuhan 430070, Peoples R China.</t>
        </is>
      </c>
      <c r="AA485" t="inlineStr">
        <is>
          <t>xinshuang.zhang@reading.ac.uk; jiq2flying@whut.edu.cn</t>
        </is>
      </c>
      <c r="AB485" t="inlineStr">
        <is>
          <t>Ji, Qunfeng/GQB-1812-2022</t>
        </is>
      </c>
      <c r="AC485" t="inlineStr">
        <is>
          <t>Ji, Qunfeng/0000-0001-6898-944X; zhou, xilin/0000-0003-3166-0194; Zhang, Xinshuang/0000-0002-9572-2975</t>
        </is>
      </c>
      <c r="AD485" t="inlineStr">
        <is>
          <t>National Natural Science Foundation of China (NSFC) [52208084]; Hubei Provincial Natural Science Foundation [2021CFB005]; Fundamental Research Funds for the Central Universities (WUT) [2021IVA006B]; Start-up Funding of Wuhan University of Technology [40120684]</t>
        </is>
      </c>
      <c r="AE485" t="inlineStr">
        <is>
          <t>National Natural Science Foundation of China (NSFC)(National Natural Science Foundation of China (NSFC)); Hubei Provincial Natural Science Foundation; Fundamental Research Funds for the Central Universities (WUT); Start-up Funding of Wuhan University of Technology</t>
        </is>
      </c>
      <c r="AF485" t="inlineStr">
        <is>
          <t>This study was funded by the National Natural Science Foundation of China (NSFC) (No.52208084), the Hubei Provincial Natural Science Foundation (No. 2021CFB005), the Fundamental Research Funds for the Central Universities (WUT: 2021IVA006B), and the Start-up Funding of Wuhan University of Technology (40120684)</t>
        </is>
      </c>
      <c r="AH485" t="n">
        <v>77</v>
      </c>
      <c r="AI485" t="n">
        <v>0</v>
      </c>
      <c r="AJ485" t="n">
        <v>0</v>
      </c>
      <c r="AK485" t="n">
        <v>4</v>
      </c>
      <c r="AL485" t="n">
        <v>4</v>
      </c>
      <c r="AM485" t="inlineStr">
        <is>
          <t>MDPI</t>
        </is>
      </c>
      <c r="AN485" t="inlineStr">
        <is>
          <t>BASEL</t>
        </is>
      </c>
      <c r="AO485" t="inlineStr">
        <is>
          <t>ST ALBAN-ANLAGE 66, CH-4052 BASEL, SWITZERLAND</t>
        </is>
      </c>
      <c r="AQ485" t="inlineStr">
        <is>
          <t>2071-1050</t>
        </is>
      </c>
      <c r="AS485" t="inlineStr">
        <is>
          <t>SUSTAINABILITY-BASEL</t>
        </is>
      </c>
      <c r="AT485" t="inlineStr">
        <is>
          <t>Sustainability</t>
        </is>
      </c>
      <c r="AU485" t="inlineStr">
        <is>
          <t>SEP</t>
        </is>
      </c>
      <c r="AV485" t="n">
        <v>2023</v>
      </c>
      <c r="AW485" t="n">
        <v>15</v>
      </c>
      <c r="AX485" t="n">
        <v>18</v>
      </c>
      <c r="BE485" t="n">
        <v>13658</v>
      </c>
      <c r="BF485" t="inlineStr">
        <is>
          <t>10.3390/su151813658</t>
        </is>
      </c>
      <c r="BG485">
        <f>HYPERLINK("http://dx.doi.org/10.3390/su151813658","http://dx.doi.org/10.3390/su151813658")</f>
        <v/>
      </c>
      <c r="BJ485" t="n">
        <v>14</v>
      </c>
      <c r="BK485" t="inlineStr">
        <is>
          <t>Green &amp; Sustainable Science &amp; Technology; Environmental Sciences; Environmental Studies</t>
        </is>
      </c>
      <c r="BL485" t="inlineStr">
        <is>
          <t>Science Citation Index Expanded (SCI-EXPANDED); Social Science Citation Index (SSCI)</t>
        </is>
      </c>
      <c r="BM485" t="inlineStr">
        <is>
          <t>Science &amp; Technology - Other Topics; Environmental Sciences &amp; Ecology</t>
        </is>
      </c>
      <c r="BN485" t="inlineStr">
        <is>
          <t>S9QY4</t>
        </is>
      </c>
      <c r="BP485" t="inlineStr">
        <is>
          <t>gold</t>
        </is>
      </c>
      <c r="BS485" t="inlineStr">
        <is>
          <t>2023-10-26</t>
        </is>
      </c>
      <c r="BT485" t="inlineStr">
        <is>
          <t>WOS:001074450800001</t>
        </is>
      </c>
      <c r="BU485">
        <f>HYPERLINK("https%3A%2F%2Fwww.webofscience.com%2Fwos%2Fwoscc%2Ffull-record%2FWOS:001074450800001","View Full Record in Web of Science")</f>
        <v/>
      </c>
    </row>
    <row r="486">
      <c r="A486" t="inlineStr">
        <is>
          <t>J</t>
        </is>
      </c>
      <c r="B486" t="inlineStr">
        <is>
          <t>Yang, J; Nam, I; Yun, H; Kim, J; Oh, HJ; Lee, D; Jeon, SM; Yoo, SH; Sohn, JR</t>
        </is>
      </c>
      <c r="F486" t="inlineStr">
        <is>
          <t>Yang, Jinho; Nam, Insick; Yun, Hyunjun; Kim, Jinman; Oh, Hyeon-Ju; Lee, Dohee; Jeon, Si-Moon; Yoo, Seung-Ho; Sohn, Jong-Ryeul</t>
        </is>
      </c>
      <c r="J486" t="inlineStr">
        <is>
          <t>ATMOSPHERIC POLLUTION RESEARCH</t>
        </is>
      </c>
      <c r="M486" t="inlineStr">
        <is>
          <t>English</t>
        </is>
      </c>
      <c r="N486" t="inlineStr">
        <is>
          <t>Article</t>
        </is>
      </c>
      <c r="T486" t="inlineStr">
        <is>
          <t>Characteristics of indoor air quality at urban elementary schools in Seoul, Korea: Assessment of effect of surrounding environments</t>
        </is>
      </c>
      <c r="U486" t="inlineStr">
        <is>
          <t>Indoor air quality; Surrounding environment; Urban; Elementary school; Korea</t>
        </is>
      </c>
      <c r="V486" t="inlineStr">
        <is>
          <t>VOLATILE ORGANIC-COMPOUNDS; OUTDOOR AIR; POLLUTION; ULTRAFINE; EXPOSURE; CITY; SINK; NO2; VENTILATION; PREVALENCE</t>
        </is>
      </c>
      <c r="W486" t="inlineStr">
        <is>
          <t>The indoor environment of schools where children stay for long periods of time is a matter of primary concern due to the vulnerability and sensibility of children to air pollutant exposure. The aims of this study were to characterize the indoor air quality of elementary schools in Seoul, Korea, to compare the indoor levels according to the surrounding environments and year of remodeling. The air pollutants, including particle matter (PM10), nitrogen dioxide (NO2), carbon monoxide (CO), carbon dioxide (CO2), total bacteria count (TBC), total volatile organic compounds (TVOC) and formaldehyde (HCHO), were sampled during autumn from classrooms and laboratories at 116 elementary schools employing natural ventilation. The schools were selected based on their surrounding environments: surrounded by buildings (SB), roadways (RW), and mountains (MT). The indoor air quality measured at elementary schools in Seoul, Korea showed generally low levels of pollutants due to low occupancy and adequate ventilation and the indoor levels of PM10 and TBC in schools near roadways were significantly lower than other surrounding environments due to dispersion of pollutants, without obstruction by buildings and mountains. TVOC and HCHO concentrations of schools remodeled within a year were significantly higher. Therefore, suitable management for school building characteristics is needed. Copyright (c) 2015 Turkish National Committee for Air Pollution Research and Control. Production and hosting by Elsevier B.V. All rights reserved.</t>
        </is>
      </c>
      <c r="X486" t="inlineStr">
        <is>
          <t>[Yang, Jinho; Nam, Insick; Kim, Jinman; Oh, Hyeon-Ju; Sohn, Jong-Ryeul] Korea Univ, Grad Sch, Dept Publ Hlth Sci, Seoul 136701, South Korea; [Yun, Hyunjun] Coway Co LTD, Coway R&amp;D Ctr, Seoul 151851, South Korea; [Lee, Dohee] Korea Univ, Dept Environm Hlth, Seoul 136701, South Korea; [Jeon, Si-Moon] LG Elect Co Ltd, Seoul, South Korea; [Yoo, Seung-Ho] Korea Univ, Res Inst Hlth Sci, Seoul 136701, South Korea</t>
        </is>
      </c>
      <c r="Y486" t="inlineStr">
        <is>
          <t>Korea University; Korea University; LG Electronics; Korea University</t>
        </is>
      </c>
      <c r="Z486" t="inlineStr">
        <is>
          <t>Sohn, JR (corresponding author), Korea Univ, Grad Sch, Dept Publ Hlth Sci, Seoul 136701, South Korea.</t>
        </is>
      </c>
      <c r="AA486" t="inlineStr">
        <is>
          <t>sohn1956@korea.ac.kr</t>
        </is>
      </c>
      <c r="AB486" t="inlineStr">
        <is>
          <t>Oh, Hyeon-Ju/ABH-2809-2020</t>
        </is>
      </c>
      <c r="AC486" t="inlineStr">
        <is>
          <t>Oh, Hyeon-Ju/0000-0002-4277-5707; Yang, Jinho/0000-0001-7207-6846; Yun, Hyunjun/0000-0001-8909-7643</t>
        </is>
      </c>
      <c r="AD486" t="inlineStr">
        <is>
          <t>Korea Ministry of Environment; Seoul Metropolitan Office of Education; Korea University; Korea Environmental Industry &amp; Technology Institute (KEITI) [ARQ201303167003] Funding Source: Korea Institute of Science &amp; Technology Information (KISTI), National Science &amp; Technology Information Service (NTIS)</t>
        </is>
      </c>
      <c r="AE486" t="inlineStr">
        <is>
          <t>Korea Ministry of Environment(Ministry of Environment (ME), Republic of Korea); Seoul Metropolitan Office of Education; Korea University; Korea Environmental Industry &amp; Technology Institute (KEITI)(Korea Environmental Industry &amp; Technology Institute (KEITI))</t>
        </is>
      </c>
      <c r="AF486" t="inlineStr">
        <is>
          <t>This subject is supported by Korea Ministry of Environment as The Environmental Health Action Program and Converging technology project, by the Seoul Metropolitan Office of Education, and by Korea University.</t>
        </is>
      </c>
      <c r="AH486" t="n">
        <v>57</v>
      </c>
      <c r="AI486" t="n">
        <v>46</v>
      </c>
      <c r="AJ486" t="n">
        <v>46</v>
      </c>
      <c r="AK486" t="n">
        <v>2</v>
      </c>
      <c r="AL486" t="n">
        <v>52</v>
      </c>
      <c r="AM486" t="inlineStr">
        <is>
          <t>TURKISH NATL COMMITTEE AIR POLLUTION RES &amp; CONTROL-TUNCAP</t>
        </is>
      </c>
      <c r="AN486" t="inlineStr">
        <is>
          <t>BUCA</t>
        </is>
      </c>
      <c r="AO486" t="inlineStr">
        <is>
          <t>DOKUZ EYLUL UNIV, DEPT ENVIRONMENTAL ENGINEERING, TINAZTEPE CAMPUS, BUCA, IZMIR 35160, TURKEY</t>
        </is>
      </c>
      <c r="AP486" t="inlineStr">
        <is>
          <t>1309-1042</t>
        </is>
      </c>
      <c r="AS486" t="inlineStr">
        <is>
          <t>ATMOS POLLUT RES</t>
        </is>
      </c>
      <c r="AT486" t="inlineStr">
        <is>
          <t>Atmos. Pollut. Res.</t>
        </is>
      </c>
      <c r="AU486" t="inlineStr">
        <is>
          <t>NOV</t>
        </is>
      </c>
      <c r="AV486" t="n">
        <v>2015</v>
      </c>
      <c r="AW486" t="n">
        <v>6</v>
      </c>
      <c r="AX486" t="n">
        <v>6</v>
      </c>
      <c r="BC486" t="n">
        <v>1113</v>
      </c>
      <c r="BD486" t="n">
        <v>1122</v>
      </c>
      <c r="BF486" t="inlineStr">
        <is>
          <t>10.1016/j.apr.2015.06.009</t>
        </is>
      </c>
      <c r="BG486">
        <f>HYPERLINK("http://dx.doi.org/10.1016/j.apr.2015.06.009","http://dx.doi.org/10.1016/j.apr.2015.06.009")</f>
        <v/>
      </c>
      <c r="BJ486" t="n">
        <v>10</v>
      </c>
      <c r="BK486" t="inlineStr">
        <is>
          <t>Environmental Sciences</t>
        </is>
      </c>
      <c r="BL486" t="inlineStr">
        <is>
          <t>Science Citation Index Expanded (SCI-EXPANDED)</t>
        </is>
      </c>
      <c r="BM486" t="inlineStr">
        <is>
          <t>Environmental Sciences &amp; Ecology</t>
        </is>
      </c>
      <c r="BN486" t="inlineStr">
        <is>
          <t>DH1ER</t>
        </is>
      </c>
      <c r="BS486" t="inlineStr">
        <is>
          <t>2023-10-26</t>
        </is>
      </c>
      <c r="BT486" t="inlineStr">
        <is>
          <t>WOS:000372527700024</t>
        </is>
      </c>
      <c r="BU486">
        <f>HYPERLINK("https%3A%2F%2Fwww.webofscience.com%2Fwos%2Fwoscc%2Ffull-record%2FWOS:000372527700024","View Full Record in Web of Science")</f>
        <v/>
      </c>
    </row>
    <row r="487">
      <c r="A487" t="inlineStr">
        <is>
          <t>J</t>
        </is>
      </c>
      <c r="B487" t="inlineStr">
        <is>
          <t>Wang, P; Yang, YT; Ji, C; Huang, L</t>
        </is>
      </c>
      <c r="F487" t="inlineStr">
        <is>
          <t>Wang, Peng; Yang, Yuting; Ji, Cheng; Huang, Lei</t>
        </is>
      </c>
      <c r="J487" t="inlineStr">
        <is>
          <t>ENVIRONMENT DEVELOPMENT AND SUSTAINABILITY</t>
        </is>
      </c>
      <c r="M487" t="inlineStr">
        <is>
          <t>English</t>
        </is>
      </c>
      <c r="N487" t="inlineStr">
        <is>
          <t>Article; Early Access</t>
        </is>
      </c>
      <c r="T487" t="inlineStr">
        <is>
          <t>Influence of built environment on building energy consumption: a case study in Nanjing, China</t>
        </is>
      </c>
      <c r="U487" t="inlineStr">
        <is>
          <t>Built environment; Building energy consumption; Regression analysis; Moderating effect</t>
        </is>
      </c>
      <c r="V487" t="inlineStr">
        <is>
          <t>ELECTRICITY CONSUMPTION; RENEWABLE ENERGY; RIVER DELTA; URBAN FORM; IMPACT</t>
        </is>
      </c>
      <c r="W487" t="inlineStr">
        <is>
          <t>Built environment plays a significant role in optimizing building energy consumption. However, few studies have explored the comprehensive effect between built environment metrics on building energy consumption. Thus, this study aims to explore interrelationships between built environment on building energy consumption focused on moderating effect. In this study, we established a built environment measure system from the perspective of land use and land cover, landscape structure and building configuration. This study explored the correlation between built environment and building energy consumption and analyzed the moderating effect of building configuration emphatically. Results show that: for integrated grids group, normalized difference vegetation index (NDVI) and modified normalized difference water index (MNDWI) have a positive influence and impervious area (IA) has a negative influence, with NDVI has the greatest impact. Building floor (BF), building coverage ratio (BCR) and aspect ratio can weaken the positive relationship between NDVI and energy use intensity of grid (EUIgrid). BCR weakens the positive effect of MNDWI on EUIgrid. The moderating effect of building configuration on EUI varies in the same grid group and among different grid groups. For sample 1, BCR inhibits the negative effect of mean perimeter-area ration (PARA-MN) on EUIgrid. For sample 2, BF promotes the negative effect of number of patches and land use richness index (R) on EUIgrid. And sky view factor inhibits the positive effect of IA on EUIgrid. This study reveals the pathways of built environment on building energy consumption. As a result, the keys of optimizing building energy consumption are the reasonable planning and optimization of the urban built environment of different land cover.{GRAPHIS}</t>
        </is>
      </c>
      <c r="X487" t="inlineStr">
        <is>
          <t>[Wang, Peng; Yang, Yuting; Ji, Cheng] Jiangsu Univ, Fac Civil Engn &amp; Mech, Zhenjiang 212013, Peoples R China; [Wang, Peng; Huang, Lei] Nanjing Univ, Sch Environm, State Key Lab Pollut Control &amp; Resource Reuse, Nanjing 210023, Peoples R China</t>
        </is>
      </c>
      <c r="Y487" t="inlineStr">
        <is>
          <t>Jiangsu University; Nanjing University</t>
        </is>
      </c>
      <c r="Z487" t="inlineStr">
        <is>
          <t>Wang, P (corresponding author), Jiangsu Univ, Fac Civil Engn &amp; Mech, Zhenjiang 212013, Peoples R China.;Wang, P (corresponding author), Nanjing Univ, Sch Environm, State Key Lab Pollut Control &amp; Resource Reuse, Nanjing 210023, Peoples R China.</t>
        </is>
      </c>
      <c r="AA487" t="inlineStr">
        <is>
          <t>upeswp@ujs.edu.cn</t>
        </is>
      </c>
      <c r="AB487" t="inlineStr">
        <is>
          <t>yang, yuting/HTT-2479-2023; huang, lynn/GXG-2281-2022</t>
        </is>
      </c>
      <c r="AC487" t="inlineStr">
        <is>
          <t>Wang, Peng/0000-0003-3639-6126</t>
        </is>
      </c>
      <c r="AD487" t="inlineStr">
        <is>
          <t>National Natural Science Foundation of China [51908249]; Natural Science Foundation of the Jiangsu Higher Education Institutions of China [19KIB560012]; High-level Scientific Research Foundation for the introduction of talent for Jiangsu University [18JDG038]; Innovative Approaches Special Project of the Ministry of Science and Technology of China [2020IM020300]; Science and Technology Planning Project of Suzhou [ST202218]</t>
        </is>
      </c>
      <c r="AE487" t="inlineStr">
        <is>
          <t>National Natural Science Foundation of China(National Natural Science Foundation of China (NSFC)); Natural Science Foundation of the Jiangsu Higher Education Institutions of China(National Natural Science Foundation of China (NSFC)); High-level Scientific Research Foundation for the introduction of talent for Jiangsu University; Innovative Approaches Special Project of the Ministry of Science and Technology of China; Science and Technology Planning Project of Suzhou</t>
        </is>
      </c>
      <c r="AF487" t="inlineStr">
        <is>
          <t>AcknowledgementsThis work was supported by the National Natural Science Foundation of China [Grant No. 51908249], the Natural Science Foundation of the Jiangsu Higher Education Institutions of China [Grant No. 19KIB560012], the High-level Scientific Research Foundation for the introduction of talent for Jiangsu University [Grant No. 18JDG038], the Innovative Approaches Special Project of the Ministry of Science and Technology of China [Grant No. 2020IM020300] and the Science and Technology Planning Project of Suzhou [Grant No. ST202218].</t>
        </is>
      </c>
      <c r="AH487" t="n">
        <v>61</v>
      </c>
      <c r="AI487" t="n">
        <v>8</v>
      </c>
      <c r="AJ487" t="n">
        <v>8</v>
      </c>
      <c r="AK487" t="n">
        <v>25</v>
      </c>
      <c r="AL487" t="n">
        <v>42</v>
      </c>
      <c r="AM487" t="inlineStr">
        <is>
          <t>SPRINGER</t>
        </is>
      </c>
      <c r="AN487" t="inlineStr">
        <is>
          <t>DORDRECHT</t>
        </is>
      </c>
      <c r="AO487" t="inlineStr">
        <is>
          <t>VAN GODEWIJCKSTRAAT 30, 3311 GZ DORDRECHT, NETHERLANDS</t>
        </is>
      </c>
      <c r="AP487" t="inlineStr">
        <is>
          <t>1387-585X</t>
        </is>
      </c>
      <c r="AQ487" t="inlineStr">
        <is>
          <t>1573-2975</t>
        </is>
      </c>
      <c r="AS487" t="inlineStr">
        <is>
          <t>ENVIRON DEV SUSTAIN</t>
        </is>
      </c>
      <c r="AT487" t="inlineStr">
        <is>
          <t>Environ. Dev. Sustain.</t>
        </is>
      </c>
      <c r="AU487" t="inlineStr">
        <is>
          <t>2023 JAN 13</t>
        </is>
      </c>
      <c r="AV487" t="n">
        <v>2023</v>
      </c>
      <c r="BF487" t="inlineStr">
        <is>
          <t>10.1007/s10668-023-02930-w</t>
        </is>
      </c>
      <c r="BG487">
        <f>HYPERLINK("http://dx.doi.org/10.1007/s10668-023-02930-w","http://dx.doi.org/10.1007/s10668-023-02930-w")</f>
        <v/>
      </c>
      <c r="BI487" t="inlineStr">
        <is>
          <t>JAN 2023</t>
        </is>
      </c>
      <c r="BJ487" t="n">
        <v>24</v>
      </c>
      <c r="BK487" t="inlineStr">
        <is>
          <t>Green &amp; Sustainable Science &amp; Technology; Environmental Sciences</t>
        </is>
      </c>
      <c r="BL487" t="inlineStr">
        <is>
          <t>Science Citation Index Expanded (SCI-EXPANDED)</t>
        </is>
      </c>
      <c r="BM487" t="inlineStr">
        <is>
          <t>Science &amp; Technology - Other Topics; Environmental Sciences &amp; Ecology</t>
        </is>
      </c>
      <c r="BN487" t="inlineStr">
        <is>
          <t>8C6LN</t>
        </is>
      </c>
      <c r="BO487" t="n">
        <v>36687742</v>
      </c>
      <c r="BP487" t="inlineStr">
        <is>
          <t>Green Published, Bronze</t>
        </is>
      </c>
      <c r="BS487" t="inlineStr">
        <is>
          <t>2023-10-26</t>
        </is>
      </c>
      <c r="BT487" t="inlineStr">
        <is>
          <t>WOS:000917717600010</t>
        </is>
      </c>
      <c r="BU487">
        <f>HYPERLINK("https%3A%2F%2Fwww.webofscience.com%2Fwos%2Fwoscc%2Ffull-record%2FWOS:000917717600010","View Full Record in Web of Science")</f>
        <v/>
      </c>
    </row>
    <row r="488">
      <c r="A488" t="inlineStr">
        <is>
          <t>J</t>
        </is>
      </c>
      <c r="B488" t="inlineStr">
        <is>
          <t>Voss, ML; Pope, JP; Copeland, JL</t>
        </is>
      </c>
      <c r="F488" t="inlineStr">
        <is>
          <t>Voss, M. Lauren; Pope, J. Paige; Copeland, Jennifer L.</t>
        </is>
      </c>
      <c r="J488" t="inlineStr">
        <is>
          <t>INTERNATIONAL JOURNAL OF ENVIRONMENTAL RESEARCH AND PUBLIC HEALTH</t>
        </is>
      </c>
      <c r="M488" t="inlineStr">
        <is>
          <t>English</t>
        </is>
      </c>
      <c r="N488" t="inlineStr">
        <is>
          <t>Article</t>
        </is>
      </c>
      <c r="T488" t="inlineStr">
        <is>
          <t>Reducing Sedentary Time among Older Adults in Assisted Living: Perceptions, Barriers, and Motivators</t>
        </is>
      </c>
      <c r="U488" t="inlineStr">
        <is>
          <t>sedentary behavior; older adults; aging; Social Ecological Model</t>
        </is>
      </c>
      <c r="V488" t="inlineStr">
        <is>
          <t>INTENSITY PHYSICAL-ACTIVITY; SITTING TIME; HEALTH; BEHAVIOR; WOMEN; DETERMINANTS; CARE; MEN</t>
        </is>
      </c>
      <c r="W488" t="inlineStr">
        <is>
          <t>Older adults accumulate more sedentary time (ST) than any other age group, especially those in assisted living residences (ALRs). Reducing prolonged ST could help maintain function among older adults. However, to develop effective intervention strategies, it is important to understand the factors that influence sedentary behavior. The purpose of this study was to explore perceptions of ST as well as barriers and motivators to reducing ST among older adults in assisted living, in the context of the Social Ecological Model (SEM). Using a qualitative description approach, we sought to learn about participants' perceptions of sedentary time in their daily lives. Semi-structured focus groups were held at six ALRs with 31 participants (84% women, 83.5 +/- 6.5 years). Data were transcribed and coded using an inductive thematic approach. Themes were categorized based on four levels of the SEM: individual, social, physical environment, and organization. Many reported barriers were at the individual level (e.g., lack of motivation, pain, fatigue) while others were associated with the organization or social environment (e.g., safety concerns, lack of activities outside of business hours, and social norms). These findings suggest that there are unique challenges and opportunities to consider when designing ST interventions for assisted living.</t>
        </is>
      </c>
      <c r="X488" t="inlineStr">
        <is>
          <t>[Voss, M. Lauren; Pope, J. Paige; Copeland, Jennifer L.] Univ Lethbridge, Dept Kinesiol &amp; Phys Educ, 4401 Univ Dr, Lethbridge, AB T1K 3M4, Canada</t>
        </is>
      </c>
      <c r="Y488" t="inlineStr">
        <is>
          <t>University of Lethbridge</t>
        </is>
      </c>
      <c r="Z488" t="inlineStr">
        <is>
          <t>Copeland, JL (corresponding author), Univ Lethbridge, Dept Kinesiol &amp; Phys Educ, 4401 Univ Dr, Lethbridge, AB T1K 3M4, Canada.</t>
        </is>
      </c>
      <c r="AA488" t="inlineStr">
        <is>
          <t>lauren.voss@uleth.ca; paige.pope@uleth.ca; jennifer.copeland@uleth.ca</t>
        </is>
      </c>
      <c r="AD488" t="inlineStr">
        <is>
          <t>Community of Research Excellence Development Opportunity at the University of Lethbridge</t>
        </is>
      </c>
      <c r="AE488" t="inlineStr">
        <is>
          <t>Community of Research Excellence Development Opportunity at the University of Lethbridge</t>
        </is>
      </c>
      <c r="AF488" t="inlineStr">
        <is>
          <t>This study was funded by the Community of Research Excellence Development Opportunity at the University of Lethbridge.</t>
        </is>
      </c>
      <c r="AH488" t="n">
        <v>38</v>
      </c>
      <c r="AI488" t="n">
        <v>11</v>
      </c>
      <c r="AJ488" t="n">
        <v>11</v>
      </c>
      <c r="AK488" t="n">
        <v>0</v>
      </c>
      <c r="AL488" t="n">
        <v>9</v>
      </c>
      <c r="AM488" t="inlineStr">
        <is>
          <t>MDPI</t>
        </is>
      </c>
      <c r="AN488" t="inlineStr">
        <is>
          <t>BASEL</t>
        </is>
      </c>
      <c r="AO488" t="inlineStr">
        <is>
          <t>ST ALBAN-ANLAGE 66, CH-4052 BASEL, SWITZERLAND</t>
        </is>
      </c>
      <c r="AQ488" t="inlineStr">
        <is>
          <t>1660-4601</t>
        </is>
      </c>
      <c r="AS488" t="inlineStr">
        <is>
          <t>INT J ENV RES PUB HE</t>
        </is>
      </c>
      <c r="AT488" t="inlineStr">
        <is>
          <t>Int. J. Environ. Res. Public Health</t>
        </is>
      </c>
      <c r="AU488" t="inlineStr">
        <is>
          <t>FEB 1</t>
        </is>
      </c>
      <c r="AV488" t="n">
        <v>2020</v>
      </c>
      <c r="AW488" t="n">
        <v>17</v>
      </c>
      <c r="AX488" t="n">
        <v>3</v>
      </c>
      <c r="BE488" t="n">
        <v>717</v>
      </c>
      <c r="BF488" t="inlineStr">
        <is>
          <t>10.3390/ijerph17030717</t>
        </is>
      </c>
      <c r="BG488">
        <f>HYPERLINK("http://dx.doi.org/10.3390/ijerph17030717","http://dx.doi.org/10.3390/ijerph17030717")</f>
        <v/>
      </c>
      <c r="BJ488" t="n">
        <v>11</v>
      </c>
      <c r="BK488" t="inlineStr">
        <is>
          <t>Environmental Sciences; Public, Environmental &amp; Occupational Health</t>
        </is>
      </c>
      <c r="BL488" t="inlineStr">
        <is>
          <t>Science Citation Index Expanded (SCI-EXPANDED); Social Science Citation Index (SSCI)</t>
        </is>
      </c>
      <c r="BM488" t="inlineStr">
        <is>
          <t>Environmental Sciences &amp; Ecology; Public, Environmental &amp; Occupational Health</t>
        </is>
      </c>
      <c r="BN488" t="inlineStr">
        <is>
          <t>KR7GF</t>
        </is>
      </c>
      <c r="BO488" t="n">
        <v>31979131</v>
      </c>
      <c r="BP488" t="inlineStr">
        <is>
          <t>Green Published, gold</t>
        </is>
      </c>
      <c r="BS488" t="inlineStr">
        <is>
          <t>2023-10-26</t>
        </is>
      </c>
      <c r="BT488" t="inlineStr">
        <is>
          <t>WOS:000517783300042</t>
        </is>
      </c>
      <c r="BU488">
        <f>HYPERLINK("https%3A%2F%2Fwww.webofscience.com%2Fwos%2Fwoscc%2Ffull-record%2FWOS:000517783300042","View Full Record in Web of Science")</f>
        <v/>
      </c>
    </row>
    <row r="489">
      <c r="A489" t="inlineStr">
        <is>
          <t>J</t>
        </is>
      </c>
      <c r="B489" t="inlineStr">
        <is>
          <t>Gong, XF; Yan, KJ; Zhen, SC; Li, Y</t>
        </is>
      </c>
      <c r="F489" t="inlineStr">
        <is>
          <t>Gong, Xiaofang; Yan, Kejun; Zhen, Shucong; Li, Yuan</t>
        </is>
      </c>
      <c r="J489" t="inlineStr">
        <is>
          <t>FRESENIUS ENVIRONMENTAL BULLETIN</t>
        </is>
      </c>
      <c r="M489" t="inlineStr">
        <is>
          <t>English</t>
        </is>
      </c>
      <c r="N489" t="inlineStr">
        <is>
          <t>Article</t>
        </is>
      </c>
      <c r="T489" t="inlineStr">
        <is>
          <t>OPTIMIZATION STRATEGY OF INDOOR THERMAL ENVIRONMENT FOR TRADITIONAL RESIDENCE IN DONGTAI, CHINA</t>
        </is>
      </c>
      <c r="U489" t="inlineStr">
        <is>
          <t>Indoor thermal environment; Traditional residence; Climate analysis; Optimization strategy</t>
        </is>
      </c>
      <c r="W489" t="inlineStr">
        <is>
          <t>The optimization of indoor thermal environments of traditional residences is designed to meet the needs of traditional building development. The climate strategy and effective time ratio are obtained based on the Climate Consultant analysis of meteorological data in Dongtai city. Through field investigations and evaluations and the mutual confirmation of the local traditional residential climate adaptation experience, this study concludes that Dongtai traditional residential buildings should focus on the winter indoor cold and also solve the problem of summer hot and high indoor humidity. According to the main causes of the poor indoor thermal environment of Dongtai traditional residential buildings and the passive design strategy proposed by climate analysis software, it is suggested that the use of passive solar energy and high performance enclosure structures should be given priority, and an optimization strategy of sunshade, ventilation, and moisture-proof treatment should be taken into account to provide a basis for the protection and renewal of local traditional residential buildings.</t>
        </is>
      </c>
      <c r="X489" t="inlineStr">
        <is>
          <t>[Gong, Xiaofang; Yan, Kejun; Zhen, Shucong] Yancheng Inst Technol, Coll Civil Engn, Yancheng 224051, Peoples R China; [Li, Yuan] Jiangxi Agr Univ, Coll Gardens &amp; Arts, Nanchang 330045, Jiangxi, Peoples R China</t>
        </is>
      </c>
      <c r="Y489" t="inlineStr">
        <is>
          <t>Yancheng Institute of Technology; Jiangxi Agricultural University</t>
        </is>
      </c>
      <c r="Z489" t="inlineStr">
        <is>
          <t>Yan, KJ (corresponding author), Yancheng Inst Technol, Coll Civil Engn, Yancheng 224051, Peoples R China.</t>
        </is>
      </c>
      <c r="AA489" t="inlineStr">
        <is>
          <t>969419003@qq.com</t>
        </is>
      </c>
      <c r="AD489" t="inlineStr">
        <is>
          <t>Yancheng Municipal Fund Project 2021 [21skC104]; Yancheng Institute of Technology Education Reform Program 2019 [JYKT2019A024]</t>
        </is>
      </c>
      <c r="AE489" t="inlineStr">
        <is>
          <t>Yancheng Municipal Fund Project 2021; Yancheng Institute of Technology Education Reform Program 2019</t>
        </is>
      </c>
      <c r="AF489" t="inlineStr">
        <is>
          <t>Foudating project: Yancheng Municipal Fund Project 2021(21skC104) and Yancheng Institute of Technology Education Reform Program 2019 (JYKT2019A024).</t>
        </is>
      </c>
      <c r="AH489" t="n">
        <v>40</v>
      </c>
      <c r="AI489" t="n">
        <v>0</v>
      </c>
      <c r="AJ489" t="n">
        <v>0</v>
      </c>
      <c r="AK489" t="n">
        <v>3</v>
      </c>
      <c r="AL489" t="n">
        <v>20</v>
      </c>
      <c r="AM489" t="inlineStr">
        <is>
          <t>PARLAR SCIENTIFIC PUBLICATIONS (P S P)</t>
        </is>
      </c>
      <c r="AN489" t="inlineStr">
        <is>
          <t>FREISING</t>
        </is>
      </c>
      <c r="AO489" t="inlineStr">
        <is>
          <t>ANGERSTR. 12, 85354 FREISING, GERMANY</t>
        </is>
      </c>
      <c r="AP489" t="inlineStr">
        <is>
          <t>1018-4619</t>
        </is>
      </c>
      <c r="AQ489" t="inlineStr">
        <is>
          <t>1610-2304</t>
        </is>
      </c>
      <c r="AS489" t="inlineStr">
        <is>
          <t>FRESEN ENVIRON BULL</t>
        </is>
      </c>
      <c r="AT489" t="inlineStr">
        <is>
          <t>Fresenius Environ. Bull.</t>
        </is>
      </c>
      <c r="AV489" t="n">
        <v>2021</v>
      </c>
      <c r="AW489" t="n">
        <v>30</v>
      </c>
      <c r="AX489" t="n">
        <v>8</v>
      </c>
      <c r="BC489" t="n">
        <v>9832</v>
      </c>
      <c r="BD489" t="n">
        <v>9841</v>
      </c>
      <c r="BJ489" t="n">
        <v>10</v>
      </c>
      <c r="BK489" t="inlineStr">
        <is>
          <t>Environmental Sciences</t>
        </is>
      </c>
      <c r="BL489" t="inlineStr">
        <is>
          <t>Science Citation Index Expanded (SCI-EXPANDED)</t>
        </is>
      </c>
      <c r="BM489" t="inlineStr">
        <is>
          <t>Environmental Sciences &amp; Ecology</t>
        </is>
      </c>
      <c r="BN489" t="inlineStr">
        <is>
          <t>TW6PP</t>
        </is>
      </c>
      <c r="BS489" t="inlineStr">
        <is>
          <t>2023-10-26</t>
        </is>
      </c>
      <c r="BT489" t="inlineStr">
        <is>
          <t>WOS:000682519600023</t>
        </is>
      </c>
      <c r="BU489">
        <f>HYPERLINK("https%3A%2F%2Fwww.webofscience.com%2Fwos%2Fwoscc%2Ffull-record%2FWOS:000682519600023","View Full Record in Web of Science")</f>
        <v/>
      </c>
    </row>
    <row r="490">
      <c r="A490" t="inlineStr">
        <is>
          <t>J</t>
        </is>
      </c>
      <c r="B490" t="inlineStr">
        <is>
          <t>Chung, S; Kim, M; Auh, EY; Park, NS</t>
        </is>
      </c>
      <c r="F490" t="inlineStr">
        <is>
          <t>Chung, Soondool; Kim, Miri; Auh, Erica Y.; Park, Nan Sook</t>
        </is>
      </c>
      <c r="J490" t="inlineStr">
        <is>
          <t>INTERNATIONAL JOURNAL OF ENVIRONMENTAL RESEARCH AND PUBLIC HEALTH</t>
        </is>
      </c>
      <c r="M490" t="inlineStr">
        <is>
          <t>English</t>
        </is>
      </c>
      <c r="N490" t="inlineStr">
        <is>
          <t>Article</t>
        </is>
      </c>
      <c r="T490" t="inlineStr">
        <is>
          <t>WHO's Global Age-Friendly Cities Guide: Its Implications of a Discussion on Social Exclusion among Older Adults</t>
        </is>
      </c>
      <c r="U490" t="inlineStr">
        <is>
          <t>social exclusion; social inclusion; older adults; age-friendly environment</t>
        </is>
      </c>
      <c r="V490" t="inlineStr">
        <is>
          <t>PEOPLE; INCLUSION</t>
        </is>
      </c>
      <c r="W490" t="inlineStr">
        <is>
          <t>This study analyzed the World Health Organization's (WHO) Global Age-Friendly Cities Guide to observe its role in embodying social inclusion of older adults in attempts to prevent social exclusion. Social exclusion refers to the marginalization of individuals and groups from important economic and social opportunities in the society. Many aging societies are implementing social inclusion of older adults as one of their key policy agendas to create a more sustainable and healthy society, in recognition that age functions as one of the essential factors accelerating social exclusion and declining physical and mental health of those affected. In order to explore the pertinence of the WHO guidelines to social inclusion of older adults, content analysis was conducted on each checklist item in the WHO guideline to identify its relation to the four dimensions of social exclusion, which are social interaction, production, consumption, and political engagement. The results showed comprehensive coverage of each dimension by the guideline, although the relative importance of each dimension was unequal. Additional insights were suggested to promote further social inclusion of older adults in the context of an age-friendly environment.</t>
        </is>
      </c>
      <c r="X490" t="inlineStr">
        <is>
          <t>[Chung, Soondool; Kim, Miri; Auh, Erica Y.] Ewha Womans Univ, Dept Social Welf, 52 Ewhayeodae Gil, Seoul 03760, South Korea; [Park, Nan Sook] Univ S Florida, Sch Social Work, 4202 E Fowler Ave,MHC 1400, Tampa, FL 33620 USA</t>
        </is>
      </c>
      <c r="Y490" t="inlineStr">
        <is>
          <t>Ewha Womans University; State University System of Florida; University of South Florida</t>
        </is>
      </c>
      <c r="Z490" t="inlineStr">
        <is>
          <t>Kim, M (corresponding author), Ewha Womans Univ, Dept Social Welf, 52 Ewhayeodae Gil, Seoul 03760, South Korea.</t>
        </is>
      </c>
      <c r="AA490" t="inlineStr">
        <is>
          <t>sdchung@ewha.ac.kr; miri9097@naver.com; eauh@ewha.ac.kr; nanpark@usf.edu</t>
        </is>
      </c>
      <c r="AB490" t="inlineStr">
        <is>
          <t>Park, Nan Sook/AAU-1384-2021</t>
        </is>
      </c>
      <c r="AC490" t="inlineStr">
        <is>
          <t>Park, Nan Sook/0000-0003-1751-182X; Kim, Miri/0000-0003-3980-1983</t>
        </is>
      </c>
      <c r="AD490" t="inlineStr">
        <is>
          <t>National Research Foundation of Korea [NRF-2020S1A5C2A03092919]; National Research Foundation of Korea [2020S1A5C2A03092919] Funding Source: Korea Institute of Science &amp; Technology Information (KISTI), National Science &amp; Technology Information Service (NTIS)</t>
        </is>
      </c>
      <c r="AE490" t="inlineStr">
        <is>
          <t>National Research Foundation of Korea(National Research Foundation of Korea); National Research Foundation of Korea(National Research Foundation of Korea)</t>
        </is>
      </c>
      <c r="AF490" t="inlineStr">
        <is>
          <t>This research was funded by the National Research Foundation of Korea, grant number: NRF-2020S1A5C2A03092919.</t>
        </is>
      </c>
      <c r="AH490" t="n">
        <v>44</v>
      </c>
      <c r="AI490" t="n">
        <v>2</v>
      </c>
      <c r="AJ490" t="n">
        <v>2</v>
      </c>
      <c r="AK490" t="n">
        <v>8</v>
      </c>
      <c r="AL490" t="n">
        <v>35</v>
      </c>
      <c r="AM490" t="inlineStr">
        <is>
          <t>MDPI</t>
        </is>
      </c>
      <c r="AN490" t="inlineStr">
        <is>
          <t>BASEL</t>
        </is>
      </c>
      <c r="AO490" t="inlineStr">
        <is>
          <t>ST ALBAN-ANLAGE 66, CH-4052 BASEL, SWITZERLAND</t>
        </is>
      </c>
      <c r="AQ490" t="inlineStr">
        <is>
          <t>1660-4601</t>
        </is>
      </c>
      <c r="AS490" t="inlineStr">
        <is>
          <t>INT J ENV RES PUB HE</t>
        </is>
      </c>
      <c r="AT490" t="inlineStr">
        <is>
          <t>Int. J. Environ. Res. Public Health</t>
        </is>
      </c>
      <c r="AU490" t="inlineStr">
        <is>
          <t>AUG</t>
        </is>
      </c>
      <c r="AV490" t="n">
        <v>2021</v>
      </c>
      <c r="AW490" t="n">
        <v>18</v>
      </c>
      <c r="AX490" t="n">
        <v>15</v>
      </c>
      <c r="BE490" t="n">
        <v>8027</v>
      </c>
      <c r="BF490" t="inlineStr">
        <is>
          <t>10.3390/ijerph18158027</t>
        </is>
      </c>
      <c r="BG490">
        <f>HYPERLINK("http://dx.doi.org/10.3390/ijerph18158027","http://dx.doi.org/10.3390/ijerph18158027")</f>
        <v/>
      </c>
      <c r="BJ490" t="n">
        <v>13</v>
      </c>
      <c r="BK490" t="inlineStr">
        <is>
          <t>Environmental Sciences; Public, Environmental &amp; Occupational Health</t>
        </is>
      </c>
      <c r="BL490" t="inlineStr">
        <is>
          <t>Science Citation Index Expanded (SCI-EXPANDED); Social Science Citation Index (SSCI)</t>
        </is>
      </c>
      <c r="BM490" t="inlineStr">
        <is>
          <t>Environmental Sciences &amp; Ecology; Public, Environmental &amp; Occupational Health</t>
        </is>
      </c>
      <c r="BN490" t="inlineStr">
        <is>
          <t>TV7OE</t>
        </is>
      </c>
      <c r="BO490" t="n">
        <v>34360319</v>
      </c>
      <c r="BP490" t="inlineStr">
        <is>
          <t>Green Published, gold</t>
        </is>
      </c>
      <c r="BS490" t="inlineStr">
        <is>
          <t>2023-10-26</t>
        </is>
      </c>
      <c r="BT490" t="inlineStr">
        <is>
          <t>WOS:000681907300001</t>
        </is>
      </c>
      <c r="BU490">
        <f>HYPERLINK("https%3A%2F%2Fwww.webofscience.com%2Fwos%2Fwoscc%2Ffull-record%2FWOS:000681907300001","View Full Record in Web of Science")</f>
        <v/>
      </c>
    </row>
    <row r="491">
      <c r="A491" t="inlineStr">
        <is>
          <t>J</t>
        </is>
      </c>
      <c r="B491" t="inlineStr">
        <is>
          <t>Yuan, Y; Luo, ZW; Liu, J; Wang, YW; Lin, YY</t>
        </is>
      </c>
      <c r="F491" t="inlineStr">
        <is>
          <t>Yuan, Ye; Luo, Zhiwen; Liu, Jing; Wang, Yaowu; Lin, Yaoyu</t>
        </is>
      </c>
      <c r="J491" t="inlineStr">
        <is>
          <t>SCIENCE OF THE TOTAL ENVIRONMENT</t>
        </is>
      </c>
      <c r="M491" t="inlineStr">
        <is>
          <t>English</t>
        </is>
      </c>
      <c r="N491" t="inlineStr">
        <is>
          <t>Article</t>
        </is>
      </c>
      <c r="T491" t="inlineStr">
        <is>
          <t>Health and economic benefits of building ventilation interventions for reducing indoor PM2.5 exposure from both indoor and outdoor origins in urban Beijing, China</t>
        </is>
      </c>
      <c r="U491" t="inlineStr">
        <is>
          <t>PM2.5; Building ventilation; Health; Energy; Economic benefit; Indoor exposure</t>
        </is>
      </c>
      <c r="V491" t="inlineStr">
        <is>
          <t>LONG-TERM EXPOSURE; PARTICULATE MATTER; AIR-POLLUTION; INFILTRATION FACTOR; AMBIENT PM2.5; LUNG-CANCER; FILTRATION; PARTICLES; MORTALITY; MASS</t>
        </is>
      </c>
      <c r="W491" t="inlineStr">
        <is>
          <t>China is confronted with serious PM2.5 pollution, especially in the capital city of Beijing. Exposure to PM2.5 could lead to various negative health impacts including premature mortality. As people spend most of their time indoors, the indoor exposure to PM2.5 from both indoor and outdoor origins constitutes the majority of personal exposure to PM2.5 pollution. Different building interventions have been introduced to mitigate indoor PM2.5 exposure, but always at the cost of energy expenditure. In this study, the health and economic benefits of different ventilation intervention strategies for reducing indoor PM2.5 exposure are modeled using a representative urban residence in Beijing, with consideration of different indoor PM2.5 emission strengths and outdoor pollution. Our modeling results show that the increase of envelope air-tightness can achieve significant economic benefits when indoor PM2.5 emissions are absent; however, if an indoor PM2.5 source is present, the benefits only increase slightly in mechanically ventilated buildings, but may show negative benefit without mechanical ventilation. Installing mechanical ventilation in Beijing can achieve annual economic benefits ranging from 200yuan/capita to 800yuan/capita if indoor PM2.5 sources exist. If there is no indoor emission, the annual benefits above 200yuan/capita can be achieved only when the PM2.5 filtration efficiency is no &lt;90% and the envelope airtightness is above Chinese National Standard Level 7. Introducing mechanical ventilation with low PM2.5 filtration efficiency to current residences in urban Beijing will increase the indoor PM2.5 exposure and result in excess costs to the residents. (C) 2018 Elsevier B.V. All rights reserved.</t>
        </is>
      </c>
      <c r="X491" t="inlineStr">
        <is>
          <t>[Yuan, Ye; Wang, Yaowu; Lin, Yaoyu] Harbin Inst Technol Shenzhen, Sch Architecture &amp; Urban Planning, Shenzhen, Peoples R China; [Yuan, Ye; Luo, Zhiwen] Univ Reading, Sch Built Environm, Reading, Berks, England; [Liu, Jing] Harbin Inst Technol, Sch Architecture, Harbin, Heilongjiang, Peoples R China</t>
        </is>
      </c>
      <c r="Y491" t="inlineStr">
        <is>
          <t>Harbin Institute of Technology; University of Reading; Harbin Institute of Technology</t>
        </is>
      </c>
      <c r="Z491" t="inlineStr">
        <is>
          <t>Luo, ZW (corresponding author), Univ Reading, Sch Built Environm, Reading, Berks, England.;Liu, J (corresponding author), Harbin Inst Technol, Sch Architecture, Harbin, Heilongjiang, Peoples R China.</t>
        </is>
      </c>
      <c r="AA491" t="inlineStr">
        <is>
          <t>z.luo@reading.ac.uk; zhuyuemei@hit.edu.cn</t>
        </is>
      </c>
      <c r="AC491" t="inlineStr">
        <is>
          <t>Luo, Zhiwen/0000-0002-2082-3958; Yuan, Ye/0000-0002-3002-3268</t>
        </is>
      </c>
      <c r="AD491" t="inlineStr">
        <is>
          <t>EPSRC-GCRF (Global Challenge Research Fund) grant [EP/P511018/1]; National Key Research and Development Program of China [2017YFC0702201]</t>
        </is>
      </c>
      <c r="AE491" t="inlineStr">
        <is>
          <t>EPSRC-GCRF (Global Challenge Research Fund) grant; National Key Research and Development Program of China</t>
        </is>
      </c>
      <c r="AF491" t="inlineStr">
        <is>
          <t>The present study is funded by EPSRC-GCRF (Global Challenge Research Fund) grant (EP/P511018/1) and the National Key Research and Development Program of China (2017YFC0702201).</t>
        </is>
      </c>
      <c r="AH491" t="n">
        <v>55</v>
      </c>
      <c r="AI491" t="n">
        <v>32</v>
      </c>
      <c r="AJ491" t="n">
        <v>34</v>
      </c>
      <c r="AK491" t="n">
        <v>7</v>
      </c>
      <c r="AL491" t="n">
        <v>130</v>
      </c>
      <c r="AM491" t="inlineStr">
        <is>
          <t>ELSEVIER SCIENCE BV</t>
        </is>
      </c>
      <c r="AN491" t="inlineStr">
        <is>
          <t>AMSTERDAM</t>
        </is>
      </c>
      <c r="AO491" t="inlineStr">
        <is>
          <t>PO BOX 211, 1000 AE AMSTERDAM, NETHERLANDS</t>
        </is>
      </c>
      <c r="AP491" t="inlineStr">
        <is>
          <t>0048-9697</t>
        </is>
      </c>
      <c r="AQ491" t="inlineStr">
        <is>
          <t>1879-1026</t>
        </is>
      </c>
      <c r="AS491" t="inlineStr">
        <is>
          <t>SCI TOTAL ENVIRON</t>
        </is>
      </c>
      <c r="AT491" t="inlineStr">
        <is>
          <t>Sci. Total Environ.</t>
        </is>
      </c>
      <c r="AU491" t="inlineStr">
        <is>
          <t>JUN 1</t>
        </is>
      </c>
      <c r="AV491" t="n">
        <v>2018</v>
      </c>
      <c r="AW491" t="n">
        <v>626</v>
      </c>
      <c r="BC491" t="n">
        <v>546</v>
      </c>
      <c r="BD491" t="n">
        <v>554</v>
      </c>
      <c r="BF491" t="inlineStr">
        <is>
          <t>10.1016/j.scitotenv.2018.01.119</t>
        </is>
      </c>
      <c r="BG491">
        <f>HYPERLINK("http://dx.doi.org/10.1016/j.scitotenv.2018.01.119","http://dx.doi.org/10.1016/j.scitotenv.2018.01.119")</f>
        <v/>
      </c>
      <c r="BJ491" t="n">
        <v>9</v>
      </c>
      <c r="BK491" t="inlineStr">
        <is>
          <t>Environmental Sciences</t>
        </is>
      </c>
      <c r="BL491" t="inlineStr">
        <is>
          <t>Science Citation Index Expanded (SCI-EXPANDED)</t>
        </is>
      </c>
      <c r="BM491" t="inlineStr">
        <is>
          <t>Environmental Sciences &amp; Ecology</t>
        </is>
      </c>
      <c r="BN491" t="inlineStr">
        <is>
          <t>GA2YS</t>
        </is>
      </c>
      <c r="BO491" t="n">
        <v>29353793</v>
      </c>
      <c r="BP491" t="inlineStr">
        <is>
          <t>Green Accepted</t>
        </is>
      </c>
      <c r="BS491" t="inlineStr">
        <is>
          <t>2023-10-26</t>
        </is>
      </c>
      <c r="BT491" t="inlineStr">
        <is>
          <t>WOS:000428194000054</t>
        </is>
      </c>
      <c r="BU491">
        <f>HYPERLINK("https%3A%2F%2Fwww.webofscience.com%2Fwos%2Fwoscc%2Ffull-record%2FWOS:000428194000054","View Full Record in Web of Science")</f>
        <v/>
      </c>
    </row>
    <row r="492">
      <c r="A492" t="inlineStr">
        <is>
          <t>J</t>
        </is>
      </c>
      <c r="B492" t="inlineStr">
        <is>
          <t>Vance, ME; Marr, LC</t>
        </is>
      </c>
      <c r="F492" t="inlineStr">
        <is>
          <t>Vance, Marina E.; Marr, Linsey C.</t>
        </is>
      </c>
      <c r="J492" t="inlineStr">
        <is>
          <t>ATMOSPHERIC ENVIRONMENT</t>
        </is>
      </c>
      <c r="M492" t="inlineStr">
        <is>
          <t>English</t>
        </is>
      </c>
      <c r="N492" t="inlineStr">
        <is>
          <t>Article</t>
        </is>
      </c>
      <c r="T492" t="inlineStr">
        <is>
          <t>Exposure to airborne engineered nanoparticles in the indoor environment</t>
        </is>
      </c>
      <c r="U492" t="inlineStr">
        <is>
          <t>Aerosols; Exposure; Inhalation; Indoor air; Nanomaterials; Ultrafine aerosols</t>
        </is>
      </c>
      <c r="V492" t="inlineStr">
        <is>
          <t>SILVER NANOPARTICLES; CONSUMER PRODUCTS; CARBON NANOTUBES; INHALATION TOXICITY; POTENTIAL RELEASE; NANOTECHNOLOGY; NANOCOMPOSITE; RISK; SCENARIOS; CHEMISTRY</t>
        </is>
      </c>
      <c r="W492" t="inlineStr">
        <is>
          <t>This literature review assesses the current state of knowledge about inhalation exposure to airborne, engineered nanoparticles in the indoor environment. We present principal exposure scenarios in indoor environments, complemented by analysis of the published literature and of an inventory of nanotechnology-enhanced consumer products. Of all products listed in the inventory, 10.8% (194 products) present the potential for aerosolization of nanomaterials and subsequent inhalation exposure during use or misuse. Among those, silver-containing products are the most prevalent (68 products). Roughly 50% of products would release wet aerosols and 50% would potentially release dry aerosols. Approximately 14% are cleaning products that can be broadly used in public indoor environments, where building occupants may be exposed. While a variety of nanomaterial compositions have been investigated in the limited number of published release and exposure studies, we identified a need for studies investigating nanofibers (beyond carbon nanotubes), nanofilms, nanoplatelets, and other emerging nanomaterials such as ceria and their nanocomposites. Finally, we provide recommendations for future research to advance the understanding of exposure to airborne nanomaterials indoors, such as studies into indoor chemistry of nanomaterials, better nanomaterial reporting and labeling in consumer products, and safer design of nanomaterial-containing consumer products. (C) 2014 Elsevier Ltd. All rights reserved.</t>
        </is>
      </c>
      <c r="X492" t="inlineStr">
        <is>
          <t>[Vance, Marina E.] Virginia Tech, Inst Crit Technol &amp; Appl Sci, Blacksburg, VA 24061 USA; [Marr, Linsey C.] Virginia Tech, Dept Civil &amp; Environm Engn, 418 Durham Hall, Blacksburg, VA 24061 USA</t>
        </is>
      </c>
      <c r="Y492" t="inlineStr">
        <is>
          <t>Virginia Polytechnic Institute &amp; State University; Virginia Polytechnic Institute &amp; State University</t>
        </is>
      </c>
      <c r="Z492" t="inlineStr">
        <is>
          <t>Marr, LC (corresponding author), Virginia Tech, Dept Civil &amp; Environm Engn, 418 Durham Hall, Blacksburg, VA 24061 USA.</t>
        </is>
      </c>
      <c r="AA492" t="inlineStr">
        <is>
          <t>lmarr@vt.edu</t>
        </is>
      </c>
      <c r="AB492" t="inlineStr">
        <is>
          <t>Marr, Linsey/C-9698-2010; Vance, Marina E./B-8711-2014</t>
        </is>
      </c>
      <c r="AC492" t="inlineStr">
        <is>
          <t>Marr, Linsey/0000-0003-3628-6891; Vance, Marina E./0000-0003-0940-0353</t>
        </is>
      </c>
      <c r="AD492" t="inlineStr">
        <is>
          <t>National Science Foundation (NSF); Environmental Protection Agency (EPA) under NSF, Center for the Environmental Implications of NanoTechnology (CEINT) [EF-0830093]; Virginia Tech Center for Sustainable Nanotechnology (VT SuN); Virginia Tech Institute for Critical Technology and Applied Science (ICTAS); Laboratory for Interdisciplinary Statistical Analysis at Virginia Tech</t>
        </is>
      </c>
      <c r="AE492" t="inlineStr">
        <is>
          <t>National Science Foundation (NSF)(National Science Foundation (NSF)); Environmental Protection Agency (EPA) under NSF, Center for the Environmental Implications of NanoTechnology (CEINT)(United States Environmental Protection Agency); Virginia Tech Center for Sustainable Nanotechnology (VT SuN); Virginia Tech Institute for Critical Technology and Applied Science (ICTAS); Laboratory for Interdisciplinary Statistical Analysis at Virginia Tech</t>
        </is>
      </c>
      <c r="AF492" t="inlineStr">
        <is>
          <t>This material is based upon work supported by the National Science Foundation (NSF) and the Environmental Protection Agency (EPA) under NSF Cooperative Agreement EF-0830093, Center for the Environmental Implications of NanoTechnology (CEINT). Any opinions, findings, conclusions, or recommendations expressed in this material are those of the authors and do not necessarily reflect the views of the NSF or the EPA. This work has not been subjected to EPA review and no official endorsement should be inferred. This research was also supported by the Virginia Tech Center for Sustainable Nanotechnology (VT SuN), the Virginia Tech Institute for Critical Technology and Applied Science (ICTAS), and the Laboratory for Interdisciplinary Statistical Analysis at Virginia Tech.</t>
        </is>
      </c>
      <c r="AH492" t="n">
        <v>63</v>
      </c>
      <c r="AI492" t="n">
        <v>22</v>
      </c>
      <c r="AJ492" t="n">
        <v>22</v>
      </c>
      <c r="AK492" t="n">
        <v>1</v>
      </c>
      <c r="AL492" t="n">
        <v>68</v>
      </c>
      <c r="AM492" t="inlineStr">
        <is>
          <t>PERGAMON-ELSEVIER SCIENCE LTD</t>
        </is>
      </c>
      <c r="AN492" t="inlineStr">
        <is>
          <t>OXFORD</t>
        </is>
      </c>
      <c r="AO492" t="inlineStr">
        <is>
          <t>THE BOULEVARD, LANGFORD LANE, KIDLINGTON, OXFORD OX5 1GB, ENGLAND</t>
        </is>
      </c>
      <c r="AP492" t="inlineStr">
        <is>
          <t>1352-2310</t>
        </is>
      </c>
      <c r="AQ492" t="inlineStr">
        <is>
          <t>1873-2844</t>
        </is>
      </c>
      <c r="AS492" t="inlineStr">
        <is>
          <t>ATMOS ENVIRON</t>
        </is>
      </c>
      <c r="AT492" t="inlineStr">
        <is>
          <t>Atmos. Environ.</t>
        </is>
      </c>
      <c r="AU492" t="inlineStr">
        <is>
          <t>APR</t>
        </is>
      </c>
      <c r="AV492" t="n">
        <v>2015</v>
      </c>
      <c r="AW492" t="n">
        <v>106</v>
      </c>
      <c r="BC492" t="n">
        <v>503</v>
      </c>
      <c r="BD492" t="n">
        <v>509</v>
      </c>
      <c r="BF492" t="inlineStr">
        <is>
          <t>10.1016/j.atmosenv.2014.12.056</t>
        </is>
      </c>
      <c r="BG492">
        <f>HYPERLINK("http://dx.doi.org/10.1016/j.atmosenv.2014.12.056","http://dx.doi.org/10.1016/j.atmosenv.2014.12.056")</f>
        <v/>
      </c>
      <c r="BJ492" t="n">
        <v>7</v>
      </c>
      <c r="BK492" t="inlineStr">
        <is>
          <t>Environmental Sciences; Meteorology &amp; Atmospheric Sciences</t>
        </is>
      </c>
      <c r="BL492" t="inlineStr">
        <is>
          <t>Science Citation Index Expanded (SCI-EXPANDED)</t>
        </is>
      </c>
      <c r="BM492" t="inlineStr">
        <is>
          <t>Environmental Sciences &amp; Ecology; Meteorology &amp; Atmospheric Sciences</t>
        </is>
      </c>
      <c r="BN492" t="inlineStr">
        <is>
          <t>CE6RR</t>
        </is>
      </c>
      <c r="BS492" t="inlineStr">
        <is>
          <t>2023-10-26</t>
        </is>
      </c>
      <c r="BT492" t="inlineStr">
        <is>
          <t>WOS:000351966200053</t>
        </is>
      </c>
      <c r="BU492">
        <f>HYPERLINK("https%3A%2F%2Fwww.webofscience.com%2Fwos%2Fwoscc%2Ffull-record%2FWOS:000351966200053","View Full Record in Web of Science")</f>
        <v/>
      </c>
    </row>
    <row r="493">
      <c r="A493" t="inlineStr">
        <is>
          <t>J</t>
        </is>
      </c>
      <c r="B493" t="inlineStr">
        <is>
          <t>Yang, S; Mahecha, SD; Moreno, SA; Licina, D</t>
        </is>
      </c>
      <c r="F493" t="inlineStr">
        <is>
          <t>Yang, Shen; Mahecha, Sebastian Duque; Moreno, Sergi Aguacil; Licina, Dusan</t>
        </is>
      </c>
      <c r="J493" t="inlineStr">
        <is>
          <t>SUSTAINABILITY</t>
        </is>
      </c>
      <c r="M493" t="inlineStr">
        <is>
          <t>English</t>
        </is>
      </c>
      <c r="N493" t="inlineStr">
        <is>
          <t>Article</t>
        </is>
      </c>
      <c r="T493" t="inlineStr">
        <is>
          <t>Integration of Indoor Air Quality Prediction into Healthy Building Design</t>
        </is>
      </c>
      <c r="U493" t="inlineStr">
        <is>
          <t>building simulation; health and well-being; holistic and digital design; mass balance equation; toolbox</t>
        </is>
      </c>
      <c r="V493" t="inlineStr">
        <is>
          <t>FORMALDEHYDE EMISSIONS; CO2 CONCENTRATIONS; CARBON-DIOXIDE; OZONE; RATES; ASSOCIATIONS; VENTILATION; DEPOSITION; REMOVAL; OFFICE</t>
        </is>
      </c>
      <c r="W493" t="inlineStr">
        <is>
          <t>Healthy building design is an emerging field of architecture and building engineering. Indoor air quality (IAQ) is an inevitable factor that should be considered in healthy building design due to its demonstrated links with human health and well-being. This paper proposes to integrate IAQ prediction into healthy building design by developing a simulation toolbox, termed i-IAQ, using MATLAB App Designer. Within the i-IAQ, users can input information of building layout and wall-openings and select air pollutant sources from the database. As an output, the toolbox simulates indoor levels of carbon dioxide (CO2), total volatile organic compounds (TVOC), inhalable particles (PM10), fine particles (PM2.5), nitrogen dioxide (NO2), and ozone (O-3) during the occupied periods. Based on the simulation results, the toolbox also offers diagnosis and recommendations to improve the design. The accuracy of the toolbox was validated by a case study in an apartment where physical measurements of air pollutants took place. The results suggest that designers can integrate the i-IAQ toolbox in building design, so that the potential IAQ issues can be resolved at the early design stage at a low cost. The paper outcomes have the potential to pave a way towards more holistic healthy building design, and novel and cost-effective IAQ management.</t>
        </is>
      </c>
      <c r="X493" t="inlineStr">
        <is>
          <t>[Yang, Shen; Licina, Dusan] Ecole Polytech Fed Lausanne EPFL, Human Oriented Built Environm Lab, Sch Architecture Civil &amp; Environm Engn, CH-1700 Fribourg, Switzerland; [Mahecha, Sebastian Duque; Moreno, Sergi Aguacil] Ecole Polytech Fed Lausanne EPFL, Sch Architecture Civil &amp; Environm Engn, Building2050 Grp, CH-1700 Fribourg, Switzerland</t>
        </is>
      </c>
      <c r="Y493" t="inlineStr">
        <is>
          <t>Swiss Federal Institutes of Technology Domain; Ecole Polytechnique Federale de Lausanne; Swiss Federal Institutes of Technology Domain; Ecole Polytechnique Federale de Lausanne</t>
        </is>
      </c>
      <c r="Z493" t="inlineStr">
        <is>
          <t>Yang, S (corresponding author), Ecole Polytech Fed Lausanne EPFL, Human Oriented Built Environm Lab, Sch Architecture Civil &amp; Environm Engn, CH-1700 Fribourg, Switzerland.</t>
        </is>
      </c>
      <c r="AA493" t="inlineStr">
        <is>
          <t>shen.yang@epfl.ch; sebastianduque@epfl.ch; sergi.aguacil@epfl.ch; dusan.licina@epfl.ch</t>
        </is>
      </c>
      <c r="AB493" t="inlineStr">
        <is>
          <t>Yang, Shen/AAL-6350-2020; Aguacil Moreno, Sergi/M-7097-2017</t>
        </is>
      </c>
      <c r="AC493" t="inlineStr">
        <is>
          <t>Yang, Shen/0000-0001-6964-4814; Aguacil Moreno, Sergi/0000-0003-4606-474X; Licina, Dusan/0000-0001-5945-0872</t>
        </is>
      </c>
      <c r="AD493" t="inlineStr">
        <is>
          <t>ENAC Innovation Seed Grant from the School of Architecture, Civil and Environmental Engineering (ENAC) at Ecole Polytechnique Federale de Lausanne (EPFL), Switzerland</t>
        </is>
      </c>
      <c r="AE493" t="inlineStr">
        <is>
          <t>ENAC Innovation Seed Grant from the School of Architecture, Civil and Environmental Engineering (ENAC) at Ecole Polytechnique Federale de Lausanne (EPFL), Switzerland</t>
        </is>
      </c>
      <c r="AF493" t="inlineStr">
        <is>
          <t>This research was funded by the ENAC Innovation Seed Grant from the School of Architecture, Civil and Environmental Engineering (ENAC) at Ecole Polytechnique Federale de Lausanne (EPFL), Switzerland.</t>
        </is>
      </c>
      <c r="AH493" t="n">
        <v>90</v>
      </c>
      <c r="AI493" t="n">
        <v>4</v>
      </c>
      <c r="AJ493" t="n">
        <v>4</v>
      </c>
      <c r="AK493" t="n">
        <v>5</v>
      </c>
      <c r="AL493" t="n">
        <v>32</v>
      </c>
      <c r="AM493" t="inlineStr">
        <is>
          <t>MDPI</t>
        </is>
      </c>
      <c r="AN493" t="inlineStr">
        <is>
          <t>BASEL</t>
        </is>
      </c>
      <c r="AO493" t="inlineStr">
        <is>
          <t>ST ALBAN-ANLAGE 66, CH-4052 BASEL, SWITZERLAND</t>
        </is>
      </c>
      <c r="AQ493" t="inlineStr">
        <is>
          <t>2071-1050</t>
        </is>
      </c>
      <c r="AS493" t="inlineStr">
        <is>
          <t>SUSTAINABILITY-BASEL</t>
        </is>
      </c>
      <c r="AT493" t="inlineStr">
        <is>
          <t>Sustainability</t>
        </is>
      </c>
      <c r="AU493" t="inlineStr">
        <is>
          <t>JUL</t>
        </is>
      </c>
      <c r="AV493" t="n">
        <v>2022</v>
      </c>
      <c r="AW493" t="n">
        <v>14</v>
      </c>
      <c r="AX493" t="n">
        <v>13</v>
      </c>
      <c r="BE493" t="n">
        <v>7890</v>
      </c>
      <c r="BF493" t="inlineStr">
        <is>
          <t>10.3390/su14137890</t>
        </is>
      </c>
      <c r="BG493">
        <f>HYPERLINK("http://dx.doi.org/10.3390/su14137890","http://dx.doi.org/10.3390/su14137890")</f>
        <v/>
      </c>
      <c r="BJ493" t="n">
        <v>18</v>
      </c>
      <c r="BK493" t="inlineStr">
        <is>
          <t>Green &amp; Sustainable Science &amp; Technology; Environmental Sciences; Environmental Studies</t>
        </is>
      </c>
      <c r="BL493" t="inlineStr">
        <is>
          <t>Science Citation Index Expanded (SCI-EXPANDED); Social Science Citation Index (SSCI)</t>
        </is>
      </c>
      <c r="BM493" t="inlineStr">
        <is>
          <t>Science &amp; Technology - Other Topics; Environmental Sciences &amp; Ecology</t>
        </is>
      </c>
      <c r="BN493" t="inlineStr">
        <is>
          <t>2Y0XE</t>
        </is>
      </c>
      <c r="BP493" t="inlineStr">
        <is>
          <t>gold</t>
        </is>
      </c>
      <c r="BS493" t="inlineStr">
        <is>
          <t>2023-10-26</t>
        </is>
      </c>
      <c r="BT493" t="inlineStr">
        <is>
          <t>WOS:000825616600001</t>
        </is>
      </c>
      <c r="BU493">
        <f>HYPERLINK("https%3A%2F%2Fwww.webofscience.com%2Fwos%2Fwoscc%2Ffull-record%2FWOS:000825616600001","View Full Record in Web of Science")</f>
        <v/>
      </c>
    </row>
    <row r="494">
      <c r="A494" t="inlineStr">
        <is>
          <t>J</t>
        </is>
      </c>
      <c r="B494" t="inlineStr">
        <is>
          <t>Arfaei, A; Hançer, P</t>
        </is>
      </c>
      <c r="F494" t="inlineStr">
        <is>
          <t>Arfaei, Aref; Hancer, Polat</t>
        </is>
      </c>
      <c r="J494" t="inlineStr">
        <is>
          <t>SUSTAINABILITY</t>
        </is>
      </c>
      <c r="M494" t="inlineStr">
        <is>
          <t>English</t>
        </is>
      </c>
      <c r="N494" t="inlineStr">
        <is>
          <t>Article</t>
        </is>
      </c>
      <c r="T494" t="inlineStr">
        <is>
          <t>Effect of the Built Environment on Natural Ventilation in a Historical Environment: Case of the Walled City of Famagusta</t>
        </is>
      </c>
      <c r="U494" t="inlineStr">
        <is>
          <t>passive building; indoor thermal comfort; closed environment; computing fluid dynamics simulation; natural ventilation</t>
        </is>
      </c>
      <c r="V494" t="inlineStr">
        <is>
          <t>URBAN HEAT-ISLAND; WIND</t>
        </is>
      </c>
      <c r="W494" t="inlineStr">
        <is>
          <t>Passive building is among the most important subjects in architecture today. The key factor in terms of a solution is related to the level of renewable energy in buildings. Natural ventilation is among the effective factors in indoor thermal comfort. Virtual simulations prepare a basis for reliable and fast result outcomes. Computer Fluid Dynamics (CFD) software is available thanks to advances in technology and mathematical calculation to simulate projects with any conditions. This paper presents thermal comfort reduction where, in the simulation, the closed environment is considered rather than the individual building with no surroundings. In order to reach the conclusion, a comparison between a single building simulation and two locations in the walled city of Famagusta in the Turkish Republic of Northern Cyprus, a historical settlement, is provided to illustrate the changes according to the closed environment conditions. According to the results, if energy consultants aim to present realistic energy data in order to upgrade the level of sustainability of buildings, it is important to consider the effect of the closed environment on natural ventilation in their calculation.</t>
        </is>
      </c>
      <c r="X494" t="inlineStr">
        <is>
          <t>[Arfaei, Aref; Hancer, Polat] Eastern Mediterranean Univ, Fac Architecture, Via Mersin 10, TR-99628 Famagusta, Turkey</t>
        </is>
      </c>
      <c r="Y494" t="inlineStr">
        <is>
          <t>Eastern Mediterranean University</t>
        </is>
      </c>
      <c r="Z494" t="inlineStr">
        <is>
          <t>Arfaei, A (corresponding author), Eastern Mediterranean Univ, Fac Architecture, Via Mersin 10, TR-99628 Famagusta, Turkey.</t>
        </is>
      </c>
      <c r="AA494" t="inlineStr">
        <is>
          <t>aref.arfaei@gmail.com; phancer@gmail.com</t>
        </is>
      </c>
      <c r="AB494" t="inlineStr">
        <is>
          <t>Hancer, Polat/AAD-6484-2019</t>
        </is>
      </c>
      <c r="AH494" t="n">
        <v>58</v>
      </c>
      <c r="AI494" t="n">
        <v>3</v>
      </c>
      <c r="AJ494" t="n">
        <v>3</v>
      </c>
      <c r="AK494" t="n">
        <v>0</v>
      </c>
      <c r="AL494" t="n">
        <v>6</v>
      </c>
      <c r="AM494" t="inlineStr">
        <is>
          <t>MDPI</t>
        </is>
      </c>
      <c r="AN494" t="inlineStr">
        <is>
          <t>BASEL</t>
        </is>
      </c>
      <c r="AO494" t="inlineStr">
        <is>
          <t>ST ALBAN-ANLAGE 66, CH-4052 BASEL, SWITZERLAND</t>
        </is>
      </c>
      <c r="AQ494" t="inlineStr">
        <is>
          <t>2071-1050</t>
        </is>
      </c>
      <c r="AS494" t="inlineStr">
        <is>
          <t>SUSTAINABILITY-BASEL</t>
        </is>
      </c>
      <c r="AT494" t="inlineStr">
        <is>
          <t>Sustainability</t>
        </is>
      </c>
      <c r="AU494" t="inlineStr">
        <is>
          <t>NOV</t>
        </is>
      </c>
      <c r="AV494" t="n">
        <v>2019</v>
      </c>
      <c r="AW494" t="n">
        <v>11</v>
      </c>
      <c r="AX494" t="n">
        <v>21</v>
      </c>
      <c r="BE494" t="n">
        <v>6043</v>
      </c>
      <c r="BF494" t="inlineStr">
        <is>
          <t>10.3390/su11216043</t>
        </is>
      </c>
      <c r="BG494">
        <f>HYPERLINK("http://dx.doi.org/10.3390/su11216043","http://dx.doi.org/10.3390/su11216043")</f>
        <v/>
      </c>
      <c r="BJ494" t="n">
        <v>17</v>
      </c>
      <c r="BK494" t="inlineStr">
        <is>
          <t>Green &amp; Sustainable Science &amp; Technology; Environmental Sciences; Environmental Studies</t>
        </is>
      </c>
      <c r="BL494" t="inlineStr">
        <is>
          <t>Science Citation Index Expanded (SCI-EXPANDED); Social Science Citation Index (SSCI)</t>
        </is>
      </c>
      <c r="BM494" t="inlineStr">
        <is>
          <t>Science &amp; Technology - Other Topics; Environmental Sciences &amp; Ecology</t>
        </is>
      </c>
      <c r="BN494" t="inlineStr">
        <is>
          <t>JT7ZZ</t>
        </is>
      </c>
      <c r="BP494" t="inlineStr">
        <is>
          <t>gold, Green Published</t>
        </is>
      </c>
      <c r="BS494" t="inlineStr">
        <is>
          <t>2023-10-26</t>
        </is>
      </c>
      <c r="BT494" t="inlineStr">
        <is>
          <t>WOS:000501205200172</t>
        </is>
      </c>
      <c r="BU494">
        <f>HYPERLINK("https%3A%2F%2Fwww.webofscience.com%2Fwos%2Fwoscc%2Ffull-record%2FWOS:000501205200172","View Full Record in Web of Science")</f>
        <v/>
      </c>
    </row>
    <row r="495">
      <c r="A495" t="inlineStr">
        <is>
          <t>J</t>
        </is>
      </c>
      <c r="B495" t="inlineStr">
        <is>
          <t>Ma, GF; Ding, Y; Ma, JY</t>
        </is>
      </c>
      <c r="F495" t="inlineStr">
        <is>
          <t>Ma, Guofeng; Ding, Yue; Ma, Junyi</t>
        </is>
      </c>
      <c r="J495" t="inlineStr">
        <is>
          <t>SUSTAINABILITY</t>
        </is>
      </c>
      <c r="M495" t="inlineStr">
        <is>
          <t>English</t>
        </is>
      </c>
      <c r="N495" t="inlineStr">
        <is>
          <t>Article</t>
        </is>
      </c>
      <c r="T495" t="inlineStr">
        <is>
          <t>The Impact of Airport Physical Environment on Perceived Safety and Domestic Travel Intention of Chinese Passengers during the COVID-19 Pandemic: The Mediating Role of Passenger Satisfaction</t>
        </is>
      </c>
      <c r="U495" t="inlineStr">
        <is>
          <t>COVID-19; physical environment; perceived safety; passenger satisfaction; travel intention</t>
        </is>
      </c>
      <c r="V495" t="inlineStr">
        <is>
          <t>BEHAVIORAL INTENTIONS; SERVICE QUALITY; CUSTOMER SATISFACTION; SECURITY MEASURES; LOYALTY; RISK; PERCEPTIONS; RESPONSES; AIRLINES; AVIATION</t>
        </is>
      </c>
      <c r="W495" t="inlineStr">
        <is>
          <t>The COVID-19 pandemic, which has become an important new research topic, has exerted a huge impact on airports and the antecedents of passengers' travel decisions following its outbreak. In the current study, we aimed to investigate the influences of four attributes of airport physical environment (facility functionality, facility aesthetics, layout accessibility, and cleanliness) on passengers' perceived safety, satisfaction, and travel intention, as well as the mediating role of passenger satisfaction. We built a structural equation model to assume the relationship between these variables. A total of 398 domestic travelers were asked to fill out a survey in order to reveal their perceptions of airport physical environment, perceived safety, satisfaction, and travel intention. The results indicate that passengers with positive perceptions of the facility functionality, layout accessibility, and cleanliness of airports had a higher degree of satisfaction and might be more willing to engage in more air travel in the future. In particular, a clean airport environment significantly improved passengers' perceived safety. Moreover, facility functionality, layout accessibility, cleanliness, and perceived safety all had an effect on travel intention through the mediating role of satisfaction. Overall, these findings offer suggestions for airport authorities aiming to revive demand for air travel. Discussions about airport physical environment improvements along with limitations and suggestions for future research are provided.</t>
        </is>
      </c>
      <c r="X495" t="inlineStr">
        <is>
          <t>[Ma, Guofeng; Ding, Yue; Ma, Junyi] Tongji Univ, Sch Econ &amp; Management, Shanghai 200092, Peoples R China</t>
        </is>
      </c>
      <c r="Y495" t="inlineStr">
        <is>
          <t>Tongji University</t>
        </is>
      </c>
      <c r="Z495" t="inlineStr">
        <is>
          <t>Ding, Y (corresponding author), Tongji Univ, Sch Econ &amp; Management, Shanghai 200092, Peoples R China.</t>
        </is>
      </c>
      <c r="AA495" t="inlineStr">
        <is>
          <t>06125@tongji.edu.cn; apcto001@163.com; 2030375@tongji.edu.cn</t>
        </is>
      </c>
      <c r="AB495" t="inlineStr">
        <is>
          <t>丁, 月/GWR-0808-2022; Ding, Yue/GXN-1447-2022</t>
        </is>
      </c>
      <c r="AC495" t="inlineStr">
        <is>
          <t>Ding, Yue/0000-0002-2571-0469</t>
        </is>
      </c>
      <c r="AD495" t="inlineStr">
        <is>
          <t>National Natural Science Foundation of China [72171177]</t>
        </is>
      </c>
      <c r="AE495" t="inlineStr">
        <is>
          <t>National Natural Science Foundation of China(National Natural Science Foundation of China (NSFC))</t>
        </is>
      </c>
      <c r="AF495" t="inlineStr">
        <is>
          <t>The research was funded by the National Natural Science Foundation of China (Grant No. 72171177).</t>
        </is>
      </c>
      <c r="AH495" t="n">
        <v>74</v>
      </c>
      <c r="AI495" t="n">
        <v>4</v>
      </c>
      <c r="AJ495" t="n">
        <v>4</v>
      </c>
      <c r="AK495" t="n">
        <v>6</v>
      </c>
      <c r="AL495" t="n">
        <v>19</v>
      </c>
      <c r="AM495" t="inlineStr">
        <is>
          <t>MDPI</t>
        </is>
      </c>
      <c r="AN495" t="inlineStr">
        <is>
          <t>BASEL</t>
        </is>
      </c>
      <c r="AO495" t="inlineStr">
        <is>
          <t>ST ALBAN-ANLAGE 66, CH-4052 BASEL, SWITZERLAND</t>
        </is>
      </c>
      <c r="AQ495" t="inlineStr">
        <is>
          <t>2071-1050</t>
        </is>
      </c>
      <c r="AS495" t="inlineStr">
        <is>
          <t>SUSTAINABILITY-BASEL</t>
        </is>
      </c>
      <c r="AT495" t="inlineStr">
        <is>
          <t>Sustainability</t>
        </is>
      </c>
      <c r="AU495" t="inlineStr">
        <is>
          <t>MAY</t>
        </is>
      </c>
      <c r="AV495" t="n">
        <v>2022</v>
      </c>
      <c r="AW495" t="n">
        <v>14</v>
      </c>
      <c r="AX495" t="n">
        <v>9</v>
      </c>
      <c r="BE495" t="n">
        <v>5628</v>
      </c>
      <c r="BF495" t="inlineStr">
        <is>
          <t>10.3390/su14095628</t>
        </is>
      </c>
      <c r="BG495">
        <f>HYPERLINK("http://dx.doi.org/10.3390/su14095628","http://dx.doi.org/10.3390/su14095628")</f>
        <v/>
      </c>
      <c r="BJ495" t="n">
        <v>18</v>
      </c>
      <c r="BK495" t="inlineStr">
        <is>
          <t>Green &amp; Sustainable Science &amp; Technology; Environmental Sciences; Environmental Studies</t>
        </is>
      </c>
      <c r="BL495" t="inlineStr">
        <is>
          <t>Science Citation Index Expanded (SCI-EXPANDED); Social Science Citation Index (SSCI)</t>
        </is>
      </c>
      <c r="BM495" t="inlineStr">
        <is>
          <t>Science &amp; Technology - Other Topics; Environmental Sciences &amp; Ecology</t>
        </is>
      </c>
      <c r="BN495" t="inlineStr">
        <is>
          <t>1F6SJ</t>
        </is>
      </c>
      <c r="BP495" t="inlineStr">
        <is>
          <t>gold</t>
        </is>
      </c>
      <c r="BS495" t="inlineStr">
        <is>
          <t>2023-10-26</t>
        </is>
      </c>
      <c r="BT495" t="inlineStr">
        <is>
          <t>WOS:000795296100001</t>
        </is>
      </c>
      <c r="BU495">
        <f>HYPERLINK("https%3A%2F%2Fwww.webofscience.com%2Fwos%2Fwoscc%2Ffull-record%2FWOS:000795296100001","View Full Record in Web of Science")</f>
        <v/>
      </c>
    </row>
    <row r="496">
      <c r="A496" t="inlineStr">
        <is>
          <t>J</t>
        </is>
      </c>
      <c r="B496" t="inlineStr">
        <is>
          <t>Carrer, P; Wolkoff, P</t>
        </is>
      </c>
      <c r="F496" t="inlineStr">
        <is>
          <t>Carrer, Paolo; Wolkoff, Peder</t>
        </is>
      </c>
      <c r="J496" t="inlineStr">
        <is>
          <t>INTERNATIONAL JOURNAL OF ENVIRONMENTAL RESEARCH AND PUBLIC HEALTH</t>
        </is>
      </c>
      <c r="M496" t="inlineStr">
        <is>
          <t>English</t>
        </is>
      </c>
      <c r="N496" t="inlineStr">
        <is>
          <t>Review</t>
        </is>
      </c>
      <c r="T496" t="inlineStr">
        <is>
          <t>Assessment of Indoor Air Quality Problems in Office-Like Environments: Role of Occupational Health Services</t>
        </is>
      </c>
      <c r="U496" t="inlineStr">
        <is>
          <t>comfort; indoor air quality; management; offices; sickness; symptoms</t>
        </is>
      </c>
      <c r="V496" t="inlineStr">
        <is>
          <t>SICK BUILDING SYNDROME; PSYCHOSOCIAL WORK-ENVIRONMENT; SYMPTOMS; COMFORT; QUESTIONNAIRE; PERFORMANCE; US</t>
        </is>
      </c>
      <c r="W496" t="inlineStr">
        <is>
          <t>There is an increasing concern about indoor air quality (IAQ) and its impact on health, comfort, and work-performance in office-like environments and their workers, which account for most of the labor force. The Scientific Committee on Indoor Air Quality and Health of the ICOH (Int. Comm. Occup. Health) has discussed the assessment and management of IAQ problems and proposed a stepwise approach to be conducted by a multidisciplinary team. It is recommended to integrate the building assessment, inspection by walk-through of the office workplace, questionnaire survey, and environmental measurements, in that order. The survey should cover perceived IAQ, symptoms, and psychosocial working aspects. The outcome can be used for mapping the IAQ and to prioritize the order in which problems should be dealt with. Individual health surveillance in relation to IAQ is proposed only when periodical health surveillance is already performed for other risks (e.g., video display units) or when specific clinical examination of workers is required due to the occurrence of diseases that may be linked to IAQ (e.g., Legionnaire's disease), recurrent inflammation, infections of eyes, respiratory airway effects, and sensorial disturbances. Environmental and personal risk factors should also be compiled and assessed. Workplace health promotion should include programs for smoking cessation and stress and IAQ management.</t>
        </is>
      </c>
      <c r="X496" t="inlineStr">
        <is>
          <t>[Carrer, Paolo] Univ Milan, Dept Biomed &amp; Clin Sci L Sacco, I-20157 Milan, Italy; [Wolkoff, Peder] Natl Res Ctr Working Environm, DK-2100 Copenhagen O, Denmark</t>
        </is>
      </c>
      <c r="Y496" t="inlineStr">
        <is>
          <t>University of Milan; Luigi Sacco Hospital; National Research Centre for the Working Environment</t>
        </is>
      </c>
      <c r="Z496" t="inlineStr">
        <is>
          <t>Wolkoff, P (corresponding author), Natl Res Ctr Working Environm, DK-2100 Copenhagen O, Denmark.</t>
        </is>
      </c>
      <c r="AA496" t="inlineStr">
        <is>
          <t>paolo.carrer@unimi.it; pwo@nrcwe.dk</t>
        </is>
      </c>
      <c r="AB496" t="inlineStr">
        <is>
          <t>Carrer, Paolo/I-7748-2017</t>
        </is>
      </c>
      <c r="AC496" t="inlineStr">
        <is>
          <t>Carrer, Paolo/0000-0001-5516-2195; Wolkoff, Peder/0000-0003-1933-7351</t>
        </is>
      </c>
      <c r="AD496" t="inlineStr">
        <is>
          <t>National Research Center for the Working Environment</t>
        </is>
      </c>
      <c r="AE496" t="inlineStr">
        <is>
          <t>National Research Center for the Working Environment</t>
        </is>
      </c>
      <c r="AF496" t="inlineStr">
        <is>
          <t>The work was supported by an internal grant from the National Research Center for the Working Environment. We thank members of ICOH Scientific Committee Indoor Air Quality and Health for comments.</t>
        </is>
      </c>
      <c r="AH496" t="n">
        <v>51</v>
      </c>
      <c r="AI496" t="n">
        <v>40</v>
      </c>
      <c r="AJ496" t="n">
        <v>40</v>
      </c>
      <c r="AK496" t="n">
        <v>7</v>
      </c>
      <c r="AL496" t="n">
        <v>41</v>
      </c>
      <c r="AM496" t="inlineStr">
        <is>
          <t>MDPI</t>
        </is>
      </c>
      <c r="AN496" t="inlineStr">
        <is>
          <t>BASEL</t>
        </is>
      </c>
      <c r="AO496" t="inlineStr">
        <is>
          <t>ST ALBAN-ANLAGE 66, CH-4052 BASEL, SWITZERLAND</t>
        </is>
      </c>
      <c r="AP496" t="inlineStr">
        <is>
          <t>1660-4601</t>
        </is>
      </c>
      <c r="AS496" t="inlineStr">
        <is>
          <t>INT J ENV RES PUB HE</t>
        </is>
      </c>
      <c r="AT496" t="inlineStr">
        <is>
          <t>Int. J. Environ. Res. Public Health</t>
        </is>
      </c>
      <c r="AU496" t="inlineStr">
        <is>
          <t>APR</t>
        </is>
      </c>
      <c r="AV496" t="n">
        <v>2018</v>
      </c>
      <c r="AW496" t="n">
        <v>15</v>
      </c>
      <c r="AX496" t="n">
        <v>4</v>
      </c>
      <c r="BE496" t="n">
        <v>741</v>
      </c>
      <c r="BF496" t="inlineStr">
        <is>
          <t>10.3390/ijerph15040741</t>
        </is>
      </c>
      <c r="BG496">
        <f>HYPERLINK("http://dx.doi.org/10.3390/ijerph15040741","http://dx.doi.org/10.3390/ijerph15040741")</f>
        <v/>
      </c>
      <c r="BJ496" t="n">
        <v>8</v>
      </c>
      <c r="BK496" t="inlineStr">
        <is>
          <t>Environmental Sciences; Public, Environmental &amp; Occupational Health</t>
        </is>
      </c>
      <c r="BL496" t="inlineStr">
        <is>
          <t>Science Citation Index Expanded (SCI-EXPANDED); Social Science Citation Index (SSCI)</t>
        </is>
      </c>
      <c r="BM496" t="inlineStr">
        <is>
          <t>Environmental Sciences &amp; Ecology; Public, Environmental &amp; Occupational Health</t>
        </is>
      </c>
      <c r="BN496" t="inlineStr">
        <is>
          <t>GI9TK</t>
        </is>
      </c>
      <c r="BO496" t="n">
        <v>29649167</v>
      </c>
      <c r="BP496" t="inlineStr">
        <is>
          <t>Green Published, Green Submitted, gold</t>
        </is>
      </c>
      <c r="BS496" t="inlineStr">
        <is>
          <t>2023-10-26</t>
        </is>
      </c>
      <c r="BT496" t="inlineStr">
        <is>
          <t>WOS:000434868800180</t>
        </is>
      </c>
      <c r="BU496">
        <f>HYPERLINK("https%3A%2F%2Fwww.webofscience.com%2Fwos%2Fwoscc%2Ffull-record%2FWOS:000434868800180","View Full Record in Web of Science")</f>
        <v/>
      </c>
    </row>
    <row r="497">
      <c r="A497" t="inlineStr">
        <is>
          <t>J</t>
        </is>
      </c>
      <c r="B497" t="inlineStr">
        <is>
          <t>Scronce, G; Zhang, WQ; Smith, ML; Mercer, VS</t>
        </is>
      </c>
      <c r="F497" t="inlineStr">
        <is>
          <t>Scronce, Gabrielle; Zhang, Wanqing; Smith, Matthew Lee; Mercer, Vicki Stemmons</t>
        </is>
      </c>
      <c r="J497" t="inlineStr">
        <is>
          <t>INTERNATIONAL JOURNAL OF ENVIRONMENTAL RESEARCH AND PUBLIC HEALTH</t>
        </is>
      </c>
      <c r="M497" t="inlineStr">
        <is>
          <t>English</t>
        </is>
      </c>
      <c r="N497" t="inlineStr">
        <is>
          <t>Article</t>
        </is>
      </c>
      <c r="T497" t="inlineStr">
        <is>
          <t>Characteristics Associated with Improved Physical Performance among Community-Dwelling Older Adults in a Community-Based Falls Prevention Program</t>
        </is>
      </c>
      <c r="U497" t="inlineStr">
        <is>
          <t>older adults; falls; exercise</t>
        </is>
      </c>
      <c r="V497" t="inlineStr">
        <is>
          <t>OTAGO EXERCISE PROGRAM; RANDOMIZED CONTROLLED-TRIAL; HEALTH-CARE UTILIZATION; HOME-BASED EXERCISE; MINI-MENTAL-STATE; ECONOMIC-EVALUATION; STAND TEST; BALANCE; FEAR; STRENGTH</t>
        </is>
      </c>
      <c r="W497" t="inlineStr">
        <is>
          <t>This was a retrospective analysis of quasi-longitudinal data from an ongoing, community-based falls prevention program. The purpose was to identify participant characteristics predicting improvement on physical performance measures associated with falls risk. Community-dwelling older adults &gt;= 60 years old participated in a community-based implementation of the Otago Exercise Program (OEP). Participants with increased falls risk (n = 353) were provided with individualized exercises from OEP and were invited to return for monthly follow-up. One hundred twenty-eight participants returned for at least two follow-up visits within 6 months of their initial visit (mean time to second follow-up = 93 days with standard deviation = 43 days). Outcome measures assessed at initial and all follow-up visits included Four Stage Balance Test (4SBT), Timed Up and Go test (TUG), and Chair Rise Test (CRT). Distributions were examined, and results were categorized to depict improvement from initial visit (IVT) to second follow-up visit (F2). Key predictor variables were included in multivariable linear or logistic regression models. Improved 4SBT performance was predicted by greater balance confidence. Better TUG performance at F2 was predicted by no use of assistive device for walking, higher scores on cognitive screening, and better IVT TUG performance. Improvement on CRT was predicted by younger age and lower scores on cognitive screening. While improvements on each of the three measures were predicted by a unique combination of variables, these variables tended to be associated with less frailty.</t>
        </is>
      </c>
      <c r="X497" t="inlineStr">
        <is>
          <t>[Scronce, Gabrielle] Univ N Carolina, Curriculum Human Movement Sci, Chapel Hill, NC 27599 USA; [Zhang, Wanqing] Univ N Carolina, Dept Allied Hlth Sci, Chapel Hill, NC 27599 USA; [Smith, Matthew Lee] Texas A&amp;M Univ, Ctr Populat Hlth &amp; Aging, College Stn, TX 77843 USA; [Smith, Matthew Lee] Texas A&amp;M Univ, Sch Publ Hlth, Dept Environm &amp; Occupat Hlth, College Stn, TX 77843 USA; [Smith, Matthew Lee] Univ Georgia, Dept Hlth Promot &amp; Behav, Coll Publ Hlth, Athens, GA 30602 USA; [Mercer, Vicki Stemmons] Univ N Carolina, Div Phys Therapy, Chapel Hill, NC 27599 USA</t>
        </is>
      </c>
      <c r="Y497" t="inlineStr">
        <is>
          <t>University of North Carolina; University of North Carolina Chapel Hill; University of North Carolina; University of North Carolina Chapel Hill; Texas A&amp;M University System; Texas A&amp;M University College Station; Texas A&amp;M University System; Texas A&amp;M University College Station; Texas A&amp;M Health Science Center; University System of Georgia; University of Georgia; University of North Carolina; University of North Carolina Chapel Hill</t>
        </is>
      </c>
      <c r="Z497" t="inlineStr">
        <is>
          <t>Scronce, G (corresponding author), Univ N Carolina, Curriculum Human Movement Sci, Chapel Hill, NC 27599 USA.</t>
        </is>
      </c>
      <c r="AA497" t="inlineStr">
        <is>
          <t>scronce@med.unc.edu; wanqing_zhang@med.unc.edu; matthew.smith@tamu.edu; vicki_mercer@med.unc.edu</t>
        </is>
      </c>
      <c r="AB497" t="inlineStr">
        <is>
          <t>Mercer, Vicki/AAN-6669-2021</t>
        </is>
      </c>
      <c r="AC497" t="inlineStr">
        <is>
          <t>, Wanqing/0000-0003-0291-4925; Mercer, Vicki/0000-0002-9022-9428</t>
        </is>
      </c>
      <c r="AD497" t="inlineStr">
        <is>
          <t>Baxter International Foundation; McDowell County Government; UNC Center for Aging and Health; UNC Thorp Faculty Engaged Scholars; UNC Royster Society of Fellows</t>
        </is>
      </c>
      <c r="AE497" t="inlineStr">
        <is>
          <t>Baxter International Foundation; McDowell County Government; UNC Center for Aging and Health; UNC Thorp Faculty Engaged Scholars; UNC Royster Society of Fellows</t>
        </is>
      </c>
      <c r="AF497" t="inlineStr">
        <is>
          <t>This research was funded by The Baxter International Foundation, McDowell County Government, UNC Center for Aging and Health, UNC Thorp Faculty Engaged Scholars, and UNC Royster Society of Fellows.</t>
        </is>
      </c>
      <c r="AH497" t="n">
        <v>57</v>
      </c>
      <c r="AI497" t="n">
        <v>3</v>
      </c>
      <c r="AJ497" t="n">
        <v>3</v>
      </c>
      <c r="AK497" t="n">
        <v>0</v>
      </c>
      <c r="AL497" t="n">
        <v>9</v>
      </c>
      <c r="AM497" t="inlineStr">
        <is>
          <t>MDPI</t>
        </is>
      </c>
      <c r="AN497" t="inlineStr">
        <is>
          <t>BASEL</t>
        </is>
      </c>
      <c r="AO497" t="inlineStr">
        <is>
          <t>ST ALBAN-ANLAGE 66, CH-4052 BASEL, SWITZERLAND</t>
        </is>
      </c>
      <c r="AQ497" t="inlineStr">
        <is>
          <t>1660-4601</t>
        </is>
      </c>
      <c r="AS497" t="inlineStr">
        <is>
          <t>INT J ENV RES PUB HE</t>
        </is>
      </c>
      <c r="AT497" t="inlineStr">
        <is>
          <t>Int. J. Environ. Res. Public Health</t>
        </is>
      </c>
      <c r="AU497" t="inlineStr">
        <is>
          <t>APR</t>
        </is>
      </c>
      <c r="AV497" t="n">
        <v>2020</v>
      </c>
      <c r="AW497" t="n">
        <v>17</v>
      </c>
      <c r="AX497" t="n">
        <v>7</v>
      </c>
      <c r="BE497" t="n">
        <v>2509</v>
      </c>
      <c r="BF497" t="inlineStr">
        <is>
          <t>10.3390/ijerph17072509</t>
        </is>
      </c>
      <c r="BG497">
        <f>HYPERLINK("http://dx.doi.org/10.3390/ijerph17072509","http://dx.doi.org/10.3390/ijerph17072509")</f>
        <v/>
      </c>
      <c r="BJ497" t="n">
        <v>12</v>
      </c>
      <c r="BK497" t="inlineStr">
        <is>
          <t>Environmental Sciences; Public, Environmental &amp; Occupational Health</t>
        </is>
      </c>
      <c r="BL497" t="inlineStr">
        <is>
          <t>Science Citation Index Expanded (SCI-EXPANDED); Social Science Citation Index (SSCI)</t>
        </is>
      </c>
      <c r="BM497" t="inlineStr">
        <is>
          <t>Environmental Sciences &amp; Ecology; Public, Environmental &amp; Occupational Health</t>
        </is>
      </c>
      <c r="BN497" t="inlineStr">
        <is>
          <t>LK3LI</t>
        </is>
      </c>
      <c r="BO497" t="n">
        <v>32268621</v>
      </c>
      <c r="BP497" t="inlineStr">
        <is>
          <t>gold, Green Published</t>
        </is>
      </c>
      <c r="BS497" t="inlineStr">
        <is>
          <t>2023-10-26</t>
        </is>
      </c>
      <c r="BT497" t="inlineStr">
        <is>
          <t>WOS:000530763300341</t>
        </is>
      </c>
      <c r="BU497">
        <f>HYPERLINK("https%3A%2F%2Fwww.webofscience.com%2Fwos%2Fwoscc%2Ffull-record%2FWOS:000530763300341","View Full Record in Web of Science")</f>
        <v/>
      </c>
    </row>
    <row r="498">
      <c r="A498" t="inlineStr">
        <is>
          <t>J</t>
        </is>
      </c>
      <c r="B498" t="inlineStr">
        <is>
          <t>Aggarwal, J; Eitland, ES; Gonzalez, LN; Campbell, MLF; Greenberg, P; Kaplun, E; Sahili, S; Koshy, K; Rajan, S; Shendell, DG</t>
        </is>
      </c>
      <c r="F498" t="inlineStr">
        <is>
          <t>Aggarwal, Juhi; Eitland, Erika S.; Gonzalez, Lauren N.; Campbell, Maryanne L. Fakeh; Greenberg, Patricia; Kaplun, Elizabeth; Sahili, Sarah; Koshy, Koshy; Rajan, Sonali; Shendell, Derek G.</t>
        </is>
      </c>
      <c r="J498" t="inlineStr">
        <is>
          <t>JOURNAL OF ENVIRONMENTAL HEALTH</t>
        </is>
      </c>
      <c r="M498" t="inlineStr">
        <is>
          <t>English</t>
        </is>
      </c>
      <c r="N498" t="inlineStr">
        <is>
          <t>Article</t>
        </is>
      </c>
      <c r="T498" t="inlineStr">
        <is>
          <t>Built Environment Attributes and Preparedness for Potential Gun Violence at Secondary Schools</t>
        </is>
      </c>
      <c r="V498" t="inlineStr">
        <is>
          <t>UNITED-STATES; SHOOTINGS; WORKFORCE; SAFETY; CRIME</t>
        </is>
      </c>
      <c r="W498" t="inlineStr">
        <is>
          <t>Characterizing built or physical environment risk factors for gun violence in and around K-12 schools is an emerging, complex children's environmental health need. We used data on New jersey high schools on gun violence-related preventive practices and school (building and facility) environmental controls in place in fall 2019. We assimilated publicly available secondary data from state education agencies, school websites, and Google Maps to identify aspects of high school indoor and outdoor built environments, including fields, gymnasiums, auditoriums, and athletic fields and types of seating. We analyzed statewide data and stratified by county, region, and urban/nonurban locale. Results identified deficient environmental aspects of schools; however, if addressed, then more effective responses to active shooter scenarios could occur. These deficits included unmonitored entrances, security systems with missing cameras, hidden stairwells, and dense foliage around school buildings. Our research was also relevant to the scope of practice and services highlighted by the recent Understanding the Needs, Challenges, Opportunities, Vision, and Emerging Roles in Environmental Health (UNCOVER EH) initiative. Future research can help inform local emergency preparedness, response efforts, and school priorities for design, operations, and maintenance.</t>
        </is>
      </c>
      <c r="X498" t="inlineStr">
        <is>
          <t>[Aggarwal, Juhi; Kaplun, Elizabeth] Rutgers Sch Publ Hlth, Dept Biostat &amp; Epidemiol, Piscataway, NJ 08854 USA; [Aggarwal, Juhi; Gonzalez, Lauren N.; Campbell, Maryanne L. Fakeh; Kaplun, Elizabeth; Sahili, Sarah; Koshy, Koshy; Shendell, Derek G.] Rutgers Sch Publ Hlth, New Jersey Safe Sch Program, 683 Hoes Lane West,3rd Floor SPH Bldg,Suite 399, Piscataway, NJ 08854 USA; [Eitland, Erika S.] Harvard TH Chan Sch Publ Hlth, Dept Environm Hlth, Boston, MA USA; [Greenberg, Patricia] Rutgers Sch Publ Hlth, Dept Biostat &amp; Epidemiol, Rutgers Biostat &amp; Epidemiol Serv Ctr, Piscataway, NJ 08854 USA; [Sahili, Sarah] Rutgers Sch Publ Hlth, Dept Hlth Behav Soc &amp; Policy, Piscataway, NJ 08854 USA; [Koshy, Koshy] Rutgers Sch Publ Hlth, Dept Environm &amp; Occupat Hlth &amp; Justice, Piscataway, NJ 08854 USA; [Koshy, Koshy] Rutgers Sch Publ Hlth, Ctr Publ Hlth Workforce Dev, Piscataway, NJ 08854 USA; [Rajan, Sonali] Columbia Univ, Teachers Coll, Dept Hlth &amp; Behav Studies, New York, NY 10027 USA; [Rajan, Sonali] Columbia Univ, Mailman Sch Publ Hlth, Dept Epidemiol, New York, NY USA</t>
        </is>
      </c>
      <c r="Y498" t="inlineStr">
        <is>
          <t>Harvard University; Harvard T.H. Chan School of Public Health; Columbia University Teachers College; Columbia University; Columbia University</t>
        </is>
      </c>
      <c r="Z498" t="inlineStr">
        <is>
          <t>Shendell, DG (corresponding author), Rutgers Sch Publ Hlth, New Jersey Safe Sch Program, 683 Hoes Lane West,3rd Floor SPH Bldg,Suite 399, Piscataway, NJ 08854 USA.</t>
        </is>
      </c>
      <c r="AA498" t="inlineStr">
        <is>
          <t>shendedg@sph.rutgers.edu</t>
        </is>
      </c>
      <c r="AD498" t="inlineStr">
        <is>
          <t>NJ Office of the Secretary of Higher Education via the Rutgers NJ Gun Violence Research Center</t>
        </is>
      </c>
      <c r="AE498" t="inlineStr">
        <is>
          <t>NJ Office of the Secretary of Higher Education via the Rutgers NJ Gun Violence Research Center</t>
        </is>
      </c>
      <c r="AF498" t="inlineStr">
        <is>
          <t>This research was funded by the NJ Office of the Secretary of Higher Education via the Rutgers NJ Gun Violence Research Center. We thank the T.H. Chan Harvard School of Public Health for the ArcView GIS license made available to Erika Eitland during her doctoral program research and for external service collaborations.</t>
        </is>
      </c>
      <c r="AH498" t="n">
        <v>26</v>
      </c>
      <c r="AI498" t="n">
        <v>1</v>
      </c>
      <c r="AJ498" t="n">
        <v>1</v>
      </c>
      <c r="AK498" t="n">
        <v>2</v>
      </c>
      <c r="AL498" t="n">
        <v>4</v>
      </c>
      <c r="AM498" t="inlineStr">
        <is>
          <t>NATL ENVIRON HEALTH ASSOC</t>
        </is>
      </c>
      <c r="AN498" t="inlineStr">
        <is>
          <t>DENVER</t>
        </is>
      </c>
      <c r="AO498" t="inlineStr">
        <is>
          <t>720 S COLORADO BLVD SUITE 970, SOUTH TOWER, DENVER, CO 80246 USA</t>
        </is>
      </c>
      <c r="AP498" t="inlineStr">
        <is>
          <t>0022-0892</t>
        </is>
      </c>
      <c r="AS498" t="inlineStr">
        <is>
          <t>J ENVIRON HEALTH</t>
        </is>
      </c>
      <c r="AT498" t="inlineStr">
        <is>
          <t>J. Environ. Health</t>
        </is>
      </c>
      <c r="AU498" t="inlineStr">
        <is>
          <t>NOV</t>
        </is>
      </c>
      <c r="AV498" t="n">
        <v>2021</v>
      </c>
      <c r="AW498" t="n">
        <v>84</v>
      </c>
      <c r="AX498" t="n">
        <v>4</v>
      </c>
      <c r="BC498" t="n">
        <v>8</v>
      </c>
      <c r="BD498" t="n">
        <v>16</v>
      </c>
      <c r="BJ498" t="n">
        <v>9</v>
      </c>
      <c r="BK498" t="inlineStr">
        <is>
          <t>Environmental Sciences; Public, Environmental &amp; Occupational Health</t>
        </is>
      </c>
      <c r="BL498" t="inlineStr">
        <is>
          <t>Science Citation Index Expanded (SCI-EXPANDED)</t>
        </is>
      </c>
      <c r="BM498" t="inlineStr">
        <is>
          <t>Environmental Sciences &amp; Ecology; Public, Environmental &amp; Occupational Health</t>
        </is>
      </c>
      <c r="BN498" t="inlineStr">
        <is>
          <t>WM3HW</t>
        </is>
      </c>
      <c r="BS498" t="inlineStr">
        <is>
          <t>2023-10-26</t>
        </is>
      </c>
      <c r="BT498" t="inlineStr">
        <is>
          <t>WOS:000710980600002</t>
        </is>
      </c>
      <c r="BU498">
        <f>HYPERLINK("https%3A%2F%2Fwww.webofscience.com%2Fwos%2Fwoscc%2Ffull-record%2FWOS:000710980600002","View Full Record in Web of Science")</f>
        <v/>
      </c>
    </row>
    <row r="499">
      <c r="A499" t="inlineStr">
        <is>
          <t>J</t>
        </is>
      </c>
      <c r="B499" t="inlineStr">
        <is>
          <t>Liao, YT; Chiang, CM; Liu, KS; Tzeng, CT</t>
        </is>
      </c>
      <c r="F499" t="inlineStr">
        <is>
          <t>Liao, Y. T.; Chiang, C. M.; Liu, K. S.; Tzeng, C. T.</t>
        </is>
      </c>
      <c r="J499" t="inlineStr">
        <is>
          <t>JOURNAL OF ENVIRONMENTAL PROTECTION AND ECOLOGY</t>
        </is>
      </c>
      <c r="M499" t="inlineStr">
        <is>
          <t>English</t>
        </is>
      </c>
      <c r="N499" t="inlineStr">
        <is>
          <t>Article</t>
        </is>
      </c>
      <c r="T499" t="inlineStr">
        <is>
          <t>DECISION-MAKING FACTORS OF SCHOOL BUILDING RENOVATIONS FOR IMPROVING BUILT ENVIRONMENT</t>
        </is>
      </c>
      <c r="U499" t="inlineStr">
        <is>
          <t>DEA; decision-making factors; school building renovation; efficiency; environmental quality; ARP</t>
        </is>
      </c>
      <c r="V499" t="inlineStr">
        <is>
          <t>DATA ENVELOPMENT ANALYSIS; EFFICIENCY; ENERGY; MULTIVARIATE; ACHIEVEMENT; EDUCATION; SYSTEMS; TAIWAN</t>
        </is>
      </c>
      <c r="W499" t="inlineStr">
        <is>
          <t>This study attempts to explore the decision-making factors of school building renovation that influence the overall environmental quality, via efficiency, effectiveness and sensitivity measures by the data envelopment analysis (DEA) method. The factors are determined with the nature of this multi-objective decision-making method in terms of the measured environment quality, energy and resource availability, as well as the whole efficiency before and after renovations. By reviewing the priorities of renovation factors, the subsequent required resources can be determined and therefore invested with efficacy and excellence. Factors that influence such quality include the followings: water retention performance, thermal performance of building envelopes, indoor environment quality (IEQ), and replacement of high-performance devices and the reuse of energy and resources. The outcomes of the DEA and AHP are compared as well.</t>
        </is>
      </c>
      <c r="X499" t="inlineStr">
        <is>
          <t>[Liao, Y. T.; Chiang, C. M.; Tzeng, C. T.] Natl Cheng Kung Univ, Dept Architecture, Tainan 701, Taiwan; [Liu, K. S.] Tung Fang Design Inst, Dept Interior Design, Kaohsiung 82941, Taiwan</t>
        </is>
      </c>
      <c r="Y499" t="inlineStr">
        <is>
          <t>National Cheng Kung University; Tung Fang Design University</t>
        </is>
      </c>
      <c r="Z499" t="inlineStr">
        <is>
          <t>Liu, KS (corresponding author), Tung Fang Design Inst, Dept Interior Design, 110 Tung Fang Rd, Kaohsiung 82941, Taiwan.</t>
        </is>
      </c>
      <c r="AA499" t="inlineStr">
        <is>
          <t>kliu1219@yahoo.com.tw</t>
        </is>
      </c>
      <c r="AD499" t="inlineStr">
        <is>
          <t>National Science Council of Taiwan (ROC) [NSC 100-2221-E-006-229-]</t>
        </is>
      </c>
      <c r="AE499" t="inlineStr">
        <is>
          <t>National Science Council of Taiwan (ROC)(Ministry of Science and Technology, Taiwan)</t>
        </is>
      </c>
      <c r="AF499" t="inlineStr">
        <is>
          <t>Support for this study from the National Science Council of Taiwan (ROC) through grant No NSC 100-2221-E-006-229- is gratefully acknowledged. Our sincere gratitude also goes to the cases of the Sustainable Campus Renovation Plan by the Ministry of Education, Taiwan.</t>
        </is>
      </c>
      <c r="AH499" t="n">
        <v>14</v>
      </c>
      <c r="AI499" t="n">
        <v>3</v>
      </c>
      <c r="AJ499" t="n">
        <v>3</v>
      </c>
      <c r="AK499" t="n">
        <v>0</v>
      </c>
      <c r="AL499" t="n">
        <v>4</v>
      </c>
      <c r="AM499" t="inlineStr">
        <is>
          <t>SCIBULCOM LTD</t>
        </is>
      </c>
      <c r="AN499" t="inlineStr">
        <is>
          <t>SOFIA</t>
        </is>
      </c>
      <c r="AO499" t="inlineStr">
        <is>
          <t>PO BOX 249, 1113 SOFIA, BULGARIA</t>
        </is>
      </c>
      <c r="AP499" t="inlineStr">
        <is>
          <t>1311-5065</t>
        </is>
      </c>
      <c r="AS499" t="inlineStr">
        <is>
          <t>J ENVIRON PROT ECOL</t>
        </is>
      </c>
      <c r="AT499" t="inlineStr">
        <is>
          <t>J. Environ. Prot. Ecol.</t>
        </is>
      </c>
      <c r="AV499" t="n">
        <v>2014</v>
      </c>
      <c r="AW499" t="n">
        <v>15</v>
      </c>
      <c r="AX499" t="inlineStr">
        <is>
          <t>3A</t>
        </is>
      </c>
      <c r="BA499" t="inlineStr">
        <is>
          <t>SI</t>
        </is>
      </c>
      <c r="BC499" t="n">
        <v>1246</v>
      </c>
      <c r="BD499" t="n">
        <v>1254</v>
      </c>
      <c r="BJ499" t="n">
        <v>9</v>
      </c>
      <c r="BK499" t="inlineStr">
        <is>
          <t>Environmental Sciences</t>
        </is>
      </c>
      <c r="BL499" t="inlineStr">
        <is>
          <t>Science Citation Index Expanded (SCI-EXPANDED)</t>
        </is>
      </c>
      <c r="BM499" t="inlineStr">
        <is>
          <t>Environmental Sciences &amp; Ecology</t>
        </is>
      </c>
      <c r="BN499" t="inlineStr">
        <is>
          <t>AS0IQ</t>
        </is>
      </c>
      <c r="BS499" t="inlineStr">
        <is>
          <t>2023-10-26</t>
        </is>
      </c>
      <c r="BT499" t="inlineStr">
        <is>
          <t>WOS:000343961500004</t>
        </is>
      </c>
      <c r="BU499">
        <f>HYPERLINK("https%3A%2F%2Fwww.webofscience.com%2Fwos%2Fwoscc%2Ffull-record%2FWOS:000343961500004","View Full Record in Web of Science")</f>
        <v/>
      </c>
    </row>
    <row r="500">
      <c r="A500" t="inlineStr">
        <is>
          <t>J</t>
        </is>
      </c>
      <c r="B500" t="inlineStr">
        <is>
          <t>Deng, JY; Wong, NH; Hii, DJC; Yu, ZQ; Tan, ER; Zhen, M; Tong, SS</t>
        </is>
      </c>
      <c r="F500" t="inlineStr">
        <is>
          <t>Deng, Ji-Yu; Wong, Nyuk Hien; Hii, Daniel Jun Chung; Yu, Zhongqi; Tan, Erna; Zhen, Meng; Tong, Shanshan</t>
        </is>
      </c>
      <c r="J500" t="inlineStr">
        <is>
          <t>ATMOSPHERE</t>
        </is>
      </c>
      <c r="M500" t="inlineStr">
        <is>
          <t>English</t>
        </is>
      </c>
      <c r="N500" t="inlineStr">
        <is>
          <t>Article</t>
        </is>
      </c>
      <c r="T500" t="inlineStr">
        <is>
          <t>Indoor Thermal Environment in Different Generations of Naturally Ventilated Public Residential Buildings in Singapore</t>
        </is>
      </c>
      <c r="U500" t="inlineStr">
        <is>
          <t>natural ventilation; thermal environment; computational fluid dynamics; residential building; window-to-wall ratio</t>
        </is>
      </c>
      <c r="V500" t="inlineStr">
        <is>
          <t>DESIGN OPTIMIZATION; SHADING DEVICES; CFD SIMULATION; FACADE; IMPACT</t>
        </is>
      </c>
      <c r="W500" t="inlineStr">
        <is>
          <t>This study aims to evaluate and compare the indoor air velocities and thermal environment inside different generations of public residential buildings developed by the Housing and Development Board (HDB) of Singapore and analyze the impact of facade design on the indoor thermal environment. To achieve this goal, several case studies were carried out, namely, five typical HDB blocks built in different generations from the 1970s to recent years. Firstly, these five blocks with different facade design features were simulated to obtain the indoor air temperatures for both window-closed and window-open scenarios by using the EnergyPlus V22.2.0 (U.S. Department of Energy) and Design-Builder v6 software(DesignBuilder Software Ltd, Stroud, Gloucs, UK). Meanwhile, the computational fluid dynamics (CFD) simulations were conducted to obtain the area-weighted wind velocities in the corresponding zones to evaluate the indoor thermal comfort. Accordingly, the effects of facade design on indoor air temperatures under both the window-closed and window-open conditions were compared and analyzed. Positive correlations between the facades' window-to-wall ratio (WWR) and the residential envelope transmittance value (RETV) and T-a were confirmed with statistical significance at a 0.05 level. Furthermore, the indoor thermal comfort based on the wind open scenarios was also investigated. The results indicate that the thermal environment can be greatly improved by implementing proper facade design strategies as well as opening the windows, which could result in an average 3.2 degrees C reduction in T-a. Finally, some principles were proposed for the facade design of residential buildings in tropical regions with similar climate conditions.</t>
        </is>
      </c>
      <c r="X500" t="inlineStr">
        <is>
          <t>[Deng, Ji-Yu; Wong, Nyuk Hien; Hii, Daniel Jun Chung; Yu, Zhongqi; Tan, Erna; Zhen, Meng; Tong, Shanshan] Natl Univ Singapore, Dept Built Environm, Singapore 117566, Singapore</t>
        </is>
      </c>
      <c r="Y500" t="inlineStr">
        <is>
          <t>National University of Singapore</t>
        </is>
      </c>
      <c r="Z500" t="inlineStr">
        <is>
          <t>Tong, SS (corresponding author), Natl Univ Singapore, Dept Built Environm, Singapore 117566, Singapore.</t>
        </is>
      </c>
      <c r="AA500" t="inlineStr">
        <is>
          <t>tongshanshan117@gmail.com</t>
        </is>
      </c>
      <c r="AB500" t="inlineStr">
        <is>
          <t>zhang, xue/JJE-9257-2023</t>
        </is>
      </c>
      <c r="AC500" t="inlineStr">
        <is>
          <t>Deng, Ji-Yu/0000-0001-8201-7831</t>
        </is>
      </c>
      <c r="AD500" t="inlineStr">
        <is>
          <t>Building and Construction Authority (BCA)-Green Buildings Innovation Cluster (GBIC) - National Research Foundation (NRF) Singapore; [R-296-000-169-490]</t>
        </is>
      </c>
      <c r="AE500" t="inlineStr">
        <is>
          <t>Building and Construction Authority (BCA)-Green Buildings Innovation Cluster (GBIC) - National Research Foundation (NRF) Singapore;</t>
        </is>
      </c>
      <c r="AF500" t="inlineStr">
        <is>
          <t>This project is funded by Building and Construction Authority (BCA)-Green Buildings Innovation Cluster (GBIC), with funding from the National Research Foundation (NRF) Singapore (WBS: R-296-000-169-490).</t>
        </is>
      </c>
      <c r="AH500" t="n">
        <v>43</v>
      </c>
      <c r="AI500" t="n">
        <v>0</v>
      </c>
      <c r="AJ500" t="n">
        <v>0</v>
      </c>
      <c r="AK500" t="n">
        <v>4</v>
      </c>
      <c r="AL500" t="n">
        <v>8</v>
      </c>
      <c r="AM500" t="inlineStr">
        <is>
          <t>MDPI</t>
        </is>
      </c>
      <c r="AN500" t="inlineStr">
        <is>
          <t>BASEL</t>
        </is>
      </c>
      <c r="AO500" t="inlineStr">
        <is>
          <t>ST ALBAN-ANLAGE 66, CH-4052 BASEL, SWITZERLAND</t>
        </is>
      </c>
      <c r="AQ500" t="inlineStr">
        <is>
          <t>2073-4433</t>
        </is>
      </c>
      <c r="AS500" t="inlineStr">
        <is>
          <t>ATMOSPHERE-BASEL</t>
        </is>
      </c>
      <c r="AT500" t="inlineStr">
        <is>
          <t>Atmosphere</t>
        </is>
      </c>
      <c r="AU500" t="inlineStr">
        <is>
          <t>DEC</t>
        </is>
      </c>
      <c r="AV500" t="n">
        <v>2022</v>
      </c>
      <c r="AW500" t="n">
        <v>13</v>
      </c>
      <c r="AX500" t="n">
        <v>12</v>
      </c>
      <c r="BE500" t="n">
        <v>2118</v>
      </c>
      <c r="BF500" t="inlineStr">
        <is>
          <t>10.3390/atmos13122118</t>
        </is>
      </c>
      <c r="BG500">
        <f>HYPERLINK("http://dx.doi.org/10.3390/atmos13122118","http://dx.doi.org/10.3390/atmos13122118")</f>
        <v/>
      </c>
      <c r="BJ500" t="n">
        <v>23</v>
      </c>
      <c r="BK500" t="inlineStr">
        <is>
          <t>Environmental Sciences; Meteorology &amp; Atmospheric Sciences</t>
        </is>
      </c>
      <c r="BL500" t="inlineStr">
        <is>
          <t>Science Citation Index Expanded (SCI-EXPANDED)</t>
        </is>
      </c>
      <c r="BM500" t="inlineStr">
        <is>
          <t>Environmental Sciences &amp; Ecology; Meteorology &amp; Atmospheric Sciences</t>
        </is>
      </c>
      <c r="BN500" t="inlineStr">
        <is>
          <t>7G0AX</t>
        </is>
      </c>
      <c r="BP500" t="inlineStr">
        <is>
          <t>gold</t>
        </is>
      </c>
      <c r="BS500" t="inlineStr">
        <is>
          <t>2023-10-26</t>
        </is>
      </c>
      <c r="BT500" t="inlineStr">
        <is>
          <t>WOS:000902200000001</t>
        </is>
      </c>
      <c r="BU500">
        <f>HYPERLINK("https%3A%2F%2Fwww.webofscience.com%2Fwos%2Fwoscc%2Ffull-record%2FWOS:000902200000001","View Full Record in Web of Science")</f>
        <v/>
      </c>
    </row>
    <row r="501">
      <c r="A501" t="inlineStr">
        <is>
          <t>J</t>
        </is>
      </c>
      <c r="B501" t="inlineStr">
        <is>
          <t>Tong, ZM; Chen, YJ; Malkawi, A; Adamkiewicz, G; Spengler, JD</t>
        </is>
      </c>
      <c r="F501" t="inlineStr">
        <is>
          <t>Tong, Zheming; Chen, Yujiao; Malkawi, Ali; Adamkiewicz, Gary; Spengler, John D.</t>
        </is>
      </c>
      <c r="J501" t="inlineStr">
        <is>
          <t>ENVIRONMENT INTERNATIONAL</t>
        </is>
      </c>
      <c r="M501" t="inlineStr">
        <is>
          <t>English</t>
        </is>
      </c>
      <c r="N501" t="inlineStr">
        <is>
          <t>Article</t>
        </is>
      </c>
      <c r="T501" t="inlineStr">
        <is>
          <t>Quantifying the impact of traffic-related air pollution on the indoor air quality of a naturally ventilated building</t>
        </is>
      </c>
      <c r="U501" t="inlineStr">
        <is>
          <t>Indoor air quality; Natural ventilation; I/O ratio; Particulate matter; Ultrafine particles (UFPs); Computational fluid dynamics (CFD)</t>
        </is>
      </c>
      <c r="V501" t="inlineStr">
        <is>
          <t>CFD SIMULATION; PARTICULATE MATTER; NUMERICAL EVALUATION; ULTRAFINE PARTICLES; CROSS-VENTILATION; URBAN-ENVIRONMENT; AEROSOL DYNAMICS; TURBULENT-FLOW; DISPERSION; OUTDOOR</t>
        </is>
      </c>
      <c r="W501" t="inlineStr">
        <is>
          <t>Improper natural ventilation practices may deteriorate indoor air quality when in close proximity to roadways, although the intention is often to reduce energy consumption. In this study, we employed a CFD-based air quality model to quantify the impact of traffic-related air pollution on the indoor air quality of a naturally ventilated building. Our study found that the building envelope restricts dispersion and dilution of particulate matter. The indoor concentration in the baseline condition located 10 m away from the roadway is roughly 16-21% greater than that at the edge of the roadway. The indoor flow recirculation creates a well-mixed zone with little variation in fine particle concentration (i.e., 253 nm). For ultrafine particles (&lt;100 nm), a noticeable decrease in particle concentrations indoors with increasing distance from the road is observed due to Brownian and turbulent diffusion. In addition, the indoor concentration strongly depends on the distance between the roadway and building, particle size, wind condition, and window size and location. A break-even point is observed at D' similar to 2.1 (normalized distance from the roadway by the width of the road). The indoor particle concentration is greater than that at the highway where D' &lt; 2.1, and vice versa. For new building planning, the distance from the roadway and the ambient wind condition need to be considered at the early design stage whereas the size and location of the window openings, the interior layout, and the placement of fresh air intakes are important to the indoor air quality of existing buildings adjacent to roadways. (C) 2016 Elsevier Ltd. All rights reserved.</t>
        </is>
      </c>
      <c r="X501" t="inlineStr">
        <is>
          <t>[Tong, Zheming; Chen, Yujiao; Malkawi, Ali] Harvard Univ, Grad Sch Design, Ctr Green Bldg &amp; Cities, Cambridge, MA 02138 USA; [Adamkiewicz, Gary; Spengler, John D.] Harvard Univ, TH Chan Sch Publ Hlth, Dept Environm Hlth, Boston, MA 02115 USA</t>
        </is>
      </c>
      <c r="Y501" t="inlineStr">
        <is>
          <t>Harvard University; Harvard University; Harvard T.H. Chan School of Public Health</t>
        </is>
      </c>
      <c r="Z501" t="inlineStr">
        <is>
          <t>Tong, ZM (corresponding author), Harvard Univ, Grad Sch Design, Ctr Green Bldg &amp; Cities, Cambridge, MA 02138 USA.</t>
        </is>
      </c>
      <c r="AA501" t="inlineStr">
        <is>
          <t>ztong@gsd.harvard.edu</t>
        </is>
      </c>
      <c r="AB501" t="inlineStr">
        <is>
          <t>Chen, Yujiao/AAB-8942-2019</t>
        </is>
      </c>
      <c r="AC501" t="inlineStr">
        <is>
          <t>Chen, Yujiao/0000-0002-5952-498X; Tong, Zheming/0000-0003-1129-7439</t>
        </is>
      </c>
      <c r="AH501" t="n">
        <v>72</v>
      </c>
      <c r="AI501" t="n">
        <v>157</v>
      </c>
      <c r="AJ501" t="n">
        <v>160</v>
      </c>
      <c r="AK501" t="n">
        <v>5</v>
      </c>
      <c r="AL501" t="n">
        <v>172</v>
      </c>
      <c r="AM501" t="inlineStr">
        <is>
          <t>PERGAMON-ELSEVIER SCIENCE LTD</t>
        </is>
      </c>
      <c r="AN501" t="inlineStr">
        <is>
          <t>OXFORD</t>
        </is>
      </c>
      <c r="AO501" t="inlineStr">
        <is>
          <t>THE BOULEVARD, LANGFORD LANE, KIDLINGTON, OXFORD OX5 1GB, ENGLAND</t>
        </is>
      </c>
      <c r="AP501" t="inlineStr">
        <is>
          <t>0160-4120</t>
        </is>
      </c>
      <c r="AQ501" t="inlineStr">
        <is>
          <t>1873-6750</t>
        </is>
      </c>
      <c r="AS501" t="inlineStr">
        <is>
          <t>ENVIRON INT</t>
        </is>
      </c>
      <c r="AT501" t="inlineStr">
        <is>
          <t>Environ. Int.</t>
        </is>
      </c>
      <c r="AU501" t="inlineStr">
        <is>
          <t>APR-MAY</t>
        </is>
      </c>
      <c r="AV501" t="n">
        <v>2016</v>
      </c>
      <c r="AW501" t="inlineStr">
        <is>
          <t>89-90</t>
        </is>
      </c>
      <c r="BC501" t="n">
        <v>138</v>
      </c>
      <c r="BD501" t="n">
        <v>146</v>
      </c>
      <c r="BF501" t="inlineStr">
        <is>
          <t>10.1016/j.envint.2016.01.016</t>
        </is>
      </c>
      <c r="BG501">
        <f>HYPERLINK("http://dx.doi.org/10.1016/j.envint.2016.01.016","http://dx.doi.org/10.1016/j.envint.2016.01.016")</f>
        <v/>
      </c>
      <c r="BJ501" t="n">
        <v>9</v>
      </c>
      <c r="BK501" t="inlineStr">
        <is>
          <t>Environmental Sciences</t>
        </is>
      </c>
      <c r="BL501" t="inlineStr">
        <is>
          <t>Science Citation Index Expanded (SCI-EXPANDED)</t>
        </is>
      </c>
      <c r="BM501" t="inlineStr">
        <is>
          <t>Environmental Sciences &amp; Ecology</t>
        </is>
      </c>
      <c r="BN501" t="inlineStr">
        <is>
          <t>DK0LI</t>
        </is>
      </c>
      <c r="BO501" t="n">
        <v>26829764</v>
      </c>
      <c r="BS501" t="inlineStr">
        <is>
          <t>2023-10-26</t>
        </is>
      </c>
      <c r="BT501" t="inlineStr">
        <is>
          <t>WOS:000374603900015</t>
        </is>
      </c>
      <c r="BU501">
        <f>HYPERLINK("https%3A%2F%2Fwww.webofscience.com%2Fwos%2Fwoscc%2Ffull-record%2FWOS:000374603900015","View Full Record in Web of Science")</f>
        <v/>
      </c>
    </row>
    <row r="502">
      <c r="A502" t="inlineStr">
        <is>
          <t>J</t>
        </is>
      </c>
      <c r="B502" t="inlineStr">
        <is>
          <t>Katavoutas, G; Assimakopoulos, MN; Asimakopoulos, DN</t>
        </is>
      </c>
      <c r="F502" t="inlineStr">
        <is>
          <t>Katavoutas, George; Assimakopoulos, Margarita N.; Asimakopoulos, Dimosthenis N.</t>
        </is>
      </c>
      <c r="J502" t="inlineStr">
        <is>
          <t>SCIENCE OF THE TOTAL ENVIRONMENT</t>
        </is>
      </c>
      <c r="M502" t="inlineStr">
        <is>
          <t>English</t>
        </is>
      </c>
      <c r="N502" t="inlineStr">
        <is>
          <t>Article</t>
        </is>
      </c>
      <c r="T502" t="inlineStr">
        <is>
          <t>On the determination of the thermal comfort conditions of a metropolitan city underground railway</t>
        </is>
      </c>
      <c r="U502" t="inlineStr">
        <is>
          <t>Indoor thermal environment; PMV; PPD; Subway; Athens Metro; Passengers' thermal comfort</t>
        </is>
      </c>
      <c r="V502" t="inlineStr">
        <is>
          <t>INDOOR AIR-QUALITY; SUBWAY; ENVIRONMENT</t>
        </is>
      </c>
      <c r="W502" t="inlineStr">
        <is>
          <t>Although the indoor thermal comfort concept has received increasing research attention, the vast majority of published work has been focused on the building environment, such as offices, residential and non-residential buildings. The present study aims to investigate the thermal comfort conditions in the unique and complex underground railway environment. Field measurements of air temperature, air humidity, air velocity, globe temperature and the number of passengers were conducted in the modern underground railway of Athens, Greece. Environmental monitoring was performed in the interior of two types of trains (air-conditioned and forced air ventilation cabins) and on selected platforms during the summer period. The thermal comfort was estimated using the PMV (predicted mean vote) and the PPD (predicted percentage dissatisfied) scales. The results reveal that the recommended thermal comfort requirements, although at relatively low percentages are met only in air-conditioned cabins. It is found that only 33% of the PPD values in air-conditioned cabins can be classified in the less restrictive comfort class C, as proposed by ISO-7730. The thermal environment is slightly warm in air-conditioned cabins and warm in forced air ventilation cabins. In addition, differences of the thermal comfort conditions on the platforms are shown to be associated with the depth and the design characteristics of the stations. The average PMV at the station with small depth is 0.9 scale points higher than that of the station with great depth. The number of passengers who are waiting at the platforms during daytime reveals a U-shaped pattern for a deep level station and an inverted course of PMV for a small depth station. Further, preliminary observations are made on the distribution of air velocity on the platforms and on the impact of air velocity on the thermal comfort conditions. (C) 2016 Elsevier B.V. All rights reserved.</t>
        </is>
      </c>
      <c r="X502" t="inlineStr">
        <is>
          <t>[Katavoutas, George; Assimakopoulos, Margarita N.; Asimakopoulos, Dimosthenis N.] Univ Athens, Fac Phys, Dept Environm Phys Meteorol, Univ Campus Zografou,Bldg PHYS 5, Athens 15784, Greece</t>
        </is>
      </c>
      <c r="Y502" t="inlineStr">
        <is>
          <t>National &amp; Kapodistrian University of Athens</t>
        </is>
      </c>
      <c r="Z502" t="inlineStr">
        <is>
          <t>Assimakopoulos, MN (corresponding author), Univ Athens, Fac Phys, Dept Environm Phys Meteorol, Univ Campus Zografou,Bldg PHYS 5, Athens 15784, Greece.</t>
        </is>
      </c>
      <c r="AA502" t="inlineStr">
        <is>
          <t>geokat@phys.uoa.gr; masim@phys.uoa.gr; dasimak@phys.uoa.gr</t>
        </is>
      </c>
      <c r="AB502" t="inlineStr">
        <is>
          <t>Assimkopoulos, Margarita/AAL-6920-2021; Katavoutas, George/ABD-9804-2021</t>
        </is>
      </c>
      <c r="AC502" t="inlineStr">
        <is>
          <t>Katavoutas, George/0000-0002-5500-8793</t>
        </is>
      </c>
      <c r="AD502" t="inlineStr">
        <is>
          <t>Mariolopoulos-Kanaginis Foundation</t>
        </is>
      </c>
      <c r="AE502" t="inlineStr">
        <is>
          <t>Mariolopoulos-Kanaginis Foundation</t>
        </is>
      </c>
      <c r="AF502" t="inlineStr">
        <is>
          <t>The authors would like to thank the Mariolopoulos-Kanaginis Foundation for the financial support and the Attiko Metro S.A. for their cooperation and assistance during the experimental campaign. Special thanks are also due to the voluntary researchers for their participation in the experiments.</t>
        </is>
      </c>
      <c r="AH502" t="n">
        <v>27</v>
      </c>
      <c r="AI502" t="n">
        <v>43</v>
      </c>
      <c r="AJ502" t="n">
        <v>44</v>
      </c>
      <c r="AK502" t="n">
        <v>4</v>
      </c>
      <c r="AL502" t="n">
        <v>81</v>
      </c>
      <c r="AM502" t="inlineStr">
        <is>
          <t>ELSEVIER</t>
        </is>
      </c>
      <c r="AN502" t="inlineStr">
        <is>
          <t>AMSTERDAM</t>
        </is>
      </c>
      <c r="AO502" t="inlineStr">
        <is>
          <t>RADARWEG 29, 1043 NX AMSTERDAM, NETHERLANDS</t>
        </is>
      </c>
      <c r="AP502" t="inlineStr">
        <is>
          <t>0048-9697</t>
        </is>
      </c>
      <c r="AQ502" t="inlineStr">
        <is>
          <t>1879-1026</t>
        </is>
      </c>
      <c r="AS502" t="inlineStr">
        <is>
          <t>SCI TOTAL ENVIRON</t>
        </is>
      </c>
      <c r="AT502" t="inlineStr">
        <is>
          <t>Sci. Total Environ.</t>
        </is>
      </c>
      <c r="AU502" t="inlineStr">
        <is>
          <t>OCT 1</t>
        </is>
      </c>
      <c r="AV502" t="n">
        <v>2016</v>
      </c>
      <c r="AW502" t="n">
        <v>566</v>
      </c>
      <c r="BC502" t="n">
        <v>877</v>
      </c>
      <c r="BD502" t="n">
        <v>887</v>
      </c>
      <c r="BF502" t="inlineStr">
        <is>
          <t>10.1016/j.scitotenv.2016.05.047</t>
        </is>
      </c>
      <c r="BG502">
        <f>HYPERLINK("http://dx.doi.org/10.1016/j.scitotenv.2016.05.047","http://dx.doi.org/10.1016/j.scitotenv.2016.05.047")</f>
        <v/>
      </c>
      <c r="BJ502" t="n">
        <v>11</v>
      </c>
      <c r="BK502" t="inlineStr">
        <is>
          <t>Environmental Sciences</t>
        </is>
      </c>
      <c r="BL502" t="inlineStr">
        <is>
          <t>Science Citation Index Expanded (SCI-EXPANDED)</t>
        </is>
      </c>
      <c r="BM502" t="inlineStr">
        <is>
          <t>Environmental Sciences &amp; Ecology</t>
        </is>
      </c>
      <c r="BN502" t="inlineStr">
        <is>
          <t>DS8VK</t>
        </is>
      </c>
      <c r="BO502" t="n">
        <v>27280378</v>
      </c>
      <c r="BS502" t="inlineStr">
        <is>
          <t>2023-10-26</t>
        </is>
      </c>
      <c r="BT502" t="inlineStr">
        <is>
          <t>WOS:000381060900085</t>
        </is>
      </c>
      <c r="BU502">
        <f>HYPERLINK("https%3A%2F%2Fwww.webofscience.com%2Fwos%2Fwoscc%2Ffull-record%2FWOS:000381060900085","View Full Record in Web of Science")</f>
        <v/>
      </c>
    </row>
    <row r="503">
      <c r="A503" t="inlineStr">
        <is>
          <t>J</t>
        </is>
      </c>
      <c r="B503" t="inlineStr">
        <is>
          <t>Bandehali, S; Miri, T; Onyeaka, H; Kumar, P</t>
        </is>
      </c>
      <c r="F503" t="inlineStr">
        <is>
          <t>Bandehali, Samaneh; Miri, Taghi; Onyeaka, Helen; Kumar, Prashant</t>
        </is>
      </c>
      <c r="J503" t="inlineStr">
        <is>
          <t>ATMOSPHERE</t>
        </is>
      </c>
      <c r="M503" t="inlineStr">
        <is>
          <t>English</t>
        </is>
      </c>
      <c r="N503" t="inlineStr">
        <is>
          <t>Review</t>
        </is>
      </c>
      <c r="T503" t="inlineStr">
        <is>
          <t>Current State of Indoor Air Phytoremediation Using Potted Plants and Green Walls</t>
        </is>
      </c>
      <c r="U503" t="inlineStr">
        <is>
          <t>environmental technology; biofiltration; phytoremediation; indoor air pollution; VOC</t>
        </is>
      </c>
      <c r="V503" t="inlineStr">
        <is>
          <t>POLYBROMINATED DIPHENYL ETHERS; FINE PARTICULATE MATTER; BOTANICAL BIOFILTRATION; OUTDOOR ENVIRONMENTS; ORNAMENTAL PLANTS; ORGANIC-COMPOUNDS; NITROGEN-DIOXIDE; PASSIVE REMOVAL; LIVING WALL; QUALITY</t>
        </is>
      </c>
      <c r="W503" t="inlineStr">
        <is>
          <t>Urban civilization has a high impact on the environment and human health. The pollution level of indoor air can be 2-5 times higher than the outdoor air pollution, and sometimes it reaches up to 100 times or more in natural/mechanical ventilated buildings. Even though people spend about 90% of their time indoors, the importance of indoor air quality is less noticed. Indoor air pollution can be treated with techniques such as chemical purification, ventilation, isolation, and removing pollutions by plants (phytoremediation). Among these techniques, phytoremediation is not given proper attention and, therefore, is the focus of our review paper. Phytoremediation is an affordable and more environmentally friendly means to purify polluted indoor air. Furthermore, studies show that indoor plants can be used to regulate building temperature, decrease noise levels, and alleviate social stress. Sources of indoor air pollutants and their impact on human health are briefly discussed in this paper. The available literature on phytoremediation, including experimental works for removing volatile organic compound (VOC) and particulate matter from the indoor air and associated challenges and opportunities, are reviewed. Phytoremediation of indoor air depends on the physical properties of plants such as interfacial areas, the moisture content, and the type (hydrophobicity) as well as pollutant characteristics such as the size of particulate matter (PM). A comprehensive summary of plant species that can remove pollutants such as VOCs and PM is provided. Sources of indoor air pollutants, as well as their impact on human health, are described. Phytoremediation and its mechanism of cleaning indoor air are discussed. The potential role of green walls and potted-plants for improving indoor air quality is examined. A list of plant species suitable for indoor air phytoremediation is proposed. This review will help in making informed decisions about integrating plants into the interior building design.</t>
        </is>
      </c>
      <c r="X503" t="inlineStr">
        <is>
          <t>[Bandehali, Samaneh] Arak Univ, Dept Chem Engn, Arak 3815688349, Iran; [Miri, Taghi; Onyeaka, Helen] Univ Birmingham, Sch Chem Engn, Birmingham B15 2TT, W Midlands, England; [Kumar, Prashant] Univ Surrey, Global Ctr Clean Air Res GCARE, Dept Civil &amp; Environm Engn, Fac Engn &amp; Phys Sci, Guildford GU2 7XH, Surrey, England</t>
        </is>
      </c>
      <c r="Y503" t="inlineStr">
        <is>
          <t>Arak University; University of Birmingham; University of Surrey</t>
        </is>
      </c>
      <c r="Z503" t="inlineStr">
        <is>
          <t>Miri, T (corresponding author), Univ Birmingham, Sch Chem Engn, Birmingham B15 2TT, W Midlands, England.</t>
        </is>
      </c>
      <c r="AA503" t="inlineStr">
        <is>
          <t>S-bandehali@phd.araku.ac.ir; t.miri@bham.ac.uk; H.Onyeaka@bham.ac.uk; p.kumar@surrey.ac.uk</t>
        </is>
      </c>
      <c r="AB503" t="inlineStr">
        <is>
          <t>Miri, Taghi/AAB-4843-2019; Kumar, Prashant/C-6357-2011; Onyeaka, Helen/AAX-4995-2020</t>
        </is>
      </c>
      <c r="AC503" t="inlineStr">
        <is>
          <t>Miri, Taghi/0000-0002-2428-1332; Kumar, Prashant/0000-0002-2462-4411; Onyeaka, Helen/0000-0003-3846-847X</t>
        </is>
      </c>
      <c r="AD503" t="inlineStr">
        <is>
          <t>University of Surrey's awards for the Clear Air Engineering for Homes (CArE-Homes) project under the Research England's Global Challenge Research Fund (GCRF)</t>
        </is>
      </c>
      <c r="AE503" t="inlineStr">
        <is>
          <t>University of Surrey's awards for the Clear Air Engineering for Homes (CArE-Homes) project under the Research England's Global Challenge Research Fund (GCRF)</t>
        </is>
      </c>
      <c r="AF503" t="inlineStr">
        <is>
          <t>This research received no external funding. PK thanks the support received via the University of Surrey's awards for the Clear Air Engineering for Homes (CArE-Homes) project under the Research England's Global Challenge Research Fund (GCRF).</t>
        </is>
      </c>
      <c r="AH503" t="n">
        <v>173</v>
      </c>
      <c r="AI503" t="n">
        <v>29</v>
      </c>
      <c r="AJ503" t="n">
        <v>29</v>
      </c>
      <c r="AK503" t="n">
        <v>13</v>
      </c>
      <c r="AL503" t="n">
        <v>126</v>
      </c>
      <c r="AM503" t="inlineStr">
        <is>
          <t>MDPI</t>
        </is>
      </c>
      <c r="AN503" t="inlineStr">
        <is>
          <t>BASEL</t>
        </is>
      </c>
      <c r="AO503" t="inlineStr">
        <is>
          <t>ST ALBAN-ANLAGE 66, CH-4052 BASEL, SWITZERLAND</t>
        </is>
      </c>
      <c r="AQ503" t="inlineStr">
        <is>
          <t>2073-4433</t>
        </is>
      </c>
      <c r="AS503" t="inlineStr">
        <is>
          <t>ATMOSPHERE-BASEL</t>
        </is>
      </c>
      <c r="AT503" t="inlineStr">
        <is>
          <t>Atmosphere</t>
        </is>
      </c>
      <c r="AU503" t="inlineStr">
        <is>
          <t>APR</t>
        </is>
      </c>
      <c r="AV503" t="n">
        <v>2021</v>
      </c>
      <c r="AW503" t="n">
        <v>12</v>
      </c>
      <c r="AX503" t="n">
        <v>4</v>
      </c>
      <c r="BE503" t="n">
        <v>473</v>
      </c>
      <c r="BF503" t="inlineStr">
        <is>
          <t>10.3390/atmos12040473</t>
        </is>
      </c>
      <c r="BG503">
        <f>HYPERLINK("http://dx.doi.org/10.3390/atmos12040473","http://dx.doi.org/10.3390/atmos12040473")</f>
        <v/>
      </c>
      <c r="BJ503" t="n">
        <v>24</v>
      </c>
      <c r="BK503" t="inlineStr">
        <is>
          <t>Environmental Sciences; Meteorology &amp; Atmospheric Sciences</t>
        </is>
      </c>
      <c r="BL503" t="inlineStr">
        <is>
          <t>Science Citation Index Expanded (SCI-EXPANDED)</t>
        </is>
      </c>
      <c r="BM503" t="inlineStr">
        <is>
          <t>Environmental Sciences &amp; Ecology; Meteorology &amp; Atmospheric Sciences</t>
        </is>
      </c>
      <c r="BN503" t="inlineStr">
        <is>
          <t>RQ9GX</t>
        </is>
      </c>
      <c r="BP503" t="inlineStr">
        <is>
          <t>Green Published, gold</t>
        </is>
      </c>
      <c r="BS503" t="inlineStr">
        <is>
          <t>2023-10-26</t>
        </is>
      </c>
      <c r="BT503" t="inlineStr">
        <is>
          <t>WOS:000642721200001</t>
        </is>
      </c>
      <c r="BU503">
        <f>HYPERLINK("https%3A%2F%2Fwww.webofscience.com%2Fwos%2Fwoscc%2Ffull-record%2FWOS:000642721200001","View Full Record in Web of Science")</f>
        <v/>
      </c>
    </row>
    <row r="504">
      <c r="A504" t="inlineStr">
        <is>
          <t>J</t>
        </is>
      </c>
      <c r="B504" t="inlineStr">
        <is>
          <t>Villeneuve, PJ; Ysseldyk, RL; Root, A; Ambrose, S; DiMuzio, J; Kumar, N; Shehata, M; Xi, M; Seed, E; Li, XJ; Shooshtari, M; Rainham, D</t>
        </is>
      </c>
      <c r="F504" t="inlineStr">
        <is>
          <t>Villeneuve, Paul J.; Ysseldyk, Renate L.; Root, Ariel; Ambrose, Sarah; DiMuzio, Jason; Kumar, Neerija; Shehata, Monica; Xi, Min; Seed, Evan; Li, Xiaojiang; Shooshtari, Mahdi; Rainham, Daniel</t>
        </is>
      </c>
      <c r="J504" t="inlineStr">
        <is>
          <t>INTERNATIONAL JOURNAL OF ENVIRONMENTAL RESEARCH AND PUBLIC HEALTH</t>
        </is>
      </c>
      <c r="M504" t="inlineStr">
        <is>
          <t>English</t>
        </is>
      </c>
      <c r="N504" t="inlineStr">
        <is>
          <t>Article</t>
        </is>
      </c>
      <c r="T504" t="inlineStr">
        <is>
          <t>Comparing the Normalized Difference Vegetation Index with the Google Street View Measure of Vegetation to Assess Associations between Greenness, Walkability, Recreational Physical Activity, and Health in Ottawa, Canada</t>
        </is>
      </c>
      <c r="U504" t="inlineStr">
        <is>
          <t>built environment; walkability; greenness; recreational physical activity; mental health; physical health</t>
        </is>
      </c>
      <c r="V504" t="inlineStr">
        <is>
          <t>SOCIAL SUPPORT; OLDER-ADULTS; NEIGHBORHOOD; QUALITY; WALKING; DESIGN; SPACE; AREAS; SF-36; GPS</t>
        </is>
      </c>
      <c r="W504" t="inlineStr">
        <is>
          <t>The manner in which features of the built environment, such as walkability and greenness, impact participation in recreational activities and health are complex. We analyzed survey data provided by 282 Ottawa adults in 2016. The survey collected information on participation in recreational physical activities by season, and whether these activities were performed within participants' neighbourhoods. The SF-12 instrument was used to characterize their overall mental and physical health. Measures of active living environment, and the satellite derived Normalized Difference Vegetation Index (NDVI) and Google Street View (GSV) greenness indices were assigned to participants' residential addresses. Logistic regression and least squares regression were used to characterize associations between these measures and recreational physical activity, and self-reported health. The NDVI was not associated with participation in recreational activities in either the winter or summer, or physical or mental health. In contrast, the GSV was positively associated with participation in recreational activities during the summer. Specifically, those in the highest quartile spent, on average, 5.4 more hours weekly on recreational physical activities relative to those in the lowest quartile (p = 0.01). Active living environments were associated with increased utilitarian walking, and reduced reliance on use of motor vehicles. Our findings provide support for the hypothesis that neighbourhood greenness may play an important role in promoting participation in recreational physical activity during the summer.</t>
        </is>
      </c>
      <c r="X504" t="inlineStr">
        <is>
          <t>[Villeneuve, Paul J.; Ysseldyk, Renate L.; Root, Ariel; Ambrose, Sarah; DiMuzio, Jason; Kumar, Neerija; Shehata, Monica; Xi, Min] Carleton Univ, Dept Hlth Sci, Ottawa, ON K1S 5B6, Canada; [Seed, Evan] Univ Toronto, Dalla Lana Sch Publ Hlth, Toronto, ON M5T 3M7, Canada; [Li, Xiaojiang] MIT, Dept Urban Studies &amp; Planning, 77 Massachusetts Ave, Cambridge, MA 02139 USA; [Shooshtari, Mahdi] Univ Victoria, Dept Geog, Victoria, BC V8W 2Y2, Canada; [Rainham, Daniel] Dalhousie Univ, Hlth Populat Inst, Halifax, NS B3H 4R2, Canada</t>
        </is>
      </c>
      <c r="Y504" t="inlineStr">
        <is>
          <t>Carleton University; University of Toronto; Massachusetts Institute of Technology (MIT); University of Victoria; Dalhousie University</t>
        </is>
      </c>
      <c r="Z504" t="inlineStr">
        <is>
          <t>Villeneuve, PJ (corresponding author), Carleton Univ, Dept Hlth Sci, Ottawa, ON K1S 5B6, Canada.</t>
        </is>
      </c>
      <c r="AA504" t="inlineStr">
        <is>
          <t>Paul.Villeneuve@carleton.ca; renate.ysseldyk@carleton.ca; ArielRoot@cmail.carleton.ca; VyjayanthiAmbrose@cmail.carleton.ca; JasonDimuzio@cmail.carleton.ca; NeerijaKumar@cmail.carleton.ca; MonicaShehata@cmail.carleton.ca; min.xi@mail.utoronto.ca; Evan.Seed@canue.ca; xiaojian@mit.edu; mahdi.shooshtari@canue.ca; Daniel.Rainham@Dal.Ca</t>
        </is>
      </c>
      <c r="AB504" t="inlineStr">
        <is>
          <t>Rainham, Daniel GC/C-4800-2009</t>
        </is>
      </c>
      <c r="AC504" t="inlineStr">
        <is>
          <t>Villeneuve, Paul/0000-0001-7786-7997; Rainham, Daniel/0000-0002-3932-2942; Xi, Min/0000-0002-8398-7239; Ysseldyk, Renate/0000-0002-1411-2017</t>
        </is>
      </c>
      <c r="AD504" t="inlineStr">
        <is>
          <t>Department of Health Sciences at Carleton University</t>
        </is>
      </c>
      <c r="AE504" t="inlineStr">
        <is>
          <t>Department of Health Sciences at Carleton University</t>
        </is>
      </c>
      <c r="AF504" t="inlineStr">
        <is>
          <t>Funding for this study was provided by the Department of Health Sciences at Carleton University.</t>
        </is>
      </c>
      <c r="AH504" t="n">
        <v>43</v>
      </c>
      <c r="AI504" t="n">
        <v>51</v>
      </c>
      <c r="AJ504" t="n">
        <v>55</v>
      </c>
      <c r="AK504" t="n">
        <v>15</v>
      </c>
      <c r="AL504" t="n">
        <v>62</v>
      </c>
      <c r="AM504" t="inlineStr">
        <is>
          <t>MDPI</t>
        </is>
      </c>
      <c r="AN504" t="inlineStr">
        <is>
          <t>BASEL</t>
        </is>
      </c>
      <c r="AO504" t="inlineStr">
        <is>
          <t>ST ALBAN-ANLAGE 66, CH-4052 BASEL, SWITZERLAND</t>
        </is>
      </c>
      <c r="AP504" t="inlineStr">
        <is>
          <t>1660-4601</t>
        </is>
      </c>
      <c r="AS504" t="inlineStr">
        <is>
          <t>INT J ENV RES PUB HE</t>
        </is>
      </c>
      <c r="AT504" t="inlineStr">
        <is>
          <t>Int. J. Environ. Res. Public Health</t>
        </is>
      </c>
      <c r="AU504" t="inlineStr">
        <is>
          <t>AUG</t>
        </is>
      </c>
      <c r="AV504" t="n">
        <v>2018</v>
      </c>
      <c r="AW504" t="n">
        <v>15</v>
      </c>
      <c r="AX504" t="n">
        <v>8</v>
      </c>
      <c r="BE504" t="n">
        <v>1719</v>
      </c>
      <c r="BF504" t="inlineStr">
        <is>
          <t>10.3390/ijerph15081719</t>
        </is>
      </c>
      <c r="BG504">
        <f>HYPERLINK("http://dx.doi.org/10.3390/ijerph15081719","http://dx.doi.org/10.3390/ijerph15081719")</f>
        <v/>
      </c>
      <c r="BJ504" t="n">
        <v>16</v>
      </c>
      <c r="BK504" t="inlineStr">
        <is>
          <t>Environmental Sciences; Public, Environmental &amp; Occupational Health</t>
        </is>
      </c>
      <c r="BL504" t="inlineStr">
        <is>
          <t>Science Citation Index Expanded (SCI-EXPANDED); Social Science Citation Index (SSCI)</t>
        </is>
      </c>
      <c r="BM504" t="inlineStr">
        <is>
          <t>Environmental Sciences &amp; Ecology; Public, Environmental &amp; Occupational Health</t>
        </is>
      </c>
      <c r="BN504" t="inlineStr">
        <is>
          <t>GS0GQ</t>
        </is>
      </c>
      <c r="BO504" t="n">
        <v>30103456</v>
      </c>
      <c r="BP504" t="inlineStr">
        <is>
          <t>gold, Green Published</t>
        </is>
      </c>
      <c r="BS504" t="inlineStr">
        <is>
          <t>2023-10-26</t>
        </is>
      </c>
      <c r="BT504" t="inlineStr">
        <is>
          <t>WOS:000443168200159</t>
        </is>
      </c>
      <c r="BU504">
        <f>HYPERLINK("https%3A%2F%2Fwww.webofscience.com%2Fwos%2Fwoscc%2Ffull-record%2FWOS:000443168200159","View Full Record in Web of Science")</f>
        <v/>
      </c>
    </row>
    <row r="505">
      <c r="A505" t="inlineStr">
        <is>
          <t>J</t>
        </is>
      </c>
      <c r="B505" t="inlineStr">
        <is>
          <t>Yuan, J; Zhao, XH; Segun, GA; Vakili, M; Zhong, LX</t>
        </is>
      </c>
      <c r="F505" t="inlineStr">
        <is>
          <t>Yuan, Jing; Zhao, Xiaohui; Segun, Giwa Abdulmoseen; Vakili, Mohammadtaghi; Zhong, Lexuan</t>
        </is>
      </c>
      <c r="J505" t="inlineStr">
        <is>
          <t>ATMOSPHERE</t>
        </is>
      </c>
      <c r="M505" t="inlineStr">
        <is>
          <t>English</t>
        </is>
      </c>
      <c r="N505" t="inlineStr">
        <is>
          <t>Article</t>
        </is>
      </c>
      <c r="T505" t="inlineStr">
        <is>
          <t>Indoor Environmental Health Assessment in Eco-Building and Its Case Study</t>
        </is>
      </c>
      <c r="U505" t="inlineStr">
        <is>
          <t>indoor environmental impact assessment; intelligent forecasting; decision-making; innovative applications</t>
        </is>
      </c>
      <c r="V505" t="inlineStr">
        <is>
          <t>QUALITY EVALUATION; RISK-ASSESSMENT; COMFORT; SYSTEM; TOOL</t>
        </is>
      </c>
      <c r="W505" t="inlineStr">
        <is>
          <t>It is necessary to consider all aspects of environmental factors when assessing the health impact of an eco-building environment on its occupants. However, the multi-criteria and imprecise nature of the indoor-environment in the eco-buildings has caused difficulties in quantifying the indoor environmental pollution level. This paper describes the optimal classification and priority weight methods, which are particularly useful for assessing the indoor environmental quality (IEQ) of an eco-building to demonstrate its innovative applications. The analytic hierarchy process (AHP) was used to set up the strategic decision-making evaluation system for computing the indoor environment index (IEI) risk ranking of eco-buildings. Combined with this, a Microsoft Delphi-based IEQ intelligent forecasting software simulations package was developed, and the innovative application of indoor environmental comprehensive assessment was verified by a case study in Shanghai. The evaluation result was analyzed by the priority weight methods and the AHP decision-making system noted above. This health assessment method and system provides an innovative way for the indoor environment risk evaluation of eco-buildings and is helpful to standardize the local building market.</t>
        </is>
      </c>
      <c r="X505" t="inlineStr">
        <is>
          <t>[Yuan, Jing] Tongling Univ, Civil Engn Dept, 4 Cui Hu Rd 1335, Tongling Dist 244000, Anhui, Peoples R China; [Yuan, Jing; Zhao, Xiaohui; Segun, Giwa Abdulmoseen; Vakili, Mohammadtaghi] Yangtze Normal Univ, Green Intelligence Environm Sch, Chongqing 408100, Peoples R China; [Yuan, Jing; Zhong, Lexuan] Univ Alberta, Dept Mech Engn, 9211-116 St NW, Edmonton, AB T6G IH9, Canada</t>
        </is>
      </c>
      <c r="Y505" t="inlineStr">
        <is>
          <t>Tongling University; Yangtze Normal University; University of Alberta</t>
        </is>
      </c>
      <c r="Z505" t="inlineStr">
        <is>
          <t>Zhong, LX (corresponding author), Univ Alberta, Dept Mech Engn, 9211-116 St NW, Edmonton, AB T6G IH9, Canada.</t>
        </is>
      </c>
      <c r="AA505" t="inlineStr">
        <is>
          <t>jyuan3@ualberta.ca; 20060009@yznu.cn; 20181100@yznu.cn; mvakili1981@yahoo.com; lexuan1@ualberta.ca</t>
        </is>
      </c>
      <c r="AB505" t="inlineStr">
        <is>
          <t>Zhong, Lexuan/L-1250-2018; Giwa, Abdulmoseen Segun/ABG-4844-2021</t>
        </is>
      </c>
      <c r="AC505" t="inlineStr">
        <is>
          <t>Zhong, Lexuan/0000-0001-5211-8826; Giwa, Abdulmoseen Segun/0000-0001-9905-0312; Yuan, Jing/0000-0002-8839-925X; Vakili, Mohammadtaghi/0000-0003-4978-6887</t>
        </is>
      </c>
      <c r="AD505" t="inlineStr">
        <is>
          <t>Natural Sciences and Engineering Research Council of Canada (NSERC)</t>
        </is>
      </c>
      <c r="AE505" t="inlineStr">
        <is>
          <t>Natural Sciences and Engineering Research Council of Canada (NSERC)(Natural Sciences and Engineering Research Council of Canada (NSERC))</t>
        </is>
      </c>
      <c r="AF505" t="inlineStr">
        <is>
          <t>This research received no external funding, and the APC was funded by the Natural Sciences and Engineering Research Council of Canada (NSERC).</t>
        </is>
      </c>
      <c r="AH505" t="n">
        <v>46</v>
      </c>
      <c r="AI505" t="n">
        <v>2</v>
      </c>
      <c r="AJ505" t="n">
        <v>2</v>
      </c>
      <c r="AK505" t="n">
        <v>0</v>
      </c>
      <c r="AL505" t="n">
        <v>20</v>
      </c>
      <c r="AM505" t="inlineStr">
        <is>
          <t>MDPI</t>
        </is>
      </c>
      <c r="AN505" t="inlineStr">
        <is>
          <t>BASEL</t>
        </is>
      </c>
      <c r="AO505" t="inlineStr">
        <is>
          <t>ST ALBAN-ANLAGE 66, CH-4052 BASEL, SWITZERLAND</t>
        </is>
      </c>
      <c r="AQ505" t="inlineStr">
        <is>
          <t>2073-4433</t>
        </is>
      </c>
      <c r="AS505" t="inlineStr">
        <is>
          <t>ATMOSPHERE-BASEL</t>
        </is>
      </c>
      <c r="AT505" t="inlineStr">
        <is>
          <t>Atmosphere</t>
        </is>
      </c>
      <c r="AU505" t="inlineStr">
        <is>
          <t>JUN</t>
        </is>
      </c>
      <c r="AV505" t="n">
        <v>2021</v>
      </c>
      <c r="AW505" t="n">
        <v>12</v>
      </c>
      <c r="AX505" t="n">
        <v>6</v>
      </c>
      <c r="BE505" t="n">
        <v>794</v>
      </c>
      <c r="BF505" t="inlineStr">
        <is>
          <t>10.3390/atmos12060794</t>
        </is>
      </c>
      <c r="BG505">
        <f>HYPERLINK("http://dx.doi.org/10.3390/atmos12060794","http://dx.doi.org/10.3390/atmos12060794")</f>
        <v/>
      </c>
      <c r="BJ505" t="n">
        <v>12</v>
      </c>
      <c r="BK505" t="inlineStr">
        <is>
          <t>Environmental Sciences; Meteorology &amp; Atmospheric Sciences</t>
        </is>
      </c>
      <c r="BL505" t="inlineStr">
        <is>
          <t>Science Citation Index Expanded (SCI-EXPANDED)</t>
        </is>
      </c>
      <c r="BM505" t="inlineStr">
        <is>
          <t>Environmental Sciences &amp; Ecology; Meteorology &amp; Atmospheric Sciences</t>
        </is>
      </c>
      <c r="BN505" t="inlineStr">
        <is>
          <t>SX6CI</t>
        </is>
      </c>
      <c r="BP505" t="inlineStr">
        <is>
          <t>gold</t>
        </is>
      </c>
      <c r="BS505" t="inlineStr">
        <is>
          <t>2023-10-26</t>
        </is>
      </c>
      <c r="BT505" t="inlineStr">
        <is>
          <t>WOS:000665290200001</t>
        </is>
      </c>
      <c r="BU505">
        <f>HYPERLINK("https%3A%2F%2Fwww.webofscience.com%2Fwos%2Fwoscc%2Ffull-record%2FWOS:000665290200001","View Full Record in Web of Science")</f>
        <v/>
      </c>
    </row>
    <row r="506">
      <c r="A506" t="inlineStr">
        <is>
          <t>J</t>
        </is>
      </c>
      <c r="B506" t="inlineStr">
        <is>
          <t>Baldan, M; Manente, S; Izzo, FC</t>
        </is>
      </c>
      <c r="F506" t="inlineStr">
        <is>
          <t>Baldan, Maela; Manente, Sabrina; Izzo, Francesca Caterina</t>
        </is>
      </c>
      <c r="J506" t="inlineStr">
        <is>
          <t>ENVIRONMENTAL MONITORING AND ASSESSMENT</t>
        </is>
      </c>
      <c r="M506" t="inlineStr">
        <is>
          <t>English</t>
        </is>
      </c>
      <c r="N506" t="inlineStr">
        <is>
          <t>Article</t>
        </is>
      </c>
      <c r="T506" t="inlineStr">
        <is>
          <t>The role of bio-pollutants in the indoor air quality of old museum buildings: artworks biodeterioration as preview of human diseases</t>
        </is>
      </c>
      <c r="U506" t="inlineStr">
        <is>
          <t>Air quality; Indoor environment; Biological contamination; Microclimate monitoring; Damp indoor spaces; Sick building syndrome</t>
        </is>
      </c>
      <c r="V506" t="inlineStr">
        <is>
          <t>SICK; ARCHIVES</t>
        </is>
      </c>
      <c r="W506" t="inlineStr">
        <is>
          <t>Indoor air quality in buildings is strongly affected by chemical, physical, and biological agents. Long exposure to inadequate indoor air quality can be very dangerous for the building occupants and can lead to chronic diseases associated with the sick building syndrome (SBS). In this paper, the large presence of biological pollutants in the indoor rooms of an old building and its strict relationship with the outdoor/indoor air conditions were investigated studying Coronini Cronberg Palace Foundation, a historic house museum of the sixteenth century in Gorizia (Italy), where biological contamination affecting the artworks can soon become potentially harmful also for operators and visitors. Detailed aerobiological and microbiological analyses on organic natural materials, combined with a microclimate monitoring, were conducted to evaluate the influence of temperature and relative humidity levels within the Palace in the conspicuous growth and diffusion of microorganisms. Fungal and bacterial colonies damaging materials, mainly affected by the sudden fluctuations of hygrothermal values, were found to widely exceed Italian and international recommended levels for good air quality for both artworks and human beings. Understand their impact on human health would be strictly necessary to reduce biological risks for museum staff and cultural heritage users, but consequently to improve indoor air quality.</t>
        </is>
      </c>
      <c r="X506" t="inlineStr">
        <is>
          <t>[Baldan, Maela; Izzo, Francesca Caterina] Ca Foscari Univ Venice, Environm Sci Informat &amp; Stat DAIS, Sci Campus,Via Torino 155, I-30170 Venice, Italy; [Manente, Sabrina] Ca Foscari Univ Venice, Mol Sci &amp; Nanosyst Dept DSMN, Sci Campus,Via Torino 155, I-30170 Venice, Italy</t>
        </is>
      </c>
      <c r="Y506" t="inlineStr">
        <is>
          <t>Universita Ca Foscari Venezia; Universita Ca Foscari Venezia</t>
        </is>
      </c>
      <c r="Z506" t="inlineStr">
        <is>
          <t>Manente, S (corresponding author), Ca Foscari Univ Venice, Mol Sci &amp; Nanosyst Dept DSMN, Sci Campus,Via Torino 155, I-30170 Venice, Italy.</t>
        </is>
      </c>
      <c r="AA506" t="inlineStr">
        <is>
          <t>manente@unive.it</t>
        </is>
      </c>
      <c r="AB506" t="inlineStr">
        <is>
          <t>IZZO, FRANCESCA CATERINA/K-4903-2015</t>
        </is>
      </c>
      <c r="AC506" t="inlineStr">
        <is>
          <t>IZZO, FRANCESCA CATERINA/0000-0001-9319-5094; Manente, Sabrina/0000-0003-1198-7712</t>
        </is>
      </c>
      <c r="AH506" t="n">
        <v>59</v>
      </c>
      <c r="AI506" t="n">
        <v>3</v>
      </c>
      <c r="AJ506" t="n">
        <v>3</v>
      </c>
      <c r="AK506" t="n">
        <v>3</v>
      </c>
      <c r="AL506" t="n">
        <v>11</v>
      </c>
      <c r="AM506" t="inlineStr">
        <is>
          <t>SPRINGER</t>
        </is>
      </c>
      <c r="AN506" t="inlineStr">
        <is>
          <t>DORDRECHT</t>
        </is>
      </c>
      <c r="AO506" t="inlineStr">
        <is>
          <t>VAN GODEWIJCKSTRAAT 30, 3311 GZ DORDRECHT, NETHERLANDS</t>
        </is>
      </c>
      <c r="AP506" t="inlineStr">
        <is>
          <t>0167-6369</t>
        </is>
      </c>
      <c r="AQ506" t="inlineStr">
        <is>
          <t>1573-2959</t>
        </is>
      </c>
      <c r="AS506" t="inlineStr">
        <is>
          <t>ENVIRON MONIT ASSESS</t>
        </is>
      </c>
      <c r="AT506" t="inlineStr">
        <is>
          <t>Environ. Monit. Assess.</t>
        </is>
      </c>
      <c r="AU506" t="inlineStr">
        <is>
          <t>DEC</t>
        </is>
      </c>
      <c r="AV506" t="n">
        <v>2021</v>
      </c>
      <c r="AW506" t="n">
        <v>193</v>
      </c>
      <c r="AX506" t="n">
        <v>12</v>
      </c>
      <c r="BE506" t="n">
        <v>787</v>
      </c>
      <c r="BF506" t="inlineStr">
        <is>
          <t>10.1007/s10661-021-09568-z</t>
        </is>
      </c>
      <c r="BG506">
        <f>HYPERLINK("http://dx.doi.org/10.1007/s10661-021-09568-z","http://dx.doi.org/10.1007/s10661-021-09568-z")</f>
        <v/>
      </c>
      <c r="BJ506" t="n">
        <v>13</v>
      </c>
      <c r="BK506" t="inlineStr">
        <is>
          <t>Environmental Sciences</t>
        </is>
      </c>
      <c r="BL506" t="inlineStr">
        <is>
          <t>Science Citation Index Expanded (SCI-EXPANDED)</t>
        </is>
      </c>
      <c r="BM506" t="inlineStr">
        <is>
          <t>Environmental Sciences &amp; Ecology</t>
        </is>
      </c>
      <c r="BN506" t="inlineStr">
        <is>
          <t>WV0PY</t>
        </is>
      </c>
      <c r="BO506" t="n">
        <v>34757536</v>
      </c>
      <c r="BS506" t="inlineStr">
        <is>
          <t>2023-10-26</t>
        </is>
      </c>
      <c r="BT506" t="inlineStr">
        <is>
          <t>WOS:000716940400002</t>
        </is>
      </c>
      <c r="BU506">
        <f>HYPERLINK("https%3A%2F%2Fwww.webofscience.com%2Fwos%2Fwoscc%2Ffull-record%2FWOS:000716940400002","View Full Record in Web of Science")</f>
        <v/>
      </c>
    </row>
    <row r="507">
      <c r="A507" t="inlineStr">
        <is>
          <t>J</t>
        </is>
      </c>
      <c r="B507" t="inlineStr">
        <is>
          <t>Hong, SW; Kim, H; Song, Y; Yoon, SH; Lee, J</t>
        </is>
      </c>
      <c r="F507" t="inlineStr">
        <is>
          <t>Hong, Seung Wan; Kim, Hwanjin; Song, Yongjun; Yoon, Sung Hoon; Lee, Jaewook</t>
        </is>
      </c>
      <c r="J507" t="inlineStr">
        <is>
          <t>SUSTAINABILITY</t>
        </is>
      </c>
      <c r="M507" t="inlineStr">
        <is>
          <t>English</t>
        </is>
      </c>
      <c r="N507" t="inlineStr">
        <is>
          <t>Article</t>
        </is>
      </c>
      <c r="T507" t="inlineStr">
        <is>
          <t>Effects of Human Behavior Simulation on Usability Factors of Social Sustainability in Architectural Design Education</t>
        </is>
      </c>
      <c r="U507" t="inlineStr">
        <is>
          <t>human behavior simulation; virtual users; social sustainability; performance analysis; evaluation method; architectural design education</t>
        </is>
      </c>
      <c r="V507" t="inlineStr">
        <is>
          <t>EVACUATION</t>
        </is>
      </c>
      <c r="W507" t="inlineStr">
        <is>
          <t>While the social sustainability of built environments is an essential aspect of architectural design education, systemic experiments still lack empirical pedagogy. Therefore, factors of social sustainability are hardly reflected in students' projects seamlessly. To overcome such limitations, this study investigates the applicability and effectiveness of human behavior simulation. To ensure authentic architectural design, the projects were equipped with autonomous, rational anthropomorphic computer agents called virtual users (VUsers). This study compared the performance scores on social sustainability factors, assessed by the students who conducted design projects both before (without) and after (with) using the simulation. A one-way analysis of variance indicated that human behavior simulation promoted the performance of projects with respect to the parameters of accessibility and safety, ergonomic usability for heterogeneous users and supportability of social interactions. However, the simulation was not found to be effective in promoting the physical attractiveness of built environments and in ensuring the completeness of design solutions. Based on previous studies, the present study interpreted the reasons why the operability of VUsers and built environments, representations of emerging interactions of VUsers and whole-and-part analytics promoted explicit experimentation, but the factors of physical attractiveness and completeness were irrelevant to the rational examinations in the use of the simulation.</t>
        </is>
      </c>
      <c r="X507" t="inlineStr">
        <is>
          <t>[Hong, Seung Wan; Kim, Hwanjin; Song, Yongjun] Inha Univ, Dept Architecture, Incheon 22212, South Korea; [Yoon, Sung Hoon] Cheongju Univ, Dept Architecture, Cheongju 28503, South Korea; [Lee, Jaewook] Sejong Univ, Dept Architectural Engn, Seoul 05006, South Korea</t>
        </is>
      </c>
      <c r="Y507" t="inlineStr">
        <is>
          <t>Inha University; Cheongju University; Sejong University</t>
        </is>
      </c>
      <c r="Z507" t="inlineStr">
        <is>
          <t>Lee, J (corresponding author), Sejong Univ, Dept Architectural Engn, Seoul 05006, South Korea.</t>
        </is>
      </c>
      <c r="AA507" t="inlineStr">
        <is>
          <t>hongsw@inha.ac.kr; 22201143@inha.edu; 12151029@inha.edu; shyoon@cju.ac.kr; jaewook@sejong.ac.kr</t>
        </is>
      </c>
      <c r="AC507" t="inlineStr">
        <is>
          <t>Lee, Jaewook/0000-0002-8036-4204; Hong, Seung Wan/0000-0001-8175-0214</t>
        </is>
      </c>
      <c r="AD507" t="inlineStr">
        <is>
          <t>Basic Science Research Program through the National Research Foundation of Korea (NRF) - Ministry of Education [NRF-2016R1C1B2011274]; Ministry of Science and ICT of the Korean government [NRF-2020R1A2C1010421]</t>
        </is>
      </c>
      <c r="AE507" t="inlineStr">
        <is>
          <t>Basic Science Research Program through the National Research Foundation of Korea (NRF) - Ministry of Education; Ministry of Science and ICT of the Korean government</t>
        </is>
      </c>
      <c r="AF507" t="inlineStr">
        <is>
          <t>This research was supported by Basic Science Research Program through the National Research Foundation of Korea (NRF) grants funded by the Ministry of Education (NRF-2016R1C1B2011274) and Ministry of Science and ICT (NRF-2020R1A2C1010421) of the Korean government.</t>
        </is>
      </c>
      <c r="AH507" t="n">
        <v>40</v>
      </c>
      <c r="AI507" t="n">
        <v>2</v>
      </c>
      <c r="AJ507" t="n">
        <v>2</v>
      </c>
      <c r="AK507" t="n">
        <v>0</v>
      </c>
      <c r="AL507" t="n">
        <v>13</v>
      </c>
      <c r="AM507" t="inlineStr">
        <is>
          <t>MDPI</t>
        </is>
      </c>
      <c r="AN507" t="inlineStr">
        <is>
          <t>BASEL</t>
        </is>
      </c>
      <c r="AO507" t="inlineStr">
        <is>
          <t>ST ALBAN-ANLAGE 66, CH-4052 BASEL, SWITZERLAND</t>
        </is>
      </c>
      <c r="AQ507" t="inlineStr">
        <is>
          <t>2071-1050</t>
        </is>
      </c>
      <c r="AS507" t="inlineStr">
        <is>
          <t>SUSTAINABILITY-BASEL</t>
        </is>
      </c>
      <c r="AT507" t="inlineStr">
        <is>
          <t>Sustainability</t>
        </is>
      </c>
      <c r="AU507" t="inlineStr">
        <is>
          <t>SEP</t>
        </is>
      </c>
      <c r="AV507" t="n">
        <v>2020</v>
      </c>
      <c r="AW507" t="n">
        <v>12</v>
      </c>
      <c r="AX507" t="n">
        <v>17</v>
      </c>
      <c r="BE507" t="n">
        <v>7111</v>
      </c>
      <c r="BF507" t="inlineStr">
        <is>
          <t>10.3390/su12177111</t>
        </is>
      </c>
      <c r="BG507">
        <f>HYPERLINK("http://dx.doi.org/10.3390/su12177111","http://dx.doi.org/10.3390/su12177111")</f>
        <v/>
      </c>
      <c r="BJ507" t="n">
        <v>17</v>
      </c>
      <c r="BK507" t="inlineStr">
        <is>
          <t>Green &amp; Sustainable Science &amp; Technology; Environmental Sciences; Environmental Studies</t>
        </is>
      </c>
      <c r="BL507" t="inlineStr">
        <is>
          <t>Science Citation Index Expanded (SCI-EXPANDED); Social Science Citation Index (SSCI)</t>
        </is>
      </c>
      <c r="BM507" t="inlineStr">
        <is>
          <t>Science &amp; Technology - Other Topics; Environmental Sciences &amp; Ecology</t>
        </is>
      </c>
      <c r="BN507" t="inlineStr">
        <is>
          <t>NO6XZ</t>
        </is>
      </c>
      <c r="BP507" t="inlineStr">
        <is>
          <t>gold, Green Published</t>
        </is>
      </c>
      <c r="BS507" t="inlineStr">
        <is>
          <t>2023-10-26</t>
        </is>
      </c>
      <c r="BT507" t="inlineStr">
        <is>
          <t>WOS:000569633900001</t>
        </is>
      </c>
      <c r="BU507">
        <f>HYPERLINK("https%3A%2F%2Fwww.webofscience.com%2Fwos%2Fwoscc%2Ffull-record%2FWOS:000569633900001","View Full Record in Web of Science")</f>
        <v/>
      </c>
    </row>
    <row r="508">
      <c r="A508" t="inlineStr">
        <is>
          <t>J</t>
        </is>
      </c>
      <c r="B508" t="inlineStr">
        <is>
          <t>Rueter, J; Brandstetter, S; Curbach, J; Lindacher, V; Warrelmann, B; Loss, J</t>
        </is>
      </c>
      <c r="F508" t="inlineStr">
        <is>
          <t>Rueter, Jana; Brandstetter, Susanne; Curbach, Janina; Lindacher, Verena; Warrelmann, Berit; Loss, Julika</t>
        </is>
      </c>
      <c r="J508" t="inlineStr">
        <is>
          <t>INTERNATIONAL JOURNAL OF ENVIRONMENTAL RESEARCH AND PUBLIC HEALTH</t>
        </is>
      </c>
      <c r="M508" t="inlineStr">
        <is>
          <t>English</t>
        </is>
      </c>
      <c r="N508" t="inlineStr">
        <is>
          <t>Article</t>
        </is>
      </c>
      <c r="T508" t="inlineStr">
        <is>
          <t>How Older Citizens in Germany Perceive and Handle Their Food Environment-A Qualitative Exploratory Study</t>
        </is>
      </c>
      <c r="U508" t="inlineStr">
        <is>
          <t>perceived food environment; nutrition; older citizens; community</t>
        </is>
      </c>
      <c r="V508" t="inlineStr">
        <is>
          <t>PHYSICAL-ACTIVITY; HEALTHY FOOD; OBESOGENIC ENVIRONMENTS; VEGETABLE CONSUMPTION; PERCEPTIONS; ADULTS; OBESITY; DIET; CHOICES; INTERVENTIONS</t>
        </is>
      </c>
      <c r="W508" t="inlineStr">
        <is>
          <t>Apart from individual factors like knowledge or personal motivation, the environment also influences a person's eating behaviour. Food environments can be described as the collective physical, economic, policy and sociocultural surroundings, opportunities and conditions that influence people's food choices and nutritional status. In order to explore how older citizens in rural Germany perceive and handle their food environment, we conducted semi-structured face-to-face interviews with 35 older adults (71 +/- 7 years), asking about micro-, meso- and macro-level influences on eating habits. Participants reported social factors to be crucial in shaping their diets, such as preferences of family members or social expectations connected to roles (guest, host). On a physical level, structural aspects and resources in their nearby surroundings influenced shopping and eating behaviour (for example access to an own vegetable garden, local shopping facilities and restaurants). Macro-level influences such as the food industry were hardly mentioned. Participants noticed that the environment affects their diets but dealt with undesired influences using strategies of adaptation and behaviour change, rather than challenging the environmental influences. Public health projects should raise the awareness of the multiple environmental influences on eating behaviour and also help people to create healthier food environments.</t>
        </is>
      </c>
      <c r="X508" t="inlineStr">
        <is>
          <t>[Rueter, Jana; Brandstetter, Susanne; Curbach, Janina; Lindacher, Verena; Warrelmann, Berit; Loss, Julika] Univ Regensburg, Dept Epidemiol &amp; Prevent Med, Med Sociol, Dr Gessler Str 17, D-93051 Regensburg, Germany</t>
        </is>
      </c>
      <c r="Y508" t="inlineStr">
        <is>
          <t>University of Regensburg</t>
        </is>
      </c>
      <c r="Z508" t="inlineStr">
        <is>
          <t>Rueter, J (corresponding author), Univ Regensburg, Dept Epidemiol &amp; Prevent Med, Med Sociol, Dr Gessler Str 17, D-93051 Regensburg, Germany.</t>
        </is>
      </c>
      <c r="AA508" t="inlineStr">
        <is>
          <t>jana.rueter@ukr.de; susanne.brandstetter@ukr.de; janina.curbach@ukr.de; verena.lindacher@ukr.de; berit.warrelmann@schule.bremen.de; julika.loss@ukr.de</t>
        </is>
      </c>
      <c r="AC508" t="inlineStr">
        <is>
          <t>Brandstetter, Susanne/0000-0002-7021-8895</t>
        </is>
      </c>
      <c r="AD508" t="inlineStr">
        <is>
          <t>German Federal Ministry for Education and Research (BMBF) (Innovations in Nutrition) [0315849]</t>
        </is>
      </c>
      <c r="AE508" t="inlineStr">
        <is>
          <t>German Federal Ministry for Education and Research (BMBF) (Innovations in Nutrition)(Federal Ministry of Education &amp; Research (BMBF))</t>
        </is>
      </c>
      <c r="AF508" t="inlineStr">
        <is>
          <t>This research was supported by a grant from the German Federal Ministry for Education and Research (BMBF) (Innovations in Nutrition), grant number 0315849.</t>
        </is>
      </c>
      <c r="AH508" t="n">
        <v>52</v>
      </c>
      <c r="AI508" t="n">
        <v>5</v>
      </c>
      <c r="AJ508" t="n">
        <v>5</v>
      </c>
      <c r="AK508" t="n">
        <v>0</v>
      </c>
      <c r="AL508" t="n">
        <v>11</v>
      </c>
      <c r="AM508" t="inlineStr">
        <is>
          <t>MDPI</t>
        </is>
      </c>
      <c r="AN508" t="inlineStr">
        <is>
          <t>BASEL</t>
        </is>
      </c>
      <c r="AO508" t="inlineStr">
        <is>
          <t>ST ALBAN-ANLAGE 66, CH-4052 BASEL, SWITZERLAND</t>
        </is>
      </c>
      <c r="AQ508" t="inlineStr">
        <is>
          <t>1660-4601</t>
        </is>
      </c>
      <c r="AS508" t="inlineStr">
        <is>
          <t>INT J ENV RES PUB HE</t>
        </is>
      </c>
      <c r="AT508" t="inlineStr">
        <is>
          <t>Int. J. Environ. Res. Public Health</t>
        </is>
      </c>
      <c r="AU508" t="inlineStr">
        <is>
          <t>OCT</t>
        </is>
      </c>
      <c r="AV508" t="n">
        <v>2020</v>
      </c>
      <c r="AW508" t="n">
        <v>17</v>
      </c>
      <c r="AX508" t="n">
        <v>19</v>
      </c>
      <c r="BE508" t="n">
        <v>6940</v>
      </c>
      <c r="BF508" t="inlineStr">
        <is>
          <t>10.3390/ijerph17196940</t>
        </is>
      </c>
      <c r="BG508">
        <f>HYPERLINK("http://dx.doi.org/10.3390/ijerph17196940","http://dx.doi.org/10.3390/ijerph17196940")</f>
        <v/>
      </c>
      <c r="BJ508" t="n">
        <v>16</v>
      </c>
      <c r="BK508" t="inlineStr">
        <is>
          <t>Environmental Sciences; Public, Environmental &amp; Occupational Health</t>
        </is>
      </c>
      <c r="BL508" t="inlineStr">
        <is>
          <t>Science Citation Index Expanded (SCI-EXPANDED); Social Science Citation Index (SSCI)</t>
        </is>
      </c>
      <c r="BM508" t="inlineStr">
        <is>
          <t>Environmental Sciences &amp; Ecology; Public, Environmental &amp; Occupational Health</t>
        </is>
      </c>
      <c r="BN508" t="inlineStr">
        <is>
          <t>ON4VV</t>
        </is>
      </c>
      <c r="BO508" t="n">
        <v>32977391</v>
      </c>
      <c r="BP508" t="inlineStr">
        <is>
          <t>Green Published, gold</t>
        </is>
      </c>
      <c r="BS508" t="inlineStr">
        <is>
          <t>2023-10-26</t>
        </is>
      </c>
      <c r="BT508" t="inlineStr">
        <is>
          <t>WOS:000586701400001</t>
        </is>
      </c>
      <c r="BU508">
        <f>HYPERLINK("https%3A%2F%2Fwww.webofscience.com%2Fwos%2Fwoscc%2Ffull-record%2FWOS:000586701400001","View Full Record in Web of Science")</f>
        <v/>
      </c>
    </row>
    <row r="509">
      <c r="A509" t="inlineStr">
        <is>
          <t>J</t>
        </is>
      </c>
      <c r="B509" t="inlineStr">
        <is>
          <t>Motohiro, A; Abe, T; Okuyama, K; Onoda, K; Ito, T; Isomura, M; Nabika, T; Kumakura, S</t>
        </is>
      </c>
      <c r="F509" t="inlineStr">
        <is>
          <t>Motohiro, Atsushi; Abe, Takafumi; Okuyama, Kenta; Onoda, Keiichi; Ito, Tomoko; Isomura, Minoru; Nabika, Toru; Kumakura, Shunichi</t>
        </is>
      </c>
      <c r="J509" t="inlineStr">
        <is>
          <t>INTERNATIONAL JOURNAL OF ENVIRONMENTAL RESEARCH AND PUBLIC HEALTH</t>
        </is>
      </c>
      <c r="M509" t="inlineStr">
        <is>
          <t>English</t>
        </is>
      </c>
      <c r="N509" t="inlineStr">
        <is>
          <t>Article</t>
        </is>
      </c>
      <c r="T509" t="inlineStr">
        <is>
          <t>Environmental Factors Affecting Cognitive Function among Community-Dwelling Older Adults: A Longitudinal Study</t>
        </is>
      </c>
      <c r="U509" t="inlineStr">
        <is>
          <t>cognitive function; rural mountainous area; older adults</t>
        </is>
      </c>
      <c r="V509" t="inlineStr">
        <is>
          <t>NEIGHBORHOOD ENVIRONMENT; BUILT ENVIRONMENT; HEALTH; DEPRESSION; JAPAN; WOMEN</t>
        </is>
      </c>
      <c r="W509" t="inlineStr">
        <is>
          <t>Although neighborhood environmental factors have been found to be associated with cognitive decline, few longitudinal studies have focused on their effect on older adults living in rural areas. This longitudinal study aimed to investigate the role of neighborhood environmental factors in cognitive decline among rural older adults. The data of 485 older adults aged &gt;= 60 years who were living in Unnan City in Japan and had participated in two surveys conducted between 2014 and 2018 were analyzed. Cognitive function was assessed using the Cognitive Assessment for Dementia, iPad version 2. Elevation, hilliness, residential density, and proximity to a community center were determined using geographic information system. We applied a generalized estimating equation with odds ratios (OR) and 95% confidence intervals (CIs) of cognitive decline in the quartiles of neighborhood environmental factors. A total of 56 (11.6%) participants demonstrated a decrease in cognitive function at follow up. Elevation (adjusted OR 2.58, 95% CI (1.39, 4.77) for Q4 vs. Q1) and hilliness (adjusted OR 1.93, 95% CI (1.03, 3.63) for Q4 vs. Q1) were associated with a higher likelihood of cognitive decline. The second quartiles of residential density showed significantly lower likelihoods of cognitive decline compared with the first quartiles (adjusted OR 0.36, 95% CI (0.19, 0.71) for Q2 vs. Q1). Thus, an elevated hilly environment and residential density predicted cognitive decline among rural older adults.</t>
        </is>
      </c>
      <c r="X509" t="inlineStr">
        <is>
          <t>[Motohiro, Atsushi] Canvas Inc, 366 Satokata,Kisuki Cho, Unnnan, Shimane 6991311, Japan; [Motohiro, Atsushi; Kumakura, Shunichi] Shimane Univ, Fac Med, Dept Med Educ &amp; Res, 89-1 Enya Cho, Izumo, Shimane 6938501, Japan; [Abe, Takafumi; Okuyama, Kenta; Isomura, Minoru; Nabika, Toru] Shimane Univ, Org Res &amp; Acad Informat, Ctr Community Based Healthcare Res &amp; Educ CoHRE, 223-8 Enya Cho, Izumo, Shimane 6938501, Japan; [Okuyama, Kenta] Lund Univ, Ctr Primary Hlth Care Res, Dept Clin Sci Malmo, Jan Waldenstroms Gata 35, S-20502 Malmo, Sweden; [Onoda, Keiichi] Otemon Gakuin Univ, Dept Psychol, 2-1-15 Nishiai, Ibaraki, Osaka 5678502, Japan; [Ito, Tomoko] Shimane Univ, Fac Med, Dept Community Hlth &amp; Gerontol Nursing, 89-1 Enya Cho, Izumo, Shimane 6938501, Japan; [Isomura, Minoru] Shimane Univ, Fac Human Sci, 1060 Nishikawatsu Cho, Matsue, Shimane 6908504, Japan; [Nabika, Toru] Shimane Univ, Fac Med, Dept Funct Pathol, 89-1 Enya Cho, Izumo, Shimane 6938501, Japan</t>
        </is>
      </c>
      <c r="Y509" t="inlineStr">
        <is>
          <t>Shimane University; Shimane University; Lund University; Shimane University; Shimane University; Shimane University</t>
        </is>
      </c>
      <c r="Z509" t="inlineStr">
        <is>
          <t>Motohiro, A (corresponding author), Canvas Inc, 366 Satokata,Kisuki Cho, Unnnan, Shimane 6991311, Japan.;Motohiro, A (corresponding author), Shimane Univ, Fac Med, Dept Med Educ &amp; Res, 89-1 Enya Cho, Izumo, Shimane 6938501, Japan.</t>
        </is>
      </c>
      <c r="AA509" t="inlineStr">
        <is>
          <t>motohiro@shima-reha.jp; t-abe@med.shimane-u.ac.jp; kenta.okuyama@med.lu.se; onodak1@gmail.com; t-ito@med.shimane-u.ac.jp; isomura@hmn.shimane-u.ac.jp; nabika@med.shimane-u.ac.jp; kumakura@med.shimane-u.ac.jp</t>
        </is>
      </c>
      <c r="AB509" t="inlineStr">
        <is>
          <t>Onoda, Keiichi/N-2944-2019</t>
        </is>
      </c>
      <c r="AC509" t="inlineStr">
        <is>
          <t>Onoda, Keiichi/0000-0002-3882-3446; Abe, Takafumi/0000-0001-8657-4707</t>
        </is>
      </c>
      <c r="AD509" t="inlineStr">
        <is>
          <t>Japan Society for the Promotion of Science (KAKENHI) [19K02335]; Grants-in-Aid for Scientific Research [19K02335] Funding Source: KAKEN</t>
        </is>
      </c>
      <c r="AE509" t="inlineStr">
        <is>
          <t>Japan Society for the Promotion of Science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is>
      </c>
      <c r="AF509" t="inlineStr">
        <is>
          <t>This study was supported by the Japan Society for the Promotion of Science (KAKENHI Grant Number 19K02335).</t>
        </is>
      </c>
      <c r="AH509" t="n">
        <v>36</v>
      </c>
      <c r="AI509" t="n">
        <v>3</v>
      </c>
      <c r="AJ509" t="n">
        <v>3</v>
      </c>
      <c r="AK509" t="n">
        <v>1</v>
      </c>
      <c r="AL509" t="n">
        <v>18</v>
      </c>
      <c r="AM509" t="inlineStr">
        <is>
          <t>MDPI</t>
        </is>
      </c>
      <c r="AN509" t="inlineStr">
        <is>
          <t>BASEL</t>
        </is>
      </c>
      <c r="AO509" t="inlineStr">
        <is>
          <t>ST ALBAN-ANLAGE 66, CH-4052 BASEL, SWITZERLAND</t>
        </is>
      </c>
      <c r="AQ509" t="inlineStr">
        <is>
          <t>1660-4601</t>
        </is>
      </c>
      <c r="AS509" t="inlineStr">
        <is>
          <t>INT J ENV RES PUB HE</t>
        </is>
      </c>
      <c r="AT509" t="inlineStr">
        <is>
          <t>Int. J. Environ. Res. Public Health</t>
        </is>
      </c>
      <c r="AU509" t="inlineStr">
        <is>
          <t>AUG</t>
        </is>
      </c>
      <c r="AV509" t="n">
        <v>2021</v>
      </c>
      <c r="AW509" t="n">
        <v>18</v>
      </c>
      <c r="AX509" t="n">
        <v>16</v>
      </c>
      <c r="BE509" t="n">
        <v>8528</v>
      </c>
      <c r="BF509" t="inlineStr">
        <is>
          <t>10.3390/ijerph18168528</t>
        </is>
      </c>
      <c r="BG509">
        <f>HYPERLINK("http://dx.doi.org/10.3390/ijerph18168528","http://dx.doi.org/10.3390/ijerph18168528")</f>
        <v/>
      </c>
      <c r="BJ509" t="n">
        <v>9</v>
      </c>
      <c r="BK509" t="inlineStr">
        <is>
          <t>Environmental Sciences; Public, Environmental &amp; Occupational Health</t>
        </is>
      </c>
      <c r="BL509" t="inlineStr">
        <is>
          <t>Science Citation Index Expanded (SCI-EXPANDED); Social Science Citation Index (SSCI)</t>
        </is>
      </c>
      <c r="BM509" t="inlineStr">
        <is>
          <t>Environmental Sciences &amp; Ecology; Public, Environmental &amp; Occupational Health</t>
        </is>
      </c>
      <c r="BN509" t="inlineStr">
        <is>
          <t>UG5SB</t>
        </is>
      </c>
      <c r="BO509" t="n">
        <v>34444276</v>
      </c>
      <c r="BP509" t="inlineStr">
        <is>
          <t>gold, Green Published</t>
        </is>
      </c>
      <c r="BS509" t="inlineStr">
        <is>
          <t>2023-10-26</t>
        </is>
      </c>
      <c r="BT509" t="inlineStr">
        <is>
          <t>WOS:000689310800001</t>
        </is>
      </c>
      <c r="BU509">
        <f>HYPERLINK("https%3A%2F%2Fwww.webofscience.com%2Fwos%2Fwoscc%2Ffull-record%2FWOS:000689310800001","View Full Record in Web of Science")</f>
        <v/>
      </c>
    </row>
    <row r="510">
      <c r="A510" t="inlineStr">
        <is>
          <t>J</t>
        </is>
      </c>
      <c r="B510" t="inlineStr">
        <is>
          <t>Wee, LE; Tsang, YYT; Tay, SM; Cheah, A; Puhaindran, M; Yee, J; Lee, S; Oen, K; Koh, CHG</t>
        </is>
      </c>
      <c r="F510" t="inlineStr">
        <is>
          <t>Wee, Liang En; Tsang, Yun Ying Tammy; Tay, Sook Muay; Cheah, Andre; Puhaindran, Mark; Yee, Jaime; Lee, Shannon; Oen, Kellynn; Koh, Choon Huat Gerald</t>
        </is>
      </c>
      <c r="J510" t="inlineStr">
        <is>
          <t>INTERNATIONAL JOURNAL OF ENVIRONMENTAL RESEARCH AND PUBLIC HEALTH</t>
        </is>
      </c>
      <c r="M510" t="inlineStr">
        <is>
          <t>English</t>
        </is>
      </c>
      <c r="N510" t="inlineStr">
        <is>
          <t>Article</t>
        </is>
      </c>
      <c r="T510" t="inlineStr">
        <is>
          <t>Perceived Neighborhood Environment and Its Association with Health Screening and Exercise Participation amongst Low-Income Public Rental Flat Residents in Singapore</t>
        </is>
      </c>
      <c r="U510" t="inlineStr">
        <is>
          <t>neighborhood environment; public housing; Asian; health behaviors</t>
        </is>
      </c>
      <c r="V510" t="inlineStr">
        <is>
          <t>OLDER-ADULTS; SOCIOECONOMIC-STATUS; PHYSICAL-ACTIVITY; BUILT ENVIRONMENT; BASE-LINE; COMMUNITY; QUALITY; BEHAVIOR; LIFE</t>
        </is>
      </c>
      <c r="W510" t="inlineStr">
        <is>
          <t>Background: In Singapore, an Asian city-state, more than 80% live in public housing. While the majority (90%) own their homes, a needy minority lives in rental flats. Public rental flats are built in the same location as owner-occupied blocks. We evaluated factors associated with perceptions of the neighborhood environment and its association with exercise and health screening participation. Methods: Logistic regression was used to identify associations between perceptions of the neighborhood environment (overall perceived neighborhood disadvantage, safety, and convenience) and sociodemographic factors, as well as exercise and screening participation, amongst residents aged 60 years in two Singaporean public housing precincts in 2016. Results: Our response rate was 62.1% (528/800). Staying in a rental flat independently was associated with increased neighborhood disadvantage (adjusted odds ratio, aOR = 1.58, 95%CI = 1.06-2.35). Staying in a stand-alone block (as opposed to staying in a mixed block comprised of both rental and owner-occupied units) was associated with perceptions of a poorer physical environment (aOR = 1.81, 95%CI = 1.22-2.68) and lower perceived proximity to recreational areas (aOR = 1.14, 95%CI = 1.04-1.25). Perceptions of neighborhood disadvantage were independently associated with reduced exercise participation (aOR = 0.67, 95%CI = 0.45-0.98) and reduced participation in diabetes screening (aOR = 0.63, 95%CI = 0.41-0.95). Conclusion: Despite sharing the same built environment, differences in the perception of the neighborhood environment between low-socioeconomic status (SES) and high-SES communities persist. Perceived neighborhood disadvantage is associated with lower participation in regular exercise and diabetes screening.</t>
        </is>
      </c>
      <c r="X510" t="inlineStr">
        <is>
          <t>[Wee, Liang En] Singapore Gen Hosp, Singhlth Internal Med, Singapore 169608, Singapore; [Wee, Liang En] Duke NUS Grad Med Sch, Singapore 169857, Singapore; [Tsang, Yun Ying Tammy] Inst Mental Hlth, Singapore 539747, Singapore; [Tay, Sook Muay] Singapore Gen Hosp, Dept Anesthesia, Singapore 169608, Singapore; [Cheah, Andre; Puhaindran, Mark] Natl Univ Singapore, Natl Univ Hlth Syst, Natl Univ Hosp, Dept Hand &amp; Reconstruct Surg, Singapore 119228, Singapore; [Yee, Jaime; Lee, Shannon; Oen, Kellynn] Natl Univ Singapore, Natl Univ Hlth Syst, Yong Loo Lin Sch Med, Singapore 119228, Singapore; [Koh, Choon Huat Gerald] Natl Univ Singapore, Natl Univ Hlth Syst, Saw Swee Hock Sch Publ Hlth, Singapore 117549, Singapore</t>
        </is>
      </c>
      <c r="Y510" t="inlineStr">
        <is>
          <t>Singapore General Hospital; National University of Singapore; Singapore General Hospital; National University of Singapore; National University of Singapore; National University of Singapore</t>
        </is>
      </c>
      <c r="Z510" t="inlineStr">
        <is>
          <t>Wee, LE (corresponding author), Singapore Gen Hosp, Singhlth Internal Med, Singapore 169608, Singapore.;Wee, LE (corresponding author), Duke NUS Grad Med Sch, Singapore 169857, Singapore.</t>
        </is>
      </c>
      <c r="AA510" t="inlineStr">
        <is>
          <t>weeliangen@gmail.com; tammytyy@gmail.com; tay.sook.muay@sgh.com.sg; andre_cheah@nuhs.edu.sg; mark_e_puhaindran@nuhs.edu.sg; jaimeyee96@gmail.com; shannon.lxj@gmail.com; kellynnoenqixuan@gmail.com; ephkohch@nus.edu.sg</t>
        </is>
      </c>
      <c r="AB510" t="inlineStr">
        <is>
          <t>TAY, SOOK MUAY/JBS-6220-2023</t>
        </is>
      </c>
      <c r="AC510" t="inlineStr">
        <is>
          <t>Tay, Sook Muay/0000-0001-8028-9470</t>
        </is>
      </c>
      <c r="AH510" t="n">
        <v>49</v>
      </c>
      <c r="AI510" t="n">
        <v>5</v>
      </c>
      <c r="AJ510" t="n">
        <v>5</v>
      </c>
      <c r="AK510" t="n">
        <v>4</v>
      </c>
      <c r="AL510" t="n">
        <v>17</v>
      </c>
      <c r="AM510" t="inlineStr">
        <is>
          <t>MDPI</t>
        </is>
      </c>
      <c r="AN510" t="inlineStr">
        <is>
          <t>BASEL</t>
        </is>
      </c>
      <c r="AO510" t="inlineStr">
        <is>
          <t>ST ALBAN-ANLAGE 66, CH-4052 BASEL, SWITZERLAND</t>
        </is>
      </c>
      <c r="AP510" t="inlineStr">
        <is>
          <t>1661-7827</t>
        </is>
      </c>
      <c r="AQ510" t="inlineStr">
        <is>
          <t>1660-4601</t>
        </is>
      </c>
      <c r="AS510" t="inlineStr">
        <is>
          <t>INT J ENV RES PUB HE</t>
        </is>
      </c>
      <c r="AT510" t="inlineStr">
        <is>
          <t>Int. J. Environ. Res. Public Health</t>
        </is>
      </c>
      <c r="AU510" t="inlineStr">
        <is>
          <t>APR 2</t>
        </is>
      </c>
      <c r="AV510" t="n">
        <v>2019</v>
      </c>
      <c r="AW510" t="n">
        <v>16</v>
      </c>
      <c r="AX510" t="n">
        <v>8</v>
      </c>
      <c r="BE510" t="n">
        <v>1384</v>
      </c>
      <c r="BF510" t="inlineStr">
        <is>
          <t>10.3390/ijerph16081384</t>
        </is>
      </c>
      <c r="BG510">
        <f>HYPERLINK("http://dx.doi.org/10.3390/ijerph16081384","http://dx.doi.org/10.3390/ijerph16081384")</f>
        <v/>
      </c>
      <c r="BJ510" t="n">
        <v>16</v>
      </c>
      <c r="BK510" t="inlineStr">
        <is>
          <t>Environmental Sciences; Public, Environmental &amp; Occupational Health</t>
        </is>
      </c>
      <c r="BL510" t="inlineStr">
        <is>
          <t>Science Citation Index Expanded (SCI-EXPANDED); Social Science Citation Index (SSCI)</t>
        </is>
      </c>
      <c r="BM510" t="inlineStr">
        <is>
          <t>Environmental Sciences &amp; Ecology; Public, Environmental &amp; Occupational Health</t>
        </is>
      </c>
      <c r="BN510" t="inlineStr">
        <is>
          <t>HX9RX</t>
        </is>
      </c>
      <c r="BO510" t="n">
        <v>30999641</v>
      </c>
      <c r="BP510" t="inlineStr">
        <is>
          <t>Green Published, gold</t>
        </is>
      </c>
      <c r="BS510" t="inlineStr">
        <is>
          <t>2023-10-26</t>
        </is>
      </c>
      <c r="BT510" t="inlineStr">
        <is>
          <t>WOS:000467747100077</t>
        </is>
      </c>
      <c r="BU510">
        <f>HYPERLINK("https%3A%2F%2Fwww.webofscience.com%2Fwos%2Fwoscc%2Ffull-record%2FWOS:000467747100077","View Full Record in Web of Science")</f>
        <v/>
      </c>
    </row>
    <row r="511">
      <c r="A511" t="inlineStr">
        <is>
          <t>J</t>
        </is>
      </c>
      <c r="B511" t="inlineStr">
        <is>
          <t>Zhu, XY; Gao, B; Yang, XD; Yuan, YP; Ni, J</t>
        </is>
      </c>
      <c r="F511" t="inlineStr">
        <is>
          <t>Zhu, Xiaoyue; Gao, Bo; Yang, Xudong; Yuan, Yanping; Ni, Ji</t>
        </is>
      </c>
      <c r="J511" t="inlineStr">
        <is>
          <t>SUSTAINABILITY</t>
        </is>
      </c>
      <c r="M511" t="inlineStr">
        <is>
          <t>English</t>
        </is>
      </c>
      <c r="N511" t="inlineStr">
        <is>
          <t>Article</t>
        </is>
      </c>
      <c r="T511" t="inlineStr">
        <is>
          <t>Interactions between the Built Environment and the Energy-Related Behaviors of Occupants in Government Office Buildings</t>
        </is>
      </c>
      <c r="U511" t="inlineStr">
        <is>
          <t>human-building interaction; energy-related behaviors; indoor environment quality (IEQ); energy saving</t>
        </is>
      </c>
      <c r="V511" t="inlineStr">
        <is>
          <t>THERMAL COMFORT; COMMERCIAL BUILDINGS; CONSUMPTION; SATISFACTION; ONTOLOGY; IMPACT; HOUSES; CHINA</t>
        </is>
      </c>
      <c r="W511" t="inlineStr">
        <is>
          <t>Human behaviors that greatly influence building energy consumption are stimulated by the indoor environment. However, the relative importance of different environmental factors remains unclear. Previous literature mostly focused on single behavior. Holistic study of multiple energy-related behaviors is scarce. To fill the gap, this study investigated 22 government office buildings in Sichuan using questionnaires and field measurement. Environmental factors were ranked based on the two dimensions of importance level'level  and satisfaction level . The key energy-related behaviors were identified by the comparative study between low- and high-energy-consuming buildings. Lastly, interactions between the building energy consumption, indoor environment quality, occupants' satisfaction, and human behaviors were analyzed. Questionnaires reveal that most occupants consider indoor air quality as the prior pain point  while feeling satisfied enough with the thermal environment. Although people attach less importance to the acoustic environment, they manifest evident discontent, suggesting that noise control is an urgent imperative. In contrast, occupants are relatively unconcerned with illuminance, which implies the feasibility of saving energy by reasonably reducing lighting requirements of some non-critical areas. The comparative study indicates that increased energy consumption was attributable to extra personal appliances, wasteful air conditioning habits, and the lack of ventilation in summer. The objective environment of high-energy-consuming buildings is slightly better. However, the difference in perceived satisfaction was not obvious. The findings of this study contribute to determining the most noteworthy environmental factor and the key energy-related behaviors and provide reference information for optimizing energy-saving strategies.</t>
        </is>
      </c>
      <c r="X511" t="inlineStr">
        <is>
          <t>[Zhu, Xiaoyue; Ni, Ji] Sichuan Inst Bldg Res, Chengdu 610030, Peoples R China; [Gao, Bo; Yuan, Yanping] Southwest Jiaotong Univ, Sch Mech Engn, Chengdu 610030, Peoples R China; [Yang, Xudong] Tsinghua Univ, Dept Bldg Sci, Beijing 100084, Peoples R China</t>
        </is>
      </c>
      <c r="Y511" t="inlineStr">
        <is>
          <t>Southwest Jiaotong University; Tsinghua University</t>
        </is>
      </c>
      <c r="Z511" t="inlineStr">
        <is>
          <t>Yuan, YP (corresponding author), Southwest Jiaotong Univ, Sch Mech Engn, Chengdu 610030, Peoples R China.</t>
        </is>
      </c>
      <c r="AA511" t="inlineStr">
        <is>
          <t>zhu-xy17@tsinghua.org.cn; gbswitu@my.switu.edu.cn; xyang@tsinghua.edu.cn; ypyuan@home.switu.edu.cn; nijie123123@163.com</t>
        </is>
      </c>
      <c r="AD511" t="inlineStr">
        <is>
          <t>Key Research and Development Projects of Sichuan Science and Technology Plan [2020YFS0059]; Science and Technology Projects of Sichuan Huashi Group [HXKX2019/022]</t>
        </is>
      </c>
      <c r="AE511" t="inlineStr">
        <is>
          <t>Key Research and Development Projects of Sichuan Science and Technology Plan; Science and Technology Projects of Sichuan Huashi Group</t>
        </is>
      </c>
      <c r="AF511" t="inlineStr">
        <is>
          <t>This research was funded by the Key Research and Development Projects of Sichuan Science and Technology Plan, grant number 2020YFS0059, and the Science and Technology Projects of Sichuan Huashi Group, grant number HXKX2019/022.</t>
        </is>
      </c>
      <c r="AH511" t="n">
        <v>54</v>
      </c>
      <c r="AI511" t="n">
        <v>5</v>
      </c>
      <c r="AJ511" t="n">
        <v>5</v>
      </c>
      <c r="AK511" t="n">
        <v>0</v>
      </c>
      <c r="AL511" t="n">
        <v>22</v>
      </c>
      <c r="AM511" t="inlineStr">
        <is>
          <t>MDPI</t>
        </is>
      </c>
      <c r="AN511" t="inlineStr">
        <is>
          <t>BASEL</t>
        </is>
      </c>
      <c r="AO511" t="inlineStr">
        <is>
          <t>ST ALBAN-ANLAGE 66, CH-4052 BASEL, SWITZERLAND</t>
        </is>
      </c>
      <c r="AQ511" t="inlineStr">
        <is>
          <t>2071-1050</t>
        </is>
      </c>
      <c r="AS511" t="inlineStr">
        <is>
          <t>SUSTAINABILITY-BASEL</t>
        </is>
      </c>
      <c r="AT511" t="inlineStr">
        <is>
          <t>Sustainability</t>
        </is>
      </c>
      <c r="AU511" t="inlineStr">
        <is>
          <t>OCT</t>
        </is>
      </c>
      <c r="AV511" t="n">
        <v>2021</v>
      </c>
      <c r="AW511" t="n">
        <v>13</v>
      </c>
      <c r="AX511" t="n">
        <v>19</v>
      </c>
      <c r="BE511" t="n">
        <v>10607</v>
      </c>
      <c r="BF511" t="inlineStr">
        <is>
          <t>10.3390/su131910607</t>
        </is>
      </c>
      <c r="BG511">
        <f>HYPERLINK("http://dx.doi.org/10.3390/su131910607","http://dx.doi.org/10.3390/su131910607")</f>
        <v/>
      </c>
      <c r="BJ511" t="n">
        <v>21</v>
      </c>
      <c r="BK511" t="inlineStr">
        <is>
          <t>Green &amp; Sustainable Science &amp; Technology; Environmental Sciences; Environmental Studies</t>
        </is>
      </c>
      <c r="BL511" t="inlineStr">
        <is>
          <t>Science Citation Index Expanded (SCI-EXPANDED); Social Science Citation Index (SSCI)</t>
        </is>
      </c>
      <c r="BM511" t="inlineStr">
        <is>
          <t>Science &amp; Technology - Other Topics; Environmental Sciences &amp; Ecology</t>
        </is>
      </c>
      <c r="BN511" t="inlineStr">
        <is>
          <t>WH9RH</t>
        </is>
      </c>
      <c r="BP511" t="inlineStr">
        <is>
          <t>gold</t>
        </is>
      </c>
      <c r="BS511" t="inlineStr">
        <is>
          <t>2023-10-26</t>
        </is>
      </c>
      <c r="BT511" t="inlineStr">
        <is>
          <t>WOS:000708006300001</t>
        </is>
      </c>
      <c r="BU511">
        <f>HYPERLINK("https%3A%2F%2Fwww.webofscience.com%2Fwos%2Fwoscc%2Ffull-record%2FWOS:000708006300001","View Full Record in Web of Science")</f>
        <v/>
      </c>
    </row>
    <row r="512">
      <c r="A512" t="inlineStr">
        <is>
          <t>J</t>
        </is>
      </c>
      <c r="B512" t="inlineStr">
        <is>
          <t>Brown, T; Dassonville, C; Derbez, M; Ramalho, O; Kirchner, S; Crump, D; Mandin, C</t>
        </is>
      </c>
      <c r="F512" t="inlineStr">
        <is>
          <t>Brown, Terry; Dassonville, Claire; Derbez, Mickael; Ramalho, Olivier; Kirchner, Severine; Crump, Derrick; Mandin, Corinne</t>
        </is>
      </c>
      <c r="J512" t="inlineStr">
        <is>
          <t>ENVIRONMENTAL RESEARCH</t>
        </is>
      </c>
      <c r="M512" t="inlineStr">
        <is>
          <t>English</t>
        </is>
      </c>
      <c r="N512" t="inlineStr">
        <is>
          <t>Article</t>
        </is>
      </c>
      <c r="T512" t="inlineStr">
        <is>
          <t>Relationships between socioeconomic and lifestyle factors and indoor air quality in French dwellings</t>
        </is>
      </c>
      <c r="U512" t="inlineStr">
        <is>
          <t>Indoor Air; Socioeconomic status; Volatile organic compounds; Particulate matter; Housing</t>
        </is>
      </c>
      <c r="V512" t="inlineStr">
        <is>
          <t>VOLATILE ORGANIC-COMPOUNDS; PERSONAL EXPOSURE; PARTICULATE MATTER; SOCIAL-INEQUALITY; EXCHANGE-RATES; PREDICTORS; DETERMINANTS; POLLUTION; HEALTH; DEPRIVATION</t>
        </is>
      </c>
      <c r="W512" t="inlineStr">
        <is>
          <t>Background: To date, few studies have analyzed the relationships between socioeconomic status (SES) and indoor air quality (IAQ). Objective: The aim of this study was to examine the relationships between socioeconomic and other factors and indoor air pollutant levels in French homes. Methods: The indoor air concentrations of thirty chemical, biological and physical parameters were measured over one week in a sample of 567 dwellings representative of the French housing stock between September 2003 and December 2005. Information on SES (household structure, educational attainment, income, and occupation), building characteristics, and occupants' habits and activities (smoking, cooking, cleaning, etc.) were collected through administered questionnaires. Separate stepwise linear regression models were fitted to log-transformed concentrations on SES and other factors. Logistic regression was performed on fungal contamination data. Results: Households with lower income were more likely to have higher indoor concentrations of formaldehyde, but lower perchloroethylene indoor concentrations. Formaldehyde indoor concentrations were also associated with newly built buildings. Smoking was associated with increasing acetaldehyde and PM2.5 levels and the risk of a positive fungal contamination index. BTEX levels were also associated with occupant density and having an attached garage. The major predictors for fungal contamination were dampness and absolute humidity. Conclusion: These results, obtained from a large sample of dwellings, show for the first time in France the relationships between SES factors and indoor air pollutants, and believe they should be considered alongside occupant activities and building characteristics when study IAQ in homes. Crown Copyright (C) 2015 Published by Elsevier Inc. All rights reserved.</t>
        </is>
      </c>
      <c r="X512" t="inlineStr">
        <is>
          <t>[Brown, Terry; Crump, Derrick] Cranfield Univ, Sch Environm Energy &amp; Agrifoods, Inst Environm Hlth Risks &amp; Futures, Milton Keynes MK43 0AL, Beds, England; [Dassonville, Claire; Derbez, Mickael; Ramalho, Olivier; Kirchner, Severine; Mandin, Corinne] Paris East Univ, CSTB, Observ Indoor Air Qual, F-77447 Marne La Vallee 2, France</t>
        </is>
      </c>
      <c r="Y512" t="inlineStr">
        <is>
          <t>Cranfield University</t>
        </is>
      </c>
      <c r="Z512" t="inlineStr">
        <is>
          <t>Brown, T (corresponding author), Cranfield Univ, Sch Environm Energy &amp; Agrifoods, Inst Environm Hlth Risks &amp; Futures, Milton Keynes MK43 0AL, Beds, England.</t>
        </is>
      </c>
      <c r="AA512" t="inlineStr">
        <is>
          <t>t.p.brown@cranfield.ac.uk</t>
        </is>
      </c>
      <c r="AB512" t="inlineStr">
        <is>
          <t>; Ramalho, Olivier/L-7800-2014</t>
        </is>
      </c>
      <c r="AC512" t="inlineStr">
        <is>
          <t>Mandin, Corinne/0000-0001-8462-8812; Ramalho, Olivier/0000-0001-8848-3788</t>
        </is>
      </c>
      <c r="AD512" t="inlineStr">
        <is>
          <t>French Observatory on Indoor Air Quality - Ministries in charge of Construction, Environment and Health [Y03.01, Y04.01, Y04.26, Y05.25, Y06.11]; Scientific and Technical Building Centre (CSTB); French Agency for the Environment and Energy Control (ADEME) [01.62.026]; French Agency for Housing Improvement (ANAH) [05/05/04]; Carnot Programme [2010]</t>
        </is>
      </c>
      <c r="AE512" t="inlineStr">
        <is>
          <t>French Observatory on Indoor Air Quality - Ministries in charge of Construction, Environment and Health; Scientific and Technical Building Centre (CSTB); French Agency for the Environment and Energy Control (ADEME); French Agency for Housing Improvement (ANAH); Carnot Programme</t>
        </is>
      </c>
      <c r="AF512" t="inlineStr">
        <is>
          <t>This study was supported by the French Observatory on Indoor Air Quality funded by the Ministries in charge of Construction, Environment and Health (Grants Y03.01, Y04.01, Y04.26, Y05.25, Y06.11 and Convention 14 October 2003), the Scientific and Technical Building Centre (CSTB), the French Agency for the Environment and Energy Control (ADEME) (Grant 01.62.026), and the French Agency for Housing Improvement (ANAH) (Accord de Cooperation du 05/05/04). The authors thank Murielle Lethrosne and Guillaume Wyart for preliminary statistical analyses. Preparation of this manuscript kindly supported by a grant from the Carnot Programme (Grant 2010).</t>
        </is>
      </c>
      <c r="AH512" t="n">
        <v>66</v>
      </c>
      <c r="AI512" t="n">
        <v>42</v>
      </c>
      <c r="AJ512" t="n">
        <v>42</v>
      </c>
      <c r="AK512" t="n">
        <v>2</v>
      </c>
      <c r="AL512" t="n">
        <v>48</v>
      </c>
      <c r="AM512" t="inlineStr">
        <is>
          <t>ACADEMIC PRESS INC ELSEVIER SCIENCE</t>
        </is>
      </c>
      <c r="AN512" t="inlineStr">
        <is>
          <t>SAN DIEGO</t>
        </is>
      </c>
      <c r="AO512" t="inlineStr">
        <is>
          <t>525 B ST, STE 1900, SAN DIEGO, CA 92101-4495 USA</t>
        </is>
      </c>
      <c r="AP512" t="inlineStr">
        <is>
          <t>0013-9351</t>
        </is>
      </c>
      <c r="AQ512" t="inlineStr">
        <is>
          <t>1096-0953</t>
        </is>
      </c>
      <c r="AS512" t="inlineStr">
        <is>
          <t>ENVIRON RES</t>
        </is>
      </c>
      <c r="AT512" t="inlineStr">
        <is>
          <t>Environ. Res.</t>
        </is>
      </c>
      <c r="AU512" t="inlineStr">
        <is>
          <t>JUL</t>
        </is>
      </c>
      <c r="AV512" t="n">
        <v>2015</v>
      </c>
      <c r="AW512" t="n">
        <v>140</v>
      </c>
      <c r="BC512" t="n">
        <v>385</v>
      </c>
      <c r="BD512" t="n">
        <v>396</v>
      </c>
      <c r="BF512" t="inlineStr">
        <is>
          <t>10.1016/j.envres.2015.04.012</t>
        </is>
      </c>
      <c r="BG512">
        <f>HYPERLINK("http://dx.doi.org/10.1016/j.envres.2015.04.012","http://dx.doi.org/10.1016/j.envres.2015.04.012")</f>
        <v/>
      </c>
      <c r="BJ512" t="n">
        <v>12</v>
      </c>
      <c r="BK512" t="inlineStr">
        <is>
          <t>Environmental Sciences; Public, Environmental &amp; Occupational Health</t>
        </is>
      </c>
      <c r="BL512" t="inlineStr">
        <is>
          <t>Science Citation Index Expanded (SCI-EXPANDED); Social Science Citation Index (SSCI)</t>
        </is>
      </c>
      <c r="BM512" t="inlineStr">
        <is>
          <t>Environmental Sciences &amp; Ecology; Public, Environmental &amp; Occupational Health</t>
        </is>
      </c>
      <c r="BN512" t="inlineStr">
        <is>
          <t>CM7VH</t>
        </is>
      </c>
      <c r="BO512" t="n">
        <v>25935319</v>
      </c>
      <c r="BS512" t="inlineStr">
        <is>
          <t>2023-10-26</t>
        </is>
      </c>
      <c r="BT512" t="inlineStr">
        <is>
          <t>WOS:000357904100043</t>
        </is>
      </c>
      <c r="BU512">
        <f>HYPERLINK("https%3A%2F%2Fwww.webofscience.com%2Fwos%2Fwoscc%2Ffull-record%2FWOS:000357904100043","View Full Record in Web of Science")</f>
        <v/>
      </c>
    </row>
    <row r="513">
      <c r="A513" t="inlineStr">
        <is>
          <t>J</t>
        </is>
      </c>
      <c r="B513" t="inlineStr">
        <is>
          <t>Yadav, AK; Ghosh, C</t>
        </is>
      </c>
      <c r="F513" t="inlineStr">
        <is>
          <t>Yadav, Arun Kumar; Ghosh, Chirashree</t>
        </is>
      </c>
      <c r="J513" t="inlineStr">
        <is>
          <t>POLLUTION</t>
        </is>
      </c>
      <c r="M513" t="inlineStr">
        <is>
          <t>English</t>
        </is>
      </c>
      <c r="N513" t="inlineStr">
        <is>
          <t>Article</t>
        </is>
      </c>
      <c r="T513" t="inlineStr">
        <is>
          <t>Spatiotemporal variation of Particulate Matter &amp; Risk of Exposure in the Indoor-Outdoor Residential Environment: a case study from Urban City Delhi, India</t>
        </is>
      </c>
      <c r="U513" t="inlineStr">
        <is>
          <t>Indoor air quality; particulate matter; urban built-up; meteorological parameters; indoor-outdoor ratio</t>
        </is>
      </c>
      <c r="V513" t="inlineStr">
        <is>
          <t>SOURCE APPORTIONMENT; AIR-POLLUTION; HUMAN HEALTH; PM10; PM2.5; PARTICLES; IMPACT; PENETRATION; PARAMETERS; QUALITY</t>
        </is>
      </c>
      <c r="W513" t="inlineStr">
        <is>
          <t>Humans spend close to 90% of their time within the indoor environment. Deteriorating indoor air quality, especially high PM10, PM2.5 and PM1 is slowly becoming a major concern. A study was carried out, for two years, to characterize the spatiotemporal variation of PM in the indoor-outdoor environment across different residential setups (R1, R2, R3, and MC) in the Delhi region. The study established correlation between monthly variations of Indoor/Outdoor (I/O) ratios and meteorological factors. The results showed Spatio-temporal variation in the average mass concentrations of PM10 recorded peak values during the winter season (avg. 514 +/- 72.15 mu g/m(3)) and minimum concentration was observed during monsoon (avg. 91.41 +/- 22.64 mu g/m(3)) months. Among all the sites, the mixed cluster (MC), a residential cum commercial zone reported the highest particulate matter concentration (avg. 308.10 +/- 37.23 mu g/m(3)) and while Residential area (R2) reported the least concentration (avg. 244.9 +/- 27.65 mu g/m(3)) within the indoor environment. The I/O ratios of particulate matter were observed to be highest in January (I/O ratio1.6) and lowest in June month (I/O ratio 0.8). PM10, PM2.5, and PM1 dynamics were found to be critically influenced by meteorological factors, regular household activities, and diverse building designs. The short- or long-term exposure of particulate pollutants (beyond the permissible limits) can increase the probability of acute health effects, so there is an utmost requirement to collect better and systematic information about actual exposure levels experienced in different urban residential environments.</t>
        </is>
      </c>
      <c r="X513" t="inlineStr">
        <is>
          <t>[Yadav, Arun Kumar; Ghosh, Chirashree] Univ Delhi, Dept Environm Studies, POB 110007, Delhi, India</t>
        </is>
      </c>
      <c r="Y513" t="inlineStr">
        <is>
          <t>University of Delhi</t>
        </is>
      </c>
      <c r="Z513" t="inlineStr">
        <is>
          <t>Ghosh, C (corresponding author), Univ Delhi, Dept Environm Studies, POB 110007, Delhi, India.</t>
        </is>
      </c>
      <c r="AA513" t="inlineStr">
        <is>
          <t>chirashreeghosh.63@gmail.com</t>
        </is>
      </c>
      <c r="AD513" t="inlineStr">
        <is>
          <t>Ministry of Earth Sciences (MoES) [MoES/16/07/2013-RDEAS]</t>
        </is>
      </c>
      <c r="AE513" t="inlineStr">
        <is>
          <t>Ministry of Earth Sciences (MoES)</t>
        </is>
      </c>
      <c r="AF513" t="inlineStr">
        <is>
          <t>The study was done under the project titled Monitoring indoor air pollution (IAP) in Delhi University area and accessing its Human Health Impacts funded by Ministry of Earth Sciences (MoES), grant no MoES/16/07/2013-RDEAS.</t>
        </is>
      </c>
      <c r="AH513" t="n">
        <v>65</v>
      </c>
      <c r="AI513" t="n">
        <v>0</v>
      </c>
      <c r="AJ513" t="n">
        <v>0</v>
      </c>
      <c r="AK513" t="n">
        <v>1</v>
      </c>
      <c r="AL513" t="n">
        <v>3</v>
      </c>
      <c r="AM513" t="inlineStr">
        <is>
          <t>UNIV TEHRAN</t>
        </is>
      </c>
      <c r="AN513" t="inlineStr">
        <is>
          <t>TEHRAN</t>
        </is>
      </c>
      <c r="AO513" t="inlineStr">
        <is>
          <t>COLL SCI, PO BOX 14155-6455, TEHRAN, 1417-614411, IRAN</t>
        </is>
      </c>
      <c r="AP513" t="inlineStr">
        <is>
          <t>2383-451X</t>
        </is>
      </c>
      <c r="AQ513" t="inlineStr">
        <is>
          <t>2383-4501</t>
        </is>
      </c>
      <c r="AS513" t="inlineStr">
        <is>
          <t>POLLUTION</t>
        </is>
      </c>
      <c r="AT513" t="inlineStr">
        <is>
          <t>Pollution</t>
        </is>
      </c>
      <c r="AV513" t="n">
        <v>2022</v>
      </c>
      <c r="AW513" t="n">
        <v>8</v>
      </c>
      <c r="AX513" t="n">
        <v>3</v>
      </c>
      <c r="BC513" t="n">
        <v>860</v>
      </c>
      <c r="BD513" t="n">
        <v>874</v>
      </c>
      <c r="BF513" t="inlineStr">
        <is>
          <t>10.22059/POLL.2022.335576.1291</t>
        </is>
      </c>
      <c r="BG513">
        <f>HYPERLINK("http://dx.doi.org/10.22059/POLL.2022.335576.1291","http://dx.doi.org/10.22059/POLL.2022.335576.1291")</f>
        <v/>
      </c>
      <c r="BJ513" t="n">
        <v>15</v>
      </c>
      <c r="BK513" t="inlineStr">
        <is>
          <t>Environmental Sciences</t>
        </is>
      </c>
      <c r="BL513" t="inlineStr">
        <is>
          <t>Emerging Sources Citation Index (ESCI)</t>
        </is>
      </c>
      <c r="BM513" t="inlineStr">
        <is>
          <t>Environmental Sciences &amp; Ecology</t>
        </is>
      </c>
      <c r="BN513" t="inlineStr">
        <is>
          <t>3H8CS</t>
        </is>
      </c>
      <c r="BS513" t="inlineStr">
        <is>
          <t>2023-10-26</t>
        </is>
      </c>
      <c r="BT513" t="inlineStr">
        <is>
          <t>WOS:000832259100011</t>
        </is>
      </c>
      <c r="BU513">
        <f>HYPERLINK("https%3A%2F%2Fwww.webofscience.com%2Fwos%2Fwoscc%2Ffull-record%2FWOS:000832259100011","View Full Record in Web of Science")</f>
        <v/>
      </c>
    </row>
    <row r="514">
      <c r="A514" t="inlineStr">
        <is>
          <t>J</t>
        </is>
      </c>
      <c r="B514" t="inlineStr">
        <is>
          <t>van Hoof, J; Bennetts, H; Hansen, A; Kazak, JK; Soebarto, V</t>
        </is>
      </c>
      <c r="F514" t="inlineStr">
        <is>
          <t>van Hoof, Joost; Bennetts, Helen; Hansen, Alana; Kazak, Jan K.; Soebarto, Veronica</t>
        </is>
      </c>
      <c r="J514" t="inlineStr">
        <is>
          <t>INTERNATIONAL JOURNAL OF ENVIRONMENTAL RESEARCH AND PUBLIC HEALTH</t>
        </is>
      </c>
      <c r="M514" t="inlineStr">
        <is>
          <t>English</t>
        </is>
      </c>
      <c r="N514" t="inlineStr">
        <is>
          <t>Article</t>
        </is>
      </c>
      <c r="T514" t="inlineStr">
        <is>
          <t>The Living Environment and Thermal Behaviours of Older South Australians: A Multi-Focus Group Study</t>
        </is>
      </c>
      <c r="U514" t="inlineStr">
        <is>
          <t>seniors; older adults; temperature; elderly; housing; thermal sensation; thermal comfort; building services engineering; public health</t>
        </is>
      </c>
      <c r="V514" t="inlineStr">
        <is>
          <t>HEAT-SUSCEPTIBILITY; ADAPTIVE BEHAVIORS; ELDERLY-PEOPLE; COMFORT; HEALTH; CARE; ADULTS; VULNERABILITY; PERCEPTIONS; CITIZENS</t>
        </is>
      </c>
      <c r="W514" t="inlineStr">
        <is>
          <t>Ageing brings about physiological changes that affect people's thermal sensitivity and thermoregulation. The majority of older Australians prefer to age in place and modifications to the home environment are often required to accommodate the occupants as they age and possibly become frail. However, modifications to aid thermal comfort are not always considered. Using a qualitative approach this study aims to understand the thermal qualities of the existing living environment of older South Australians, their strategies for keeping cool in hot weather and warm in cold weather and to identify existing problems related to planning and house design, and the use of heating and cooling. Data were gathered via seven focus group sessions with 49 older people living in three climate zones in South Australia. The sessions yielded four main themes, namely personal factors', feeling', knowing' and doing'. These themes can be used as a basis to develop information and guidelines for older people in dealing with hot and cold weather.</t>
        </is>
      </c>
      <c r="X514" t="inlineStr">
        <is>
          <t>[van Hoof, Joost] Hague Univ Appl Sci, Fac Social Work &amp; Educ, Johanna Westerdijkpl 75, NL-2521 EN The Hague, Netherlands; [van Hoof, Joost; Kazak, Jan K.] Wroclaw Univ Environm &amp; Life Sci, Fac Environm Engn &amp; Geodesy, Dept Spatial Econ, Ul Grunwaldzka 55, PL-50357 Wroclaw, Poland; [Bennetts, Helen; Soebarto, Veronica] Univ Adelaide, Sch Architecture &amp; Built Environm, Adelaide, SA 5005, Australia; [Hansen, Alana] Univ Adelaide, Sch Publ Hlth, Adelaide, SA 5005, Australia</t>
        </is>
      </c>
      <c r="Y514" t="inlineStr">
        <is>
          <t>Wroclaw University of Environmental &amp; Life Sciences; University of Adelaide; University of Adelaide</t>
        </is>
      </c>
      <c r="Z514" t="inlineStr">
        <is>
          <t>van Hoof, J (corresponding author), Hague Univ Appl Sci, Fac Social Work &amp; Educ, Johanna Westerdijkpl 75, NL-2521 EN The Hague, Netherlands.;van Hoof, J (corresponding author), Wroclaw Univ Environm &amp; Life Sci, Fac Environm Engn &amp; Geodesy, Dept Spatial Econ, Ul Grunwaldzka 55, PL-50357 Wroclaw, Poland.</t>
        </is>
      </c>
      <c r="AA514" t="inlineStr">
        <is>
          <t>j.vanhoof@hhs.nl; helen.bennetts@adelaide.edu.au; alana.hansen@adelaide.edu.au; jan.kazak@upwr.edu.pl; veronica.soebarto@adelaide.edu.au</t>
        </is>
      </c>
      <c r="AB514" t="inlineStr">
        <is>
          <t>Kazak, Jan/S-7783-2016; van Hoof, Joost/AAQ-5856-2021; van Hoof, Joost/AAU-8065-2021</t>
        </is>
      </c>
      <c r="AC514" t="inlineStr">
        <is>
          <t>Kazak, Jan/0000-0002-1864-9954; van Hoof, Joost/0000-0001-9704-7128; Hansen, Alana/0000-0003-0195-3770; Soebarto, Veronica/0000-0003-1397-8414</t>
        </is>
      </c>
      <c r="AD514" t="inlineStr">
        <is>
          <t>Australian Research Council (ARC) [DP180102019]</t>
        </is>
      </c>
      <c r="AE514" t="inlineStr">
        <is>
          <t>Australian Research Council (ARC)(Australian Research Council)</t>
        </is>
      </c>
      <c r="AF514" t="inlineStr">
        <is>
          <t>This Discovery Project Improving the thermal environment of housing for older Australians was funded by the Australian Research Council (ARC), grant number DP180102019.</t>
        </is>
      </c>
      <c r="AH514" t="n">
        <v>68</v>
      </c>
      <c r="AI514" t="n">
        <v>28</v>
      </c>
      <c r="AJ514" t="n">
        <v>28</v>
      </c>
      <c r="AK514" t="n">
        <v>3</v>
      </c>
      <c r="AL514" t="n">
        <v>27</v>
      </c>
      <c r="AM514" t="inlineStr">
        <is>
          <t>MDPI</t>
        </is>
      </c>
      <c r="AN514" t="inlineStr">
        <is>
          <t>BASEL</t>
        </is>
      </c>
      <c r="AO514" t="inlineStr">
        <is>
          <t>ST ALBAN-ANLAGE 66, CH-4052 BASEL, SWITZERLAND</t>
        </is>
      </c>
      <c r="AQ514" t="inlineStr">
        <is>
          <t>1660-4601</t>
        </is>
      </c>
      <c r="AS514" t="inlineStr">
        <is>
          <t>INT J ENV RES PUB HE</t>
        </is>
      </c>
      <c r="AT514" t="inlineStr">
        <is>
          <t>Int. J. Environ. Res. Public Health</t>
        </is>
      </c>
      <c r="AU514" t="inlineStr">
        <is>
          <t>MAR 2</t>
        </is>
      </c>
      <c r="AV514" t="n">
        <v>2019</v>
      </c>
      <c r="AW514" t="n">
        <v>16</v>
      </c>
      <c r="AX514" t="n">
        <v>6</v>
      </c>
      <c r="BE514" t="n">
        <v>935</v>
      </c>
      <c r="BF514" t="inlineStr">
        <is>
          <t>10.3390/ijerph16060935</t>
        </is>
      </c>
      <c r="BG514">
        <f>HYPERLINK("http://dx.doi.org/10.3390/ijerph16060935","http://dx.doi.org/10.3390/ijerph16060935")</f>
        <v/>
      </c>
      <c r="BJ514" t="n">
        <v>19</v>
      </c>
      <c r="BK514" t="inlineStr">
        <is>
          <t>Environmental Sciences; Public, Environmental &amp; Occupational Health</t>
        </is>
      </c>
      <c r="BL514" t="inlineStr">
        <is>
          <t>Science Citation Index Expanded (SCI-EXPANDED); Social Science Citation Index (SSCI)</t>
        </is>
      </c>
      <c r="BM514" t="inlineStr">
        <is>
          <t>Environmental Sciences &amp; Ecology; Public, Environmental &amp; Occupational Health</t>
        </is>
      </c>
      <c r="BN514" t="inlineStr">
        <is>
          <t>HU3GB</t>
        </is>
      </c>
      <c r="BO514" t="n">
        <v>30875903</v>
      </c>
      <c r="BP514" t="inlineStr">
        <is>
          <t>gold, Green Published</t>
        </is>
      </c>
      <c r="BS514" t="inlineStr">
        <is>
          <t>2023-10-26</t>
        </is>
      </c>
      <c r="BT514" t="inlineStr">
        <is>
          <t>WOS:000465159500035</t>
        </is>
      </c>
      <c r="BU514">
        <f>HYPERLINK("https%3A%2F%2Fwww.webofscience.com%2Fwos%2Fwoscc%2Ffull-record%2FWOS:000465159500035","View Full Record in Web of Science")</f>
        <v/>
      </c>
    </row>
    <row r="515">
      <c r="A515" t="inlineStr">
        <is>
          <t>J</t>
        </is>
      </c>
      <c r="B515" t="inlineStr">
        <is>
          <t>Zang, P; Liu, XH; Zhao, YB; Guo, HX; Lu, Y; Xue, CQL</t>
        </is>
      </c>
      <c r="F515" t="inlineStr">
        <is>
          <t>Zang, Peng; Liu, Xuhong; Zhao, Yabo; Guo, Hongxu; Lu, Yi; Xue, Charlie Q. L.</t>
        </is>
      </c>
      <c r="J515" t="inlineStr">
        <is>
          <t>INTERNATIONAL JOURNAL OF ENVIRONMENTAL RESEARCH AND PUBLIC HEALTH</t>
        </is>
      </c>
      <c r="M515" t="inlineStr">
        <is>
          <t>English</t>
        </is>
      </c>
      <c r="N515" t="inlineStr">
        <is>
          <t>Article</t>
        </is>
      </c>
      <c r="T515" t="inlineStr">
        <is>
          <t>Eye-Level Street Greenery and Walking Behaviors of Older Adults</t>
        </is>
      </c>
      <c r="U515" t="inlineStr">
        <is>
          <t>eye-level; street greenery; walking</t>
        </is>
      </c>
      <c r="V515" t="inlineStr">
        <is>
          <t>PHYSICAL-ACTIVITY; URBAN DESIGN; TRANSPORTATION; ENVIRONMENT; DIVERSITY; DENSITY; TRAVEL</t>
        </is>
      </c>
      <c r="W515" t="inlineStr">
        <is>
          <t>Evidence suggests that built environment characteristics affect older adults' travel activity behaviors, e.g., walking and cycling, which have well-established health benefits. However, the relationship between urban greenery and walking behaviors remains unclear, partly due to methodological limitation. Previous studies often measured urban greenery from a bird's eye perspective, which may mismatch with the pedestrian's perception from the street. In this study, we measured greenery view index from eye-level streetscape photos retrieved from Baidu Street View, an online mapping service provider. Walking behaviors of 180 older adults in six neighborhoods were collected from questionnaires. We also measured land use diversity, pedestrian-oriented design (street connectivity), and population density-the three Ds of the built environment. Results show that street greenery view index contributes to walking time of older adults, suggesting street greenery should be taken into design consideration to promote walking behaviors of older adults.</t>
        </is>
      </c>
      <c r="X515" t="inlineStr">
        <is>
          <t>[Zang, Peng; Liu, Xuhong; Zhao, Yabo; Guo, Hongxu] Guangdong Univ Technol, Dept Architecture &amp; Urban Planning, 729 Dongfeng E Rd, Guangzhou 510006, Peoples R China; [Lu, Yi; Xue, Charlie Q. L.] City Univ Hong Kong, Dept Architecture &amp; Civil Engn, Kowloon B6322, Hong Kong, Peoples R China</t>
        </is>
      </c>
      <c r="Y515" t="inlineStr">
        <is>
          <t>Guangdong University of Technology; City University of Hong Kong</t>
        </is>
      </c>
      <c r="Z515" t="inlineStr">
        <is>
          <t>Liu, XH (corresponding author), Guangdong Univ Technol, Dept Architecture &amp; Urban Planning, 729 Dongfeng E Rd, Guangzhou 510006, Peoples R China.</t>
        </is>
      </c>
      <c r="AA515" t="inlineStr">
        <is>
          <t>pzang89@gdut.edu.cn; xuhong_liu@126.com; zhaoyb@gdut.edu.cn; guohx@163.com; yilu24@cityu.edu.hk; bscqx@cityu.edu.hk</t>
        </is>
      </c>
      <c r="AB515" t="inlineStr">
        <is>
          <t>LU, Yi/AAD-7750-2020; , Abel/AAK-8868-2020</t>
        </is>
      </c>
      <c r="AC515" t="inlineStr">
        <is>
          <t>LU, Yi/0000-0001-7614-6661; XUE, Qiuli Charlie/0000-0003-4835-7458</t>
        </is>
      </c>
      <c r="AD515" t="inlineStr">
        <is>
          <t>National Natural Science Foundation of China [51908135]; Guangzhou Science and Technology Innovation Project [220413635]</t>
        </is>
      </c>
      <c r="AE515" t="inlineStr">
        <is>
          <t>National Natural Science Foundation of China(National Natural Science Foundation of China (NSFC)); Guangzhou Science and Technology Innovation Project</t>
        </is>
      </c>
      <c r="AF515" t="inlineStr">
        <is>
          <t>This research was funded by National Natural Science Foundation of China, grant number 51908135; and Guangzhou Science and Technology Innovation Project, grant number 220413635.</t>
        </is>
      </c>
      <c r="AH515" t="n">
        <v>27</v>
      </c>
      <c r="AI515" t="n">
        <v>22</v>
      </c>
      <c r="AJ515" t="n">
        <v>23</v>
      </c>
      <c r="AK515" t="n">
        <v>10</v>
      </c>
      <c r="AL515" t="n">
        <v>55</v>
      </c>
      <c r="AM515" t="inlineStr">
        <is>
          <t>MDPI</t>
        </is>
      </c>
      <c r="AN515" t="inlineStr">
        <is>
          <t>BASEL</t>
        </is>
      </c>
      <c r="AO515" t="inlineStr">
        <is>
          <t>ST ALBAN-ANLAGE 66, CH-4052 BASEL, SWITZERLAND</t>
        </is>
      </c>
      <c r="AQ515" t="inlineStr">
        <is>
          <t>1660-4601</t>
        </is>
      </c>
      <c r="AS515" t="inlineStr">
        <is>
          <t>INT J ENV RES PUB HE</t>
        </is>
      </c>
      <c r="AT515" t="inlineStr">
        <is>
          <t>Int. J. Environ. Res. Public Health</t>
        </is>
      </c>
      <c r="AU515" t="inlineStr">
        <is>
          <t>SEP</t>
        </is>
      </c>
      <c r="AV515" t="n">
        <v>2020</v>
      </c>
      <c r="AW515" t="n">
        <v>17</v>
      </c>
      <c r="AX515" t="n">
        <v>17</v>
      </c>
      <c r="BE515" t="n">
        <v>6130</v>
      </c>
      <c r="BF515" t="inlineStr">
        <is>
          <t>10.3390/ijerph17176130</t>
        </is>
      </c>
      <c r="BG515">
        <f>HYPERLINK("http://dx.doi.org/10.3390/ijerph17176130","http://dx.doi.org/10.3390/ijerph17176130")</f>
        <v/>
      </c>
      <c r="BJ515" t="n">
        <v>9</v>
      </c>
      <c r="BK515" t="inlineStr">
        <is>
          <t>Environmental Sciences; Public, Environmental &amp; Occupational Health</t>
        </is>
      </c>
      <c r="BL515" t="inlineStr">
        <is>
          <t>Science Citation Index Expanded (SCI-EXPANDED); Social Science Citation Index (SSCI)</t>
        </is>
      </c>
      <c r="BM515" t="inlineStr">
        <is>
          <t>Environmental Sciences &amp; Ecology; Public, Environmental &amp; Occupational Health</t>
        </is>
      </c>
      <c r="BN515" t="inlineStr">
        <is>
          <t>NO6PI</t>
        </is>
      </c>
      <c r="BO515" t="n">
        <v>32846869</v>
      </c>
      <c r="BP515" t="inlineStr">
        <is>
          <t>gold, Green Published</t>
        </is>
      </c>
      <c r="BS515" t="inlineStr">
        <is>
          <t>2023-10-26</t>
        </is>
      </c>
      <c r="BT515" t="inlineStr">
        <is>
          <t>WOS:000569611200001</t>
        </is>
      </c>
      <c r="BU515">
        <f>HYPERLINK("https%3A%2F%2Fwww.webofscience.com%2Fwos%2Fwoscc%2Ffull-record%2FWOS:000569611200001","View Full Record in Web of Science")</f>
        <v/>
      </c>
    </row>
    <row r="516">
      <c r="A516" t="inlineStr">
        <is>
          <t>J</t>
        </is>
      </c>
      <c r="B516" t="inlineStr">
        <is>
          <t>del Barrio, E; Pinzón, S; Marsillas, S; Garrido, F</t>
        </is>
      </c>
      <c r="F516" t="inlineStr">
        <is>
          <t>del Barrio, Elena; Pinzon, Sandra; Marsillas, Sara; Garrido, Francisco</t>
        </is>
      </c>
      <c r="J516" t="inlineStr">
        <is>
          <t>INTERNATIONAL JOURNAL OF ENVIRONMENTAL RESEARCH AND PUBLIC HEALTH</t>
        </is>
      </c>
      <c r="M516" t="inlineStr">
        <is>
          <t>English</t>
        </is>
      </c>
      <c r="N516" t="inlineStr">
        <is>
          <t>Article</t>
        </is>
      </c>
      <c r="T516" t="inlineStr">
        <is>
          <t>Physical Environment vs. Social Environment: What Factors of Age-Friendliness Predict Subjective Well-Being in Men and Women?</t>
        </is>
      </c>
      <c r="U516" t="inlineStr">
        <is>
          <t>age-friendly cities; well-being; older people; participation; physical environment; social environment; gender</t>
        </is>
      </c>
      <c r="V516" t="inlineStr">
        <is>
          <t>LIFE SATISFACTION; OLDER-ADULTS; HEALTH; NEIGHBORHOOD; INITIATIVES; COMMUNITIES; BENEFITS; OPTIMISM; NETWORK</t>
        </is>
      </c>
      <c r="W516" t="inlineStr">
        <is>
          <t>Age-Friendly Cities and Communities is an initiative launched by the WHO in 2007 that has spread to more than 1000 cities and communities around the world. This initiative is based on an integrated physical and social environment for older people, and a model of participatory, collaborative governance. An enabling social environment setting is just as important as material conditions in determining well-being in later life. The objective of this study is to analyze the interaction between age-friendliness (physical and social) and subjective well-being in women and men aged 55 and over in the Basque Country. The methodology was based on a survey of a representative sample (n = 2469 individuals). In order to know the predictive power of age-friendliness over subjective well-being, linear regression models separated by gender were constructed. The predictive models of age-friendliness are composed by different variables for men and women. In both cases, the physical environment variables do not remain in the final model. Among the predictors of well-being in men, the coexistence stands out as a safety and support network. In women, the neighborhood has proved to be a very important resource. The conclusions of this study contribute to literature and interventions promoting more effective strategies that enhance older people well-being, considering the gender perspective.</t>
        </is>
      </c>
      <c r="X516" t="inlineStr">
        <is>
          <t>[del Barrio, Elena; Marsillas, Sara] Matia Inst Gerontol, C Orense 6, Madrid 28020, Spain; [Pinzon, Sandra] Andalusian Sch Publ Hlth, Cuesta Observ 4, Granada 18011, Spain; [Garrido, Francisco] Univ Jaen, Dept Criminal Law Philosophy Law Moral Philosophy, Carretera Bailen 12, Jaen 23009, Spain</t>
        </is>
      </c>
      <c r="Y516" t="inlineStr">
        <is>
          <t>Escuela Andaluza de Salud Publica; Universidad de Jaen</t>
        </is>
      </c>
      <c r="Z516" t="inlineStr">
        <is>
          <t>del Barrio, E (corresponding author), Matia Inst Gerontol, C Orense 6, Madrid 28020, Spain.</t>
        </is>
      </c>
      <c r="AA516" t="inlineStr">
        <is>
          <t>elena.barrio@matiafundazioa.eus; sandra.pinzon.easp@juntadeandalucia.es; sara.marsillas@matiafundazioa.eus; fpena@ujaen.es</t>
        </is>
      </c>
      <c r="AC516" t="inlineStr">
        <is>
          <t>del Barrio Truchado, Elena/0000-0002-5968-0237; Garrido Pena, Francisco de Asis/0000-0002-9790-238X</t>
        </is>
      </c>
      <c r="AH516" t="n">
        <v>97</v>
      </c>
      <c r="AI516" t="n">
        <v>10</v>
      </c>
      <c r="AJ516" t="n">
        <v>10</v>
      </c>
      <c r="AK516" t="n">
        <v>2</v>
      </c>
      <c r="AL516" t="n">
        <v>21</v>
      </c>
      <c r="AM516" t="inlineStr">
        <is>
          <t>MDPI</t>
        </is>
      </c>
      <c r="AN516" t="inlineStr">
        <is>
          <t>BASEL</t>
        </is>
      </c>
      <c r="AO516" t="inlineStr">
        <is>
          <t>ST ALBAN-ANLAGE 66, CH-4052 BASEL, SWITZERLAND</t>
        </is>
      </c>
      <c r="AQ516" t="inlineStr">
        <is>
          <t>1660-4601</t>
        </is>
      </c>
      <c r="AS516" t="inlineStr">
        <is>
          <t>INT J ENV RES PUB HE</t>
        </is>
      </c>
      <c r="AT516" t="inlineStr">
        <is>
          <t>Int. J. Environ. Res. Public Health</t>
        </is>
      </c>
      <c r="AU516" t="inlineStr">
        <is>
          <t>JAN</t>
        </is>
      </c>
      <c r="AV516" t="n">
        <v>2021</v>
      </c>
      <c r="AW516" t="n">
        <v>18</v>
      </c>
      <c r="AX516" t="n">
        <v>2</v>
      </c>
      <c r="BE516" t="n">
        <v>798</v>
      </c>
      <c r="BF516" t="inlineStr">
        <is>
          <t>10.3390/ijerph18020798</t>
        </is>
      </c>
      <c r="BG516">
        <f>HYPERLINK("http://dx.doi.org/10.3390/ijerph18020798","http://dx.doi.org/10.3390/ijerph18020798")</f>
        <v/>
      </c>
      <c r="BJ516" t="n">
        <v>19</v>
      </c>
      <c r="BK516" t="inlineStr">
        <is>
          <t>Environmental Sciences; Public, Environmental &amp; Occupational Health</t>
        </is>
      </c>
      <c r="BL516" t="inlineStr">
        <is>
          <t>Science Citation Index Expanded (SCI-EXPANDED); Social Science Citation Index (SSCI)</t>
        </is>
      </c>
      <c r="BM516" t="inlineStr">
        <is>
          <t>Environmental Sciences &amp; Ecology; Public, Environmental &amp; Occupational Health</t>
        </is>
      </c>
      <c r="BN516" t="inlineStr">
        <is>
          <t>PX3DW</t>
        </is>
      </c>
      <c r="BO516" t="n">
        <v>33477788</v>
      </c>
      <c r="BP516" t="inlineStr">
        <is>
          <t>Green Published, gold</t>
        </is>
      </c>
      <c r="BS516" t="inlineStr">
        <is>
          <t>2023-10-26</t>
        </is>
      </c>
      <c r="BT516" t="inlineStr">
        <is>
          <t>WOS:000611240600001</t>
        </is>
      </c>
      <c r="BU516">
        <f>HYPERLINK("https%3A%2F%2Fwww.webofscience.com%2Fwos%2Fwoscc%2Ffull-record%2FWOS:000611240600001","View Full Record in Web of Science")</f>
        <v/>
      </c>
    </row>
    <row r="517">
      <c r="A517" t="inlineStr">
        <is>
          <t>J</t>
        </is>
      </c>
      <c r="B517" t="inlineStr">
        <is>
          <t>Yuan, JJ; Song, XY; Yang, XY; Yang, C; Wang, YX; Deng, GF; Wang, ZC; Gao, JB</t>
        </is>
      </c>
      <c r="F517" t="inlineStr">
        <is>
          <t>Yuan, Junjie; Song, Xueyi; Yang, Xinyue; Yang, Chen; Wang, Yinxi; Deng, Gaofeng; Wang, Zhichao; Gao, Jubao</t>
        </is>
      </c>
      <c r="J517" t="inlineStr">
        <is>
          <t>ENVIRONMENTAL CHEMISTRY LETTERS</t>
        </is>
      </c>
      <c r="M517" t="inlineStr">
        <is>
          <t>English</t>
        </is>
      </c>
      <c r="N517" t="inlineStr">
        <is>
          <t>Review</t>
        </is>
      </c>
      <c r="T517" t="inlineStr">
        <is>
          <t>Indoor carbon dioxide capture technologies: a review</t>
        </is>
      </c>
      <c r="U517" t="inlineStr">
        <is>
          <t>Indoor air; Amine; Wet impregnation; Adsorption capacity; Thermal swing adsorption; Ventilation system</t>
        </is>
      </c>
      <c r="V517" t="inlineStr">
        <is>
          <t>METAL-ORGANIC FRAMEWORKS; CO2 CAPTURE; SWING ADSORPTION; SOLID ADSORBENTS; AIR; SEPARATION; REMOVAL; SILICA; PERFORMANCE; ALKALI</t>
        </is>
      </c>
      <c r="W517" t="inlineStr">
        <is>
          <t>Global warming could be slowed down by removing carbon dioxide from the atmosphere, yet classical methods for carbon dioxide capture are fewly adapted to indoor settings with carbon dioxide concentrations of 1000-2000 ppmv. Here we review advanced indoor carbon dioxide capture technology with focus on physical adsorption, chemical adsorption, and materials for carbon capture. Physical adsorption includes thermal swing adsorption, ion exchange, and activated carbon impregnation. Chemical adsorption comprises wet impregnation, chemical grafting, the sol-gel method, electric mixing, the solvothermal method, and phase inversion. We observed that thermal swing adsorption is efficient, requires low energy, and is long-lasting. Wet impregnation fosters the development of high-performance materials with exceptional adsorption capacity through modifications in loading mass fraction and functionalization. Silicon dioxide is the most prevalent support material for wet impregnation, with tetraethylenepentamine and polyethyleneimine loading on silica exhibiting remarkable adsorption capacities, up to 4.05 mmol/g. Coupling of ventilation systems with indoor capture devices is promising for applications. The current research on indoor capture primarily focuses on the enhancement of adsorption capacity, thus often overlooking material stability and adsorption rates. Therefore, mathematical models are needed to optimize cyclic stability.</t>
        </is>
      </c>
      <c r="X517" t="inlineStr">
        <is>
          <t>[Yuan, Junjie; Song, Xueyi; Yang, Xinyue; Yang, Chen; Wang, Yinxi; Gao, Jubao] Univ Sci &amp; Technol Beijing, Sch Energy &amp; Environm Engn, Beijing 100083, Peoples R China; [Deng, Gaofeng; Wang, Zhichao] State Key Lab Bldg Safety &amp; Built Environm, Beijing 100013, Peoples R China; [Deng, Gaofeng; Wang, Zhichao] China Acad Bldg Res, Beijing 100013, Peoples R China</t>
        </is>
      </c>
      <c r="Y517" t="inlineStr">
        <is>
          <t>University of Science &amp; Technology Beijing</t>
        </is>
      </c>
      <c r="Z517" t="inlineStr">
        <is>
          <t>Gao, JB (corresponding author), Univ Sci &amp; Technol Beijing, Sch Energy &amp; Environm Engn, Beijing 100083, Peoples R China.;Wang, ZC (corresponding author), State Key Lab Bldg Safety &amp; Built Environm, Beijing 100013, Peoples R China.;Wang, ZC (corresponding author), China Acad Bldg Res, Beijing 100013, Peoples R China.</t>
        </is>
      </c>
      <c r="AA517" t="inlineStr">
        <is>
          <t>wangzc@emcso.com; b2132346@ustb.edu.cn</t>
        </is>
      </c>
      <c r="AB517" t="inlineStr">
        <is>
          <t>Wang, Zhichao/AAQ-7722-2020</t>
        </is>
      </c>
      <c r="AC517" t="inlineStr">
        <is>
          <t>Wang, Zhichao/0000-0001-6662-835X</t>
        </is>
      </c>
      <c r="AD517" t="inlineStr">
        <is>
          <t>Opening Funds of State Key Laboratory of Building Safety and Built Environment [BSBE2022-EET-02]</t>
        </is>
      </c>
      <c r="AE517" t="inlineStr">
        <is>
          <t>Opening Funds of State Key Laboratory of Building Safety and Built Environment</t>
        </is>
      </c>
      <c r="AF517" t="inlineStr">
        <is>
          <t>AcknowledgementsThis work was supported by the Opening Funds of State Key Laboratory of Building Safety and Built Environment (BSBE2022-EET-02).</t>
        </is>
      </c>
      <c r="AH517" t="n">
        <v>111</v>
      </c>
      <c r="AI517" t="n">
        <v>0</v>
      </c>
      <c r="AJ517" t="n">
        <v>0</v>
      </c>
      <c r="AK517" t="n">
        <v>19</v>
      </c>
      <c r="AL517" t="n">
        <v>19</v>
      </c>
      <c r="AM517" t="inlineStr">
        <is>
          <t>SPRINGER HEIDELBERG</t>
        </is>
      </c>
      <c r="AN517" t="inlineStr">
        <is>
          <t>HEIDELBERG</t>
        </is>
      </c>
      <c r="AO517" t="inlineStr">
        <is>
          <t>TIERGARTENSTRASSE 17, D-69121 HEIDELBERG, GERMANY</t>
        </is>
      </c>
      <c r="AP517" t="inlineStr">
        <is>
          <t>1610-3653</t>
        </is>
      </c>
      <c r="AQ517" t="inlineStr">
        <is>
          <t>1610-3661</t>
        </is>
      </c>
      <c r="AS517" t="inlineStr">
        <is>
          <t>ENVIRON CHEM LETT</t>
        </is>
      </c>
      <c r="AT517" t="inlineStr">
        <is>
          <t>Environ. Chem. Lett.</t>
        </is>
      </c>
      <c r="AU517" t="inlineStr">
        <is>
          <t>OCT</t>
        </is>
      </c>
      <c r="AV517" t="n">
        <v>2023</v>
      </c>
      <c r="AW517" t="n">
        <v>21</v>
      </c>
      <c r="AX517" t="n">
        <v>5</v>
      </c>
      <c r="BC517" t="n">
        <v>2559</v>
      </c>
      <c r="BD517" t="n">
        <v>2581</v>
      </c>
      <c r="BF517" t="inlineStr">
        <is>
          <t>10.1007/s10311-023-01620-3</t>
        </is>
      </c>
      <c r="BG517">
        <f>HYPERLINK("http://dx.doi.org/10.1007/s10311-023-01620-3","http://dx.doi.org/10.1007/s10311-023-01620-3")</f>
        <v/>
      </c>
      <c r="BI517" t="inlineStr">
        <is>
          <t>JUL 2023</t>
        </is>
      </c>
      <c r="BJ517" t="n">
        <v>23</v>
      </c>
      <c r="BK517" t="inlineStr">
        <is>
          <t>Chemistry, Multidisciplinary; Engineering, Environmental; Environmental Sciences</t>
        </is>
      </c>
      <c r="BL517" t="inlineStr">
        <is>
          <t>Science Citation Index Expanded (SCI-EXPANDED)</t>
        </is>
      </c>
      <c r="BM517" t="inlineStr">
        <is>
          <t>Chemistry; Engineering; Environmental Sciences &amp; Ecology</t>
        </is>
      </c>
      <c r="BN517" t="inlineStr">
        <is>
          <t>Q3EG9</t>
        </is>
      </c>
      <c r="BP517" t="inlineStr">
        <is>
          <t>Green Submitted</t>
        </is>
      </c>
      <c r="BS517" t="inlineStr">
        <is>
          <t>2023-10-26</t>
        </is>
      </c>
      <c r="BT517" t="inlineStr">
        <is>
          <t>WOS:001024131000001</t>
        </is>
      </c>
      <c r="BU517">
        <f>HYPERLINK("https%3A%2F%2Fwww.webofscience.com%2Fwos%2Fwoscc%2Ffull-record%2FWOS:001024131000001","View Full Record in Web of Science")</f>
        <v/>
      </c>
    </row>
    <row r="518">
      <c r="A518" t="inlineStr">
        <is>
          <t>J</t>
        </is>
      </c>
      <c r="B518" t="inlineStr">
        <is>
          <t>Mahmood, A; Patille, R; Lam, E; Mora, DJ; Gurung, S; Bookmyer, G; Weldrick, R; Chaudhury, H; Canham, SL</t>
        </is>
      </c>
      <c r="F518" t="inlineStr">
        <is>
          <t>Mahmood, Atiya; Patille, Rachelle; Lam, Emily; Mora, Diana Juanita; Gurung, Shreemouna; Bookmyer, Gracen; Weldrick, Rachel; Chaudhury, Habib; Canham, Sarah L.</t>
        </is>
      </c>
      <c r="J518" t="inlineStr">
        <is>
          <t>INTERNATIONAL JOURNAL OF ENVIRONMENTAL RESEARCH AND PUBLIC HEALTH</t>
        </is>
      </c>
      <c r="M518" t="inlineStr">
        <is>
          <t>English</t>
        </is>
      </c>
      <c r="N518" t="inlineStr">
        <is>
          <t>Article</t>
        </is>
      </c>
      <c r="T518" t="inlineStr">
        <is>
          <t>Aging in the Right Place for Older Adults Experiencing Housing Insecurity: An Environmental Assessment of Temporary Housing Program</t>
        </is>
      </c>
      <c r="U518" t="inlineStr">
        <is>
          <t>aging in the right place; older adults; built environment; housing insecurity; homelessness</t>
        </is>
      </c>
      <c r="V518" t="inlineStr">
        <is>
          <t>HOME; HOMELESSNESS; PEOPLE; HEALTH; WELL</t>
        </is>
      </c>
      <c r="W518" t="inlineStr">
        <is>
          <t>Research on programs offering senior-specific housing supports and enabling aging in the right place (AIRP) for older persons with experiences of homelessness (OPEH) is limited. This paper presents an environmental assessment of a transitional housing program (THP) in Metro Vancouver, Canada, for OPEH to AIRP. Data were collected using Aging in the Right Place Environmental (AIRP-ENV) and Secondary Observation (AIRP-ENV-SO) audit tools designed to evaluate multi-unit housing for OPEH. The 241-item AIRP-ENV tool was used to assess the built environmental features of four multi-unit buildings of the THP. The AIRP-ENV-SO tool was used to collect contextual data on the function, safety, and land use of the surrounding neighborhood. Findings identified built environment and urban design features that support THP residents' safety, security, accessibility, functionality, social activity, autonomy, and identity. The THP buildings were rated 'Good' for accessibility, functionality, autonomy and identity, while 'Satisfactory' or 'Poor' for safety, security, and social activity. Findings point to the built environmental features (e.g., size and layout of spaces) required in the THP to create opportunities for increased social engagement among residents and enhanced safety and security. The AIRP-ENV and AIRP-ENV-SO audit tools can help inform programs across the housing continuum to develop supportive built environments that promote AIRP for OPEH.</t>
        </is>
      </c>
      <c r="X518" t="inlineStr">
        <is>
          <t>[Mahmood, Atiya; Patille, Rachelle; Gurung, Shreemouna; Bookmyer, Gracen; Weldrick, Rachel; Chaudhury, Habib] Simon Fraser Univ, Dept Gerontol, 515 West Hastings,Suite 2800, Vancouver, BC V6B 5K3, Canada; [Lam, Emily; Mora, Diana Juanita] Simon Fraser Univ, Fac Hlth Sci, 8888 Univ Dr, Burnaby, BC V5A 1S6, Canada; [Canham, Sarah L.] Univ Utah, Coll Social Work, 395 S 1500 E, Salt Lake City, UT 84112 USA; [Canham, Sarah L.] Univ Utah, Coll Architecture &amp; Planning, 375 1530 E, Salt Lake City, UT 84112 USA</t>
        </is>
      </c>
      <c r="Y518" t="inlineStr">
        <is>
          <t>Simon Fraser University; Simon Fraser University; Utah System of Higher Education; University of Utah; Utah System of Higher Education; University of Utah</t>
        </is>
      </c>
      <c r="Z518" t="inlineStr">
        <is>
          <t>Patille, R; Bookmyer, G (corresponding author), Simon Fraser Univ, Dept Gerontol, 515 West Hastings,Suite 2800, Vancouver, BC V6B 5K3, Canada.</t>
        </is>
      </c>
      <c r="AA518" t="inlineStr">
        <is>
          <t>rachelle_patille@sfu.ca; gracen_bookmyer@sfu.ca</t>
        </is>
      </c>
      <c r="AC518" t="inlineStr">
        <is>
          <t>Weldrick, Rachel/0000-0002-5679-6066; Mora, Diana Juanita/0000-0001-9356-163X; Patille, Rachelle/0000-0002-9829-446X; Canham, Sarah/0000-0002-0421-2612</t>
        </is>
      </c>
      <c r="AD518" t="inlineStr">
        <is>
          <t>Canadian Mortgage Housing Corporation (CMHC) [1004-2019-0006]; Social Sciences and Humanities Research Council (SSHRC) [1004-2019-0006]; Simon Fraser University; CMHC-SSHRC Partnership Grant [1004-2019-0006]</t>
        </is>
      </c>
      <c r="AE518" t="inlineStr">
        <is>
          <t>Canadian Mortgage Housing Corporation (CMHC); Social Sciences and Humanities Research Council (SSHRC)(Social Sciences and Humanities Research Council of Canada (SSHRC)); Simon Fraser University; CMHC-SSHRC Partnership Grant(Newton-Al-Farabi Partnership Programme)</t>
        </is>
      </c>
      <c r="AF518" t="inlineStr">
        <is>
          <t>This research was made possible by the Canadian Mortgage Housing Corporation (CMHC) and the Social Sciences and Humanities Research Council (SSHRC) jointly funded Partnership Grant (File #: 1004-2019-0006). The opinions and interpretations in this publication are those of the authors and do not necessarily reflect those of CMHC or SSHRC. The APC was funded by Simon Fraser University's Open Access Grant and the CMHC-SSHRC Partnership Grant (File #: 1004-2019-0006).</t>
        </is>
      </c>
      <c r="AH518" t="n">
        <v>55</v>
      </c>
      <c r="AI518" t="n">
        <v>1</v>
      </c>
      <c r="AJ518" t="n">
        <v>1</v>
      </c>
      <c r="AK518" t="n">
        <v>1</v>
      </c>
      <c r="AL518" t="n">
        <v>3</v>
      </c>
      <c r="AM518" t="inlineStr">
        <is>
          <t>MDPI</t>
        </is>
      </c>
      <c r="AN518" t="inlineStr">
        <is>
          <t>BASEL</t>
        </is>
      </c>
      <c r="AO518" t="inlineStr">
        <is>
          <t>ST ALBAN-ANLAGE 66, CH-4052 BASEL, SWITZERLAND</t>
        </is>
      </c>
      <c r="AQ518" t="inlineStr">
        <is>
          <t>1660-4601</t>
        </is>
      </c>
      <c r="AS518" t="inlineStr">
        <is>
          <t>INT J ENV RES PUB HE</t>
        </is>
      </c>
      <c r="AT518" t="inlineStr">
        <is>
          <t>Int. J. Environ. Res. Public Health</t>
        </is>
      </c>
      <c r="AU518" t="inlineStr">
        <is>
          <t>NOV</t>
        </is>
      </c>
      <c r="AV518" t="n">
        <v>2022</v>
      </c>
      <c r="AW518" t="n">
        <v>19</v>
      </c>
      <c r="AX518" t="n">
        <v>22</v>
      </c>
      <c r="BE518" t="n">
        <v>14857</v>
      </c>
      <c r="BF518" t="inlineStr">
        <is>
          <t>10.3390/ijerph192214857</t>
        </is>
      </c>
      <c r="BG518">
        <f>HYPERLINK("http://dx.doi.org/10.3390/ijerph192214857","http://dx.doi.org/10.3390/ijerph192214857")</f>
        <v/>
      </c>
      <c r="BJ518" t="n">
        <v>12</v>
      </c>
      <c r="BK518" t="inlineStr">
        <is>
          <t>Environmental Sciences; Public, Environmental &amp; Occupational Health</t>
        </is>
      </c>
      <c r="BL518" t="inlineStr">
        <is>
          <t>Science Citation Index Expanded (SCI-EXPANDED); Social Science Citation Index (SSCI)</t>
        </is>
      </c>
      <c r="BM518" t="inlineStr">
        <is>
          <t>Environmental Sciences &amp; Ecology; Public, Environmental &amp; Occupational Health</t>
        </is>
      </c>
      <c r="BN518" t="inlineStr">
        <is>
          <t>6K0QY</t>
        </is>
      </c>
      <c r="BO518" t="n">
        <v>36429576</v>
      </c>
      <c r="BP518" t="inlineStr">
        <is>
          <t>gold, Green Published</t>
        </is>
      </c>
      <c r="BS518" t="inlineStr">
        <is>
          <t>2023-10-26</t>
        </is>
      </c>
      <c r="BT518" t="inlineStr">
        <is>
          <t>WOS:000887219400001</t>
        </is>
      </c>
      <c r="BU518">
        <f>HYPERLINK("https%3A%2F%2Fwww.webofscience.com%2Fwos%2Fwoscc%2Ffull-record%2FWOS:000887219400001","View Full Record in Web of Science")</f>
        <v/>
      </c>
    </row>
    <row r="519">
      <c r="A519" t="inlineStr">
        <is>
          <t>J</t>
        </is>
      </c>
      <c r="B519" t="inlineStr">
        <is>
          <t>de Bont, J; Márquez, SM; Fernández-Barrés, S; Warembourg, C; Koch, S; Persavento, C; Fochs, S; Peya, N; de Castro, M; Fossati, S; Nieuwenhuijsen, M; Basagaña, X; Casas, M; Duarte-Salles, T; Vrijheid, M</t>
        </is>
      </c>
      <c r="F519" t="inlineStr">
        <is>
          <t>de Bont, Jeroen; Marquez, Sandra; Fernandez-Barres, Silvia; Warembourg, Charline; Koch, Sarah; Persavento, Cecilia; Fochs, Silvia; Peya, Nuria; de Castro, Montserrat; Fossati, Serena; Nieuwenhuijsen, Mark; Basagana, Xavier; Casas, Maribel; Duarte-Salles, Talita; Vrijheid, Martine</t>
        </is>
      </c>
      <c r="J519" t="inlineStr">
        <is>
          <t>ENVIRONMENT INTERNATIONAL</t>
        </is>
      </c>
      <c r="M519" t="inlineStr">
        <is>
          <t>English</t>
        </is>
      </c>
      <c r="N519" t="inlineStr">
        <is>
          <t>Article</t>
        </is>
      </c>
      <c r="T519" t="inlineStr">
        <is>
          <t>Urban environment and obesity and weight-related behaviours in primary school children</t>
        </is>
      </c>
      <c r="U519" t="inlineStr">
        <is>
          <t>Urban environment; Body mass index; Childhood obesity; Weight-related behaviours; Cluster analyses</t>
        </is>
      </c>
      <c r="V519" t="inlineStr">
        <is>
          <t>BODY-MASS INDEX; AIR-POLLUTION EXPOSURE; USE REGRESSION-MODELS; TRAFFIC NOISE; LAND-USE; NEIGHBORHOOD WALKABILITY; CHILDHOOD OBESITY; BUILT ENVIRONMENT; PHYSICAL-ACTIVITY; AGED CHILDREN</t>
        </is>
      </c>
      <c r="W519" t="inlineStr">
        <is>
          <t>Background: Urban environments are characterised by many factors that may influence children's lifestyle and increase the risk of childhood obesity, but multiple urban exposures have scarcely been studied. Objective: We evaluated the association between multiple urban exposures and childhood obesity outcomes and weight-related behaviours. Methods: We conducted a cross-sectional study including 2213 children aged 9-12 years in Sabadell, Spain. We estimated ambient air pollution, green spaces, built and food environment, road traffic and road traffic noise at residential addresses through a total of 28 exposure variables in various buffers. Childhood obesity outcomes included body mass index (BMI), waist circumference and body fat. Weight-related behaviours included diet (fast food and sugar-sweetened beverage consumption), physical activity, sedentary behaviour, sleep duration and well-being. Associations between exposures (urban environment) and outcomes (obesity and behaviours) were estimated in single and multiple-exposure regression models and in a hierarchical clustering on principal components (HCPC) analysis. Results: Forty percent of children were overweight or obese. In single exposure models, very few associations were observed between the urban exposures and obesity outcomes or weight-related behaviours after correction for multiple testing. In multiple exposure models, PMcoarse, denser unhealthy food environment and land use mix were statistically significant associated with childhood obesity outcomes (e.g 17.7 facilities/km2 increase of unhealthy food environment (OR overweight/obesity status) = 1.20 [95% CI: 1.01; 1.44]). Cluster analysis identified 5 clusters of urban exposures. Compared to the most neutral cluster, the cluster with high air pollution, road traffic, and road noise levels was associated with a higher BMI and higher odds of overweight and obesity (beta (zBMI) = 0.17, [95% CI: 0.01, 0.17]; OR (overweight/obesity) = 1.36, [95% CI: 0.99, 1.85]); the clusters were not associated with the weight-related behaviours. Conclusions: This systematic study of many exposures in the urban environment suggests that an exposure pattern characterised by higher levels of ambient air pollution, road traffic and road traffic noise is associated with increased childhood obesity risk and that PMcoarse, land use mix and food environment are separately associated with obesity risk. These findings require follow-up in longitudinal studies and different settings.</t>
        </is>
      </c>
      <c r="X519" t="inlineStr">
        <is>
          <t>[de Bont, Jeroen; Marquez, Sandra; Fernandez-Barres, Silvia; Warembourg, Charline; Koch, Sarah; Persavento, Cecilia; Fochs, Silvia; Peya, Nuria; de Castro, Montserrat; Fossati, Serena; Nieuwenhuijsen, Mark; Basagana, Xavier; Casas, Maribel; Duarte-Salles, Talita; Vrijheid, Martine] ISGlobal, Barcelona, Spain; [de Bont, Jeroen; Marquez, Sandra; Fernandez-Barres, Silvia; Warembourg, Charline; Koch, Sarah; Persavento, Cecilia; Fochs, Silvia; Peya, Nuria; de Castro, Montserrat; Fossati, Serena; Nieuwenhuijsen, Mark; Basagana, Xavier; Casas, Maribel; Duarte-Salles, Talita; Vrijheid, Martine] Spanish Consortium Res Epidemiol &amp; Publ Hlth CIBE, Madrid, Spain; [de Bont, Jeroen; Marquez, Sandra; Fernandez-Barres, Silvia; Warembourg, Charline; Koch, Sarah; Persavento, Cecilia; Fochs, Silvia; Peya, Nuria; de Castro, Montserrat; Fossati, Serena; Nieuwenhuijsen, Mark; Basagana, Xavier; Casas, Maribel; Duarte-Salles, Talita; Vrijheid, Martine] Univ Pompeu Fabra, Barcelona, Spain; [de Bont, Jeroen; Duarte-Salles, Talita] Fundacio Inst Univ Recerca Atencio Primaria Salut, Barcelona, Spain; [de Bont, Jeroen] Univ Autonoma Barcelona, Bellaterra, Cerdanyola Del, Spain</t>
        </is>
      </c>
      <c r="Y519" t="inlineStr">
        <is>
          <t>ISGlobal; CIBER - Centro de Investigacion Biomedica en Red; CIBERESP; Pompeu Fabra University; Autonomous University of Barcelona</t>
        </is>
      </c>
      <c r="Z519" t="inlineStr">
        <is>
          <t>Vrijheid, M (corresponding author), Barcelona Inst Global Hlth, C Doctor Aiguader 88, Barcelona 08003, Spain.</t>
        </is>
      </c>
      <c r="AA519" t="inlineStr">
        <is>
          <t>martine.vrijheid@isglobal.org</t>
        </is>
      </c>
      <c r="AB519" t="inlineStr">
        <is>
          <t>de Bont, Jeroen/HZI-8523-2023; Basagaña, Xavier/C-3901-2017; de Castro, Montserrat/ABF-8902-2020; Fernández-Barrés, Sílvia/AAA-6480-2020; Vrijheid, Martine/H-2702-2014; Warembourg, Charline/AAP-5498-2020; Casas, Maribel/T-5643-2017; Koch, Sarah/AAD-8599-2020</t>
        </is>
      </c>
      <c r="AC519" t="inlineStr">
        <is>
          <t>de Bont, Jeroen/0000-0001-9924-5961; Basagaña, Xavier/0000-0002-8457-1489; de Castro, Montserrat/0000-0001-6547-5953; Fernández-Barrés, Sílvia/0000-0002-9977-2291; Vrijheid, Martine/0000-0002-7090-1758; Warembourg, Charline/0000-0003-2716-9167; Casas, Maribel/0000-0002-2112-6740; Koch, Sarah/0000-0001-9461-8407</t>
        </is>
      </c>
      <c r="AD519" t="inlineStr">
        <is>
          <t>La Marato de TV3 Foundation [201621-30]; Instituto de Salud Carlos III (FEDER funds) [Red INMA G03/176, CB06/02/0041, PI041436, PI081151, PI12/01890, CP13/00054, PI15/00118, CP16/00128, PI16/00118, PI16/00261, PI18/00547, CD18/00132]; CIBERESP; Generalitat de Catalunya-CIRIT [1999SGR 00241]; Generalitat de Catalunya-AGAUR [2009 SGR 501, 2014 SGR 822]; Fundacio La Marato de TV3 [090430]; Spanish Ministry of Economy and Competitiveness (FEDER funds) [SAF2012-32991]; Agence Nationale de Securite Sanitaire de l'Alimentation de l'Environnement et du Travail [1262C0010, EST-2016 RF-21]; EU Commission [261357, 308333, 603794, 634453]; Miguel Servet fellowship - Instituto de Salud Carlos III [CP16/00128]; Department of Health of the Generalitat de Catalunya [SLT002/16/00308]</t>
        </is>
      </c>
      <c r="AE519" t="inlineStr">
        <is>
          <t>La Marato de TV3 Foundation; Instituto de Salud Carlos III (FEDER funds); CIBERESP; Generalitat de Catalunya-CIRIT(Generalitat de Catalunya); Generalitat de Catalunya-AGAUR(Agencia de Gestio D'Ajuts Universitaris de Recerca Agaur (AGAUR)Generalitat de Catalunya); Fundacio La Marato de TV3; Spanish Ministry of Economy and Competitiveness (FEDER funds)(Spanish Government); Agence Nationale de Securite Sanitaire de l'Alimentation de l'Environnement et du Travail(Agence Nationale de la Recherche (ANR)); EU Commission(European Union (EU)European Commission Joint Research Centre); Miguel Servet fellowship - Instituto de Salud Carlos III; Department of Health of the Generalitat de Catalunya</t>
        </is>
      </c>
      <c r="AF519" t="inlineStr">
        <is>
          <t>Project funded by La Marato de TV3 Foundation (Grant Number: 201621-30). This study was funded by grants from Instituto de Salud Carlos III (Red INMA G03/176; CB06/02/0041; PI041436; PI081151 incl. FEDER funds; PI12/01890 incl. FEDER funds; CP13/00054 incl. FEDER funds; PI15/00118 incl. FEDER funds; CP16/00128 incl. FEDER funds; PI16/00118 incl. FEDER funds; PI16/00261 incl. FEDER funds; PI18/00547 incl. FEDER funds), CIBERESP, Generalitat de Catalunya-CIRIT 1999SGR 00241, Generalitat de Catalunya-AGAUR (2009 SGR 501, 2014 SGR 822), Fundacio La Marato de TV3 (090430), Spanish Ministry of Economy and Competitiveness (SAF2012-32991 incl. FEDER funds), Agence Nationale de Securite Sanitaire de l'Alimentation de l'Environnement et du Travail (1262C0010; EST-2016 RF-21), EU Commission (261357, 308333, 603794 and 634453).; Charline Warembourg holds a Sara Borrell fellowship from the Instituto de Salud Carlos III [CD18/00132]. Maribel Casas holds a Miguel Servet fellowship (CP16/00128) funded by Instituto de Salud Carlos III and cofounded by European Social Fund 'Investing in your future'. Talita Duarte-Salles is funded by the Department of Health of the Generalitat de Catalunya, awarded on the 2016 call under the Strategic Plan for Research and Innovation in Health (PERIS) 2016-2020, modality incorporation of scientists and technologists, with reference SLT002/16/00308.</t>
        </is>
      </c>
      <c r="AH519" t="n">
        <v>66</v>
      </c>
      <c r="AI519" t="n">
        <v>16</v>
      </c>
      <c r="AJ519" t="n">
        <v>16</v>
      </c>
      <c r="AK519" t="n">
        <v>8</v>
      </c>
      <c r="AL519" t="n">
        <v>48</v>
      </c>
      <c r="AM519" t="inlineStr">
        <is>
          <t>PERGAMON-ELSEVIER SCIENCE LTD</t>
        </is>
      </c>
      <c r="AN519" t="inlineStr">
        <is>
          <t>OXFORD</t>
        </is>
      </c>
      <c r="AO519" t="inlineStr">
        <is>
          <t>THE BOULEVARD, LANGFORD LANE, KIDLINGTON, OXFORD OX5 1GB, ENGLAND</t>
        </is>
      </c>
      <c r="AP519" t="inlineStr">
        <is>
          <t>0160-4120</t>
        </is>
      </c>
      <c r="AQ519" t="inlineStr">
        <is>
          <t>1873-6750</t>
        </is>
      </c>
      <c r="AS519" t="inlineStr">
        <is>
          <t>ENVIRON INT</t>
        </is>
      </c>
      <c r="AT519" t="inlineStr">
        <is>
          <t>Environ. Int.</t>
        </is>
      </c>
      <c r="AU519" t="inlineStr">
        <is>
          <t>OCT</t>
        </is>
      </c>
      <c r="AV519" t="n">
        <v>2021</v>
      </c>
      <c r="AW519" t="n">
        <v>155</v>
      </c>
      <c r="BE519" t="n">
        <v>106700</v>
      </c>
      <c r="BF519" t="inlineStr">
        <is>
          <t>10.1016/j.envint.2021.106700</t>
        </is>
      </c>
      <c r="BG519">
        <f>HYPERLINK("http://dx.doi.org/10.1016/j.envint.2021.106700","http://dx.doi.org/10.1016/j.envint.2021.106700")</f>
        <v/>
      </c>
      <c r="BI519" t="inlineStr">
        <is>
          <t>JUN 2021</t>
        </is>
      </c>
      <c r="BJ519" t="n">
        <v>14</v>
      </c>
      <c r="BK519" t="inlineStr">
        <is>
          <t>Environmental Sciences</t>
        </is>
      </c>
      <c r="BL519" t="inlineStr">
        <is>
          <t>Science Citation Index Expanded (SCI-EXPANDED); Social Science Citation Index (SSCI)</t>
        </is>
      </c>
      <c r="BM519" t="inlineStr">
        <is>
          <t>Environmental Sciences &amp; Ecology</t>
        </is>
      </c>
      <c r="BN519" t="inlineStr">
        <is>
          <t>TR9MW</t>
        </is>
      </c>
      <c r="BO519" t="n">
        <v>34144474</v>
      </c>
      <c r="BP519" t="inlineStr">
        <is>
          <t>Green Published, gold</t>
        </is>
      </c>
      <c r="BS519" t="inlineStr">
        <is>
          <t>2023-10-26</t>
        </is>
      </c>
      <c r="BT519" t="inlineStr">
        <is>
          <t>WOS:000679283700001</t>
        </is>
      </c>
      <c r="BU519">
        <f>HYPERLINK("https%3A%2F%2Fwww.webofscience.com%2Fwos%2Fwoscc%2Ffull-record%2FWOS:000679283700001","View Full Record in Web of Science")</f>
        <v/>
      </c>
    </row>
    <row r="520">
      <c r="A520" t="inlineStr">
        <is>
          <t>J</t>
        </is>
      </c>
      <c r="B520" t="inlineStr">
        <is>
          <t>India-Aldana, S; Kanchi, R; Adhikari, S; Lopez, P; Schwartz, MD; Elbel, BD; Rummo, PE; Meeker, MA; Lovasi, GS; Siegel, KR; Chen, Y; Thorpe, LE</t>
        </is>
      </c>
      <c r="F520" t="inlineStr">
        <is>
          <t>India-Aldana, Sandra; Kanchi, Rania; Adhikari, Samrachana; Lopez, Priscilla; Schwartz, Mark D.; Elbel, Brian D.; Rummo, Pasquale E.; Meeker, Melissa A.; Lovasi, Gina S.; Siegel, Karen R.; Chen, Yu; Thorpe, Lorna E.</t>
        </is>
      </c>
      <c r="J520" t="inlineStr">
        <is>
          <t>ENVIRONMENTAL RESEARCH</t>
        </is>
      </c>
      <c r="M520" t="inlineStr">
        <is>
          <t>English</t>
        </is>
      </c>
      <c r="N520" t="inlineStr">
        <is>
          <t>Article</t>
        </is>
      </c>
      <c r="T520" t="inlineStr">
        <is>
          <t>Impact of land use and food environment on risk of type 2 diabetes: A national study of veterans, 2008-2018</t>
        </is>
      </c>
      <c r="U520" t="inlineStr">
        <is>
          <t>Type 2 diabetes; Land use environment; Food environment; Veterans</t>
        </is>
      </c>
      <c r="V520" t="inlineStr">
        <is>
          <t>PHYSICAL-ACTIVITY; UNITED-STATES; NEIGHBORHOOD CHARACTERISTICS; SOCIOECONOMIC-STATUS; OBESITY; PREVALENCE; HEALTH; WALKABILITY; DISPARITIES; MELLITUS</t>
        </is>
      </c>
      <c r="W520" t="inlineStr">
        <is>
          <t>Background: Large-scale longitudinal studies evaluating influences of the built environment on risk for type 2 diabetes (T2D) are scarce, and findings have been inconsistent. Objective: To evaluate whether land use environment (LUE), a proxy of neighborhood walkability, is associated with T2D risk across different US community types, and to assess whether the association is modified by food environment. Methods: The Veteran's Administration Diabetes Risk (VADR) study is a retrospective cohort of diabetes-free US veteran patients enrolled in VA primary care facilities nationwide from January 1, 2008, to December 31, 2016, and followed longitudinally through December 31, 2018. A total of 4,096,629 patients had baseline addresses available in electronic health records that were geocoded and assigned a census tract-level LUE score. LUE scores were divided into quartiles, where a higher score indicated higher neighborhood walkability levels. New diagnoses for T2D were identified using a published computable phenotype. Adjusted time-to-event analyses using piecewise exponential models were fit within four strata of community types (higher-density urban, lower-density urban, suburban/small town, and rural). We also evaluated effect modification by tract-level food environment measures within each stratum. Results: In adjusted analyses, higher LUE had a protective effect on T2D risk in rural and suburban/small town communities (linear quartile trend test p-value &lt; 0.001). However, in lower density urban communities, higher LUE increased T2D risk (linear quartile trend test p-value &lt; 0.001) and no association was found in higher density urban communities (linear quartile trend test p-value = 0.317). Particularly strong protective effects were observed for veterans living in suburban/small towns with more supermarkets and more walkable spaces (p-interaction = 0.001). Conclusion: Among veterans, LUE may influence T2D risk, particularly in rural and suburban communities. Food environment may modify the association between LUE and T2D.</t>
        </is>
      </c>
      <c r="X520" t="inlineStr">
        <is>
          <t>[India-Aldana, Sandra; Kanchi, Rania; Lopez, Priscilla; Rummo, Pasquale E.; Chen, Yu; Thorpe, Lorna E.] NYU, Dept Populat Hlth, Div Epidemiol, Grossman Sch Med, 180 Madison Ave,5th Fl, New York, NY 10016 USA; [Adhikari, Samrachana] NYU, Dept Populat Hlth, Div Biostat, Grossman Sch Med, 180 Madison Ave,5th Fl, New York, NY 10016 USA; [Schwartz, Mark D.] NYU, Dept Populat Hlth, Div Comparat Effectiveness &amp; Decis Sci, Grossman Sch Med, 180 Madison Ave,9th Fl, New York, NY 10016 USA; [Schwartz, Mark D.] VA New York Harbor Healthcare Syst, 423 E 23rd, New York, NY 10010 USA; [Elbel, Brian D.] NYU, Grossman Sch Med, Dept Populat Hlth, Sect Hlth Choice Policy &amp; Evaluat,Div Hlth &amp; Beha, 180 Madison Ave,3rd Fl, New York, NY 10016 USA; [Elbel, Brian D.] NYU, Wagner Grad Sch Publ Serv, 295 Lafayette St, New York, NY 10012 USA; [Meeker, Melissa A.; Lovasi, Gina S.] Drexel Univ, Dornsife Sch Publ Hlth, 3215 Market St, Philadelphia, PA 19104 USA; [Siegel, Karen R.] Ctr Dis Control &amp; Prevent, Div Diabet Translat, Atlanta, GA 30341 USA; [Chen, Yu] NYU, Grossman Sch Med, Dept Environm Med, New York, NY 10016 USA</t>
        </is>
      </c>
      <c r="Y520" t="inlineStr">
        <is>
          <t>New York University; New York University; New York University; New York University; New York University; Drexel University; Centers for Disease Control &amp; Prevention - USA; New York University</t>
        </is>
      </c>
      <c r="Z520" t="inlineStr">
        <is>
          <t>Thorpe, LE (corresponding author), NYU, Sch Med, Dept Populat Hlth, Div Epidemiol, 180 Madison Ave,5th Fl, New York, NY 10016 USA.</t>
        </is>
      </c>
      <c r="AA520" t="inlineStr">
        <is>
          <t>Lorna.Thorpe@nyulangone.org</t>
        </is>
      </c>
      <c r="AB520" t="inlineStr">
        <is>
          <t>Lovasi, Gina/C-2781-2009</t>
        </is>
      </c>
      <c r="AC520" t="inlineStr">
        <is>
          <t>Lovasi, Gina/0000-0003-2613-9599; India Aldana, Sandra/0000-0003-3754-6691; Adhikari, Samrachana/0000-0001-9954-5999; Meeker, Melissa/0000-0002-6074-8315</t>
        </is>
      </c>
      <c r="AD520" t="inlineStr">
        <is>
          <t>Drexel University [U01DP006293]; U.S. Centers for Disease Control and Prevention, Division of Diabetes Translation [U01DP006296, U01DP006299, U01DP006302]; National Institute of Aging [1R01AG049970, 3R01AG049970-04S1]; Commonwealth Uni-versal Research Enhancement (C.U.R.E) program [4100072543]; Urban Health Collaborative at Drexel University; Built Environment and Health Research Group at Columbia University</t>
        </is>
      </c>
      <c r="AE520" t="inlineStr">
        <is>
          <t>Drexel University; U.S. Centers for Disease Control and Prevention, Division of Diabetes Translation; National Institute of Aging(United States Department of Health &amp; Human ServicesNational Institutes of Health (NIH) - USANIH National Institute on Aging (NIA)); Commonwealth Uni-versal Research Enhancement (C.U.R.E) program; Urban Health Collaborative at Drexel University; Built Environment and Health Research Group at Columbia University</t>
        </is>
      </c>
      <c r="AF520" t="inlineStr">
        <is>
          <t>This research was conducted by the Diabetes LEAD Network, funded through CDC cooperative agreements U01DP006293 (Drexel Univer-sity) , U01DP006296 (Geisinger-Johns Hopkins University) , U01DP006299 (New York University School of Medicine) , and U01DP006302 (University of Alabama at Birmingham) , in collaboration with the U.S. Centers for Disease Control and Prevention, Division of Diabetes Translation. The Retail Environment and CardiovascularDisease (RECVD) study was supported by the National Institute of Aging (grants 1R01AG049970, 3R01AG049970-04S1) , Commonwealth Uni-versal Research Enhancement (C.U.R.E) program funded by the Penn-sylvania Department of Health-2015 Formula award-SAP #4100072543, the Urban Health Collaborative at Drexel University, and the Built Environment and Health Research Group at Columbia University.</t>
        </is>
      </c>
      <c r="AH520" t="n">
        <v>86</v>
      </c>
      <c r="AI520" t="n">
        <v>1</v>
      </c>
      <c r="AJ520" t="n">
        <v>1</v>
      </c>
      <c r="AK520" t="n">
        <v>2</v>
      </c>
      <c r="AL520" t="n">
        <v>8</v>
      </c>
      <c r="AM520" t="inlineStr">
        <is>
          <t>ACADEMIC PRESS INC ELSEVIER SCIENCE</t>
        </is>
      </c>
      <c r="AN520" t="inlineStr">
        <is>
          <t>SAN DIEGO</t>
        </is>
      </c>
      <c r="AO520" t="inlineStr">
        <is>
          <t>525 B ST, STE 1900, SAN DIEGO, CA 92101-4495 USA</t>
        </is>
      </c>
      <c r="AP520" t="inlineStr">
        <is>
          <t>0013-9351</t>
        </is>
      </c>
      <c r="AQ520" t="inlineStr">
        <is>
          <t>1096-0953</t>
        </is>
      </c>
      <c r="AS520" t="inlineStr">
        <is>
          <t>ENVIRON RES</t>
        </is>
      </c>
      <c r="AT520" t="inlineStr">
        <is>
          <t>Environ. Res.</t>
        </is>
      </c>
      <c r="AU520" t="inlineStr">
        <is>
          <t>SEP</t>
        </is>
      </c>
      <c r="AV520" t="n">
        <v>2022</v>
      </c>
      <c r="AW520" t="n">
        <v>212</v>
      </c>
      <c r="AY520" t="inlineStr">
        <is>
          <t>A</t>
        </is>
      </c>
      <c r="BE520" t="n">
        <v>113146</v>
      </c>
      <c r="BF520" t="inlineStr">
        <is>
          <t>10.1016/j.envres.2022.113146</t>
        </is>
      </c>
      <c r="BG520">
        <f>HYPERLINK("http://dx.doi.org/10.1016/j.envres.2022.113146","http://dx.doi.org/10.1016/j.envres.2022.113146")</f>
        <v/>
      </c>
      <c r="BI520" t="inlineStr">
        <is>
          <t>MAR 2022</t>
        </is>
      </c>
      <c r="BJ520" t="n">
        <v>10</v>
      </c>
      <c r="BK520" t="inlineStr">
        <is>
          <t>Environmental Sciences; Public, Environmental &amp; Occupational Health</t>
        </is>
      </c>
      <c r="BL520" t="inlineStr">
        <is>
          <t>Science Citation Index Expanded (SCI-EXPANDED); Social Science Citation Index (SSCI)</t>
        </is>
      </c>
      <c r="BM520" t="inlineStr">
        <is>
          <t>Environmental Sciences &amp; Ecology; Public, Environmental &amp; Occupational Health</t>
        </is>
      </c>
      <c r="BN520" t="inlineStr">
        <is>
          <t>1C4TW</t>
        </is>
      </c>
      <c r="BO520" t="n">
        <v>35337829</v>
      </c>
      <c r="BP520" t="inlineStr">
        <is>
          <t>Green Accepted</t>
        </is>
      </c>
      <c r="BS520" t="inlineStr">
        <is>
          <t>2023-10-26</t>
        </is>
      </c>
      <c r="BT520" t="inlineStr">
        <is>
          <t>WOS:000793114600010</t>
        </is>
      </c>
      <c r="BU520">
        <f>HYPERLINK("https%3A%2F%2Fwww.webofscience.com%2Fwos%2Fwoscc%2Ffull-record%2FWOS:000793114600010","View Full Record in Web of Science")</f>
        <v/>
      </c>
    </row>
    <row r="521">
      <c r="A521" t="inlineStr">
        <is>
          <t>J</t>
        </is>
      </c>
      <c r="B521" t="inlineStr">
        <is>
          <t>Tran, H; Khoshelham, K</t>
        </is>
      </c>
      <c r="F521" t="inlineStr">
        <is>
          <t>Ha Tran; Khoshelham, Kourosh</t>
        </is>
      </c>
      <c r="J521" t="inlineStr">
        <is>
          <t>REMOTE SENSING</t>
        </is>
      </c>
      <c r="M521" t="inlineStr">
        <is>
          <t>English</t>
        </is>
      </c>
      <c r="N521" t="inlineStr">
        <is>
          <t>Article</t>
        </is>
      </c>
      <c r="T521" t="inlineStr">
        <is>
          <t>Procedural Reconstruction of 3D Indoor Models from Lidar Data Using Reversible Jump Markov Chain Monte Carlo</t>
        </is>
      </c>
      <c r="U521" t="inlineStr">
        <is>
          <t>Indoor modelling; point cloud; shape grammar; reversible jump Markov Chain Monte Carlor (rjMCMC); Metropolis-Hastings (MH); Building Information Model (BIM)</t>
        </is>
      </c>
      <c r="V521" t="inlineStr">
        <is>
          <t>BUILDING MODELS; AUTOMATIC RECONSTRUCTION; EXTRACTION; GENERATION; STATE</t>
        </is>
      </c>
      <c r="W521" t="inlineStr">
        <is>
          <t>Automated reconstruction of Building Information Models (BIMs) from point clouds has been an intensive and challenging research topic for decades. Traditionally, 3D models of indoor environments are reconstructed purely by data-driven methods, which are susceptible to erroneous and incomplete data. Procedural-based methods such as the shape grammar are more robust to uncertainty and incompleteness of the data as they exploit the regularity and repetition of structural elements and architectural design principles in the reconstruction. Nevertheless, these methods are often limited to simple architectural styles: the so-called Manhattan design. In this paper, we propose a new method based on a combination of a shape grammar and a data-driven process for procedural modelling of indoor environments from a point cloud. The core idea behind the integration is to apply a stochastic process based on reversible jump Markov Chain Monte Carlo (rjMCMC) to guide the automated application of grammar rules in the derivation of a 3D indoor model. Experiments on synthetic and real data sets show the applicability of the method to efficiently generate 3D indoor models of both Manhattan and non-Manhattan environments with high accuracy, completeness, and correctness.</t>
        </is>
      </c>
      <c r="X521" t="inlineStr">
        <is>
          <t>[Ha Tran; Khoshelham, Kourosh] Univ Melbourne, Dept Infrastruct Engn, Melbourne, Vic 3010, Australia</t>
        </is>
      </c>
      <c r="Y521" t="inlineStr">
        <is>
          <t>University of Melbourne</t>
        </is>
      </c>
      <c r="Z521" t="inlineStr">
        <is>
          <t>Tran, H (corresponding author), Univ Melbourne, Dept Infrastruct Engn, Melbourne, Vic 3010, Australia.</t>
        </is>
      </c>
      <c r="AA521" t="inlineStr">
        <is>
          <t>ha.tran@unimelb.edu.au; k.khoshelham@unimelb.edu.au</t>
        </is>
      </c>
      <c r="AB521" t="inlineStr">
        <is>
          <t>Khoshelham, Kourosh/A-3789-2010</t>
        </is>
      </c>
      <c r="AC521" t="inlineStr">
        <is>
          <t>Khoshelham, Kourosh/0000-0001-6639-1727</t>
        </is>
      </c>
      <c r="AD521" t="inlineStr">
        <is>
          <t>University of Melbourne through Melbourne International Fee Remission and Melbourne International Research Scholarship</t>
        </is>
      </c>
      <c r="AE521" t="inlineStr">
        <is>
          <t>University of Melbourne through Melbourne International Fee Remission and Melbourne International Research Scholarship</t>
        </is>
      </c>
      <c r="AF521" t="inlineStr">
        <is>
          <t>The first author acknowledges the financial support from the University of Melbourne through Melbourne International Fee Remission and Melbourne International Research Scholarship.</t>
        </is>
      </c>
      <c r="AH521" t="n">
        <v>45</v>
      </c>
      <c r="AI521" t="n">
        <v>28</v>
      </c>
      <c r="AJ521" t="n">
        <v>28</v>
      </c>
      <c r="AK521" t="n">
        <v>2</v>
      </c>
      <c r="AL521" t="n">
        <v>11</v>
      </c>
      <c r="AM521" t="inlineStr">
        <is>
          <t>MDPI</t>
        </is>
      </c>
      <c r="AN521" t="inlineStr">
        <is>
          <t>BASEL</t>
        </is>
      </c>
      <c r="AO521" t="inlineStr">
        <is>
          <t>ST ALBAN-ANLAGE 66, CH-4052 BASEL, SWITZERLAND</t>
        </is>
      </c>
      <c r="AQ521" t="inlineStr">
        <is>
          <t>2072-4292</t>
        </is>
      </c>
      <c r="AS521" t="inlineStr">
        <is>
          <t>REMOTE SENS-BASEL</t>
        </is>
      </c>
      <c r="AT521" t="inlineStr">
        <is>
          <t>Remote Sens.</t>
        </is>
      </c>
      <c r="AU521" t="inlineStr">
        <is>
          <t>MAR</t>
        </is>
      </c>
      <c r="AV521" t="n">
        <v>2020</v>
      </c>
      <c r="AW521" t="n">
        <v>12</v>
      </c>
      <c r="AX521" t="n">
        <v>5</v>
      </c>
      <c r="BE521" t="n">
        <v>838</v>
      </c>
      <c r="BF521" t="inlineStr">
        <is>
          <t>10.3390/rs12050838</t>
        </is>
      </c>
      <c r="BG521">
        <f>HYPERLINK("http://dx.doi.org/10.3390/rs12050838","http://dx.doi.org/10.3390/rs12050838")</f>
        <v/>
      </c>
      <c r="BJ521" t="n">
        <v>26</v>
      </c>
      <c r="BK521" t="inlineStr">
        <is>
          <t>Environmental Sciences; Geosciences, Multidisciplinary; Remote Sensing; Imaging Science &amp; Photographic Technology</t>
        </is>
      </c>
      <c r="BL521" t="inlineStr">
        <is>
          <t>Science Citation Index Expanded (SCI-EXPANDED)</t>
        </is>
      </c>
      <c r="BM521" t="inlineStr">
        <is>
          <t>Environmental Sciences &amp; Ecology; Geology; Remote Sensing; Imaging Science &amp; Photographic Technology</t>
        </is>
      </c>
      <c r="BN521" t="inlineStr">
        <is>
          <t>LL4XB</t>
        </is>
      </c>
      <c r="BP521" t="inlineStr">
        <is>
          <t>Green Submitted, gold</t>
        </is>
      </c>
      <c r="BS521" t="inlineStr">
        <is>
          <t>2023-10-26</t>
        </is>
      </c>
      <c r="BT521" t="inlineStr">
        <is>
          <t>WOS:000531559300093</t>
        </is>
      </c>
      <c r="BU521">
        <f>HYPERLINK("https%3A%2F%2Fwww.webofscience.com%2Fwos%2Fwoscc%2Ffull-record%2FWOS:000531559300093","View Full Record in Web of Science")</f>
        <v/>
      </c>
    </row>
    <row r="522">
      <c r="A522" t="inlineStr">
        <is>
          <t>J</t>
        </is>
      </c>
      <c r="B522" t="inlineStr">
        <is>
          <t>Yatsugi, H; Chen, T; Chen, S; Narazaki, K; Nagayoshi, S; Kumagai, S; Kishimoto, H</t>
        </is>
      </c>
      <c r="F522" t="inlineStr">
        <is>
          <t>Yatsugi, Harukaze; Chen, Tao; Chen, Si; Narazaki, Kenji; Nagayoshi, Sho; Kumagai, Shuzo; Kishimoto, Hiro</t>
        </is>
      </c>
      <c r="J522" t="inlineStr">
        <is>
          <t>INTERNATIONAL JOURNAL OF ENVIRONMENTAL RESEARCH AND PUBLIC HEALTH</t>
        </is>
      </c>
      <c r="M522" t="inlineStr">
        <is>
          <t>English</t>
        </is>
      </c>
      <c r="N522" t="inlineStr">
        <is>
          <t>Article</t>
        </is>
      </c>
      <c r="T522" t="inlineStr">
        <is>
          <t>Normative Data of Objectively Measured Physical Activity and Sedentary Time in Community-Dwelling Older Japanese</t>
        </is>
      </c>
      <c r="U522" t="inlineStr">
        <is>
          <t>physical activity; sedentary time; tri-axial accelerometer; older adult; Japanese</t>
        </is>
      </c>
      <c r="V522" t="inlineStr">
        <is>
          <t>ASSOCIATIONS; EXERCISE; RISK; LIFE; DEMENTIA; BEHAVIOR; MEN</t>
        </is>
      </c>
      <c r="W522" t="inlineStr">
        <is>
          <t>Background: The amounts of moderate-to-vigorous-intensity physical activity (MVPA), light-intensity physical activity (LPA), and sedentary time (ST) by sex, age, and body mass index (BMI) in older Japanese adults have not been known. We conducted this study to determine the actual physical activity (PA) and ST in this population. Subjects and Methods: A total of 3998 community-dwelling Japanese adults aged &gt;= 65 years were investigated. Their levels of PA and ST and number of steps taken daily were assessed for seven consecutive days by a tri-axial accelerometer. Normative values of daily PA and ST were analyzed by age and BMI groups in the men and the women and are presented as mean, median, or decile. Results: The subjects generally adhered to the PA guideline, i.e., &gt;= 10 metabolic equivalents (METs)center dot hour MVPA per week. Older age was associated with lower adherence to the PA guideline. Conclusions: Normative values (mean, median, or decile) were yielded for MVPA, LPA, and ST based on accelerometer readings in a large sample of older community-dwelling Japanese adults. One-half of the subjects' waking time was spent being sedentary, and &gt;70% of the subjects met the current PA guideline by engaging in MVPA.</t>
        </is>
      </c>
      <c r="X522" t="inlineStr">
        <is>
          <t>[Yatsugi, Harukaze; Nagayoshi, Sho; Kishimoto, Hiro] Kyushu Univ, Grad Sch Human Environm Studies, Dept Behav &amp; Hlth Sci, Nishi Ku, 744 Motooka, Fukuoka, Fukuoka 8190395, Japan; [Chen, Tao] Tongji Univ, Dept Phys Educ, Sports &amp; Hlth Res Ctr, Shanghai 200092, Peoples R China; [Chen, Si] Shandong Univ, Sch Nursing &amp; Rehabil, Cheeloo Coll Med, 44 West Wenhua Rd, Jinan 250012, Peoples R China; [Narazaki, Kenji] Fukuoka Inst Technol, Fac Socioenvironm Studies, Higashi Ku, 3-30-1 Wajiro higashi, Fukuoka, Fukuoka 8110295, Japan; [Nagayoshi, Sho] Omron Healthcare Co Ltd, Technol Dev HQ, Clin Dev Dept, Dev Ctr, 53 Kunotsubo,Terado Cho, Kyoto 6170002, Japan; [Kumagai, Shuzo] Dong A Univ, Inst Covergence Biohlth, B08-0302,37 Nakdong Daero 550 Beon Gil, Busan 49315, South Korea; [Kishimoto, Hiro] Kyushu Univ, IC15, Fac Arts &amp; Sci, Nishi Ku, 744 Motooka, Fukuoka, Fukuoka 8190395, Japan</t>
        </is>
      </c>
      <c r="Y522" t="inlineStr">
        <is>
          <t>Kyushu University; Tongji University; Shandong University; Fukuoka Institute of Technology; Dong A University; Kyushu University</t>
        </is>
      </c>
      <c r="Z522" t="inlineStr">
        <is>
          <t>Kishimoto, H (corresponding author), Kyushu Univ, Grad Sch Human Environm Studies, Dept Behav &amp; Hlth Sci, Nishi Ku, 744 Motooka, Fukuoka, Fukuoka 8190395, Japan.;Kishimoto, H (corresponding author), Kyushu Univ, IC15, Fac Arts &amp; Sci, Nishi Ku, 744 Motooka, Fukuoka, Fukuoka 8190395, Japan.</t>
        </is>
      </c>
      <c r="AA522" t="inlineStr">
        <is>
          <t>haru19920424@gmail.com; chentwhy@tongji.edu.cn; chensi2jap@yahoo.co.jp; narazaki@fit.ac.jp; sho.nagayoshi@omron.com; kumagai.shuzo.296@m.kyushu-u.ac.jp; kishimoto@artsci.kyushu-u.ac.jp</t>
        </is>
      </c>
      <c r="AB522" t="inlineStr">
        <is>
          <t>Yatsugi, Harukaze/AAE-6809-2022</t>
        </is>
      </c>
      <c r="AC522" t="inlineStr">
        <is>
          <t>Yatsugi, Harukaze/0000-0003-1354-5002; Kishimoto, Hiro/0000-0001-8944-1539; Chen, Si/0000-0002-6041-1528; Chen, Tao/0000-0002-1153-3406; Narazaki, Kenji/0000-0002-3687-1479</t>
        </is>
      </c>
      <c r="AD522" t="inlineStr">
        <is>
          <t>JSPS KAKENHI [JP17K09146]; Japan's Agency for Medical Research and Development [AMED 17942839]</t>
        </is>
      </c>
      <c r="AE522" t="inlineStr">
        <is>
          <t>JSPS KAKENHI(Ministry of Education, Culture, Sports, Science and Technology, Japan (MEXT)Japan Society for the Promotion of ScienceGrants-in-Aid for Scientific Research (KAKENHI)); Japan's Agency for Medical Research and Development</t>
        </is>
      </c>
      <c r="AF522" t="inlineStr">
        <is>
          <t>This work was partly supported by a grant from the JSPS KAKENHI (no. JP17K09146 to K.N.) and by Japan's Agency for Medical Research and Development (AMED 17942839 to S.K.).</t>
        </is>
      </c>
      <c r="AH522" t="n">
        <v>27</v>
      </c>
      <c r="AI522" t="n">
        <v>3</v>
      </c>
      <c r="AJ522" t="n">
        <v>3</v>
      </c>
      <c r="AK522" t="n">
        <v>1</v>
      </c>
      <c r="AL522" t="n">
        <v>6</v>
      </c>
      <c r="AM522" t="inlineStr">
        <is>
          <t>MDPI</t>
        </is>
      </c>
      <c r="AN522" t="inlineStr">
        <is>
          <t>BASEL</t>
        </is>
      </c>
      <c r="AO522" t="inlineStr">
        <is>
          <t>ST ALBAN-ANLAGE 66, CH-4052 BASEL, SWITZERLAND</t>
        </is>
      </c>
      <c r="AQ522" t="inlineStr">
        <is>
          <t>1660-4601</t>
        </is>
      </c>
      <c r="AS522" t="inlineStr">
        <is>
          <t>INT J ENV RES PUB HE</t>
        </is>
      </c>
      <c r="AT522" t="inlineStr">
        <is>
          <t>Int. J. Environ. Res. Public Health</t>
        </is>
      </c>
      <c r="AU522" t="inlineStr">
        <is>
          <t>APR</t>
        </is>
      </c>
      <c r="AV522" t="n">
        <v>2021</v>
      </c>
      <c r="AW522" t="n">
        <v>18</v>
      </c>
      <c r="AX522" t="n">
        <v>7</v>
      </c>
      <c r="BE522" t="n">
        <v>3577</v>
      </c>
      <c r="BF522" t="inlineStr">
        <is>
          <t>10.3390/ijerph18073577</t>
        </is>
      </c>
      <c r="BG522">
        <f>HYPERLINK("http://dx.doi.org/10.3390/ijerph18073577","http://dx.doi.org/10.3390/ijerph18073577")</f>
        <v/>
      </c>
      <c r="BJ522" t="n">
        <v>12</v>
      </c>
      <c r="BK522" t="inlineStr">
        <is>
          <t>Environmental Sciences; Public, Environmental &amp; Occupational Health</t>
        </is>
      </c>
      <c r="BL522" t="inlineStr">
        <is>
          <t>Science Citation Index Expanded (SCI-EXPANDED); Social Science Citation Index (SSCI)</t>
        </is>
      </c>
      <c r="BM522" t="inlineStr">
        <is>
          <t>Environmental Sciences &amp; Ecology; Public, Environmental &amp; Occupational Health</t>
        </is>
      </c>
      <c r="BN522" t="inlineStr">
        <is>
          <t>RK8KK</t>
        </is>
      </c>
      <c r="BO522" t="n">
        <v>33808283</v>
      </c>
      <c r="BP522" t="inlineStr">
        <is>
          <t>gold, Green Published</t>
        </is>
      </c>
      <c r="BS522" t="inlineStr">
        <is>
          <t>2023-10-26</t>
        </is>
      </c>
      <c r="BT522" t="inlineStr">
        <is>
          <t>WOS:000638537800001</t>
        </is>
      </c>
      <c r="BU522">
        <f>HYPERLINK("https%3A%2F%2Fwww.webofscience.com%2Fwos%2Fwoscc%2Ffull-record%2FWOS:000638537800001","View Full Record in Web of Science")</f>
        <v/>
      </c>
    </row>
    <row r="523">
      <c r="A523" t="inlineStr">
        <is>
          <t>J</t>
        </is>
      </c>
      <c r="B523" t="inlineStr">
        <is>
          <t>Ferwati, S; Skelhorn, C; Shandas, V; Voelkel, J; Shawish, A; Ghanim, M</t>
        </is>
      </c>
      <c r="F523" t="inlineStr">
        <is>
          <t>Ferwati, Salim; Skelhorn, Cynthia; Shandas, Vivek; Voelkel, Jackson; Shawish, Ayla; Ghanim, Mohammad</t>
        </is>
      </c>
      <c r="J523" t="inlineStr">
        <is>
          <t>URBAN CLIMATE</t>
        </is>
      </c>
      <c r="M523" t="inlineStr">
        <is>
          <t>English</t>
        </is>
      </c>
      <c r="N523" t="inlineStr">
        <is>
          <t>Article</t>
        </is>
      </c>
      <c r="T523" t="inlineStr">
        <is>
          <t>Analysis of urban heat in a corridor environment - The case of Doha, Qatar</t>
        </is>
      </c>
      <c r="U523" t="inlineStr">
        <is>
          <t>UHI index; Corridor environment; Arid cities; Thermal comfort; Built environment; Qatar</t>
        </is>
      </c>
      <c r="V523" t="inlineStr">
        <is>
          <t>AIR-TEMPERATURE; THERMAL COMFORT; LAND-USE; IMPACT; ISLAND; CLIMATE; CITY; MICROCLIMATE; VARIABILITY; STRESS</t>
        </is>
      </c>
      <c r="W523" t="inlineStr">
        <is>
          <t>Doha, Qatar is one of the arid coastal cities of the Gulf Cooperation Council (GCC) countries. Like similar cities, temperatures can vary widely throughout, with rapid and extensive development that has contributed to micro-climate changes. While numerous studies since the 1950s have assessed urban micro-climates, few have offered insights into urban corridor environments. This research is one of few projects to examine temperature records along two major roadways and identify factors that explain variation. The research uses vehicle-based air temperature traverses during late spring and summer 2016 using a Type T fine gauge thermocouple mounted in a white plastic tube and supported above the vehicle on the passenger-side window. The data were assessed in terms of four factors that may impact temperature along the corridors, including: distance from the coast, traffic volume, vegetation density, and building volume density from 50 m up to 400 m (in 50 m intervals) from the centerline of the traverse. Results indicated that the two most critical variables that predict air temperature patterns along the corridors are the distance to the coast and the traffic volume. This knowledge can be incorporated into urban planning and design practice for extreme arid environments to maintain temperatures that reduce heat-related stress.</t>
        </is>
      </c>
      <c r="X523" t="inlineStr">
        <is>
          <t>[Ferwati, Salim; Skelhorn, Cynthia; Shawish, Ayla] Qatar Univ, Coll Engn, Dept Architecture &amp; Urban Planning, POB 2713, Doha, Qatar; [Shandas, Vivek; Voelkel, Jackson] Portland State Univ, Toulan Sch Urban Studies &amp; Planning, 1825 SW Broadway, Portland, OR 97201 USA; [Ghanim, Mohammad] Qatar Univ, Coll Engn, Dept Civil &amp; Architectural Engn, POB 2713, Doha, Qatar; [Skelhorn, Cynthia] Qatar Fdn, Qatar Green Bldg Council, POB 5825, Doha, Qatar</t>
        </is>
      </c>
      <c r="Y523" t="inlineStr">
        <is>
          <t>Qatar University; Portland State University; Qatar University; Qatar Foundation (QF)</t>
        </is>
      </c>
      <c r="Z523" t="inlineStr">
        <is>
          <t>Skelhorn, C (corresponding author), Qatar Univ, Coll Engn, Dept Architecture &amp; Urban Planning, POB 2713, Doha, Qatar.;Skelhorn, C (corresponding author), Qatar Fdn, Qatar Green Bldg Council, POB 5825, Doha, Qatar.</t>
        </is>
      </c>
      <c r="AA523" t="inlineStr">
        <is>
          <t>sferwati@qu.edu.qa; cynthia.skelhorn@qu.edu.qa; vshandas@pdx.edu; jvoelkel@pdx.edu; mghanim@qu.edu.qa</t>
        </is>
      </c>
      <c r="AB523" t="inlineStr">
        <is>
          <t>ferwati, salim/E-1074-2018</t>
        </is>
      </c>
      <c r="AC523" t="inlineStr">
        <is>
          <t>ferwati, salim/0000-0002-0530-4180; Ghanim, Mohammad/0000-0003-0151-4751; Skelhorn, Cynthia/0000-0002-1669-6845</t>
        </is>
      </c>
      <c r="AD523" t="inlineStr">
        <is>
          <t>NPRP grant from Qatar National Research Fund (Qatar Foundation) [NPRP 5-074-5-015]</t>
        </is>
      </c>
      <c r="AE523" t="inlineStr">
        <is>
          <t>NPRP grant from Qatar National Research Fund (Qatar Foundation)(Qatar National Research Fund (QNRF))</t>
        </is>
      </c>
      <c r="AF523" t="inlineStr">
        <is>
          <t>This paper was made possible by NPRP grant # NPRP 5-074-5-015 from the Qatar National Research Fund (a member of Qatar Foundation).</t>
        </is>
      </c>
      <c r="AH523" t="n">
        <v>52</v>
      </c>
      <c r="AI523" t="n">
        <v>14</v>
      </c>
      <c r="AJ523" t="n">
        <v>14</v>
      </c>
      <c r="AK523" t="n">
        <v>1</v>
      </c>
      <c r="AL523" t="n">
        <v>14</v>
      </c>
      <c r="AM523" t="inlineStr">
        <is>
          <t>ELSEVIER</t>
        </is>
      </c>
      <c r="AN523" t="inlineStr">
        <is>
          <t>AMSTERDAM</t>
        </is>
      </c>
      <c r="AO523" t="inlineStr">
        <is>
          <t>RADARWEG 29, 1043 NX AMSTERDAM, NETHERLANDS</t>
        </is>
      </c>
      <c r="AP523" t="inlineStr">
        <is>
          <t>2212-0955</t>
        </is>
      </c>
      <c r="AS523" t="inlineStr">
        <is>
          <t>URBAN CLIM</t>
        </is>
      </c>
      <c r="AT523" t="inlineStr">
        <is>
          <t>Urban CLim.</t>
        </is>
      </c>
      <c r="AU523" t="inlineStr">
        <is>
          <t>JUN</t>
        </is>
      </c>
      <c r="AV523" t="n">
        <v>2018</v>
      </c>
      <c r="AW523" t="n">
        <v>24</v>
      </c>
      <c r="BC523" t="n">
        <v>692</v>
      </c>
      <c r="BD523" t="n">
        <v>702</v>
      </c>
      <c r="BF523" t="inlineStr">
        <is>
          <t>10.1016/j.uclim.2017.08.008</t>
        </is>
      </c>
      <c r="BG523">
        <f>HYPERLINK("http://dx.doi.org/10.1016/j.uclim.2017.08.008","http://dx.doi.org/10.1016/j.uclim.2017.08.008")</f>
        <v/>
      </c>
      <c r="BJ523" t="n">
        <v>11</v>
      </c>
      <c r="BK523" t="inlineStr">
        <is>
          <t>Environmental Sciences; Meteorology &amp; Atmospheric Sciences</t>
        </is>
      </c>
      <c r="BL523" t="inlineStr">
        <is>
          <t>Science Citation Index Expanded (SCI-EXPANDED)</t>
        </is>
      </c>
      <c r="BM523" t="inlineStr">
        <is>
          <t>Environmental Sciences &amp; Ecology; Meteorology &amp; Atmospheric Sciences</t>
        </is>
      </c>
      <c r="BN523" t="inlineStr">
        <is>
          <t>GH1VF</t>
        </is>
      </c>
      <c r="BS523" t="inlineStr">
        <is>
          <t>2023-10-26</t>
        </is>
      </c>
      <c r="BT523" t="inlineStr">
        <is>
          <t>WOS:000433190000047</t>
        </is>
      </c>
      <c r="BU523">
        <f>HYPERLINK("https%3A%2F%2Fwww.webofscience.com%2Fwos%2Fwoscc%2Ffull-record%2FWOS:000433190000047","View Full Record in Web of Science")</f>
        <v/>
      </c>
    </row>
    <row r="524">
      <c r="A524" t="inlineStr">
        <is>
          <t>J</t>
        </is>
      </c>
      <c r="B524" t="inlineStr">
        <is>
          <t>Hong, SY; Kim, JH</t>
        </is>
      </c>
      <c r="F524" t="inlineStr">
        <is>
          <t>Hong, Seo-Youn; Kim, Jae-Hyun</t>
        </is>
      </c>
      <c r="J524" t="inlineStr">
        <is>
          <t>INTERNATIONAL JOURNAL OF ENVIRONMENTAL RESEARCH AND PUBLIC HEALTH</t>
        </is>
      </c>
      <c r="M524" t="inlineStr">
        <is>
          <t>English</t>
        </is>
      </c>
      <c r="N524" t="inlineStr">
        <is>
          <t>Article</t>
        </is>
      </c>
      <c r="T524" t="inlineStr">
        <is>
          <t>The Role of Contact Care by Adult Children in Relieving Depression in Older Adult Individuals</t>
        </is>
      </c>
      <c r="U524" t="inlineStr">
        <is>
          <t>depression; older adult; adult children; care; KLoSA</t>
        </is>
      </c>
      <c r="V524" t="inlineStr">
        <is>
          <t>LIFE SATISFACTION; PHYSICAL-ACTIVITY; GRANDCHILDREN; HEALTH; GRANDMOTHERS; GRANDPARENTS; SYMPTOMS; EXERCISE; FAMILY; WOMEN</t>
        </is>
      </c>
      <c r="W524" t="inlineStr">
        <is>
          <t>The purpose of this study is to investigate how contact care by adult children influences the effect of caring for grandchildren on depression in older adult individuals. Studies have shown that caring for grandchildren either increases or decreases the symptoms of depression in older adult individuals, while other studies have shown no effect. The reason for these inconsistent results is that the key control variable, contact care by adult children, has been omitted from these previous studies. An analysis of panel data consisting of observations from 162 older adult respondents in the Korean Longitudinal Study of Aging over the 2008-2016 period confirms that the positive effect of caring for grandchildren on depression in older adults increased as the number of adult children who visited their older adult parents after entrusting their children to them increased. As more of their adult children visited the older adult individuals, the latter were more likely to feel that caring for their grandchildren was healing rather than stressful.</t>
        </is>
      </c>
      <c r="X524" t="inlineStr">
        <is>
          <t>[Hong, Seo-Youn] Soonchunhyang Univ, Dept Sport Leisure &amp; Recreat, Asan 31538, South Korea; [Kim, Jae-Hyun] Pi Touch Inst, Seoul 04511, South Korea</t>
        </is>
      </c>
      <c r="Y524" t="inlineStr">
        <is>
          <t>Soonchunhyang University</t>
        </is>
      </c>
      <c r="Z524" t="inlineStr">
        <is>
          <t>Kim, JH (corresponding author), Pi Touch Inst, Seoul 04511, South Korea.</t>
        </is>
      </c>
      <c r="AA524" t="inlineStr">
        <is>
          <t>ghdhsy0617@sch.ac.kr; kjh@pi-touch.re.kr</t>
        </is>
      </c>
      <c r="AH524" t="n">
        <v>40</v>
      </c>
      <c r="AI524" t="n">
        <v>0</v>
      </c>
      <c r="AJ524" t="n">
        <v>0</v>
      </c>
      <c r="AK524" t="n">
        <v>5</v>
      </c>
      <c r="AL524" t="n">
        <v>18</v>
      </c>
      <c r="AM524" t="inlineStr">
        <is>
          <t>MDPI</t>
        </is>
      </c>
      <c r="AN524" t="inlineStr">
        <is>
          <t>BASEL</t>
        </is>
      </c>
      <c r="AO524" t="inlineStr">
        <is>
          <t>ST ALBAN-ANLAGE 66, CH-4052 BASEL, SWITZERLAND</t>
        </is>
      </c>
      <c r="AQ524" t="inlineStr">
        <is>
          <t>1660-4601</t>
        </is>
      </c>
      <c r="AS524" t="inlineStr">
        <is>
          <t>INT J ENV RES PUB HE</t>
        </is>
      </c>
      <c r="AT524" t="inlineStr">
        <is>
          <t>Int. J. Environ. Res. Public Health</t>
        </is>
      </c>
      <c r="AU524" t="inlineStr">
        <is>
          <t>JUL</t>
        </is>
      </c>
      <c r="AV524" t="n">
        <v>2022</v>
      </c>
      <c r="AW524" t="n">
        <v>19</v>
      </c>
      <c r="AX524" t="n">
        <v>13</v>
      </c>
      <c r="BE524" t="n">
        <v>7981</v>
      </c>
      <c r="BF524" t="inlineStr">
        <is>
          <t>10.3390/ijerph19137981</t>
        </is>
      </c>
      <c r="BG524">
        <f>HYPERLINK("http://dx.doi.org/10.3390/ijerph19137981","http://dx.doi.org/10.3390/ijerph19137981")</f>
        <v/>
      </c>
      <c r="BJ524" t="n">
        <v>10</v>
      </c>
      <c r="BK524" t="inlineStr">
        <is>
          <t>Environmental Sciences; Public, Environmental &amp; Occupational Health</t>
        </is>
      </c>
      <c r="BL524" t="inlineStr">
        <is>
          <t>Science Citation Index Expanded (SCI-EXPANDED); Social Science Citation Index (SSCI)</t>
        </is>
      </c>
      <c r="BM524" t="inlineStr">
        <is>
          <t>Environmental Sciences &amp; Ecology; Public, Environmental &amp; Occupational Health</t>
        </is>
      </c>
      <c r="BN524" t="inlineStr">
        <is>
          <t>2V8SW</t>
        </is>
      </c>
      <c r="BO524" t="n">
        <v>35805636</v>
      </c>
      <c r="BP524" t="inlineStr">
        <is>
          <t>Green Published, gold</t>
        </is>
      </c>
      <c r="BS524" t="inlineStr">
        <is>
          <t>2023-10-26</t>
        </is>
      </c>
      <c r="BT524" t="inlineStr">
        <is>
          <t>WOS:000824109700001</t>
        </is>
      </c>
      <c r="BU524">
        <f>HYPERLINK("https%3A%2F%2Fwww.webofscience.com%2Fwos%2Fwoscc%2Ffull-record%2FWOS:000824109700001","View Full Record in Web of Science")</f>
        <v/>
      </c>
    </row>
    <row r="525">
      <c r="A525" t="inlineStr">
        <is>
          <t>J</t>
        </is>
      </c>
      <c r="B525" t="inlineStr">
        <is>
          <t>Stålne, K; Pedersen, E</t>
        </is>
      </c>
      <c r="F525" t="inlineStr">
        <is>
          <t>Stalne, Kristian; Pedersen, Eja</t>
        </is>
      </c>
      <c r="J525" t="inlineStr">
        <is>
          <t>INTERNATIONAL JOURNAL OF ENVIRONMENTAL RESEARCH AND PUBLIC HEALTH</t>
        </is>
      </c>
      <c r="M525" t="inlineStr">
        <is>
          <t>English</t>
        </is>
      </c>
      <c r="N525" t="inlineStr">
        <is>
          <t>Article</t>
        </is>
      </c>
      <c r="T525" t="inlineStr">
        <is>
          <t>Transdisciplinary Research on Indoor Environment and Health as a Social Process</t>
        </is>
      </c>
      <c r="U525" t="inlineStr">
        <is>
          <t>transdisciplinarity; intradisciplinary; collective intelligence; collective leadership; collective learning; safety; indoor environments; health; well-being</t>
        </is>
      </c>
      <c r="V525" t="inlineStr">
        <is>
          <t>PERSPECTIVES</t>
        </is>
      </c>
      <c r="W525" t="inlineStr">
        <is>
          <t>Although issues concerning indoor environments and their interaction with humans span many disciplines, such as aerosol technology, environmental psychology, health, and building physics, they are often studied separately. This study describes a research project with the transdisciplinary aim of bridging such disciplinary boundaries. Semi-structured interviews were conducted with the twelve project members to explore their understanding of transdisciplinarity regarding the conceptual as well as social aspects of collective learning and leadership and the measures taken to achieve this. The interviews were coded in NVivo (QSR International, Doncaster, Australia), which was used to identify themes concerning notions associated with transdisciplinarity, collective leadership, collective intelligence, and learning. A shared understanding of transdisciplinarity meant that the researchers transcended their disciplinary boundaries by moving into each other's fields. This collective learning process was facilitated by introductory lectures on each other's fields, contributing to collective leadership and a safe atmosphere. We argue that a transdisciplinary approach is appropriate in order to address indoor environment issues as well other complex problems, for which additional time and resources should be allocated for individual and collective learning processes.</t>
        </is>
      </c>
      <c r="X525" t="inlineStr">
        <is>
          <t>[Stalne, Kristian] Malmo Univ, Fac Technol &amp; Soc, Dept Mat Sci &amp; Appl Math, Nordenskioldsgatan 1, S-20506 Malmo, Sweden; [Pedersen, Eja] Lund Univ, Fac Engn, Dept Architecture &amp; Built Environm, POB 118, S-22100 Lund, Sweden</t>
        </is>
      </c>
      <c r="Y525" t="inlineStr">
        <is>
          <t>Malmo University; Lund University</t>
        </is>
      </c>
      <c r="Z525" t="inlineStr">
        <is>
          <t>Stålne, K (corresponding author), Malmo Univ, Fac Technol &amp; Soc, Dept Mat Sci &amp; Appl Math, Nordenskioldsgatan 1, S-20506 Malmo, Sweden.</t>
        </is>
      </c>
      <c r="AA525" t="inlineStr">
        <is>
          <t>kristian.stalne@mau.se; eja.pedersen@arkitektur.lth.se</t>
        </is>
      </c>
      <c r="AB525" t="inlineStr">
        <is>
          <t>Stalne, Kristian/D-4467-2017</t>
        </is>
      </c>
      <c r="AC525" t="inlineStr">
        <is>
          <t>Stalne, Kristian/0000-0002-6271-5947</t>
        </is>
      </c>
      <c r="AD525" t="inlineStr">
        <is>
          <t>Swedish Energy Agency [43092-1]; Formas [2016-0079]</t>
        </is>
      </c>
      <c r="AE525" t="inlineStr">
        <is>
          <t>Swedish Energy Agency(Swedish Energy Agency); Formas(Swedish Research Council Formas)</t>
        </is>
      </c>
      <c r="AF525" t="inlineStr">
        <is>
          <t>The study was part of the PEIRE research project that was funded by the Swedish Energy Agency (43092-1) and Formas (2016-0079).</t>
        </is>
      </c>
      <c r="AH525" t="n">
        <v>40</v>
      </c>
      <c r="AI525" t="n">
        <v>3</v>
      </c>
      <c r="AJ525" t="n">
        <v>3</v>
      </c>
      <c r="AK525" t="n">
        <v>1</v>
      </c>
      <c r="AL525" t="n">
        <v>6</v>
      </c>
      <c r="AM525" t="inlineStr">
        <is>
          <t>MDPI</t>
        </is>
      </c>
      <c r="AN525" t="inlineStr">
        <is>
          <t>BASEL</t>
        </is>
      </c>
      <c r="AO525" t="inlineStr">
        <is>
          <t>ST ALBAN-ANLAGE 66, CH-4052 BASEL, SWITZERLAND</t>
        </is>
      </c>
      <c r="AQ525" t="inlineStr">
        <is>
          <t>1660-4601</t>
        </is>
      </c>
      <c r="AS525" t="inlineStr">
        <is>
          <t>INT J ENV RES PUB HE</t>
        </is>
      </c>
      <c r="AT525" t="inlineStr">
        <is>
          <t>Int. J. Environ. Res. Public Health</t>
        </is>
      </c>
      <c r="AU525" t="inlineStr">
        <is>
          <t>APR</t>
        </is>
      </c>
      <c r="AV525" t="n">
        <v>2021</v>
      </c>
      <c r="AW525" t="n">
        <v>18</v>
      </c>
      <c r="AX525" t="n">
        <v>8</v>
      </c>
      <c r="BE525" t="n">
        <v>4379</v>
      </c>
      <c r="BF525" t="inlineStr">
        <is>
          <t>10.3390/ijerph18084379</t>
        </is>
      </c>
      <c r="BG525">
        <f>HYPERLINK("http://dx.doi.org/10.3390/ijerph18084379","http://dx.doi.org/10.3390/ijerph18084379")</f>
        <v/>
      </c>
      <c r="BJ525" t="n">
        <v>18</v>
      </c>
      <c r="BK525" t="inlineStr">
        <is>
          <t>Environmental Sciences; Public, Environmental &amp; Occupational Health</t>
        </is>
      </c>
      <c r="BL525" t="inlineStr">
        <is>
          <t>Science Citation Index Expanded (SCI-EXPANDED); Social Science Citation Index (SSCI)</t>
        </is>
      </c>
      <c r="BM525" t="inlineStr">
        <is>
          <t>Environmental Sciences &amp; Ecology; Public, Environmental &amp; Occupational Health</t>
        </is>
      </c>
      <c r="BN525" t="inlineStr">
        <is>
          <t>RT0JM</t>
        </is>
      </c>
      <c r="BO525" t="n">
        <v>33924174</v>
      </c>
      <c r="BP525" t="inlineStr">
        <is>
          <t>Green Published, gold</t>
        </is>
      </c>
      <c r="BS525" t="inlineStr">
        <is>
          <t>2023-10-26</t>
        </is>
      </c>
      <c r="BT525" t="inlineStr">
        <is>
          <t>WOS:000644154900001</t>
        </is>
      </c>
      <c r="BU525">
        <f>HYPERLINK("https%3A%2F%2Fwww.webofscience.com%2Fwos%2Fwoscc%2Ffull-record%2FWOS:000644154900001","View Full Record in Web of Science")</f>
        <v/>
      </c>
    </row>
    <row r="526">
      <c r="A526" t="inlineStr">
        <is>
          <t>J</t>
        </is>
      </c>
      <c r="B526" t="inlineStr">
        <is>
          <t>Stappers, NEH; Van Kann, DHH; De Vries, NK; Kremers, SPJ</t>
        </is>
      </c>
      <c r="F526" t="inlineStr">
        <is>
          <t>Stappers, Nicole E. H.; Van Kann, Dave H. H.; De Vries, Nanne K.; Kremers, Stef P. J.</t>
        </is>
      </c>
      <c r="J526" t="inlineStr">
        <is>
          <t>INTERNATIONAL JOURNAL OF ENVIRONMENTAL RESEARCH AND PUBLIC HEALTH</t>
        </is>
      </c>
      <c r="M526" t="inlineStr">
        <is>
          <t>English</t>
        </is>
      </c>
      <c r="N526" t="inlineStr">
        <is>
          <t>Article</t>
        </is>
      </c>
      <c r="T526" t="inlineStr">
        <is>
          <t>Do Physical Activity Friendly Neighborhoods Affect Community Members Equally? A Cross-Sectional Study</t>
        </is>
      </c>
      <c r="U526" t="inlineStr">
        <is>
          <t>built environment; physical activity; health inequalities</t>
        </is>
      </c>
      <c r="V526" t="inlineStr">
        <is>
          <t>SEDENTARY BEHAVIOR; BUILT ENVIRONMENT; HEALTH BEHAVIORS; WALKING; POPULATION; MORTALITY; DISEASE; SAFETY; ADULTS; CRIME</t>
        </is>
      </c>
      <c r="W526" t="inlineStr">
        <is>
          <t>An activity-friendly environment may increase physical activity (PA) levels and decrease sedentary behavior (SB). This study investigated associations between socio-demographic characteristics, health-related quality of life (HRQoL), perceived environment and objectively measured PA outcomes. Socio-demographic characteristics were assessed using a questionnaire and HRQoL was measured using the EQ-5D. The Neighborhood Environment Walkability Scale (NEWS-A) was used to assess the perceived environment. SB, light PA (LPA) and moderate-to-vigorous PA (MVPA) were measured using the Actigraph GT3X+. Data from 622 Dutch adults were used in multivariate linear regression analyses to investigate associations between NEWS-A and PA outcomes. Analyses were controlled for socio-demographic characteristics and HRQoL. The presence of attractive buildings was associated with less SB ( = -0.086, p &lt; 0.01) and more MVPA ( = 0.118, p &lt; 0.01). Presence of destinations within walking distance was also positively associated with MVPA ( = 0.106, p &lt; 0.01). Less crime was associated with less MVPA ( = 0.092, p &lt; 0.05). Interactions between personal and environmental characteristics showed that the absence of PA-hindering characteristics (e.g., heavy traffic) was associated with less SB and more MVPA, but only for residents with problems regarding pain and usual activities. The presence of PA-facilitating characteristics (e.g., aesthetics and destinations) was associated with less SB, more LPA and more MVPA but only for the more advantaged people in society. Results suggest that to reduce health inequalities, it would be more helpful to remove barriers rather than introduce PA facilitating characteristics.</t>
        </is>
      </c>
      <c r="X526" t="inlineStr">
        <is>
          <t>[Stappers, Nicole E. H.; De Vries, Nanne K.; Kremers, Stef P. J.] Maastricht Univ, NUTRIM Sch Nutr &amp; Translat Res Metab, Dept Hlth Promot, POB 616, NL-6200 Maastricht, Netherlands; [Van Kann, Dave H. H.] Fontys Univ Appl Sci, Sch Sport Studies, POB 347, NL-5600 AH Eindhoven, Netherlands; [De Vries, Nanne K.] Maastricht Univ, CAPHRI Care &amp; Publ Hlth Res Inst, Dept Hlth Promot, POB 616, NL-6200 Maastricht, Netherlands</t>
        </is>
      </c>
      <c r="Y526" t="inlineStr">
        <is>
          <t>Maastricht University; Maastricht University</t>
        </is>
      </c>
      <c r="Z526" t="inlineStr">
        <is>
          <t>Stappers, NEH (corresponding author), Maastricht Univ, NUTRIM Sch Nutr &amp; Translat Res Metab, Dept Hlth Promot, POB 616, NL-6200 Maastricht, Netherlands.</t>
        </is>
      </c>
      <c r="AA526" t="inlineStr">
        <is>
          <t>nicole.stappers@maastrichtuniversity.nl; d.vankann@fontys.nl; n.devries@maastrichtuniversity.nl; s.kremers@maastrichtuniversity.nl</t>
        </is>
      </c>
      <c r="AC526" t="inlineStr">
        <is>
          <t>de Vries, Nanne/0000-0002-4348-707X</t>
        </is>
      </c>
      <c r="AD526" t="inlineStr">
        <is>
          <t>A2 Project Organization; CAPHRI Care and Public Health Research Institute, Faculty of Health, Medicine and Life Sciences, Maastricht University</t>
        </is>
      </c>
      <c r="AE526" t="inlineStr">
        <is>
          <t>A2 Project Organization; CAPHRI Care and Public Health Research Institute, Faculty of Health, Medicine and Life Sciences, Maastricht University</t>
        </is>
      </c>
      <c r="AF526" t="inlineStr">
        <is>
          <t>This study was funded by the A2 Project Organization and CAPHRI Care and Public Health Research Institute, Faculty of Health, Medicine and Life Sciences, Maastricht University.</t>
        </is>
      </c>
      <c r="AH526" t="n">
        <v>45</v>
      </c>
      <c r="AI526" t="n">
        <v>5</v>
      </c>
      <c r="AJ526" t="n">
        <v>5</v>
      </c>
      <c r="AK526" t="n">
        <v>2</v>
      </c>
      <c r="AL526" t="n">
        <v>13</v>
      </c>
      <c r="AM526" t="inlineStr">
        <is>
          <t>MDPI</t>
        </is>
      </c>
      <c r="AN526" t="inlineStr">
        <is>
          <t>BASEL</t>
        </is>
      </c>
      <c r="AO526" t="inlineStr">
        <is>
          <t>ST ALBAN-ANLAGE 66, CH-4052 BASEL, SWITZERLAND</t>
        </is>
      </c>
      <c r="AQ526" t="inlineStr">
        <is>
          <t>1660-4601</t>
        </is>
      </c>
      <c r="AS526" t="inlineStr">
        <is>
          <t>INT J ENV RES PUB HE</t>
        </is>
      </c>
      <c r="AT526" t="inlineStr">
        <is>
          <t>Int. J. Environ. Res. Public Health</t>
        </is>
      </c>
      <c r="AU526" t="inlineStr">
        <is>
          <t>JUN</t>
        </is>
      </c>
      <c r="AV526" t="n">
        <v>2018</v>
      </c>
      <c r="AW526" t="n">
        <v>15</v>
      </c>
      <c r="AX526" t="n">
        <v>6</v>
      </c>
      <c r="BE526" t="n">
        <v>1062</v>
      </c>
      <c r="BF526" t="inlineStr">
        <is>
          <t>10.3390/ijerph15061062</t>
        </is>
      </c>
      <c r="BG526">
        <f>HYPERLINK("http://dx.doi.org/10.3390/ijerph15061062","http://dx.doi.org/10.3390/ijerph15061062")</f>
        <v/>
      </c>
      <c r="BJ526" t="n">
        <v>13</v>
      </c>
      <c r="BK526" t="inlineStr">
        <is>
          <t>Environmental Sciences; Public, Environmental &amp; Occupational Health</t>
        </is>
      </c>
      <c r="BL526" t="inlineStr">
        <is>
          <t>Science Citation Index Expanded (SCI-EXPANDED); Social Science Citation Index (SSCI)</t>
        </is>
      </c>
      <c r="BM526" t="inlineStr">
        <is>
          <t>Environmental Sciences &amp; Ecology; Public, Environmental &amp; Occupational Health</t>
        </is>
      </c>
      <c r="BN526" t="inlineStr">
        <is>
          <t>GK8SE</t>
        </is>
      </c>
      <c r="BO526" t="n">
        <v>29794980</v>
      </c>
      <c r="BP526" t="inlineStr">
        <is>
          <t>Green Submitted, gold, Green Published</t>
        </is>
      </c>
      <c r="BS526" t="inlineStr">
        <is>
          <t>2023-10-26</t>
        </is>
      </c>
      <c r="BT526" t="inlineStr">
        <is>
          <t>WOS:000436496900013</t>
        </is>
      </c>
      <c r="BU526">
        <f>HYPERLINK("https%3A%2F%2Fwww.webofscience.com%2Fwos%2Fwoscc%2Ffull-record%2FWOS:000436496900013","View Full Record in Web of Science")</f>
        <v/>
      </c>
    </row>
    <row r="527">
      <c r="A527" t="inlineStr">
        <is>
          <t>J</t>
        </is>
      </c>
      <c r="B527" t="inlineStr">
        <is>
          <t>Ivanova, K; Stojanovska, Z; Tsenova, M; Kunovska, B</t>
        </is>
      </c>
      <c r="F527" t="inlineStr">
        <is>
          <t>Ivanova, Kremena; Stojanovska, Zdenka; Tsenova, Martina; Kunovska, Bistra</t>
        </is>
      </c>
      <c r="J527" t="inlineStr">
        <is>
          <t>AIR QUALITY ATMOSPHERE AND HEALTH</t>
        </is>
      </c>
      <c r="M527" t="inlineStr">
        <is>
          <t>English</t>
        </is>
      </c>
      <c r="N527" t="inlineStr">
        <is>
          <t>Article</t>
        </is>
      </c>
      <c r="T527" t="inlineStr">
        <is>
          <t>Building-specific factors affecting indoor radon concentration variations in different regions in Bulgaria</t>
        </is>
      </c>
      <c r="U527" t="inlineStr">
        <is>
          <t>Indoor radon concentration; Building factors; Lowess model; Artificial neural network; Kindergartens; Bulgaria</t>
        </is>
      </c>
      <c r="V527" t="inlineStr">
        <is>
          <t>PREDICTION; DWELLINGS; ENVIRONMENT; EXPOSURE; PLOVDIV; FYR</t>
        </is>
      </c>
      <c r="W527" t="inlineStr">
        <is>
          <t>The study was conducted to assess the spatiality of the building factors' effect on air quality through evaluation of indoor radon concentration in areas with different geology and geographical position. For that matter, a survey of indoor radon concentration was carried out in 174 kindergartens of three Bulgarian cities. The time-integrated measurements were performed in 777 ground floor rooms using alpha tract detectors, exposed for 3 months in cold period of 2014. The results of indoor radon concentrations vary from 20 to 1117 Bq/m(3). The differences in the mean radon concentrations measured in the different cities were related to geology. The effect of building-specific factors: elevator, basement, mechanical ventilation, type of windows, number of floors, building renovation, building materials, type of room, type of heating, construction period, and availability of foundation on radon concentration variations was examined applying univariate and multivariate analysis. Univariate analysis showed that the effects of building-specific factors on radon variation are different in different cities. The influence of building factors on radon concentration variations was more dominant in inland cities in comparison to the city situated on the sea coast. The multivariate analysis, which was applied to evaluate the impact of building factors simultaneously, confirmed this influence too.</t>
        </is>
      </c>
      <c r="X527" t="inlineStr">
        <is>
          <t>[Ivanova, Kremena; Tsenova, Martina; Kunovska, Bistra] Natl Ctr Radiobiol &amp; Radiat Protect, 3 Sv Georgi Sofiyski St, Sofia 1606, Bulgaria; [Stojanovska, Zdenka] Goce Delcev Univ, Fac Med Sci, 10-A Krste Misirkov St, Stip 2000, North Macedonia</t>
        </is>
      </c>
      <c r="Y527" t="inlineStr">
        <is>
          <t>Goce Delcev University of Stip</t>
        </is>
      </c>
      <c r="Z527" t="inlineStr">
        <is>
          <t>Ivanova, K (corresponding author), Natl Ctr Radiobiol &amp; Radiat Protect, 3 Sv Georgi Sofiyski St, Sofia 1606, Bulgaria.</t>
        </is>
      </c>
      <c r="AA527" t="inlineStr">
        <is>
          <t>kivanova1968@gmail.com</t>
        </is>
      </c>
      <c r="AB527" t="inlineStr">
        <is>
          <t>Stojanovska, Zdenka/ABA-6274-2020; Ivanova, Kremena/IZQ-5456-2023; Stojanovska, Zdenka/GZM-3085-2022</t>
        </is>
      </c>
      <c r="AC527" t="inlineStr">
        <is>
          <t>Ivanova, Kremena/0000-0003-0731-4259; Stojanovska, Zdenka/0000-0003-0254-2869</t>
        </is>
      </c>
      <c r="AH527" t="n">
        <v>45</v>
      </c>
      <c r="AI527" t="n">
        <v>22</v>
      </c>
      <c r="AJ527" t="n">
        <v>22</v>
      </c>
      <c r="AK527" t="n">
        <v>0</v>
      </c>
      <c r="AL527" t="n">
        <v>23</v>
      </c>
      <c r="AM527" t="inlineStr">
        <is>
          <t>SPRINGER</t>
        </is>
      </c>
      <c r="AN527" t="inlineStr">
        <is>
          <t>DORDRECHT</t>
        </is>
      </c>
      <c r="AO527" t="inlineStr">
        <is>
          <t>VAN GODEWIJCKSTRAAT 30, 3311 GZ DORDRECHT, NETHERLANDS</t>
        </is>
      </c>
      <c r="AP527" t="inlineStr">
        <is>
          <t>1873-9318</t>
        </is>
      </c>
      <c r="AQ527" t="inlineStr">
        <is>
          <t>1873-9326</t>
        </is>
      </c>
      <c r="AS527" t="inlineStr">
        <is>
          <t>AIR QUAL ATMOS HLTH</t>
        </is>
      </c>
      <c r="AT527" t="inlineStr">
        <is>
          <t>Air Qual. Atmos. Health</t>
        </is>
      </c>
      <c r="AU527" t="inlineStr">
        <is>
          <t>NOV</t>
        </is>
      </c>
      <c r="AV527" t="n">
        <v>2017</v>
      </c>
      <c r="AW527" t="n">
        <v>10</v>
      </c>
      <c r="AX527" t="n">
        <v>9</v>
      </c>
      <c r="BC527" t="n">
        <v>1151</v>
      </c>
      <c r="BD527" t="n">
        <v>1161</v>
      </c>
      <c r="BF527" t="inlineStr">
        <is>
          <t>10.1007/s11869-017-0501-0</t>
        </is>
      </c>
      <c r="BG527">
        <f>HYPERLINK("http://dx.doi.org/10.1007/s11869-017-0501-0","http://dx.doi.org/10.1007/s11869-017-0501-0")</f>
        <v/>
      </c>
      <c r="BJ527" t="n">
        <v>11</v>
      </c>
      <c r="BK527" t="inlineStr">
        <is>
          <t>Environmental Sciences</t>
        </is>
      </c>
      <c r="BL527" t="inlineStr">
        <is>
          <t>Science Citation Index Expanded (SCI-EXPANDED)</t>
        </is>
      </c>
      <c r="BM527" t="inlineStr">
        <is>
          <t>Environmental Sciences &amp; Ecology</t>
        </is>
      </c>
      <c r="BN527" t="inlineStr">
        <is>
          <t>FO0HH</t>
        </is>
      </c>
      <c r="BS527" t="inlineStr">
        <is>
          <t>2023-10-26</t>
        </is>
      </c>
      <c r="BT527" t="inlineStr">
        <is>
          <t>WOS:000416423700010</t>
        </is>
      </c>
      <c r="BU527">
        <f>HYPERLINK("https%3A%2F%2Fwww.webofscience.com%2Fwos%2Fwoscc%2Ffull-record%2FWOS:000416423700010","View Full Record in Web of Science")</f>
        <v/>
      </c>
    </row>
    <row r="528">
      <c r="A528" t="inlineStr">
        <is>
          <t>J</t>
        </is>
      </c>
      <c r="B528" t="inlineStr">
        <is>
          <t>Sundling, C; Jakobsson, M</t>
        </is>
      </c>
      <c r="F528" t="inlineStr">
        <is>
          <t>Sundling, Catherine; Jakobsson, Marianne</t>
        </is>
      </c>
      <c r="J528" t="inlineStr">
        <is>
          <t>SUSTAINABILITY</t>
        </is>
      </c>
      <c r="M528" t="inlineStr">
        <is>
          <t>English</t>
        </is>
      </c>
      <c r="N528" t="inlineStr">
        <is>
          <t>Review</t>
        </is>
      </c>
      <c r="T528" t="inlineStr">
        <is>
          <t>How Do Urban Walking Environments Impact Pedestrians' Experience and Psychological Health? A Systematic Review</t>
        </is>
      </c>
      <c r="U528" t="inlineStr">
        <is>
          <t>urban physical environment; pedestrian; circumplex model; perceived safety; gray; green; blue; white areas; weather and temporalities; person factors; systematic review</t>
        </is>
      </c>
      <c r="V528" t="inlineStr">
        <is>
          <t>BUILT-ENVIRONMENT; MENTAL-HEALTH; OLDER-ADULTS; PHYSICAL ENVIRONMENTS; NEIGHBORHOOD DESIGN; WALKABILITY; FEATURES; SPACE; CRIME; PARKS</t>
        </is>
      </c>
      <c r="W528" t="inlineStr">
        <is>
          <t>Daily walks are recommended for health gains, and walkable urban environments are recommended as one strategy to combat climate change. Evidence of the relationship between physical environments and psychological health is increasing. The aim of this study was to systematically review and compile evidence regarding micro-scale characteristics in urban outdoor environments that impacted pedestrian short-term experience and/or long-term psychological health. The databases ScienceDirect, Scopus, PubMed, PsychInfo, and Google Scholar were used. To explore the area, a large heterogeneity in publications was allowed; therefore, it was not possible to conduct a meta-analysis. From 63 publications, data items were extracted from full text and categorized according to the main study characteristics. Environmental characteristics impacting pedestrians psychologically were identified and categorized into themes: grey, green, blue, and white areas, and weather, temporalities, topography, person factors, and safety. Environmental factors were analyzed from the perspective of the circumplex model of human affect (negative/positive dimensions and activation/deactivation). The findings included the fact that urban pedestrians need both positively activating and deactivating (restorative) areas during walkabouts. Perceived safety is essential for experiencing the positive aspects of urban environments. Some characteristics interact differently or have different importance for health in different groups. To further develop research on pedestrian environments, psychological experiences should be included.</t>
        </is>
      </c>
      <c r="X528" t="inlineStr">
        <is>
          <t>[Sundling, Catherine] Sodertorn Univ, Sch Social Sci, Dept Psychol, Alfred Nobels 7, S-14189 Huddinge, Sweden; [Sundling, Catherine; Jakobsson, Marianne] Univ Gavle, Fac Hlth &amp; Occupat Studies, Dept Occupat Hlth Sci &amp; Psychol, S-80176 Gavle, Sweden</t>
        </is>
      </c>
      <c r="Y528" t="inlineStr">
        <is>
          <t>Sodertorn University; University of Gavle</t>
        </is>
      </c>
      <c r="Z528" t="inlineStr">
        <is>
          <t>Sundling, C (corresponding author), Sodertorn Univ, Sch Social Sci, Dept Psychol, Alfred Nobels 7, S-14189 Huddinge, Sweden.;Sundling, C; Jakobsson, M (corresponding author), Univ Gavle, Fac Hlth &amp; Occupat Studies, Dept Occupat Hlth Sci &amp; Psychol, S-80176 Gavle, Sweden.</t>
        </is>
      </c>
      <c r="AA528" t="inlineStr">
        <is>
          <t>catherine.sundling@sh.se; marianne.jakobsson@hig.se</t>
        </is>
      </c>
      <c r="AH528" t="n">
        <v>115</v>
      </c>
      <c r="AI528" t="n">
        <v>0</v>
      </c>
      <c r="AJ528" t="n">
        <v>0</v>
      </c>
      <c r="AK528" t="n">
        <v>8</v>
      </c>
      <c r="AL528" t="n">
        <v>8</v>
      </c>
      <c r="AM528" t="inlineStr">
        <is>
          <t>MDPI</t>
        </is>
      </c>
      <c r="AN528" t="inlineStr">
        <is>
          <t>BASEL</t>
        </is>
      </c>
      <c r="AO528" t="inlineStr">
        <is>
          <t>ST ALBAN-ANLAGE 66, CH-4052 BASEL, SWITZERLAND</t>
        </is>
      </c>
      <c r="AQ528" t="inlineStr">
        <is>
          <t>2071-1050</t>
        </is>
      </c>
      <c r="AS528" t="inlineStr">
        <is>
          <t>SUSTAINABILITY-BASEL</t>
        </is>
      </c>
      <c r="AT528" t="inlineStr">
        <is>
          <t>Sustainability</t>
        </is>
      </c>
      <c r="AU528" t="inlineStr">
        <is>
          <t>JUL</t>
        </is>
      </c>
      <c r="AV528" t="n">
        <v>2023</v>
      </c>
      <c r="AW528" t="n">
        <v>15</v>
      </c>
      <c r="AX528" t="n">
        <v>14</v>
      </c>
      <c r="BE528" t="n">
        <v>10817</v>
      </c>
      <c r="BF528" t="inlineStr">
        <is>
          <t>10.3390/su151410817</t>
        </is>
      </c>
      <c r="BG528">
        <f>HYPERLINK("http://dx.doi.org/10.3390/su151410817","http://dx.doi.org/10.3390/su151410817")</f>
        <v/>
      </c>
      <c r="BJ528" t="n">
        <v>32</v>
      </c>
      <c r="BK528" t="inlineStr">
        <is>
          <t>Green &amp; Sustainable Science &amp; Technology; Environmental Sciences; Environmental Studies</t>
        </is>
      </c>
      <c r="BL528" t="inlineStr">
        <is>
          <t>Science Citation Index Expanded (SCI-EXPANDED); Social Science Citation Index (SSCI)</t>
        </is>
      </c>
      <c r="BM528" t="inlineStr">
        <is>
          <t>Science &amp; Technology - Other Topics; Environmental Sciences &amp; Ecology</t>
        </is>
      </c>
      <c r="BN528" t="inlineStr">
        <is>
          <t>N3XK6</t>
        </is>
      </c>
      <c r="BP528" t="inlineStr">
        <is>
          <t>Green Published, gold</t>
        </is>
      </c>
      <c r="BS528" t="inlineStr">
        <is>
          <t>2023-10-26</t>
        </is>
      </c>
      <c r="BT528" t="inlineStr">
        <is>
          <t>WOS:001036378800001</t>
        </is>
      </c>
      <c r="BU528">
        <f>HYPERLINK("https%3A%2F%2Fwww.webofscience.com%2Fwos%2Fwoscc%2Ffull-record%2FWOS:001036378800001","View Full Record in Web of Science")</f>
        <v/>
      </c>
    </row>
    <row r="529">
      <c r="A529" t="inlineStr">
        <is>
          <t>J</t>
        </is>
      </c>
      <c r="B529" t="inlineStr">
        <is>
          <t>Watterworth, JC; Korsiak, J; Keya, FK; Arbour-Nicitopoulos, KP; Al Mahmud, A; Tam, V; Roth, DE</t>
        </is>
      </c>
      <c r="F529" t="inlineStr">
        <is>
          <t>Watterworth, Jessica C.; Korsiak, Jill; Keya, Farhana K.; Arbour-Nicitopoulos, Kelly P.; Al Mahmud, Abdullah; Tam, Vivian; Roth, Daniel E.</t>
        </is>
      </c>
      <c r="J529" t="inlineStr">
        <is>
          <t>INTERNATIONAL JOURNAL OF ENVIRONMENTAL RESEARCH AND PUBLIC HEALTH</t>
        </is>
      </c>
      <c r="M529" t="inlineStr">
        <is>
          <t>English</t>
        </is>
      </c>
      <c r="N529" t="inlineStr">
        <is>
          <t>Article</t>
        </is>
      </c>
      <c r="T529" t="inlineStr">
        <is>
          <t>Physical Activity and the Home Environment of Pre-School-Aged Children in Urban Bangladesh</t>
        </is>
      </c>
      <c r="U529" t="inlineStr">
        <is>
          <t>accelerometry; Bangladesh; children; household equipment; physical activity; sedentary behavior</t>
        </is>
      </c>
      <c r="V529" t="inlineStr">
        <is>
          <t>DOUBLE BURDEN; BIOELECTRICAL-IMPEDANCE; MOTOR DEVELOPMENT; BODY-COMPOSITION; MALNUTRITION; SUPPLEMENTATION; ACCELEROMETER; ADOLESCENTS; AFFORDANCES; VALIDATION</t>
        </is>
      </c>
      <c r="W529" t="inlineStr">
        <is>
          <t>Physical activity (PA) is a key determinant of health and development, yet few studies have examined PA levels and risk factors for low PA among young children in low- and middle-income countries. This study aimed to describe the PA and sedentary (SED) behavior levels of preschool-aged children in Dhaka, Bangladesh, and to estimate the associations between potential risk factors in the home built environment and moderate to vigorous PA (MVPA). In a sample of preschool-aged children (n = 65) in Dhaka, PA and SED behavior were measured for 7 days using ActiGraph GT3X-BT accelerometers. Characteristics of the home built environment, socioeconomic factors, and anthropometry were also measured. Linear mixed-effects models were used to estimate multivariable-adjusted associations between characteristics of the home environment and MVPA. Preschool-aged children spent a mean (+/- standard deviation) 421 +/- 48 and 82 +/- 23 min per day sedentary and in MVPA, respectively. There were no statistically significant associations between factors in the home built environment (indoor area, presence of an open stairwell, and presence of gross motor activity facilitating items) and MVPA. These findings suggest that the studied characteristics of the home built environment may not significantly influence the MVPA observed among preschool-aged children in Dhaka. Future research should focus on other structural and behavioral factors that facilitate PA among young children in dense urban settings.</t>
        </is>
      </c>
      <c r="X529" t="inlineStr">
        <is>
          <t>[Watterworth, Jessica C.; Roth, Daniel E.] Univ Toronto, Dept Nutr Sci, Toronto, ON M5S 1A8, Canada; [Watterworth, Jessica C.; Korsiak, Jill; Tam, Vivian; Roth, Daniel E.] Hosp Sick Children, Ctr Global Child Hlth, Toronto, ON M5G 2L3, Canada; [Keya, Farhana K.; Al Mahmud, Abdullah] Bangladesh ICDDR B, Int Ctr Diarrhoeal Dis Res, Dhaka 1212, Bangladesh; [Arbour-Nicitopoulos, Kelly P.] Univ Toronto, Fac Kinesiol &amp; Phys Educ, Toronto, ON M5S 2W6, Canada; [Roth, Daniel E.] Hosp Sick Children, Dept Paediat, Div Paediat Med, 686 Bay St, Toronto, ON M5G 1X8, Canada</t>
        </is>
      </c>
      <c r="Y529" t="inlineStr">
        <is>
          <t>University of Toronto; University of Toronto; Hospital for Sick Children (SickKids); International Centre for Diarrhoeal Disease Research (ICDDR); University of Toronto; University of Toronto; Hospital for Sick Children (SickKids)</t>
        </is>
      </c>
      <c r="Z529" t="inlineStr">
        <is>
          <t>Roth, DE (corresponding author), Univ Toronto, Dept Nutr Sci, Toronto, ON M5S 1A8, Canada.;Roth, DE (corresponding author), Hosp Sick Children, Ctr Global Child Hlth, Toronto, ON M5G 2L3, Canada.;Roth, DE (corresponding author), Hosp Sick Children, Dept Paediat, Div Paediat Med, 686 Bay St, Toronto, ON M5G 1X8, Canada.</t>
        </is>
      </c>
      <c r="AA529" t="inlineStr">
        <is>
          <t>caymannutritionjessica@gmail.com; jill.korsiak@mail.mcgill.ca; farhana.khanam@icddrb.org; kelly.arbour@utoronto.ca; mahmud@icddrb.org; viviantam6@gmail.com; daniel.roth@sickkids.ca</t>
        </is>
      </c>
      <c r="AB529" t="inlineStr">
        <is>
          <t>Arbour-Nicitopoulos, Kelly/AEY-9487-2022; Arbour, Kelly/AER-8296-2022; Watterworth, Jessica/F-9493-2019</t>
        </is>
      </c>
      <c r="AC529" t="inlineStr">
        <is>
          <t>Arbour-Nicitopoulos, Kelly/0000-0003-1011-3669; Watterworth, Jessica/0000-0002-6571-1968</t>
        </is>
      </c>
      <c r="AD529" t="inlineStr">
        <is>
          <t>Restracomp Scholarship (SickKids-University of Toronto Ontario Student Opportunity Trust Fund); Hospital for Sick Children in Toronto, Canada; Canadian Institutes for Health Research (CIHR); Canadian Graduate Scholarship; CIHR Bridge grant; CIHR</t>
        </is>
      </c>
      <c r="AE529" t="inlineStr">
        <is>
          <t>Restracomp Scholarship (SickKids-University of Toronto Ontario Student Opportunity Trust Fund); Hospital for Sick Children in Toronto, Canada; Canadian Institutes for Health Research (CIHR)(Canadian Institutes of Health Research (CIHR)); Canadian Graduate Scholarship; CIHR Bridge grant(Canadian Institutes of Health Research (CIHR)); CIHR(Canadian Institutes of Health Research (CIHR))</t>
        </is>
      </c>
      <c r="AF529" t="inlineStr">
        <is>
          <t>Restracomp Scholarship (SickKids-University of Toronto Ontario Student Opportunity Trust Fund) in association with The Hospital for Sick Children in Toronto, Canada, as well as the Canadian Institutes for Health Research (CIHR), Canadian Graduate Scholarship, and CIHR Bridge grant provided funding to support data collection and analyses. Michael Smith Foreign Study Supplement, in association with CIHR, provided supplementary funding to support travel-related costs during the data collection period.</t>
        </is>
      </c>
      <c r="AH529" t="n">
        <v>55</v>
      </c>
      <c r="AI529" t="n">
        <v>1</v>
      </c>
      <c r="AJ529" t="n">
        <v>1</v>
      </c>
      <c r="AK529" t="n">
        <v>0</v>
      </c>
      <c r="AL529" t="n">
        <v>12</v>
      </c>
      <c r="AM529" t="inlineStr">
        <is>
          <t>MDPI</t>
        </is>
      </c>
      <c r="AN529" t="inlineStr">
        <is>
          <t>BASEL</t>
        </is>
      </c>
      <c r="AO529" t="inlineStr">
        <is>
          <t>ST ALBAN-ANLAGE 66, CH-4052 BASEL, SWITZERLAND</t>
        </is>
      </c>
      <c r="AQ529" t="inlineStr">
        <is>
          <t>1660-4601</t>
        </is>
      </c>
      <c r="AS529" t="inlineStr">
        <is>
          <t>INT J ENV RES PUB HE</t>
        </is>
      </c>
      <c r="AT529" t="inlineStr">
        <is>
          <t>Int. J. Environ. Res. Public Health</t>
        </is>
      </c>
      <c r="AU529" t="inlineStr">
        <is>
          <t>APR</t>
        </is>
      </c>
      <c r="AV529" t="n">
        <v>2021</v>
      </c>
      <c r="AW529" t="n">
        <v>18</v>
      </c>
      <c r="AX529" t="n">
        <v>7</v>
      </c>
      <c r="BE529" t="n">
        <v>3362</v>
      </c>
      <c r="BF529" t="inlineStr">
        <is>
          <t>10.3390/ijerph18073362</t>
        </is>
      </c>
      <c r="BG529">
        <f>HYPERLINK("http://dx.doi.org/10.3390/ijerph18073362","http://dx.doi.org/10.3390/ijerph18073362")</f>
        <v/>
      </c>
      <c r="BJ529" t="n">
        <v>14</v>
      </c>
      <c r="BK529" t="inlineStr">
        <is>
          <t>Environmental Sciences; Public, Environmental &amp; Occupational Health</t>
        </is>
      </c>
      <c r="BL529" t="inlineStr">
        <is>
          <t>Science Citation Index Expanded (SCI-EXPANDED); Social Science Citation Index (SSCI)</t>
        </is>
      </c>
      <c r="BM529" t="inlineStr">
        <is>
          <t>Environmental Sciences &amp; Ecology; Public, Environmental &amp; Occupational Health</t>
        </is>
      </c>
      <c r="BN529" t="inlineStr">
        <is>
          <t>RK7ZV</t>
        </is>
      </c>
      <c r="BO529" t="n">
        <v>33805120</v>
      </c>
      <c r="BP529" t="inlineStr">
        <is>
          <t>gold, Green Published</t>
        </is>
      </c>
      <c r="BS529" t="inlineStr">
        <is>
          <t>2023-10-26</t>
        </is>
      </c>
      <c r="BT529" t="inlineStr">
        <is>
          <t>WOS:000638510300001</t>
        </is>
      </c>
      <c r="BU529">
        <f>HYPERLINK("https%3A%2F%2Fwww.webofscience.com%2Fwos%2Fwoscc%2Ffull-record%2FWOS:000638510300001","View Full Record in Web of Science")</f>
        <v/>
      </c>
    </row>
    <row r="530">
      <c r="A530" t="inlineStr">
        <is>
          <t>J</t>
        </is>
      </c>
      <c r="B530" t="inlineStr">
        <is>
          <t>Lesan, M; Khozaei, F; Kim, MJ; Nejad, MS</t>
        </is>
      </c>
      <c r="F530" t="inlineStr">
        <is>
          <t>Lesan, Maryam; Khozaei, Fatemeh; Kim, Mi Jeong; Nejad, Marziyeh Shahidi</t>
        </is>
      </c>
      <c r="J530" t="inlineStr">
        <is>
          <t>SUSTAINABILITY</t>
        </is>
      </c>
      <c r="M530" t="inlineStr">
        <is>
          <t>English</t>
        </is>
      </c>
      <c r="N530" t="inlineStr">
        <is>
          <t>Article</t>
        </is>
      </c>
      <c r="T530" t="inlineStr">
        <is>
          <t>Identifying Health Care Environment Contradictions in Terms of Infection Control during a Pandemic with a Focus on Health Workers' Experience</t>
        </is>
      </c>
      <c r="U530" t="inlineStr">
        <is>
          <t>COVID-19; hospital; health care facilities; built environment; infection control</t>
        </is>
      </c>
      <c r="V530" t="inlineStr">
        <is>
          <t>CONTAMINATION; STAFF; AIRBORNE; DESIGN; IMPACT</t>
        </is>
      </c>
      <c r="W530" t="inlineStr">
        <is>
          <t>During the past year, health care environments have struggled to cope with the various impacts of COVID-19 around the world. Health care facilities need to help strengthen resistance to pathogen threats and provide care for patients and health workers in the safest possible way. Architectural design strategies can play a significant role in infection prevention and control. The current study aims to examine the experiences of health workers with hospital spaces during the COVID-19 pandemic. Identifying the difficulties they face, the present study attempts to shed light on the role of the health care layout configuration in combating pandemics. The authors conducted observations at four hospitals and a series of online semi-structured interviews with 162 health care staff from March to May 2020. The study indicated that space configuration and the hospitalization of patients, layout and circulation of the environment, operation services such as indoor environment conditions, maintenance of health care system, and organizational support for health care staff were the most critical factors affecting infection control in health care environments. The initial zoning and separation of patients were the most effective methods of controlling infection. Hospitals with clustered plan layouts were found to be the most effective buildings for the zoning of COVID-19 patients during the pandemic and for infection control.</t>
        </is>
      </c>
      <c r="X530" t="inlineStr">
        <is>
          <t>[Lesan, Maryam] Babol Noshirvani Univ Technol, Sch Civil Engn, Dept Architecture, Babol 4714871167, Iran; [Khozaei, Fatemeh; Nejad, Marziyeh Shahidi] Islamic Azad Univ, Kerman Branch, Dept Architecture, Kerman 7635131167, Iran; [Kim, Mi Jeong] Hanyang Univ, Sch Architecture, Seoul 04763, South Korea</t>
        </is>
      </c>
      <c r="Y530" t="inlineStr">
        <is>
          <t>Babol Noshirvani University of Technology; Islamic Azad University; Hanyang University</t>
        </is>
      </c>
      <c r="Z530" t="inlineStr">
        <is>
          <t>Khozaei, F (corresponding author), Islamic Azad Univ, Kerman Branch, Dept Architecture, Kerman 7635131167, Iran.;Kim, MJ (corresponding author), Hanyang Univ, Sch Architecture, Seoul 04763, South Korea.</t>
        </is>
      </c>
      <c r="AA530" t="inlineStr">
        <is>
          <t>m.lesan@nit.ac.ir; Fkhozaei@iauk.ac.ir; mijeongkim@hanyang.ac.kr; mzshahidinejad@gmail.com</t>
        </is>
      </c>
      <c r="AB530" t="inlineStr">
        <is>
          <t>khozaei, Fatemeh/K-4118-2016</t>
        </is>
      </c>
      <c r="AC530" t="inlineStr">
        <is>
          <t>Lesan, Maryam/0000-0002-5277-7984; Kim, Mi Jeong/0000-0002-0727-2741; Khozaei Ravari, Fatemeh/0000-0003-3901-1156</t>
        </is>
      </c>
      <c r="AH530" t="n">
        <v>53</v>
      </c>
      <c r="AI530" t="n">
        <v>4</v>
      </c>
      <c r="AJ530" t="n">
        <v>4</v>
      </c>
      <c r="AK530" t="n">
        <v>0</v>
      </c>
      <c r="AL530" t="n">
        <v>7</v>
      </c>
      <c r="AM530" t="inlineStr">
        <is>
          <t>MDPI</t>
        </is>
      </c>
      <c r="AN530" t="inlineStr">
        <is>
          <t>BASEL</t>
        </is>
      </c>
      <c r="AO530" t="inlineStr">
        <is>
          <t>ST ALBAN-ANLAGE 66, CH-4052 BASEL, SWITZERLAND</t>
        </is>
      </c>
      <c r="AQ530" t="inlineStr">
        <is>
          <t>2071-1050</t>
        </is>
      </c>
      <c r="AS530" t="inlineStr">
        <is>
          <t>SUSTAINABILITY-BASEL</t>
        </is>
      </c>
      <c r="AT530" t="inlineStr">
        <is>
          <t>Sustainability</t>
        </is>
      </c>
      <c r="AU530" t="inlineStr">
        <is>
          <t>SEP</t>
        </is>
      </c>
      <c r="AV530" t="n">
        <v>2021</v>
      </c>
      <c r="AW530" t="n">
        <v>13</v>
      </c>
      <c r="AX530" t="n">
        <v>17</v>
      </c>
      <c r="BE530" t="n">
        <v>9964</v>
      </c>
      <c r="BF530" t="inlineStr">
        <is>
          <t>10.3390/su13179964</t>
        </is>
      </c>
      <c r="BG530">
        <f>HYPERLINK("http://dx.doi.org/10.3390/su13179964","http://dx.doi.org/10.3390/su13179964")</f>
        <v/>
      </c>
      <c r="BJ530" t="n">
        <v>17</v>
      </c>
      <c r="BK530" t="inlineStr">
        <is>
          <t>Green &amp; Sustainable Science &amp; Technology; Environmental Sciences; Environmental Studies</t>
        </is>
      </c>
      <c r="BL530" t="inlineStr">
        <is>
          <t>Science Citation Index Expanded (SCI-EXPANDED); Social Science Citation Index (SSCI)</t>
        </is>
      </c>
      <c r="BM530" t="inlineStr">
        <is>
          <t>Science &amp; Technology - Other Topics; Environmental Sciences &amp; Ecology</t>
        </is>
      </c>
      <c r="BN530" t="inlineStr">
        <is>
          <t>UO1SI</t>
        </is>
      </c>
      <c r="BP530" t="inlineStr">
        <is>
          <t>gold</t>
        </is>
      </c>
      <c r="BS530" t="inlineStr">
        <is>
          <t>2023-10-26</t>
        </is>
      </c>
      <c r="BT530" t="inlineStr">
        <is>
          <t>WOS:000694481400001</t>
        </is>
      </c>
      <c r="BU530">
        <f>HYPERLINK("https%3A%2F%2Fwww.webofscience.com%2Fwos%2Fwoscc%2Ffull-record%2FWOS:000694481400001","View Full Record in Web of Science")</f>
        <v/>
      </c>
    </row>
    <row r="531">
      <c r="A531" t="inlineStr">
        <is>
          <t>J</t>
        </is>
      </c>
      <c r="B531" t="inlineStr">
        <is>
          <t>Kotzias, D; Pilidis, G</t>
        </is>
      </c>
      <c r="F531" t="inlineStr">
        <is>
          <t>Kotzias, Dimitris; Pilidis, Georgios</t>
        </is>
      </c>
      <c r="J531" t="inlineStr">
        <is>
          <t>FRESENIUS ENVIRONMENTAL BULLETIN</t>
        </is>
      </c>
      <c r="M531" t="inlineStr">
        <is>
          <t>English</t>
        </is>
      </c>
      <c r="N531" t="inlineStr">
        <is>
          <t>Article; Proceedings Paper</t>
        </is>
      </c>
      <c r="O531" t="inlineStr">
        <is>
          <t>18th International Symposium on Environmental Pollution and its Impact on Life in the Mediterranean Region (MESAEP)</t>
        </is>
      </c>
      <c r="P531" t="inlineStr">
        <is>
          <t>SEP 26-30, 2015</t>
        </is>
      </c>
      <c r="Q531" t="inlineStr">
        <is>
          <t>Crete, GREECE</t>
        </is>
      </c>
      <c r="T531" t="inlineStr">
        <is>
          <t>BUILDING DESIGN AND INDOOR AIR QUALITY - EXPERIENCE AND PROSPECTS</t>
        </is>
      </c>
      <c r="U531" t="inlineStr">
        <is>
          <t>Indoor air quality; energy saving; directives/policies</t>
        </is>
      </c>
      <c r="W531" t="inlineStr">
        <is>
          <t>In the last three decades numerous studies have been performed dealing with air quality in indoor environments. Most of them were focused onto the chemical characterization and quantification of priority air contaminants indoors, which may represent a risk for human health, well being and comfort. The reason for all these activities was the fact, that people spend a great part of their time (85 to 90%) in confined spaces (homes, office buildings, schools, public transport means) and thus are exposed to a high extent to chemicals accumulated indoors. In order to substantially facing indoor air pollution there is a need a) to apply harmonized procedures for indoor air pollution monitoring, b) to reduce/eliminate indoor pollution sources e.g. smoking, use of cleaning agents and low emitting (chemical substances) building and construction materials and c) to integrate all political tools and initiatives available e.g. the Construction Products Regulation (CPR), the Energy Performance Building Directive (EPBD) and the WHO Guidelines for Indoor Air Quality [6,7]. The paper presents existing knowledge on indoor environmental quality related issues at European level in view of energy saving requirements for new and old buildings and proposes actions that should be taken into consideration in the coming years to achieve healthy and resource efficient buildings.</t>
        </is>
      </c>
      <c r="X531" t="inlineStr">
        <is>
          <t>[Kotzias, Dimitris] European Commiss, Joint Res Ctr, Ispra, Italy; [Pilidis, Georgios] Univ Ioannina, Dept Biol Applicat &amp; Technol, Ioannina, Greece</t>
        </is>
      </c>
      <c r="Y531" t="inlineStr">
        <is>
          <t>European Commission Joint Research Centre; EC JRC ISPRA Site; University of Ioannina</t>
        </is>
      </c>
      <c r="Z531" t="inlineStr">
        <is>
          <t>Kotzias, D (corresponding author), Via Germania 29, I-21027 Barza, Va, Italy.</t>
        </is>
      </c>
      <c r="AA531" t="inlineStr">
        <is>
          <t>dkotzias10@gmail.com</t>
        </is>
      </c>
      <c r="AB531" t="inlineStr">
        <is>
          <t>, Dimitrios Kotzias/AAI-5800-2020</t>
        </is>
      </c>
      <c r="AC531" t="inlineStr">
        <is>
          <t>Dr. Kotzias, Dimitrios/0000-0001-7466-4879</t>
        </is>
      </c>
      <c r="AH531" t="n">
        <v>8</v>
      </c>
      <c r="AI531" t="n">
        <v>13</v>
      </c>
      <c r="AJ531" t="n">
        <v>13</v>
      </c>
      <c r="AK531" t="n">
        <v>1</v>
      </c>
      <c r="AL531" t="n">
        <v>9</v>
      </c>
      <c r="AM531" t="inlineStr">
        <is>
          <t>PARLAR SCIENTIFIC PUBLICATIONS (P S P)</t>
        </is>
      </c>
      <c r="AN531" t="inlineStr">
        <is>
          <t>FREISING</t>
        </is>
      </c>
      <c r="AO531" t="inlineStr">
        <is>
          <t>ANGERSTR. 12, 85354 FREISING, GERMANY</t>
        </is>
      </c>
      <c r="AP531" t="inlineStr">
        <is>
          <t>1018-4619</t>
        </is>
      </c>
      <c r="AQ531" t="inlineStr">
        <is>
          <t>1610-2304</t>
        </is>
      </c>
      <c r="AS531" t="inlineStr">
        <is>
          <t>FRESEN ENVIRON BULL</t>
        </is>
      </c>
      <c r="AT531" t="inlineStr">
        <is>
          <t>Fresenius Environ. Bull.</t>
        </is>
      </c>
      <c r="AV531" t="n">
        <v>2017</v>
      </c>
      <c r="AW531" t="n">
        <v>26</v>
      </c>
      <c r="AX531" t="n">
        <v>1</v>
      </c>
      <c r="BC531" t="n">
        <v>323</v>
      </c>
      <c r="BD531" t="n">
        <v>326</v>
      </c>
      <c r="BJ531" t="n">
        <v>4</v>
      </c>
      <c r="BK531" t="inlineStr">
        <is>
          <t>Environmental Sciences</t>
        </is>
      </c>
      <c r="BL531" t="inlineStr">
        <is>
          <t>Science Citation Index Expanded (SCI-EXPANDED); Conference Proceedings Citation Index - Science (CPCI-S)</t>
        </is>
      </c>
      <c r="BM531" t="inlineStr">
        <is>
          <t>Environmental Sciences &amp; Ecology</t>
        </is>
      </c>
      <c r="BN531" t="inlineStr">
        <is>
          <t>EN0TS</t>
        </is>
      </c>
      <c r="BS531" t="inlineStr">
        <is>
          <t>2023-10-26</t>
        </is>
      </c>
      <c r="BT531" t="inlineStr">
        <is>
          <t>WOS:000395724000043</t>
        </is>
      </c>
      <c r="BU531">
        <f>HYPERLINK("https%3A%2F%2Fwww.webofscience.com%2Fwos%2Fwoscc%2Ffull-record%2FWOS:000395724000043","View Full Record in Web of Science")</f>
        <v/>
      </c>
    </row>
    <row r="532">
      <c r="A532" t="inlineStr">
        <is>
          <t>J</t>
        </is>
      </c>
      <c r="B532" t="inlineStr">
        <is>
          <t>Moor, NJA; Hamers, K; Mohammadi, M</t>
        </is>
      </c>
      <c r="F532" t="inlineStr">
        <is>
          <t>Moor, Nienke J. A.; Hamers, Kim; Mohammadi, Masi</t>
        </is>
      </c>
      <c r="J532" t="inlineStr">
        <is>
          <t>INTERNATIONAL JOURNAL OF ENVIRONMENTAL RESEARCH AND PUBLIC HEALTH</t>
        </is>
      </c>
      <c r="M532" t="inlineStr">
        <is>
          <t>English</t>
        </is>
      </c>
      <c r="N532" t="inlineStr">
        <is>
          <t>Article</t>
        </is>
      </c>
      <c r="T532" t="inlineStr">
        <is>
          <t>Ageing Well in Small Villages: What Keeps Older Adults Happy? Environmental Indicators of Residential Satisfaction in Four Dutch Villages</t>
        </is>
      </c>
      <c r="U532" t="inlineStr">
        <is>
          <t>residential satisfaction; liveability; older adults; small villages; living environment; mixed methods</t>
        </is>
      </c>
      <c r="V532" t="inlineStr">
        <is>
          <t>SOCIAL-INTERACTION; GREEN CARE; IN-PLACE; FIT; LIVEABILITY; PHOTOVOICE; ATTACHMENT; COMMUNITY; PEOPLE; SENSE</t>
        </is>
      </c>
      <c r="W532" t="inlineStr">
        <is>
          <t>This article aims to contribute to the existing literature about liveability in rural areas by explicitly focusing on the level of residential satisfaction of older adults (55+) in four small Dutch villages. We strive not only to identify the key indicators of residential satisfaction among older villagers but also to better understand how these indicators affect their (daily) life. Moreover, in line with the person-environment fit tradition, we differentiate according to the capabilities and vulnerabilities of older villagers. To this end, we use a mixed-method approach, in which we combine survey data with qualitative data collected with photovoice in the four villages. The findings indicate that older adults' perceptions of spatial, social and functional aspects of the living environment are related to the degree of residential satisfaction overall. However, these perceptions appear to be strongly intertwined, especially perceptions about spatial characteristics, local identity and connectedness. Older adults who are hindered by health problems in undertaking daily activities experience a lower level of person-environment fit, which is reflected in a lower level of residential satisfaction. However, this relationship between subjective health and residential satisfaction can only be partially explained by different perceptions of the spatial, social and functional environment.</t>
        </is>
      </c>
      <c r="X532" t="inlineStr">
        <is>
          <t>[Moor, Nienke J. A.; Hamers, Kim; Mohammadi, Masi] HAN Univ Appl Sci, Res Grp Architecture Hlth, NL-6846 CC Arnhem, Netherlands; Eindhoven Univ Technol, Smart Architectural Technol, NL-5644 MB Eindhoven, Netherlands</t>
        </is>
      </c>
      <c r="Y532" t="inlineStr">
        <is>
          <t>Eindhoven University of Technology</t>
        </is>
      </c>
      <c r="Z532" t="inlineStr">
        <is>
          <t>Moor, NJA (corresponding author), HAN Univ Appl Sci, Res Grp Architecture Hlth, NL-6846 CC Arnhem, Netherlands.</t>
        </is>
      </c>
      <c r="AA532" t="inlineStr">
        <is>
          <t>Nienke.Moor@han.nl; Kim.Hamers@han.nl; Masi.Mohammadi@han.nl</t>
        </is>
      </c>
      <c r="AC532" t="inlineStr">
        <is>
          <t>Moor, Nienke/0000-0002-0931-1652</t>
        </is>
      </c>
      <c r="AD532" t="inlineStr">
        <is>
          <t>INTERREG VA program Germany-The Netherlands [203018]; European Regional Development Fund (ERDF); Province of Gelderland (NL); Ministerium fur Wirtschaft, Energie, Industrie, Mittelstand und Handwerk of the State of North Rhine-Westphalia (MWEIMH NRW)</t>
        </is>
      </c>
      <c r="AE532" t="inlineStr">
        <is>
          <t>INTERREG VA program Germany-The Netherlands; European Regional Development Fund (ERDF)(European Union (EU)); Province of Gelderland (NL); Ministerium fur Wirtschaft, Energie, Industrie, Mittelstand und Handwerk of the State of North Rhine-Westphalia (MWEIMH NRW)</t>
        </is>
      </c>
      <c r="AF532" t="inlineStr">
        <is>
          <t>This research was co-financed within the framework of the INTERREG VA program Germany-The Netherlands (203018) with funds from the European Regional Development Fund (ERDF), the Province of Gelderland (NL) and the Ministerium fur Wirtschaft, Energie, Industrie, Mittelstand und Handwerk of the State of North Rhine-Westphalia (MWEIMH NRW).</t>
        </is>
      </c>
      <c r="AH532" t="n">
        <v>66</v>
      </c>
      <c r="AI532" t="n">
        <v>5</v>
      </c>
      <c r="AJ532" t="n">
        <v>5</v>
      </c>
      <c r="AK532" t="n">
        <v>12</v>
      </c>
      <c r="AL532" t="n">
        <v>28</v>
      </c>
      <c r="AM532" t="inlineStr">
        <is>
          <t>MDPI</t>
        </is>
      </c>
      <c r="AN532" t="inlineStr">
        <is>
          <t>BASEL</t>
        </is>
      </c>
      <c r="AO532" t="inlineStr">
        <is>
          <t>ST ALBAN-ANLAGE 66, CH-4052 BASEL, SWITZERLAND</t>
        </is>
      </c>
      <c r="AQ532" t="inlineStr">
        <is>
          <t>1660-4601</t>
        </is>
      </c>
      <c r="AS532" t="inlineStr">
        <is>
          <t>INT J ENV RES PUB HE</t>
        </is>
      </c>
      <c r="AT532" t="inlineStr">
        <is>
          <t>Int. J. Environ. Res. Public Health</t>
        </is>
      </c>
      <c r="AU532" t="inlineStr">
        <is>
          <t>APR</t>
        </is>
      </c>
      <c r="AV532" t="n">
        <v>2022</v>
      </c>
      <c r="AW532" t="n">
        <v>19</v>
      </c>
      <c r="AX532" t="n">
        <v>7</v>
      </c>
      <c r="BE532" t="n">
        <v>3922</v>
      </c>
      <c r="BF532" t="inlineStr">
        <is>
          <t>10.3390/ijerph19073922</t>
        </is>
      </c>
      <c r="BG532">
        <f>HYPERLINK("http://dx.doi.org/10.3390/ijerph19073922","http://dx.doi.org/10.3390/ijerph19073922")</f>
        <v/>
      </c>
      <c r="BJ532" t="n">
        <v>19</v>
      </c>
      <c r="BK532" t="inlineStr">
        <is>
          <t>Environmental Sciences; Public, Environmental &amp; Occupational Health</t>
        </is>
      </c>
      <c r="BL532" t="inlineStr">
        <is>
          <t>Science Citation Index Expanded (SCI-EXPANDED); Social Science Citation Index (SSCI)</t>
        </is>
      </c>
      <c r="BM532" t="inlineStr">
        <is>
          <t>Environmental Sciences &amp; Ecology; Public, Environmental &amp; Occupational Health</t>
        </is>
      </c>
      <c r="BN532" t="inlineStr">
        <is>
          <t>0M0YR</t>
        </is>
      </c>
      <c r="BO532" t="n">
        <v>35409604</v>
      </c>
      <c r="BP532" t="inlineStr">
        <is>
          <t>Green Published, gold</t>
        </is>
      </c>
      <c r="BS532" t="inlineStr">
        <is>
          <t>2023-10-26</t>
        </is>
      </c>
      <c r="BT532" t="inlineStr">
        <is>
          <t>WOS:000781890300001</t>
        </is>
      </c>
      <c r="BU532">
        <f>HYPERLINK("https%3A%2F%2Fwww.webofscience.com%2Fwos%2Fwoscc%2Ffull-record%2FWOS:000781890300001","View Full Record in Web of Science")</f>
        <v/>
      </c>
    </row>
    <row r="533">
      <c r="A533" t="inlineStr">
        <is>
          <t>J</t>
        </is>
      </c>
      <c r="B533" t="inlineStr">
        <is>
          <t>Svajlenka, J; Kozlovská, M; Posiváková, T</t>
        </is>
      </c>
      <c r="F533" t="inlineStr">
        <is>
          <t>Svajlenka, Jozef; Kozlovska, Maria; Posivakova, Terezia</t>
        </is>
      </c>
      <c r="J533" t="inlineStr">
        <is>
          <t>ENVIRONMENTAL MONITORING AND ASSESSMENT</t>
        </is>
      </c>
      <c r="M533" t="inlineStr">
        <is>
          <t>English</t>
        </is>
      </c>
      <c r="N533" t="inlineStr">
        <is>
          <t>Article</t>
        </is>
      </c>
      <c r="T533" t="inlineStr">
        <is>
          <t>Analysis of the indoor environment of agricultural constructions in the context of sustainability</t>
        </is>
      </c>
      <c r="U533" t="inlineStr">
        <is>
          <t>Agricultural; Constructions; Environment; Indoor; Sustainability; Welfare</t>
        </is>
      </c>
      <c r="V533" t="inlineStr">
        <is>
          <t>SICK BUILDING SYNDROME; MOLD GROWTH; AIR-QUALITY; MOISTURE CONDITIONS; ENERGY PERFORMANCE; ANIMAL-WELFARE; EFFICIENCY; SYMPTOMS; IMPACT; CONDENSATION</t>
        </is>
      </c>
      <c r="W533" t="inlineStr">
        <is>
          <t>This research paper focuses on agricultural constructions, a special type of constructions with an important role in industry and agriculture. Food production is an important social factor that is vital to human survival, so its qualitative aspect is a key determinant of living standards and is also important in terms of sustainability. The need to create a suitable environment (welfare) for animals, as a factor in terms of health and productivity, is drawing increasing attention. The environment continuously and directly affects animals, so it is quickly reflected in their productivity and medical condition. The objective of this research paper is to present an analysis of the interactions between agricultural constructions' outdoor and indoor environment by monitoring an actual operational construction designed for animal rearing, from the point of view of animal welfare and sustainability, taking into account thermal protection and indoor climate.</t>
        </is>
      </c>
      <c r="X533" t="inlineStr">
        <is>
          <t>[Svajlenka, Jozef] Tech Univ Kosice, Fac Civil Engn, Dept Construct Technol &amp; Management, Lab Construct Technol &amp; Management, Kosice, Slovakia; [Kozlovska, Maria] Tech Univ Kosice, Dept Construct Technol &amp; Management, Fac Civil Engn, Kosice, Slovakia; [Posivakova, Terezia] Univ Vet Med &amp; Pharm Kosice, Dept Environm Vet Legislat &amp; Econ, Kosice, Slovakia</t>
        </is>
      </c>
      <c r="Y533" t="inlineStr">
        <is>
          <t>Technical University Kosice; Technical University Kosice; University of Veterinary Medicine Kosice</t>
        </is>
      </c>
      <c r="Z533" t="inlineStr">
        <is>
          <t>Svajlenka, J (corresponding author), Tech Univ Kosice, Fac Civil Engn, Dept Construct Technol &amp; Management, Lab Construct Technol &amp; Management, Kosice, Slovakia.</t>
        </is>
      </c>
      <c r="AA533" t="inlineStr">
        <is>
          <t>ingsvajl@gmail.com</t>
        </is>
      </c>
      <c r="AB533" t="inlineStr">
        <is>
          <t>Švajlenka, Jozef/AAA-6202-2020; Kozlovska, Maria/AAA-5356-2020</t>
        </is>
      </c>
      <c r="AC533" t="inlineStr">
        <is>
          <t>Švajlenka, Jozef/0000-0002-9273-9755;</t>
        </is>
      </c>
      <c r="AD533" t="inlineStr">
        <is>
          <t>VEGA [1/0557/18]</t>
        </is>
      </c>
      <c r="AE533" t="inlineStr">
        <is>
          <t>VEGA(Vedecka grantova agentura MSVVaS SR a SAV (VEGA))</t>
        </is>
      </c>
      <c r="AF533" t="inlineStr">
        <is>
          <t>The authors acknowledged the support received from the VEGA project-1/0557/18 'Research and development of process and product innovations of modern methods of construction in the context of the Industry 4.0 principles'.</t>
        </is>
      </c>
      <c r="AH533" t="n">
        <v>124</v>
      </c>
      <c r="AI533" t="n">
        <v>10</v>
      </c>
      <c r="AJ533" t="n">
        <v>10</v>
      </c>
      <c r="AK533" t="n">
        <v>1</v>
      </c>
      <c r="AL533" t="n">
        <v>15</v>
      </c>
      <c r="AM533" t="inlineStr">
        <is>
          <t>SPRINGER</t>
        </is>
      </c>
      <c r="AN533" t="inlineStr">
        <is>
          <t>DORDRECHT</t>
        </is>
      </c>
      <c r="AO533" t="inlineStr">
        <is>
          <t>VAN GODEWIJCKSTRAAT 30, 3311 GZ DORDRECHT, NETHERLANDS</t>
        </is>
      </c>
      <c r="AP533" t="inlineStr">
        <is>
          <t>0167-6369</t>
        </is>
      </c>
      <c r="AQ533" t="inlineStr">
        <is>
          <t>1573-2959</t>
        </is>
      </c>
      <c r="AS533" t="inlineStr">
        <is>
          <t>ENVIRON MONIT ASSESS</t>
        </is>
      </c>
      <c r="AT533" t="inlineStr">
        <is>
          <t>Environ. Monit. Assess.</t>
        </is>
      </c>
      <c r="AU533" t="inlineStr">
        <is>
          <t>AUG</t>
        </is>
      </c>
      <c r="AV533" t="n">
        <v>2019</v>
      </c>
      <c r="AW533" t="n">
        <v>191</v>
      </c>
      <c r="AX533" t="n">
        <v>8</v>
      </c>
      <c r="BE533" t="n">
        <v>489</v>
      </c>
      <c r="BF533" t="inlineStr">
        <is>
          <t>10.1007/s10661-019-7608-8</t>
        </is>
      </c>
      <c r="BG533">
        <f>HYPERLINK("http://dx.doi.org/10.1007/s10661-019-7608-8","http://dx.doi.org/10.1007/s10661-019-7608-8")</f>
        <v/>
      </c>
      <c r="BJ533" t="n">
        <v>21</v>
      </c>
      <c r="BK533" t="inlineStr">
        <is>
          <t>Environmental Sciences</t>
        </is>
      </c>
      <c r="BL533" t="inlineStr">
        <is>
          <t>Science Citation Index Expanded (SCI-EXPANDED)</t>
        </is>
      </c>
      <c r="BM533" t="inlineStr">
        <is>
          <t>Environmental Sciences &amp; Ecology</t>
        </is>
      </c>
      <c r="BN533" t="inlineStr">
        <is>
          <t>JB1JE</t>
        </is>
      </c>
      <c r="BO533" t="n">
        <v>31292760</v>
      </c>
      <c r="BS533" t="inlineStr">
        <is>
          <t>2023-10-26</t>
        </is>
      </c>
      <c r="BT533" t="inlineStr">
        <is>
          <t>WOS:000488315900002</t>
        </is>
      </c>
      <c r="BU533">
        <f>HYPERLINK("https%3A%2F%2Fwww.webofscience.com%2Fwos%2Fwoscc%2Ffull-record%2FWOS:000488315900002","View Full Record in Web of Science")</f>
        <v/>
      </c>
    </row>
    <row r="534">
      <c r="A534" t="inlineStr">
        <is>
          <t>J</t>
        </is>
      </c>
      <c r="B534" t="inlineStr">
        <is>
          <t>Xi, C; Wang, DW; Cao, SJ</t>
        </is>
      </c>
      <c r="F534" t="inlineStr">
        <is>
          <t>Xi, Chang; Wang, Dawei; Cao, Shi-Jie</t>
        </is>
      </c>
      <c r="J534" t="inlineStr">
        <is>
          <t>URBAN CLIMATE</t>
        </is>
      </c>
      <c r="M534" t="inlineStr">
        <is>
          <t>English</t>
        </is>
      </c>
      <c r="N534" t="inlineStr">
        <is>
          <t>Article</t>
        </is>
      </c>
      <c r="T534" t="inlineStr">
        <is>
          <t>Impacts of trees-grass area ratio on thermal environment, energy saving, and carbon benefits</t>
        </is>
      </c>
      <c r="U534" t="inlineStr">
        <is>
          <t>Trees -grass area ratio; Microclimate environment; Energy consumption; Carbon emission and sequestration; Building height diversity; Urban ecological environment</t>
        </is>
      </c>
      <c r="V534" t="inlineStr">
        <is>
          <t>AIR-QUALITY; URBAN; VEGETATION; DESIGN</t>
        </is>
      </c>
      <c r="W534" t="inlineStr">
        <is>
          <t>Rapid urbanization potentially increases the diversity of building morphological characteristics (e.g., heights), causing urban ecological environment problems, such as urban heat islands, en-ergy loss, and carbon emissions. Greenery (e.g., trees and grasses) can alleviate urban environ-mental problems, further improving the benefits of cooling effect, energy saving, and carbon emission reduction. With limited land resources, it is significant to effectively combine multiple greeneries and quantitatively optimize the greenery design. This paper designed the trees-grass area ratio (TAR) and explored its effect on the benefits at the community scale. The ranges of 0-90% TARs were considered in the communities as well as three building heights. A low-cost computational fluid dynamics (CFD) method of volumetric source term (VST) was proposed to simulate the thermal environment. Energy performance simulation of buildings was performed. Results indicated that the VST method can reduce computing costs by up to 81% compared with the traditional simulation. Air temperature (T), energy consumption (E), and carbon emission (Ce) decreased with increasing TAR in three types of communities. Carbon sequestration (Cs) linearly increased with increasing TAR. When the TAR was 90%, the maximum reduction of T, E, and Ce were 6 degrees C, 17.3%, and 20%, respectively. Furthermore, the quantified relationships between TAR, building height, and benefits were proposed. This work can serve as a guideline for the optimal design of urban ecological environment.</t>
        </is>
      </c>
      <c r="X534" t="inlineStr">
        <is>
          <t>[Xi, Chang; Cao, Shi-Jie] Southeast Univ, Sch Architecture, 2 Sipailou, Nanjing 210096, Peoples R China; [Cao, Shi-Jie] Univ Surrey, Fac Engn &amp; Phys Sci, Global Ctr Clean Air Res, Dept Civil &amp; Environm Engn, Guildford, England; [Wang, Dawei] Jinling Inst Technol, Sch Architecture &amp; Engn, 99 Hongjing Ave, Nanjing, Peoples R China</t>
        </is>
      </c>
      <c r="Y534" t="inlineStr">
        <is>
          <t>Southeast University - China; University of Surrey; Jinling Institute of Technology</t>
        </is>
      </c>
      <c r="Z534" t="inlineStr">
        <is>
          <t>Cao, SJ (corresponding author), Southeast Univ, Sch Architecture, 2 Sipailou, Nanjing 210096, Peoples R China.</t>
        </is>
      </c>
      <c r="AA534" t="inlineStr">
        <is>
          <t>shijie_cao@seu.edu.cn</t>
        </is>
      </c>
      <c r="AD534" t="inlineStr">
        <is>
          <t>National Natural Science Funds for Distinguished Young Scholar [52225005]; Postgraduate Research &amp; Practice Innovation Program of Jiangsu Province [KYCX22_0190]</t>
        </is>
      </c>
      <c r="AE534" t="inlineStr">
        <is>
          <t>National Natural Science Funds for Distinguished Young Scholar(National Natural Science Foundation of China (NSFC)National Science Fund for Distinguished Young Scholars); Postgraduate Research &amp; Practice Innovation Program of Jiangsu Province</t>
        </is>
      </c>
      <c r="AF534" t="inlineStr">
        <is>
          <t>The authors would like to acknowledge the supports from the National Natural Science Funds for Distinguished Young Scholar (Grant No. 52225005) , and Postgraduate Research &amp; Practice Innovation Program of Jiangsu Province (No. KYCX22_0190) .</t>
        </is>
      </c>
      <c r="AH534" t="n">
        <v>57</v>
      </c>
      <c r="AI534" t="n">
        <v>4</v>
      </c>
      <c r="AJ534" t="n">
        <v>4</v>
      </c>
      <c r="AK534" t="n">
        <v>38</v>
      </c>
      <c r="AL534" t="n">
        <v>56</v>
      </c>
      <c r="AM534" t="inlineStr">
        <is>
          <t>ELSEVIER</t>
        </is>
      </c>
      <c r="AN534" t="inlineStr">
        <is>
          <t>AMSTERDAM</t>
        </is>
      </c>
      <c r="AO534" t="inlineStr">
        <is>
          <t>RADARWEG 29, 1043 NX AMSTERDAM, NETHERLANDS</t>
        </is>
      </c>
      <c r="AP534" t="inlineStr">
        <is>
          <t>2212-0955</t>
        </is>
      </c>
      <c r="AS534" t="inlineStr">
        <is>
          <t>URBAN CLIM</t>
        </is>
      </c>
      <c r="AT534" t="inlineStr">
        <is>
          <t>Urban CLim.</t>
        </is>
      </c>
      <c r="AU534" t="inlineStr">
        <is>
          <t>JAN</t>
        </is>
      </c>
      <c r="AV534" t="n">
        <v>2023</v>
      </c>
      <c r="AW534" t="n">
        <v>47</v>
      </c>
      <c r="BE534" t="n">
        <v>101393</v>
      </c>
      <c r="BF534" t="inlineStr">
        <is>
          <t>10.1016/j.uclim.2022.101393</t>
        </is>
      </c>
      <c r="BG534">
        <f>HYPERLINK("http://dx.doi.org/10.1016/j.uclim.2022.101393","http://dx.doi.org/10.1016/j.uclim.2022.101393")</f>
        <v/>
      </c>
      <c r="BI534" t="inlineStr">
        <is>
          <t>DEC 2022</t>
        </is>
      </c>
      <c r="BJ534" t="n">
        <v>16</v>
      </c>
      <c r="BK534" t="inlineStr">
        <is>
          <t>Environmental Sciences; Meteorology &amp; Atmospheric Sciences</t>
        </is>
      </c>
      <c r="BL534" t="inlineStr">
        <is>
          <t>Science Citation Index Expanded (SCI-EXPANDED)</t>
        </is>
      </c>
      <c r="BM534" t="inlineStr">
        <is>
          <t>Environmental Sciences &amp; Ecology; Meteorology &amp; Atmospheric Sciences</t>
        </is>
      </c>
      <c r="BN534" t="inlineStr">
        <is>
          <t>8G8CR</t>
        </is>
      </c>
      <c r="BP534" t="inlineStr">
        <is>
          <t>Bronze</t>
        </is>
      </c>
      <c r="BS534" t="inlineStr">
        <is>
          <t>2023-10-26</t>
        </is>
      </c>
      <c r="BT534" t="inlineStr">
        <is>
          <t>WOS:000920570700001</t>
        </is>
      </c>
      <c r="BU534">
        <f>HYPERLINK("https%3A%2F%2Fwww.webofscience.com%2Fwos%2Fwoscc%2Ffull-record%2FWOS:000920570700001","View Full Record in Web of Science")</f>
        <v/>
      </c>
    </row>
    <row r="535">
      <c r="A535" t="inlineStr">
        <is>
          <t>J</t>
        </is>
      </c>
      <c r="B535" t="inlineStr">
        <is>
          <t>Gong, Y; Palmer, S; Gallacher, J; Marsden, T; Fone, D</t>
        </is>
      </c>
      <c r="F535" t="inlineStr">
        <is>
          <t>Gong, Yi; Palmer, Stephen; Gallacher, John; Marsden, Terry; Fone, David</t>
        </is>
      </c>
      <c r="J535" t="inlineStr">
        <is>
          <t>ENVIRONMENT INTERNATIONAL</t>
        </is>
      </c>
      <c r="M535" t="inlineStr">
        <is>
          <t>English</t>
        </is>
      </c>
      <c r="N535" t="inlineStr">
        <is>
          <t>Article</t>
        </is>
      </c>
      <c r="T535" t="inlineStr">
        <is>
          <t>A systematic review of the relationship between objective measurements of the urban environment and psychological distress</t>
        </is>
      </c>
      <c r="U535" t="inlineStr">
        <is>
          <t>Systematic review; Urban environment; Psychological distress; Depression; Anxiety</t>
        </is>
      </c>
      <c r="V535" t="inlineStr">
        <is>
          <t>COMMON MENTAL-DISORDERS; BUILT ENVIRONMENT; NEIGHBORHOOD CHARACTERISTICS; PHYSICAL-ACTIVITY; SOCIAL COHESION; MULTILEVEL ANALYSIS; HEALTH; DEPRIVATION; PLACES; ASSOCIATION</t>
        </is>
      </c>
      <c r="W535" t="inlineStr">
        <is>
          <t>The urban environment has become the main place that people live and work. As a result it can have profound impacts on our health. While much of the literature has focused on physical health, less attention has been paid to the possible psychological impacts of the urban environment. In order to understand the potential relevance and importance of the urban environment to population mental health, we carried out a systematic review to examine the associations between objective measurements of the urban environment and psychological distress, independently of the individual's subjective perceptions of the urban environment. 11 peer-reviewed papers published in English between January 2000 and February 2012 were identified. All studies were cross-sectional. Despite heterogeneity in study design, the overall findings suggested that the urban environment has measurable associations with psychological distress, including housing with deck access, neighbourhood quality, the amount of green space, land-use mix, industry activity and traffic volume. The evidence supports the need for development of interventions to improve mental health through changing the urban environment. We also conclude that new methods for measuring the urban environment objectively are needed which are meaningful to planners. In particular, future work should look at the spatial-temporal dynamic of the urban environment measured in Geographical Information System (GIS) in relation to psychological distress. (C) 2016 The Authors. Published by Elsevier Ltd. This is an open access article under the CC BY-NC-ND license.</t>
        </is>
      </c>
      <c r="X535" t="inlineStr">
        <is>
          <t>[Gong, Yi; Palmer, Stephen; Marsden, Terry] Cardiff Univ, Sustainable Places Res Inst, 33 Pk Pl, Cardiff CF10 3AT, S Glam, Wales; [Gong, Yi; Fone, David] Cardiff Univ, Sch Med, Div Populat Med, Cardiff, S Glam, Wales; [Gallacher, John] Univ Oxford, Dept Psychiat, Div Med Sci, Oxford OX1 2JD, England</t>
        </is>
      </c>
      <c r="Y535" t="inlineStr">
        <is>
          <t>Cardiff University; Cardiff University; University of Oxford</t>
        </is>
      </c>
      <c r="Z535" t="inlineStr">
        <is>
          <t>Gong, Y (corresponding author), Cardiff Univ, Sustainable Places Res Inst, 33 Pk Pl, Cardiff CF10 3AT, S Glam, Wales.</t>
        </is>
      </c>
      <c r="AA535" t="inlineStr">
        <is>
          <t>gongy2@cardiff.ac.uk; palmersr@cardiff.ac.uk; john.gallacher@psych.ox.ac.uk; marsdentk@cardiff.ac.uk; foned@cardiff.ac.uk</t>
        </is>
      </c>
      <c r="AB535" t="inlineStr">
        <is>
          <t>Sweeting, Michael John/U-3917-2019; Gong, Yi/M-9923-2014</t>
        </is>
      </c>
      <c r="AC535" t="inlineStr">
        <is>
          <t>Sweeting, Michael John/0000-0003-0980-8965; Gong, Yi/0000-0003-2936-4476; Gallacher, John/0000-0002-2394-5299</t>
        </is>
      </c>
      <c r="AH535" t="n">
        <v>46</v>
      </c>
      <c r="AI535" t="n">
        <v>165</v>
      </c>
      <c r="AJ535" t="n">
        <v>167</v>
      </c>
      <c r="AK535" t="n">
        <v>15</v>
      </c>
      <c r="AL535" t="n">
        <v>109</v>
      </c>
      <c r="AM535" t="inlineStr">
        <is>
          <t>PERGAMON-ELSEVIER SCIENCE LTD</t>
        </is>
      </c>
      <c r="AN535" t="inlineStr">
        <is>
          <t>OXFORD</t>
        </is>
      </c>
      <c r="AO535" t="inlineStr">
        <is>
          <t>THE BOULEVARD, LANGFORD LANE, KIDLINGTON, OXFORD OX5 1GB, ENGLAND</t>
        </is>
      </c>
      <c r="AP535" t="inlineStr">
        <is>
          <t>0160-4120</t>
        </is>
      </c>
      <c r="AQ535" t="inlineStr">
        <is>
          <t>1873-6750</t>
        </is>
      </c>
      <c r="AS535" t="inlineStr">
        <is>
          <t>ENVIRON INT</t>
        </is>
      </c>
      <c r="AT535" t="inlineStr">
        <is>
          <t>Environ. Int.</t>
        </is>
      </c>
      <c r="AU535" t="inlineStr">
        <is>
          <t>NOV</t>
        </is>
      </c>
      <c r="AV535" t="n">
        <v>2016</v>
      </c>
      <c r="AW535" t="n">
        <v>96</v>
      </c>
      <c r="BC535" t="n">
        <v>48</v>
      </c>
      <c r="BD535" t="n">
        <v>57</v>
      </c>
      <c r="BF535" t="inlineStr">
        <is>
          <t>10.1016/j.envint.2016.08.019</t>
        </is>
      </c>
      <c r="BG535">
        <f>HYPERLINK("http://dx.doi.org/10.1016/j.envint.2016.08.019","http://dx.doi.org/10.1016/j.envint.2016.08.019")</f>
        <v/>
      </c>
      <c r="BJ535" t="n">
        <v>10</v>
      </c>
      <c r="BK535" t="inlineStr">
        <is>
          <t>Environmental Sciences</t>
        </is>
      </c>
      <c r="BL535" t="inlineStr">
        <is>
          <t>Science Citation Index Expanded (SCI-EXPANDED); Social Science Citation Index (SSCI)</t>
        </is>
      </c>
      <c r="BM535" t="inlineStr">
        <is>
          <t>Environmental Sciences &amp; Ecology</t>
        </is>
      </c>
      <c r="BN535" t="inlineStr">
        <is>
          <t>EA9AU</t>
        </is>
      </c>
      <c r="BO535" t="n">
        <v>27599349</v>
      </c>
      <c r="BP535" t="inlineStr">
        <is>
          <t>hybrid, Green Published, Green Accepted</t>
        </is>
      </c>
      <c r="BS535" t="inlineStr">
        <is>
          <t>2023-10-26</t>
        </is>
      </c>
      <c r="BT535" t="inlineStr">
        <is>
          <t>WOS:000386933300007</t>
        </is>
      </c>
      <c r="BU535">
        <f>HYPERLINK("https%3A%2F%2Fwww.webofscience.com%2Fwos%2Fwoscc%2Ffull-record%2FWOS:000386933300007","View Full Record in Web of Science")</f>
        <v/>
      </c>
    </row>
    <row r="536">
      <c r="A536" t="inlineStr">
        <is>
          <t>J</t>
        </is>
      </c>
      <c r="B536" t="inlineStr">
        <is>
          <t>Swan, L; Martin, N; Horgan, NF; Warters, A; O'Sullivan, M</t>
        </is>
      </c>
      <c r="F536" t="inlineStr">
        <is>
          <t>Swan, Lauren; Martin, Niamh; Horgan, N. Frances; Warters, Austin; O'Sullivan, Maria</t>
        </is>
      </c>
      <c r="J536" t="inlineStr">
        <is>
          <t>INTERNATIONAL JOURNAL OF ENVIRONMENTAL RESEARCH AND PUBLIC HEALTH</t>
        </is>
      </c>
      <c r="M536" t="inlineStr">
        <is>
          <t>English</t>
        </is>
      </c>
      <c r="N536" t="inlineStr">
        <is>
          <t>Article</t>
        </is>
      </c>
      <c r="T536" t="inlineStr">
        <is>
          <t>Assessing Sarcopenia, Frailty, and Malnutrition in Community-Dwelling Dependant Older Adults-An Exploratory Home-Based Study of an Underserved Group in Research</t>
        </is>
      </c>
      <c r="U536" t="inlineStr">
        <is>
          <t>older adult; home care; sarcopenia; frailty; malnutrition; physical activity</t>
        </is>
      </c>
      <c r="V536" t="inlineStr">
        <is>
          <t>PHYSICAL-ACTIVITY; CARE; QUESTIONNAIRE; PEOPLE</t>
        </is>
      </c>
      <c r="W536" t="inlineStr">
        <is>
          <t>Background: Adults of advanced age, with functional dependency, socioeconomic disadvantage, or a need for home care, are expected to be at high risk of sarcopenia, frailty and malnutrition, yet are likely to be underrepresented in research. We aimed to explore the assessment of sarcopenia, frailty, and malnutrition in-home, and to describe the practicality of performing these assessments. Methods: Home-based health assessments and post-study feedback surveys were conducted among community-dwelling older adults &gt;= 65 years in receipt of state-funded home care (n = 31). Assessments included probable sarcopenia [hand-grip strength (HGS), chair rise-test, and SARC-F case-finding tool], the Mini Nutritional Assessment (MNA), and the Clinical Frailty Scale (CFS). Results: The study group was of mean age 83.2 +/- 8.2 years, 74% were female and 23% lived in socioeconomically disadvantaged areas. Almost all met the criteria for probable sarcopenia (94%, n = 29/31), were frail or vulnerable by the CFS (97%, n = 30/31), and over a quarter were at risk of malnutrition (26%, n = 8). Participants had low physical activity (71.0%, n = 22/31), with a mean daytime average of 11.4 +/- 1.6 h spent sitting. It was possible to assess probable sarcopenia (by HGS and SARC-F, but not the chair rise test), malnutrition (MNA), and frailty (CFS). Home-based research was a complex environment, and unearthed significant unmet need, prompting referrals to health services (36%, n = 11), in addition to technology assistance. The majority of participants (93%) reported a willingness to partake in future research. Conclusions: Most community-dwelling older people in receipt of home support, assessed in this exploratory study, were at risk of probable sarcopenia, frailty, and low physical activity, with over a quarter were at risk of malnutrition. Our initial findings provide practical data for large scale studies and may inform the development of intervention studies aiming to support ageing in place.</t>
        </is>
      </c>
      <c r="X536" t="inlineStr">
        <is>
          <t>[Swan, Lauren; O'Sullivan, Maria] Trinity Coll Dublin, Dept Clin Med, Dublin D02PN40, Ireland; [Martin, Niamh; Warters, Austin] Hlth Serv Execut HSE, Older Person Serv CHO9, Dublin D09C8P5, Ireland; [Horgan, N. Frances] Univ Med &amp; Hlth Sci, Royal Coll Surg Ireland RCSI, Sch Physiotherapy, Dublin D02YN77, Ireland</t>
        </is>
      </c>
      <c r="Y536" t="inlineStr">
        <is>
          <t>Trinity College Dublin; Royal College of Surgeons - Ireland</t>
        </is>
      </c>
      <c r="Z536" t="inlineStr">
        <is>
          <t>Swan, L (corresponding author), Trinity Coll Dublin, Dept Clin Med, Dublin D02PN40, Ireland.</t>
        </is>
      </c>
      <c r="AA536" t="inlineStr">
        <is>
          <t>swanla@tcd.ie</t>
        </is>
      </c>
      <c r="AB536" t="inlineStr">
        <is>
          <t>Warters, Austin/HOC-4040-2023</t>
        </is>
      </c>
      <c r="AC536" t="inlineStr">
        <is>
          <t>Warters, Austin/0000-0001-5970-721X; Swan, Lauren/0000-0002-1117-3316; O'Sullivan, Maria/0000-0002-1152-979X</t>
        </is>
      </c>
      <c r="AH536" t="n">
        <v>52</v>
      </c>
      <c r="AI536" t="n">
        <v>0</v>
      </c>
      <c r="AJ536" t="n">
        <v>0</v>
      </c>
      <c r="AK536" t="n">
        <v>2</v>
      </c>
      <c r="AL536" t="n">
        <v>3</v>
      </c>
      <c r="AM536" t="inlineStr">
        <is>
          <t>MDPI</t>
        </is>
      </c>
      <c r="AN536" t="inlineStr">
        <is>
          <t>BASEL</t>
        </is>
      </c>
      <c r="AO536" t="inlineStr">
        <is>
          <t>ST ALBAN-ANLAGE 66, CH-4052 BASEL, SWITZERLAND</t>
        </is>
      </c>
      <c r="AQ536" t="inlineStr">
        <is>
          <t>1660-4601</t>
        </is>
      </c>
      <c r="AS536" t="inlineStr">
        <is>
          <t>INT J ENV RES PUB HE</t>
        </is>
      </c>
      <c r="AT536" t="inlineStr">
        <is>
          <t>Int. J. Environ. Res. Public Health</t>
        </is>
      </c>
      <c r="AU536" t="inlineStr">
        <is>
          <t>DEC</t>
        </is>
      </c>
      <c r="AV536" t="n">
        <v>2022</v>
      </c>
      <c r="AW536" t="n">
        <v>19</v>
      </c>
      <c r="AX536" t="n">
        <v>23</v>
      </c>
      <c r="BE536" t="n">
        <v>16133</v>
      </c>
      <c r="BF536" t="inlineStr">
        <is>
          <t>10.3390/ijerph192316133</t>
        </is>
      </c>
      <c r="BG536">
        <f>HYPERLINK("http://dx.doi.org/10.3390/ijerph192316133","http://dx.doi.org/10.3390/ijerph192316133")</f>
        <v/>
      </c>
      <c r="BJ536" t="n">
        <v>15</v>
      </c>
      <c r="BK536" t="inlineStr">
        <is>
          <t>Environmental Sciences; Public, Environmental &amp; Occupational Health</t>
        </is>
      </c>
      <c r="BL536" t="inlineStr">
        <is>
          <t>Science Citation Index Expanded (SCI-EXPANDED); Social Science Citation Index (SSCI)</t>
        </is>
      </c>
      <c r="BM536" t="inlineStr">
        <is>
          <t>Environmental Sciences &amp; Ecology; Public, Environmental &amp; Occupational Health</t>
        </is>
      </c>
      <c r="BN536" t="inlineStr">
        <is>
          <t>6X8BP</t>
        </is>
      </c>
      <c r="BO536" t="n">
        <v>36498213</v>
      </c>
      <c r="BP536" t="inlineStr">
        <is>
          <t>Green Published, gold</t>
        </is>
      </c>
      <c r="BS536" t="inlineStr">
        <is>
          <t>2023-10-26</t>
        </is>
      </c>
      <c r="BT536" t="inlineStr">
        <is>
          <t>WOS:000896633200001</t>
        </is>
      </c>
      <c r="BU536">
        <f>HYPERLINK("https%3A%2F%2Fwww.webofscience.com%2Fwos%2Fwoscc%2Ffull-record%2FWOS:000896633200001","View Full Record in Web of Science")</f>
        <v/>
      </c>
    </row>
    <row r="537">
      <c r="A537" t="inlineStr">
        <is>
          <t>J</t>
        </is>
      </c>
      <c r="B537" t="inlineStr">
        <is>
          <t>Xue, BD; Wang, B; Lei, RY; Li, YL; Luo, B; Yang, AM; Zhang, K</t>
        </is>
      </c>
      <c r="F537" t="inlineStr">
        <is>
          <t>Xue, Baode; Wang, Bo; Lei, Ruoyi; Li, Yanlin; Luo, Bin; Yang, Aimin; Zhang, Kai</t>
        </is>
      </c>
      <c r="J537" t="inlineStr">
        <is>
          <t>ENVIRONMENTAL RESEARCH</t>
        </is>
      </c>
      <c r="M537" t="inlineStr">
        <is>
          <t>English</t>
        </is>
      </c>
      <c r="N537" t="inlineStr">
        <is>
          <t>Article</t>
        </is>
      </c>
      <c r="T537" t="inlineStr">
        <is>
          <t>Indoor solid fuel use and renal function among middle-aged and older adults: A national study in rural China</t>
        </is>
      </c>
      <c r="U537" t="inlineStr">
        <is>
          <t>Solid fuels; Renal function; Middle-aged and older adults; Rural China</t>
        </is>
      </c>
      <c r="V537" t="inlineStr">
        <is>
          <t>GLOMERULAR-FILTRATION-RATE; HOUSEHOLD AIR-POLLUTION; CHRONIC KIDNEY-DISEASE; FINE PARTICULATE MATTER; LONG-TERM EXPOSURE; DEVELOPING-COUNTRIES; TOBACCO SMOKING; LUNG-CANCER; ALL-CAUSE; HEALTH</t>
        </is>
      </c>
      <c r="W537" t="inlineStr">
        <is>
          <t>Solid fuel use is the main source of indoor air pollution, especially in rural areas of developing countries. Nevertheless, the evidence linking indoor solid fuel use and renal function is very limited. Therefore, we investigated the association between indoor solid fuel use and renal function among middle-aged and older adults in rural China. Cystatin C (CysC) concentration of each participant was used to calculate the estimated glomerular filtration rate (eGFR). We used the baseline data to investigate the associations between solid fuel use for cooking and heating and eGFR through a linear-mixed effects model. Then, we applied the generalized linearmixed effects model with binary distribution to examine the relationship between renal function decline and cooking fuel switching from 2011 to 2015. A total of 4959 participants were included at baseline, and 3536 participants were included in the follow-up analysis. Compared to participants who used clean fuel for both cooking and heating, the eGFR was significantly lower among participants who cooked with solid fuel and heated with clean fuel (beta: -2.81; 95% CI: -5.53, -0.09). In the follow-up analysis, the risks of renal function decline for participants using solid fuel for cooking were significantly higher in males (OR: 2.74; 95% CI: 1.68, 4.49), smokers (OR: 5.70; 95% CI: 2.82, 11.55), and drinkers (OR: 7.11; 95% CI: 3.15, 16.02) compared to females, non-smokers, and non-drinkers. Moreover, 45-65 years aged participants (OR: 0.54; 95% CI: 0.33, 0.89) and non-drinkers (OR: 0.61; 95% CI: 0.41, 0.92) who switched from solid to clean cooking fuel had a lower risk of renal function decline. In conclusion, our findings show that household solid fuel use is likely to be an important risk factor for renal function decline in rural China. And switching to cleaner fuel may provide significant public health benefits.</t>
        </is>
      </c>
      <c r="X537" t="inlineStr">
        <is>
          <t>[Xue, Baode; Wang, Bo; Lei, Ruoyi; Li, Yanlin; Luo, Bin] Lanzhou Univ, Sch Publ Hlth, Inst Occupat Hlth &amp; Environm Hlth, Lanzhou 730000, Gansu, Peoples R China; [Yang, Aimin] Chinese Univ Hong Kong, Hong Kong Inst Diabet &amp; Obes, Hong Kong, Peoples R China; [Zhang, Kai] Univ Albany State Univ New York, Sch Publ Hlth, Dept Environm Hlth Sci, One Univ Pl, Rensselaer, NY 12144 USA</t>
        </is>
      </c>
      <c r="Y537" t="inlineStr">
        <is>
          <t>Lanzhou University; Chinese University of Hong Kong; State University of New York (SUNY) System</t>
        </is>
      </c>
      <c r="Z537" t="inlineStr">
        <is>
          <t>Luo, B (corresponding author), Lanzhou Univ, Sch Publ Hlth, Inst Occupat Hlth &amp; Environm Hlth, Lanzhou 730000, Gansu, Peoples R China.;Yang, AM (corresponding author), Chinese Univ Hong Kong, Hong Kong Inst Diabet &amp; Obes, Hong Kong, Peoples R China.;Zhang, K (corresponding author), Univ Albany State Univ New York, Sch Publ Hlth, Dept Environm Hlth Sci, One Univ Pl, Rensselaer, NY 12144 USA.</t>
        </is>
      </c>
      <c r="AA537" t="inlineStr">
        <is>
          <t>luob@lzu.edu.cn; aiminyang@cuhk.edu.hk; kzhang9@albany.edu</t>
        </is>
      </c>
      <c r="AC537" t="inlineStr">
        <is>
          <t>luo, bin/0000-0001-9324-8942; Wang, Bo/0009-0000-5215-048X</t>
        </is>
      </c>
      <c r="AD537" t="inlineStr">
        <is>
          <t>Fundamental Research Funds for the Central Universities, Lanzhou University, China [lzujbky-2021-ey07]; Novel Coronavirus Disease Science and Technology Major Project in Gansu Province [20YF2FA028]; Soft Science Special Project of Gansu Province [20CX4ZA028]</t>
        </is>
      </c>
      <c r="AE537" t="inlineStr">
        <is>
          <t>Fundamental Research Funds for the Central Universities, Lanzhou University, China; Novel Coronavirus Disease Science and Technology Major Project in Gansu Province; Soft Science Special Project of Gansu Province</t>
        </is>
      </c>
      <c r="AF537" t="inlineStr">
        <is>
          <t>This work was supported by the Fundamental Research Funds for the Central Universities, Lanzhou University, China (lzujbky-2021-ey07), Novel Coronavirus Disease Science and Technology Major Project in Gansu Province (20YF2FA028), and Soft Science Special Project of Gansu Province (20CX4ZA028).</t>
        </is>
      </c>
      <c r="AH537" t="n">
        <v>80</v>
      </c>
      <c r="AI537" t="n">
        <v>4</v>
      </c>
      <c r="AJ537" t="n">
        <v>4</v>
      </c>
      <c r="AK537" t="n">
        <v>9</v>
      </c>
      <c r="AL537" t="n">
        <v>26</v>
      </c>
      <c r="AM537" t="inlineStr">
        <is>
          <t>ACADEMIC PRESS INC ELSEVIER SCIENCE</t>
        </is>
      </c>
      <c r="AN537" t="inlineStr">
        <is>
          <t>SAN DIEGO</t>
        </is>
      </c>
      <c r="AO537" t="inlineStr">
        <is>
          <t>525 B ST, STE 1900, SAN DIEGO, CA 92101-4495 USA</t>
        </is>
      </c>
      <c r="AP537" t="inlineStr">
        <is>
          <t>0013-9351</t>
        </is>
      </c>
      <c r="AQ537" t="inlineStr">
        <is>
          <t>1096-0953</t>
        </is>
      </c>
      <c r="AS537" t="inlineStr">
        <is>
          <t>ENVIRON RES</t>
        </is>
      </c>
      <c r="AT537" t="inlineStr">
        <is>
          <t>Environ. Res.</t>
        </is>
      </c>
      <c r="AU537" t="inlineStr">
        <is>
          <t>APR 15</t>
        </is>
      </c>
      <c r="AV537" t="n">
        <v>2022</v>
      </c>
      <c r="AW537" t="n">
        <v>206</v>
      </c>
      <c r="BE537" t="n">
        <v>112588</v>
      </c>
      <c r="BF537" t="inlineStr">
        <is>
          <t>10.1016/j.envres.2021.112588</t>
        </is>
      </c>
      <c r="BG537">
        <f>HYPERLINK("http://dx.doi.org/10.1016/j.envres.2021.112588","http://dx.doi.org/10.1016/j.envres.2021.112588")</f>
        <v/>
      </c>
      <c r="BJ537" t="n">
        <v>10</v>
      </c>
      <c r="BK537" t="inlineStr">
        <is>
          <t>Environmental Sciences; Public, Environmental &amp; Occupational Health</t>
        </is>
      </c>
      <c r="BL537" t="inlineStr">
        <is>
          <t>Science Citation Index Expanded (SCI-EXPANDED)</t>
        </is>
      </c>
      <c r="BM537" t="inlineStr">
        <is>
          <t>Environmental Sciences &amp; Ecology; Public, Environmental &amp; Occupational Health</t>
        </is>
      </c>
      <c r="BN537" t="inlineStr">
        <is>
          <t>YY9QI</t>
        </is>
      </c>
      <c r="BO537" t="n">
        <v>34951991</v>
      </c>
      <c r="BS537" t="inlineStr">
        <is>
          <t>2023-10-26</t>
        </is>
      </c>
      <c r="BT537" t="inlineStr">
        <is>
          <t>WOS:000755119200009</t>
        </is>
      </c>
      <c r="BU537">
        <f>HYPERLINK("https%3A%2F%2Fwww.webofscience.com%2Fwos%2Fwoscc%2Ffull-record%2FWOS:000755119200009","View Full Record in Web of Science")</f>
        <v/>
      </c>
    </row>
    <row r="538">
      <c r="A538" t="inlineStr">
        <is>
          <t>J</t>
        </is>
      </c>
      <c r="B538" t="inlineStr">
        <is>
          <t>Kim, J; Shon, C; Yi, S</t>
        </is>
      </c>
      <c r="F538" t="inlineStr">
        <is>
          <t>Kim, Jungah; Shon, Changwoo; Yi, Seonju</t>
        </is>
      </c>
      <c r="J538" t="inlineStr">
        <is>
          <t>INTERNATIONAL JOURNAL OF ENVIRONMENTAL RESEARCH AND PUBLIC HEALTH</t>
        </is>
      </c>
      <c r="M538" t="inlineStr">
        <is>
          <t>English</t>
        </is>
      </c>
      <c r="N538" t="inlineStr">
        <is>
          <t>Article</t>
        </is>
      </c>
      <c r="T538" t="inlineStr">
        <is>
          <t>The Relationship between Obesity and Urban Environment in Seoul</t>
        </is>
      </c>
      <c r="U538" t="inlineStr">
        <is>
          <t>obesity; physical activity; food environment; urban; multilevel analysis</t>
        </is>
      </c>
      <c r="V538" t="inlineStr">
        <is>
          <t>BODY-MASS INDEX; PHYSICAL-ACTIVITY; FOOD INSECURITY; MULTILEVEL ANALYSIS; ADULT OBESITY; PUBLIC-HEALTH; UNITED-STATES; OVERWEIGHT; AUSTRALIA; WOMEN</t>
        </is>
      </c>
      <c r="W538" t="inlineStr">
        <is>
          <t>Obesity is a global pandemic that brings about a myriad of health consequences. In the past, policies for combating obesity mainly focused on improving individual health and behavior, but nowadays some policies have changed and now concentrate on improving the built environment believing this can improve health through positive changes to health-related behaviors. We examined whether both individual and environmental factors were associated with body mass index in Seoul, the capital city of South Korea. Data from the 2011 and 2013 Community Health Surveys were used (n = 20,147 men and 25,300 women). We staged multilevel logistic regression models to estimate the effect of individual and environmental factors on obesity. Among individual covariates, high-risk drinking, the time spent watching TV and surfing the Internet, high salt intake, stress, and the negative recognition of health were significantly associated with obesity. When controlling individual covariates, the number of sports facilities, number of fried chicken stores, and food insecurity level were statistically associated with probability of obesity. Therefore, this study emphasizes that it is important not only to improve the health behavior of the individual, but also to improve the urban environment in order to reduce the obesity rates of city dwellers.</t>
        </is>
      </c>
      <c r="X538" t="inlineStr">
        <is>
          <t>[Kim, Jungah; Shon, Changwoo] Seoul Inst, 57 Nambusunhwan Ro,340 Gil, Seoul 06756, South Korea; [Yi, Seonju] Seoul Natl Univ, Grad Sch Publ Hlth, 1 Gwanak Ro, Seoul 08826, South Korea</t>
        </is>
      </c>
      <c r="Y538" t="inlineStr">
        <is>
          <t>Seoul National University (SNU)</t>
        </is>
      </c>
      <c r="Z538" t="inlineStr">
        <is>
          <t>Yi, S (corresponding author), Seoul Natl Univ, Grad Sch Publ Hlth, 1 Gwanak Ro, Seoul 08826, South Korea.</t>
        </is>
      </c>
      <c r="AA538" t="inlineStr">
        <is>
          <t>0826kja@naver.com; cwshon@si.re.kr; yiseonju@snu.ac.kr</t>
        </is>
      </c>
      <c r="AB538" t="inlineStr">
        <is>
          <t>Shon, Changwoo/HTL-4493-2023; Yi, Seonju/AGX-6316-2022</t>
        </is>
      </c>
      <c r="AD538" t="inlineStr">
        <is>
          <t>The Seoul Institute</t>
        </is>
      </c>
      <c r="AE538" t="inlineStr">
        <is>
          <t>The Seoul Institute</t>
        </is>
      </c>
      <c r="AF538" t="inlineStr">
        <is>
          <t>We would like to express our gratitude to The Seoul Institute for collecting the data which supported this research.</t>
        </is>
      </c>
      <c r="AH538" t="n">
        <v>43</v>
      </c>
      <c r="AI538" t="n">
        <v>8</v>
      </c>
      <c r="AJ538" t="n">
        <v>9</v>
      </c>
      <c r="AK538" t="n">
        <v>2</v>
      </c>
      <c r="AL538" t="n">
        <v>16</v>
      </c>
      <c r="AM538" t="inlineStr">
        <is>
          <t>MDPI AG</t>
        </is>
      </c>
      <c r="AN538" t="inlineStr">
        <is>
          <t>BASEL</t>
        </is>
      </c>
      <c r="AO538" t="inlineStr">
        <is>
          <t>ST ALBAN-ANLAGE 66, CH-4052 BASEL, SWITZERLAND</t>
        </is>
      </c>
      <c r="AP538" t="inlineStr">
        <is>
          <t>1660-4601</t>
        </is>
      </c>
      <c r="AS538" t="inlineStr">
        <is>
          <t>INT J ENV RES PUB HE</t>
        </is>
      </c>
      <c r="AT538" t="inlineStr">
        <is>
          <t>Int. J. Environ. Res. Public Health</t>
        </is>
      </c>
      <c r="AU538" t="inlineStr">
        <is>
          <t>AUG</t>
        </is>
      </c>
      <c r="AV538" t="n">
        <v>2017</v>
      </c>
      <c r="AW538" t="n">
        <v>14</v>
      </c>
      <c r="AX538" t="n">
        <v>8</v>
      </c>
      <c r="BE538" t="n">
        <v>898</v>
      </c>
      <c r="BF538" t="inlineStr">
        <is>
          <t>10.3390/ijerph14080898</t>
        </is>
      </c>
      <c r="BG538">
        <f>HYPERLINK("http://dx.doi.org/10.3390/ijerph14080898","http://dx.doi.org/10.3390/ijerph14080898")</f>
        <v/>
      </c>
      <c r="BJ538" t="n">
        <v>12</v>
      </c>
      <c r="BK538" t="inlineStr">
        <is>
          <t>Environmental Sciences; Public, Environmental &amp; Occupational Health</t>
        </is>
      </c>
      <c r="BL538" t="inlineStr">
        <is>
          <t>Science Citation Index Expanded (SCI-EXPANDED); Social Science Citation Index (SSCI)</t>
        </is>
      </c>
      <c r="BM538" t="inlineStr">
        <is>
          <t>Environmental Sciences &amp; Ecology; Public, Environmental &amp; Occupational Health</t>
        </is>
      </c>
      <c r="BN538" t="inlineStr">
        <is>
          <t>FF1UL</t>
        </is>
      </c>
      <c r="BO538" t="n">
        <v>28792465</v>
      </c>
      <c r="BP538" t="inlineStr">
        <is>
          <t>Green Published, gold, Green Submitted</t>
        </is>
      </c>
      <c r="BS538" t="inlineStr">
        <is>
          <t>2023-10-26</t>
        </is>
      </c>
      <c r="BT538" t="inlineStr">
        <is>
          <t>WOS:000408684300068</t>
        </is>
      </c>
      <c r="BU538">
        <f>HYPERLINK("https%3A%2F%2Fwww.webofscience.com%2Fwos%2Fwoscc%2Ffull-record%2FWOS:000408684300068","View Full Record in Web of Science")</f>
        <v/>
      </c>
    </row>
    <row r="539">
      <c r="A539" t="inlineStr">
        <is>
          <t>J</t>
        </is>
      </c>
      <c r="B539" t="inlineStr">
        <is>
          <t>Amián, JG; Alarcón, D; Fernández-Portero, C; Sánchez-Medina, JA</t>
        </is>
      </c>
      <c r="F539" t="inlineStr">
        <is>
          <t>Amian, Josue G.; Alarcon, David; Fernandez-Portero, Cristina; Sanchez-Medina, Jose A.</t>
        </is>
      </c>
      <c r="J539" t="inlineStr">
        <is>
          <t>INTERNATIONAL JOURNAL OF ENVIRONMENTAL RESEARCH AND PUBLIC HEALTH</t>
        </is>
      </c>
      <c r="M539" t="inlineStr">
        <is>
          <t>English</t>
        </is>
      </c>
      <c r="N539" t="inlineStr">
        <is>
          <t>Article</t>
        </is>
      </c>
      <c r="T539" t="inlineStr">
        <is>
          <t>Aging Living at Home: Residential Satisfaction among Active Older Adults Based on the Perceived Home Model</t>
        </is>
      </c>
      <c r="U539" t="inlineStr">
        <is>
          <t>older adult; perceived home; residential satisfaction</t>
        </is>
      </c>
      <c r="V539" t="inlineStr">
        <is>
          <t>PERSON-ENVIRONMENT FIT; ADL DEPENDENCE; PERSPECTIVE; ADAPTATION; HEALTH; LIFE; WELL; AGE</t>
        </is>
      </c>
      <c r="W539" t="inlineStr">
        <is>
          <t>Background: Housing plays an important role in the aging process and health. The house and its nearby environment host most of the daily activities of older adults. Residential satisfaction (RS) has been relegated to physical issues such as accessibility. However, RS is also constituted by older adults' perceptions about housing. This study analyzes the perceived home that develops RS in older adults. Methods: A random sample of 714 participants aged 50 to 84 (mean = 65; SD = 0.98) were used. Participants lived in ordinary housing in southern Spain. Scales measure perceptions of RS, meaning, functionality and belief of control over the home. Results: Analyses were performed using structural equation models to evaluate the dependence relationships between the different perceptions evaluated. We observe a direct influence of internal control on usability (beta = 0.84) and perceived meanings (beta = 0.49). However, external control shows a negative influence on the meaning of home (beta = -0.14). Perceived usability (beta = 0.68) and meaning (beta = 0.32) positively influence RS. Conclusion: Perceptions of meaning, functionality and RS itself depend on internal housing-related control beliefs. Active older adults with higher internal control perceived their home fit better to the need of everyday life and improve RS.</t>
        </is>
      </c>
      <c r="X539" t="inlineStr">
        <is>
          <t>[Amian, Josue G.; Alarcon, David; Fernandez-Portero, Cristina; Sanchez-Medina, Jose A.] Pablo de Olavide Univ, Dept Social Anthropol Psychol &amp; Publ Hlth, Seville 41013, Spain</t>
        </is>
      </c>
      <c r="Y539" t="inlineStr">
        <is>
          <t>Universidad Pablo de Olavide</t>
        </is>
      </c>
      <c r="Z539" t="inlineStr">
        <is>
          <t>Fernández-Portero, C (corresponding author), Pablo de Olavide Univ, Dept Social Anthropol Psychol &amp; Publ Hlth, Seville 41013, Spain.</t>
        </is>
      </c>
      <c r="AA539" t="inlineStr">
        <is>
          <t>jgarami@upo.es; dalarub@upo.es; cbferpor@upo.es; jasanmed@upo.es</t>
        </is>
      </c>
      <c r="AB539" t="inlineStr">
        <is>
          <t>Rubio, David Alarcón/N-7247-2015; Fernandez-Portero, Cristina/D-2504-2014; Amian, Josue/HPG-9629-2023</t>
        </is>
      </c>
      <c r="AC539" t="inlineStr">
        <is>
          <t>Fernandez-Portero, Cristina/0000-0002-5789-2113; Amian, Josue/0000-0002-8466-2145; Alarcon, David/0000-0002-7964-1913</t>
        </is>
      </c>
      <c r="AD539" t="inlineStr">
        <is>
          <t>Public Works Agency; Regional Ministry of Public Works and Housing of the Regional Government of Andalusia [G-GI3003/IDIM]</t>
        </is>
      </c>
      <c r="AE539" t="inlineStr">
        <is>
          <t>Public Works Agency; Regional Ministry of Public Works and Housing of the Regional Government of Andalusia</t>
        </is>
      </c>
      <c r="AF539" t="inlineStr">
        <is>
          <t>This research was funded by the Public Works Agency and Regional Ministry of Public Works and Housing of the Regional Government of Andalusia (code G-GI3003/IDIM).</t>
        </is>
      </c>
      <c r="AH539" t="n">
        <v>39</v>
      </c>
      <c r="AI539" t="n">
        <v>6</v>
      </c>
      <c r="AJ539" t="n">
        <v>6</v>
      </c>
      <c r="AK539" t="n">
        <v>1</v>
      </c>
      <c r="AL539" t="n">
        <v>7</v>
      </c>
      <c r="AM539" t="inlineStr">
        <is>
          <t>MDPI</t>
        </is>
      </c>
      <c r="AN539" t="inlineStr">
        <is>
          <t>BASEL</t>
        </is>
      </c>
      <c r="AO539" t="inlineStr">
        <is>
          <t>ST ALBAN-ANLAGE 66, CH-4052 BASEL, SWITZERLAND</t>
        </is>
      </c>
      <c r="AQ539" t="inlineStr">
        <is>
          <t>1660-4601</t>
        </is>
      </c>
      <c r="AS539" t="inlineStr">
        <is>
          <t>INT J ENV RES PUB HE</t>
        </is>
      </c>
      <c r="AT539" t="inlineStr">
        <is>
          <t>Int. J. Environ. Res. Public Health</t>
        </is>
      </c>
      <c r="AU539" t="inlineStr">
        <is>
          <t>SEP</t>
        </is>
      </c>
      <c r="AV539" t="n">
        <v>2021</v>
      </c>
      <c r="AW539" t="n">
        <v>18</v>
      </c>
      <c r="AX539" t="n">
        <v>17</v>
      </c>
      <c r="BE539" t="n">
        <v>8959</v>
      </c>
      <c r="BF539" t="inlineStr">
        <is>
          <t>10.3390/ijerph18178959</t>
        </is>
      </c>
      <c r="BG539">
        <f>HYPERLINK("http://dx.doi.org/10.3390/ijerph18178959","http://dx.doi.org/10.3390/ijerph18178959")</f>
        <v/>
      </c>
      <c r="BJ539" t="n">
        <v>12</v>
      </c>
      <c r="BK539" t="inlineStr">
        <is>
          <t>Environmental Sciences; Public, Environmental &amp; Occupational Health</t>
        </is>
      </c>
      <c r="BL539" t="inlineStr">
        <is>
          <t>Science Citation Index Expanded (SCI-EXPANDED); Social Science Citation Index (SSCI)</t>
        </is>
      </c>
      <c r="BM539" t="inlineStr">
        <is>
          <t>Environmental Sciences &amp; Ecology; Public, Environmental &amp; Occupational Health</t>
        </is>
      </c>
      <c r="BN539" t="inlineStr">
        <is>
          <t>UN6AL</t>
        </is>
      </c>
      <c r="BO539" t="n">
        <v>34501548</v>
      </c>
      <c r="BP539" t="inlineStr">
        <is>
          <t>Green Published, gold</t>
        </is>
      </c>
      <c r="BS539" t="inlineStr">
        <is>
          <t>2023-10-26</t>
        </is>
      </c>
      <c r="BT539" t="inlineStr">
        <is>
          <t>WOS:000694096900001</t>
        </is>
      </c>
      <c r="BU539">
        <f>HYPERLINK("https%3A%2F%2Fwww.webofscience.com%2Fwos%2Fwoscc%2Ffull-record%2FWOS:000694096900001","View Full Record in Web of Science")</f>
        <v/>
      </c>
    </row>
    <row r="540">
      <c r="A540" t="inlineStr">
        <is>
          <t>J</t>
        </is>
      </c>
      <c r="B540" t="inlineStr">
        <is>
          <t>Guo, DM</t>
        </is>
      </c>
      <c r="F540" t="inlineStr">
        <is>
          <t>Guo, Dongmei</t>
        </is>
      </c>
      <c r="J540" t="inlineStr">
        <is>
          <t>FRESENIUS ENVIRONMENTAL BULLETIN</t>
        </is>
      </c>
      <c r="M540" t="inlineStr">
        <is>
          <t>English</t>
        </is>
      </c>
      <c r="N540" t="inlineStr">
        <is>
          <t>Article</t>
        </is>
      </c>
      <c r="T540" t="inlineStr">
        <is>
          <t>RESEARCH ON THE RENOVATION OF ENERGY-SAVING AND ENVIRONMENT-FRIENDLY GREEN HOMESTAY BUILDINGS</t>
        </is>
      </c>
      <c r="U540" t="inlineStr">
        <is>
          <t>Homestay building; thermal environment test; thermal insulation material; exterior wall renovation; roof renovation; energy saving rate</t>
        </is>
      </c>
      <c r="W540" t="inlineStr">
        <is>
          <t>In recent years, with the rapid development of rural tourism, homestays have become popular tourist products. However, the shape design of many homestay buildings is unreasonable, and the thermal performance of their envelope structure or materials is poor. How to realize the energy-saving, environmental protection and green development of homestay buildings has become a hot spot in current homestay building design. In this paper, taking a city in southern China as an example, a design plan for an energy-saving and environmentally friendly green homestay building is proposed, based on the thermal environment test and renovation of the homestay building. The research results show that the solar radiation intensity, indoor and outdoor air temperature, and wall temperature of the homestay building are closely related. The temperature on the south wall of the studied homestay building is about 3 degrees C higher than the north wall. When each material reaches a certain thickness, its energy saving rate will increase by less than 1%, and only when its thickness is increased will the energy saving rate increase by more than 1%. The simulation results show that the use of rock wool insulation board is the most beneficial to the energy-saving renovation of homestay buildings. On the whole, the exterior wall renovation plays a key role in the renovation effect of the homestay building, which accounts for more than 90% of the total energy saving effect, while the energy saving effect of roof renovation and door and window renovation is less than 10%. Based on the renovation plan of the homestay building proposed in this article, the energy saving rate of the homestay building in Area A is 33.0%, and the renovation effect is significant.</t>
        </is>
      </c>
      <c r="X540" t="inlineStr">
        <is>
          <t>[Guo, Dongmei] Jinhua Polytecnich, Dept Architectural Engn, Jinhua 321007, Zhejiang, Peoples R China</t>
        </is>
      </c>
      <c r="Z540" t="inlineStr">
        <is>
          <t>Guo, DM (corresponding author), Jinhua Polytecnich, Dept Architectural Engn, Jinhua 321007, Zhejiang, Peoples R China.</t>
        </is>
      </c>
      <c r="AA540" t="inlineStr">
        <is>
          <t>echodongmei@163.com</t>
        </is>
      </c>
      <c r="AD540" t="inlineStr">
        <is>
          <t>Scientific research projects of Zhejiang Provincial Department of Education [Y201941611]; Jinhua Science and technology research project named Research on the application of key energy-saving technologies in Jinhua ancient village residential buildings [2021-4-338]</t>
        </is>
      </c>
      <c r="AE540" t="inlineStr">
        <is>
          <t>Scientific research projects of Zhejiang Provincial Department of Education; Jinhua Science and technology research project named Research on the application of key energy-saving technologies in Jinhua ancient village residential buildings</t>
        </is>
      </c>
      <c r="AF540" t="inlineStr">
        <is>
          <t>This work was financially supported by the Scientific research projects of Zhejiang Provincial Department of Education named Study on the construction of B &amp; B in central Zhejiang under the background of Rural Revitalization (Number: Y201941611) and the Jinhua Science and technology research project named Research on the application of key energy-saving technologies in Jinhua ancient village residential buildings (Number: 2021-4-338).</t>
        </is>
      </c>
      <c r="AH540" t="n">
        <v>21</v>
      </c>
      <c r="AI540" t="n">
        <v>0</v>
      </c>
      <c r="AJ540" t="n">
        <v>0</v>
      </c>
      <c r="AK540" t="n">
        <v>16</v>
      </c>
      <c r="AL540" t="n">
        <v>29</v>
      </c>
      <c r="AM540" t="inlineStr">
        <is>
          <t>PARLAR SCIENTIFIC PUBLICATIONS (P S P)</t>
        </is>
      </c>
      <c r="AN540" t="inlineStr">
        <is>
          <t>FREISING</t>
        </is>
      </c>
      <c r="AO540" t="inlineStr">
        <is>
          <t>ANGERSTR. 12, 85354 FREISING, GERMANY</t>
        </is>
      </c>
      <c r="AP540" t="inlineStr">
        <is>
          <t>1018-4619</t>
        </is>
      </c>
      <c r="AQ540" t="inlineStr">
        <is>
          <t>1610-2304</t>
        </is>
      </c>
      <c r="AS540" t="inlineStr">
        <is>
          <t>FRESEN ENVIRON BULL</t>
        </is>
      </c>
      <c r="AT540" t="inlineStr">
        <is>
          <t>Fresenius Environ. Bull.</t>
        </is>
      </c>
      <c r="AV540" t="n">
        <v>2022</v>
      </c>
      <c r="AW540" t="n">
        <v>31</v>
      </c>
      <c r="AX540" t="n">
        <v>7</v>
      </c>
      <c r="BC540" t="n">
        <v>6903</v>
      </c>
      <c r="BD540" t="n">
        <v>6910</v>
      </c>
      <c r="BJ540" t="n">
        <v>8</v>
      </c>
      <c r="BK540" t="inlineStr">
        <is>
          <t>Environmental Sciences</t>
        </is>
      </c>
      <c r="BL540" t="inlineStr">
        <is>
          <t>Science Citation Index Expanded (SCI-EXPANDED)</t>
        </is>
      </c>
      <c r="BM540" t="inlineStr">
        <is>
          <t>Environmental Sciences &amp; Ecology</t>
        </is>
      </c>
      <c r="BN540" t="inlineStr">
        <is>
          <t>2U3GS</t>
        </is>
      </c>
      <c r="BS540" t="inlineStr">
        <is>
          <t>2023-10-26</t>
        </is>
      </c>
      <c r="BT540" t="inlineStr">
        <is>
          <t>WOS:000823048300013</t>
        </is>
      </c>
      <c r="BU540">
        <f>HYPERLINK("https%3A%2F%2Fwww.webofscience.com%2Fwos%2Fwoscc%2Ffull-record%2FWOS:000823048300013","View Full Record in Web of Science")</f>
        <v/>
      </c>
    </row>
    <row r="541">
      <c r="A541" t="inlineStr">
        <is>
          <t>J</t>
        </is>
      </c>
      <c r="B541" t="inlineStr">
        <is>
          <t>Xie, RY; Xu, YY; Yang, JH; Zhang, SZ</t>
        </is>
      </c>
      <c r="F541" t="inlineStr">
        <is>
          <t>Xie, Ruoyi; Xu, Yiyang; Yang, Jinhui; Zhang, Shaozhi</t>
        </is>
      </c>
      <c r="J541" t="inlineStr">
        <is>
          <t>SCIENCE OF THE TOTAL ENVIRONMENT</t>
        </is>
      </c>
      <c r="M541" t="inlineStr">
        <is>
          <t>English</t>
        </is>
      </c>
      <c r="N541" t="inlineStr">
        <is>
          <t>Article</t>
        </is>
      </c>
      <c r="T541" t="inlineStr">
        <is>
          <t>Indoor air quality investigation of a badminton hall in humid season through objective and subjective approaches</t>
        </is>
      </c>
      <c r="U541" t="inlineStr">
        <is>
          <t>Indoor air quality; Perceived air quality; Sports building; Pollution; Exercise</t>
        </is>
      </c>
      <c r="V541" t="inlineStr">
        <is>
          <t>THERMAL COMFORT; ENVIRONMENTAL-QUALITY; VENTILATED CLASSROOMS; OFFICE ENVIRONMENTS; PARTICULATE MATTER; ORGANIC-COMPOUNDS; POLLUTION; EXERCISE; IMPACT; SCHOOL</t>
        </is>
      </c>
      <c r="W541" t="inlineStr">
        <is>
          <t>This study investigated the indoor air quality (IAQ) during humid season in an old badminton hall, to explore the IAQ characteristics of natural ventilated sports buildings for public use. The indoor air parameters (temperature, relative humidity and air velocity) and indoor air pollutants (CO2, TVOC, PM2.5 and PM10) were measured. A subjective approach was carried out through questionnaire survey. 185 valid questionnaires were recovered, and 68.7% of the participants had exercised. Results show that the indoor air qualities obtained through objective and subjective approaches were obviously different. Indoor PM, TVOC and CO2 concentrations were normal, but 37.3% of the participants complained about the building materials' smell and 73.5% of the participants reported obvious sweaty odor. Physical activity might reduce a person's sensitivity to the environment. The participants generally felt warm and hot because of the high relative humidity. Post-exercise participants felt significantly hotter than those who did not exercise, and were generally more receptive to IAQ. The method of Fanger was employed to narrow the gap between subjective and objective approaches with a modified parameter, and to furtherly estimate the ventilation. The present study demonstrates the necessity to combine two approaches together to assess the IAQ in sports buildings. (C) 2021 Elsevier B.V. All rights reserved.</t>
        </is>
      </c>
      <c r="X541" t="inlineStr">
        <is>
          <t>[Xie, Ruoyi; Yang, Jinhui; Zhang, Shaozhi] Zhejiang Univ, Inst Refrigerat &amp; Cryogen, Hangzhou, Peoples R China; [Xu, Yiyang] Power Construct Corp China, Huadong Engn Corp Ltd, Hangzhou, Peoples R China</t>
        </is>
      </c>
      <c r="Y541" t="inlineStr">
        <is>
          <t>Zhejiang University</t>
        </is>
      </c>
      <c r="Z541" t="inlineStr">
        <is>
          <t>Zhang, SZ (corresponding author), Zhejiang Univ, Inst Refrigerat &amp; Cryogen, Hangzhou, Peoples R China.</t>
        </is>
      </c>
      <c r="AA541" t="inlineStr">
        <is>
          <t>enezsz@zju.edu.cn</t>
        </is>
      </c>
      <c r="AD541" t="inlineStr">
        <is>
          <t>National Natural Science Foundation of China [51876185]</t>
        </is>
      </c>
      <c r="AE541" t="inlineStr">
        <is>
          <t>National Natural Science Foundation of China(National Natural Science Foundation of China (NSFC))</t>
        </is>
      </c>
      <c r="AF541" t="inlineStr">
        <is>
          <t>The authors gratefully acknowledge the support of the National Natural Science Foundation of China (51876185).</t>
        </is>
      </c>
      <c r="AH541" t="n">
        <v>67</v>
      </c>
      <c r="AI541" t="n">
        <v>8</v>
      </c>
      <c r="AJ541" t="n">
        <v>8</v>
      </c>
      <c r="AK541" t="n">
        <v>4</v>
      </c>
      <c r="AL541" t="n">
        <v>65</v>
      </c>
      <c r="AM541" t="inlineStr">
        <is>
          <t>ELSEVIER</t>
        </is>
      </c>
      <c r="AN541" t="inlineStr">
        <is>
          <t>AMSTERDAM</t>
        </is>
      </c>
      <c r="AO541" t="inlineStr">
        <is>
          <t>RADARWEG 29, 1043 NX AMSTERDAM, NETHERLANDS</t>
        </is>
      </c>
      <c r="AP541" t="inlineStr">
        <is>
          <t>0048-9697</t>
        </is>
      </c>
      <c r="AQ541" t="inlineStr">
        <is>
          <t>1879-1026</t>
        </is>
      </c>
      <c r="AS541" t="inlineStr">
        <is>
          <t>SCI TOTAL ENVIRON</t>
        </is>
      </c>
      <c r="AT541" t="inlineStr">
        <is>
          <t>Sci. Total Environ.</t>
        </is>
      </c>
      <c r="AU541" t="inlineStr">
        <is>
          <t>JUN 1</t>
        </is>
      </c>
      <c r="AV541" t="n">
        <v>2021</v>
      </c>
      <c r="AW541" t="n">
        <v>771</v>
      </c>
      <c r="BE541" t="n">
        <v>145390</v>
      </c>
      <c r="BF541" t="inlineStr">
        <is>
          <t>10.1016/j.scitotenv.2021.145390</t>
        </is>
      </c>
      <c r="BG541">
        <f>HYPERLINK("http://dx.doi.org/10.1016/j.scitotenv.2021.145390","http://dx.doi.org/10.1016/j.scitotenv.2021.145390")</f>
        <v/>
      </c>
      <c r="BI541" t="inlineStr">
        <is>
          <t>FEB 2021</t>
        </is>
      </c>
      <c r="BJ541" t="n">
        <v>11</v>
      </c>
      <c r="BK541" t="inlineStr">
        <is>
          <t>Environmental Sciences</t>
        </is>
      </c>
      <c r="BL541" t="inlineStr">
        <is>
          <t>Science Citation Index Expanded (SCI-EXPANDED)</t>
        </is>
      </c>
      <c r="BM541" t="inlineStr">
        <is>
          <t>Environmental Sciences &amp; Ecology</t>
        </is>
      </c>
      <c r="BN541" t="inlineStr">
        <is>
          <t>QV3SV</t>
        </is>
      </c>
      <c r="BO541" t="n">
        <v>33545480</v>
      </c>
      <c r="BS541" t="inlineStr">
        <is>
          <t>2023-10-26</t>
        </is>
      </c>
      <c r="BT541" t="inlineStr">
        <is>
          <t>WOS:000627895900110</t>
        </is>
      </c>
      <c r="BU541">
        <f>HYPERLINK("https%3A%2F%2Fwww.webofscience.com%2Fwos%2Fwoscc%2Ffull-record%2FWOS:000627895900110","View Full Record in Web of Science")</f>
        <v/>
      </c>
    </row>
    <row r="542">
      <c r="A542" t="inlineStr">
        <is>
          <t>J</t>
        </is>
      </c>
      <c r="B542" t="inlineStr">
        <is>
          <t>Guo, P; Yokoyama, K; Piao, FY; Sakai, K; Khalequzzaman, M; Kamijima, M; Nakajima, T; Kitamura, F</t>
        </is>
      </c>
      <c r="F542" t="inlineStr">
        <is>
          <t>Guo, Peng; Yokoyama, Kazuhito; Piao, Fengyuan; Sakai, Kiyoshi; Khalequzzaman, Md; Kamijima, Michihiro; Nakajima, Tamie; Kitamura, Fumihiko</t>
        </is>
      </c>
      <c r="J542" t="inlineStr">
        <is>
          <t>INTERNATIONAL JOURNAL OF ENVIRONMENTAL RESEARCH AND PUBLIC HEALTH</t>
        </is>
      </c>
      <c r="M542" t="inlineStr">
        <is>
          <t>English</t>
        </is>
      </c>
      <c r="N542" t="inlineStr">
        <is>
          <t>Article</t>
        </is>
      </c>
      <c r="T542" t="inlineStr">
        <is>
          <t>Sick Building Syndrome by Indoor Air Pollution in Dalian, China</t>
        </is>
      </c>
      <c r="U542" t="inlineStr">
        <is>
          <t>sick building syndrome; indoor air pollution; China; formaldehyde; volatile organic compound</t>
        </is>
      </c>
      <c r="V542" t="inlineStr">
        <is>
          <t>VOLATILE ORGANIC-COMPOUNDS; DOMESTIC EXPOSURE; SYMPTOMS; DAMPNESS; ASTHMA; FORMALDEHYDE; RISK; CHILDREN; ALLERGY</t>
        </is>
      </c>
      <c r="W542" t="inlineStr">
        <is>
          <t>This study assessed subjective symptoms related to indoor concentrations of chemicals among residents in a housing estate in Dalian, China, where indoor air pollution by interior decoration materials has recently become a major health problem. Fifty-nine males and 50 females were surveyed for their symptoms related to sick building syndrome. Formaldehyde (HCHO), NO2, and volatile organic compounds (VOCs) in their dwellings were collected using a diffusion sampler and measured by GC/MS. For residents with one or more symptoms in the past, HCHO, butanol or 1,2-dichloroethane concentrations were significantly greater in their bedrooms or kitchens compared with those of subjects without previous symptoms. For residents with one or more symptoms at the time of the study, 1,1,1-trichloroethane, xylene, butanol, methyl isobutyl ketone, and styrene concentrations in their bedrooms or kitchens were significantly greater compared with those of residents without symptoms. HCHO, NO2, and VOCs were detected in all rooms, but their levels were lower than the guideline values except for HCHO in two rooms. Chemical substances from interior decoration materials at indoor air levels lower than their guideline values might have affected the health status of residents.</t>
        </is>
      </c>
      <c r="X542" t="inlineStr">
        <is>
          <t>[Guo, Peng; Yokoyama, Kazuhito; Kitamura, Fumihiko] Juntendo Univ, Fac Med, Dept Epidemiol &amp; Environm Hlth, Bunkyo Ku, Tokyo 1138421, Japan; [Guo, Peng] Yokkaichi Univ, Fac Environm &amp; Informat Sci, Yokaichi, Mie 5128512, Japan; [Guo, Peng] Mie Univ, Grad Sch Med, Dept Publ Hlth &amp; Occupat Med, Tsu, Mie 5148507, Japan; [Piao, Fengyuan] Dalian Med Univ, Dept Occupat &amp; Environm Hlth, Dalian 116044, Liaoning, Peoples R China; [Sakai, Kiyoshi] Nagoya City Publ Hlth Res Inst, Mizuho Ku, Nagoya, Aichi 4678615, Japan; [Khalequzzaman, Md; Nakajima, Tamie] Nagoya Univ, Grad Sch Med, Dept Occupat &amp; Environm Hlth, Showa Ku, Nagoya, Aichi 4668550, Japan; [Kamijima, Michihiro] Nagoya City Univ, Grad Sch Med Sci, Dept Occupat &amp; Environm Hlth, Mizuho Ku, Nagoya, Aichi 4678601, Japan</t>
        </is>
      </c>
      <c r="Y542" t="inlineStr">
        <is>
          <t>Juntendo University; Mie University; Dalian Medical University; Nagoya University; Nagoya City University</t>
        </is>
      </c>
      <c r="Z542" t="inlineStr">
        <is>
          <t>Yokoyama, K (corresponding author), Juntendo Univ, Fac Med, Dept Epidemiol &amp; Environm Hlth, Bunkyo Ku, Tokyo 1138421, Japan.</t>
        </is>
      </c>
      <c r="AA542" t="inlineStr">
        <is>
          <t>kakuchina_1@yahoo.co.jp; kyokoya@juntendo.ac.jp; piaofengjp@yahoo.co.jp; ehdeiken@sa.starcat.ne.jp; romenraihan@yahoo.com; kamijima@med.nagoya-cu.ac.jp; tnasu23@med.nagoya-u.ac.jp; fkitamu@juntendo.ac.jp</t>
        </is>
      </c>
      <c r="AB542" t="inlineStr">
        <is>
          <t>; Yokoyama, Kazuhito/U-3919-2018</t>
        </is>
      </c>
      <c r="AC542" t="inlineStr">
        <is>
          <t>Nakajima, Tamie/0000-0002-0474-7019; Kamijima, Michihiro/0000-0003-0670-8790; Khalequzzaman, Md/0000-0003-4638-7469; Yokoyama, Kazuhito/0000-0003-3537-5657</t>
        </is>
      </c>
      <c r="AD542" t="inlineStr">
        <is>
          <t>Japan Society for the Promotion of Science (JSPS)</t>
        </is>
      </c>
      <c r="AE542" t="inlineStr">
        <is>
          <t>Japan Society for the Promotion of Science (JSPS)(Ministry of Education, Culture, Sports, Science and Technology, Japan (MEXT)Japan Society for the Promotion of Science)</t>
        </is>
      </c>
      <c r="AF542" t="inlineStr">
        <is>
          <t>We thank the local council committee of Dalian and volunteers for the investigation cooperation. The study was supported by Grant-in-Aid for Scientific Research (KAKENHI) by Japan Society for the Promotion of Science (JSPS).</t>
        </is>
      </c>
      <c r="AH542" t="n">
        <v>29</v>
      </c>
      <c r="AI542" t="n">
        <v>50</v>
      </c>
      <c r="AJ542" t="n">
        <v>51</v>
      </c>
      <c r="AK542" t="n">
        <v>3</v>
      </c>
      <c r="AL542" t="n">
        <v>104</v>
      </c>
      <c r="AM542" t="inlineStr">
        <is>
          <t>MDPI</t>
        </is>
      </c>
      <c r="AN542" t="inlineStr">
        <is>
          <t>BASEL</t>
        </is>
      </c>
      <c r="AO542" t="inlineStr">
        <is>
          <t>ST ALBAN-ANLAGE 66, CH-4052 BASEL, SWITZERLAND</t>
        </is>
      </c>
      <c r="AP542" t="inlineStr">
        <is>
          <t>1660-4601</t>
        </is>
      </c>
      <c r="AS542" t="inlineStr">
        <is>
          <t>INT J ENV RES PUB HE</t>
        </is>
      </c>
      <c r="AT542" t="inlineStr">
        <is>
          <t>Int. J. Environ. Res. Public Health</t>
        </is>
      </c>
      <c r="AU542" t="inlineStr">
        <is>
          <t>APR</t>
        </is>
      </c>
      <c r="AV542" t="n">
        <v>2013</v>
      </c>
      <c r="AW542" t="n">
        <v>10</v>
      </c>
      <c r="AX542" t="n">
        <v>4</v>
      </c>
      <c r="BC542" t="n">
        <v>1489</v>
      </c>
      <c r="BD542" t="n">
        <v>1504</v>
      </c>
      <c r="BF542" t="inlineStr">
        <is>
          <t>10.3390/ijerph10041489</t>
        </is>
      </c>
      <c r="BG542">
        <f>HYPERLINK("http://dx.doi.org/10.3390/ijerph10041489","http://dx.doi.org/10.3390/ijerph10041489")</f>
        <v/>
      </c>
      <c r="BJ542" t="n">
        <v>16</v>
      </c>
      <c r="BK542" t="inlineStr">
        <is>
          <t>Environmental Sciences; Public, Environmental &amp; Occupational Health</t>
        </is>
      </c>
      <c r="BL542" t="inlineStr">
        <is>
          <t>Science Citation Index Expanded (SCI-EXPANDED)</t>
        </is>
      </c>
      <c r="BM542" t="inlineStr">
        <is>
          <t>Environmental Sciences &amp; Ecology; Public, Environmental &amp; Occupational Health</t>
        </is>
      </c>
      <c r="BN542" t="inlineStr">
        <is>
          <t>131XR</t>
        </is>
      </c>
      <c r="BO542" t="n">
        <v>23579877</v>
      </c>
      <c r="BP542" t="inlineStr">
        <is>
          <t>Green Published, gold, Green Submitted</t>
        </is>
      </c>
      <c r="BS542" t="inlineStr">
        <is>
          <t>2023-10-26</t>
        </is>
      </c>
      <c r="BT542" t="inlineStr">
        <is>
          <t>WOS:000318032300021</t>
        </is>
      </c>
      <c r="BU542">
        <f>HYPERLINK("https%3A%2F%2Fwww.webofscience.com%2Fwos%2Fwoscc%2Ffull-record%2FWOS:000318032300021","View Full Record in Web of Science")</f>
        <v/>
      </c>
    </row>
    <row r="543">
      <c r="A543" t="inlineStr">
        <is>
          <t>J</t>
        </is>
      </c>
      <c r="B543" t="inlineStr">
        <is>
          <t>Chen, J; Gramegna, SM; Biamonti, A; Cao, YW</t>
        </is>
      </c>
      <c r="F543" t="inlineStr">
        <is>
          <t>Chen, Jing; Gramegna, Silvia Maria; Biamonti, Alessandro; Cao, Yuwei</t>
        </is>
      </c>
      <c r="J543" t="inlineStr">
        <is>
          <t>SUSTAINABILITY</t>
        </is>
      </c>
      <c r="M543" t="inlineStr">
        <is>
          <t>English</t>
        </is>
      </c>
      <c r="N543" t="inlineStr">
        <is>
          <t>Article</t>
        </is>
      </c>
      <c r="T543" t="inlineStr">
        <is>
          <t>Habitual Activities for People with Dementia: The Role of Interiors in Supporting Their Development after Relocating to a Care Environment</t>
        </is>
      </c>
      <c r="U543" t="inlineStr">
        <is>
          <t>people with dementia; care facility; habitual activity; interior environment</t>
        </is>
      </c>
      <c r="V543" t="inlineStr">
        <is>
          <t>ALZHEIMERS-DISEASE; IMPLICIT MEMORY; EXPERIENCES; STIMULATION; OCCUPATIONS; ENGAGEMENT; FARMS; BODY; LIFE</t>
        </is>
      </c>
      <c r="W543" t="inlineStr">
        <is>
          <t>People with dementia have pre-reactive instincts, known as bodily habits, that allow them to continue with habitual activities. According to recent research, continuing and developing habitual activities in care facilities can help individuals with dementia establish a deep-rooted sense of home. Three aspects of developing habitual activity are critical in this process: continuing habitual activities fluidly, incorporating positive interaction into these habitual activities, and carrying out these habitual activities regularly. Based on this foundation, this article discusses how the interior environment of care facilities can support these three aspects of habitual activity for people living with dementia. Three cases in a long-term care facility were in-depth examined by using the microethnography approach. The study produced four themes. These themes emphasize the importance of organizing and managing the interior environment to support dementia residents' habitual activities. In addition, it emphasizes that caregivers and institutional regulations influence the organizational role of the interior environment.</t>
        </is>
      </c>
      <c r="X543" t="inlineStr">
        <is>
          <t>[Chen, Jing; Gramegna, Silvia Maria; Biamonti, Alessandro] Politecn Milan, Dept Design, LABIRINT Res Atelier, I-20158 Milan, Italy; [Cao, Yuwei] Politecn Milan, Dept Architecture Built Environm &amp; Construct Engn, I-20133 Milan, Italy</t>
        </is>
      </c>
      <c r="Y543" t="inlineStr">
        <is>
          <t>Polytechnic University of Milan; Polytechnic University of Milan</t>
        </is>
      </c>
      <c r="Z543" t="inlineStr">
        <is>
          <t>Cao, YW (corresponding author), Politecn Milan, Dept Architecture Built Environm &amp; Construct Engn, I-20133 Milan, Italy.</t>
        </is>
      </c>
      <c r="AA543" t="inlineStr">
        <is>
          <t>jing.chen@polimi.it; yuwei.cao@polimi.it</t>
        </is>
      </c>
      <c r="AC543" t="inlineStr">
        <is>
          <t>CAO, YUWEI/0000-0003-1803-1406</t>
        </is>
      </c>
      <c r="AD543" t="inlineStr">
        <is>
          <t>CHINA SCHOLARSHIPS COUNCIL [201908320347]</t>
        </is>
      </c>
      <c r="AE543" t="inlineStr">
        <is>
          <t>CHINA SCHOLARSHIPS COUNCIL</t>
        </is>
      </c>
      <c r="AF543" t="inlineStr">
        <is>
          <t>This research was funded by the CHINA SCHOLARSHIPS COUNCIL, grant number 201908320347.</t>
        </is>
      </c>
      <c r="AH543" t="n">
        <v>64</v>
      </c>
      <c r="AI543" t="n">
        <v>0</v>
      </c>
      <c r="AJ543" t="n">
        <v>0</v>
      </c>
      <c r="AK543" t="n">
        <v>0</v>
      </c>
      <c r="AL543" t="n">
        <v>0</v>
      </c>
      <c r="AM543" t="inlineStr">
        <is>
          <t>MDPI</t>
        </is>
      </c>
      <c r="AN543" t="inlineStr">
        <is>
          <t>BASEL</t>
        </is>
      </c>
      <c r="AO543" t="inlineStr">
        <is>
          <t>ST ALBAN-ANLAGE 66, CH-4052 BASEL, SWITZERLAND</t>
        </is>
      </c>
      <c r="AQ543" t="inlineStr">
        <is>
          <t>2071-1050</t>
        </is>
      </c>
      <c r="AS543" t="inlineStr">
        <is>
          <t>SUSTAINABILITY-BASEL</t>
        </is>
      </c>
      <c r="AT543" t="inlineStr">
        <is>
          <t>Sustainability</t>
        </is>
      </c>
      <c r="AU543" t="inlineStr">
        <is>
          <t>AUG</t>
        </is>
      </c>
      <c r="AV543" t="n">
        <v>2023</v>
      </c>
      <c r="AW543" t="n">
        <v>15</v>
      </c>
      <c r="AX543" t="n">
        <v>16</v>
      </c>
      <c r="BE543" t="n">
        <v>12324</v>
      </c>
      <c r="BF543" t="inlineStr">
        <is>
          <t>10.3390/su151612324</t>
        </is>
      </c>
      <c r="BG543">
        <f>HYPERLINK("http://dx.doi.org/10.3390/su151612324","http://dx.doi.org/10.3390/su151612324")</f>
        <v/>
      </c>
      <c r="BJ543" t="n">
        <v>19</v>
      </c>
      <c r="BK543" t="inlineStr">
        <is>
          <t>Green &amp; Sustainable Science &amp; Technology; Environmental Sciences; Environmental Studies</t>
        </is>
      </c>
      <c r="BL543" t="inlineStr">
        <is>
          <t>Science Citation Index Expanded (SCI-EXPANDED); Social Science Citation Index (SSCI)</t>
        </is>
      </c>
      <c r="BM543" t="inlineStr">
        <is>
          <t>Science &amp; Technology - Other Topics; Environmental Sciences &amp; Ecology</t>
        </is>
      </c>
      <c r="BN543" t="inlineStr">
        <is>
          <t>Q3UY2</t>
        </is>
      </c>
      <c r="BP543" t="inlineStr">
        <is>
          <t>gold</t>
        </is>
      </c>
      <c r="BS543" t="inlineStr">
        <is>
          <t>2023-10-26</t>
        </is>
      </c>
      <c r="BT543" t="inlineStr">
        <is>
          <t>WOS:001056814800001</t>
        </is>
      </c>
      <c r="BU543">
        <f>HYPERLINK("https%3A%2F%2Fwww.webofscience.com%2Fwos%2Fwoscc%2Ffull-record%2FWOS:001056814800001","View Full Record in Web of Science")</f>
        <v/>
      </c>
    </row>
    <row r="544">
      <c r="A544" t="inlineStr">
        <is>
          <t>J</t>
        </is>
      </c>
      <c r="B544" t="inlineStr">
        <is>
          <t>Kapoor, NR; Kumar, A; Alam, T; Kumar, A; Kulkarni, KS; Blecich, P</t>
        </is>
      </c>
      <c r="F544" t="inlineStr">
        <is>
          <t>Kapoor, Nishant Raj; Kumar, Ashok; Alam, Tabish; Kumar, Anuj; Kulkarni, Kishor S.; Blecich, Paolo</t>
        </is>
      </c>
      <c r="J544" t="inlineStr">
        <is>
          <t>SUSTAINABILITY</t>
        </is>
      </c>
      <c r="M544" t="inlineStr">
        <is>
          <t>English</t>
        </is>
      </c>
      <c r="N544" t="inlineStr">
        <is>
          <t>Review</t>
        </is>
      </c>
      <c r="T544" t="inlineStr">
        <is>
          <t>A Review on Indoor Environment Quality of Indian School Classrooms</t>
        </is>
      </c>
      <c r="U544" t="inlineStr">
        <is>
          <t>classroom; ventilation; COVID-19; indoor air pollution; sick building syndrome; artificial intelligence; thermal comfort; visual comfort; acoustic comfort; indoor air quality</t>
        </is>
      </c>
      <c r="V544" t="inlineStr">
        <is>
          <t>ARTIFICIAL NEURAL-NETWORK; SIMULATION-BASED OPTIMIZATION; NATURALLY VENTILATED SCHOOLS; VISUAL COMFORT ASSESSMENTS; OCCUPANTS THERMAL COMFORT; MEAN RADIANT TEMPERATURE; FINE PARTICULATE MATTER; SICK BUILDING SYNDROME; HUMAN METABOLIC-RATE; AIR-QUALITY</t>
        </is>
      </c>
      <c r="W544" t="inlineStr">
        <is>
          <t>The progress of Indoor Environmental Quality (IEQ) research in school buildings has increased profusely in the last two decades and the interest in this area is still growing worldwide. IEQ in classrooms impacts the comfort, health, and productivity of students as well as teachers. This article systematically discusses IEQ parameters related to studies conducted in Indian school classrooms during the last fifteen years. Real-time research studies conducted on Indoor Air Quality (IAQ), Thermal Comfort (TC), Acoustic Comfort (AcC), and Visual Comfort (VC) in Indian school classrooms from July 2006 to March 2021 are considered to gain insight into the existing research methodologies. This review article indicates that IEQ parameter studies in Indian school buildings are tortuous, strewn, inadequate, and unorganized. There is no literature review available on studies conducted on IEQ parameters in Indian school classrooms. The results infer that in India, there is no well-established method to assess the indoor environmental condition of classrooms in school buildings to date. Indian school classrooms are bleak and in dire need of energy-efficient modifications that maintain good IEQ for better teaching and learning outcomes. The prevailing COVID-19 Pandemic, Artificial Intelligence (AI), National Education Policy (NEP), Sick Building Syndrome (SBS), Internet of Things (IoT), and Green Schools (GS) are also discussed to effectively link existing conditions with the future of IEQ research in Indian school classrooms.</t>
        </is>
      </c>
      <c r="X544" t="inlineStr">
        <is>
          <t>[Kapoor, Nishant Raj; Kumar, Ashok; Kulkarni, Kishor S.] CSIR Cent Bldg Res Inst, Architecture &amp; Planning Dept, Roorkee 247667, Uttar Pradesh, India; [Kapoor, Nishant Raj; Kumar, Ashok; Alam, Tabish; Kumar, Anuj] CSIR Cent Bldg Res Inst, Bldg Energy Efficiency Div, Roorkee 247667, Uttar Pradesh, India; [Kapoor, Nishant Raj; Kumar, Ashok; Alam, Tabish; Kumar, Anuj; Kulkarni, Kishor S.] Acad Sci &amp; Innovat Res AcSIR, Ghaziabad 201002, India; [Blecich, Paolo] Univ Rijeka, Fac Engn, Rijeka 51000, Croatia</t>
        </is>
      </c>
      <c r="Y544" t="inlineStr">
        <is>
          <t>Council of Scientific &amp; Industrial Research (CSIR) - India; CSIR - Central Building Research Institute; Council of Scientific &amp; Industrial Research (CSIR) - India; CSIR - Central Building Research Institute; Academy of Scientific &amp; Innovative Research (AcSIR); University of Rijeka</t>
        </is>
      </c>
      <c r="Z544" t="inlineStr">
        <is>
          <t>Kapoor, NR (corresponding author), CSIR Cent Bldg Res Inst, Architecture &amp; Planning Dept, Roorkee 247667, Uttar Pradesh, India.;Kapoor, NR; Alam, T (corresponding author), CSIR Cent Bldg Res Inst, Bldg Energy Efficiency Div, Roorkee 247667, Uttar Pradesh, India.;Kapoor, NR; Alam, T (corresponding author), Acad Sci &amp; Innovat Res AcSIR, Ghaziabad 201002, India.;Blecich, P (corresponding author), Univ Rijeka, Fac Engn, Rijeka 51000, Croatia.</t>
        </is>
      </c>
      <c r="AA544" t="inlineStr">
        <is>
          <t>dr.nrkapoor@outlook.com; kumar.cbri@rediffmail.com; tabish.iitr@gmail.com; anujchauhan97@gmail.com; kishorsk.1@gmail.com; paolo.blecich@riteh.hr</t>
        </is>
      </c>
      <c r="AB544" t="inlineStr">
        <is>
          <t>Kumar, Anuj/A-4287-2019; Kapoor, Nishant Raj/AEK-3208-2022; Blecich, Paolo/P-9488-2018</t>
        </is>
      </c>
      <c r="AC544" t="inlineStr">
        <is>
          <t>Kumar, Anuj/0000-0001-6152-5482; Kapoor, Nishant Raj/0000-0002-4721-3332; Blecich, Paolo/0000-0002-9678-3833</t>
        </is>
      </c>
      <c r="AD544" t="inlineStr">
        <is>
          <t>Department of Science and Technology [TMD/CERI/BEE/2016/081]</t>
        </is>
      </c>
      <c r="AE544" t="inlineStr">
        <is>
          <t>Department of Science and Technology(Department of Science &amp; Technology (India))</t>
        </is>
      </c>
      <c r="AF544" t="inlineStr">
        <is>
          <t>The work reported in this article forms a part of the AcSIR Ph.D. work of the first author being carried out at CSIR-CBRI, Roorkee. The resources for this work was covered by the project sponsored by Department of Science and Technology, Govt. of India. The File No. is TMD/CERI/BEE/2016/081 and the Project Title is-Indoor Environmental Quality (IEQ) Monitoring and Control Systems Based onWireless Sensor-Actuator Network for Smart Indoor Environments. The authors thank Aman Kumar for his help in preparing the figures in this study. The authors also gratefully acknowledge the Director of the CSIR-Central Building Research Institute for his kind permission to publish this article.</t>
        </is>
      </c>
      <c r="AH544" t="n">
        <v>321</v>
      </c>
      <c r="AI544" t="n">
        <v>13</v>
      </c>
      <c r="AJ544" t="n">
        <v>13</v>
      </c>
      <c r="AK544" t="n">
        <v>14</v>
      </c>
      <c r="AL544" t="n">
        <v>78</v>
      </c>
      <c r="AM544" t="inlineStr">
        <is>
          <t>MDPI</t>
        </is>
      </c>
      <c r="AN544" t="inlineStr">
        <is>
          <t>BASEL</t>
        </is>
      </c>
      <c r="AO544" t="inlineStr">
        <is>
          <t>ST ALBAN-ANLAGE 66, CH-4052 BASEL, SWITZERLAND</t>
        </is>
      </c>
      <c r="AQ544" t="inlineStr">
        <is>
          <t>2071-1050</t>
        </is>
      </c>
      <c r="AS544" t="inlineStr">
        <is>
          <t>SUSTAINABILITY-BASEL</t>
        </is>
      </c>
      <c r="AT544" t="inlineStr">
        <is>
          <t>Sustainability</t>
        </is>
      </c>
      <c r="AU544" t="inlineStr">
        <is>
          <t>NOV</t>
        </is>
      </c>
      <c r="AV544" t="n">
        <v>2021</v>
      </c>
      <c r="AW544" t="n">
        <v>13</v>
      </c>
      <c r="AX544" t="n">
        <v>21</v>
      </c>
      <c r="BE544" t="n">
        <v>11855</v>
      </c>
      <c r="BF544" t="inlineStr">
        <is>
          <t>10.3390/su132111855</t>
        </is>
      </c>
      <c r="BG544">
        <f>HYPERLINK("http://dx.doi.org/10.3390/su132111855","http://dx.doi.org/10.3390/su132111855")</f>
        <v/>
      </c>
      <c r="BJ544" t="n">
        <v>43</v>
      </c>
      <c r="BK544" t="inlineStr">
        <is>
          <t>Green &amp; Sustainable Science &amp; Technology; Environmental Sciences; Environmental Studies</t>
        </is>
      </c>
      <c r="BL544" t="inlineStr">
        <is>
          <t>Science Citation Index Expanded (SCI-EXPANDED); Social Science Citation Index (SSCI)</t>
        </is>
      </c>
      <c r="BM544" t="inlineStr">
        <is>
          <t>Science &amp; Technology - Other Topics; Environmental Sciences &amp; Ecology</t>
        </is>
      </c>
      <c r="BN544" t="inlineStr">
        <is>
          <t>WY2MC</t>
        </is>
      </c>
      <c r="BP544" t="inlineStr">
        <is>
          <t>gold</t>
        </is>
      </c>
      <c r="BS544" t="inlineStr">
        <is>
          <t>2023-10-26</t>
        </is>
      </c>
      <c r="BT544" t="inlineStr">
        <is>
          <t>WOS:000719115900001</t>
        </is>
      </c>
      <c r="BU544">
        <f>HYPERLINK("https%3A%2F%2Fwww.webofscience.com%2Fwos%2Fwoscc%2Ffull-record%2FWOS:000719115900001","View Full Record in Web of Science")</f>
        <v/>
      </c>
    </row>
    <row r="545">
      <c r="A545" t="inlineStr">
        <is>
          <t>J</t>
        </is>
      </c>
      <c r="B545" t="inlineStr">
        <is>
          <t>Baltrenas, P; Grubliauskas, R; Danila, V</t>
        </is>
      </c>
      <c r="F545" t="inlineStr">
        <is>
          <t>Baltrenas, Pranas; Grubliauskas, Raimondas; Danila, Vaidotas</t>
        </is>
      </c>
      <c r="J545" t="inlineStr">
        <is>
          <t>SUSTAINABILITY</t>
        </is>
      </c>
      <c r="M545" t="inlineStr">
        <is>
          <t>English</t>
        </is>
      </c>
      <c r="N545" t="inlineStr">
        <is>
          <t>Article</t>
        </is>
      </c>
      <c r="T545" t="inlineStr">
        <is>
          <t>Seasonal Variation of Indoor Radon Concentration Levels in Different Premises of a University Building</t>
        </is>
      </c>
      <c r="U545" t="inlineStr">
        <is>
          <t>indoor radon concentration; seasonal changes; airtightness; outdoor temperature; humidity; university building</t>
        </is>
      </c>
      <c r="V545" t="inlineStr">
        <is>
          <t>SOIL-GAS; REGION; IMPACT; ENTRY</t>
        </is>
      </c>
      <c r="W545" t="inlineStr">
        <is>
          <t>In the present study, we aimed to determine the changes of indoor radon concentrations depending on various environmental parameters, such as the outdoor temperature, relative humidity, and air pressure, in university building premises of different applications and heights. The environmental parameters and indoor radon concentrations in four different premises were measured each working day over an eight-month period. The results showed that the indoor radon levels strongly depended on the outside temperature and outside relative humidity, whereas the weakest correlations were found between the indoor radon levels and indoor and outdoor air pressures. The obtained indoor radon concentration and environmental condition correlations were different for the different premises of the building. That is, in two premises where the ventilation effect through unintentional air leakage points prevailed in winter, positive correlations between the radon concentration and outside temperature were obtained, reaching the values of 0.94 and 0.92, respectively. In premises with better airtightness, negative correlations (R= -0.96 andR= -0.62) between the radon concentrations and outside temperature were obtained. The results revealed that high quality air isolation in premises could be an important factor for higher indoor radon levels during summer compared to winter.</t>
        </is>
      </c>
      <c r="X545" t="inlineStr">
        <is>
          <t>[Baltrenas, Pranas; Danila, Vaidotas] Vilnius Gediminas Tech Univ, Res Inst Environm Protect, Sauletekis Ave 11, LT-10223 Vilnius, Lithuania; [Grubliauskas, Raimondas] Vilnius Gediminas Tech Univ, Dept Environm Protect &amp; Water Engn, Sauletekis Ave 11, LT-10223 Vilnius, Lithuania</t>
        </is>
      </c>
      <c r="Y545" t="inlineStr">
        <is>
          <t>Vilnius Gediminas Technical University; Vilnius Gediminas Technical University</t>
        </is>
      </c>
      <c r="Z545" t="inlineStr">
        <is>
          <t>Danila, V (corresponding author), Vilnius Gediminas Tech Univ, Res Inst Environm Protect, Sauletekis Ave 11, LT-10223 Vilnius, Lithuania.</t>
        </is>
      </c>
      <c r="AA545" t="inlineStr">
        <is>
          <t>pranas.baltrenas@vgtu.lt; raimondas.grubliauskas@vgtu.lt; vaidotas.danila@vgtu.lt</t>
        </is>
      </c>
      <c r="AC545" t="inlineStr">
        <is>
          <t>Danila, Vaidotas/0000-0001-9161-0194; Grubliauskas, Raimondas/0000-0002-8625-9333</t>
        </is>
      </c>
      <c r="AH545" t="n">
        <v>40</v>
      </c>
      <c r="AI545" t="n">
        <v>23</v>
      </c>
      <c r="AJ545" t="n">
        <v>23</v>
      </c>
      <c r="AK545" t="n">
        <v>1</v>
      </c>
      <c r="AL545" t="n">
        <v>13</v>
      </c>
      <c r="AM545" t="inlineStr">
        <is>
          <t>MDPI</t>
        </is>
      </c>
      <c r="AN545" t="inlineStr">
        <is>
          <t>BASEL</t>
        </is>
      </c>
      <c r="AO545" t="inlineStr">
        <is>
          <t>ST ALBAN-ANLAGE 66, CH-4052 BASEL, SWITZERLAND</t>
        </is>
      </c>
      <c r="AQ545" t="inlineStr">
        <is>
          <t>2071-1050</t>
        </is>
      </c>
      <c r="AS545" t="inlineStr">
        <is>
          <t>SUSTAINABILITY-BASEL</t>
        </is>
      </c>
      <c r="AT545" t="inlineStr">
        <is>
          <t>Sustainability</t>
        </is>
      </c>
      <c r="AU545" t="inlineStr">
        <is>
          <t>AUG</t>
        </is>
      </c>
      <c r="AV545" t="n">
        <v>2020</v>
      </c>
      <c r="AW545" t="n">
        <v>12</v>
      </c>
      <c r="AX545" t="n">
        <v>15</v>
      </c>
      <c r="BE545" t="n">
        <v>6174</v>
      </c>
      <c r="BF545" t="inlineStr">
        <is>
          <t>10.3390/su12156174</t>
        </is>
      </c>
      <c r="BG545">
        <f>HYPERLINK("http://dx.doi.org/10.3390/su12156174","http://dx.doi.org/10.3390/su12156174")</f>
        <v/>
      </c>
      <c r="BJ545" t="n">
        <v>15</v>
      </c>
      <c r="BK545" t="inlineStr">
        <is>
          <t>Green &amp; Sustainable Science &amp; Technology; Environmental Sciences; Environmental Studies</t>
        </is>
      </c>
      <c r="BL545" t="inlineStr">
        <is>
          <t>Science Citation Index Expanded (SCI-EXPANDED); Social Science Citation Index (SSCI)</t>
        </is>
      </c>
      <c r="BM545" t="inlineStr">
        <is>
          <t>Science &amp; Technology - Other Topics; Environmental Sciences &amp; Ecology</t>
        </is>
      </c>
      <c r="BN545" t="inlineStr">
        <is>
          <t>MZ5IK</t>
        </is>
      </c>
      <c r="BP545" t="inlineStr">
        <is>
          <t>gold, Green Published</t>
        </is>
      </c>
      <c r="BS545" t="inlineStr">
        <is>
          <t>2023-10-26</t>
        </is>
      </c>
      <c r="BT545" t="inlineStr">
        <is>
          <t>WOS:000559157600001</t>
        </is>
      </c>
      <c r="BU545">
        <f>HYPERLINK("https%3A%2F%2Fwww.webofscience.com%2Fwos%2Fwoscc%2Ffull-record%2FWOS:000559157600001","View Full Record in Web of Science")</f>
        <v/>
      </c>
    </row>
    <row r="546">
      <c r="A546" t="inlineStr">
        <is>
          <t>J</t>
        </is>
      </c>
      <c r="B546" t="inlineStr">
        <is>
          <t>Al-Rashid, MA; Goh, HC; Harumain, YAS; Ali, Z; Campisi, T; Mahmood, T</t>
        </is>
      </c>
      <c r="F546" t="inlineStr">
        <is>
          <t>Al-Rashid, Muhammad Ahmad; Goh, Hong Ching; Harumain, Yong Adilah Shamsul; Ali, Zulfiqar; Campisi, Tiziana; Mahmood, Tahir</t>
        </is>
      </c>
      <c r="J546" t="inlineStr">
        <is>
          <t>INTERNATIONAL JOURNAL OF ENVIRONMENTAL RESEARCH AND PUBLIC HEALTH</t>
        </is>
      </c>
      <c r="M546" t="inlineStr">
        <is>
          <t>English</t>
        </is>
      </c>
      <c r="N546" t="inlineStr">
        <is>
          <t>Article</t>
        </is>
      </c>
      <c r="T546" t="inlineStr">
        <is>
          <t>Psychosocial Barriers of Public Transport Use and Social Exclusion among Older Adults: Empirical Evidence from Lahore, Pakistan</t>
        </is>
      </c>
      <c r="U546" t="inlineStr">
        <is>
          <t>social exclusion; public transport; psychosocial; older adults</t>
        </is>
      </c>
      <c r="V546" t="inlineStr">
        <is>
          <t>PERCEIVED BEHAVIORAL-CONTROL; PHYSICAL-ACTIVITY; PLANNED BEHAVIOR; EXTENDED THEORY; PERSONAL NORMS; TRAVEL; NEIGHBORHOOD; PARTICIPATION; ENVIRONMENT; ATTITUDES</t>
        </is>
      </c>
      <c r="W546" t="inlineStr">
        <is>
          <t>Transport planning and public health have been intertwined historically. The health impact of public transport services, such as social exclusion, is a widely discussed research topic. Social exclusion is a paramount concern for older adults' health in the wake of emerging global challenges. However, there remains a significant research gap on how psychosocial barriers faced by older adults in using public transport services influence the social exclusion behavior. The present research provides empirical evidence and shows the impact of certain psychosocial barriers of public transportation on older adults' social exclusion. A total of 243 Pakistani older adults (aged 60-89 years old) voluntarily participated in this cross-sectional study. The participants provided self-reports on their psychosocial barriers (including perceived norms, attitude, personal ability, habits, neighborhood social constraints, and intention) and the corresponding social exclusion. Partial Least Square Structural Equation Modeling (PLS-SEM) was utilized for the data analysis. The structural path model supported the significant associations between psychosocial barriers and social exclusion. Except for perceived descriptive norms, all other psychosocial barriers predicted older adults' social exclusion. The research portrays the significance of the psychosocial factors to examine social exclusion and offers practical implications for urban and transport planners. The concerned policymakers can use the research findings to develop age-sensitive, socially sustainable, and healthy cities.</t>
        </is>
      </c>
      <c r="X546" t="inlineStr">
        <is>
          <t>[Al-Rashid, Muhammad Ahmad; Goh, Hong Ching; Harumain, Yong Adilah Shamsul] Univ Malaya, Fac Built Environm, Dept Urban &amp; Reg Planning, Kuala Lumpur 50603, Malaysia; [Al-Rashid, Muhammad Ahmad] Univ Management &amp; Technol, Sch Architecture &amp; Planning, Dept City &amp; Reg Planning, Lahore 54770, Pakistan; [Ali, Zulfiqar] City Univ Hong Kong, Dept Syst Engn &amp; Engn Management, Hong Kong, Peoples R China; [Campisi, Tiziana] Kore Univ Enna, Fac Engn &amp; Architecture, I-94100 Enna, Italy; [Mahmood, Tahir] Open Univ Hong Kong, Sch Sci &amp; Technol, Dept Technol, Hong Kong, Peoples R China</t>
        </is>
      </c>
      <c r="Y546" t="inlineStr">
        <is>
          <t>Universiti Malaya; University of Management &amp; Technology (UMT); City University of Hong Kong; Universita Kore di ENNA; Hong Kong Metropolitan University</t>
        </is>
      </c>
      <c r="Z546" t="inlineStr">
        <is>
          <t>Goh, HC (corresponding author), Univ Malaya, Fac Built Environm, Dept Urban &amp; Reg Planning, Kuala Lumpur 50603, Malaysia.;Campisi, T (corresponding author), Kore Univ Enna, Fac Engn &amp; Architecture, I-94100 Enna, Italy.</t>
        </is>
      </c>
      <c r="AA546" t="inlineStr">
        <is>
          <t>bva180010@siswa.um.edu.my; gohhc@um.edu.my; adilah_shamsul@um.edu.my; zulfiqali3@cityu.edu.hk; tiziana.campisi@unikore.it; tmahmood@ouhk.edu.hk</t>
        </is>
      </c>
      <c r="AB546" t="inlineStr">
        <is>
          <t>Shamsul Harumain, Dr. Yong Adilah/H-3389-2016; campisi, tiziana/Y-1156-2018; GOH, HONG CHING/B-8546-2010; Mahmood, Tahir/AAE-6265-2020</t>
        </is>
      </c>
      <c r="AC546" t="inlineStr">
        <is>
          <t>Shamsul Harumain, Dr. Yong Adilah/0000-0002-3980-532X; campisi, tiziana/0000-0003-4251-4838; GOH, HONG CHING/0000-0002-9250-2205; Mahmood, Tahir/0000-0002-8748-5949; AL-RASHID, MUHAMMAD AHMAD/0000-0002-4858-8750; Ali, Zulfiqar/0000-0001-8239-8814</t>
        </is>
      </c>
      <c r="AD546" t="inlineStr">
        <is>
          <t>MIUR (Ministry of Education, Universities and Research [Italy]) [20174ARRHT/CUP, J74I19000320008]; PRIN 2017 (Research Projects of National Relevance) program</t>
        </is>
      </c>
      <c r="AE546" t="inlineStr">
        <is>
          <t>MIUR (Ministry of Education, Universities and Research [Italy])(Ministry of Education, Universities and Research (MIUR)); PRIN 2017 (Research Projects of National Relevance) program</t>
        </is>
      </c>
      <c r="AF546" t="inlineStr">
        <is>
          <t>The authors acknowledge financial support from the MIUR (Ministry of Education, Universities and Research [Italy]) through a project entitled WEAKI TRANSIT: WEAK-demand areas Innovative TRANsport Shared services for Italian Towns (Project code: 20174ARRHT/CUP Code: J74I19000320008), financed with the PRIN 2017 (Research Projects of National Relevance) program. We authorize the MIUR to reproduce and distribute reprints for Governmental purposes, notwithstanding any copyright notations thereon. Any opinions, findings, and conclusions or recommendations expressed in this material are those of the authors and do not necessarily reflect the views of the MIUR.</t>
        </is>
      </c>
      <c r="AH546" t="n">
        <v>129</v>
      </c>
      <c r="AI546" t="n">
        <v>24</v>
      </c>
      <c r="AJ546" t="n">
        <v>24</v>
      </c>
      <c r="AK546" t="n">
        <v>1</v>
      </c>
      <c r="AL546" t="n">
        <v>28</v>
      </c>
      <c r="AM546" t="inlineStr">
        <is>
          <t>MDPI</t>
        </is>
      </c>
      <c r="AN546" t="inlineStr">
        <is>
          <t>BASEL</t>
        </is>
      </c>
      <c r="AO546" t="inlineStr">
        <is>
          <t>ST ALBAN-ANLAGE 66, CH-4052 BASEL, SWITZERLAND</t>
        </is>
      </c>
      <c r="AQ546" t="inlineStr">
        <is>
          <t>1660-4601</t>
        </is>
      </c>
      <c r="AS546" t="inlineStr">
        <is>
          <t>INT J ENV RES PUB HE</t>
        </is>
      </c>
      <c r="AT546" t="inlineStr">
        <is>
          <t>Int. J. Environ. Res. Public Health</t>
        </is>
      </c>
      <c r="AU546" t="inlineStr">
        <is>
          <t>JAN</t>
        </is>
      </c>
      <c r="AV546" t="n">
        <v>2021</v>
      </c>
      <c r="AW546" t="n">
        <v>18</v>
      </c>
      <c r="AX546" t="n">
        <v>1</v>
      </c>
      <c r="BE546" t="n">
        <v>185</v>
      </c>
      <c r="BF546" t="inlineStr">
        <is>
          <t>10.3390/ijerph18010185</t>
        </is>
      </c>
      <c r="BG546">
        <f>HYPERLINK("http://dx.doi.org/10.3390/ijerph18010185","http://dx.doi.org/10.3390/ijerph18010185")</f>
        <v/>
      </c>
      <c r="BJ546" t="n">
        <v>23</v>
      </c>
      <c r="BK546" t="inlineStr">
        <is>
          <t>Environmental Sciences; Public, Environmental &amp; Occupational Health</t>
        </is>
      </c>
      <c r="BL546" t="inlineStr">
        <is>
          <t>Science Citation Index Expanded (SCI-EXPANDED); Social Science Citation Index (SSCI)</t>
        </is>
      </c>
      <c r="BM546" t="inlineStr">
        <is>
          <t>Environmental Sciences &amp; Ecology; Public, Environmental &amp; Occupational Health</t>
        </is>
      </c>
      <c r="BN546" t="inlineStr">
        <is>
          <t>PQ0UO</t>
        </is>
      </c>
      <c r="BO546" t="n">
        <v>33383763</v>
      </c>
      <c r="BP546" t="inlineStr">
        <is>
          <t>Green Published, gold</t>
        </is>
      </c>
      <c r="BS546" t="inlineStr">
        <is>
          <t>2023-10-26</t>
        </is>
      </c>
      <c r="BT546" t="inlineStr">
        <is>
          <t>WOS:000606266300001</t>
        </is>
      </c>
      <c r="BU546">
        <f>HYPERLINK("https%3A%2F%2Fwww.webofscience.com%2Fwos%2Fwoscc%2Ffull-record%2FWOS:000606266300001","View Full Record in Web of Science")</f>
        <v/>
      </c>
    </row>
    <row r="547">
      <c r="A547" t="inlineStr">
        <is>
          <t>J</t>
        </is>
      </c>
      <c r="B547" t="inlineStr">
        <is>
          <t>Pasek, M; Kortas, J; Zong, XX; Lipowski, M</t>
        </is>
      </c>
      <c r="F547" t="inlineStr">
        <is>
          <t>Pasek, Marcin; Kortas, Jakub; Zong, Xingxing; Lipowski, Mariusz</t>
        </is>
      </c>
      <c r="J547" t="inlineStr">
        <is>
          <t>SUSTAINABILITY</t>
        </is>
      </c>
      <c r="M547" t="inlineStr">
        <is>
          <t>English</t>
        </is>
      </c>
      <c r="N547" t="inlineStr">
        <is>
          <t>Article</t>
        </is>
      </c>
      <c r="T547" t="inlineStr">
        <is>
          <t>Secondary School Students' Well-Being as an Effect of Outdoor Physical Activity versus Indoor Activity and Inactivity</t>
        </is>
      </c>
      <c r="U547" t="inlineStr">
        <is>
          <t>outdoor physical activity; indoor physical activity; physical inactivity; self-esteem; general mood</t>
        </is>
      </c>
      <c r="V547" t="inlineStr">
        <is>
          <t>MENTAL-HEALTH OUTCOMES; NATURAL ENVIRONMENTS; EXERCISE; NEUROBIOLOGY; MEDICINE</t>
        </is>
      </c>
      <c r="W547" t="inlineStr">
        <is>
          <t>(1) Background: Well-being is a broad concept within which, among other components, self-esteem and general mood can be distinguished. Their formation can take place on the basis of contact with physical activity and with the natural environment. (2) Methods: The aim of the study was to compare the self-esteem and general mood of schoolchildren at different levels of contact with physical activity and the natural environment, distinguishing between active outdoor, active indoor and inactive groups. The study involved 306 secondary school students aged 16-19 years. The study used a diagnostic survey method, choosing a questionnaire technique. Two research tools in the form of survey questionnaires were used: Rosenberg Self-Esteem Scale-SES and General Mood Scale-GMS. (3) Results: The results indicated physical activity as an important determinant of both well-being components studied. In the study group of adolescents, contact with the natural environment proved to be a non-significant determinant of well-being. (4) Conclusions: The hypothesis of a synergistic positive effect of physical activity and contact with nature on self-esteem and general mood, which was not confirmed in this study, should be verified among representatives of older age groups.</t>
        </is>
      </c>
      <c r="X547" t="inlineStr">
        <is>
          <t>[Pasek, Marcin; Kortas, Jakub; Zong, Xingxing; Lipowski, Mariusz] Gdansk Univ Phys Educ &amp; Sport, Fac Phys Culture, PL-80336 Gdansk, Poland</t>
        </is>
      </c>
      <c r="Y547" t="inlineStr">
        <is>
          <t>Gdansk University of Physical Education &amp; Sport</t>
        </is>
      </c>
      <c r="Z547" t="inlineStr">
        <is>
          <t>Pasek, M (corresponding author), Gdansk Univ Phys Educ &amp; Sport, Fac Phys Culture, PL-80336 Gdansk, Poland.</t>
        </is>
      </c>
      <c r="AA547" t="inlineStr">
        <is>
          <t>marcin.pasek@awf.gda.pl</t>
        </is>
      </c>
      <c r="AC547" t="inlineStr">
        <is>
          <t>Kortas, Jakub/0000-0003-2364-0214; Lipowski, Mariusz/0000-0002-8389-7006</t>
        </is>
      </c>
      <c r="AH547" t="n">
        <v>52</v>
      </c>
      <c r="AI547" t="n">
        <v>1</v>
      </c>
      <c r="AJ547" t="n">
        <v>1</v>
      </c>
      <c r="AK547" t="n">
        <v>3</v>
      </c>
      <c r="AL547" t="n">
        <v>6</v>
      </c>
      <c r="AM547" t="inlineStr">
        <is>
          <t>MDPI</t>
        </is>
      </c>
      <c r="AN547" t="inlineStr">
        <is>
          <t>BASEL</t>
        </is>
      </c>
      <c r="AO547" t="inlineStr">
        <is>
          <t>ST ALBAN-ANLAGE 66, CH-4052 BASEL, SWITZERLAND</t>
        </is>
      </c>
      <c r="AQ547" t="inlineStr">
        <is>
          <t>2071-1050</t>
        </is>
      </c>
      <c r="AS547" t="inlineStr">
        <is>
          <t>SUSTAINABILITY-BASEL</t>
        </is>
      </c>
      <c r="AT547" t="inlineStr">
        <is>
          <t>Sustainability</t>
        </is>
      </c>
      <c r="AU547" t="inlineStr">
        <is>
          <t>OCT</t>
        </is>
      </c>
      <c r="AV547" t="n">
        <v>2022</v>
      </c>
      <c r="AW547" t="n">
        <v>14</v>
      </c>
      <c r="AX547" t="n">
        <v>20</v>
      </c>
      <c r="BE547" t="n">
        <v>13532</v>
      </c>
      <c r="BF547" t="inlineStr">
        <is>
          <t>10.3390/su142013532</t>
        </is>
      </c>
      <c r="BG547">
        <f>HYPERLINK("http://dx.doi.org/10.3390/su142013532","http://dx.doi.org/10.3390/su142013532")</f>
        <v/>
      </c>
      <c r="BJ547" t="n">
        <v>13</v>
      </c>
      <c r="BK547" t="inlineStr">
        <is>
          <t>Green &amp; Sustainable Science &amp; Technology; Environmental Sciences; Environmental Studies</t>
        </is>
      </c>
      <c r="BL547" t="inlineStr">
        <is>
          <t>Science Citation Index Expanded (SCI-EXPANDED); Social Science Citation Index (SSCI)</t>
        </is>
      </c>
      <c r="BM547" t="inlineStr">
        <is>
          <t>Science &amp; Technology - Other Topics; Environmental Sciences &amp; Ecology</t>
        </is>
      </c>
      <c r="BN547" t="inlineStr">
        <is>
          <t>5P8HO</t>
        </is>
      </c>
      <c r="BP547" t="inlineStr">
        <is>
          <t>gold</t>
        </is>
      </c>
      <c r="BS547" t="inlineStr">
        <is>
          <t>2023-10-26</t>
        </is>
      </c>
      <c r="BT547" t="inlineStr">
        <is>
          <t>WOS:000873385700001</t>
        </is>
      </c>
      <c r="BU547">
        <f>HYPERLINK("https%3A%2F%2Fwww.webofscience.com%2Fwos%2Fwoscc%2Ffull-record%2FWOS:000873385700001","View Full Record in Web of Science")</f>
        <v/>
      </c>
    </row>
    <row r="548">
      <c r="A548" t="inlineStr">
        <is>
          <t>J</t>
        </is>
      </c>
      <c r="B548" t="inlineStr">
        <is>
          <t>Ju, K; Lu, LY; Chen, T; Duan, ZX; Chen, DP; Liao, WB; Zhou, Q; Xu, ZY; Wang, W</t>
        </is>
      </c>
      <c r="F548" t="inlineStr">
        <is>
          <t>Ju, Ke; Lu, Liyong; Chen, Ting; Duan, Zhongxin; Chen, Dapeng; Liao, Weibin; Zhou, Qian; Xu, Zongyou; Wang, Wen</t>
        </is>
      </c>
      <c r="J548" t="inlineStr">
        <is>
          <t>SCIENCE OF THE TOTAL ENVIRONMENT</t>
        </is>
      </c>
      <c r="M548" t="inlineStr">
        <is>
          <t>English</t>
        </is>
      </c>
      <c r="N548" t="inlineStr">
        <is>
          <t>Article</t>
        </is>
      </c>
      <c r="T548" t="inlineStr">
        <is>
          <t>Does long-term exposure to air pollution impair physical and mental health in the middle-aged and older adults?-A causal empirical analysis based on a longitudinal nationwide cohort in China</t>
        </is>
      </c>
      <c r="U548" t="inlineStr">
        <is>
          <t>Air pollutants; Physical health; Memory health; Middle-aged and older adults; Causal modeling; China</t>
        </is>
      </c>
      <c r="V548" t="inlineStr">
        <is>
          <t>CENTRAL-NERVOUS-SYSTEM; INFLAMMATION; PM2.5; CHILDREN; DISEASE; AREA</t>
        </is>
      </c>
      <c r="W548" t="inlineStr">
        <is>
          <t>The world is aging, posing a challenge to public health. Air pollution is increasingly recognized as an important environmental risk factor, with effects on both physical and mental health. Considering the vulnerability of older adults, they tend to have more prevalent comorbidities that may lead to broader consequences. However, evidence to comprehensively assess the causal effects of long-term air pollution exposure on the physical and mental health of older adults remains limited and inconsistent, especially in developing countries.The longitudinal data from the Chinese Family Panel Study (a representative Chinese national cohort study) for 2012, 2014, 2016, and 2018 were included in this study. The Correlated Random Effects Control Function method (CRE-CF) in a counterfactual causal inference framework was employed to explore the causal relationship between long-term exposure to air pollution and physical and mental health and self-rated health status in middle-aged and older adults, considering the ordered categorical nature of health outcomes. The appropriate instrumental variable was selected and validated.This study included 5846 participants aged &gt;45 years in 2012. In the CRE-CF model for activities of daily living (ADLs, positively associated with physical health), subjective memory impairment (SMI, negatively associated with memory health) and self-rated health status in middle-age and older adults, the coefficient of PM2.5 is -0.069, 0.102, and 0.106 respectively, and all statistically significant at 5% level, which suggests that chronic exposure to air pollutants had significant negative effects on ADLs, SMI and self-rated health in middle-aged and older adults.The findings suggest that long-term exposure to air pollutants can impair the health of middle-aged and older adults across the board, including physical and mental health. In the context of an aging society, the findings of this study will provide tremendous implications for the authority to protect them from damage caused by long-term exposure to air pollutants.</t>
        </is>
      </c>
      <c r="X548" t="inlineStr">
        <is>
          <t>[Ju, Ke] Monash Univ, Sch Publ Hlth &amp; Prevent Med, Melbourne, Vic 3004, Australia; [Ju, Ke; Lu, Liyong; Chen, Ting; Liao, Weibin; Zhou, Qian; Wang, Wen] Sichuan Univ, HEOA Grp, West China Sch Publ Hlth, Chengdu 610041, Peoples R China; [Ju, Ke; Lu, Liyong; Chen, Ting; Liao, Weibin; Zhou, Qian; Wang, Wen] Sichuan Univ, West China Hosp 4, Chengdu 610041, Peoples R China; [Lu, Liyong; Chen, Ting; Liao, Weibin; Zhou, Qian; Wang, Wen] Sichuan Univ, Inst Hlth Cities, Chengdu 610041, Peoples R China; [Lu, Liyong; Chen, Ting; Liao, Weibin; Zhou, Qian; Wang, Wen] Sichuan Univ, West China Res Ctr Rural Hlth Dev, Chengdu 610041, Peoples R China; [Duan, Zhongxin] Sichuan Univ, West China Hosp, Dept Neurosurg, Chengdu 610041, Peoples R China; [Chen, Dapeng] Lehigh Univ, Dept Econ, Bethlehem, PA 18015 USA; [Xu, Zongyou] Hubei Minzu Univ, Med Sch, Enshi 445000, Peoples R China</t>
        </is>
      </c>
      <c r="Y548" t="inlineStr">
        <is>
          <t>Monash University; Sichuan University; Sichuan University; Sichuan University; Sichuan University; Sichuan University; Lehigh University; Hubei Minzu University</t>
        </is>
      </c>
      <c r="Z548" t="inlineStr">
        <is>
          <t>Ju, K; Wang, W (corresponding author), Sichuan Univ, HEOA Grp, West China Sch Publ Hlth, Chengdu 610041, Peoples R China.;Ju, K; Wang, W (corresponding author), Sichuan Univ, West China Hosp 4, Chengdu 610041, Peoples R China.;Ju, K (corresponding author), Monash Univ, Sch Publ Hlth &amp; Prevent Med, Air Qual Researth Unit, Level 2,553 St Kilda Rd, Melbourne, Vic 3004, Australia.</t>
        </is>
      </c>
      <c r="AA548" t="inlineStr">
        <is>
          <t>jako1993@163.com; wangwen25@126.com</t>
        </is>
      </c>
      <c r="AC548" t="inlineStr">
        <is>
          <t>Ju, Ke/0000-0001-8040-8978</t>
        </is>
      </c>
      <c r="AH548" t="n">
        <v>68</v>
      </c>
      <c r="AI548" t="n">
        <v>14</v>
      </c>
      <c r="AJ548" t="n">
        <v>14</v>
      </c>
      <c r="AK548" t="n">
        <v>11</v>
      </c>
      <c r="AL548" t="n">
        <v>47</v>
      </c>
      <c r="AM548" t="inlineStr">
        <is>
          <t>ELSEVIER</t>
        </is>
      </c>
      <c r="AN548" t="inlineStr">
        <is>
          <t>AMSTERDAM</t>
        </is>
      </c>
      <c r="AO548" t="inlineStr">
        <is>
          <t>RADARWEG 29, 1043 NX AMSTERDAM, NETHERLANDS</t>
        </is>
      </c>
      <c r="AP548" t="inlineStr">
        <is>
          <t>0048-9697</t>
        </is>
      </c>
      <c r="AQ548" t="inlineStr">
        <is>
          <t>1879-1026</t>
        </is>
      </c>
      <c r="AS548" t="inlineStr">
        <is>
          <t>SCI TOTAL ENVIRON</t>
        </is>
      </c>
      <c r="AT548" t="inlineStr">
        <is>
          <t>Sci. Total Environ.</t>
        </is>
      </c>
      <c r="AU548" t="inlineStr">
        <is>
          <t>JUN 25</t>
        </is>
      </c>
      <c r="AV548" t="n">
        <v>2022</v>
      </c>
      <c r="AW548" t="n">
        <v>827</v>
      </c>
      <c r="BE548" t="n">
        <v>154312</v>
      </c>
      <c r="BF548" t="inlineStr">
        <is>
          <t>10.1016/j.scitotenv.2022.154312</t>
        </is>
      </c>
      <c r="BG548">
        <f>HYPERLINK("http://dx.doi.org/10.1016/j.scitotenv.2022.154312","http://dx.doi.org/10.1016/j.scitotenv.2022.154312")</f>
        <v/>
      </c>
      <c r="BI548" t="inlineStr">
        <is>
          <t>MAR 2022</t>
        </is>
      </c>
      <c r="BJ548" t="n">
        <v>10</v>
      </c>
      <c r="BK548" t="inlineStr">
        <is>
          <t>Environmental Sciences</t>
        </is>
      </c>
      <c r="BL548" t="inlineStr">
        <is>
          <t>Science Citation Index Expanded (SCI-EXPANDED); Social Science Citation Index (SSCI)</t>
        </is>
      </c>
      <c r="BM548" t="inlineStr">
        <is>
          <t>Environmental Sciences &amp; Ecology</t>
        </is>
      </c>
      <c r="BN548" t="inlineStr">
        <is>
          <t>1C5VP</t>
        </is>
      </c>
      <c r="BO548" t="n">
        <v>35248644</v>
      </c>
      <c r="BS548" t="inlineStr">
        <is>
          <t>2023-10-26</t>
        </is>
      </c>
      <c r="BT548" t="inlineStr">
        <is>
          <t>WOS:000793186800001</t>
        </is>
      </c>
      <c r="BU548">
        <f>HYPERLINK("https%3A%2F%2Fwww.webofscience.com%2Fwos%2Fwoscc%2Ffull-record%2FWOS:000793186800001","View Full Record in Web of Science")</f>
        <v/>
      </c>
    </row>
    <row r="549">
      <c r="A549" t="inlineStr">
        <is>
          <t>J</t>
        </is>
      </c>
      <c r="B549" t="inlineStr">
        <is>
          <t>Shi, XY; Fang, X; Chen, ZF; Phillips, TK; Fukuda, H</t>
        </is>
      </c>
      <c r="F549" t="inlineStr">
        <is>
          <t>Shi, Xinyu; Fang, Xue; Chen, Zhoufan; Phillips, Tyson Keen; Fukuda, Hiroatsu</t>
        </is>
      </c>
      <c r="J549" t="inlineStr">
        <is>
          <t>SUSTAINABILITY</t>
        </is>
      </c>
      <c r="M549" t="inlineStr">
        <is>
          <t>English</t>
        </is>
      </c>
      <c r="N549" t="inlineStr">
        <is>
          <t>Article</t>
        </is>
      </c>
      <c r="T549" t="inlineStr">
        <is>
          <t>A Didactic Pedagogical Approach toward Sustainable Architectural Education through Robotic Tectonics</t>
        </is>
      </c>
      <c r="U549" t="inlineStr">
        <is>
          <t>sustainability; robotic tectonics; architectural education; automated construction; workshops</t>
        </is>
      </c>
      <c r="V549" t="inlineStr">
        <is>
          <t>FABRICATION; CONSTRUCTION; DESIGN; ENERGY</t>
        </is>
      </c>
      <c r="W549" t="inlineStr">
        <is>
          <t>Robotic tectonics have been integrated into the architectural profession through automated construction for more than a decade, advancing sustainability initiatives in the industry and increasing the quality of building construction. Over the years, avant-garde architects have explored the feasibility of this new design paradigm through the integration of newly-developed digital design software into automated construction. This robotic digital workflow continues to push designers to re-think the complete architecture process (from design conception to physical construction) and guides the building industry towards more precise, efficient, and sustainable development. However, in the current environment of architectural education, professional courses can be fragmented, thematic, and overly academic. Such content is not inherently compatible with the latest technological developments. The lack of understanding and application of digital technological can subsequently lead to the lack of sustainable development in architectural education. In this paper, we aim to introduce a new didactic pedagogical approach that is reliant on the principles of robotic tectonics and is defined through linear development in four distinct, developmental stages (based on information gleaned from four Robotic Tectonics workshops and various other rich teaching practices). This pedagogical framework provides interdisciplinary knowledge to architecture students and enables them to use advanced digital tools such as robots for automated construction, laying the groundwork for the discovery of new and complex building processes that will redefine architecture in the near future.</t>
        </is>
      </c>
      <c r="X549" t="inlineStr">
        <is>
          <t>[Shi, Xinyu; Fang, Xue] Qingdao Univ Technol, ISMART, Qingdao 266061, Peoples R China; [Shi, Xinyu; Fang, Xue; Fukuda, Hiroatsu] Univ Kitakyushu, Fac Environm Engn, Fukuoka 8028577, Japan; [Chen, Zhoufan] Perkins &amp; Will, Los Angeles, CA 90017 USA; [Phillips, Tyson Keen] Univ Calif Los Angeles, IDEAS Campus Architecture &amp; Urban Design, Robot Lab, Los Angeles, CA 90095 USA</t>
        </is>
      </c>
      <c r="Y549" t="inlineStr">
        <is>
          <t>Qingdao University of Technology; University of Kitakyushu; University of California System; University of California Los Angeles</t>
        </is>
      </c>
      <c r="Z549" t="inlineStr">
        <is>
          <t>Fang, X (corresponding author), Qingdao Univ Technol, ISMART, Qingdao 266061, Peoples R China.;Fang, X; Fukuda, H (corresponding author), Univ Kitakyushu, Fac Environm Engn, Fukuoka 8028577, Japan.</t>
        </is>
      </c>
      <c r="AA549" t="inlineStr">
        <is>
          <t>sxy@qut.edu.cn; fangxue@qut.edu.cn; zhoufan.chen@ucla.edu; tyson.phillips@aud.ucla.edu; fukuda@kitakyu-u.ac.jp</t>
        </is>
      </c>
      <c r="AB549" t="inlineStr">
        <is>
          <t>Fukuda, Hiroatsu/AAV-3528-2020; Fang, Xue/GSJ-2934-2022</t>
        </is>
      </c>
      <c r="AC549" t="inlineStr">
        <is>
          <t>Fang, Xue/0000-0001-8946-6621; Phillips, Tyson/0000-0003-1042-7262; FUKUDA, HIROATSU/0000-0003-4223-035X; Shi, Xinyu/0000-0003-2690-4035; Chen, Zhoufan/0000-0002-8505-3798</t>
        </is>
      </c>
      <c r="AD549" t="inlineStr">
        <is>
          <t>Key Technology Research and Development Program of Shandong [2019GSF110004]; Innovation Institute for Sustainable Maritime Architecture Research and Technology (iSMART) of Qingdao University of Technology</t>
        </is>
      </c>
      <c r="AE549" t="inlineStr">
        <is>
          <t>Key Technology Research and Development Program of Shandong; Innovation Institute for Sustainable Maritime Architecture Research and Technology (iSMART) of Qingdao University of Technology</t>
        </is>
      </c>
      <c r="AF549" t="inlineStr">
        <is>
          <t>This research was funded by the Key Technology Research and Development Program of Shandong (2019GSF110004, Research and Development of Simulation and Programming Technology for the Integration of Green Building Design and Robot Construction) and the Innovation Institute for Sustainable Maritime Architecture Research and Technology (iSMART) of Qingdao University of Technology.</t>
        </is>
      </c>
      <c r="AH549" t="n">
        <v>49</v>
      </c>
      <c r="AI549" t="n">
        <v>6</v>
      </c>
      <c r="AJ549" t="n">
        <v>6</v>
      </c>
      <c r="AK549" t="n">
        <v>4</v>
      </c>
      <c r="AL549" t="n">
        <v>21</v>
      </c>
      <c r="AM549" t="inlineStr">
        <is>
          <t>MDPI</t>
        </is>
      </c>
      <c r="AN549" t="inlineStr">
        <is>
          <t>BASEL</t>
        </is>
      </c>
      <c r="AO549" t="inlineStr">
        <is>
          <t>ST ALBAN-ANLAGE 66, CH-4052 BASEL, SWITZERLAND</t>
        </is>
      </c>
      <c r="AQ549" t="inlineStr">
        <is>
          <t>2071-1050</t>
        </is>
      </c>
      <c r="AS549" t="inlineStr">
        <is>
          <t>SUSTAINABILITY-BASEL</t>
        </is>
      </c>
      <c r="AT549" t="inlineStr">
        <is>
          <t>Sustainability</t>
        </is>
      </c>
      <c r="AU549" t="inlineStr">
        <is>
          <t>MAR 1</t>
        </is>
      </c>
      <c r="AV549" t="n">
        <v>2020</v>
      </c>
      <c r="AW549" t="n">
        <v>12</v>
      </c>
      <c r="AX549" t="n">
        <v>5</v>
      </c>
      <c r="BE549" t="n">
        <v>1757</v>
      </c>
      <c r="BF549" t="inlineStr">
        <is>
          <t>10.3390/su12051757</t>
        </is>
      </c>
      <c r="BG549">
        <f>HYPERLINK("http://dx.doi.org/10.3390/su12051757","http://dx.doi.org/10.3390/su12051757")</f>
        <v/>
      </c>
      <c r="BJ549" t="n">
        <v>14</v>
      </c>
      <c r="BK549" t="inlineStr">
        <is>
          <t>Green &amp; Sustainable Science &amp; Technology; Environmental Sciences; Environmental Studies</t>
        </is>
      </c>
      <c r="BL549" t="inlineStr">
        <is>
          <t>Science Citation Index Expanded (SCI-EXPANDED); Social Science Citation Index (SSCI)</t>
        </is>
      </c>
      <c r="BM549" t="inlineStr">
        <is>
          <t>Science &amp; Technology - Other Topics; Environmental Sciences &amp; Ecology</t>
        </is>
      </c>
      <c r="BN549" t="inlineStr">
        <is>
          <t>KY3KU</t>
        </is>
      </c>
      <c r="BP549" t="inlineStr">
        <is>
          <t>Green Published, gold</t>
        </is>
      </c>
      <c r="BS549" t="inlineStr">
        <is>
          <t>2023-10-26</t>
        </is>
      </c>
      <c r="BT549" t="inlineStr">
        <is>
          <t>WOS:000522470900058</t>
        </is>
      </c>
      <c r="BU549">
        <f>HYPERLINK("https%3A%2F%2Fwww.webofscience.com%2Fwos%2Fwoscc%2Ffull-record%2FWOS:000522470900058","View Full Record in Web of Science")</f>
        <v/>
      </c>
    </row>
    <row r="550">
      <c r="A550" t="inlineStr">
        <is>
          <t>J</t>
        </is>
      </c>
      <c r="B550" t="inlineStr">
        <is>
          <t>Fu, X; Norbäck, D; Yuan, QQ; Li, YL; Zhu, XH; Hashim, JH; Hashim, Z; Ali, F; Hu, QS; Deng, YQ; Sun, Y</t>
        </is>
      </c>
      <c r="F550" t="inlineStr">
        <is>
          <t>Fu, Xi; Norback, Dan; Yuan, Qianqian; Li, Yanling; Zhu, Xunhua; Hashim, Jamal Hisham; Hashim, Zailina; Ali, Faridah; Hu, Qiansheng; Deng, Yiqun; Sun, Yu</t>
        </is>
      </c>
      <c r="J550" t="inlineStr">
        <is>
          <t>SCIENCE OF THE TOTAL ENVIRONMENT</t>
        </is>
      </c>
      <c r="M550" t="inlineStr">
        <is>
          <t>English</t>
        </is>
      </c>
      <c r="N550" t="inlineStr">
        <is>
          <t>Article</t>
        </is>
      </c>
      <c r="T550" t="inlineStr">
        <is>
          <t>Association between indoor microbiome exposure and sick building syndrome (SBS) in junior high schools of Johor Bahru, Malaysia</t>
        </is>
      </c>
      <c r="U550" t="inlineStr">
        <is>
          <t>Indoor microbiome; Sick building syndrome; School; Malaysia; Bacteria; Fungi</t>
        </is>
      </c>
      <c r="V550" t="inlineStr">
        <is>
          <t>COLLEGE-STUDENTS; FUNGAL; DUST; SYMPTOMS; PUPILS; BACTERIA; ALLERGY; ASTHMA; GROWTH; COMPONENTS</t>
        </is>
      </c>
      <c r="W550" t="inlineStr">
        <is>
          <t>Sick building syndrome (SBS) is a collection of nonspecific syndromes linked with the built environment. The occurrence of SBS is associated with humidity, ventilation, moulds and microbial compounds exposure. However, no study has reported the association between indoor microbiome and SBS. In this study, 308 students were surveyed for SBS symptoms from 21 classrooms of 7 junior high schools from Johor Bahru, Malaysia, and vacuum dust from floor, desks and chairs was collected. High throughput amplicon sequencing (16S rRNA gene and ITS region) and quantitative PCR were conducted to characterize the absolute concentration of bacteria and fungi taxa. In total, 326 bacterial and 255 fungal genera were detected in dust with large compositional variation among classrooms. Also, half of these samples showed low compositional similarity to microbiome data deposited in the public database. The number of observed OTUs in Gammaproteobacteria was positively associated with SBS (p = 0.004). Eight microbial genera were associated with SBS (p &lt; 0.01). Bacterial genera, Rhodomicrobium, Scytonema and Microcoleus, were protectively (negatively) associated with ocular and throat symptoms and tiredness, and Izhakiella and an unclassified genus from Euzebyaceae were positively associated with the throat and ocular symptoms. Three fungal genera, Polychaeton, Gympopus and an unclassified genus from Microbotryaceae, were mainly positively associated with tiredness. The associations differed with our previous study in microbial compounds (endotoxin and ergosterol) and SBS in the same population, in which nasal and dermal symptoms were affected. A higher indoor relative humidity and visible dampness or mould in classrooms were associated with a higher concentration of potential risk bacteria and a lower concentration of potential protective bacteria (p &lt; 0.01). This is the first study to characterize the SBS-associated microorganisms in the indoor environment, revealing complex interactions between microbiome, SBS symptoms and environmental characteristics. (C) 2020 Elsevier B.V. All rights reserved.</t>
        </is>
      </c>
      <c r="X550" t="inlineStr">
        <is>
          <t>[Fu, Xi; Yuan, Qianqian; Li, Yanling; Zhu, Xunhua; Deng, Yiqun; Sun, Yu] South China Agr Univ, Coll Life Sci, Guangdong Prov Key Lab Prot Funct &amp; Regulat Agr O, Guangzhou 510642, Guangdong, Peoples R China; [Fu, Xi; Hu, Qiansheng] Sun Yat Sen Univ, Sch Publ Hlth, Dept Occupat &amp; Environm Hlth, Guangzhou, Peoples R China; [Norback, Dan] Uppsala Univ, Univ Hosp, Dept Med Sci, Occupat &amp; Environm Med, S-75237 Uppsala, Sweden; [Yuan, Qianqian; Li, Yanling; Zhu, Xunhua; Deng, Yiqun; Sun, Yu] South China Agr Univ, Key Lab Zoonosis, Minist Agr &amp; Rural Affairs, Guangzhou 510642, Guangdong, Peoples R China; [Yuan, Qianqian; Li, Yanling; Zhu, Xunhua; Deng, Yiqun; Sun, Yu] South China Agr Univ, Guangdong Lab Lingnan Modern Agr, Guangzhou 510642, Guangdong, Peoples R China; [Hashim, Jamal Hisham] Univ Selangor, Shah Alam, Selangor, Malaysia; [Hashim, Zailina] Univ Putra Malaysia, Fac Med &amp; Hlth Sci, Dept Environm &amp; Occupat Hlth, Serdang, Selangor, Malaysia; [Ali, Faridah] Johor State Hlth Dept, Primary Care Unit, Johor Baharu, Malaysia</t>
        </is>
      </c>
      <c r="Y550" t="inlineStr">
        <is>
          <t>South China Agricultural University; Sun Yat Sen University; Uppsala University; Uppsala University Hospital; South China Agricultural University; Ministry of Agriculture &amp; Rural Affairs; Guangdong Laboratory for Lingnan Modern Agriculture; South China Agricultural University; Universiti Putra Malaysia</t>
        </is>
      </c>
      <c r="Z550" t="inlineStr">
        <is>
          <t>Sun, Y (corresponding author), South China Agr Univ, Coll Life Sci, Guangdong Prov Key Lab Prot Funct &amp; Regulat Agr O, Guangzhou 510642, Guangdong, Peoples R China.</t>
        </is>
      </c>
      <c r="AA550" t="inlineStr">
        <is>
          <t>sunyu@scau.edu.cn</t>
        </is>
      </c>
      <c r="AB550" t="inlineStr">
        <is>
          <t>Hu, Qian/GWZ-7617-2022; Hashim, Jamal Hisham/IUQ-2229-2023; Deng, Yiqun/K-7709-2013; li, yan/GTI-4638-2022; li, chunyuan/IQW-1618-2023</t>
        </is>
      </c>
      <c r="AC550" t="inlineStr">
        <is>
          <t>Deng, Yiqun/0000-0002-6838-3779; Sun, Yu/0000-0003-4799-0745</t>
        </is>
      </c>
      <c r="AD550" t="inlineStr">
        <is>
          <t>Department of Education of Guangdong Province [2018KTSCX021]; Natural Science Foundation of Guangdong Province [2020A1515010845]</t>
        </is>
      </c>
      <c r="AE550" t="inlineStr">
        <is>
          <t>Department of Education of Guangdong Province(National Natural Science Foundation of Guangdong Province); Natural Science Foundation of Guangdong Province(National Natural Science Foundation of Guangdong Province)</t>
        </is>
      </c>
      <c r="AF550" t="inlineStr">
        <is>
          <t>We thank the Department of Education of Guangdong Province (2018KTSCX021) and the Natural Science Foundation of Guangdong Province (2020A1515010845) for financial support.</t>
        </is>
      </c>
      <c r="AH550" t="n">
        <v>64</v>
      </c>
      <c r="AI550" t="n">
        <v>17</v>
      </c>
      <c r="AJ550" t="n">
        <v>17</v>
      </c>
      <c r="AK550" t="n">
        <v>10</v>
      </c>
      <c r="AL550" t="n">
        <v>71</v>
      </c>
      <c r="AM550" t="inlineStr">
        <is>
          <t>ELSEVIER</t>
        </is>
      </c>
      <c r="AN550" t="inlineStr">
        <is>
          <t>AMSTERDAM</t>
        </is>
      </c>
      <c r="AO550" t="inlineStr">
        <is>
          <t>RADARWEG 29, 1043 NX AMSTERDAM, NETHERLANDS</t>
        </is>
      </c>
      <c r="AP550" t="inlineStr">
        <is>
          <t>0048-9697</t>
        </is>
      </c>
      <c r="AQ550" t="inlineStr">
        <is>
          <t>1879-1026</t>
        </is>
      </c>
      <c r="AS550" t="inlineStr">
        <is>
          <t>SCI TOTAL ENVIRON</t>
        </is>
      </c>
      <c r="AT550" t="inlineStr">
        <is>
          <t>Sci. Total Environ.</t>
        </is>
      </c>
      <c r="AU550" t="inlineStr">
        <is>
          <t>JAN 20</t>
        </is>
      </c>
      <c r="AV550" t="n">
        <v>2021</v>
      </c>
      <c r="AW550" t="n">
        <v>753</v>
      </c>
      <c r="BE550" t="n">
        <v>141904</v>
      </c>
      <c r="BF550" t="inlineStr">
        <is>
          <t>10.1016/j.scitotenv.2020.141904</t>
        </is>
      </c>
      <c r="BG550">
        <f>HYPERLINK("http://dx.doi.org/10.1016/j.scitotenv.2020.141904","http://dx.doi.org/10.1016/j.scitotenv.2020.141904")</f>
        <v/>
      </c>
      <c r="BJ550" t="n">
        <v>10</v>
      </c>
      <c r="BK550" t="inlineStr">
        <is>
          <t>Environmental Sciences</t>
        </is>
      </c>
      <c r="BL550" t="inlineStr">
        <is>
          <t>Science Citation Index Expanded (SCI-EXPANDED)</t>
        </is>
      </c>
      <c r="BM550" t="inlineStr">
        <is>
          <t>Environmental Sciences &amp; Ecology</t>
        </is>
      </c>
      <c r="BN550" t="inlineStr">
        <is>
          <t>OQ2JX</t>
        </is>
      </c>
      <c r="BO550" t="n">
        <v>32890872</v>
      </c>
      <c r="BS550" t="inlineStr">
        <is>
          <t>2023-10-26</t>
        </is>
      </c>
      <c r="BT550" t="inlineStr">
        <is>
          <t>WOS:000588616700049</t>
        </is>
      </c>
      <c r="BU550">
        <f>HYPERLINK("https%3A%2F%2Fwww.webofscience.com%2Fwos%2Fwoscc%2Ffull-record%2FWOS:000588616700049","View Full Record in Web of Science")</f>
        <v/>
      </c>
    </row>
    <row r="551">
      <c r="A551" t="inlineStr">
        <is>
          <t>J</t>
        </is>
      </c>
      <c r="B551" t="inlineStr">
        <is>
          <t>Abu Bakar, AAZ; Kadir, AA; Idris, NS; Nawi, SNM</t>
        </is>
      </c>
      <c r="F551" t="inlineStr">
        <is>
          <t>Abu Bakar, Atirah Az-Zahra; Kadir, Azidah Abdul; Idris, Nur Suhaila; Nawi, Siti Nurbaya Mohd</t>
        </is>
      </c>
      <c r="J551" t="inlineStr">
        <is>
          <t>INTERNATIONAL JOURNAL OF ENVIRONMENTAL RESEARCH AND PUBLIC HEALTH</t>
        </is>
      </c>
      <c r="M551" t="inlineStr">
        <is>
          <t>English</t>
        </is>
      </c>
      <c r="N551" t="inlineStr">
        <is>
          <t>Article</t>
        </is>
      </c>
      <c r="T551" t="inlineStr">
        <is>
          <t>Older Adults with Hypertension: Prevalence of Falls and Their Associated Factors</t>
        </is>
      </c>
      <c r="U551" t="inlineStr">
        <is>
          <t>falls; hypertension; older adults; older people</t>
        </is>
      </c>
      <c r="V551" t="inlineStr">
        <is>
          <t>ORTHOSTATIC HYPOTENSION; BLOOD-PRESSURE; ANTIHYPERTENSIVE MEDICATIONS; RISK-FACTORS; INJURIES; POLYPHARMACY; COMMUNITY; OUTCOMES; BALANCE; DRUGS</t>
        </is>
      </c>
      <c r="W551" t="inlineStr">
        <is>
          <t>Falls are prominent health issues among older adults. Among hypertensive older adults, falls may have a detrimental effect on their health and wellbeing. The purpose of this study is to determine the prevalence of falls among hypertensive older adults and to identify the associated factors that contribute to their falls. This was a cross-sectional study conducted among two hundred and sixty-nine hypertensive older adults who were selected via systematic random sampling in two primary health clinics in Kuala Terengganu, Malaysia. Data on their socio-demographic details, their history of falls, medication history and clinical characteristics were collected. Balance and gait were assessed using the Performance Oriented Mobility Assessment (POMA). It was found that 32.2% of participants reported falls within a year. Polypharmacy (adjusted OR 2.513, 95% CI 1.339, 4.718) and diuretics (adjusted OR 2.803, 95% CI 1.418, 5.544) were associated with an increased risk of falls. Meanwhile, a higher POMA score (adjusted OR 0.940, 95% CI 0.886, 0.996) and the number of antihypertensives (adjusted OR 0.473, 95% CI 0.319, 0.700) were associated with a low incidence of falling among hypertensive older adults. Falls are common among hypertensive older adults. Older adults who are taking diuretics and have a polypharmacy treatment plan have a higher incidence of falls. However, older adults taking a higher number of anti-hypertensive medications specifically were not associated with an increased prevalence of falls.</t>
        </is>
      </c>
      <c r="X551" t="inlineStr">
        <is>
          <t>[Abu Bakar, Atirah Az-Zahra; Kadir, Azidah Abdul; Idris, Nur Suhaila] Univ Sains Malaysia, Sch Med Sci, Dept Family Med, Kubang Kerian 16150, Malaysia; [Nawi, Siti Nurbaya Mohd] Univ Sains Malaysia, Sch Med Sci, Dept Internal Med, Kubang Kerian 16150, Malaysia</t>
        </is>
      </c>
      <c r="Y551" t="inlineStr">
        <is>
          <t>Universiti Sains Malaysia; Universiti Sains Malaysia</t>
        </is>
      </c>
      <c r="Z551" t="inlineStr">
        <is>
          <t>Kadir, AA (corresponding author), Univ Sains Malaysia, Sch Med Sci, Dept Family Med, Kubang Kerian 16150, Malaysia.</t>
        </is>
      </c>
      <c r="AA551" t="inlineStr">
        <is>
          <t>atirahazzahra@student.usm.my; azidahkb@usm.my; nursuhaila@usm.my; nurbayanawi@usm.my</t>
        </is>
      </c>
      <c r="AB551" t="inlineStr">
        <is>
          <t>Abdul Kadir, Azidah/E-5006-2012</t>
        </is>
      </c>
      <c r="AC551" t="inlineStr">
        <is>
          <t>Abdul Kadir, Azidah/0000-0003-1039-6304; IDRIS, NUR SUHAILA/0000-0002-5877-061X</t>
        </is>
      </c>
      <c r="AH551" t="n">
        <v>52</v>
      </c>
      <c r="AI551" t="n">
        <v>4</v>
      </c>
      <c r="AJ551" t="n">
        <v>4</v>
      </c>
      <c r="AK551" t="n">
        <v>2</v>
      </c>
      <c r="AL551" t="n">
        <v>12</v>
      </c>
      <c r="AM551" t="inlineStr">
        <is>
          <t>MDPI</t>
        </is>
      </c>
      <c r="AN551" t="inlineStr">
        <is>
          <t>BASEL</t>
        </is>
      </c>
      <c r="AO551" t="inlineStr">
        <is>
          <t>ST ALBAN-ANLAGE 66, CH-4052 BASEL, SWITZERLAND</t>
        </is>
      </c>
      <c r="AQ551" t="inlineStr">
        <is>
          <t>1660-4601</t>
        </is>
      </c>
      <c r="AS551" t="inlineStr">
        <is>
          <t>INT J ENV RES PUB HE</t>
        </is>
      </c>
      <c r="AT551" t="inlineStr">
        <is>
          <t>Int. J. Environ. Res. Public Health</t>
        </is>
      </c>
      <c r="AU551" t="inlineStr">
        <is>
          <t>AUG</t>
        </is>
      </c>
      <c r="AV551" t="n">
        <v>2021</v>
      </c>
      <c r="AW551" t="n">
        <v>18</v>
      </c>
      <c r="AX551" t="n">
        <v>16</v>
      </c>
      <c r="BE551" t="n">
        <v>8257</v>
      </c>
      <c r="BF551" t="inlineStr">
        <is>
          <t>10.3390/ijerph18168257</t>
        </is>
      </c>
      <c r="BG551">
        <f>HYPERLINK("http://dx.doi.org/10.3390/ijerph18168257","http://dx.doi.org/10.3390/ijerph18168257")</f>
        <v/>
      </c>
      <c r="BJ551" t="n">
        <v>11</v>
      </c>
      <c r="BK551" t="inlineStr">
        <is>
          <t>Environmental Sciences; Public, Environmental &amp; Occupational Health</t>
        </is>
      </c>
      <c r="BL551" t="inlineStr">
        <is>
          <t>Science Citation Index Expanded (SCI-EXPANDED); Social Science Citation Index (SSCI)</t>
        </is>
      </c>
      <c r="BM551" t="inlineStr">
        <is>
          <t>Environmental Sciences &amp; Ecology; Public, Environmental &amp; Occupational Health</t>
        </is>
      </c>
      <c r="BN551" t="inlineStr">
        <is>
          <t>UI3BK</t>
        </is>
      </c>
      <c r="BO551" t="n">
        <v>34444005</v>
      </c>
      <c r="BP551" t="inlineStr">
        <is>
          <t>gold, Green Published</t>
        </is>
      </c>
      <c r="BS551" t="inlineStr">
        <is>
          <t>2023-10-26</t>
        </is>
      </c>
      <c r="BT551" t="inlineStr">
        <is>
          <t>WOS:000690487000001</t>
        </is>
      </c>
      <c r="BU551">
        <f>HYPERLINK("https%3A%2F%2Fwww.webofscience.com%2Fwos%2Fwoscc%2Ffull-record%2FWOS:000690487000001","View Full Record in Web of Science")</f>
        <v/>
      </c>
    </row>
    <row r="552">
      <c r="A552" t="inlineStr">
        <is>
          <t>J</t>
        </is>
      </c>
      <c r="B552" t="inlineStr">
        <is>
          <t>Ruggiero, S; Iannantuono, M; Fotopoulou, A; Papadaki, D; Assimakopoulos, MN; De Masi, RF; Vanoli, GP; Ferrante, A</t>
        </is>
      </c>
      <c r="F552" t="inlineStr">
        <is>
          <t>Ruggiero, Silvia; Iannantuono, Marco; Fotopoulou, Anastasia; Papadaki, Dimitra; Assimakopoulos, Margarita Niki; De Masi, Rosa Francesca; Vanoli, Giuseppe Peter; Ferrante, Annarita</t>
        </is>
      </c>
      <c r="J552" t="inlineStr">
        <is>
          <t>SUSTAINABILITY</t>
        </is>
      </c>
      <c r="M552" t="inlineStr">
        <is>
          <t>English</t>
        </is>
      </c>
      <c r="N552" t="inlineStr">
        <is>
          <t>Article</t>
        </is>
      </c>
      <c r="T552" t="inlineStr">
        <is>
          <t>Multi-Objective Optimization for Cooling and Interior Natural Lighting in Buildings for Sustainable Renovation</t>
        </is>
      </c>
      <c r="U552" t="inlineStr">
        <is>
          <t>light shelves; energy saving; daylighting; dynamic simulations; EnergyPlus; parametric modelling; BIM</t>
        </is>
      </c>
      <c r="V552" t="inlineStr">
        <is>
          <t>PERFORMANCE; SHELVES; LIGHTSHELF; WINDOWS</t>
        </is>
      </c>
      <c r="W552" t="inlineStr">
        <is>
          <t>In order to achieve the 'nearly zero-energy' target and a comfortable indoor environment, an important aspect is related to the correct design of the transparent elements of the building envelope. For improving indoor daylight penetration, architectural solutions such as light shelves are nowadays commercially available. These are defined as horizontal or inclined surfaces, fixed or mobile, placed on the inner and/or the outer side of windows, with surface features such to reflect the sunlight to the interior. Given the fact that these elements can influence different domains (i.e., energy need, daylighting, thermal comfort, etc.), the aim of this paper is to apply a multi-objective optimization method within the design of this kind of technology. The case study is a student house in the University of Athens Campus, subject to a deep energy renovation towards nZEB, under the frame of H2020 European project Pro-GET-onE (G.A No 723747). Starting from the numerical model of the building, developed in EnergyPlus, the multi-objective optimization based on a genetic algorithm is implemented. The variables used are various light shelves configurations by differing materials and geometry, as well as different window types and interior context scenarios. Finally, illuminance studies of the pre- and post-retrofit building are also provided through Revit illuminance rendering.</t>
        </is>
      </c>
      <c r="X552" t="inlineStr">
        <is>
          <t>[Ruggiero, Silvia; De Masi, Rosa Francesca] Univ Sannio, Dept Engn DING, I-82100 Benevento, Italy; [Iannantuono, Marco; Fotopoulou, Anastasia; Ferrante, Annarita] Univ Bologna, Dept Architecture DA, I-40100 Bologna, Italy; [Papadaki, Dimitra; Assimakopoulos, Margarita Niki] Univ Athens, Phys Dept, Grp Bldg Environm Studies, Athens 15784, Greece; [Vanoli, Giuseppe Peter] Univ Molise, Dept Med &amp; Hlth Sci Vincenzo Tiberio, I-86100 Campobasso, Italy</t>
        </is>
      </c>
      <c r="Y552" t="inlineStr">
        <is>
          <t>University of Sannio; University of Bologna; National &amp; Kapodistrian University of Athens; University of Molise</t>
        </is>
      </c>
      <c r="Z552" t="inlineStr">
        <is>
          <t>Fotopoulou, A (corresponding author), Univ Bologna, Dept Architecture DA, I-40100 Bologna, Italy.</t>
        </is>
      </c>
      <c r="AA552" t="inlineStr">
        <is>
          <t>sruggiero@unisannio.it; marcolannantuono2@unibo.it; anastasialotopoulo2@unibo.it; dpapadaki@phys.uoa.gr; masim@phys.uoa.gr; rfdemasi@unisannio.it; giuseppe.vanoli@unimol.it; annaritalerrante@unibo.it</t>
        </is>
      </c>
      <c r="AB552" t="inlineStr">
        <is>
          <t>De Masi, Rosa Francesca RF/T-5276-2017; Ferrante, Annarita/B-5769-2012</t>
        </is>
      </c>
      <c r="AC552" t="inlineStr">
        <is>
          <t>De Masi, Rosa Francesca RF/0000-0002-3661-3330; Ferrante, Annarita/0000-0001-9527-5370; Ruggiero, Silvia/0000-0002-0378-1637; Iannantuono, Marco/0000-0003-2027-3893</t>
        </is>
      </c>
      <c r="AD552" t="inlineStr">
        <is>
          <t>European Union [723747]; H2020 Societal Challenges Programme [723747] Funding Source: H2020 Societal Challenges Programme</t>
        </is>
      </c>
      <c r="AE552" t="inlineStr">
        <is>
          <t>European Union(European Union (EU)); H2020 Societal Challenges Programme(Horizon 2020)</t>
        </is>
      </c>
      <c r="AF552" t="inlineStr">
        <is>
          <t>The research project received funding from the European Union's Horizon 2020 Innovation action under grant agreement No 723747.</t>
        </is>
      </c>
      <c r="AH552" t="n">
        <v>33</v>
      </c>
      <c r="AI552" t="n">
        <v>2</v>
      </c>
      <c r="AJ552" t="n">
        <v>2</v>
      </c>
      <c r="AK552" t="n">
        <v>7</v>
      </c>
      <c r="AL552" t="n">
        <v>20</v>
      </c>
      <c r="AM552" t="inlineStr">
        <is>
          <t>MDPI</t>
        </is>
      </c>
      <c r="AN552" t="inlineStr">
        <is>
          <t>BASEL</t>
        </is>
      </c>
      <c r="AO552" t="inlineStr">
        <is>
          <t>ST ALBAN-ANLAGE 66, CH-4052 BASEL, SWITZERLAND</t>
        </is>
      </c>
      <c r="AQ552" t="inlineStr">
        <is>
          <t>2071-1050</t>
        </is>
      </c>
      <c r="AS552" t="inlineStr">
        <is>
          <t>SUSTAINABILITY-BASEL</t>
        </is>
      </c>
      <c r="AT552" t="inlineStr">
        <is>
          <t>Sustainability</t>
        </is>
      </c>
      <c r="AU552" t="inlineStr">
        <is>
          <t>JUL</t>
        </is>
      </c>
      <c r="AV552" t="n">
        <v>2022</v>
      </c>
      <c r="AW552" t="n">
        <v>14</v>
      </c>
      <c r="AX552" t="n">
        <v>13</v>
      </c>
      <c r="BE552" t="n">
        <v>8001</v>
      </c>
      <c r="BF552" t="inlineStr">
        <is>
          <t>10.3390/su14138001</t>
        </is>
      </c>
      <c r="BG552">
        <f>HYPERLINK("http://dx.doi.org/10.3390/su14138001","http://dx.doi.org/10.3390/su14138001")</f>
        <v/>
      </c>
      <c r="BJ552" t="n">
        <v>22</v>
      </c>
      <c r="BK552" t="inlineStr">
        <is>
          <t>Green &amp; Sustainable Science &amp; Technology; Environmental Sciences; Environmental Studies</t>
        </is>
      </c>
      <c r="BL552" t="inlineStr">
        <is>
          <t>Science Citation Index Expanded (SCI-EXPANDED); Social Science Citation Index (SSCI)</t>
        </is>
      </c>
      <c r="BM552" t="inlineStr">
        <is>
          <t>Science &amp; Technology - Other Topics; Environmental Sciences &amp; Ecology</t>
        </is>
      </c>
      <c r="BN552" t="inlineStr">
        <is>
          <t>2W2UV</t>
        </is>
      </c>
      <c r="BP552" t="inlineStr">
        <is>
          <t>Green Published, gold</t>
        </is>
      </c>
      <c r="BS552" t="inlineStr">
        <is>
          <t>2023-10-26</t>
        </is>
      </c>
      <c r="BT552" t="inlineStr">
        <is>
          <t>WOS:000824386200001</t>
        </is>
      </c>
      <c r="BU552">
        <f>HYPERLINK("https%3A%2F%2Fwww.webofscience.com%2Fwos%2Fwoscc%2Ffull-record%2FWOS:000824386200001","View Full Record in Web of Science")</f>
        <v/>
      </c>
    </row>
    <row r="553">
      <c r="A553" t="inlineStr">
        <is>
          <t>J</t>
        </is>
      </c>
      <c r="B553" t="inlineStr">
        <is>
          <t>Khan, M; Thaheem, MJ; Khan, M; Maqsoom, A; Zeeshan, M</t>
        </is>
      </c>
      <c r="F553" t="inlineStr">
        <is>
          <t>Khan, Mawara; Thaheem, Muhammad Jamaluddin; Khan, Musfira; Maqsoom, Ahsen; Zeeshan, Muhammad</t>
        </is>
      </c>
      <c r="J553" t="inlineStr">
        <is>
          <t>ENVIRONMENTAL ENGINEERING AND MANAGEMENT JOURNAL</t>
        </is>
      </c>
      <c r="M553" t="inlineStr">
        <is>
          <t>English</t>
        </is>
      </c>
      <c r="N553" t="inlineStr">
        <is>
          <t>Article</t>
        </is>
      </c>
      <c r="T553" t="inlineStr">
        <is>
          <t>THERMAL COMFORT AND VENTILATION CONDITIONS IN HEALTHCARE FACILITIES - PART 2: IMPROVING INDOOR ENVIRONMENT QUALITY (IEQ) THROUGH VENTILATION RETROFITTING</t>
        </is>
      </c>
      <c r="U553" t="inlineStr">
        <is>
          <t>AnyLogic7; hospital building ventilation; HVAC system; indoor air quality; retrofitting</t>
        </is>
      </c>
      <c r="V553" t="inlineStr">
        <is>
          <t>DEMAND-CONTROLLED VENTILATION; ENERGY RECOVERY VENTILATOR; AIR-QUALITY; CO2 MEASUREMENTS; CARBON-DIOXIDE; TEMPERATURE; PERFORMANCE; BUILDINGS; SCHOOLS; HOSPITALS</t>
        </is>
      </c>
      <c r="W553" t="inlineStr">
        <is>
          <t>The basic purpose of a hospital is to provide a cure to the ailing patients. Since the patients are already suffering from ailments, the hospital must be a place for comfort and mental peace. Indoor Environmental Quality plays a vital role in maintaining that comfort. The hospital building must be designed on the standards to provide the required thermal comfort. If the building is already built and operational, retrofitting techniques are used to maintain the standard values of indoor environmental quality. In this study, three indoor environmental quality parameters (temperature, relative humidity, and CO2) are identified after quantitative analysis. Each of the parameters correlates with ventilation rates of the selected location. Based on that relation, the required range of ventilation rates was calculated by simulation of equations, identified from the literature. AnyLogic7 was used for the modeling and simulation of the equations. For the required ventilation rates, retrofitting techniques providing optimum cost and efficiency were identified for each location. It was concluded that the existing indoor environmental quality of hospital buildings can be improved with suitable retrofitting techniques, which can increase the efficiency of the HVAC system, resulting in overall reduced energy consumption.</t>
        </is>
      </c>
      <c r="X553" t="inlineStr">
        <is>
          <t>[Khan, Mawara] Natl Univ Sci &amp; Technol, Sch Civil &amp; Environm Engn, Dept Construct Engn &amp; Management, Islamabad, Pakistan; [Thaheem, Muhammad Jamaluddin] Deakin Univ, Fac Sci Engn &amp; Built Environm, Sch Architecture &amp; Built Environm, Geelong, Vic, Australia; [Khan, Musfira] Natl Univ Sci &amp; Technol, Sch Elect Engn &amp; Comp Sci, Dept Comp Sci, Islamabad, Pakistan; [Maqsoom, Ahsen] COMSATS Univ Islamabad, Dept Civil Engn, Wah Campus, Wah, Pakistan; [Zeeshan, Muhammad] Natl Univ Sci &amp; Technol, Sch Civil &amp; Environm Engn, Inst Environm Sci &amp; Engn, Islamabad, Pakistan</t>
        </is>
      </c>
      <c r="Y553" t="inlineStr">
        <is>
          <t>National University of Sciences &amp; Technology - Pakistan; Deakin University; National University of Sciences &amp; Technology - Pakistan; COMSATS University Islamabad (CUI); National University of Sciences &amp; Technology - Pakistan</t>
        </is>
      </c>
      <c r="Z553" t="inlineStr">
        <is>
          <t>Thaheem, MJ (corresponding author), Deakin Univ, Fac Sci Engn &amp; Built Environm, Sch Architecture &amp; Built Environm, Geelong, Vic, Australia.</t>
        </is>
      </c>
      <c r="AA553" t="inlineStr">
        <is>
          <t>jamal.thaheem@deakin.edu.au</t>
        </is>
      </c>
      <c r="AB553" t="inlineStr">
        <is>
          <t>Khan, Muhammad Zeeshan Ali Ali/HTP-3861-2023; Maqsoom, Dr. Ahsen/L-9835-2019; Thaheem, Muhammad Jamaluddin/N-3013-2019</t>
        </is>
      </c>
      <c r="AC553" t="inlineStr">
        <is>
          <t>Khan, Muhammad Zeeshan Ali Ali/0000-0001-6942-1100; Maqsoom, Dr. Ahsen/0000-0002-3745-516X; Thaheem, Muhammad Jamaluddin/0000-0001-6092-7842</t>
        </is>
      </c>
      <c r="AD553" t="inlineStr">
        <is>
          <t>National University of Sciences and Technology (NUST), Pakistan</t>
        </is>
      </c>
      <c r="AE553" t="inlineStr">
        <is>
          <t>National University of Sciences and Technology (NUST), Pakistan</t>
        </is>
      </c>
      <c r="AF553" t="inlineStr">
        <is>
          <t>This work was support by the National University of Sciences and Technology (NUST), Pakistan through their graduate research fund.</t>
        </is>
      </c>
      <c r="AH553" t="n">
        <v>85</v>
      </c>
      <c r="AI553" t="n">
        <v>3</v>
      </c>
      <c r="AJ553" t="n">
        <v>3</v>
      </c>
      <c r="AK553" t="n">
        <v>2</v>
      </c>
      <c r="AL553" t="n">
        <v>14</v>
      </c>
      <c r="AM553" t="inlineStr">
        <is>
          <t>GH ASACHI TECHNICAL UNIV IASI</t>
        </is>
      </c>
      <c r="AN553" t="inlineStr">
        <is>
          <t>IASI</t>
        </is>
      </c>
      <c r="AO553" t="inlineStr">
        <is>
          <t>71 MANGERON BLVD, IASI, 700050, ROMANIA</t>
        </is>
      </c>
      <c r="AP553" t="inlineStr">
        <is>
          <t>1582-9596</t>
        </is>
      </c>
      <c r="AQ553" t="inlineStr">
        <is>
          <t>1843-3707</t>
        </is>
      </c>
      <c r="AS553" t="inlineStr">
        <is>
          <t>ENVIRON ENG MANAG J</t>
        </is>
      </c>
      <c r="AT553" t="inlineStr">
        <is>
          <t>Environ. Eng. Manag. J.</t>
        </is>
      </c>
      <c r="AU553" t="inlineStr">
        <is>
          <t>NOV</t>
        </is>
      </c>
      <c r="AV553" t="n">
        <v>2020</v>
      </c>
      <c r="AW553" t="n">
        <v>19</v>
      </c>
      <c r="AX553" t="n">
        <v>11</v>
      </c>
      <c r="BC553" t="n">
        <v>2059</v>
      </c>
      <c r="BD553" t="n">
        <v>2075</v>
      </c>
      <c r="BJ553" t="n">
        <v>17</v>
      </c>
      <c r="BK553" t="inlineStr">
        <is>
          <t>Environmental Sciences</t>
        </is>
      </c>
      <c r="BL553" t="inlineStr">
        <is>
          <t>Science Citation Index Expanded (SCI-EXPANDED)</t>
        </is>
      </c>
      <c r="BM553" t="inlineStr">
        <is>
          <t>Environmental Sciences &amp; Ecology</t>
        </is>
      </c>
      <c r="BN553" t="inlineStr">
        <is>
          <t>PQ8YQ</t>
        </is>
      </c>
      <c r="BS553" t="inlineStr">
        <is>
          <t>2023-10-26</t>
        </is>
      </c>
      <c r="BT553" t="inlineStr">
        <is>
          <t>WOS:000606829300013</t>
        </is>
      </c>
      <c r="BU553">
        <f>HYPERLINK("https%3A%2F%2Fwww.webofscience.com%2Fwos%2Fwoscc%2Ffull-record%2FWOS:000606829300013","View Full Record in Web of Science")</f>
        <v/>
      </c>
    </row>
    <row r="554">
      <c r="A554" t="inlineStr">
        <is>
          <t>J</t>
        </is>
      </c>
      <c r="B554" t="inlineStr">
        <is>
          <t>Barros, N; Tulve, NS; Heggem, DT; Bailey, K</t>
        </is>
      </c>
      <c r="F554" t="inlineStr">
        <is>
          <t>Barros, Nirmalla; Tulve, Nicolle S.; Heggem, Daniel T.; Bailey, Ken</t>
        </is>
      </c>
      <c r="J554" t="inlineStr">
        <is>
          <t>REVIEWS ON ENVIRONMENTAL HEALTH</t>
        </is>
      </c>
      <c r="M554" t="inlineStr">
        <is>
          <t>English</t>
        </is>
      </c>
      <c r="N554" t="inlineStr">
        <is>
          <t>Review</t>
        </is>
      </c>
      <c r="T554" t="inlineStr">
        <is>
          <t>Review of built and natural environment stressors impacting American-Indian/Alaska-Native children</t>
        </is>
      </c>
      <c r="U554" t="inlineStr">
        <is>
          <t>Alaska Native; American Indian; built environment; children; natural environment</t>
        </is>
      </c>
      <c r="V554" t="inlineStr">
        <is>
          <t>RESPIRATORY-TRACT INFECTION; WOOD-BURNING STOVES; POLYCHLORINATED-BIPHENYLS; FISH CONSUMPTION; MOHAWK WOMEN; PCB CONCENTRATIONS; INDIAN-CHILDREN; BIRTH OUTCOMES; OPEN DUMPSITES; FARM INJURIES</t>
        </is>
      </c>
      <c r="W554" t="inlineStr">
        <is>
          <t>Children's exposures to chemical and non-chemical stressors from their everyday environment affects their overall health and well-being. American-Indian/Alaska-Native (AI/AN) children may have a disproportionate burden of stressors from their built and natural environments when compared to children from other races/ethnicities. Our objectives were to identify chemical and non-chemical stressors from AI/AN children's built and natural environments and evaluate their linkages with health and wellbeing outcomes from the peer reviewed literature. Library databases (e.g. PubMed) were searched to identify studies focused on these stressors. References were excluded if they: did not discuss AI/AN children or they were not the primary cohort; discussed tribes outside the United States (U.S.); were reviews or intervention studies; or did not discuss stressors from the built/natural environments. Out of 2539 references, 35 remained. Sample populations were predominantly (70%) in New York (NY) and Alaska (AK); 14 studies reported on the same cohort. Studies with matching stressors and outcomes were few, ruling out a quantitative review. Respiratory and developmental outcomes were the main outcomes evaluated. Primary nonchemical stressors were residential proximity to polluted landscapes, lack of indoor plumbing, and indoor use of wood for heating or cooking. The main chemical stressors were volatile organic compounds (VOCs), particulate matter (PM 2.5), polychlorinated biphenyls (PCBs), p, p'-DDE, hexachlorobenzene (HCB), lead, and mercury. Our qualitative review was suggestive of a potential increase in respiratory illness from indoor wood use or no plumbing, which can be used as a guide to promote healthy environments for AI/AN children. We identified limited studies (&lt; 40), demonstrating this population as understudied. Future studies need to consider: sample populations from other tribes in the U.S., stressors outside the household, other elements of the natural environment, and an evaluation of stressors from AI/AN children's total environment (built, natural, and social).</t>
        </is>
      </c>
      <c r="X554" t="inlineStr">
        <is>
          <t>[Barros, Nirmalla; Tulve, Nicolle S.] US EPA, Natl Exposure Res Lab, Off Res &amp; Dev, Res Triangle Pk, NC 27711 USA; [Heggem, Daniel T.] US EPA, Natl Exposure Res Lab, Off Res &amp; Dev, Las Vegas, NV 89193 USA; [Bailey, Ken] US EPA, Off Res &amp; Dev, Off Sci Policy, Cincinnati, OH 45268 USA</t>
        </is>
      </c>
      <c r="Y554" t="inlineStr">
        <is>
          <t>United States Environmental Protection Agency; United States Environmental Protection Agency; United States Environmental Protection Agency</t>
        </is>
      </c>
      <c r="Z554" t="inlineStr">
        <is>
          <t>Barros, N (corresponding author), US EPA, Natl Exposure Res Lab, Off Res &amp; Dev, Res Triangle Pk, NC 27711 USA.</t>
        </is>
      </c>
      <c r="AA554" t="inlineStr">
        <is>
          <t>barros.nilla@epa.gov</t>
        </is>
      </c>
      <c r="AB554" t="inlineStr">
        <is>
          <t>Santana, Elaine/GNP-2710-2022; Barros, Nilla/M-3576-2016</t>
        </is>
      </c>
      <c r="AC554" t="inlineStr">
        <is>
          <t>Barros, Nilla/0000-0001-8044-7934</t>
        </is>
      </c>
      <c r="AD554" t="inlineStr">
        <is>
          <t>U.S. Environmental Protection Agency (EPA) through its Office of Research and Development</t>
        </is>
      </c>
      <c r="AE554" t="inlineStr">
        <is>
          <t>U.S. Environmental Protection Agency (EPA) through its Office of Research and Development(United States Environmental Protection Agency)</t>
        </is>
      </c>
      <c r="AF554" t="inlineStr">
        <is>
          <t>The U.S. Environmental Protection Agency (EPA) through its Office of Research and Development wholly funded the research described here. This research was supported by an appointment to the Internship/Research Participation Program at the U.S. Environmental Protection Agency, Office of Research and Development, National Exposure Research Laboratory, administered by the Oak Ridge Institute for Science and Education through an interagency agreement between the U.S. Department of Energy and EPA. Mention of trade names or commercial products does not constitute endorsement or recommendation for use.</t>
        </is>
      </c>
      <c r="AH554" t="n">
        <v>58</v>
      </c>
      <c r="AI554" t="n">
        <v>7</v>
      </c>
      <c r="AJ554" t="n">
        <v>7</v>
      </c>
      <c r="AK554" t="n">
        <v>1</v>
      </c>
      <c r="AL554" t="n">
        <v>22</v>
      </c>
      <c r="AM554" t="inlineStr">
        <is>
          <t>WALTER DE GRUYTER GMBH</t>
        </is>
      </c>
      <c r="AN554" t="inlineStr">
        <is>
          <t>BERLIN</t>
        </is>
      </c>
      <c r="AO554" t="inlineStr">
        <is>
          <t>GENTHINER STRASSE 13, D-10785 BERLIN, GERMANY</t>
        </is>
      </c>
      <c r="AP554" t="inlineStr">
        <is>
          <t>0048-7554</t>
        </is>
      </c>
      <c r="AQ554" t="inlineStr">
        <is>
          <t>2191-0308</t>
        </is>
      </c>
      <c r="AS554" t="inlineStr">
        <is>
          <t>REV ENVIRON HEALTH</t>
        </is>
      </c>
      <c r="AT554" t="inlineStr">
        <is>
          <t>Rev. Environ. Health</t>
        </is>
      </c>
      <c r="AU554" t="inlineStr">
        <is>
          <t>DEC</t>
        </is>
      </c>
      <c r="AV554" t="n">
        <v>2018</v>
      </c>
      <c r="AW554" t="n">
        <v>33</v>
      </c>
      <c r="AX554" t="n">
        <v>4</v>
      </c>
      <c r="BC554" t="n">
        <v>349</v>
      </c>
      <c r="BD554" t="n">
        <v>381</v>
      </c>
      <c r="BF554" t="inlineStr">
        <is>
          <t>10.1515/reveh-2018-0034</t>
        </is>
      </c>
      <c r="BG554">
        <f>HYPERLINK("http://dx.doi.org/10.1515/reveh-2018-0034","http://dx.doi.org/10.1515/reveh-2018-0034")</f>
        <v/>
      </c>
      <c r="BJ554" t="n">
        <v>33</v>
      </c>
      <c r="BK554" t="inlineStr">
        <is>
          <t>Environmental Sciences; Public, Environmental &amp; Occupational Health</t>
        </is>
      </c>
      <c r="BL554" t="inlineStr">
        <is>
          <t>Science Citation Index Expanded (SCI-EXPANDED); Social Science Citation Index (SSCI)</t>
        </is>
      </c>
      <c r="BM554" t="inlineStr">
        <is>
          <t>Environmental Sciences &amp; Ecology; Public, Environmental &amp; Occupational Health</t>
        </is>
      </c>
      <c r="BN554" t="inlineStr">
        <is>
          <t>HD4GG</t>
        </is>
      </c>
      <c r="BO554" t="n">
        <v>30205649</v>
      </c>
      <c r="BP554" t="inlineStr">
        <is>
          <t>Green Accepted</t>
        </is>
      </c>
      <c r="BS554" t="inlineStr">
        <is>
          <t>2023-10-26</t>
        </is>
      </c>
      <c r="BT554" t="inlineStr">
        <is>
          <t>WOS:000452485000004</t>
        </is>
      </c>
      <c r="BU554">
        <f>HYPERLINK("https%3A%2F%2Fwww.webofscience.com%2Fwos%2Fwoscc%2Ffull-record%2FWOS:000452485000004","View Full Record in Web of Science")</f>
        <v/>
      </c>
    </row>
    <row r="555">
      <c r="A555" t="inlineStr">
        <is>
          <t>J</t>
        </is>
      </c>
      <c r="B555" t="inlineStr">
        <is>
          <t>Jin, Y; Zhang, N</t>
        </is>
      </c>
      <c r="F555" t="inlineStr">
        <is>
          <t>Jin, Yue; Zhang, Ning</t>
        </is>
      </c>
      <c r="J555" t="inlineStr">
        <is>
          <t>SUSTAINABILITY</t>
        </is>
      </c>
      <c r="M555" t="inlineStr">
        <is>
          <t>English</t>
        </is>
      </c>
      <c r="N555" t="inlineStr">
        <is>
          <t>Article</t>
        </is>
      </c>
      <c r="T555" t="inlineStr">
        <is>
          <t>Comprehensive Assessment of Thermal Comfort and Indoor Environment of Traditional Historic Stilt House, a Case of Dong Minority Dwelling, China</t>
        </is>
      </c>
      <c r="U555" t="inlineStr">
        <is>
          <t>comprehensive assessment; historic stilt building; minority traditional dwellings; energy saving potentials; environmental suitability</t>
        </is>
      </c>
      <c r="W555" t="inlineStr">
        <is>
          <t>The stilt house is one of the most representative of Chinese architecture among national minority traditional dwellings, most of which are located in mountainous regions whose climate is characterized by hot summers and cold winters. Moreover, it is widely distributed in Southeast Asian countries, such as Thailand, Laos, Cambodia, etc., as well as tropics like Hawaii, Guam. These kinds of dwellings have unique architectural aesthetics as well as high climate adaptability. However, because of their remote locations and rapid disappearance in urbanization, few studies have focused on their real indoor environment and thermal comfort. More studies were engaged in their architectural aesthetics and space patterns. In this study, based on the measurement and evaluation of residential natural lighting, ventilation, air quality, and thermal comfort in traditional stilt Dong village houses, the air temperature, humidity, CO2 and PM2.5 concentrations, wind speed, direction, and other variables are monitored and analyzed. Results show that the inhabitants have a higher thermal comfort adaptation than urban residents under natural ventilation. Meanwhile, the humidity of Dong stilt dwelling can reach a satisfactory level within 24 h except for the morning period. The satisfaction of the acoustic environment needs to be improved via reasonable structural maintenance.</t>
        </is>
      </c>
      <c r="X555" t="inlineStr">
        <is>
          <t>[Jin, Yue; Zhang, Ning] Guilin Univ Technol, Coll Civil Engn &amp; Architecture, Guangxi Key Lab New Energy &amp; Bldg Energy Saving, Guilin 541004, Peoples R China</t>
        </is>
      </c>
      <c r="Y555" t="inlineStr">
        <is>
          <t>Guilin University of Technology</t>
        </is>
      </c>
      <c r="Z555" t="inlineStr">
        <is>
          <t>Zhang, N (corresponding author), Guilin Univ Technol, Coll Civil Engn &amp; Architecture, Guangxi Key Lab New Energy &amp; Bldg Energy Saving, Guilin 541004, Peoples R China.</t>
        </is>
      </c>
      <c r="AA555" t="inlineStr">
        <is>
          <t>2011016@glut.edu.cn; 6613027@glut.edu.cn</t>
        </is>
      </c>
      <c r="AD555" t="inlineStr">
        <is>
          <t>Guangxi Key Laboratory of New Energy and Building Energy Saving: Research on Low Carbon Transformation Model of Existing Houses in Historical Villages Based on Multi-Attribute Evaluation-A Case Study of Northern Guangxi [19-J-21-28]; Guangxi Key Laboratory of New Energy and Building Energy Saving [15-J-21-11]</t>
        </is>
      </c>
      <c r="AE555" t="inlineStr">
        <is>
          <t>Guangxi Key Laboratory of New Energy and Building Energy Saving: Research on Low Carbon Transformation Model of Existing Houses in Historical Villages Based on Multi-Attribute Evaluation-A Case Study of Northern Guangxi; Guangxi Key Laboratory of New Energy and Building Energy Saving</t>
        </is>
      </c>
      <c r="AF555" t="inlineStr">
        <is>
          <t>This research was funded by Guangxi Key Laboratory of New Energy and Building Energy Saving: Research on Low Carbon Transformation Model of Existing Houses in Historical Villages Based on Multi-Attribute Evaluation-A Case Study of Northern Guangxi (grant number: 19-J-21-28), and by Guangxi Key Laboratory of New Energy and Building Energy Saving (grant number: 15-J-21-11).</t>
        </is>
      </c>
      <c r="AH555" t="n">
        <v>47</v>
      </c>
      <c r="AI555" t="n">
        <v>5</v>
      </c>
      <c r="AJ555" t="n">
        <v>5</v>
      </c>
      <c r="AK555" t="n">
        <v>9</v>
      </c>
      <c r="AL555" t="n">
        <v>58</v>
      </c>
      <c r="AM555" t="inlineStr">
        <is>
          <t>MDPI</t>
        </is>
      </c>
      <c r="AN555" t="inlineStr">
        <is>
          <t>BASEL</t>
        </is>
      </c>
      <c r="AO555" t="inlineStr">
        <is>
          <t>ST ALBAN-ANLAGE 66, CH-4052 BASEL, SWITZERLAND</t>
        </is>
      </c>
      <c r="AQ555" t="inlineStr">
        <is>
          <t>2071-1050</t>
        </is>
      </c>
      <c r="AS555" t="inlineStr">
        <is>
          <t>SUSTAINABILITY-BASEL</t>
        </is>
      </c>
      <c r="AT555" t="inlineStr">
        <is>
          <t>Sustainability</t>
        </is>
      </c>
      <c r="AU555" t="inlineStr">
        <is>
          <t>SEP</t>
        </is>
      </c>
      <c r="AV555" t="n">
        <v>2021</v>
      </c>
      <c r="AW555" t="n">
        <v>13</v>
      </c>
      <c r="AX555" t="n">
        <v>17</v>
      </c>
      <c r="BE555" t="n">
        <v>9966</v>
      </c>
      <c r="BF555" t="inlineStr">
        <is>
          <t>10.3390/su13179966</t>
        </is>
      </c>
      <c r="BG555">
        <f>HYPERLINK("http://dx.doi.org/10.3390/su13179966","http://dx.doi.org/10.3390/su13179966")</f>
        <v/>
      </c>
      <c r="BJ555" t="n">
        <v>17</v>
      </c>
      <c r="BK555" t="inlineStr">
        <is>
          <t>Green &amp; Sustainable Science &amp; Technology; Environmental Sciences; Environmental Studies</t>
        </is>
      </c>
      <c r="BL555" t="inlineStr">
        <is>
          <t>Science Citation Index Expanded (SCI-EXPANDED); Social Science Citation Index (SSCI)</t>
        </is>
      </c>
      <c r="BM555" t="inlineStr">
        <is>
          <t>Science &amp; Technology - Other Topics; Environmental Sciences &amp; Ecology</t>
        </is>
      </c>
      <c r="BN555" t="inlineStr">
        <is>
          <t>UO1PU</t>
        </is>
      </c>
      <c r="BP555" t="inlineStr">
        <is>
          <t>gold, Green Published</t>
        </is>
      </c>
      <c r="BS555" t="inlineStr">
        <is>
          <t>2023-10-26</t>
        </is>
      </c>
      <c r="BT555" t="inlineStr">
        <is>
          <t>WOS:000694474800001</t>
        </is>
      </c>
      <c r="BU555">
        <f>HYPERLINK("https%3A%2F%2Fwww.webofscience.com%2Fwos%2Fwoscc%2Ffull-record%2FWOS:000694474800001","View Full Record in Web of Science")</f>
        <v/>
      </c>
    </row>
    <row r="556">
      <c r="A556" t="inlineStr">
        <is>
          <t>J</t>
        </is>
      </c>
      <c r="B556" t="inlineStr">
        <is>
          <t>Dzhambov, AM; Lercher, P; Markevych, I; Browning, MHEM; Rüdisser, J</t>
        </is>
      </c>
      <c r="F556" t="inlineStr">
        <is>
          <t>Dzhambov, Angel M.; Lercher, Peter; Markevych, Iana; Browning, Matthew H. E. M.; Ruedisser, Johannes</t>
        </is>
      </c>
      <c r="J556" t="inlineStr">
        <is>
          <t>ENVIRONMENTAL RESEARCH</t>
        </is>
      </c>
      <c r="M556" t="inlineStr">
        <is>
          <t>English</t>
        </is>
      </c>
      <c r="N556" t="inlineStr">
        <is>
          <t>Article</t>
        </is>
      </c>
      <c r="T556" t="inlineStr">
        <is>
          <t>Natural and built environments and blood pressure of Alpine schoolchildren</t>
        </is>
      </c>
      <c r="U556" t="inlineStr">
        <is>
          <t>Air pollution; CVD; Green space; Greenness; Grey space; Traffic noise</t>
        </is>
      </c>
      <c r="V556" t="inlineStr">
        <is>
          <t>DIFFERENCE VEGETATION INDEX; TRAFFIC NOISE EXPOSURE; AIR-POLLUTION; BIRTH-WEIGHT; FIT INDEXES; HEALTH; GREENSPACE; CHILDHOOD; HYPERTENSION; ASSOCIATION</t>
        </is>
      </c>
      <c r="W556" t="inlineStr">
        <is>
          <t>Background: Early life environments may influence children's blood pressure (BP), but evidence on the combined effects of natural and built environment exposures is scarce. The present study investigates the associations of natural and built environment indicators, traffic noise, and air pollution with BP in children living in Alpine valleys. Methods: In 2004/2005, 1251 school children (8-12 years old) were sampled for a cross-sectional survey in several Austrian and Italian mountain valleys. Children's mothers completed a questionnaire. The outcomes of interest were systolic and diastolic BP measured with a calibrated oscillometric device. Indicators of land cover assigned to the residential and school coordinates within 100 and 1000 m included normalized difference vegetation index (NDVI), tree canopy cover, and a broader naturalness indicator titled distance to nature (D2N). The presence of a home garden was also measured via self-report. Imperviousness density served as a proxy for the built environment. Residential air pollution (NO2) and noise (L-den) from traffic were calculated using bespoke modeling. NO2, L-den, physical activity, and body mass index (BMI) were treated as mediating pathways. Results: Higher NDVI and tree cover levels in residential and school surroundings and home gardens were consistently associated with lower BP. The built environment was associated with higher BP. Counterintuitive inverse associations between NO2 and Lden and BP were also found. Structural equation modeling showed that higher levels of greenspace and presence of a home garden were weakly associated with more outdoor play spaces, and in turn with lower BMI, and ultimately with lower BP. Conclusions: Exposure to natural environments may help maintain normal BP in children, while built environment may increase children's BP. Outdoor play and less adiposity in greener areas may mediate some of these associations. Evidence on air pollution and noise remains controversial and difficult to explain.</t>
        </is>
      </c>
      <c r="X556" t="inlineStr">
        <is>
          <t>[Dzhambov, Angel M.] Med Univ Plovdiv, Fac Publ Hlth, Dept Hyg, 15A Vassil Aprilov Blvd, Plovdiv 4000, Bulgaria; [Dzhambov, Angel M.; Lercher, Peter] Graz Univ Technol, Inst Highway Engn &amp; Transport Planning, Graz, Austria; [Markevych, Iana] Jagiellonian Univ, Inst Psychol, Krakow, Poland; [Browning, Matthew H. E. M.] Clemson Univ, Dept Pk Recreat &amp; Tourism Management, Clemson, SC USA; [Ruedisser, Johannes] Univ Innsbruck, Dept Ecol, Innsbruck, Austria</t>
        </is>
      </c>
      <c r="Y556" t="inlineStr">
        <is>
          <t>Medical University Plovdiv; Graz University of Technology; Jagiellonian University; Clemson University; University of Innsbruck</t>
        </is>
      </c>
      <c r="Z556" t="inlineStr">
        <is>
          <t>Dzhambov, AM (corresponding author), Med Univ Plovdiv, Fac Publ Hlth, Dept Hyg, 15A Vassil Aprilov Blvd, Plovdiv 4000, Bulgaria.</t>
        </is>
      </c>
      <c r="AA556" t="inlineStr">
        <is>
          <t>angelleloti@gmail.com</t>
        </is>
      </c>
      <c r="AB556" t="inlineStr">
        <is>
          <t>Dzhambov, Angel/I-4030-2019; Rüdisser, Johannes/A-5097-2010; Rüdisser, Johannes/ABA-3178-2020</t>
        </is>
      </c>
      <c r="AC556" t="inlineStr">
        <is>
          <t>Dzhambov, Angel/0000-0003-2540-5111; Rüdisser, Johannes/0000-0001-6498-7068; Rüdisser, Johannes/0000-0001-6498-7068; Lercher, Peter/0000-0003-2643-9022; Markevych, Iana/0000-0002-5214-0748</t>
        </is>
      </c>
      <c r="AD556" t="inlineStr">
        <is>
          <t>Austrian Ministry of Science and Transportation; NeuroSmog: Determining the impact of air pollution on the developing brain [POIR.04.04.00-1763/18-00]; EU from the European Regional Development Fund under the Smart Growth Operational Programme; BBT company</t>
        </is>
      </c>
      <c r="AE556" t="inlineStr">
        <is>
          <t>Austrian Ministry of Science and Transportation; NeuroSmog: Determining the impact of air pollution on the developing brain; EU from the European Regional Development Fund under the Smart Growth Operational Programme; BBT company</t>
        </is>
      </c>
      <c r="AF556" t="inlineStr">
        <is>
          <t>We want to thank first the inhabitants of the Lower Inn and Wipp valleys. Our thanks also go to the Austrian Ministry of Science and Transportation for funding the framework of the Environmental Health Impact Assessment (EHIA) , the government of the Tyrol region for providing GIS data and informational support from the BEG (Brenner Eisenbahn Gesellschaft) . The BBT survey got support from the BBT company within a legally required EHIA through EU-support. The noise mapping was done by INTEC, Ghent, and the air pollution assessment by an Italian-Austrian consortium. Finally, we thank the large EHIA-teams in both studies who did the fieldwork. Iana Markevych is supported from the NeuroSmog: Determining the impact of air pollution on the developing brain (Nr. POIR.04.04.00-1763/18-00) , which is implemented as part of the TEAM-NET programme of the Foundation for Polish Science, co-financed from EU resources, obtained from the European Regional Development Fund under the Smart Growth Operational Programme.Johannes Rudisser is a member of the 'Research Area Mountain Regions' at the University of Innsbruck.</t>
        </is>
      </c>
      <c r="AH556" t="n">
        <v>114</v>
      </c>
      <c r="AI556" t="n">
        <v>12</v>
      </c>
      <c r="AJ556" t="n">
        <v>13</v>
      </c>
      <c r="AK556" t="n">
        <v>6</v>
      </c>
      <c r="AL556" t="n">
        <v>37</v>
      </c>
      <c r="AM556" t="inlineStr">
        <is>
          <t>ACADEMIC PRESS INC ELSEVIER SCIENCE</t>
        </is>
      </c>
      <c r="AN556" t="inlineStr">
        <is>
          <t>SAN DIEGO</t>
        </is>
      </c>
      <c r="AO556" t="inlineStr">
        <is>
          <t>525 B ST, STE 1900, SAN DIEGO, CA 92101-4495 USA</t>
        </is>
      </c>
      <c r="AP556" t="inlineStr">
        <is>
          <t>0013-9351</t>
        </is>
      </c>
      <c r="AQ556" t="inlineStr">
        <is>
          <t>1096-0953</t>
        </is>
      </c>
      <c r="AS556" t="inlineStr">
        <is>
          <t>ENVIRON RES</t>
        </is>
      </c>
      <c r="AT556" t="inlineStr">
        <is>
          <t>Environ. Res.</t>
        </is>
      </c>
      <c r="AU556" t="inlineStr">
        <is>
          <t>MAR</t>
        </is>
      </c>
      <c r="AV556" t="n">
        <v>2022</v>
      </c>
      <c r="AW556" t="n">
        <v>204</v>
      </c>
      <c r="AY556" t="inlineStr">
        <is>
          <t>A</t>
        </is>
      </c>
      <c r="BE556" t="n">
        <v>111925</v>
      </c>
      <c r="BF556" t="inlineStr">
        <is>
          <t>10.1016/j.envres.2021.111925</t>
        </is>
      </c>
      <c r="BG556">
        <f>HYPERLINK("http://dx.doi.org/10.1016/j.envres.2021.111925","http://dx.doi.org/10.1016/j.envres.2021.111925")</f>
        <v/>
      </c>
      <c r="BI556" t="inlineStr">
        <is>
          <t>SEP 2021</t>
        </is>
      </c>
      <c r="BJ556" t="n">
        <v>12</v>
      </c>
      <c r="BK556" t="inlineStr">
        <is>
          <t>Environmental Sciences; Public, Environmental &amp; Occupational Health</t>
        </is>
      </c>
      <c r="BL556" t="inlineStr">
        <is>
          <t>Science Citation Index Expanded (SCI-EXPANDED); Social Science Citation Index (SSCI)</t>
        </is>
      </c>
      <c r="BM556" t="inlineStr">
        <is>
          <t>Environmental Sciences &amp; Ecology; Public, Environmental &amp; Occupational Health</t>
        </is>
      </c>
      <c r="BN556" t="inlineStr">
        <is>
          <t>WD2UY</t>
        </is>
      </c>
      <c r="BO556" t="n">
        <v>34437849</v>
      </c>
      <c r="BS556" t="inlineStr">
        <is>
          <t>2023-10-26</t>
        </is>
      </c>
      <c r="BT556" t="inlineStr">
        <is>
          <t>WOS:000704803600006</t>
        </is>
      </c>
      <c r="BU556">
        <f>HYPERLINK("https%3A%2F%2Fwww.webofscience.com%2Fwos%2Fwoscc%2Ffull-record%2FWOS:000704803600006","View Full Record in Web of Science")</f>
        <v/>
      </c>
    </row>
    <row r="557">
      <c r="A557" t="inlineStr">
        <is>
          <t>J</t>
        </is>
      </c>
      <c r="B557" t="inlineStr">
        <is>
          <t>Schüle, SA; Nanninga, S; Dreger, S; Bolte, G</t>
        </is>
      </c>
      <c r="F557" t="inlineStr">
        <is>
          <t>Schuele, Steffen Andreas; Nanninga, Sarah; Dreger, Stefanie; Bolte, Gabriele</t>
        </is>
      </c>
      <c r="J557" t="inlineStr">
        <is>
          <t>INTERNATIONAL JOURNAL OF ENVIRONMENTAL RESEARCH AND PUBLIC HEALTH</t>
        </is>
      </c>
      <c r="M557" t="inlineStr">
        <is>
          <t>English</t>
        </is>
      </c>
      <c r="N557" t="inlineStr">
        <is>
          <t>Article</t>
        </is>
      </c>
      <c r="T557" t="inlineStr">
        <is>
          <t>Relations between Objective and Perceived Built Environments and the Modifying Role of Individual Socioeconomic Position. A Cross-Sectional Study on Traffic Noise and Urban Green Space in a Large German City</t>
        </is>
      </c>
      <c r="U557" t="inlineStr">
        <is>
          <t>environmental inequalities; environmental health inequalities; vulnerability; built environment; noise; green space</t>
        </is>
      </c>
      <c r="V557" t="inlineStr">
        <is>
          <t>PHYSICAL-ACTIVITY; NEIGHBORHOOD ENVIRONMENT; HEALTH DISPARITIES; ALLOSTATIC LOAD; SMOKE EXPOSURE; AIR-POLLUTION; TERM EXPOSURE; ANNOYANCE; ADULTS; ASSOCIATION</t>
        </is>
      </c>
      <c r="W557" t="inlineStr">
        <is>
          <t>Perceived annoyance due to traffic noise and lack of urban green space is mostly determined using data from self-administered questionnaires. However, there is still no clear evidence to what extent such perceived measures are related to objectively assessed environmental data and whether socioeconomic dimensions modify such relationships. In a cross-sectional study in Dortmund, Germany, georeferenced home addresses from parents with preschool aged children were used to analyse relations between exposures to objectively measured green space and traffic noise and subjective annoyance due to noise and lack of green space with the additional consideration of socioeconomic characteristics as effect modifiers. Higher perceived annoyance correlated with higher objectively measured traffic noise and lower objectively measured green, respectively. Stratified logistic regression models indicated a modifying role of socioeconomic characteristics. The strengths of associations between objectively measured environmental exposures and perceived annoyance differed by socioeconomic strata. Especially for noise, odds ratios were higher in low socioeconomic strata than in high socioeconomic strata. Therefore, using objective measures of the built environment as a proxy for individual perception should be made with caution as negative relations between objectively assessed built environments and health could be underestimated when considering individual socioeconomic position only as a confounder.</t>
        </is>
      </c>
      <c r="X557" t="inlineStr">
        <is>
          <t>[Schuele, Steffen Andreas; Nanninga, Sarah; Dreger, Stefanie; Bolte, Gabriele] Univ Bremen, Inst Publ Hlth &amp; Nursing Res, Dept Social Epidemiol, D-28359 Bremen, Germany; [Schuele, Steffen Andreas; Nanninga, Sarah; Dreger, Stefanie; Bolte, Gabriele] Univ Bremen, Hlth Sci Bremen, D-28359 Bremen, Germany</t>
        </is>
      </c>
      <c r="Y557" t="inlineStr">
        <is>
          <t>University of Bremen; University of Bremen</t>
        </is>
      </c>
      <c r="Z557" t="inlineStr">
        <is>
          <t>Schüle, SA (corresponding author), Univ Bremen, Inst Publ Hlth &amp; Nursing Res, Dept Social Epidemiol, D-28359 Bremen, Germany.;Schüle, SA (corresponding author), Univ Bremen, Hlth Sci Bremen, D-28359 Bremen, Germany.</t>
        </is>
      </c>
      <c r="AA557" t="inlineStr">
        <is>
          <t>steffen.schuele@uni-bremen.de; snanninga@uni-bremen.de; stefanie.dreger@uni-bremen.de; gabriele.bolte@uni-bremen.de</t>
        </is>
      </c>
      <c r="AC557" t="inlineStr">
        <is>
          <t>Dreger, Stefanie/0000-0002-5453-8960; Bolte, Gabriele/0000-0002-0269-5059</t>
        </is>
      </c>
      <c r="AH557" t="n">
        <v>58</v>
      </c>
      <c r="AI557" t="n">
        <v>11</v>
      </c>
      <c r="AJ557" t="n">
        <v>11</v>
      </c>
      <c r="AK557" t="n">
        <v>2</v>
      </c>
      <c r="AL557" t="n">
        <v>15</v>
      </c>
      <c r="AM557" t="inlineStr">
        <is>
          <t>MDPI</t>
        </is>
      </c>
      <c r="AN557" t="inlineStr">
        <is>
          <t>BASEL</t>
        </is>
      </c>
      <c r="AO557" t="inlineStr">
        <is>
          <t>ST ALBAN-ANLAGE 66, CH-4052 BASEL, SWITZERLAND</t>
        </is>
      </c>
      <c r="AP557" t="inlineStr">
        <is>
          <t>1660-4601</t>
        </is>
      </c>
      <c r="AS557" t="inlineStr">
        <is>
          <t>INT J ENV RES PUB HE</t>
        </is>
      </c>
      <c r="AT557" t="inlineStr">
        <is>
          <t>Int. J. Environ. Res. Public Health</t>
        </is>
      </c>
      <c r="AU557" t="inlineStr">
        <is>
          <t>AUG</t>
        </is>
      </c>
      <c r="AV557" t="n">
        <v>2018</v>
      </c>
      <c r="AW557" t="n">
        <v>15</v>
      </c>
      <c r="AX557" t="n">
        <v>8</v>
      </c>
      <c r="BE557" t="n">
        <v>1562</v>
      </c>
      <c r="BF557" t="inlineStr">
        <is>
          <t>10.3390/ijerph15081562</t>
        </is>
      </c>
      <c r="BG557">
        <f>HYPERLINK("http://dx.doi.org/10.3390/ijerph15081562","http://dx.doi.org/10.3390/ijerph15081562")</f>
        <v/>
      </c>
      <c r="BJ557" t="n">
        <v>13</v>
      </c>
      <c r="BK557" t="inlineStr">
        <is>
          <t>Environmental Sciences; Public, Environmental &amp; Occupational Health</t>
        </is>
      </c>
      <c r="BL557" t="inlineStr">
        <is>
          <t>Science Citation Index Expanded (SCI-EXPANDED); Social Science Citation Index (SSCI)</t>
        </is>
      </c>
      <c r="BM557" t="inlineStr">
        <is>
          <t>Environmental Sciences &amp; Ecology; Public, Environmental &amp; Occupational Health</t>
        </is>
      </c>
      <c r="BN557" t="inlineStr">
        <is>
          <t>GS0GQ</t>
        </is>
      </c>
      <c r="BO557" t="n">
        <v>30042308</v>
      </c>
      <c r="BP557" t="inlineStr">
        <is>
          <t>Green Published, gold, Green Submitted</t>
        </is>
      </c>
      <c r="BS557" t="inlineStr">
        <is>
          <t>2023-10-26</t>
        </is>
      </c>
      <c r="BT557" t="inlineStr">
        <is>
          <t>WOS:000443168200002</t>
        </is>
      </c>
      <c r="BU557">
        <f>HYPERLINK("https%3A%2F%2Fwww.webofscience.com%2Fwos%2Fwoscc%2Ffull-record%2FWOS:000443168200002","View Full Record in Web of Science")</f>
        <v/>
      </c>
    </row>
    <row r="558">
      <c r="A558" t="inlineStr">
        <is>
          <t>J</t>
        </is>
      </c>
      <c r="B558" t="inlineStr">
        <is>
          <t>Whiting, P; Cullen, V; Adkins, H; Chatteur, F</t>
        </is>
      </c>
      <c r="F558" t="inlineStr">
        <is>
          <t>Whiting, Philip; Cullen, Vanessa; Adkins, Huia; Chatteur, Fiona</t>
        </is>
      </c>
      <c r="J558" t="inlineStr">
        <is>
          <t>SUSTAINABILITY</t>
        </is>
      </c>
      <c r="M558" t="inlineStr">
        <is>
          <t>English</t>
        </is>
      </c>
      <c r="N558" t="inlineStr">
        <is>
          <t>Review</t>
        </is>
      </c>
      <c r="T558" t="inlineStr">
        <is>
          <t>A New Retail Interior Design Education Paradigm for a Circular Economy</t>
        </is>
      </c>
      <c r="U558" t="inlineStr">
        <is>
          <t>restorative; ecosystem; interior design; waste; innovation; collaboration; value chain; circular economy</t>
        </is>
      </c>
      <c r="W558" t="inlineStr">
        <is>
          <t>Since the advent of a circular economy, typical strategies for change have focused on circularising existing business models or developing new closed-loop ones, where design is understood as a service provider, adapting its processes accordingly. This understanding and application of design is problematical, constraining and misdirecting any potential for effective innovation in the future. Interior design methodology needs to be completely rethought to create a sustainable circular design ecosystem. The learning and teaching of the interior design process has its foundation in an unsustainable, traditional economy that operates in a closed linear sequence of design, specification and fit-out. An undergraduate retail interior design project highlighted the need to evaluate designing for a circular economy as an ecosystem, based on the 10 R's leading to four building blocks for the learning and teaching of circular retail interior design. Through analysis of the nature and existing use of design within a circular economy, it is possible to conceptualise the deconstruction of the existing linear process of interior design pedagogy and rebuild that process as a sustainable circular retail interior design methodology. This paper identifies four key sustainable design principles as a foundation for a new education paradigm for a circular interior design ecosystem model.</t>
        </is>
      </c>
      <c r="X558" t="inlineStr">
        <is>
          <t>[Whiting, Philip] Torrens Univ Australia, Design &amp; Creat Technol, Brisbane Campus, Fortitude Valley, Qld 4006, Australia; [Cullen, Vanessa] Forward Thinking Design, Quakers Hill, NSW 2763, Australia; [Adkins, Huia] GHD, Perth, WA 6000, Australia; [Chatteur, Fiona] Torrens Univ Australia, Design &amp; Creat Technol, Ultimo Campus, Sydney, NSW 2007, Australia</t>
        </is>
      </c>
      <c r="Y558" t="inlineStr">
        <is>
          <t>Torrens University Australia; Torrens University Australia</t>
        </is>
      </c>
      <c r="Z558" t="inlineStr">
        <is>
          <t>Whiting, P (corresponding author), Torrens Univ Australia, Design &amp; Creat Technol, Brisbane Campus, Fortitude Valley, Qld 4006, Australia.</t>
        </is>
      </c>
      <c r="AA558" t="inlineStr">
        <is>
          <t>pwhiting@torrens.edu.au</t>
        </is>
      </c>
      <c r="AB558" t="inlineStr">
        <is>
          <t>Chatteur, Fiona Maree/IZQ-2401-2023</t>
        </is>
      </c>
      <c r="AC558" t="inlineStr">
        <is>
          <t>Whiting, Dr Philip/0000-0003-3102-4403</t>
        </is>
      </c>
      <c r="AH558" t="n">
        <v>45</v>
      </c>
      <c r="AI558" t="n">
        <v>0</v>
      </c>
      <c r="AJ558" t="n">
        <v>0</v>
      </c>
      <c r="AK558" t="n">
        <v>13</v>
      </c>
      <c r="AL558" t="n">
        <v>17</v>
      </c>
      <c r="AM558" t="inlineStr">
        <is>
          <t>MDPI</t>
        </is>
      </c>
      <c r="AN558" t="inlineStr">
        <is>
          <t>BASEL</t>
        </is>
      </c>
      <c r="AO558" t="inlineStr">
        <is>
          <t>ST ALBAN-ANLAGE 66, CH-4052 BASEL, SWITZERLAND</t>
        </is>
      </c>
      <c r="AQ558" t="inlineStr">
        <is>
          <t>2071-1050</t>
        </is>
      </c>
      <c r="AS558" t="inlineStr">
        <is>
          <t>SUSTAINABILITY-BASEL</t>
        </is>
      </c>
      <c r="AT558" t="inlineStr">
        <is>
          <t>Sustainability</t>
        </is>
      </c>
      <c r="AU558" t="inlineStr">
        <is>
          <t>JAN</t>
        </is>
      </c>
      <c r="AV558" t="n">
        <v>2023</v>
      </c>
      <c r="AW558" t="n">
        <v>15</v>
      </c>
      <c r="AX558" t="n">
        <v>2</v>
      </c>
      <c r="BE558" t="n">
        <v>1487</v>
      </c>
      <c r="BF558" t="inlineStr">
        <is>
          <t>10.3390/su15021487</t>
        </is>
      </c>
      <c r="BG558">
        <f>HYPERLINK("http://dx.doi.org/10.3390/su15021487","http://dx.doi.org/10.3390/su15021487")</f>
        <v/>
      </c>
      <c r="BJ558" t="n">
        <v>20</v>
      </c>
      <c r="BK558" t="inlineStr">
        <is>
          <t>Green &amp; Sustainable Science &amp; Technology; Environmental Sciences; Environmental Studies</t>
        </is>
      </c>
      <c r="BL558" t="inlineStr">
        <is>
          <t>Science Citation Index Expanded (SCI-EXPANDED); Social Science Citation Index (SSCI)</t>
        </is>
      </c>
      <c r="BM558" t="inlineStr">
        <is>
          <t>Science &amp; Technology - Other Topics; Environmental Sciences &amp; Ecology</t>
        </is>
      </c>
      <c r="BN558" t="inlineStr">
        <is>
          <t>8A5YB</t>
        </is>
      </c>
      <c r="BP558" t="inlineStr">
        <is>
          <t>Green Published, gold</t>
        </is>
      </c>
      <c r="BS558" t="inlineStr">
        <is>
          <t>2023-10-26</t>
        </is>
      </c>
      <c r="BT558" t="inlineStr">
        <is>
          <t>WOS:000916313500001</t>
        </is>
      </c>
      <c r="BU558">
        <f>HYPERLINK("https%3A%2F%2Fwww.webofscience.com%2Fwos%2Fwoscc%2Ffull-record%2FWOS:000916313500001","View Full Record in Web of Science")</f>
        <v/>
      </c>
    </row>
    <row r="559">
      <c r="A559" t="inlineStr">
        <is>
          <t>J</t>
        </is>
      </c>
      <c r="B559" t="inlineStr">
        <is>
          <t>Woo, YE; Cho, GH</t>
        </is>
      </c>
      <c r="F559" t="inlineStr">
        <is>
          <t>Woo, Young-Eun; Cho, Gi-Hyoug</t>
        </is>
      </c>
      <c r="J559" t="inlineStr">
        <is>
          <t>SUSTAINABILITY</t>
        </is>
      </c>
      <c r="M559" t="inlineStr">
        <is>
          <t>English</t>
        </is>
      </c>
      <c r="N559" t="inlineStr">
        <is>
          <t>Article</t>
        </is>
      </c>
      <c r="T559" t="inlineStr">
        <is>
          <t>Impact of the Surrounding Built Environment on Energy Consumption in Mixed-Use Building</t>
        </is>
      </c>
      <c r="U559" t="inlineStr">
        <is>
          <t>mixed-use building; surrounding built environment; energy consumption</t>
        </is>
      </c>
      <c r="V559" t="inlineStr">
        <is>
          <t>URBAN FORM; ELECTRICITY CONSUMPTION; STOCK; PERFORMANCE; EFFICIENCY; CLIMATE; DEMAND; CITY</t>
        </is>
      </c>
      <c r="W559" t="inlineStr">
        <is>
          <t>While a mixture of residential and non-residential uses in urban development has advantages in reducing transportation energy consumption and improving efficiency of land utilization, the patterns of energy consumption in mixed-use buildings are largely unknown. To understand associations between the built environment and energy consumption and to find effective strategies for energy saving, this study aims to examine how the gas and electricity energy consumption of mixed-use properties is influenced by the characteristics of the immediate surroundings of the building as well as by the building's attributes. The sample for this study is 22,109 mixed-use buildings in Seoul, Korea and the main source of outcome is electricity and gas energy consumption data retrieved from the open system of building data in 2015 and 2016. The regression results showed that a higher proportion of non-residential uses in mixed-use buildings was positively associated with higher electricity consumption overall but that it reduced gas energy use during the winter. In particular, increased restaurant and service use significantly influenced electricity consumption in the buildings. With regard to surrounding built environment, higher impervious surfaces and dense development near the buildings increased the electricity consumption of the buildings but it reduced gas energy consumption. Our results imply that, through the mediating effects of UHIs, the built environment characteristics of immediate surroundings may have indirect effects on energy consumption in mixed-use buildings.</t>
        </is>
      </c>
      <c r="X559" t="inlineStr">
        <is>
          <t>[Woo, Young-Eun; Cho, Gi-Hyoug] Ulsan Natl Inst Sci &amp; Technol, Sch Urban &amp; Environm Engn, 50 UNIST Gil, Ulsan 44919, South Korea</t>
        </is>
      </c>
      <c r="Y559" t="inlineStr">
        <is>
          <t>Ulsan National Institute of Science &amp; Technology (UNIST)</t>
        </is>
      </c>
      <c r="Z559" t="inlineStr">
        <is>
          <t>Cho, GH (corresponding author), Ulsan Natl Inst Sci &amp; Technol, Sch Urban &amp; Environm Engn, 50 UNIST Gil, Ulsan 44919, South Korea.</t>
        </is>
      </c>
      <c r="AA559" t="inlineStr">
        <is>
          <t>duddms9314@unist.ac.kr; gicho@unist.ac.kr</t>
        </is>
      </c>
      <c r="AD559" t="inlineStr">
        <is>
          <t>National Research Foundation of Korea (NRF) - Korean Government (MSIP) [NRF-2015R1A5A7037825]; National Research Foundation of Korea [2015R1D1A1A01058983] Funding Source: Korea Institute of Science &amp; Technology Information (KISTI), National Science &amp; Technology Information Service (NTIS)</t>
        </is>
      </c>
      <c r="AE559" t="inlineStr">
        <is>
          <t>National Research Foundation of Korea (NRF) - Korean Government (MSIP); National Research Foundation of Korea(National Research Foundation of Korea)</t>
        </is>
      </c>
      <c r="AF559" t="inlineStr">
        <is>
          <t>This work was supported by the National Research Foundation of Korea (NRF) Grant funded by the Korean Government (MSIP) (No. NRF-2015R1A5A7037825).</t>
        </is>
      </c>
      <c r="AH559" t="n">
        <v>49</v>
      </c>
      <c r="AI559" t="n">
        <v>14</v>
      </c>
      <c r="AJ559" t="n">
        <v>14</v>
      </c>
      <c r="AK559" t="n">
        <v>4</v>
      </c>
      <c r="AL559" t="n">
        <v>30</v>
      </c>
      <c r="AM559" t="inlineStr">
        <is>
          <t>MDPI</t>
        </is>
      </c>
      <c r="AN559" t="inlineStr">
        <is>
          <t>BASEL</t>
        </is>
      </c>
      <c r="AO559" t="inlineStr">
        <is>
          <t>ST ALBAN-ANLAGE 66, CH-4052 BASEL, SWITZERLAND</t>
        </is>
      </c>
      <c r="AQ559" t="inlineStr">
        <is>
          <t>2071-1050</t>
        </is>
      </c>
      <c r="AS559" t="inlineStr">
        <is>
          <t>SUSTAINABILITY-BASEL</t>
        </is>
      </c>
      <c r="AT559" t="inlineStr">
        <is>
          <t>Sustainability</t>
        </is>
      </c>
      <c r="AU559" t="inlineStr">
        <is>
          <t>MAR</t>
        </is>
      </c>
      <c r="AV559" t="n">
        <v>2018</v>
      </c>
      <c r="AW559" t="n">
        <v>10</v>
      </c>
      <c r="AX559" t="n">
        <v>3</v>
      </c>
      <c r="BE559" t="n">
        <v>832</v>
      </c>
      <c r="BF559" t="inlineStr">
        <is>
          <t>10.3390/su10030832</t>
        </is>
      </c>
      <c r="BG559">
        <f>HYPERLINK("http://dx.doi.org/10.3390/su10030832","http://dx.doi.org/10.3390/su10030832")</f>
        <v/>
      </c>
      <c r="BJ559" t="n">
        <v>16</v>
      </c>
      <c r="BK559" t="inlineStr">
        <is>
          <t>Green &amp; Sustainable Science &amp; Technology; Environmental Sciences; Environmental Studies</t>
        </is>
      </c>
      <c r="BL559" t="inlineStr">
        <is>
          <t>Science Citation Index Expanded (SCI-EXPANDED); Social Science Citation Index (SSCI)</t>
        </is>
      </c>
      <c r="BM559" t="inlineStr">
        <is>
          <t>Science &amp; Technology - Other Topics; Environmental Sciences &amp; Ecology</t>
        </is>
      </c>
      <c r="BN559" t="inlineStr">
        <is>
          <t>GA8DA</t>
        </is>
      </c>
      <c r="BP559" t="inlineStr">
        <is>
          <t>Green Published, gold</t>
        </is>
      </c>
      <c r="BS559" t="inlineStr">
        <is>
          <t>2023-10-26</t>
        </is>
      </c>
      <c r="BT559" t="inlineStr">
        <is>
          <t>WOS:000428567100259</t>
        </is>
      </c>
      <c r="BU559">
        <f>HYPERLINK("https%3A%2F%2Fwww.webofscience.com%2Fwos%2Fwoscc%2Ffull-record%2FWOS:000428567100259","View Full Record in Web of Science")</f>
        <v/>
      </c>
    </row>
    <row r="560">
      <c r="A560" t="inlineStr">
        <is>
          <t>J</t>
        </is>
      </c>
      <c r="B560" t="inlineStr">
        <is>
          <t>Zhou, YJ; Xie, CY</t>
        </is>
      </c>
      <c r="F560" t="inlineStr">
        <is>
          <t>Zhou, Yujia; Xie, Cunyi</t>
        </is>
      </c>
      <c r="J560" t="inlineStr">
        <is>
          <t>FRESENIUS ENVIRONMENTAL BULLETIN</t>
        </is>
      </c>
      <c r="M560" t="inlineStr">
        <is>
          <t>English</t>
        </is>
      </c>
      <c r="N560" t="inlineStr">
        <is>
          <t>Article</t>
        </is>
      </c>
      <c r="T560" t="inlineStr">
        <is>
          <t>CITY GARDEN ENVIRONMENT RESEARCH: OPTIMAL DESIGN CAN IMPROVE THE THERAPEUTIC BENEFIT OF THERAPY GARDEN</t>
        </is>
      </c>
      <c r="U560" t="inlineStr">
        <is>
          <t>Garden environment; Design; Benefit; Therapeutic garden; Urban environment</t>
        </is>
      </c>
      <c r="W560" t="inlineStr">
        <is>
          <t>With the improvement of people's living standard, the material pursuit of people has been gradually satisfied, people pay more and more attention to the cultivation of spirit and living environment. City garden is a popular place people spend time in. It not only improves the city hot island effect and living environment, but also can cure people in body and mind. As a kind of garden, the therapy garden can also improve the urban environment, and pay more attention on the physical and mental therapeutic effect on people. The design of a therapy garden is different in a degree from that of an ordinary garden. This paper introduces the historical origin and classification of therapy garden. Besides, the design principle and elements of the therapy garden are discussed. Also, as the Friends' Sensory Garden as the example to analyzes its design principle and elements to further prove that good design to build an appropriate environment can promote the benefit of the therapy garden.</t>
        </is>
      </c>
      <c r="X560" t="inlineStr">
        <is>
          <t>[Zhou, Yujia] Guizhou Univ, Agr Coll, Guiyang 550025, Guizhou, Peoples R China; [Xie, Cunyi] Microbial Res Inst Liaoning Prov, Chaoyang 122000, Liaoning, Peoples R China</t>
        </is>
      </c>
      <c r="Y560" t="inlineStr">
        <is>
          <t>Guizhou University</t>
        </is>
      </c>
      <c r="Z560" t="inlineStr">
        <is>
          <t>Zhou, YJ (corresponding author), Guizhou Univ, Agr Coll, Guiyang 550025, Guizhou, Peoples R China.</t>
        </is>
      </c>
      <c r="AA560" t="inlineStr">
        <is>
          <t>244812908@qq.com</t>
        </is>
      </c>
      <c r="AH560" t="n">
        <v>24</v>
      </c>
      <c r="AI560" t="n">
        <v>2</v>
      </c>
      <c r="AJ560" t="n">
        <v>2</v>
      </c>
      <c r="AK560" t="n">
        <v>4</v>
      </c>
      <c r="AL560" t="n">
        <v>18</v>
      </c>
      <c r="AM560" t="inlineStr">
        <is>
          <t>PARLAR SCIENTIFIC PUBLICATIONS (P S P)</t>
        </is>
      </c>
      <c r="AN560" t="inlineStr">
        <is>
          <t>FREISING</t>
        </is>
      </c>
      <c r="AO560" t="inlineStr">
        <is>
          <t>ANGERSTR. 12, 85354 FREISING, GERMANY</t>
        </is>
      </c>
      <c r="AP560" t="inlineStr">
        <is>
          <t>1018-4619</t>
        </is>
      </c>
      <c r="AQ560" t="inlineStr">
        <is>
          <t>1610-2304</t>
        </is>
      </c>
      <c r="AS560" t="inlineStr">
        <is>
          <t>FRESEN ENVIRON BULL</t>
        </is>
      </c>
      <c r="AT560" t="inlineStr">
        <is>
          <t>Fresenius Environ. Bull.</t>
        </is>
      </c>
      <c r="AV560" t="n">
        <v>2020</v>
      </c>
      <c r="AW560" t="n">
        <v>29</v>
      </c>
      <c r="AX560" t="inlineStr">
        <is>
          <t>12A</t>
        </is>
      </c>
      <c r="BC560" t="n">
        <v>11615</v>
      </c>
      <c r="BD560" t="n">
        <v>11623</v>
      </c>
      <c r="BJ560" t="n">
        <v>9</v>
      </c>
      <c r="BK560" t="inlineStr">
        <is>
          <t>Environmental Sciences</t>
        </is>
      </c>
      <c r="BL560" t="inlineStr">
        <is>
          <t>Science Citation Index Expanded (SCI-EXPANDED); Social Science Citation Index (SSCI)</t>
        </is>
      </c>
      <c r="BM560" t="inlineStr">
        <is>
          <t>Environmental Sciences &amp; Ecology</t>
        </is>
      </c>
      <c r="BN560" t="inlineStr">
        <is>
          <t>QX2MA</t>
        </is>
      </c>
      <c r="BS560" t="inlineStr">
        <is>
          <t>2023-10-26</t>
        </is>
      </c>
      <c r="BT560" t="inlineStr">
        <is>
          <t>WOS:000629180800066</t>
        </is>
      </c>
      <c r="BU560">
        <f>HYPERLINK("https%3A%2F%2Fwww.webofscience.com%2Fwos%2Fwoscc%2Ffull-record%2FWOS:000629180800066","View Full Record in Web of Science")</f>
        <v/>
      </c>
    </row>
    <row r="561">
      <c r="A561" t="inlineStr">
        <is>
          <t>J</t>
        </is>
      </c>
      <c r="B561" t="inlineStr">
        <is>
          <t>Adlakha, D; Chandra, M; Krishna, M; Smith, L; Tully, MA</t>
        </is>
      </c>
      <c r="F561" t="inlineStr">
        <is>
          <t>Adlakha, Deepti; Chandra, Mina; Krishna, Murali; Smith, Lee; Tully, Mark A.</t>
        </is>
      </c>
      <c r="J561" t="inlineStr">
        <is>
          <t>INTERNATIONAL JOURNAL OF ENVIRONMENTAL RESEARCH AND PUBLIC HEALTH</t>
        </is>
      </c>
      <c r="M561" t="inlineStr">
        <is>
          <t>English</t>
        </is>
      </c>
      <c r="N561" t="inlineStr">
        <is>
          <t>Article</t>
        </is>
      </c>
      <c r="T561" t="inlineStr">
        <is>
          <t>Designing Age-Friendly Communities: Exploring Qualitative Perspectives on Urban Green Spaces and Ageing in Two Indian Megacities</t>
        </is>
      </c>
      <c r="U561" t="inlineStr">
        <is>
          <t>urban green spaces; built environment; healthy ageing; older adults; India</t>
        </is>
      </c>
      <c r="V561" t="inlineStr">
        <is>
          <t>PHYSICAL-ACTIVITY; CITIES; HEALTH; CITY</t>
        </is>
      </c>
      <c r="W561" t="inlineStr">
        <is>
          <t>The World Health Organization and the United Nations have increasingly acknowledged the importance of urban green space (UGS) for healthy ageing. However, low- and middle-income countries (LMICs) like India with exponential ageing populations have inadequate UGS. This qualitative study examined the relationships between UGS and healthy ageing in two megacities in India. Participants were recruited using snowball sampling in New Delhi and Chennai and semi-structured interviews were conducted with consenting participants (N = 60, female = 51%; age &gt; 60 years; fluent in English, Hindi, or Tamil). Interviews were recorded, transcribed, translated, and analysed using inductive and thematic analysis. Benefits of UGS included community building and social capital, improved health and social resilience, physical activity promotion, reduced exposure to noise, air pollution, and heat. Poorly maintained UGS and lack of safe, age-friendly pedestrian infrastructure were identified as barriers to health promotion in later life. Neighbourhood disorder and crime constrained older adults' use of UGS in low-income neighbourhoods. This study underscores the role of UGS in the design of age-friendly communities in India. The findings highlight the benefits of UGS for older adults, particularly those living in socially disadvantaged or underserved communities, which often have least access to high-quality parks and green areas.</t>
        </is>
      </c>
      <c r="X561" t="inlineStr">
        <is>
          <t>[Adlakha, Deepti] Queens Univ Belfast, Sch Nat &amp; Built Environm, Belfast BT9 5AG, Antrim, North Ireland; [Chandra, Mina] Atal Bihari Vajpayee Inst Med Sci, New Delhi 110001, India; [Chandra, Mina] Dr Ram Manohar Lohia Hosp, New Delhi 110001, India; [Krishna, Murali] Fdn Res &amp; Advocacy Mental Hlth, Mysore 570028, Karnataka, India; [Krishna, Murali] Viveka Fdn, Mysore 570028, Karnataka, India; [Smith, Lee] Anglia Ruskin Univ, Cambridge Ctr Sport &amp; Exercise Sci, Cambridge CB1 1PT, England; [Tully, Mark A.] Ulster Univ, Sch Hlth Sci, Inst Mental Hlth Sci, Newtownabbey BT37 0QB, North Ireland</t>
        </is>
      </c>
      <c r="Y561" t="inlineStr">
        <is>
          <t>Queens University Belfast; Anglia Ruskin University; Ulster University</t>
        </is>
      </c>
      <c r="Z561" t="inlineStr">
        <is>
          <t>Adlakha, D (corresponding author), Queens Univ Belfast, Sch Nat &amp; Built Environm, Belfast BT9 5AG, Antrim, North Ireland.</t>
        </is>
      </c>
      <c r="AA561" t="inlineStr">
        <is>
          <t>d.adlakha@qub.ac.uk; minasaxena@gmail.com; muralidoc@gmail.com; Lee.Smith@anglia.ac.uk; m.tully@ulster.ac.uk</t>
        </is>
      </c>
      <c r="AB561" t="inlineStr">
        <is>
          <t>Chandra, Mina/AAP-8579-2021; Tully, Mark/AAB-2939-2019</t>
        </is>
      </c>
      <c r="AC561" t="inlineStr">
        <is>
          <t>Chandra, Mina/0000-0001-7398-3173; Tully, Mark/0000-0001-9710-4014; Adlakha, Deepti/0000-0002-1720-6780; Smith, Lee/0000-0002-5340-9833</t>
        </is>
      </c>
      <c r="AD561" t="inlineStr">
        <is>
          <t>Global Challenges Research Fund; Northern Ireland, UK</t>
        </is>
      </c>
      <c r="AE561" t="inlineStr">
        <is>
          <t>Global Challenges Research Fund; Northern Ireland, UK</t>
        </is>
      </c>
      <c r="AF561" t="inlineStr">
        <is>
          <t>This research was supported by the Global Challenges Research Fund administered by the Department for Economy, Northern Ireland, UK.</t>
        </is>
      </c>
      <c r="AH561" t="n">
        <v>35</v>
      </c>
      <c r="AI561" t="n">
        <v>6</v>
      </c>
      <c r="AJ561" t="n">
        <v>6</v>
      </c>
      <c r="AK561" t="n">
        <v>11</v>
      </c>
      <c r="AL561" t="n">
        <v>68</v>
      </c>
      <c r="AM561" t="inlineStr">
        <is>
          <t>MDPI</t>
        </is>
      </c>
      <c r="AN561" t="inlineStr">
        <is>
          <t>BASEL</t>
        </is>
      </c>
      <c r="AO561" t="inlineStr">
        <is>
          <t>ST ALBAN-ANLAGE 66, CH-4052 BASEL, SWITZERLAND</t>
        </is>
      </c>
      <c r="AQ561" t="inlineStr">
        <is>
          <t>1660-4601</t>
        </is>
      </c>
      <c r="AS561" t="inlineStr">
        <is>
          <t>INT J ENV RES PUB HE</t>
        </is>
      </c>
      <c r="AT561" t="inlineStr">
        <is>
          <t>Int. J. Environ. Res. Public Health</t>
        </is>
      </c>
      <c r="AU561" t="inlineStr">
        <is>
          <t>FEB</t>
        </is>
      </c>
      <c r="AV561" t="n">
        <v>2021</v>
      </c>
      <c r="AW561" t="n">
        <v>18</v>
      </c>
      <c r="AX561" t="n">
        <v>4</v>
      </c>
      <c r="BE561" t="n">
        <v>1491</v>
      </c>
      <c r="BF561" t="inlineStr">
        <is>
          <t>10.3390/ijerph18041491</t>
        </is>
      </c>
      <c r="BG561">
        <f>HYPERLINK("http://dx.doi.org/10.3390/ijerph18041491","http://dx.doi.org/10.3390/ijerph18041491")</f>
        <v/>
      </c>
      <c r="BJ561" t="n">
        <v>12</v>
      </c>
      <c r="BK561" t="inlineStr">
        <is>
          <t>Environmental Sciences; Public, Environmental &amp; Occupational Health</t>
        </is>
      </c>
      <c r="BL561" t="inlineStr">
        <is>
          <t>Science Citation Index Expanded (SCI-EXPANDED); Social Science Citation Index (SSCI)</t>
        </is>
      </c>
      <c r="BM561" t="inlineStr">
        <is>
          <t>Environmental Sciences &amp; Ecology; Public, Environmental &amp; Occupational Health</t>
        </is>
      </c>
      <c r="BN561" t="inlineStr">
        <is>
          <t>QP1LH</t>
        </is>
      </c>
      <c r="BO561" t="n">
        <v>33557432</v>
      </c>
      <c r="BP561" t="inlineStr">
        <is>
          <t>Green Published, Green Accepted, gold</t>
        </is>
      </c>
      <c r="BS561" t="inlineStr">
        <is>
          <t>2023-10-26</t>
        </is>
      </c>
      <c r="BT561" t="inlineStr">
        <is>
          <t>WOS:000623597500001</t>
        </is>
      </c>
      <c r="BU561">
        <f>HYPERLINK("https%3A%2F%2Fwww.webofscience.com%2Fwos%2Fwoscc%2Ffull-record%2FWOS:000623597500001","View Full Record in Web of Science")</f>
        <v/>
      </c>
    </row>
    <row r="562">
      <c r="A562" t="inlineStr">
        <is>
          <t>J</t>
        </is>
      </c>
      <c r="B562" t="inlineStr">
        <is>
          <t>Lee, EY; Lee, S; Choi, BY; Choi, J</t>
        </is>
      </c>
      <c r="F562" t="inlineStr">
        <is>
          <t>Lee, Eun Young; Lee, Sugie; Choi, Bo Youl; Choi, Jungsoon</t>
        </is>
      </c>
      <c r="J562" t="inlineStr">
        <is>
          <t>INTERNATIONAL JOURNAL OF ENVIRONMENTAL RESEARCH AND PUBLIC HEALTH</t>
        </is>
      </c>
      <c r="M562" t="inlineStr">
        <is>
          <t>English</t>
        </is>
      </c>
      <c r="N562" t="inlineStr">
        <is>
          <t>Article</t>
        </is>
      </c>
      <c r="T562" t="inlineStr">
        <is>
          <t>Influence of Neighborhood Environment on Korean Adult Obesity Using a Bayesian Spatial Multilevel Model</t>
        </is>
      </c>
      <c r="U562" t="inlineStr">
        <is>
          <t>neighborhood; environment; obesity; Bayesian spatial multilevel model; Korea</t>
        </is>
      </c>
      <c r="V562" t="inlineStr">
        <is>
          <t>BODY-MASS INDEX; PHYSICAL-ACTIVITY; BUILT ENVIRONMENT; OBESOGENIC ENVIRONMENT; ASSOCIATION; OVERWEIGHT; RISK; TIME; BMI</t>
        </is>
      </c>
      <c r="W562" t="inlineStr">
        <is>
          <t>Previous studies using spatial statistical modeling that account for spatial associations between geographic areas are scarce. Therefore, this study examines the association between neighborhood environment and obesity using a Bayesian spatial multilevel model. Data from 78,014 adults living in Gyeonggi province in Korea were drawn from the 2013-2014 Korean Community Health Survey. Korean government databases and ArcGIS software (version 10.1, ESRI, Redlands, CA) were used to measure the neighborhood environment for 546 administrative districts of Gyeonggi province. A Bayesian spatial multilevel model was implemented across gender and age groups. The findings indicate that women aged 19-39 years who lived in neighborhoods farthest away from parks were more likely to be obese. Men aged 40-59 years who lived in neighborhoods farther from public physical activity facilities and with lower population density were more likely to be obese. Obesity for women aged 19-39 years was the most spatially dependent, while obesity for women aged 40-59 years was the least spatially dependent. The results suggest that neighborhood environments that provide more opportunities for physical activity are negatively related to obesity. Therefore, the creation of physical activity in favorable neighborhood environments, considering gender and age, may be a valuable strategy to reduce obesity.</t>
        </is>
      </c>
      <c r="X562" t="inlineStr">
        <is>
          <t>[Lee, Eun Young; Choi, Bo Youl] Hanyang Univ, Inst Hlth &amp; Soc, Seoul 04763, South Korea; [Lee, Eun Young; Choi, Bo Youl] Hanyang Univ, Coll Med, Dept Prevent Med, Seoul 04763, South Korea; [Lee, Sugie] Hanyang Univ, Dept Urban Planning &amp; Engn, Seoul 04763, South Korea; [Choi, Jungsoon] Hanyang Univ, Dept Math, Seoul 04763, South Korea</t>
        </is>
      </c>
      <c r="Y562" t="inlineStr">
        <is>
          <t>Hanyang University; Hanyang University; Hanyang University; Hanyang University</t>
        </is>
      </c>
      <c r="Z562" t="inlineStr">
        <is>
          <t>Choi, J (corresponding author), Hanyang Univ, Dept Math, Seoul 04763, South Korea.</t>
        </is>
      </c>
      <c r="AA562" t="inlineStr">
        <is>
          <t>dreylee@hanyang.ac.kr; sugielee@hanyang.ac.kr; bychoi@hanyang.ac.kr; jungsoonchoi@hanyang.ac.kr</t>
        </is>
      </c>
      <c r="AB562" t="inlineStr">
        <is>
          <t>Choi, Jungsoon/L-1944-2016</t>
        </is>
      </c>
      <c r="AC562" t="inlineStr">
        <is>
          <t>Choi, Jungsoon/0000-0001-6815-1006</t>
        </is>
      </c>
      <c r="AD562" t="inlineStr">
        <is>
          <t>National Research Foundation of Korea (NRF) grant - Ministry of Science, ICT &amp; Future Planning [2015R1C1A2A01054052]; Basic Science Research Program through the NRF - Ministry of Education [NRF-2018R1D1A1B07047712]; National Research Foundation of Korea [2015R1C1A2A01054052] Funding Source: Korea Institute of Science &amp; Technology Information (KISTI), National Science &amp; Technology Information Service (NTIS)</t>
        </is>
      </c>
      <c r="AE562" t="inlineStr">
        <is>
          <t>National Research Foundation of Korea (NRF) grant - Ministry of Science, ICT &amp; Future Planning(National Research Foundation of KoreaMinistry of Science, ICT &amp; Future Planning, Republic of Korea); Basic Science Research Program through the NRF - Ministry of Education(National Research Foundation of Korea); National Research Foundation of Korea(National Research Foundation of Korea)</t>
        </is>
      </c>
      <c r="AF562" t="inlineStr">
        <is>
          <t>This work was supported by a National Research Foundation of Korea (NRF) grant funded by the Ministry of Science, ICT &amp; Future Planning (No. 2015R1C1A2A01054052), and the research fund of the Basic Science Research Program through the NRF funded by the Ministry of Education (NRF-2018R1D1A1B07047712).</t>
        </is>
      </c>
      <c r="AH562" t="n">
        <v>40</v>
      </c>
      <c r="AI562" t="n">
        <v>3</v>
      </c>
      <c r="AJ562" t="n">
        <v>3</v>
      </c>
      <c r="AK562" t="n">
        <v>1</v>
      </c>
      <c r="AL562" t="n">
        <v>7</v>
      </c>
      <c r="AM562" t="inlineStr">
        <is>
          <t>MDPI</t>
        </is>
      </c>
      <c r="AN562" t="inlineStr">
        <is>
          <t>BASEL</t>
        </is>
      </c>
      <c r="AO562" t="inlineStr">
        <is>
          <t>ST ALBAN-ANLAGE 66, CH-4052 BASEL, SWITZERLAND</t>
        </is>
      </c>
      <c r="AQ562" t="inlineStr">
        <is>
          <t>1660-4601</t>
        </is>
      </c>
      <c r="AS562" t="inlineStr">
        <is>
          <t>INT J ENV RES PUB HE</t>
        </is>
      </c>
      <c r="AT562" t="inlineStr">
        <is>
          <t>Int. J. Environ. Res. Public Health</t>
        </is>
      </c>
      <c r="AU562" t="inlineStr">
        <is>
          <t>OCT</t>
        </is>
      </c>
      <c r="AV562" t="n">
        <v>2019</v>
      </c>
      <c r="AW562" t="n">
        <v>16</v>
      </c>
      <c r="AX562" t="n">
        <v>20</v>
      </c>
      <c r="BE562" t="n">
        <v>3991</v>
      </c>
      <c r="BF562" t="inlineStr">
        <is>
          <t>10.3390/ijerph16203991</t>
        </is>
      </c>
      <c r="BG562">
        <f>HYPERLINK("http://dx.doi.org/10.3390/ijerph16203991","http://dx.doi.org/10.3390/ijerph16203991")</f>
        <v/>
      </c>
      <c r="BJ562" t="n">
        <v>15</v>
      </c>
      <c r="BK562" t="inlineStr">
        <is>
          <t>Environmental Sciences; Public, Environmental &amp; Occupational Health</t>
        </is>
      </c>
      <c r="BL562" t="inlineStr">
        <is>
          <t>Science Citation Index Expanded (SCI-EXPANDED); Social Science Citation Index (SSCI)</t>
        </is>
      </c>
      <c r="BM562" t="inlineStr">
        <is>
          <t>Environmental Sciences &amp; Ecology; Public, Environmental &amp; Occupational Health</t>
        </is>
      </c>
      <c r="BN562" t="inlineStr">
        <is>
          <t>JK3XV</t>
        </is>
      </c>
      <c r="BO562" t="n">
        <v>31635403</v>
      </c>
      <c r="BP562" t="inlineStr">
        <is>
          <t>Green Published, gold</t>
        </is>
      </c>
      <c r="BS562" t="inlineStr">
        <is>
          <t>2023-10-26</t>
        </is>
      </c>
      <c r="BT562" t="inlineStr">
        <is>
          <t>WOS:000494779100205</t>
        </is>
      </c>
      <c r="BU562">
        <f>HYPERLINK("https%3A%2F%2Fwww.webofscience.com%2Fwos%2Fwoscc%2Ffull-record%2FWOS:000494779100205","View Full Record in Web of Science")</f>
        <v/>
      </c>
    </row>
    <row r="563">
      <c r="A563" t="inlineStr">
        <is>
          <t>J</t>
        </is>
      </c>
      <c r="B563" t="inlineStr">
        <is>
          <t>Cheng, BJ; Wang, J; Meng, XL; Sun, L; Hu, B; Li, HB; Sheng, J; Chen, GM; Tao, FB; Sun, YH; Yang, LS</t>
        </is>
      </c>
      <c r="F563" t="inlineStr">
        <is>
          <t>Cheng, Bei-jing; Wang, Jun; Meng, Xiang-long; Sun, Liang; Hu, Bing; Li, Huai-biao; Sheng, Jie; Chen, Gui-mei; Tao, Fang-biao; Sun, Ye-huan; Yang, Lin-sheng</t>
        </is>
      </c>
      <c r="J563" t="inlineStr">
        <is>
          <t>ECOTOXICOLOGY AND ENVIRONMENTAL SAFETY</t>
        </is>
      </c>
      <c r="M563" t="inlineStr">
        <is>
          <t>English</t>
        </is>
      </c>
      <c r="N563" t="inlineStr">
        <is>
          <t>Article</t>
        </is>
      </c>
      <c r="T563" t="inlineStr">
        <is>
          <t>The association between essential trace element mixture and cognitive function in Chinese community-dwelling older adults</t>
        </is>
      </c>
      <c r="U563" t="inlineStr">
        <is>
          <t>Cognitive function; Essential trace element; BKMR; Older adults</t>
        </is>
      </c>
      <c r="V563" t="inlineStr">
        <is>
          <t>CHRONIC KIDNEY-DISEASE; OXIDATIVE STRESS; FOLLOW-UP; SELENIUM; HEALTH; IMPAIRMENT; DEMENTIA; VANADIUM; URINARY; SELENOPROTEINS</t>
        </is>
      </c>
      <c r="W563" t="inlineStr">
        <is>
          <t>Background: The evidence about the effect of essential trace element (ETE) mixture on cognitive function amongst older adults is limited. This study aims to evaluate the associations of single ETEs and ETE mixture with cognitive function using a representative sample of community-dwelling older adults in China.Methods: A total of 3814 older adults were included in the study. Urinary concentrations of selenium (Se), va-nadium (V), cobalt (Co), strontium (Sr), and molybdenum (Mo) were detected by inductively coupled plasma mass spectrometry. Cognitive function in older adults was assessed using the Chinese version of the Mini-Mental State Examination (MMSE). Linear regression and Bayesian kernel machine regression (BKMR) were performed to explore the associations of single ETEs and ETE mixture with cognitive function, respectively. Results: Linear regression showed that urinary levels of Se and V were positively associated with MMSE scores in the adjusted single-element models. BKMR also showed marginally positive associations of Se and V with MMSE scores. Moreover, higher urinary levels of ETE mixture were significantly associated with increased MMSE scores in a dose-response pattern, and Se was the most important contributor within the mixture. Both Se and V demonstrated positive additive effects on the associations of other ETEs with MMSE scores, whereas Co had a negative additive effect. Conclusions: V and Se are positively associated with cognitive function, individually and as a mixture. ETE mixture exhibits a linear dose-response association with improved cognitive function, with Se being the most important component within the mixture. Mixture analyses rather than single ETE analyses may provide a real -world perspective on the relationship between ETE mixture and cognitive function. Further cohort studies are needed to clarify the association of multiple ETEs with cognitive function.</t>
        </is>
      </c>
      <c r="X563" t="inlineStr">
        <is>
          <t>[Cheng, Bei-jing; Wang, Jun; Meng, Xiang-long; Sun, Ye-huan; Yang, Lin-sheng] Anhui Med Univ, Sch Publ Hlth, Dept Epidemiol &amp; Hlth Stat, Hefei 230032, Anhui, Peoples R China; [Sun, Liang; Hu, Bing; Li, Huai-biao] Fuyang Ctr Dis Prevent &amp; Control, Fuyang 236069, Anhui, Peoples R China; [Sheng, Jie] Anhui Med Univ, Sch Publ Hlth, Expt Ctr Publ Hlth, Hefei 230032, Anhui, Peoples R China; [Chen, Gui-mei; Tao, Fang-biao] Anhui Med Univ, Sch Hlth Serv Management, Hefei 230032, Anhui, Peoples R China; [Tao, Fang-biao] Anhui Prov Key Lab Populat Hlth &amp; Aristogen, Hefei 230032, Anhui, Peoples R China</t>
        </is>
      </c>
      <c r="Y563" t="inlineStr">
        <is>
          <t>Anhui Medical University; Anhui Medical University; Anhui Medical University</t>
        </is>
      </c>
      <c r="Z563" t="inlineStr">
        <is>
          <t>Sun, YH; Yang, LS (corresponding author), Anhui Med Univ, Sch Publ Hlth, Dept Epidemiol &amp; Hlth Stat, Hefei 230032, Anhui, Peoples R China.</t>
        </is>
      </c>
      <c r="AA563" t="inlineStr">
        <is>
          <t>yhsun_ahmu_edu@yeah.net; yanglinsheng@ahmu.edu.cn</t>
        </is>
      </c>
      <c r="AB563" t="inlineStr">
        <is>
          <t>Meng, Xiang-Long/GXV-5867-2022</t>
        </is>
      </c>
      <c r="AD563" t="inlineStr">
        <is>
          <t>Major Projects on College Leading Talent Team Introduced of Anhui [0303011224]; Key Scientific Research Fund of Anhui Provincial Education Department [KJ2017A189]; Anhui Medical University [Xj201525]; Investigation on the Use of Microecological Agents for the Community-dwelling Older Adults in Hefei City, Anhui Province [2017062]; Investigation and Analysis of Residents' Diseases in Fuyang City [2018160]</t>
        </is>
      </c>
      <c r="AE563" t="inlineStr">
        <is>
          <t>Major Projects on College Leading Talent Team Introduced of Anhui; Key Scientific Research Fund of Anhui Provincial Education Department; Anhui Medical University; Investigation on the Use of Microecological Agents for the Community-dwelling Older Adults in Hefei City, Anhui Province; Investigation and Analysis of Residents' Diseases in Fuyang City</t>
        </is>
      </c>
      <c r="AF563" t="inlineStr">
        <is>
          <t>The authors are grateful to the research group of Older Adults Health and Modifiable Factors, the Fuyang Center for Disease Control and Prevention. This study was funded by Major Projects on College Leading Talent Team Introduced of Anhui [grant number 0303011224], the Key Scientific Research Fund of Anhui Provincial Education Department [grant number KJ2017A189], Grants for Scientific Research of BSKY from Anhui Medical University [grant number Xj201525], Investigation on the Use of Microecological Agents for the Community-dwelling Older Adults in Hefei City, Anhui Province [grant number 2017062], and Investigation and Analysis of Residents' Diseases in Fuyang City [grant number 2018160].</t>
        </is>
      </c>
      <c r="AH563" t="n">
        <v>85</v>
      </c>
      <c r="AI563" t="n">
        <v>11</v>
      </c>
      <c r="AJ563" t="n">
        <v>11</v>
      </c>
      <c r="AK563" t="n">
        <v>3</v>
      </c>
      <c r="AL563" t="n">
        <v>17</v>
      </c>
      <c r="AM563" t="inlineStr">
        <is>
          <t>ACADEMIC PRESS INC ELSEVIER SCIENCE</t>
        </is>
      </c>
      <c r="AN563" t="inlineStr">
        <is>
          <t>SAN DIEGO</t>
        </is>
      </c>
      <c r="AO563" t="inlineStr">
        <is>
          <t>525 B ST, STE 1900, SAN DIEGO, CA 92101-4495 USA</t>
        </is>
      </c>
      <c r="AP563" t="inlineStr">
        <is>
          <t>0147-6513</t>
        </is>
      </c>
      <c r="AQ563" t="inlineStr">
        <is>
          <t>1090-2414</t>
        </is>
      </c>
      <c r="AS563" t="inlineStr">
        <is>
          <t>ECOTOX ENVIRON SAFE</t>
        </is>
      </c>
      <c r="AT563" t="inlineStr">
        <is>
          <t>Ecotox. Environ. Safe.</t>
        </is>
      </c>
      <c r="AU563" t="inlineStr">
        <is>
          <t>FEB</t>
        </is>
      </c>
      <c r="AV563" t="n">
        <v>2022</v>
      </c>
      <c r="AW563" t="n">
        <v>231</v>
      </c>
      <c r="BE563" t="n">
        <v>113182</v>
      </c>
      <c r="BF563" t="inlineStr">
        <is>
          <t>10.1016/j.ecoenv.2022.113182</t>
        </is>
      </c>
      <c r="BG563">
        <f>HYPERLINK("http://dx.doi.org/10.1016/j.ecoenv.2022.113182","http://dx.doi.org/10.1016/j.ecoenv.2022.113182")</f>
        <v/>
      </c>
      <c r="BI563" t="inlineStr">
        <is>
          <t>JAN 2022</t>
        </is>
      </c>
      <c r="BJ563" t="n">
        <v>10</v>
      </c>
      <c r="BK563" t="inlineStr">
        <is>
          <t>Environmental Sciences; Toxicology</t>
        </is>
      </c>
      <c r="BL563" t="inlineStr">
        <is>
          <t>Science Citation Index Expanded (SCI-EXPANDED)</t>
        </is>
      </c>
      <c r="BM563" t="inlineStr">
        <is>
          <t>Environmental Sciences &amp; Ecology; Toxicology</t>
        </is>
      </c>
      <c r="BN563" t="inlineStr">
        <is>
          <t>0O6GB</t>
        </is>
      </c>
      <c r="BO563" t="n">
        <v>35026581</v>
      </c>
      <c r="BP563" t="inlineStr">
        <is>
          <t>gold</t>
        </is>
      </c>
      <c r="BS563" t="inlineStr">
        <is>
          <t>2023-10-26</t>
        </is>
      </c>
      <c r="BT563" t="inlineStr">
        <is>
          <t>WOS:000783621200001</t>
        </is>
      </c>
      <c r="BU563">
        <f>HYPERLINK("https%3A%2F%2Fwww.webofscience.com%2Fwos%2Fwoscc%2Ffull-record%2FWOS:000783621200001","View Full Record in Web of Science")</f>
        <v/>
      </c>
    </row>
    <row r="564">
      <c r="A564" t="inlineStr">
        <is>
          <t>J</t>
        </is>
      </c>
      <c r="B564" t="inlineStr">
        <is>
          <t>Vuckovic, M; Kiesel, K; Mahdavi, A</t>
        </is>
      </c>
      <c r="F564" t="inlineStr">
        <is>
          <t>Vuckovic, Milena; Kiesel, Kristina; Mahdavi, Ardeshir</t>
        </is>
      </c>
      <c r="J564" t="inlineStr">
        <is>
          <t>SUSTAINABILITY</t>
        </is>
      </c>
      <c r="M564" t="inlineStr">
        <is>
          <t>English</t>
        </is>
      </c>
      <c r="N564" t="inlineStr">
        <is>
          <t>Article</t>
        </is>
      </c>
      <c r="T564" t="inlineStr">
        <is>
          <t>The Extent and Implications of the Microclimatic Conditions in the Urban Environment: A Vienna Case Study</t>
        </is>
      </c>
      <c r="U564" t="inlineStr">
        <is>
          <t>urban microclimate; urban environment; weather data; building performance</t>
        </is>
      </c>
      <c r="V564" t="inlineStr">
        <is>
          <t>HEAT-ISLAND; CLIMATE-CHANGE; IMPACT; ENERGY; COMFORT; SPACES</t>
        </is>
      </c>
      <c r="W564" t="inlineStr">
        <is>
          <t>Recent challenges in the realm of urban studies concern better understanding of microclimatic conditions. Changes in urban climate affect cities at local and global scales, with consequences for human health, thermal comfort, building energy use, and anthropogenic emissions. The extent of these impacts may vary due to different morphologies and materials of the built environment. The present contribution summarizes the results of a multi-year effort concerned with the extent and implications of urban heat in Vienna, Austria. For this purpose, high-resolution weather data across six locations are obtained and analyzed. This allowed for an objective assessment of urban-level climatic circumstances across distinct low-density and high-density typologies. Subsequently, a systematic framework was developed for identification of essential properties of the built environment (geometric and material-related) that are hypothesized to influence microclimate variation. Results point to a number of related (positive and negative) correlations with microclimatic tendencies. Additionally, the impact of this location-specific weather data on building performance simulation results is evaluated. The results suggest that buildings' thermal performance is significantly influenced by location-specific microclimatic conditions with variation of mean annual heating load across locations of up to 16.1 kWhm(-2)a(-1). The use of location-independent weather data sources (e.g., standardized weather files) for building performance estimations can, thus, result in considerable errors.</t>
        </is>
      </c>
      <c r="X564" t="inlineStr">
        <is>
          <t>[Vuckovic, Milena; Kiesel, Kristina; Mahdavi, Ardeshir] Vienna Univ Technol, Dept Bldg Phys &amp; Bldg Ecol, Karlspl, A-1040 Vienna, Austria</t>
        </is>
      </c>
      <c r="Y564" t="inlineStr">
        <is>
          <t>Technische Universitat Wien</t>
        </is>
      </c>
      <c r="Z564" t="inlineStr">
        <is>
          <t>Vuckovic, M (corresponding author), Vienna Univ Technol, Dept Bldg Phys &amp; Bldg Ecol, Karlspl, A-1040 Vienna, Austria.</t>
        </is>
      </c>
      <c r="AA564" t="inlineStr">
        <is>
          <t>milena.vuckovic@tuwien.ac.at; kristina.kiesel@tuwien.ac.at; bpi@tuwien.ac.at</t>
        </is>
      </c>
      <c r="AB564" t="inlineStr">
        <is>
          <t>Vuckovic, Milena/AAY-9184-2020</t>
        </is>
      </c>
      <c r="AC564" t="inlineStr">
        <is>
          <t>Vuckovic, Milena/0000-0002-5825-8237</t>
        </is>
      </c>
      <c r="AD564" t="inlineStr">
        <is>
          <t>TU Wien University Library through its Open Access Funding Program; EU-Project Development and application of mitigation and adaptation strategies and measures for counteracting the global Urban Heat Island phenomenon (Central Europe Program) [3CE292P3]</t>
        </is>
      </c>
      <c r="AE564" t="inlineStr">
        <is>
          <t>TU Wien University Library through its Open Access Funding Program; EU-Project Development and application of mitigation and adaptation strategies and measures for counteracting the global Urban Heat Island phenomenon (Central Europe Program)</t>
        </is>
      </c>
      <c r="AF564" t="inlineStr">
        <is>
          <t>The research work presented in this paper was supported in part within the framework of the EU-Project Development and application of mitigation and adaptation strategies and measures for counteracting the global Urban Heat Island phenomenon (Central Europe Program, No. 3CE292P3). The authors also acknowledge the TU Wien University Library for financial support through its Open Access Funding Program.</t>
        </is>
      </c>
      <c r="AH564" t="n">
        <v>63</v>
      </c>
      <c r="AI564" t="n">
        <v>18</v>
      </c>
      <c r="AJ564" t="n">
        <v>18</v>
      </c>
      <c r="AK564" t="n">
        <v>6</v>
      </c>
      <c r="AL564" t="n">
        <v>18</v>
      </c>
      <c r="AM564" t="inlineStr">
        <is>
          <t>MDPI</t>
        </is>
      </c>
      <c r="AN564" t="inlineStr">
        <is>
          <t>BASEL</t>
        </is>
      </c>
      <c r="AO564" t="inlineStr">
        <is>
          <t>ST ALBAN-ANLAGE 66, CH-4052 BASEL, SWITZERLAND</t>
        </is>
      </c>
      <c r="AQ564" t="inlineStr">
        <is>
          <t>2071-1050</t>
        </is>
      </c>
      <c r="AS564" t="inlineStr">
        <is>
          <t>SUSTAINABILITY-BASEL</t>
        </is>
      </c>
      <c r="AT564" t="inlineStr">
        <is>
          <t>Sustainability</t>
        </is>
      </c>
      <c r="AU564" t="inlineStr">
        <is>
          <t>FEB</t>
        </is>
      </c>
      <c r="AV564" t="n">
        <v>2017</v>
      </c>
      <c r="AW564" t="n">
        <v>9</v>
      </c>
      <c r="AX564" t="n">
        <v>2</v>
      </c>
      <c r="BE564" t="n">
        <v>177</v>
      </c>
      <c r="BF564" t="inlineStr">
        <is>
          <t>10.3390/su9020177</t>
        </is>
      </c>
      <c r="BG564">
        <f>HYPERLINK("http://dx.doi.org/10.3390/su9020177","http://dx.doi.org/10.3390/su9020177")</f>
        <v/>
      </c>
      <c r="BJ564" t="n">
        <v>16</v>
      </c>
      <c r="BK564" t="inlineStr">
        <is>
          <t>Green &amp; Sustainable Science &amp; Technology; Environmental Sciences; Environmental Studies</t>
        </is>
      </c>
      <c r="BL564" t="inlineStr">
        <is>
          <t>Science Citation Index Expanded (SCI-EXPANDED); Social Science Citation Index (SSCI)</t>
        </is>
      </c>
      <c r="BM564" t="inlineStr">
        <is>
          <t>Science &amp; Technology - Other Topics; Environmental Sciences &amp; Ecology</t>
        </is>
      </c>
      <c r="BN564" t="inlineStr">
        <is>
          <t>EM8VZ</t>
        </is>
      </c>
      <c r="BP564" t="inlineStr">
        <is>
          <t>gold, Green Published, Green Submitted</t>
        </is>
      </c>
      <c r="BS564" t="inlineStr">
        <is>
          <t>2023-10-26</t>
        </is>
      </c>
      <c r="BT564" t="inlineStr">
        <is>
          <t>WOS:000395590500019</t>
        </is>
      </c>
      <c r="BU564">
        <f>HYPERLINK("https%3A%2F%2Fwww.webofscience.com%2Fwos%2Fwoscc%2Ffull-record%2FWOS:000395590500019","View Full Record in Web of Science")</f>
        <v/>
      </c>
    </row>
    <row r="565">
      <c r="A565" t="inlineStr">
        <is>
          <t>J</t>
        </is>
      </c>
      <c r="B565" t="inlineStr">
        <is>
          <t>Ferguson, L; Taylor, J; Davies, M; Shrubsole, C; Symonds, P; Dimitroulopoulou, S</t>
        </is>
      </c>
      <c r="F565" t="inlineStr">
        <is>
          <t>Ferguson, Lauren; Taylor, Jonathon; Davies, Michael; Shrubsole, Clive; Symonds, Phil; Dimitroulopoulou, Sani</t>
        </is>
      </c>
      <c r="J565" t="inlineStr">
        <is>
          <t>ENVIRONMENT INTERNATIONAL</t>
        </is>
      </c>
      <c r="M565" t="inlineStr">
        <is>
          <t>English</t>
        </is>
      </c>
      <c r="N565" t="inlineStr">
        <is>
          <t>Review</t>
        </is>
      </c>
      <c r="T565" t="inlineStr">
        <is>
          <t>Exposure to indoor air pollution across socio-economic groups in high-income countries: A scoping review of the literature and a modelling methodology</t>
        </is>
      </c>
      <c r="U565" t="inlineStr">
        <is>
          <t>Indoor air quality; Household air pollution; Socio-economic status; Environmental justice; Indoor environment modelling; Preferred reporting items for systematic reviews meta-analyses (PRISMA)</t>
        </is>
      </c>
      <c r="V565" t="inlineStr">
        <is>
          <t>ENVIRONMENTAL TOBACCO-SMOKE; CHILDRENS EXPOSURE; PERSONAL EXPOSURE; NITROGEN-DIOXIDE; 2ND-HAND SMOKE; ENERGY EFFICIENCY; SECONDHAND SMOKE; RESIDENTIAL BUILDINGS; SOURCE APPORTIONMENT; PARTICULATE MATTER</t>
        </is>
      </c>
      <c r="W565" t="inlineStr">
        <is>
          <t>Disparities in outdoor air pollution exposure between individuals of differing socio-economic status is a growing area of research, widely explored in the environmental health literature. However, in developed countries, around 80% of time is spent indoors, meaning indoor air pollution may be a better proxy for personal exposure. Building characteristics such as build quality, volume and ventilation and occupant behaviour, mean indoor air pollution may also vary across socio-economic groups, leading to health inequalities. Much of the existing literature has focused on inequalities in exposure to outdoor air pollution, and there is thus a lack of an evidence base reviewing data for indoor environments. In this study, a scoping review of the literature on indoor air pollution exposures across different socio-economic groups is performed, examining evidence from both monitoring and modelling studies in the developed world. The literature was reviewed, identifying different indoor pollutants, definitions for socio-economic status and preand posthousing interventions. Based on the review, the study proposes a modelling methodology for evaluating the effects of environmental policies on different socio-economic populations. Using a sample size calculation, obstacles in obtaining sufficiently large samples of monitored data are demonstrated. A modelling framework for the rapid quantification of daily home exposure is then outlined as a proof of concept. While significant additional research is required to examine inequalities in indoor exposures, modelling approaches may provide opportunities to quantify exposure disparities due to housing and behaviours across populations of different socio-economic status.</t>
        </is>
      </c>
      <c r="X565" t="inlineStr">
        <is>
          <t>[Ferguson, Lauren] UCL, UCL Energy Inst, Bartlett Sch Environm Energy &amp; Resources, London, England; [Ferguson, Lauren; Taylor, Jonathon; Davies, Michael; Symonds, Phil] UCL, Inst Environm Design &amp; Engn, Bartlett Sch Environm Energy &amp; Resources, London, England; [Ferguson, Lauren; Shrubsole, Clive; Dimitroulopoulou, Sani] Publ Hlth England, Ctr Radiat Chem &amp; Environm Hazards, Environm Hazards &amp; Emergencies Dept, Air Qual &amp; Publ Hlth Grp,Harwell Sci &amp; Innovat Ca, Harwell, Berks, England</t>
        </is>
      </c>
      <c r="Y565" t="inlineStr">
        <is>
          <t>University of London; University College London; University of London; University College London</t>
        </is>
      </c>
      <c r="Z565" t="inlineStr">
        <is>
          <t>Ferguson, L (corresponding author), UCL Energy Inst, Cent House,14 Upper Woburn Pl, London WC1H 0NN, England.</t>
        </is>
      </c>
      <c r="AA565" t="inlineStr">
        <is>
          <t>lauren.ferguson.17@ucl.ac.uk</t>
        </is>
      </c>
      <c r="AB565" t="inlineStr">
        <is>
          <t>Davies, Michael/GWV-2527-2022; Taylor, Jonathon/B-1558-2018</t>
        </is>
      </c>
      <c r="AC565" t="inlineStr">
        <is>
          <t>Taylor, Jonathon/0000-0003-3485-1404; Ferguson, Lauren/0000-0002-8506-9888; Symonds, Phil/0000-0002-6290-5417; Dimitroulopoulou, Sani/0000-0001-9913-1526</t>
        </is>
      </c>
      <c r="AD565" t="inlineStr">
        <is>
          <t>EPSRC Centre for Doctoral Training in Energy Demand (LoLo) grant [EP/L01517X/1]; Public Health England (UCL award) [551610/178423]; Wellcome Trust [205207/Z/16/Z, 209387/Z/17/Z]; Wellcome Trust [205207/Z/16/Z] Funding Source: Wellcome Trust</t>
        </is>
      </c>
      <c r="AE565" t="inlineStr">
        <is>
          <t>EPSRC Centre for Doctoral Training in Energy Demand (LoLo) grant(UK Research &amp; Innovation (UKRI)Engineering &amp; Physical Sciences Research Council (EPSRC)); Public Health England (UCL award); Wellcome Trust(Wellcome Trust); Wellcome Trust(Wellcome Trust)</t>
        </is>
      </c>
      <c r="AF565" t="inlineStr">
        <is>
          <t>This research was made possible by support from the EPSRC Centre for Doctoral Training in Energy Demand (LoLo) grant numbers EP/L01517X/1 and Public Health England (UCL award code 551610/178423). The views expressed are those of the author(s) and not necessarily those of The LoLo Centre for Doctoral Training or Public Health England. PS and JT are funded are funded by the Wellcome Trust for the 'Complex Urban Systems for Sustainability and Health' (CUSSH) project [award codes 205207/Z/16/Z and 209387/Z/17/Z].</t>
        </is>
      </c>
      <c r="AH565" t="n">
        <v>158</v>
      </c>
      <c r="AI565" t="n">
        <v>45</v>
      </c>
      <c r="AJ565" t="n">
        <v>45</v>
      </c>
      <c r="AK565" t="n">
        <v>8</v>
      </c>
      <c r="AL565" t="n">
        <v>55</v>
      </c>
      <c r="AM565" t="inlineStr">
        <is>
          <t>PERGAMON-ELSEVIER SCIENCE LTD</t>
        </is>
      </c>
      <c r="AN565" t="inlineStr">
        <is>
          <t>OXFORD</t>
        </is>
      </c>
      <c r="AO565" t="inlineStr">
        <is>
          <t>THE BOULEVARD, LANGFORD LANE, KIDLINGTON, OXFORD OX5 1GB, ENGLAND</t>
        </is>
      </c>
      <c r="AP565" t="inlineStr">
        <is>
          <t>0160-4120</t>
        </is>
      </c>
      <c r="AQ565" t="inlineStr">
        <is>
          <t>1873-6750</t>
        </is>
      </c>
      <c r="AS565" t="inlineStr">
        <is>
          <t>ENVIRON INT</t>
        </is>
      </c>
      <c r="AT565" t="inlineStr">
        <is>
          <t>Environ. Int.</t>
        </is>
      </c>
      <c r="AU565" t="inlineStr">
        <is>
          <t>OCT</t>
        </is>
      </c>
      <c r="AV565" t="n">
        <v>2020</v>
      </c>
      <c r="AW565" t="n">
        <v>143</v>
      </c>
      <c r="BE565" t="n">
        <v>105748</v>
      </c>
      <c r="BF565" t="inlineStr">
        <is>
          <t>10.1016/j.envint.2020.105748</t>
        </is>
      </c>
      <c r="BG565">
        <f>HYPERLINK("http://dx.doi.org/10.1016/j.envint.2020.105748","http://dx.doi.org/10.1016/j.envint.2020.105748")</f>
        <v/>
      </c>
      <c r="BJ565" t="n">
        <v>18</v>
      </c>
      <c r="BK565" t="inlineStr">
        <is>
          <t>Environmental Sciences</t>
        </is>
      </c>
      <c r="BL565" t="inlineStr">
        <is>
          <t>Science Citation Index Expanded (SCI-EXPANDED); Social Science Citation Index (SSCI)</t>
        </is>
      </c>
      <c r="BM565" t="inlineStr">
        <is>
          <t>Environmental Sciences &amp; Ecology</t>
        </is>
      </c>
      <c r="BN565" t="inlineStr">
        <is>
          <t>PI8KV</t>
        </is>
      </c>
      <c r="BO565" t="n">
        <v>32629198</v>
      </c>
      <c r="BP565" t="inlineStr">
        <is>
          <t>Green Published, gold</t>
        </is>
      </c>
      <c r="BS565" t="inlineStr">
        <is>
          <t>2023-10-26</t>
        </is>
      </c>
      <c r="BT565" t="inlineStr">
        <is>
          <t>WOS:000601333900013</t>
        </is>
      </c>
      <c r="BU565">
        <f>HYPERLINK("https%3A%2F%2Fwww.webofscience.com%2Fwos%2Fwoscc%2Ffull-record%2FWOS:000601333900013","View Full Record in Web of Science")</f>
        <v/>
      </c>
    </row>
    <row r="566">
      <c r="A566" t="inlineStr">
        <is>
          <t>J</t>
        </is>
      </c>
      <c r="B566" t="inlineStr">
        <is>
          <t>Pomponi, F; D'Amico, B</t>
        </is>
      </c>
      <c r="F566" t="inlineStr">
        <is>
          <t>Pomponi, Francesco; D'Amico, Bernardino</t>
        </is>
      </c>
      <c r="J566" t="inlineStr">
        <is>
          <t>SUSTAINABILITY</t>
        </is>
      </c>
      <c r="M566" t="inlineStr">
        <is>
          <t>English</t>
        </is>
      </c>
      <c r="N566" t="inlineStr">
        <is>
          <t>Editorial Material</t>
        </is>
      </c>
      <c r="T566" t="inlineStr">
        <is>
          <t>Low Energy Architecture and Low Carbon Cities: Exploring Links, Scales, and Environmental Impacts</t>
        </is>
      </c>
      <c r="U566" t="inlineStr">
        <is>
          <t>low carbon cities; low energy buildings; sustainability transitions; shelter; building stock; building lifetime; carbon flux</t>
        </is>
      </c>
      <c r="V566" t="inlineStr">
        <is>
          <t>BUILT ENVIRONMENT; CIRCULAR ECONOMY; SUSTAINABILITY</t>
        </is>
      </c>
      <c r="W566" t="inlineStr">
        <is>
          <t>Projected population growth and urbanization rates will create a huge demand for new buildings and put an unprecedented pressure on the natural environment and its limited resources. Architectural design has often focused on passive or low-energy approaches to reduce the energy consumption of buildings but it is evident that a more holistic, whole-life based mindset is imperative. On another scale, the movement for, and global initiatives around, low carbon cities promise to deliver the built environment of tomorrow, in harmony with the natural boundary of our planet, the societal needs of its human habitants, and the required growth for economic prosperity. However, cities are made up of individual buildings and this intimate relationship is often poorly understood and under-researched. This multi-scale problem (materials, buildings, and cities) requires plural, trans-disciplinary, and creative ways to develop a range of viable solutions. The unknown about our built environment is vast: the articles in this special issue aim to contribute to the ongoing global efforts to ensure our built environments will be fit for the challenges of our time.</t>
        </is>
      </c>
      <c r="X566" t="inlineStr">
        <is>
          <t>[Pomponi, Francesco; D'Amico, Bernardino] Edinburgh Napier Univ, Resource Efficient Built Environm Lab REBEL, Colinton Rd, Edinburgh EH10 5DT, Midlothian, Scotland; [Pomponi, Francesco] Univ Cambridge, Cambridge Inst Sustainability Leadership, 1 Trumpington St, Cambridge CB2 1QA, England</t>
        </is>
      </c>
      <c r="Y566" t="inlineStr">
        <is>
          <t>Edinburgh Napier University; University of Cambridge</t>
        </is>
      </c>
      <c r="Z566" t="inlineStr">
        <is>
          <t>Pomponi, F (corresponding author), Edinburgh Napier Univ, Resource Efficient Built Environm Lab REBEL, Colinton Rd, Edinburgh EH10 5DT, Midlothian, Scotland.;Pomponi, F (corresponding author), Univ Cambridge, Cambridge Inst Sustainability Leadership, 1 Trumpington St, Cambridge CB2 1QA, England.</t>
        </is>
      </c>
      <c r="AA566" t="inlineStr">
        <is>
          <t>f.pomponi@napier.ac.uk; b.damico@napier.ac.uk</t>
        </is>
      </c>
      <c r="AC566" t="inlineStr">
        <is>
          <t>Pomponi, Francesco/0000-0003-3132-2523; D'Amico, Bernardino/0000-0003-1789-3688</t>
        </is>
      </c>
      <c r="AD566" t="inlineStr">
        <is>
          <t>UK's Engineering and Physical Sciences Research Council (EPSRC) [EP/R01468X/1]; Royal Academy of Engineering (RAEng) [FoESFt5 n100015, FF n1920 n1 n19]; EPSRC [EP/R01468X/1] Funding Source: UKRI</t>
        </is>
      </c>
      <c r="AE566" t="inlineStr">
        <is>
          <t>UK's Engineering and Physical Sciences Research Council (EPSRC)(UK Research &amp; Innovation (UKRI)Engineering &amp; Physical Sciences Research Council (EPSRC)); Royal Academy of Engineering (RAEng)(Royal Academy of Engineering - UK); EPSRC(UK Research &amp; Innovation (UKRI)Engineering &amp; Physical Sciences Research Council (EPSRC))</t>
        </is>
      </c>
      <c r="AF566" t="inlineStr">
        <is>
          <t>The themes and research that allowed the idea and topic of this special issue to emerge and materialize have been funded by the UK's Engineering and Physical Sciences Research Council (EPSRC), grant number EP/R01468X/1, and the Royal Academy of Engineering (RAEng), grant numbers FoESFt5 n100015 and FF n1920 n1 n19.</t>
        </is>
      </c>
      <c r="AH566" t="n">
        <v>33</v>
      </c>
      <c r="AI566" t="n">
        <v>2</v>
      </c>
      <c r="AJ566" t="n">
        <v>2</v>
      </c>
      <c r="AK566" t="n">
        <v>3</v>
      </c>
      <c r="AL566" t="n">
        <v>24</v>
      </c>
      <c r="AM566" t="inlineStr">
        <is>
          <t>MDPI</t>
        </is>
      </c>
      <c r="AN566" t="inlineStr">
        <is>
          <t>BASEL</t>
        </is>
      </c>
      <c r="AO566" t="inlineStr">
        <is>
          <t>ST ALBAN-ANLAGE 66, CH-4052 BASEL, SWITZERLAND</t>
        </is>
      </c>
      <c r="AQ566" t="inlineStr">
        <is>
          <t>2071-1050</t>
        </is>
      </c>
      <c r="AS566" t="inlineStr">
        <is>
          <t>SUSTAINABILITY-BASEL</t>
        </is>
      </c>
      <c r="AT566" t="inlineStr">
        <is>
          <t>Sustainability</t>
        </is>
      </c>
      <c r="AU566" t="inlineStr">
        <is>
          <t>NOV</t>
        </is>
      </c>
      <c r="AV566" t="n">
        <v>2020</v>
      </c>
      <c r="AW566" t="n">
        <v>12</v>
      </c>
      <c r="AX566" t="n">
        <v>21</v>
      </c>
      <c r="BE566" t="n">
        <v>9189</v>
      </c>
      <c r="BF566" t="inlineStr">
        <is>
          <t>10.3390/su12219189</t>
        </is>
      </c>
      <c r="BG566">
        <f>HYPERLINK("http://dx.doi.org/10.3390/su12219189","http://dx.doi.org/10.3390/su12219189")</f>
        <v/>
      </c>
      <c r="BJ566" t="n">
        <v>6</v>
      </c>
      <c r="BK566" t="inlineStr">
        <is>
          <t>Green &amp; Sustainable Science &amp; Technology; Environmental Sciences; Environmental Studies</t>
        </is>
      </c>
      <c r="BL566" t="inlineStr">
        <is>
          <t>Science Citation Index Expanded (SCI-EXPANDED); Social Science Citation Index (SSCI)</t>
        </is>
      </c>
      <c r="BM566" t="inlineStr">
        <is>
          <t>Science &amp; Technology - Other Topics; Environmental Sciences &amp; Ecology</t>
        </is>
      </c>
      <c r="BN566" t="inlineStr">
        <is>
          <t>OR2KW</t>
        </is>
      </c>
      <c r="BP566" t="inlineStr">
        <is>
          <t>Green Published, gold</t>
        </is>
      </c>
      <c r="BS566" t="inlineStr">
        <is>
          <t>2023-10-26</t>
        </is>
      </c>
      <c r="BT566" t="inlineStr">
        <is>
          <t>WOS:000589305000001</t>
        </is>
      </c>
      <c r="BU566">
        <f>HYPERLINK("https%3A%2F%2Fwww.webofscience.com%2Fwos%2Fwoscc%2Ffull-record%2FWOS:000589305000001","View Full Record in Web of Science")</f>
        <v/>
      </c>
    </row>
    <row r="567">
      <c r="A567" t="inlineStr">
        <is>
          <t>J</t>
        </is>
      </c>
      <c r="B567" t="inlineStr">
        <is>
          <t>Baloch, RM; Maesano, CN; Christoffersen, J; Banerjee, S; Gabriel, M; Csobod, E; Fernandes, ED; Annesi-Maesano, I; Csobod, EÉ; Szuppinger, P; Prokai, R; Farkas, P; Fuzi, C; Cani, E; Draganic, J; Mogyorosy, ER; Korac, Z; Ventura, G; Madureira, J; Paciêcia, I; Martins, A; Pereira, R; Ramos, E; Rudnai, P; Páldy, A; Dura, G; Beregszászi, T; Vaskovi, E; Magyar, D; Pandics, T; Remény-Nagy, Z; Szentmihályi, R; Udvardy, O; Varró, MJ; Kephalopoulos, S; Kotzias, D; Barrero-Moreno, J; Mehmeti, R; Vilic, A; Maestro, D; Moshammer, H; Strasser, G; Brigitte, P; Hohenblum, P; Goelen, E; Stranger, M; Spruy, M; Sidjimov, M; Hadjipanayis, A; Katsonouri-Sazeides, A; Demetriou, E; Kubinova, R; Kazmarová, H; Dlouha, B; Kotlík, B; Vabar, H; Ruut, J; Metus, M; Rand, K; Järviste, A; Nevalainen, A; Hyvarinen, A; Täubel, M; Järvi, K; Mandin, C; Berthineau, B; Moriske, HJ; Giacomini, M; Neumann, A; Bartzis, J; Kalimeri, K; Saraga, D; Santamouris, M; Assimakopoulos, MN; Asimakopoulos, V; Carrer, P; Cattaneo, A; Pulvirenti, S; Vercelli, F; Strangi, F; Omeri, E; Piazza, S; D'Alcamo, A; Fanetti, AC; Sestini, P; Kouri, M; Viegi, G; Sarno, G; Baldacci, S; Maio, S; Cerrai, S; Franzitta, V; Bucchieri, S; Cibella, F; Simoni, M; Neri, M; Martuzevicius, D; Krugly, E; Montefort, S; Fsadni, P; Brewczynski, PZ; Krakowiak, E; Kurek, J; Kubarek, E; Wlazlo, A; Borrego, C; Alves, C; Valente, J; Gurzau, E; Rosu, C; Popita, G; Neamtiu, I; Neagu, C; Norback, D; Bluyssen, P; Bohms, M; Van den Hazel, P; Cassee, F; de Bruin, YB; Bartonova, A; Yang, A; Halzlová, K; Jajcaj, M; Kániková, M; Miklankova, O; Vítkivá, M; Jovasevic-Stojanovic, M; Zivkovic, M; Stevanovic, Z; Lazovic, I; Stevanovic, Z; Zivkovic, Z; Cerovic, S; Jocic-Stojanovic, J; Mumovic, D; Tarttelin, P; Chatzidiakou, L; Chatzidiakou, E; Dewolf, MC</t>
        </is>
      </c>
      <c r="F567" t="inlineStr">
        <is>
          <t>Baloch, Ramen Munir; Maesano, Cara Nichole; Christoffersen, Jens; Banerjee, Soutrik; Gabriel, Marta; Csobod, Eva; Fernandes, Eduardo de Oliveira; Annesi-Maesano, Isabella; Csobod, Eva; Szuppinger, Peter; Prokai, Reka; Farkas, Petur; Fuzi, Cecilia; Cani, Eduart; Draganic, Jasna; Mogyorosy, Eszter Reka; Korac, Zorica; Ventura, Gabriela; Madureira, Joana; Paciencia, Ines; Martins, Anabela; Pereira, Ricardo; Ramos, Elisabete; Rudnai, Peter; Paldy, Anna; Dura, Gyula; Beregszaszi, Timea; Vaskovi, Eva; Magyar, Donat; Pandics, Tamas; Remeny-Nagy, Zsuzsanna; Szentmihalyi, Renata; Udvardy, Orsolya; Varro, Mihaly J.; Kephalopoulos, Stylianos; Kotzias, Dimitrios; Barrero-Moreno, Josefa; Mehmeti, Rahmije; Vilic, Aida; Maestro, Daniel; Moshammer, Hanns; Strasser, Gabriela; Brigitte, Piegler; Hohenblum, Philipp; Goelen, Eddy; Stranger, Marianne; Spruy, Maarten; Sidjimov, Momchil; Hadjipanayis, Adamos; Katsonouri-Sazeides, Andromachi; Demetriou, Eleni; Kubinova, Ruzana; Kazmarova, Helena; Dlouha, Beatricia; Kotlik, Bohumil; Vabar, Helen; Ruut, Juri; Metus, Meelis; Rand, Kristiina; Jarviste, Antonina; Nevalainen, Aino; Hyvarinen, Anne; Taubel, Martin; Jarvi, Kati; Mandin, Corinne; Berthineau, Bruno; Moriske, Heinz-Joern; Giacomini, Marcia; Neumann, Anett; Bartzis, John; Kalimeri, Krystallia; Saraga, Dikaia; Santamouris, Mattheos; Assimakopoulos, Margarita Niki; Asimakopoulos, Vasiliki; Carrer, Paolo; Cattaneo, Andrea; Pulvirenti, Salvatore; Vercelli, Franco; Strangi, Fabio; Omeri, Elida; Piazza, Silvia; D'Alcamo, Andrea; Fanetti, Anna Clara; Sestini, Piersante; Kouri, Magdalini; Viegi, Giovanni; Sarno, Giuseppe; Baldacci, Sandra; Maio, Sara; Cerrai, Sonia; Franzitta, Vincenzo; Bucchieri, Salvatore; Cibella, Fabio; Simoni, Marzia; Neri, Margherita; Martuzevicius, Dainius; Krugly, Edvinas; Montefort, Stephen; Fsadni, Peter; Brewczynski, Piotr Z.; Krakowiak, Ewa; Kurek, Jolanta; Kubarek, Elibieta; Wlazlo, Agnieszka; Borrego, Carlos; Alves, Celia; Valente, Joana; Gurzau, Eugen; Rosu, Cristina; Popita, Gabriela; Neamtiu, Iulia; Neagu, Cristina; Norback, Dan; Bluyssen, Phylomena; Bohms, Michel; Van den Hazel, Peter; Cassee, Flemming; de Bruin, Yuri Bruinen; Bartonova, Alena; Yang, Aileen; Halzlova, Katarina; Jajcaj, Michal; Kanikova, Milada; Miklankova, Olga; Vitkiva, Marianna; Jovasevic-Stojanovic, Milena; Zivkovic, Marija; Stevanovic, Zarko; Lazovic, Ivan; Stevanovic, Zana; Zivkovic, Zorica; Cerovic, Sofija; Jocic-Stojanovic, Jasmina; Mumovic, Dejan; Tarttelin, Paula; Chatzidiakou, Lia; Chatzidiakou, Evangelia; Dewolf, Marie-Christine</t>
        </is>
      </c>
      <c r="J567" t="inlineStr">
        <is>
          <t>SCIENCE OF THE TOTAL ENVIRONMENT</t>
        </is>
      </c>
      <c r="M567" t="inlineStr">
        <is>
          <t>English</t>
        </is>
      </c>
      <c r="N567" t="inlineStr">
        <is>
          <t>Article</t>
        </is>
      </c>
      <c r="T567" t="inlineStr">
        <is>
          <t>Indoor air pollution, physical and comfort parameters related to schoolchildren's health: Data from the European SINPHONIE study</t>
        </is>
      </c>
      <c r="U567" t="inlineStr">
        <is>
          <t>Indoor air pollution; Allergy; VOC; Sick building syndrome; Multi-pollution; Thermal parameters</t>
        </is>
      </c>
      <c r="V567" t="inlineStr">
        <is>
          <t>VOLATILE ORGANIC-COMPOUNDS; RESPIRATORY HEALTH; RESIDENTIAL RADON; LUNG-CANCER; ASTHMATIC SYMPTOMS; EXPOSURE; QUALITY; SCHOOLS; FORMALDEHYDE; OUTDOOR</t>
        </is>
      </c>
      <c r="W567" t="inlineStr">
        <is>
          <t>Substantial knowledge is available on the association of the indoor school environment and its effect among schoolchildren. In the same context, the SINPHONIE (School indoor pollution and health: Observatory network in Europe) conducted a study to collect data and determine the distribution of several indoor air pollutants (IAPs), physical and thermal parameters and their association with eye, skin, upper-, lower respiratory and systemic disorder symptoms during the previous three months. Finally, data from 115 schools in 54 European cities from 23 countries were collected and included 5175 schoolchildren using a harmonized and standardized protocol. The association between exposures and the health outcomes were examined using logistic regression models on the environmental stressors assessed in classroom while adjusting for several confounding factors; a VOC (volatile organic compound) score defined as the sum of the number of pollutants to which the children were highly exposed (concentration &gt; median of the distribution) in classroom was also introduced to evaluate the mul tiexposu re - outcome association. Schoolchildren while adjusting for several confounding factors. Schoolchildren exposed to above or equal median concentration of PM2.5, benzene, limonene, ozone and radon were at significantly higher odds of suffering from upper, lower airways, eye and systemic disorders. Increased odds were also observed for any symptom (sick school syndrome) among schoolchildren exposed to concentrations of limonene and ozone above median values. Furthermore, the risks for upper and lower airways and systemic disorders significantly increased with the VOCs score. Results also showed that increased ventilation rate was significantly associated with decreased odds of suffering from eye and skin disorders whereas similar association was observed between temperature and upper airways symptoms. The present study provides evidence that exposure to IAPs in schools is associated with various health problems in children. Further investigations are needed to confirm our findings. (C) 2020 Elsevier B.V. All rights reserved.</t>
        </is>
      </c>
      <c r="X567" t="inlineStr">
        <is>
          <t>[Csobod, Eva; Szuppinger, Peter; Prokai, Reka; Farkas, Petur; Fuzi, Cecilia] Reg Environm Ctr Cent &amp; Eastern Europe, HQ, REC, Szentendre, Hungary; [Cani, Eduart] REC Albania, Tirana, Albania; [Draganic, Jasna] REC Bosnia &amp; Herzegovina, Sarajevo, Bosnia &amp; Herceg; [Mogyorosy, Eszter Reka; Korac, Zorica] REC Serbia, Belgrade, Serbia; [Fernandes, Eduardo de Oliveira; Ventura, Gabriela; Madureira, Joana; Paciencia, Ines; Martins, Anabela; Pereira, Ricardo; Ramos, Elisabete] Univ Porto, IDMEC FEUP, Inst Engn Mecan, Fac Engn, Porto, Portugal; [Rudnai, Peter; Paldy, Anna; Dura, Gyula; Beregszaszi, Timea; Vaskovi, Eva; Magyar, Donat; Pandics, Tamas; Remeny-Nagy, Zsuzsanna; Szentmihalyi, Renata; Udvardy, Orsolya; Varro, Mihaly J.] Natl Inst Environm Hlth, Budapest, Hungary; [Kephalopoulos, Stylianos; Kotzias, Dimitrios; Barrero-Moreno, Josefa] European Commiss, Joint Res Ctr Inst Hlth &amp; Consumer Protect, JRC, Ispra, Italy; [Mehmeti, Rahmije] Inst Publ Hlth, IPH ALB, Tirana, Albania; [Vilic, Aida; Maestro, Daniel] Inst Publ Hlth, IPH BH, Sarajevo, Bosnia &amp; Herceg; [Moshammer, Hanns; Strasser, Gabriela; Brigitte, Piegler] Med Univ, Inst Environm Hlth, Graz, Austria; [Hohenblum, Philipp] Umweltbundesamt GmbH, UBA A, Planning &amp; Coordinat Subst &amp; Anal, Vienna, Austria; [Goelen, Eddy; Stranger, Marianne; Spruy, Maarten] VITO, Flemish Inst Technol Res, Mol, Belgium; [Sidjimov, Momchil] Natl Ctr Publ Hlth &amp; Anal, Sofia, Bulgaria; [Hadjipanayis, Adamos] Larnaca Gen Hosp, Larnax, Cyprus; [Katsonouri-Sazeides, Andromachi; Demetriou, Eleni] State Gen Lab, CSGL, Nicosia, Cyprus; [Kubinova, Ruzana; Kazmarova, Helena; Dlouha, Beatricia; Kotlik, Bohumil] Natl Publ Hlth Inst, NPHI CZ, Prague, Czech Republic; [Vabar, Helen; Ruut, Juri; Metus, Meelis; Rand, Kristiina; Jarviste, Antonina] Hlth Board, HPI, Tallinn, Estonia; [Nevalainen, Aino; Hyvarinen, Anne; Taubel, Martin; Jarvi, Kati] Natl Inst Hlth &amp; Welf, THL, Helsinki, Finland; [Annesi-Maesano, Isabella] Sorbonne Univ, Pierre Louis Inst Epidemiol &amp; Publ Hlth IPLESP UM, Epidemiol Allerg &amp; Resp Dis Dept EPAR, INSERM, Paris, France; [Mandin, Corinne; Berthineau, Bruno] Ctr Sci &amp; Tech Batiment, St Martin Dheres, France; [Moriske, Heinz-Joern; Giacomini, Marcia; Neumann, Anett] Umweltbundesamt Fed Environm Agcy, UBA, Indoor Hyg Sect, Dessau Rosslau, Germany; [Bartzis, John; Kalimeri, Krystallia; Saraga, Dikaia] Univ Western Macedonia, UOWM, Kozani, Greece; [Santamouris, Mattheos; Assimakopoulos, Margarita Niki; Asimakopoulos, Vasiliki] Natl Kapodistrian Univ Athens, NKUA, Athens, Greece; [Carrer, Paolo; Cattaneo, Andrea; Pulvirenti, Salvatore; Vercelli, Franco; Strangi, Fabio; Omeri, Elida; Piazza, Silvia; D'Alcamo, Andrea; Fanetti, Anna Clara] Univ Milan, UMIL, Milan, Italy; [Sestini, Piersante; Kouri, Magdalini] Univ Siena, USiena, Siena, Italy; [Viegi, Giovanni; Sarno, Giuseppe; Baldacci, Sandra; Maio, Sara; Cerrai, Sonia; Franzitta, Vincenzo; Bucchieri, Salvatore; Cibella, Fabio; Simoni, Marzia] Natl Res Council CNR, CNR, Pisa, Italy; [Viegi, Giovanni; Sarno, Giuseppe; Baldacci, Sandra; Maio, Sara; Cerrai, Sonia; Franzitta, Vincenzo; Bucchieri, Salvatore; Cibella, Fabio; Simoni, Marzia] Natl Res Council CNR, CNR, Palermo, Italy; [Neri, Margherita] Fdn Salvatore Maugeri, FSM, Pavia, Italy; [Martuzevicius, Dainius; Krugly, Edvinas] Kaunas Univ Technol, KTU, Kaunas, Lithuania; [Montefort, Stephen; Fsadni, Peter] Univ Malta, Msida, Malta; [Brewczynski, Piotr Z.; Krakowiak, Ewa; Kurek, Jolanta; Kubarek, Elibieta; Wlazlo, Agnieszka] Inst Occupat Med &amp; Environm Hlth, Lodz, Poland; [Borrego, Carlos; Alves, Celia; Valente, Joana] Univ Aveiro, UAVR CESAM, Ctr Environm &amp; Marine Studies, Aveiro, Portugal; [Gurzau, Eugen; Rosu, Cristina; Popita, Gabriela; Neamtiu, Iulia; Neagu, Cristina] Babes Bolyai Univ, UBB, Cluj Napoca, Romania; [Norback, Dan] Uppsala Univ, Uppsala, Sweden; [Bluyssen, Phylomena; Bohms, Michel] TNO, Netherlands Org Appl Sci Res, The Hague, Netherlands; [Van den Hazel, Peter] Publ Hlth Serv Gelderland Midden, HVDGM, Arnhem, Netherlands; [Cassee, Flemming; de Bruin, Yuri Bruinen] Natl Inst Publ Hlth &amp; Environm, RIVM, Utrecht, Netherlands; [Bartonova, Alena; Yang, Aileen] Norwegian Inst Air Res, NILU, Kjeller, Norway; [Halzlova, Katarina; Jajcaj, Michal; Kanikova, Milada; Miklankova, Olga; Vitkiva, Marianna] Publ Hlth Author, PHA SK, Bratislava, Slovakia; [Jovasevic-Stojanovic, Milena; Zivkovic, Marija; Stevanovic, Zarko; Lazovic, Ivan; Stevanovic, Zana] Inst Vinca, Vinca, Serbia; [Zivkovic, Zorica; Cerovic, Sofija; Jocic-Stojanovic, Jasmina] Dr Dragisa Misovic Med Ctr, MC, Belgrade, Serbia; [Mumovic, Dejan; Tarttelin, Paula; Chatzidiakou, Lia; Chatzidiakou, Evangelia] UCL, London, England; [Dewolf, Marie-Christine] Hainaut Publ Hlth Inst, Antwerp, Belgium; [Baloch, Ramen Munir; Maesano, Cara Nichole; Banerjee, Soutrik; Annesi-Maesano, Isabella] Sorbonne Univ, INSERM, Pierre Louis Inst Epidemiol &amp; Publ Hlth IPLESP UM, Epidemiol Allerg &amp; Resp Dis Dept EPAR,St Antoine, F-75012 Paris, France; [Christoffersen, Jens] Velux AS, Adalsvej 99, DK-2970 Horsholm, Denmark; [Gabriel, Marta; Fernandes, Eduardo de Oliveira] Inst Sci &amp; Innovat Mech Engn &amp; Ind Management INE, Porto, Portugal; [Csobod, Eva] Reg Environm Ctr Cent &amp; Eastern Europe REC, 9-11 Ady Endre Ut, H-2000 Szentendre, Hungary</t>
        </is>
      </c>
      <c r="Y567" t="inlineStr">
        <is>
          <t>Universidade do Porto; Universidade de Lisboa; European Commission Joint Research Centre; EC JRC ISPRA Site; Medical University of Graz; VITO; National Institute of Public Health (SZU) - Czech Republic; Finland National Institute for Health &amp; Welfare; UDICE-French Research Universities; Sorbonne Universite; Institut National de la Sante et de la Recherche Medicale (Inserm); University of Western Macedonia; National &amp; Kapodistrian University of Athens; University of Milan; University of Siena; Consiglio Nazionale delle Ricerche (CNR); Consiglio Nazionale delle Ricerche (CNR); Istituti Clinici Scientifici Maugeri IRCCS; Kaunas University of Technology; University of Malta; Nofer Institute of Occupational Medicine; Universidade de Aveiro; Babes Bolyai University from Cluj; Uppsala University; Netherlands Organization Applied Science Research; Netherlands National Institute for Public Health &amp; the Environment; NILU; University of London; University College London; Institut National de la Sante et de la Recherche Medicale (Inserm); UDICE-French Research Universities; Sorbonne Universite</t>
        </is>
      </c>
      <c r="Z567" t="inlineStr">
        <is>
          <t>Baloch, RM (corresponding author), Sorbonne Univ, 27 Rue Chaligny, F-75571 Paris 12, France.;Baloch, RM (corresponding author), INSERM, Pierre Louis Inst Epidemiol &amp; Publ Hlth IPLESP UM, Epidemiol Allerg &amp; Resp Dis Dept EPAR, St Antoine Med Sch, 27 Rue Chaligny, F-75571 Paris 12, France.</t>
        </is>
      </c>
      <c r="AA567" t="inlineStr">
        <is>
          <t>ramen.baloch@iplesp.upmc.fr</t>
        </is>
      </c>
      <c r="AB567" t="inlineStr">
        <is>
          <t>Alves, Célia A./E-7583-2013; Cavallo, Domenico Maria MG/F-9881-2013; Viegi, Giovanni/K-2746-2016; Živković, Marija MZ/C-4424-2018; Assimkopoulos, Margarita/AAL-6920-2021; Neamtiu, Iulia Adina/AAS-8958-2021; Cerrai, Sonia/ABA-9903-2020; Assimakopoulos, Vasiliki D./H-3117-2014; Sarno, Giuseppe/HZK-7958-2023; Täubel, Martin/P-7059-2019; Stevanović, Žana Žarko/H-9741-2018; Bartonova, Alena/B-9223-2013; Baldacci, Sandra/K-4146-2016; Gabriel, Marta/J-2741-2014; Katsonouri, Andromachi/O-1628-2013; Mat, Santamouris/AAP-2836-2021; Martuzevicius, Dainius/A-7673-2010; Cattaneo, Andrea/J-4791-2013; Maestro, Daniel/GLR-5343-2022; Carrer, Paolo/I-7748-2017; Ramos, Elisabete/F-3473-2013; Cerrai, Sonia/P-7334-2018; Zivkovic, Zorica/E-2663-2018</t>
        </is>
      </c>
      <c r="AC567" t="inlineStr">
        <is>
          <t>Alves, Célia A./0000-0003-3231-3186; Cavallo, Domenico Maria MG/0000-0003-1853-2999; Viegi, Giovanni/0000-0002-1855-4410; Živković, Marija MZ/0000-0002-3415-5145; Neamtiu, Iulia Adina/0000-0002-5314-0539; Sarno, Giuseppe/0009-0006-7003-0696; Täubel, Martin/0000-0001-8082-1041; Stevanović, Žana Žarko/0000-0001-8434-4895; Bartonova, Alena/0000-0002-3350-1202; Baldacci, Sandra/0000-0002-0651-5182; Gabriel, Marta/0000-0001-6920-9038; Katsonouri, Andromachi/0000-0003-2038-0648; Martuzevicius, Dainius/0000-0002-7403-4196; Cattaneo, Andrea/0000-0002-2962-7259; Carrer, Paolo/0000-0001-5516-2195; Ramos, Elisabete/0000-0001-6573-218X; Cerrai, Sonia/0000-0002-0774-8586; Bucchieri, Salvatore/0000-0002-4604-4936; Bruinen de Bruin, Yuri/0000-0002-0558-0425; Mumovic, Dejan/0000-0002-4914-9004; Dr. Kotzias, Dimitrios/0000-0001-7466-4879; Mandin, Corinne/0000-0001-8462-8812; Ventura Silva, Gabriela/0000-0003-2589-5915; Saraga, Dikaia/0000-0002-8877-0776; Chatzidiakou, Lia/0000-0002-8753-1386; Martins, Anabela/0000-0003-2339-7533; Jovasevic-Stojanovic, Milena/0000-0003-0765-6603; Lazovic, Ivan/0000-0002-3877-5157; Bartzis, John/0000-0002-1213-8379; Hyvarinen, Anne/0000-0002-2823-0866; Zivkovic, Zorica/0000-0003-0363-3578; Oliveira Fernandes, Eduardo/0000-0002-5694-3599; Spruyt, Maarten/0000-0002-3592-3863</t>
        </is>
      </c>
      <c r="AD567" t="inlineStr">
        <is>
          <t>European Parliament with cooperation from the Directorate-General for Health and Food Safety (DG SANTE) of European Union [SANCO/2009/C2/04, SI2.570742]</t>
        </is>
      </c>
      <c r="AE567" t="inlineStr">
        <is>
          <t>European Parliament with cooperation from the Directorate-General for Health and Food Safety (DG SANTE) of European Union</t>
        </is>
      </c>
      <c r="AF567" t="inlineStr">
        <is>
          <t>SINPHONIE projectwas funded by the European Parliament with cooperation from the Directorate-General for Health and Food Safety (DG SANTE) of European Union (SANCO/2009/C2/04, contract SI2.570742).</t>
        </is>
      </c>
      <c r="AH567" t="n">
        <v>61</v>
      </c>
      <c r="AI567" t="n">
        <v>68</v>
      </c>
      <c r="AJ567" t="n">
        <v>69</v>
      </c>
      <c r="AK567" t="n">
        <v>5</v>
      </c>
      <c r="AL567" t="n">
        <v>101</v>
      </c>
      <c r="AM567" t="inlineStr">
        <is>
          <t>ELSEVIER</t>
        </is>
      </c>
      <c r="AN567" t="inlineStr">
        <is>
          <t>AMSTERDAM</t>
        </is>
      </c>
      <c r="AO567" t="inlineStr">
        <is>
          <t>RADARWEG 29, 1043 NX AMSTERDAM, NETHERLANDS</t>
        </is>
      </c>
      <c r="AP567" t="inlineStr">
        <is>
          <t>0048-9697</t>
        </is>
      </c>
      <c r="AQ567" t="inlineStr">
        <is>
          <t>1879-1026</t>
        </is>
      </c>
      <c r="AS567" t="inlineStr">
        <is>
          <t>SCI TOTAL ENVIRON</t>
        </is>
      </c>
      <c r="AT567" t="inlineStr">
        <is>
          <t>Sci. Total Environ.</t>
        </is>
      </c>
      <c r="AU567" t="inlineStr">
        <is>
          <t>OCT 15</t>
        </is>
      </c>
      <c r="AV567" t="n">
        <v>2020</v>
      </c>
      <c r="AW567" t="n">
        <v>739</v>
      </c>
      <c r="BE567" t="n">
        <v>139870</v>
      </c>
      <c r="BF567" t="inlineStr">
        <is>
          <t>10.1016/j.scitotenv.2020.139870</t>
        </is>
      </c>
      <c r="BG567">
        <f>HYPERLINK("http://dx.doi.org/10.1016/j.scitotenv.2020.139870","http://dx.doi.org/10.1016/j.scitotenv.2020.139870")</f>
        <v/>
      </c>
      <c r="BJ567" t="n">
        <v>12</v>
      </c>
      <c r="BK567" t="inlineStr">
        <is>
          <t>Environmental Sciences</t>
        </is>
      </c>
      <c r="BL567" t="inlineStr">
        <is>
          <t>Science Citation Index Expanded (SCI-EXPANDED)</t>
        </is>
      </c>
      <c r="BM567" t="inlineStr">
        <is>
          <t>Environmental Sciences &amp; Ecology</t>
        </is>
      </c>
      <c r="BN567" t="inlineStr">
        <is>
          <t>ND3IX</t>
        </is>
      </c>
      <c r="BO567" t="n">
        <v>32544681</v>
      </c>
      <c r="BP567" t="inlineStr">
        <is>
          <t>Green Published, hybrid</t>
        </is>
      </c>
      <c r="BS567" t="inlineStr">
        <is>
          <t>2023-10-26</t>
        </is>
      </c>
      <c r="BT567" t="inlineStr">
        <is>
          <t>WOS:000561798600006</t>
        </is>
      </c>
      <c r="BU567">
        <f>HYPERLINK("https%3A%2F%2Fwww.webofscience.com%2Fwos%2Fwoscc%2Ffull-record%2FWOS:000561798600006","View Full Record in Web of Science")</f>
        <v/>
      </c>
    </row>
    <row r="568">
      <c r="A568" t="inlineStr">
        <is>
          <t>J</t>
        </is>
      </c>
      <c r="B568" t="inlineStr">
        <is>
          <t>Black, K; Jester, DJ</t>
        </is>
      </c>
      <c r="F568" t="inlineStr">
        <is>
          <t>Black, Kathy; Jester, Dylan J.</t>
        </is>
      </c>
      <c r="J568" t="inlineStr">
        <is>
          <t>INTERNATIONAL JOURNAL OF ENVIRONMENTAL RESEARCH AND PUBLIC HEALTH</t>
        </is>
      </c>
      <c r="M568" t="inlineStr">
        <is>
          <t>English</t>
        </is>
      </c>
      <c r="N568" t="inlineStr">
        <is>
          <t>Article</t>
        </is>
      </c>
      <c r="T568" t="inlineStr">
        <is>
          <t>Examining Older Adults' Perspectives on the Built Environment and Correlates of Healthy Aging in an American Age-Friendly Community</t>
        </is>
      </c>
      <c r="U568" t="inlineStr">
        <is>
          <t>active aging in place; environmental design; healthy aging; livable communities</t>
        </is>
      </c>
      <c r="W568" t="inlineStr">
        <is>
          <t>Population aging has led to an increased focus on the environmental context in which we age. While researchers have identified significant health benefits associated with built community features such as housing, transportation and outdoor spaces and buildings, less attention has focused on the correlates of healthy aging and other characteristics via the perspective of community-dwelling older adults. This study utilized cluster analysis to examine health-related subgroups of older adults (n = 598) in an age-friendly community located in the United States, of which nearly half of its residents are age 60 and older. Linear regression was used to associate the health clusters with perceptions of built environmental features and socio-demographics. Four distinct profiles were identified, with the greatest preference for housing and transportation found among those reporting poorer health compared to those reporting excellent health across multi-dimensional healthy aging measures. Perceptions on the importance of built environmental features were also found to vary by age, income and home accessibility status. Findings suggest that older adults' perceptions about built environmental features differ across health and home status as well as age and income, underscoring opportunities for public health action to better reach and engage older adults by life-course trajectories in age-friendly communities.</t>
        </is>
      </c>
      <c r="X568" t="inlineStr">
        <is>
          <t>[Black, Kathy] Univ S Florida, Sch Aging Studies, Coll Behav &amp; Community Sci, Sarasota Manatee Campus, Sarasota, FL 34243 USA; [Jester, Dylan J.] Univ S Florida, Sch Aging Studies, Tampa, FL 33620 USA; [Jester, Dylan J.] Univ S Florida, Coll Publ Hlth, Tampa, FL 33620 USA</t>
        </is>
      </c>
      <c r="Y568" t="inlineStr">
        <is>
          <t>State University System of Florida; University of South Florida; State University System of Florida; University of South Florida; State University System of Florida; University of South Florida</t>
        </is>
      </c>
      <c r="Z568" t="inlineStr">
        <is>
          <t>Black, K (corresponding author), Univ S Florida, Sch Aging Studies, Coll Behav &amp; Community Sci, Sarasota Manatee Campus, Sarasota, FL 34243 USA.</t>
        </is>
      </c>
      <c r="AA568" t="inlineStr">
        <is>
          <t>kathy@usf.edu; djjester@usf.edu</t>
        </is>
      </c>
      <c r="AB568" t="inlineStr">
        <is>
          <t>Black, Kathy/AAE-6574-2022</t>
        </is>
      </c>
      <c r="AC568" t="inlineStr">
        <is>
          <t>Jester, Dylan/0000-0001-9878-9633</t>
        </is>
      </c>
      <c r="AH568" t="n">
        <v>26</v>
      </c>
      <c r="AI568" t="n">
        <v>9</v>
      </c>
      <c r="AJ568" t="n">
        <v>9</v>
      </c>
      <c r="AK568" t="n">
        <v>13</v>
      </c>
      <c r="AL568" t="n">
        <v>70</v>
      </c>
      <c r="AM568" t="inlineStr">
        <is>
          <t>MDPI</t>
        </is>
      </c>
      <c r="AN568" t="inlineStr">
        <is>
          <t>BASEL</t>
        </is>
      </c>
      <c r="AO568" t="inlineStr">
        <is>
          <t>ST ALBAN-ANLAGE 66, CH-4052 BASEL, SWITZERLAND</t>
        </is>
      </c>
      <c r="AQ568" t="inlineStr">
        <is>
          <t>1660-4601</t>
        </is>
      </c>
      <c r="AS568" t="inlineStr">
        <is>
          <t>INT J ENV RES PUB HE</t>
        </is>
      </c>
      <c r="AT568" t="inlineStr">
        <is>
          <t>Int. J. Environ. Res. Public Health</t>
        </is>
      </c>
      <c r="AU568" t="inlineStr">
        <is>
          <t>OCT</t>
        </is>
      </c>
      <c r="AV568" t="n">
        <v>2020</v>
      </c>
      <c r="AW568" t="n">
        <v>17</v>
      </c>
      <c r="AX568" t="n">
        <v>19</v>
      </c>
      <c r="BE568" t="n">
        <v>7056</v>
      </c>
      <c r="BF568" t="inlineStr">
        <is>
          <t>10.3390/ijerph17197056</t>
        </is>
      </c>
      <c r="BG568">
        <f>HYPERLINK("http://dx.doi.org/10.3390/ijerph17197056","http://dx.doi.org/10.3390/ijerph17197056")</f>
        <v/>
      </c>
      <c r="BJ568" t="n">
        <v>11</v>
      </c>
      <c r="BK568" t="inlineStr">
        <is>
          <t>Environmental Sciences; Public, Environmental &amp; Occupational Health</t>
        </is>
      </c>
      <c r="BL568" t="inlineStr">
        <is>
          <t>Science Citation Index Expanded (SCI-EXPANDED); Social Science Citation Index (SSCI)</t>
        </is>
      </c>
      <c r="BM568" t="inlineStr">
        <is>
          <t>Environmental Sciences &amp; Ecology; Public, Environmental &amp; Occupational Health</t>
        </is>
      </c>
      <c r="BN568" t="inlineStr">
        <is>
          <t>ON0YM</t>
        </is>
      </c>
      <c r="BO568" t="n">
        <v>32992480</v>
      </c>
      <c r="BP568" t="inlineStr">
        <is>
          <t>Green Published, gold</t>
        </is>
      </c>
      <c r="BS568" t="inlineStr">
        <is>
          <t>2023-10-26</t>
        </is>
      </c>
      <c r="BT568" t="inlineStr">
        <is>
          <t>WOS:000586437900001</t>
        </is>
      </c>
      <c r="BU568">
        <f>HYPERLINK("https%3A%2F%2Fwww.webofscience.com%2Fwos%2Fwoscc%2Ffull-record%2FWOS:000586437900001","View Full Record in Web of Science")</f>
        <v/>
      </c>
    </row>
    <row r="569">
      <c r="A569" t="inlineStr">
        <is>
          <t>J</t>
        </is>
      </c>
      <c r="B569" t="inlineStr">
        <is>
          <t>Ma, GF; Liu, Y; Shang, SS</t>
        </is>
      </c>
      <c r="F569" t="inlineStr">
        <is>
          <t>Ma, Guofeng; Liu, Ying; Shang, Shanshan</t>
        </is>
      </c>
      <c r="J569" t="inlineStr">
        <is>
          <t>SUSTAINABILITY</t>
        </is>
      </c>
      <c r="M569" t="inlineStr">
        <is>
          <t>English</t>
        </is>
      </c>
      <c r="N569" t="inlineStr">
        <is>
          <t>Article</t>
        </is>
      </c>
      <c r="T569" t="inlineStr">
        <is>
          <t>A Building Information Model (BIM) and Artificial Neural Network (ANN) Based System for Personal Thermal Comfort Evaluation and Energy Efficient Design of Interior Space</t>
        </is>
      </c>
      <c r="U569" t="inlineStr">
        <is>
          <t>personal thermal comfort; artificial neural network; energy efficient design; BIM</t>
        </is>
      </c>
      <c r="V569" t="inlineStr">
        <is>
          <t>SENSATION; TEMPERATURE; FRAMEWORK; GENDER; PMV</t>
        </is>
      </c>
      <c r="W569" t="inlineStr">
        <is>
          <t>It is crucial to evaluate indoor personal thermal comfort for a comfortable and green thermal environment. At present, the research on individual thermal comfort does not consider its implementation mode. Moreover, the improvement of energy saving efficiency under the premise of increasing human comfort is an urgent problem that needs to be solved. In this paper, we proposed a Building Information Model (BIM) and Artificial Neural Network (ANN) based system to solve this problem. The system consists of two parts including an ANN predictive model considering the Predicted Mean Vote (PMV) index, the persons' position, and an innovative plugin of BIM to realize dynamic evaluation and energy efficient design. The ANN model has three layers, considering three environment parameters (air temperature, air humidity, and wind speed around the person), three human state parameters (human metabolism rate, clothing thermal resistance, and the body position) and four body parameters (gender, age, height, and weight) as inputs. The plugin provides two functions. One is to provide corresponding personal thermal comfort evaluation results with dynamic changes of parameters returned by Wireless Sensor Networks (WSN). The other one is to provide energy saving optimization suggestions for interior space design by simulating the energy consumption index of different design schemes. In the data test, the Mean Squared Error (MSE) of the established ANN model was about 0.39, while the MSE of traditional PMV model was about 2.1. The system realized the integration of thermal information and a building model, thereby providing guidance for the creation of a comfortable and green indoor environment.</t>
        </is>
      </c>
      <c r="X569" t="inlineStr">
        <is>
          <t>[Ma, Guofeng; Liu, Ying] Tongji Univ, Sch Econ &amp; Management, Shanghai 20092, Peoples R China; [Shang, Shanshan] Shanghai Int Studies Univ, Int Business Adm Acad, Shanghai 201620, Peoples R China</t>
        </is>
      </c>
      <c r="Y569" t="inlineStr">
        <is>
          <t>Tongji University; Shanghai International Studies University</t>
        </is>
      </c>
      <c r="Z569" t="inlineStr">
        <is>
          <t>Liu, Y (corresponding author), Tongji Univ, Sch Econ &amp; Management, Shanghai 20092, Peoples R China.</t>
        </is>
      </c>
      <c r="AA569" t="inlineStr">
        <is>
          <t>06125@tonjing.edu.cn; sherryliu1024@163.com; Shanshangshang@shisu.edu.cn</t>
        </is>
      </c>
      <c r="AD569" t="inlineStr">
        <is>
          <t>National Natural Science Foundation of China [71671128]</t>
        </is>
      </c>
      <c r="AE569" t="inlineStr">
        <is>
          <t>National Natural Science Foundation of China(National Natural Science Foundation of China (NSFC))</t>
        </is>
      </c>
      <c r="AF569" t="inlineStr">
        <is>
          <t>This research was funded by the National Natural Science Foundation of China (grant number 71671128).</t>
        </is>
      </c>
      <c r="AH569" t="n">
        <v>39</v>
      </c>
      <c r="AI569" t="n">
        <v>25</v>
      </c>
      <c r="AJ569" t="n">
        <v>25</v>
      </c>
      <c r="AK569" t="n">
        <v>4</v>
      </c>
      <c r="AL569" t="n">
        <v>47</v>
      </c>
      <c r="AM569" t="inlineStr">
        <is>
          <t>MDPI</t>
        </is>
      </c>
      <c r="AN569" t="inlineStr">
        <is>
          <t>BASEL</t>
        </is>
      </c>
      <c r="AO569" t="inlineStr">
        <is>
          <t>ST ALBAN-ANLAGE 66, CH-4052 BASEL, SWITZERLAND</t>
        </is>
      </c>
      <c r="AQ569" t="inlineStr">
        <is>
          <t>2071-1050</t>
        </is>
      </c>
      <c r="AS569" t="inlineStr">
        <is>
          <t>SUSTAINABILITY-BASEL</t>
        </is>
      </c>
      <c r="AT569" t="inlineStr">
        <is>
          <t>Sustainability</t>
        </is>
      </c>
      <c r="AU569" t="inlineStr">
        <is>
          <t>SEP</t>
        </is>
      </c>
      <c r="AV569" t="n">
        <v>2019</v>
      </c>
      <c r="AW569" t="n">
        <v>11</v>
      </c>
      <c r="AX569" t="n">
        <v>18</v>
      </c>
      <c r="BE569" t="n">
        <v>4972</v>
      </c>
      <c r="BF569" t="inlineStr">
        <is>
          <t>10.3390/su11184972</t>
        </is>
      </c>
      <c r="BG569">
        <f>HYPERLINK("http://dx.doi.org/10.3390/su11184972","http://dx.doi.org/10.3390/su11184972")</f>
        <v/>
      </c>
      <c r="BJ569" t="n">
        <v>26</v>
      </c>
      <c r="BK569" t="inlineStr">
        <is>
          <t>Green &amp; Sustainable Science &amp; Technology; Environmental Sciences; Environmental Studies</t>
        </is>
      </c>
      <c r="BL569" t="inlineStr">
        <is>
          <t>Science Citation Index Expanded (SCI-EXPANDED); Social Science Citation Index (SSCI)</t>
        </is>
      </c>
      <c r="BM569" t="inlineStr">
        <is>
          <t>Science &amp; Technology - Other Topics; Environmental Sciences &amp; Ecology</t>
        </is>
      </c>
      <c r="BN569" t="inlineStr">
        <is>
          <t>JC2KA</t>
        </is>
      </c>
      <c r="BP569" t="inlineStr">
        <is>
          <t>Green Submitted, gold</t>
        </is>
      </c>
      <c r="BS569" t="inlineStr">
        <is>
          <t>2023-10-26</t>
        </is>
      </c>
      <c r="BT569" t="inlineStr">
        <is>
          <t>WOS:000489104700158</t>
        </is>
      </c>
      <c r="BU569">
        <f>HYPERLINK("https%3A%2F%2Fwww.webofscience.com%2Fwos%2Fwoscc%2Ffull-record%2FWOS:000489104700158","View Full Record in Web of Science")</f>
        <v/>
      </c>
    </row>
    <row r="570">
      <c r="A570" t="inlineStr">
        <is>
          <t>J</t>
        </is>
      </c>
      <c r="B570" t="inlineStr">
        <is>
          <t>Charron, LM; Milstein, C; Moyers, SI; Abildso, CG; Chriqui, JF</t>
        </is>
      </c>
      <c r="F570" t="inlineStr">
        <is>
          <t>Charron, Lisa M.; Milstein, Chloe; Moyers, Samantha I.; Abildso, Christiaan G.; Chriqui, Jamie F.</t>
        </is>
      </c>
      <c r="J570" t="inlineStr">
        <is>
          <t>INTERNATIONAL JOURNAL OF ENVIRONMENTAL RESEARCH AND PUBLIC HEALTH</t>
        </is>
      </c>
      <c r="M570" t="inlineStr">
        <is>
          <t>English</t>
        </is>
      </c>
      <c r="N570" t="inlineStr">
        <is>
          <t>Article</t>
        </is>
      </c>
      <c r="T570" t="inlineStr">
        <is>
          <t>Do State Comprehensive Planning Statutes Address Physical Activity?: Implications for Rural Communities</t>
        </is>
      </c>
      <c r="U570" t="inlineStr">
        <is>
          <t>physical activity; rural; policy; comprehensive plan; built environment; urban planning; state statute; legal epidemiology</t>
        </is>
      </c>
      <c r="V570" t="inlineStr">
        <is>
          <t>LAND-USE PLANS; BUILT ENVIRONMENT; UNITED-STATES; HEALTH; BEHAVIORS; SUPPORT; URBAN; IMPLEMENTATION; ASSOCIATIONS; INACTIVITY</t>
        </is>
      </c>
      <c r="W570" t="inlineStr">
        <is>
          <t>Less than one-quarter of U.S. adults meet physical activity (PA) recommendations, with rural residents less likely to be active than urban residents. The built environment has been identified as a potential facilitator of PA and local comprehensive plans are a foundational tool for guiding the development of the built environment. The purpose of this study was therefore to understand the current landscape of comprehensive planning state statutes related to PA and rural communities. We used primary legal research methods to identify, compile, and evaluate all 50 state comprehensive planning statutes for items related to PA and conditional mandates based on population size of local jurisdictions. The presence of population-conditional planning mandates and the inclusion of PA-related items was analyzed by state-level rurality using Fisher's exact tests. Our analyses demonstrated that (1) broader PA-related items were addressed in state statutes more often than more specific PA-related items; (2) when PA-related items were addressed, they were most likely to be mandated, subsumed elements; (3) several PA-related items were less likely to be addressed in the most rural states and/or conditionally mandated for jurisdictions meeting minimum population requirements; and (4) only two states addressed PA directly and explicitly in their comprehensive planning statutes.</t>
        </is>
      </c>
      <c r="X570" t="inlineStr">
        <is>
          <t>[Charron, Lisa M.] Univ Wisconsin, Nelson Inst Environm Studies, Madison, WI 53706 USA; [Milstein, Chloe; Chriqui, Jamie F.] Univ Illinois, Sch Publ Hlth, Chicago, IL 60612 USA; [Moyers, Samantha I.; Abildso, Christiaan G.] West Virginia Univ, Sch Publ Hlth, Dept Social &amp; Behav Hlth Sci, Morgantown, WV 26506 USA; [Chriqui, Jamie F.] Univ Illinois, Inst Hlth Res &amp; Policy, Chicago, IL 60612 USA</t>
        </is>
      </c>
      <c r="Y570" t="inlineStr">
        <is>
          <t>University of Wisconsin System; University of Wisconsin Madison; University of Illinois System; University of Illinois Chicago; University of Illinois Chicago Hospital; West Virginia University; University of Illinois System; University of Illinois Chicago; University of Illinois Chicago Hospital</t>
        </is>
      </c>
      <c r="Z570" t="inlineStr">
        <is>
          <t>Charron, LM (corresponding author), Univ Wisconsin, Nelson Inst Environm Studies, Madison, WI 53706 USA.</t>
        </is>
      </c>
      <c r="AA570" t="inlineStr">
        <is>
          <t>lcharron@wisc.edu; calong@uic.edu; smoyers2@hsc.wvu.edu; cgabildso@hsc.wvu.edu; jchriqui@uic.edu</t>
        </is>
      </c>
      <c r="AC570" t="inlineStr">
        <is>
          <t>Abildso, Christiaan/0000-0003-1972-2348; Charron, Lisa/0000-0002-0719-9695; Chriqui, Jamie/0000-0003-2538-0276</t>
        </is>
      </c>
      <c r="AD570" t="inlineStr">
        <is>
          <t>Centers for Disease Control and Prevention [U48DP006381]</t>
        </is>
      </c>
      <c r="AE570" t="inlineStr">
        <is>
          <t>Centers for Disease Control and Prevention(United States Department of Health &amp; Human ServicesCenters for Disease Control &amp; Prevention - USA)</t>
        </is>
      </c>
      <c r="AF570" t="inlineStr">
        <is>
          <t>Support for J.F.C., C.M. and S.I.M. was provided by Cooperative Agreement Number U48DP006381 from the Centers for Disease Control and Prevention.</t>
        </is>
      </c>
      <c r="AH570" t="n">
        <v>71</v>
      </c>
      <c r="AI570" t="n">
        <v>2</v>
      </c>
      <c r="AJ570" t="n">
        <v>2</v>
      </c>
      <c r="AK570" t="n">
        <v>1</v>
      </c>
      <c r="AL570" t="n">
        <v>3</v>
      </c>
      <c r="AM570" t="inlineStr">
        <is>
          <t>MDPI</t>
        </is>
      </c>
      <c r="AN570" t="inlineStr">
        <is>
          <t>BASEL</t>
        </is>
      </c>
      <c r="AO570" t="inlineStr">
        <is>
          <t>ST ALBAN-ANLAGE 66, CH-4052 BASEL, SWITZERLAND</t>
        </is>
      </c>
      <c r="AQ570" t="inlineStr">
        <is>
          <t>1660-4601</t>
        </is>
      </c>
      <c r="AS570" t="inlineStr">
        <is>
          <t>INT J ENV RES PUB HE</t>
        </is>
      </c>
      <c r="AT570" t="inlineStr">
        <is>
          <t>Int. J. Environ. Res. Public Health</t>
        </is>
      </c>
      <c r="AU570" t="inlineStr">
        <is>
          <t>NOV</t>
        </is>
      </c>
      <c r="AV570" t="n">
        <v>2021</v>
      </c>
      <c r="AW570" t="n">
        <v>18</v>
      </c>
      <c r="AX570" t="n">
        <v>22</v>
      </c>
      <c r="BE570" t="n">
        <v>12190</v>
      </c>
      <c r="BF570" t="inlineStr">
        <is>
          <t>10.3390/ijerph182212190</t>
        </is>
      </c>
      <c r="BG570">
        <f>HYPERLINK("http://dx.doi.org/10.3390/ijerph182212190","http://dx.doi.org/10.3390/ijerph182212190")</f>
        <v/>
      </c>
      <c r="BJ570" t="n">
        <v>25</v>
      </c>
      <c r="BK570" t="inlineStr">
        <is>
          <t>Environmental Sciences; Public, Environmental &amp; Occupational Health</t>
        </is>
      </c>
      <c r="BL570" t="inlineStr">
        <is>
          <t>Science Citation Index Expanded (SCI-EXPANDED); Social Science Citation Index (SSCI)</t>
        </is>
      </c>
      <c r="BM570" t="inlineStr">
        <is>
          <t>Environmental Sciences &amp; Ecology; Public, Environmental &amp; Occupational Health</t>
        </is>
      </c>
      <c r="BN570" t="inlineStr">
        <is>
          <t>XH5TP</t>
        </is>
      </c>
      <c r="BO570" t="n">
        <v>34831946</v>
      </c>
      <c r="BP570" t="inlineStr">
        <is>
          <t>gold, Green Published</t>
        </is>
      </c>
      <c r="BS570" t="inlineStr">
        <is>
          <t>2023-10-26</t>
        </is>
      </c>
      <c r="BT570" t="inlineStr">
        <is>
          <t>WOS:000725497000001</t>
        </is>
      </c>
      <c r="BU570">
        <f>HYPERLINK("https%3A%2F%2Fwww.webofscience.com%2Fwos%2Fwoscc%2Ffull-record%2FWOS:000725497000001","View Full Record in Web of Science")</f>
        <v/>
      </c>
    </row>
    <row r="571">
      <c r="A571" t="inlineStr">
        <is>
          <t>J</t>
        </is>
      </c>
      <c r="B571" t="inlineStr">
        <is>
          <t>Fortune, N; Singh, A; Badland, H; Stancliffe, RJ; Llewellyn, G</t>
        </is>
      </c>
      <c r="F571" t="inlineStr">
        <is>
          <t>Fortune, Nicola; Singh, Ankur; Badland, Hannah; Stancliffe, Roger J.; Llewellyn, Gwynnyth</t>
        </is>
      </c>
      <c r="J571" t="inlineStr">
        <is>
          <t>INTERNATIONAL JOURNAL OF ENVIRONMENTAL RESEARCH AND PUBLIC HEALTH</t>
        </is>
      </c>
      <c r="M571" t="inlineStr">
        <is>
          <t>English</t>
        </is>
      </c>
      <c r="N571" t="inlineStr">
        <is>
          <t>Article</t>
        </is>
      </c>
      <c r="T571" t="inlineStr">
        <is>
          <t>Area-Level Associations between Built Environment Characteristics and Disability Prevalence in Australia: An Ecological Analysis</t>
        </is>
      </c>
      <c r="U571" t="inlineStr">
        <is>
          <t>disability; liveability; social determinants of health; accessibility; geographic variation</t>
        </is>
      </c>
      <c r="V571" t="inlineStr">
        <is>
          <t>SOCIOECONOMIC INEQUALITIES; NEIGHBORHOOD ENVIRONMENTS; HEALTH INEQUALITIES; PHYSICAL-ACTIVITY; OLDER-ADULTS; MOBILITY; PEOPLE; PARTICIPATION; DEPRIVATION; COMMUNITY</t>
        </is>
      </c>
      <c r="W571" t="inlineStr">
        <is>
          <t>The importance of health-promoting neighborhoods has long been recognized, and characteristics of local built environments are among the social determinants of health. People with disability are more likely than other population groups to experience geographic mobility and cost restrictions, and to be reliant on 'opportunity structures' available locally. We conducted an ecological analysis to explore associations between area-level disability prevalence for people aged 15-64 years and area-level built environment characteristics in Australia's 21 largest cities. Overall, disability was more prevalent in areas with lower walkability and lower local availability of various neighborhood amenities such as public transport, healthier food options, public open space, physical activity and recreation destinations and health and mental health services. These patterns of lower liveability in areas of higher disability prevalence were observed in major cities but not in regional cities. Our findings suggest that geographically targeted interventions to improve access to health-enhancing neighborhood infrastructure could reduce disability-related inequalities in the social determinants of health.</t>
        </is>
      </c>
      <c r="X571" t="inlineStr">
        <is>
          <t>[Fortune, Nicola; Singh, Ankur; Badland, Hannah; Stancliffe, Roger J.; Llewellyn, Gwynnyth] Univ Melbourne, Ctr Res Excellence Disabil &amp; Hlth, Parkville, Vic 3010, Australia; [Fortune, Nicola; Stancliffe, Roger J.; Llewellyn, Gwynnyth] Univ Sydney, Ctr Disabil Res &amp; Policy, Lidcombe, NSW 2141, Australia; [Singh, Ankur] Univ Melbourne, Ctr Hlth Equ, Melbourne Sch Populat &amp; Global Hlth, Carlton, Vic 3053, Australia; [Singh, Ankur] Univ Melbourne, Ctr Epidemiol &amp; Biostat, Melbourne Sch Populat &amp; Global Hlth, Carlton, Vic 3053, Australia; [Badland, Hannah] RMIT Univ, Ctr Urban Res, Melbourne, Vic 3000, Australia</t>
        </is>
      </c>
      <c r="Y571" t="inlineStr">
        <is>
          <t>University of Melbourne; University of Sydney; University of Melbourne; University of Melbourne; Royal Melbourne Institute of Technology (RMIT)</t>
        </is>
      </c>
      <c r="Z571" t="inlineStr">
        <is>
          <t>Fortune, N (corresponding author), Univ Melbourne, Ctr Res Excellence Disabil &amp; Hlth, Parkville, Vic 3010, Australia.;Fortune, N (corresponding author), Univ Sydney, Ctr Disabil Res &amp; Policy, Lidcombe, NSW 2141, Australia.</t>
        </is>
      </c>
      <c r="AA571" t="inlineStr">
        <is>
          <t>nicola.fortune@sydney.edu.au; ankur.singh@unimelb.edu.au; hannah.badland@rmit.edu.au; roger.stancliffe@sydney.edu.au; gwynnyth.llewellyn@sydney.edu.au</t>
        </is>
      </c>
      <c r="AB571" t="inlineStr">
        <is>
          <t>Badland, Hannah/AAY-3329-2021; Stancliffe, Roger/C-3430-2008; Singh, Ankur/J-2413-2014</t>
        </is>
      </c>
      <c r="AC571" t="inlineStr">
        <is>
          <t>Badland, Hannah/0000-0002-8936-2715; Stancliffe, Roger/0000-0003-4265-7433; Fortune, Elizabeth Nicola/0000-0003-1489-5709; Singh, Ankur/0000-0003-1336-6493</t>
        </is>
      </c>
      <c r="AD571" t="inlineStr">
        <is>
          <t>Australian National Health and Medical Research Council Centre of Research Excellence in Disability and Health [APP1116385]</t>
        </is>
      </c>
      <c r="AE571" t="inlineStr">
        <is>
          <t>Australian National Health and Medical Research Council Centre of Research Excellence in Disability and Health(National Health and Medical Research Council (NHMRC) of Australia)</t>
        </is>
      </c>
      <c r="AF571" t="inlineStr">
        <is>
          <t>This research was funded by the Australian National Health and Medical Research Council Centre of Research Excellence in Disability and Health grant APP1116385.</t>
        </is>
      </c>
      <c r="AH571" t="n">
        <v>73</v>
      </c>
      <c r="AI571" t="n">
        <v>8</v>
      </c>
      <c r="AJ571" t="n">
        <v>8</v>
      </c>
      <c r="AK571" t="n">
        <v>1</v>
      </c>
      <c r="AL571" t="n">
        <v>12</v>
      </c>
      <c r="AM571" t="inlineStr">
        <is>
          <t>MDPI</t>
        </is>
      </c>
      <c r="AN571" t="inlineStr">
        <is>
          <t>BASEL</t>
        </is>
      </c>
      <c r="AO571" t="inlineStr">
        <is>
          <t>ST ALBAN-ANLAGE 66, CH-4052 BASEL, SWITZERLAND</t>
        </is>
      </c>
      <c r="AQ571" t="inlineStr">
        <is>
          <t>1660-4601</t>
        </is>
      </c>
      <c r="AS571" t="inlineStr">
        <is>
          <t>INT J ENV RES PUB HE</t>
        </is>
      </c>
      <c r="AT571" t="inlineStr">
        <is>
          <t>Int. J. Environ. Res. Public Health</t>
        </is>
      </c>
      <c r="AU571" t="inlineStr">
        <is>
          <t>NOV</t>
        </is>
      </c>
      <c r="AV571" t="n">
        <v>2020</v>
      </c>
      <c r="AW571" t="n">
        <v>17</v>
      </c>
      <c r="AX571" t="n">
        <v>21</v>
      </c>
      <c r="BE571" t="n">
        <v>7844</v>
      </c>
      <c r="BF571" t="inlineStr">
        <is>
          <t>10.3390/ijerph17217844</t>
        </is>
      </c>
      <c r="BG571">
        <f>HYPERLINK("http://dx.doi.org/10.3390/ijerph17217844","http://dx.doi.org/10.3390/ijerph17217844")</f>
        <v/>
      </c>
      <c r="BJ571" t="n">
        <v>15</v>
      </c>
      <c r="BK571" t="inlineStr">
        <is>
          <t>Environmental Sciences; Public, Environmental &amp; Occupational Health</t>
        </is>
      </c>
      <c r="BL571" t="inlineStr">
        <is>
          <t>Science Citation Index Expanded (SCI-EXPANDED); Social Science Citation Index (SSCI)</t>
        </is>
      </c>
      <c r="BM571" t="inlineStr">
        <is>
          <t>Environmental Sciences &amp; Ecology; Public, Environmental &amp; Occupational Health</t>
        </is>
      </c>
      <c r="BN571" t="inlineStr">
        <is>
          <t>OQ7OC</t>
        </is>
      </c>
      <c r="BO571" t="n">
        <v>33114716</v>
      </c>
      <c r="BP571" t="inlineStr">
        <is>
          <t>gold, Green Published</t>
        </is>
      </c>
      <c r="BS571" t="inlineStr">
        <is>
          <t>2023-10-26</t>
        </is>
      </c>
      <c r="BT571" t="inlineStr">
        <is>
          <t>WOS:000588966800001</t>
        </is>
      </c>
      <c r="BU571">
        <f>HYPERLINK("https%3A%2F%2Fwww.webofscience.com%2Fwos%2Fwoscc%2Ffull-record%2FWOS:000588966800001","View Full Record in Web of Science")</f>
        <v/>
      </c>
    </row>
    <row r="572">
      <c r="A572" t="inlineStr">
        <is>
          <t>J</t>
        </is>
      </c>
      <c r="B572" t="inlineStr">
        <is>
          <t>Lu, SL; Zeng, J; Gu, M; Zhang, CX; Shen, C</t>
        </is>
      </c>
      <c r="F572" t="inlineStr">
        <is>
          <t>Lu, Shiliang; Zeng, Jing; Gu, Meng; Zhang, Chunxiao; Shen, Chao</t>
        </is>
      </c>
      <c r="J572" t="inlineStr">
        <is>
          <t>SUSTAINABILITY</t>
        </is>
      </c>
      <c r="M572" t="inlineStr">
        <is>
          <t>English</t>
        </is>
      </c>
      <c r="N572" t="inlineStr">
        <is>
          <t>Article</t>
        </is>
      </c>
      <c r="T572" t="inlineStr">
        <is>
          <t>Research on the Indoor Physical Characteristic of the Ceiling of China National Aquatics Center under the Demand of Olympic Games</t>
        </is>
      </c>
      <c r="U572" t="inlineStr">
        <is>
          <t>ice stadium; building renovation; ceiling enclosure structure; indoor environmental condition</t>
        </is>
      </c>
      <c r="V572" t="inlineStr">
        <is>
          <t>DOUBLE-SKIN FACADES; ENERGY PERFORMANCE; THERMAL-BEHAVIOR; ROOFS</t>
        </is>
      </c>
      <c r="W572" t="inlineStr">
        <is>
          <t>In the practice of the Beijing Olympic Winter Games in 2022 for the renovation and reuse of the 2008 Olympic legacy venues, PVC film-based clips integrated with the black coated fabric were employed as a shielding material, to reduce the influence of sunlight under the ethylene tetrafluoroethylene (ETFE) air pillow ceiling system and maintain a good and stable indoor environment. Based on winter outdoor meteorological parameters, we measured the temperature; solar irradiance; and illuminance of the playing field, as well as the upper and lower surfaces of the ceiling enclosure and its internal cavity. Meanwhile, a simulation of the indoor environment before and after the shielding was carried out. The distribution and transmission mechanism of light, humidity, and heat in the venue were studied. It was found that the shielding material can block more than 98% of the sunlight and solar radiation; and after the addition of shielding material, the temperature of the playing field changes throughout the day about 1 degrees C. The difference between the surface temperature under the ceiling and the indoor temperature is about 3 degrees C, which is not easy to condense. The physical characteristics of the shielding of the roof enclosure structure are revealed, and the shading and heat insulation performance of it is verified, so that the venue meets the requirements of the Olympic Winter Games in the indoor environment.</t>
        </is>
      </c>
      <c r="X572" t="inlineStr">
        <is>
          <t>[Lu, Shiliang; Zeng, Jing; Gu, Meng; Zhang, Chunxiao; Shen, Chao] Harbin Inst Technol, Sch Architecture, Key Lab Cold Reg Urban &amp; Rural Human Settlement E, Minist Ind &amp; Informat Technol, Harbin 150090, Peoples R China</t>
        </is>
      </c>
      <c r="Y572" t="inlineStr">
        <is>
          <t>Harbin Institute of Technology</t>
        </is>
      </c>
      <c r="Z572" t="inlineStr">
        <is>
          <t>Shen, C (corresponding author), Harbin Inst Technol, Sch Architecture, Key Lab Cold Reg Urban &amp; Rural Human Settlement E, Minist Ind &amp; Informat Technol, Harbin 150090, Peoples R China.</t>
        </is>
      </c>
      <c r="AA572" t="inlineStr">
        <is>
          <t>Lushiliang@hit.edu.cn; 19s134162@stu.hit.edu.cn; 20B334001@stu.hit.edu.cn; 19B344009@stu.hit.edu.cn; chaoshen@hit.edu.cn</t>
        </is>
      </c>
      <c r="AB572" t="inlineStr">
        <is>
          <t>zeng, jing/JDW-4350-2023</t>
        </is>
      </c>
      <c r="AD572" t="inlineStr">
        <is>
          <t>Research on intelligent functional transformation and sustainable operation strategy of Beijing National Aquatics Center [CSCEC-2019-Z-7]; Green Building Model and Technical System in Western Regions Based on Multiculturalism [2017YFC0702405]; Research on Evaluation Method and Key Technology of Ice Sports Gymnasium Design Under the Orientation of Sustainable Operation and Maintenance [51978191]</t>
        </is>
      </c>
      <c r="AE572" t="inlineStr">
        <is>
          <t>Research on intelligent functional transformation and sustainable operation strategy of Beijing National Aquatics Center; Green Building Model and Technical System in Western Regions Based on Multiculturalism; Research on Evaluation Method and Key Technology of Ice Sports Gymnasium Design Under the Orientation of Sustainable Operation and Maintenance</t>
        </is>
      </c>
      <c r="AF572" t="inlineStr">
        <is>
          <t>Research on intelligent functional transformation and sustainable operation strategy of Beijing National Aquatics Center (CSCEC-2019-Z-7); Green Building Model and Technical System in Western Regions Based on Multiculturalism(2017YFC0702405); Research on Evaluation Method and Key Technology of Ice Sports Gymnasium Design Under the Orientation of Sustainable Operation and Maintenance (51978191).</t>
        </is>
      </c>
      <c r="AH572" t="n">
        <v>22</v>
      </c>
      <c r="AI572" t="n">
        <v>1</v>
      </c>
      <c r="AJ572" t="n">
        <v>1</v>
      </c>
      <c r="AK572" t="n">
        <v>4</v>
      </c>
      <c r="AL572" t="n">
        <v>25</v>
      </c>
      <c r="AM572" t="inlineStr">
        <is>
          <t>MDPI</t>
        </is>
      </c>
      <c r="AN572" t="inlineStr">
        <is>
          <t>BASEL</t>
        </is>
      </c>
      <c r="AO572" t="inlineStr">
        <is>
          <t>ST ALBAN-ANLAGE 66, CH-4052 BASEL, SWITZERLAND</t>
        </is>
      </c>
      <c r="AQ572" t="inlineStr">
        <is>
          <t>2071-1050</t>
        </is>
      </c>
      <c r="AS572" t="inlineStr">
        <is>
          <t>SUSTAINABILITY-BASEL</t>
        </is>
      </c>
      <c r="AT572" t="inlineStr">
        <is>
          <t>Sustainability</t>
        </is>
      </c>
      <c r="AU572" t="inlineStr">
        <is>
          <t>AUG</t>
        </is>
      </c>
      <c r="AV572" t="n">
        <v>2020</v>
      </c>
      <c r="AW572" t="n">
        <v>12</v>
      </c>
      <c r="AX572" t="n">
        <v>16</v>
      </c>
      <c r="BE572" t="n">
        <v>6589</v>
      </c>
      <c r="BF572" t="inlineStr">
        <is>
          <t>10.3390/su12166589</t>
        </is>
      </c>
      <c r="BG572">
        <f>HYPERLINK("http://dx.doi.org/10.3390/su12166589","http://dx.doi.org/10.3390/su12166589")</f>
        <v/>
      </c>
      <c r="BJ572" t="n">
        <v>16</v>
      </c>
      <c r="BK572" t="inlineStr">
        <is>
          <t>Green &amp; Sustainable Science &amp; Technology; Environmental Sciences; Environmental Studies</t>
        </is>
      </c>
      <c r="BL572" t="inlineStr">
        <is>
          <t>Science Citation Index Expanded (SCI-EXPANDED); Social Science Citation Index (SSCI)</t>
        </is>
      </c>
      <c r="BM572" t="inlineStr">
        <is>
          <t>Science &amp; Technology - Other Topics; Environmental Sciences &amp; Ecology</t>
        </is>
      </c>
      <c r="BN572" t="inlineStr">
        <is>
          <t>OC1NY</t>
        </is>
      </c>
      <c r="BP572" t="inlineStr">
        <is>
          <t>gold, Green Published</t>
        </is>
      </c>
      <c r="BS572" t="inlineStr">
        <is>
          <t>2023-10-26</t>
        </is>
      </c>
      <c r="BT572" t="inlineStr">
        <is>
          <t>WOS:000578930400001</t>
        </is>
      </c>
      <c r="BU572">
        <f>HYPERLINK("https%3A%2F%2Fwww.webofscience.com%2Fwos%2Fwoscc%2Ffull-record%2FWOS:000578930400001","View Full Record in Web of Science")</f>
        <v/>
      </c>
    </row>
    <row r="573">
      <c r="A573" t="inlineStr">
        <is>
          <t>J</t>
        </is>
      </c>
      <c r="B573" t="inlineStr">
        <is>
          <t>Maghelal, P; Alawadi, K; Arlikatti, S; Wahdain, A</t>
        </is>
      </c>
      <c r="F573" t="inlineStr">
        <is>
          <t>Maghelal, Praveen; Alawadi, Khaled; Arlikatti, Sudha; Wahdain, Abeer</t>
        </is>
      </c>
      <c r="J573" t="inlineStr">
        <is>
          <t>SUSTAINABILITY</t>
        </is>
      </c>
      <c r="M573" t="inlineStr">
        <is>
          <t>English</t>
        </is>
      </c>
      <c r="N573" t="inlineStr">
        <is>
          <t>Article</t>
        </is>
      </c>
      <c r="T573" t="inlineStr">
        <is>
          <t>Influence of the Built Environment on Physical Activity Choices among Emirati Male and Female Adolescents: An Examination of Parents' and Students' Perceptions</t>
        </is>
      </c>
      <c r="U573" t="inlineStr">
        <is>
          <t>obesity; health condition; Emirati adolescents; parent perception; United Arab Emirates</t>
        </is>
      </c>
      <c r="V573" t="inlineStr">
        <is>
          <t>REPORT CARD; URBAN FORM; CHILDREN; WALKING; SCHOOL; OBESITY; NEIGHBORHOOD; IMPACTS</t>
        </is>
      </c>
      <c r="W573" t="inlineStr">
        <is>
          <t>The UN Human Development Report 2020 ranked the United Arab Emirates (UAE) as having achieved 'very high human development' and as being at the 31st position among all countries. Despite this, the ever increasing obesity rates among Emirati youth, higher than international standards, is alarming. This research aims at identifying how different perceptions of the built environment by parents and adolescents are likely to affect physical activity (PA) choices among male and female Emirati youth. This can help inform better health and education policies to achieve three of the interconnected UN Sustainable Development Goals (SDGs), namely good quality health and well-being, quality education, and gender equality, that the UAE strives to achieve. Responses from 335 students (aged 14-20) from six schools and 250 parent responses in the Al Ain region of Abu Dhabi Emirate were used to understand the mean variation in perception of five built environment constructs. Further, multinomial logit regression was used to assess the health condition using the perception, behavior, and built environment measures. Results indicate that Emirati males perceive the built environment factors as barriers more than female adolescents. Parents perceive street crossing (p &lt; 0.016) and sidewalk characteristics (p &lt; 0.020) to be more of a hindrance. Traffic exposure, self-reported physical activity, and walkability near homes and schools significantly affect Emirati adolescents' health conditions. Recommendations are made for various stakeholders including parents, school authorities, Abu Dhabi Municipality and Transportation, and the Urban Planning department on ways to enhance the built environment and encourage PA and well-being of Emirati adolescents.</t>
        </is>
      </c>
      <c r="X573" t="inlineStr">
        <is>
          <t>[Maghelal, Praveen; Arlikatti, Sudha] Rabdan Acad, Fac Resilience, Div Integrated Emergency Management &amp; Business Co, Abu Dhabi 22401, U Arab Emirates; [Alawadi, Khaled] Khalifa Univ, Dept Civil Infrastruct &amp; Environm Engn, Abu Dhabi 127788, U Arab Emirates; [Wahdain, Abeer] Khalifa Univ, Dept Ind &amp; Syst Engn, Abu Dhabi 127788, U Arab Emirates</t>
        </is>
      </c>
      <c r="Y573" t="inlineStr">
        <is>
          <t>Khalifa University of Science &amp; Technology; Khalifa University of Science &amp; Technology</t>
        </is>
      </c>
      <c r="Z573" t="inlineStr">
        <is>
          <t>Maghelal, P (corresponding author), Rabdan Acad, Fac Resilience, Div Integrated Emergency Management &amp; Business Co, Abu Dhabi 22401, U Arab Emirates.</t>
        </is>
      </c>
      <c r="AA573" t="inlineStr">
        <is>
          <t>pmaghelal@ra.ac.ae; khaled.alawadi@ku.ac.ae; ahdus29@gmail.com; abeerwahdain@gmail.com</t>
        </is>
      </c>
      <c r="AB573" t="inlineStr">
        <is>
          <t>Maghelal, Praveen/JHT-4374-2023; Santana, Elaine/GNP-2710-2022</t>
        </is>
      </c>
      <c r="AC573" t="inlineStr">
        <is>
          <t>Arlikatti, Sudha/0000-0002-1214-1500</t>
        </is>
      </c>
      <c r="AD573" t="inlineStr">
        <is>
          <t>Abu Dhabi Department of Knowledge and Education and the School representative</t>
        </is>
      </c>
      <c r="AE573" t="inlineStr">
        <is>
          <t>Abu Dhabi Department of Knowledge and Education and the School representative</t>
        </is>
      </c>
      <c r="AF573" t="inlineStr">
        <is>
          <t>The authors acknowledge the support and advice provided by the Abu Dhabi Department of Knowledge and Education and the School representative who agreed to participate in the study and support data collection.</t>
        </is>
      </c>
      <c r="AH573" t="n">
        <v>49</v>
      </c>
      <c r="AI573" t="n">
        <v>3</v>
      </c>
      <c r="AJ573" t="n">
        <v>3</v>
      </c>
      <c r="AK573" t="n">
        <v>0</v>
      </c>
      <c r="AL573" t="n">
        <v>7</v>
      </c>
      <c r="AM573" t="inlineStr">
        <is>
          <t>MDPI</t>
        </is>
      </c>
      <c r="AN573" t="inlineStr">
        <is>
          <t>BASEL</t>
        </is>
      </c>
      <c r="AO573" t="inlineStr">
        <is>
          <t>ST ALBAN-ANLAGE 66, CH-4052 BASEL, SWITZERLAND</t>
        </is>
      </c>
      <c r="AQ573" t="inlineStr">
        <is>
          <t>2071-1050</t>
        </is>
      </c>
      <c r="AS573" t="inlineStr">
        <is>
          <t>SUSTAINABILITY-BASEL</t>
        </is>
      </c>
      <c r="AT573" t="inlineStr">
        <is>
          <t>Sustainability</t>
        </is>
      </c>
      <c r="AU573" t="inlineStr">
        <is>
          <t>JAN</t>
        </is>
      </c>
      <c r="AV573" t="n">
        <v>2022</v>
      </c>
      <c r="AW573" t="n">
        <v>14</v>
      </c>
      <c r="AX573" t="n">
        <v>1</v>
      </c>
      <c r="BE573" t="n">
        <v>444</v>
      </c>
      <c r="BF573" t="inlineStr">
        <is>
          <t>10.3390/su14010444</t>
        </is>
      </c>
      <c r="BG573">
        <f>HYPERLINK("http://dx.doi.org/10.3390/su14010444","http://dx.doi.org/10.3390/su14010444")</f>
        <v/>
      </c>
      <c r="BJ573" t="n">
        <v>14</v>
      </c>
      <c r="BK573" t="inlineStr">
        <is>
          <t>Green &amp; Sustainable Science &amp; Technology; Environmental Sciences; Environmental Studies</t>
        </is>
      </c>
      <c r="BL573" t="inlineStr">
        <is>
          <t>Science Citation Index Expanded (SCI-EXPANDED); Social Science Citation Index (SSCI)</t>
        </is>
      </c>
      <c r="BM573" t="inlineStr">
        <is>
          <t>Science &amp; Technology - Other Topics; Environmental Sciences &amp; Ecology</t>
        </is>
      </c>
      <c r="BN573" t="inlineStr">
        <is>
          <t>YT0HS</t>
        </is>
      </c>
      <c r="BP573" t="inlineStr">
        <is>
          <t>gold</t>
        </is>
      </c>
      <c r="BS573" t="inlineStr">
        <is>
          <t>2023-10-26</t>
        </is>
      </c>
      <c r="BT573" t="inlineStr">
        <is>
          <t>WOS:000751051200001</t>
        </is>
      </c>
      <c r="BU573">
        <f>HYPERLINK("https%3A%2F%2Fwww.webofscience.com%2Fwos%2Fwoscc%2Ffull-record%2FWOS:000751051200001","View Full Record in Web of Science")</f>
        <v/>
      </c>
    </row>
    <row r="574">
      <c r="A574" t="inlineStr">
        <is>
          <t>J</t>
        </is>
      </c>
      <c r="B574" t="inlineStr">
        <is>
          <t>Bin Jeong, S; Ko, HS; Heo, KJ; Shin, JH; Jung, JH</t>
        </is>
      </c>
      <c r="F574" t="inlineStr">
        <is>
          <t>Bin Jeong, Sang; Ko, Hyun Sik; Heo, Ki Joon; Shin, Jae Hak; Jung, Jae Hee</t>
        </is>
      </c>
      <c r="J574" t="inlineStr">
        <is>
          <t>ATMOSPHERIC ENVIRONMENT-X</t>
        </is>
      </c>
      <c r="M574" t="inlineStr">
        <is>
          <t>English</t>
        </is>
      </c>
      <c r="N574" t="inlineStr">
        <is>
          <t>Article</t>
        </is>
      </c>
      <c r="T574" t="inlineStr">
        <is>
          <t>Size distribution and concentration of indoor culturable bacterial and fungal bioaerosols</t>
        </is>
      </c>
      <c r="U574" t="inlineStr">
        <is>
          <t>Indoor air; Bioaerosols; Bioaerosol size distribution; Six-stage impactor</t>
        </is>
      </c>
      <c r="V574" t="inlineStr">
        <is>
          <t>AIRBORNE BACTERIA; AEROSOLS; TIME</t>
        </is>
      </c>
      <c r="W574" t="inlineStr">
        <is>
          <t>Exposure to bioaerosols in indoor environments may adversely affect human health. Herein, we present the concentrations and size distributions of bacterial and fungal bioaerosols measured in 5 locations (cafe &amp; PRIME;, cafeteria, building lobby, classroom, and meeting room) within one building during winter. Sampling was conducted using a six-stage Andersen cascade impactor and the size-specific concentration of culturable bioaerosols was quan-tified via the colony counting method. The concentration and size distribution of bioaerosols differed among locations. The highest average concentrations of bacterial and fungal bioaerosols were found in the cafe (170 colony-forming unit [CFU]/m(3)) and cafeteria (205 CFU/m(3)). In the winter indoor environment, both fungal and bacterial bioaerosols were concentrated at respirable sizes &lt; 3.3 mu m, and significant levels of bacterial bioaerosols &lt; 1.1 mu m were observed in the cafe &amp; PRIME;. This quantitative characterization of the physical properties of bioaerosols in indoor environments can be used to establish effective protection measures against the health impacts of bioaerosols.</t>
        </is>
      </c>
      <c r="X574" t="inlineStr">
        <is>
          <t>[Bin Jeong, Sang; Ko, Hyun Sik; Shin, Jae Hak; Jung, Jae Hee] Sejong Univ, Dept Mech Engn, Seoul 05006, South Korea; [Heo, Ki Joon] UCL, Mat Chem Res Ctr, Dept Chem, London WC1H 0AJ, England</t>
        </is>
      </c>
      <c r="Y574" t="inlineStr">
        <is>
          <t>Sejong University; University of London; University College London</t>
        </is>
      </c>
      <c r="Z574" t="inlineStr">
        <is>
          <t>Jung, JH (corresponding author), Sejong Univ, Dept Mech Engn, Seoul 05006, South Korea.</t>
        </is>
      </c>
      <c r="AA574" t="inlineStr">
        <is>
          <t>jaehee@sejong.ac.kr</t>
        </is>
      </c>
      <c r="AB574" t="inlineStr">
        <is>
          <t>Jung, Jae Hee/HTM-4275-2023</t>
        </is>
      </c>
      <c r="AD574" t="inlineStr">
        <is>
          <t>National Research Foundation of Korea (NRF) - Korean government (MSIT) [2022R1A2B5B02001231]; Korea Institute of Machinery and Materials [NK231A]; Korea Institute of Machinery and Materials; National Research Foundation of Korea [2022R1A2B5B02001231] Funding Source: Korea Institute of Science &amp; Technology Information (KISTI), National Science &amp; Technology Information Service (NTIS)</t>
        </is>
      </c>
      <c r="AE574" t="inlineStr">
        <is>
          <t>National Research Foundation of Korea (NRF) - Korean government (MSIT)(National Research Foundation of KoreaMinistry of Science &amp; ICT (MSIT), Republic of Korea); Korea Institute of Machinery and Materials; Korea Institute of Machinery and Materials; National Research Foundation of Korea(National Research Foundation of Korea)</t>
        </is>
      </c>
      <c r="AF574" t="inlineStr">
        <is>
          <t>This work was supported by a National Research Foundation of Korea (NRF) grant funded by the Korean government (MSIT) (2022R1A2B5B02001231) . It was also partly supported by the Basic Research Fund (NK231A) from the Korea Institute of Machinery and Materials.</t>
        </is>
      </c>
      <c r="AH574" t="n">
        <v>40</v>
      </c>
      <c r="AI574" t="n">
        <v>5</v>
      </c>
      <c r="AJ574" t="n">
        <v>5</v>
      </c>
      <c r="AK574" t="n">
        <v>1</v>
      </c>
      <c r="AL574" t="n">
        <v>15</v>
      </c>
      <c r="AM574" t="inlineStr">
        <is>
          <t>ELSEVIER SCI LTD</t>
        </is>
      </c>
      <c r="AN574" t="inlineStr">
        <is>
          <t>OXFORD</t>
        </is>
      </c>
      <c r="AO574" t="inlineStr">
        <is>
          <t>THE BOULEVARD, LANGFORD LANE, KIDLINGTON, OXFORD OX5 1GB, OXON, ENGLAND</t>
        </is>
      </c>
      <c r="AQ574" t="inlineStr">
        <is>
          <t>2590-1621</t>
        </is>
      </c>
      <c r="AS574" t="inlineStr">
        <is>
          <t>ATMOS ENVIRON-X</t>
        </is>
      </c>
      <c r="AT574" t="inlineStr">
        <is>
          <t>Atmos. Environ-X</t>
        </is>
      </c>
      <c r="AU574" t="inlineStr">
        <is>
          <t>OCT</t>
        </is>
      </c>
      <c r="AV574" t="n">
        <v>2022</v>
      </c>
      <c r="AW574" t="n">
        <v>15</v>
      </c>
      <c r="BE574" t="n">
        <v>100182</v>
      </c>
      <c r="BF574" t="inlineStr">
        <is>
          <t>10.1016/j.aeaoa.2022.100182</t>
        </is>
      </c>
      <c r="BG574">
        <f>HYPERLINK("http://dx.doi.org/10.1016/j.aeaoa.2022.100182","http://dx.doi.org/10.1016/j.aeaoa.2022.100182")</f>
        <v/>
      </c>
      <c r="BI574" t="inlineStr">
        <is>
          <t>JUL 2022</t>
        </is>
      </c>
      <c r="BJ574" t="n">
        <v>6</v>
      </c>
      <c r="BK574" t="inlineStr">
        <is>
          <t>Environmental Sciences; Meteorology &amp; Atmospheric Sciences</t>
        </is>
      </c>
      <c r="BL574" t="inlineStr">
        <is>
          <t>Emerging Sources Citation Index (ESCI)</t>
        </is>
      </c>
      <c r="BM574" t="inlineStr">
        <is>
          <t>Environmental Sciences &amp; Ecology; Meteorology &amp; Atmospheric Sciences</t>
        </is>
      </c>
      <c r="BN574" t="inlineStr">
        <is>
          <t>3O5UD</t>
        </is>
      </c>
      <c r="BP574" t="inlineStr">
        <is>
          <t>gold</t>
        </is>
      </c>
      <c r="BS574" t="inlineStr">
        <is>
          <t>2023-10-26</t>
        </is>
      </c>
      <c r="BT574" t="inlineStr">
        <is>
          <t>WOS:000836901400002</t>
        </is>
      </c>
      <c r="BU574">
        <f>HYPERLINK("https%3A%2F%2Fwww.webofscience.com%2Fwos%2Fwoscc%2Ffull-record%2FWOS:000836901400002","View Full Record in Web of Science")</f>
        <v/>
      </c>
    </row>
    <row r="575">
      <c r="A575" t="inlineStr">
        <is>
          <t>J</t>
        </is>
      </c>
      <c r="B575" t="inlineStr">
        <is>
          <t>Liang, XM; Sun, XB; Lu, Q; Ren, L; Liu, M; Su, YH; Wang, S; Lu, HT; Gao, B; Zhao, W; Sun, JR; Gao, ZQ; Chen, LG</t>
        </is>
      </c>
      <c r="F575" t="inlineStr">
        <is>
          <t>Liang, Xiaoming; Sun, Xibo; Lu, Qing; Ren, Lu; Liu, Ming; Su, Yanhua; Wang, Shuo; Lu, Haitao; Gao, Bo; Zhao, Wei; Sun, Jiaren; Gao, Zhiqiang; Chen, Laiguo</t>
        </is>
      </c>
      <c r="J575" t="inlineStr">
        <is>
          <t>ATMOSPHERIC ENVIRONMENT</t>
        </is>
      </c>
      <c r="M575" t="inlineStr">
        <is>
          <t>English</t>
        </is>
      </c>
      <c r="N575" t="inlineStr">
        <is>
          <t>Article</t>
        </is>
      </c>
      <c r="T575" t="inlineStr">
        <is>
          <t>VOC emission inventory of architectural coatings and adhesives for new buildings in China based on investigated and measured data</t>
        </is>
      </c>
      <c r="U575" t="inlineStr">
        <is>
          <t>Architectural coatings and adhesives; VOCs; Building area; Emission inventory; Emission factors</t>
        </is>
      </c>
      <c r="W575" t="inlineStr">
        <is>
          <t>Architectural decoration is one of the most important sources of anthropogenic volatile organic compound (VOC) emissions in China, as well as one of the major sources of indoor air pollution, which negatively affects the comfort, health, and productivity of residents. In this study, a VOC emission inventory of architectural coatings and adhesives for new buildings in China in 2017 was developed based on building area, using a new database established through a bottom-up activity level investigation and analysis of large number of samples. Our results show that the investigated coating ratio of exterior walls distinctly differed from the empirical value. The comprehensive VOC emission factors and total emissions for architectural coatings and adhesives in China in 2017 were 214.5 kg km(-2) and 614 kt, respectively, with floor coatings (41.1%) and solvent-based adhesives (18.2%) being the highest contributors to emissions. Shandong, Jiangsu, Zhejiang, Sichuan, and Guangdong were the five largest emission contributors, accounting for 39.1% of VOC emissions from architectural coatings and adhesives for new buildings. Market access and supervision of architectural materials should be strengthened maximally, and gradual phasing out of solvent-based coatings and adhesives is advised in the future in China.</t>
        </is>
      </c>
      <c r="X575" t="inlineStr">
        <is>
          <t>[Liang, Xiaoming; Lu, Qing; Ren, Lu; Liu, Ming; Su, Yanhua; Wang, Shuo; Lu, Haitao; Gao, Bo; Zhao, Wei; Sun, Jiaren; Chen, Laiguo] South China Inst Environm Sci, Minist Ecol &amp; Environm, State Environm Protect Key Lab Urban Ecol Environ, Guangzhou, Peoples R China; [Sun, Xibo] Guangdong Prov Acad Environm Sci, Guangzhou 510045, Peoples R China; [Gao, Zhiqiang] Univ Mississippi, Dept Chem &amp; Biochem, University, MS 38677 USA</t>
        </is>
      </c>
      <c r="Y575" t="inlineStr">
        <is>
          <t>University of Mississippi</t>
        </is>
      </c>
      <c r="Z575" t="inlineStr">
        <is>
          <t>Chen, LG (corresponding author), South China Inst Environm Sci, Minist Ecol &amp; Environm, State Environm Protect Key Lab Urban Ecol Environ, Guangzhou, Peoples R China.</t>
        </is>
      </c>
      <c r="AA575" t="inlineStr">
        <is>
          <t>chenlaiguo@scies.org</t>
        </is>
      </c>
      <c r="AC575" t="inlineStr">
        <is>
          <t>Gao, Zhiqiang/0009-0008-0534-2903</t>
        </is>
      </c>
      <c r="AD575" t="inlineStr">
        <is>
          <t>National Key Research and Development Program of China [2017YFC0212606]; National Natural Science Foundation of China [41773130, 41573123, 41773127]; Second National Survey on Pollution Sources, and Central Public-interest Scientific Institution Basal Research Fund of South China Institute of Environmental Sciences, MEE [PM-zx703-201903-037, PM-zx703-202002-018]</t>
        </is>
      </c>
      <c r="AE575" t="inlineStr">
        <is>
          <t>National Key Research and Development Program of China; National Natural Science Foundation of China(National Natural Science Foundation of China (NSFC)); Second National Survey on Pollution Sources, and Central Public-interest Scientific Institution Basal Research Fund of South China Institute of Environmental Sciences, MEE</t>
        </is>
      </c>
      <c r="AF575" t="inlineStr">
        <is>
          <t>This study was funded by the National Key Research and Development Program of China (No. 2017YFC0212606), the National Natural Science Foundation of China (Nos. 41773130, 41573123, 41773127), the Second National Survey on Pollution Sources, and Central Public-interest Scientific Institution Basal Research Fund of South China Institute of Environmental Sciences, MEE (No. PM-zx703-201903-037, PM-zx703-202002-018).</t>
        </is>
      </c>
      <c r="AH575" t="n">
        <v>38</v>
      </c>
      <c r="AI575" t="n">
        <v>19</v>
      </c>
      <c r="AJ575" t="n">
        <v>24</v>
      </c>
      <c r="AK575" t="n">
        <v>12</v>
      </c>
      <c r="AL575" t="n">
        <v>102</v>
      </c>
      <c r="AM575" t="inlineStr">
        <is>
          <t>PERGAMON-ELSEVIER SCIENCE LTD</t>
        </is>
      </c>
      <c r="AN575" t="inlineStr">
        <is>
          <t>OXFORD</t>
        </is>
      </c>
      <c r="AO575" t="inlineStr">
        <is>
          <t>THE BOULEVARD, LANGFORD LANE, KIDLINGTON, OXFORD OX5 1GB, ENGLAND</t>
        </is>
      </c>
      <c r="AP575" t="inlineStr">
        <is>
          <t>1352-2310</t>
        </is>
      </c>
      <c r="AQ575" t="inlineStr">
        <is>
          <t>1873-2844</t>
        </is>
      </c>
      <c r="AS575" t="inlineStr">
        <is>
          <t>ATMOS ENVIRON</t>
        </is>
      </c>
      <c r="AT575" t="inlineStr">
        <is>
          <t>Atmos. Environ.</t>
        </is>
      </c>
      <c r="AU575" t="inlineStr">
        <is>
          <t>JAN 15</t>
        </is>
      </c>
      <c r="AV575" t="n">
        <v>2021</v>
      </c>
      <c r="AW575" t="n">
        <v>245</v>
      </c>
      <c r="BE575" t="n">
        <v>118014</v>
      </c>
      <c r="BF575" t="inlineStr">
        <is>
          <t>10.1016/j.atmosenv.2020.118014</t>
        </is>
      </c>
      <c r="BG575">
        <f>HYPERLINK("http://dx.doi.org/10.1016/j.atmosenv.2020.118014","http://dx.doi.org/10.1016/j.atmosenv.2020.118014")</f>
        <v/>
      </c>
      <c r="BJ575" t="n">
        <v>9</v>
      </c>
      <c r="BK575" t="inlineStr">
        <is>
          <t>Environmental Sciences; Meteorology &amp; Atmospheric Sciences</t>
        </is>
      </c>
      <c r="BL575" t="inlineStr">
        <is>
          <t>Science Citation Index Expanded (SCI-EXPANDED)</t>
        </is>
      </c>
      <c r="BM575" t="inlineStr">
        <is>
          <t>Environmental Sciences &amp; Ecology; Meteorology &amp; Atmospheric Sciences</t>
        </is>
      </c>
      <c r="BN575" t="inlineStr">
        <is>
          <t>PE9ZI</t>
        </is>
      </c>
      <c r="BS575" t="inlineStr">
        <is>
          <t>2023-10-26</t>
        </is>
      </c>
      <c r="BT575" t="inlineStr">
        <is>
          <t>WOS:000598719000007</t>
        </is>
      </c>
      <c r="BU575">
        <f>HYPERLINK("https%3A%2F%2Fwww.webofscience.com%2Fwos%2Fwoscc%2Ffull-record%2FWOS:000598719000007","View Full Record in Web of Science")</f>
        <v/>
      </c>
    </row>
    <row r="576">
      <c r="A576" t="inlineStr">
        <is>
          <t>J</t>
        </is>
      </c>
      <c r="B576" t="inlineStr">
        <is>
          <t>Çetin, S; De Wolf, C; Bocken, N</t>
        </is>
      </c>
      <c r="F576" t="inlineStr">
        <is>
          <t>cetin, Sultan; De Wolf, Catherine; Bocken, Nancy</t>
        </is>
      </c>
      <c r="J576" t="inlineStr">
        <is>
          <t>SUSTAINABILITY</t>
        </is>
      </c>
      <c r="M576" t="inlineStr">
        <is>
          <t>English</t>
        </is>
      </c>
      <c r="N576" t="inlineStr">
        <is>
          <t>Article</t>
        </is>
      </c>
      <c r="T576" t="inlineStr">
        <is>
          <t>Circular Digital Built Environment: An Emerging Framework</t>
        </is>
      </c>
      <c r="U576" t="inlineStr">
        <is>
          <t>circular economy; digital technology; digitalisation; built environment; construction; buildings; framework; circular strategies; circular business models; circular design; sustainability</t>
        </is>
      </c>
      <c r="V576" t="inlineStr">
        <is>
          <t>CONSTRUCTION-INDUSTRY; BIG-DATA; SUSTAINABLE CONSTRUCTION; BUILDING COMPONENTS; ECONOMY; DESIGN; FUTURE; CONCRETE; INTERNET; MAINTENANCE</t>
        </is>
      </c>
      <c r="W576" t="inlineStr">
        <is>
          <t>Digital technologies are considered to be an essential enabler of the circular economy in various industries. However, to date, very few studies have investigated which digital technologies could enable the circular economy in the built environment. This study specifically focuses on the built environment as one of the largest, most energy- and material-intensive industries globally, and investigates the following question: which digital technologies potentially enable a circular economy in the built environment, and in what ways? The research uses an iterative stepwise method: (1) framework development based on regenerating, narrowing, slowing and closing resource loop principles; (2) expert workshops to understand the usage of digital technologies in a circular built environment; (3) a literature and practice review to further populate the emerging framework with relevant digital technologies; and (4) the final mapping of digital technologies onto the framework. This study develops a novel Circular Digital Built Environment framework. It identifies and maps ten enabling digital technologies to facilitate a circular economy in the built environment. These include: (1) additive/robotic manufacturing, (2) artificial intelligence, (3) big data and analytics, (4) blockchain technology, (5) building information modelling, (6) digital platforms/marketplaces, (7) digital twins, (8) the geographical information system, (9) material passports/databanks, and (10) the internet of things. The framework provides a fruitful starting point for the novel research avenue at the intersection of circular economy, digital technology and the built environment, and gives practitioners inspiration for sustainable innovation in the sector.</t>
        </is>
      </c>
      <c r="X576" t="inlineStr">
        <is>
          <t>[cetin, Sultan; De Wolf, Catherine] Delft Univ Technol, Fac Architecture Built Environm, Julianalaan 134, NL-2628 BL Delft, Netherlands; [De Wolf, Catherine] Swiss Fed Inst Technol, Swiss Fed Inst Technol Zurich, Dept Civil Environm &amp; Geomat Engn, Chair Circular Engn Architecture, Stefano Franscini Pl 5, CH-8093 Zurich, Switzerland; [Bocken, Nancy] Maastricht Univ, Sch Business &amp; Econ, Maastricht Sustainabil Inst, Tapijn 11,Bldg D,POB 616, NL-6200 MD Maastricht, Netherlands</t>
        </is>
      </c>
      <c r="Y576" t="inlineStr">
        <is>
          <t>Delft University of Technology; Swiss Federal Institutes of Technology Domain; ETH Zurich; Maastricht University</t>
        </is>
      </c>
      <c r="Z576" t="inlineStr">
        <is>
          <t>Çetin, S (corresponding author), Delft Univ Technol, Fac Architecture Built Environm, Julianalaan 134, NL-2628 BL Delft, Netherlands.</t>
        </is>
      </c>
      <c r="AA576" t="inlineStr">
        <is>
          <t>S.Cetin-Ozturk@tudelft.nl; cdewolf@ethz.ch; Nancy.Bocken@maastrichtuniversity.nl</t>
        </is>
      </c>
      <c r="AB576" t="inlineStr">
        <is>
          <t>Cetin-Ozturk, Sultan/HLH-0367-2023</t>
        </is>
      </c>
      <c r="AC576" t="inlineStr">
        <is>
          <t>De Wolf, Catherine/0000-0003-2130-0590; Cetin, Sultan/0000-0001-9376-9043; Bocken, Nancy/0000-0003-0137-4074</t>
        </is>
      </c>
      <c r="AD576" t="inlineStr">
        <is>
          <t>CHARM Project (Circular Housing Asset Renovation and Management-No More Downcycling) under INTERREG NWE [760]; European Union's Horizon 2020's European research Council (ERC) [850159]; European Research Council (ERC) [850159] Funding Source: European Research Council (ERC)</t>
        </is>
      </c>
      <c r="AE576" t="inlineStr">
        <is>
          <t>CHARM Project (Circular Housing Asset Renovation and Management-No More Downcycling) under INTERREG NWE; European Union's Horizon 2020's European research Council (ERC); European Research Council (ERC)(European Research Council (ERC)Spanish Government)</t>
        </is>
      </c>
      <c r="AF576" t="inlineStr">
        <is>
          <t>S.C. received funding from the CHARM Project (Circular Housing Asset Renovation and Management-No More Downcycling) under INTERREG NWE grant number 760. N.B. was funded through the European Union's Horizon 2020's European research Council (ERC) funding scheme under grant agreement No 850159, project Circular X (www.circularx.eu accessed on 2 June 2021).</t>
        </is>
      </c>
      <c r="AH576" t="n">
        <v>208</v>
      </c>
      <c r="AI576" t="n">
        <v>53</v>
      </c>
      <c r="AJ576" t="n">
        <v>53</v>
      </c>
      <c r="AK576" t="n">
        <v>31</v>
      </c>
      <c r="AL576" t="n">
        <v>189</v>
      </c>
      <c r="AM576" t="inlineStr">
        <is>
          <t>MDPI</t>
        </is>
      </c>
      <c r="AN576" t="inlineStr">
        <is>
          <t>BASEL</t>
        </is>
      </c>
      <c r="AO576" t="inlineStr">
        <is>
          <t>ST ALBAN-ANLAGE 66, CH-4052 BASEL, SWITZERLAND</t>
        </is>
      </c>
      <c r="AQ576" t="inlineStr">
        <is>
          <t>2071-1050</t>
        </is>
      </c>
      <c r="AS576" t="inlineStr">
        <is>
          <t>SUSTAINABILITY-BASEL</t>
        </is>
      </c>
      <c r="AT576" t="inlineStr">
        <is>
          <t>Sustainability</t>
        </is>
      </c>
      <c r="AU576" t="inlineStr">
        <is>
          <t>JUN</t>
        </is>
      </c>
      <c r="AV576" t="n">
        <v>2021</v>
      </c>
      <c r="AW576" t="n">
        <v>13</v>
      </c>
      <c r="AX576" t="n">
        <v>11</v>
      </c>
      <c r="BE576" t="n">
        <v>6348</v>
      </c>
      <c r="BF576" t="inlineStr">
        <is>
          <t>10.3390/su13116348</t>
        </is>
      </c>
      <c r="BG576">
        <f>HYPERLINK("http://dx.doi.org/10.3390/su13116348","http://dx.doi.org/10.3390/su13116348")</f>
        <v/>
      </c>
      <c r="BJ576" t="n">
        <v>34</v>
      </c>
      <c r="BK576" t="inlineStr">
        <is>
          <t>Green &amp; Sustainable Science &amp; Technology; Environmental Sciences; Environmental Studies</t>
        </is>
      </c>
      <c r="BL576" t="inlineStr">
        <is>
          <t>Science Citation Index Expanded (SCI-EXPANDED); Social Science Citation Index (SSCI)</t>
        </is>
      </c>
      <c r="BM576" t="inlineStr">
        <is>
          <t>Science &amp; Technology - Other Topics; Environmental Sciences &amp; Ecology</t>
        </is>
      </c>
      <c r="BN576" t="inlineStr">
        <is>
          <t>SR0PD</t>
        </is>
      </c>
      <c r="BP576" t="inlineStr">
        <is>
          <t>gold, Green Published</t>
        </is>
      </c>
      <c r="BS576" t="inlineStr">
        <is>
          <t>2023-10-26</t>
        </is>
      </c>
      <c r="BT576" t="inlineStr">
        <is>
          <t>WOS:000660746600001</t>
        </is>
      </c>
      <c r="BU576">
        <f>HYPERLINK("https%3A%2F%2Fwww.webofscience.com%2Fwos%2Fwoscc%2Ffull-record%2FWOS:000660746600001","View Full Record in Web of Science")</f>
        <v/>
      </c>
    </row>
    <row r="577">
      <c r="A577" t="inlineStr">
        <is>
          <t>J</t>
        </is>
      </c>
      <c r="B577" t="inlineStr">
        <is>
          <t>Sandino, J; Vanegas, F; Maire, F; Caccetta, P; Sanderson, C; Gonzalez, F</t>
        </is>
      </c>
      <c r="F577" t="inlineStr">
        <is>
          <t>Sandino, Juan; Vanegas, Fernando; Maire, Frederic; Caccetta, Peter; Sanderson, Conrad; Gonzalez, Felipe</t>
        </is>
      </c>
      <c r="J577" t="inlineStr">
        <is>
          <t>REMOTE SENSING</t>
        </is>
      </c>
      <c r="M577" t="inlineStr">
        <is>
          <t>English</t>
        </is>
      </c>
      <c r="N577" t="inlineStr">
        <is>
          <t>Article</t>
        </is>
      </c>
      <c r="T577" t="inlineStr">
        <is>
          <t>UAV Framework for Autonomous Onboard Navigation and People/Object Detection in Cluttered Indoor Environments</t>
        </is>
      </c>
      <c r="U577" t="inlineStr">
        <is>
          <t>partially observable Markov decision process (POMDP); machine learning; search and rescue (SAR); probabilistic decision-making; embedded systems; computer vision; autonomous system; unmanned aerial system (UAS); path planning; artificial intelligence</t>
        </is>
      </c>
      <c r="V577" t="inlineStr">
        <is>
          <t>DRONES; SEARCH; RESCUE</t>
        </is>
      </c>
      <c r="W577" t="inlineStr">
        <is>
          <t>Response efforts in emergency applications such as border protection, humanitarian relief and disaster monitoring have improved with the use of Unmanned Aerial Vehicles (UAVs), which provide a flexibly deployed eye in the sky. These efforts have been further improved with advances in autonomous behaviours such as obstacle avoidance, take-off, landing, hovering and waypoint flight modes. However, most UAVs lack autonomous decision making for navigating in complex environments. This limitation creates a reliance on ground control stations to UAVs and, therefore, on their communication systems. The challenge is even more complex in indoor flight operations, where the strength of the Global Navigation Satellite System (GNSS) signals is absent or weak and compromises aircraft behaviour. This paper proposes a UAV framework for autonomous navigation to address uncertainty and partial observability from imperfect sensor readings in cluttered indoor scenarios. The framework design allocates the computing processes onboard the flight controller and companion computer of the UAV, allowing it to explore dangerous indoor areas without the supervision and physical presence of the human operator. The system is illustrated under a Search and Rescue (SAR) scenario to detect and locate victims inside a simulated office building. The navigation problem is modelled as a Partially Observable Markov Decision Process (POMDP) and solved in real time through the Augmented Belief Trees (ABT) algorithm. Data is collected using Hardware in the Loop (HIL) simulations and real flight tests. Experimental results show the robustness of the proposed framework to detect victims at various levels of location uncertainty. The proposed system ensures personal safety by letting the UAV to explore dangerous environments without the intervention of the human operator.</t>
        </is>
      </c>
      <c r="X577" t="inlineStr">
        <is>
          <t>[Sandino, Juan; Vanegas, Fernando; Maire, Frederic; Gonzalez, Felipe] Queensland Univ Technol QUT, Sch Elect Engn &amp; Robot, 2 George St, Brisbane, Qld 4000, Australia; [Sandino, Juan; Caccetta, Peter; Sanderson, Conrad] Commonwealth Sci &amp; Ind Res Org CSIRO, Data61, Bldg 101,Clunies Ross St, Black Mt, ACT 2601, Australia; [Sandino, Juan; Vanegas, Fernando; Maire, Frederic; Gonzalez, Felipe] Queensland Univ Technol QUT, QUT Ctr Robot QCR, Level 11,S Block,2 George St, Brisbane, Qld 4000, Australia</t>
        </is>
      </c>
      <c r="Y577" t="inlineStr">
        <is>
          <t>Queensland University of Technology (QUT); Commonwealth Scientific &amp; Industrial Research Organisation (CSIRO); Queensland University of Technology (QUT)</t>
        </is>
      </c>
      <c r="Z577" t="inlineStr">
        <is>
          <t>Sandino, J (corresponding author), Queensland Univ Technol QUT, Sch Elect Engn &amp; Robot, 2 George St, Brisbane, Qld 4000, Australia.;Sandino, J (corresponding author), Commonwealth Sci &amp; Ind Res Org CSIRO, Data61, Bldg 101,Clunies Ross St, Black Mt, ACT 2601, Australia.;Sandino, J (corresponding author), Queensland Univ Technol QUT, QUT Ctr Robot QCR, Level 11,S Block,2 George St, Brisbane, Qld 4000, Australia.</t>
        </is>
      </c>
      <c r="AA577" t="inlineStr">
        <is>
          <t>j.sandino@qut.edu.au; f.vanegasalvarez@qut.edu.au; f.maire@qut.edu.au; peter.caccetta@data61.csiro.au; conrad.sanderson@data61.csiro.au; felipe.gonzalez@qut.edu.au</t>
        </is>
      </c>
      <c r="AB577" t="inlineStr">
        <is>
          <t>Gonzalez, Felipe/G-7661-2011; Sandino, Juan/U-2153-2018</t>
        </is>
      </c>
      <c r="AC577" t="inlineStr">
        <is>
          <t>Gonzalez, Felipe/0000-0002-4342-3682; Sandino, Juan/0000-0002-6780-2425; Maire, Frederic/0000-0002-6212-7651; Caccetta, Peter/0000-0002-9693-7927; Vanegas Alvarez, Fernando/0000-0003-1821-1263</t>
        </is>
      </c>
      <c r="AD577" t="inlineStr">
        <is>
          <t>Commonwealth Scientific and Industrial Research Organisation (CSIRO) through the CSIRO Data61 PhD and Top Up Scholarships [50061686]; Australian Research Council (ARC) through the ARC Discovery Project 2018 Navigating under the forest canopy and in the urban jungle [ARC DP180102250]; Queensland University of Technology (QUT) through the Higher Degree Research (HDR) Tuition Fee Sponsorship - QUT Office for Scholarly Communication (OSC)</t>
        </is>
      </c>
      <c r="AE577" t="inlineStr">
        <is>
          <t>Commonwealth Scientific and Industrial Research Organisation (CSIRO) through the CSIRO Data61 PhD and Top Up Scholarships; Australian Research Council (ARC) through the ARC Discovery Project 2018 Navigating under the forest canopy and in the urban jungle(Australian Research Council); Queensland University of Technology (QUT) through the Higher Degree Research (HDR) Tuition Fee Sponsorship - QUT Office for Scholarly Communication (OSC)</t>
        </is>
      </c>
      <c r="AF577" t="inlineStr">
        <is>
          <t>This research was funded by The Commonwealth Scientific and Industrial Research Organisation (CSIRO) through the CSIRO Data61 PhD and Top Up Scholarships (Agreement 50061686), The Australian Research Council (ARC) through the ARC Discovery Project 2018 Navigating under the forest canopy and in the urban jungle (grant number ARC DP180102250) and The Queensland University of Technology (QUT) through the Higher Degree Research (HDR) Tuition Fee Sponsorship. The APC was funded by the QUT Office for Scholarly Communication (OSC).</t>
        </is>
      </c>
      <c r="AH577" t="n">
        <v>54</v>
      </c>
      <c r="AI577" t="n">
        <v>34</v>
      </c>
      <c r="AJ577" t="n">
        <v>34</v>
      </c>
      <c r="AK577" t="n">
        <v>4</v>
      </c>
      <c r="AL577" t="n">
        <v>32</v>
      </c>
      <c r="AM577" t="inlineStr">
        <is>
          <t>MDPI</t>
        </is>
      </c>
      <c r="AN577" t="inlineStr">
        <is>
          <t>BASEL</t>
        </is>
      </c>
      <c r="AO577" t="inlineStr">
        <is>
          <t>ST ALBAN-ANLAGE 66, CH-4052 BASEL, SWITZERLAND</t>
        </is>
      </c>
      <c r="AQ577" t="inlineStr">
        <is>
          <t>2072-4292</t>
        </is>
      </c>
      <c r="AS577" t="inlineStr">
        <is>
          <t>REMOTE SENS-BASEL</t>
        </is>
      </c>
      <c r="AT577" t="inlineStr">
        <is>
          <t>Remote Sens.</t>
        </is>
      </c>
      <c r="AU577" t="inlineStr">
        <is>
          <t>OCT</t>
        </is>
      </c>
      <c r="AV577" t="n">
        <v>2020</v>
      </c>
      <c r="AW577" t="n">
        <v>12</v>
      </c>
      <c r="AX577" t="n">
        <v>20</v>
      </c>
      <c r="BE577" t="n">
        <v>3386</v>
      </c>
      <c r="BF577" t="inlineStr">
        <is>
          <t>10.3390/rs12203386</t>
        </is>
      </c>
      <c r="BG577">
        <f>HYPERLINK("http://dx.doi.org/10.3390/rs12203386","http://dx.doi.org/10.3390/rs12203386")</f>
        <v/>
      </c>
      <c r="BJ577" t="n">
        <v>31</v>
      </c>
      <c r="BK577" t="inlineStr">
        <is>
          <t>Environmental Sciences; Geosciences, Multidisciplinary; Remote Sensing; Imaging Science &amp; Photographic Technology</t>
        </is>
      </c>
      <c r="BL577" t="inlineStr">
        <is>
          <t>Science Citation Index Expanded (SCI-EXPANDED)</t>
        </is>
      </c>
      <c r="BM577" t="inlineStr">
        <is>
          <t>Environmental Sciences &amp; Ecology; Geology; Remote Sensing; Imaging Science &amp; Photographic Technology</t>
        </is>
      </c>
      <c r="BN577" t="inlineStr">
        <is>
          <t>OL9DE</t>
        </is>
      </c>
      <c r="BP577" t="inlineStr">
        <is>
          <t>gold, Green Published</t>
        </is>
      </c>
      <c r="BS577" t="inlineStr">
        <is>
          <t>2023-10-26</t>
        </is>
      </c>
      <c r="BT577" t="inlineStr">
        <is>
          <t>WOS:000585630100001</t>
        </is>
      </c>
      <c r="BU577">
        <f>HYPERLINK("https%3A%2F%2Fwww.webofscience.com%2Fwos%2Fwoscc%2Ffull-record%2FWOS:000585630100001","View Full Record in Web of Science")</f>
        <v/>
      </c>
    </row>
    <row r="578">
      <c r="A578" t="inlineStr">
        <is>
          <t>J</t>
        </is>
      </c>
      <c r="B578" t="inlineStr">
        <is>
          <t>Kimic, K; Polko, P</t>
        </is>
      </c>
      <c r="F578" t="inlineStr">
        <is>
          <t>Kimic, Kinga; Polko, Paulina</t>
        </is>
      </c>
      <c r="J578" t="inlineStr">
        <is>
          <t>INTERNATIONAL JOURNAL OF ENVIRONMENTAL RESEARCH AND PUBLIC HEALTH</t>
        </is>
      </c>
      <c r="M578" t="inlineStr">
        <is>
          <t>English</t>
        </is>
      </c>
      <c r="N578" t="inlineStr">
        <is>
          <t>Article</t>
        </is>
      </c>
      <c r="T578" t="inlineStr">
        <is>
          <t>The Use of Urban Parks by Older Adults in the Context of Perceived Security</t>
        </is>
      </c>
      <c r="U578" t="inlineStr">
        <is>
          <t>urban greenery; older adults; perceived security; fear factors; age-friendly parks; active-friendly parks; physical activity; inclusiveness; Poland</t>
        </is>
      </c>
      <c r="V578" t="inlineStr">
        <is>
          <t>PUBLIC OPEN SPACES; NEIGHBORHOOD OPEN SPACE; PHYSICAL-ACTIVITY; GREEN-SPACE; CRIME-PREVENTION; ENVIRONMENTAL ATTRIBUTES; ECOSYSTEM SERVICES; LIVING ENVIRONMENT; BUILT ENVIRONMENT; PERSONAL SAFETY</t>
        </is>
      </c>
      <c r="W578" t="inlineStr">
        <is>
          <t>The perception of urban greenery is determined by many aspects, including the personal security of different groups of city dwellers. The objective of this study was to investigate if there are differences between the sense of security of older adults and other groups of urban park users, and which factors play an important role in the evaluation of personal security and thus determine the use (or not) of parks. A survey questionnaire was administrated to a sample of randomly selected park users in Poland (n = 394), including seniors (s = 69). The results show statistically significant differences in security perception between respondents under the age of 60 and those over the age of 60 in the case of all questioned factors. At the same time, all of them are important for a sense of security in older adults. This knowledge is crucial for designing more inclusive and age-friendly urban parks, which should meet the needs and expectations of older adults and encourage them to engage in more activity.</t>
        </is>
      </c>
      <c r="X578" t="inlineStr">
        <is>
          <t>[Kimic, Kinga] Warsaw Univ Life Sci SGGW, Inst Environm Engn, Dept Landscape Architecture, Nowoursynowska St 159, PL-02776 Warsaw, Poland; [Polko, Paulina] WSB Univ, Fac Appl Sci, Secur Studies Dept, Cieplaka St 1c, PL-41300 Dabrowa Gornicza, Poland</t>
        </is>
      </c>
      <c r="Y578" t="inlineStr">
        <is>
          <t>Warsaw University of Life Sciences; WSB University</t>
        </is>
      </c>
      <c r="Z578" t="inlineStr">
        <is>
          <t>Polko, P (corresponding author), WSB Univ, Fac Appl Sci, Secur Studies Dept, Cieplaka St 1c, PL-41300 Dabrowa Gornicza, Poland.</t>
        </is>
      </c>
      <c r="AA578" t="inlineStr">
        <is>
          <t>kinga_kimic@sggw.edu.pl; ppolko@wsb.edu.pl</t>
        </is>
      </c>
      <c r="AB578" t="inlineStr">
        <is>
          <t>Kimic, Kinga/AAJ-5523-2021</t>
        </is>
      </c>
      <c r="AC578" t="inlineStr">
        <is>
          <t>Kimic, Kinga/0000-0001-8336-347X; Polko, Paulina/0000-0002-9770-7373</t>
        </is>
      </c>
      <c r="AH578" t="n">
        <v>197</v>
      </c>
      <c r="AI578" t="n">
        <v>5</v>
      </c>
      <c r="AJ578" t="n">
        <v>5</v>
      </c>
      <c r="AK578" t="n">
        <v>21</v>
      </c>
      <c r="AL578" t="n">
        <v>81</v>
      </c>
      <c r="AM578" t="inlineStr">
        <is>
          <t>MDPI</t>
        </is>
      </c>
      <c r="AN578" t="inlineStr">
        <is>
          <t>BASEL</t>
        </is>
      </c>
      <c r="AO578" t="inlineStr">
        <is>
          <t>ST ALBAN-ANLAGE 66, CH-4052 BASEL, SWITZERLAND</t>
        </is>
      </c>
      <c r="AQ578" t="inlineStr">
        <is>
          <t>1660-4601</t>
        </is>
      </c>
      <c r="AS578" t="inlineStr">
        <is>
          <t>INT J ENV RES PUB HE</t>
        </is>
      </c>
      <c r="AT578" t="inlineStr">
        <is>
          <t>Int. J. Environ. Res. Public Health</t>
        </is>
      </c>
      <c r="AU578" t="inlineStr">
        <is>
          <t>APR</t>
        </is>
      </c>
      <c r="AV578" t="n">
        <v>2022</v>
      </c>
      <c r="AW578" t="n">
        <v>19</v>
      </c>
      <c r="AX578" t="n">
        <v>7</v>
      </c>
      <c r="BE578" t="n">
        <v>4184</v>
      </c>
      <c r="BF578" t="inlineStr">
        <is>
          <t>10.3390/ijerph19074184</t>
        </is>
      </c>
      <c r="BG578">
        <f>HYPERLINK("http://dx.doi.org/10.3390/ijerph19074184","http://dx.doi.org/10.3390/ijerph19074184")</f>
        <v/>
      </c>
      <c r="BJ578" t="n">
        <v>20</v>
      </c>
      <c r="BK578" t="inlineStr">
        <is>
          <t>Environmental Sciences; Public, Environmental &amp; Occupational Health</t>
        </is>
      </c>
      <c r="BL578" t="inlineStr">
        <is>
          <t>Science Citation Index Expanded (SCI-EXPANDED); Social Science Citation Index (SSCI)</t>
        </is>
      </c>
      <c r="BM578" t="inlineStr">
        <is>
          <t>Environmental Sciences &amp; Ecology; Public, Environmental &amp; Occupational Health</t>
        </is>
      </c>
      <c r="BN578" t="inlineStr">
        <is>
          <t>0K9EH</t>
        </is>
      </c>
      <c r="BO578" t="n">
        <v>35409867</v>
      </c>
      <c r="BP578" t="inlineStr">
        <is>
          <t>Green Published, gold</t>
        </is>
      </c>
      <c r="BS578" t="inlineStr">
        <is>
          <t>2023-10-26</t>
        </is>
      </c>
      <c r="BT578" t="inlineStr">
        <is>
          <t>WOS:000781089700001</t>
        </is>
      </c>
      <c r="BU578">
        <f>HYPERLINK("https%3A%2F%2Fwww.webofscience.com%2Fwos%2Fwoscc%2Ffull-record%2FWOS:000781089700001","View Full Record in Web of Science")</f>
        <v/>
      </c>
    </row>
    <row r="579">
      <c r="A579" t="inlineStr">
        <is>
          <t>J</t>
        </is>
      </c>
      <c r="B579" t="inlineStr">
        <is>
          <t>Campelo, AM; Katz, L</t>
        </is>
      </c>
      <c r="F579" t="inlineStr">
        <is>
          <t>Campelo, Alexandre Monte; Katz, Larry</t>
        </is>
      </c>
      <c r="J579" t="inlineStr">
        <is>
          <t>INTERNATIONAL JOURNAL OF ENVIRONMENTAL RESEARCH AND PUBLIC HEALTH</t>
        </is>
      </c>
      <c r="M579" t="inlineStr">
        <is>
          <t>English</t>
        </is>
      </c>
      <c r="N579" t="inlineStr">
        <is>
          <t>Article</t>
        </is>
      </c>
      <c r="T579" t="inlineStr">
        <is>
          <t>Older Adults' Perceptions of the Usefulness of Technologies for Engaging in Physical Activity: Using Focus Groups to Explore Physical Literacy</t>
        </is>
      </c>
      <c r="U579" t="inlineStr">
        <is>
          <t>physical literacy; technology; active videogame; elderly; focus groups</t>
        </is>
      </c>
      <c r="V579" t="inlineStr">
        <is>
          <t>VIDEO GAMES; PEOPLE</t>
        </is>
      </c>
      <c r="W579" t="inlineStr">
        <is>
          <t>Insufficient physical activity (PA) levels observed among older adults remain extremely high and pose a danger to developing and maintaining their physical literacy (PL). Each person's level of PL partly depends on their physical and cognitive skills, confidence level, and degree of motivation to practice PA daily. New technologies, such as exergames and wearable fitness trackers, may enable older adults to increase their PL, stimulating uptake and ongoing PA participation. Objective: This focus group study aims to describe older adults' perceptions of the use of technologies to engage in physical exercise programs. Methods: Fifteen participants were randomly selected from a sample of 40 older adults who completed a randomized controlled trial that investigated the benefits of using technology in the context of group-based exercise programs. Separate post-intervention focus groups were performed with an exergaming group, a conventional physical training group, and a no training group (control). Data were mapped onto constructs from the four domains of PL: affective, physical, cognitive, and behavioral. Results: Generally, participants expressed positive perceptions about the benefits of using technology to engage in PA. These positive feelings outweighed the costs and the lack of familiarization with technology. Common themes for the three groups emerged from the discussions and included familiarization with technology, using fitness tracker to monitor PA, previous exposure to technology, and interaction with peers, staff members, and relatives. In particular, participants from the exergaming group explored the ideas of training their cognitive skills while using the exergame accessories, exercising in an alternative way, competitive versus cooperative play, changes in sense of humor, skill transferability from game to real environment, progressions of the exercise intensities, and the potential use of exergames for rehabilitation. Conclusions: Participants in this study reported positive perceptions about implementing technology into exercise. Emphasizing the benefits of using technology in group-based exercise programs may increase older adults' PL levels and their future technology adoption. The potential implementation of technology into conventional exercise programs should focus on older adults' lifelong values, biopsychosocial conditions, and the possibility of reducing age-related risk of injuries and chronic diseases.</t>
        </is>
      </c>
      <c r="X579" t="inlineStr">
        <is>
          <t>[Campelo, Alexandre Monte; Katz, Larry] Univ Calgary, Fac Kinesiol, Sport Technol Res Lab, Calgary, AB T2N 1N4, Canada</t>
        </is>
      </c>
      <c r="Y579" t="inlineStr">
        <is>
          <t>University of Calgary</t>
        </is>
      </c>
      <c r="Z579" t="inlineStr">
        <is>
          <t>Campelo, AM (corresponding author), Univ Calgary, Fac Kinesiol, Sport Technol Res Lab, Calgary, AB T2N 1N4, Canada.</t>
        </is>
      </c>
      <c r="AA579" t="inlineStr">
        <is>
          <t>alex_campelo@hotmail.com; katz@ucalgary.ca</t>
        </is>
      </c>
      <c r="AC579" t="inlineStr">
        <is>
          <t>Katz, Larry/0000-0001-7863-7851</t>
        </is>
      </c>
      <c r="AD579" t="inlineStr">
        <is>
          <t>Coordination of Improvement of Higher-Level Personnel (CAPES), Government of Brazil; Sport Technology Research Laboratory (STRL), University of Calgary, Canada</t>
        </is>
      </c>
      <c r="AE579" t="inlineStr">
        <is>
          <t>Coordination of Improvement of Higher-Level Personnel (CAPES), Government of Brazil; Sport Technology Research Laboratory (STRL), University of Calgary, Canada</t>
        </is>
      </c>
      <c r="AF579" t="inlineStr">
        <is>
          <t>Coordination of Improvement of Higher-Level Personnel (CAPES), Government of Brazil, and Sport Technology Research Laboratory (STRL), University of Calgary, Canada, provided financial support for this research project.</t>
        </is>
      </c>
      <c r="AH579" t="n">
        <v>60</v>
      </c>
      <c r="AI579" t="n">
        <v>15</v>
      </c>
      <c r="AJ579" t="n">
        <v>15</v>
      </c>
      <c r="AK579" t="n">
        <v>5</v>
      </c>
      <c r="AL579" t="n">
        <v>36</v>
      </c>
      <c r="AM579" t="inlineStr">
        <is>
          <t>MDPI</t>
        </is>
      </c>
      <c r="AN579" t="inlineStr">
        <is>
          <t>BASEL</t>
        </is>
      </c>
      <c r="AO579" t="inlineStr">
        <is>
          <t>ST ALBAN-ANLAGE 66, CH-4052 BASEL, SWITZERLAND</t>
        </is>
      </c>
      <c r="AQ579" t="inlineStr">
        <is>
          <t>1660-4601</t>
        </is>
      </c>
      <c r="AS579" t="inlineStr">
        <is>
          <t>INT J ENV RES PUB HE</t>
        </is>
      </c>
      <c r="AT579" t="inlineStr">
        <is>
          <t>Int. J. Environ. Res. Public Health</t>
        </is>
      </c>
      <c r="AU579" t="inlineStr">
        <is>
          <t>FEB</t>
        </is>
      </c>
      <c r="AV579" t="n">
        <v>2020</v>
      </c>
      <c r="AW579" t="n">
        <v>17</v>
      </c>
      <c r="AX579" t="n">
        <v>4</v>
      </c>
      <c r="BE579" t="n">
        <v>1144</v>
      </c>
      <c r="BF579" t="inlineStr">
        <is>
          <t>10.3390/ijerph17041144</t>
        </is>
      </c>
      <c r="BG579">
        <f>HYPERLINK("http://dx.doi.org/10.3390/ijerph17041144","http://dx.doi.org/10.3390/ijerph17041144")</f>
        <v/>
      </c>
      <c r="BJ579" t="n">
        <v>14</v>
      </c>
      <c r="BK579" t="inlineStr">
        <is>
          <t>Environmental Sciences; Public, Environmental &amp; Occupational Health</t>
        </is>
      </c>
      <c r="BL579" t="inlineStr">
        <is>
          <t>Science Citation Index Expanded (SCI-EXPANDED); Social Science Citation Index (SSCI)</t>
        </is>
      </c>
      <c r="BM579" t="inlineStr">
        <is>
          <t>Environmental Sciences &amp; Ecology; Public, Environmental &amp; Occupational Health</t>
        </is>
      </c>
      <c r="BN579" t="inlineStr">
        <is>
          <t>KY2GF</t>
        </is>
      </c>
      <c r="BO579" t="n">
        <v>32053937</v>
      </c>
      <c r="BP579" t="inlineStr">
        <is>
          <t>gold, Green Published</t>
        </is>
      </c>
      <c r="BS579" t="inlineStr">
        <is>
          <t>2023-10-26</t>
        </is>
      </c>
      <c r="BT579" t="inlineStr">
        <is>
          <t>WOS:000522388500020</t>
        </is>
      </c>
      <c r="BU579">
        <f>HYPERLINK("https%3A%2F%2Fwww.webofscience.com%2Fwos%2Fwoscc%2Ffull-record%2FWOS:000522388500020","View Full Record in Web of Science")</f>
        <v/>
      </c>
    </row>
    <row r="580">
      <c r="A580" t="inlineStr">
        <is>
          <t>J</t>
        </is>
      </c>
      <c r="B580" t="inlineStr">
        <is>
          <t>Marín-Nicolás, J; Sáez-Pérez, MP</t>
        </is>
      </c>
      <c r="F580" t="inlineStr">
        <is>
          <t>Marin-Nicolas, Jose; Paz Saez-Perez, Ma</t>
        </is>
      </c>
      <c r="J580" t="inlineStr">
        <is>
          <t>SUSTAINABILITY</t>
        </is>
      </c>
      <c r="M580" t="inlineStr">
        <is>
          <t>English</t>
        </is>
      </c>
      <c r="N580" t="inlineStr">
        <is>
          <t>Article</t>
        </is>
      </c>
      <c r="T580" t="inlineStr">
        <is>
          <t>An Evaluation Tool for Physical Accessibility of Cultural Heritage Buildings</t>
        </is>
      </c>
      <c r="U580" t="inlineStr">
        <is>
          <t>accessibility; person with disabilities; physical disability; cultural heritage; universal design; building information modeling; sustainable construction</t>
        </is>
      </c>
      <c r="V580" t="inlineStr">
        <is>
          <t>DISABILITY; TOURISM; REALITY; INCLUSIVENESS; ENVIRONMENTS; DESIGN; PEOPLE; ACCESS</t>
        </is>
      </c>
      <c r="W580" t="inlineStr">
        <is>
          <t>Persons with disabilities (PWD) account for 10-15% of the world's population. The lack of accessibility in the built environment imposes a constraint on its use by these individuals. In heritage buildings, this restriction includes access to other main qualities in addition to use. This problematic issue has been dealt with in different sectors, especially in the tourism sector. The objective of this study is to design and implement a physical accessibility assessment tool adapted to the particularities of heritage buildings. The methodology consists of two phases. In the first phase, the tool and the necessary instruments for its use are designed. Accessibility levels are also established. In the second phase, the tool is applied to a sample size of 45 buildings. The results show the tool and related instruments, as well as the data obtained from the analysis of the sample: identified barriers, the level of accessibility of the entire sample, and the level of accessibility by architectural typologies. The conclusions and discussion reflect on the utility of this tool, the feasibility of its extension to other domains, and the relevance of the information obtained from the sample to improve accessibility in architectural heritage.</t>
        </is>
      </c>
      <c r="X580" t="inlineStr">
        <is>
          <t>[Marin-Nicolas, Jose; Paz Saez-Perez, Ma] Univ Granada, Dept Architectural Construct, Adv Tech Sch Bldg Engn, Fuentenueva Campus, Granada 18071, Spain</t>
        </is>
      </c>
      <c r="Y580" t="inlineStr">
        <is>
          <t>University of Granada</t>
        </is>
      </c>
      <c r="Z580" t="inlineStr">
        <is>
          <t>Sáez-Pérez, MP (corresponding author), Univ Granada, Dept Architectural Construct, Adv Tech Sch Bldg Engn, Fuentenueva Campus, Granada 18071, Spain.</t>
        </is>
      </c>
      <c r="AA580" t="inlineStr">
        <is>
          <t>mpsaez@ugr.es</t>
        </is>
      </c>
      <c r="AB580" t="inlineStr">
        <is>
          <t>; SAEZ-PEREZ, MARIA PAZ/G-4760-2015</t>
        </is>
      </c>
      <c r="AC580" t="inlineStr">
        <is>
          <t>Marin-Nicolas, Jose/0000-0002-3956-9419; SAEZ-PEREZ, MARIA PAZ/0000-0001-9725-1153</t>
        </is>
      </c>
      <c r="AD580" t="inlineStr">
        <is>
          <t>Research Groups [RNM 0179]; Junta de Andalucia; REMINE Programme for Research and Innovation Horizon 2020 Marie Sklodowska-Curie Actions [UCE-PP2018-01]; University of Granada</t>
        </is>
      </c>
      <c r="AE580" t="inlineStr">
        <is>
          <t>Research Groups; Junta de Andalucia(Junta de Andalucia); REMINE Programme for Research and Innovation Horizon 2020 Marie Sklodowska-Curie Actions; University of Granada</t>
        </is>
      </c>
      <c r="AF580" t="inlineStr">
        <is>
          <t>The authors would like to thank the reviewers for their thoughtful comments and efforts towards improving our manuscript. This work was supported by Research Groups RNM 0179 of the Junta de Andalucia and the projects REMINE Programme for Research and Innovation Horizon 2020 Marie Sklodowska-Curie Actions, WARMEST Research and Innovation Staff Exchange (RISE) H2020-MSCA-RISE-2017, RRRMAKER H2020-MSCA-RISE-2020 (Marie Sklodowska-Curie Research and Innovation Staff Exchange and Scientific Unit of excellence Ciencia en la Alhambra, ref. UCE-PP2018-01, University of Granada.</t>
        </is>
      </c>
      <c r="AH580" t="n">
        <v>67</v>
      </c>
      <c r="AI580" t="n">
        <v>0</v>
      </c>
      <c r="AJ580" t="n">
        <v>0</v>
      </c>
      <c r="AK580" t="n">
        <v>6</v>
      </c>
      <c r="AL580" t="n">
        <v>12</v>
      </c>
      <c r="AM580" t="inlineStr">
        <is>
          <t>MDPI</t>
        </is>
      </c>
      <c r="AN580" t="inlineStr">
        <is>
          <t>BASEL</t>
        </is>
      </c>
      <c r="AO580" t="inlineStr">
        <is>
          <t>ST ALBAN-ANLAGE 66, CH-4052 BASEL, SWITZERLAND</t>
        </is>
      </c>
      <c r="AQ580" t="inlineStr">
        <is>
          <t>2071-1050</t>
        </is>
      </c>
      <c r="AS580" t="inlineStr">
        <is>
          <t>SUSTAINABILITY-BASEL</t>
        </is>
      </c>
      <c r="AT580" t="inlineStr">
        <is>
          <t>Sustainability</t>
        </is>
      </c>
      <c r="AU580" t="inlineStr">
        <is>
          <t>NOV</t>
        </is>
      </c>
      <c r="AV580" t="n">
        <v>2022</v>
      </c>
      <c r="AW580" t="n">
        <v>14</v>
      </c>
      <c r="AX580" t="n">
        <v>22</v>
      </c>
      <c r="BE580" t="n">
        <v>15251</v>
      </c>
      <c r="BF580" t="inlineStr">
        <is>
          <t>10.3390/su142215251</t>
        </is>
      </c>
      <c r="BG580">
        <f>HYPERLINK("http://dx.doi.org/10.3390/su142215251","http://dx.doi.org/10.3390/su142215251")</f>
        <v/>
      </c>
      <c r="BJ580" t="n">
        <v>19</v>
      </c>
      <c r="BK580" t="inlineStr">
        <is>
          <t>Green &amp; Sustainable Science &amp; Technology; Environmental Sciences; Environmental Studies</t>
        </is>
      </c>
      <c r="BL580" t="inlineStr">
        <is>
          <t>Science Citation Index Expanded (SCI-EXPANDED); Social Science Citation Index (SSCI)</t>
        </is>
      </c>
      <c r="BM580" t="inlineStr">
        <is>
          <t>Science &amp; Technology - Other Topics; Environmental Sciences &amp; Ecology</t>
        </is>
      </c>
      <c r="BN580" t="inlineStr">
        <is>
          <t>6K7CZ</t>
        </is>
      </c>
      <c r="BP580" t="inlineStr">
        <is>
          <t>Green Published, gold</t>
        </is>
      </c>
      <c r="BS580" t="inlineStr">
        <is>
          <t>2023-10-26</t>
        </is>
      </c>
      <c r="BT580" t="inlineStr">
        <is>
          <t>WOS:000887656500001</t>
        </is>
      </c>
      <c r="BU580">
        <f>HYPERLINK("https%3A%2F%2Fwww.webofscience.com%2Fwos%2Fwoscc%2Ffull-record%2FWOS:000887656500001","View Full Record in Web of Science")</f>
        <v/>
      </c>
    </row>
    <row r="581">
      <c r="A581" t="inlineStr">
        <is>
          <t>J</t>
        </is>
      </c>
      <c r="B581" t="inlineStr">
        <is>
          <t>Akova, I; Kilic, E; Sumer, H; Keklikci, T</t>
        </is>
      </c>
      <c r="F581" t="inlineStr">
        <is>
          <t>Akova, Irem; Kilic, Esma; Sumer, Haldun; Keklikci, Tugrul</t>
        </is>
      </c>
      <c r="J581" t="inlineStr">
        <is>
          <t>INTERNATIONAL JOURNAL OF ENVIRONMENTAL HEALTH RESEARCH</t>
        </is>
      </c>
      <c r="M581" t="inlineStr">
        <is>
          <t>English</t>
        </is>
      </c>
      <c r="N581" t="inlineStr">
        <is>
          <t>Article</t>
        </is>
      </c>
      <c r="T581" t="inlineStr">
        <is>
          <t>Prevalence of sick building syndrome in hospital staff and its relationship with indoor environmental quality</t>
        </is>
      </c>
      <c r="U581" t="inlineStr">
        <is>
          <t>Sick building syndrome; indoor environmental quality; hospital staff</t>
        </is>
      </c>
      <c r="V581" t="inlineStr">
        <is>
          <t>PERSONAL FACTORS; SYNDROME SBS; AIR-QUALITY; INFLAMMATION; HEALTH</t>
        </is>
      </c>
      <c r="W581" t="inlineStr">
        <is>
          <t>The aim of this study was to determine the prevalence of sick building syndrome (SBS), and its relationship with indoor environmental quality in hospital settings. This cross-sectional study was carried out on 300 hospital staff in Sivas. MM 040 NA Hospital questionnaire was applied. In the hospital indoor environments, air quality (carbon monoxide (CO), carbon dioxide (CO2), oxygen (O-2), methane (CH4), hydrogen sulfide (H2S), nitrogen oxides (NOx)), lighting, noise, respirable dust and thermal comfort measurements were made. The prevalence of SBS was determined as 64.7-74.1% in the hospitals. It was found that the risk of SBS was 4.31 times higher for those who complained about variable room temperature and 3.11 times higher for those who complained about noise, and decreased 1.01 times with the increase in lighting level. In order to minimize the risk of SBS, it is thought that all healthcare administrators should be informed about SBS.</t>
        </is>
      </c>
      <c r="X581" t="inlineStr">
        <is>
          <t>[Akova, Irem; Sumer, Haldun] Sivas Cumhuriyet Univ, Dept Publ Hlth, Sivas, Turkey; [Kilic, Esma] Ibn Sina Community Hlth Ctr, Sivas, Turkey; [Keklikci, Tugrul] Provincial Hlth Directorate, Sivas, Turkey</t>
        </is>
      </c>
      <c r="Y581" t="inlineStr">
        <is>
          <t>Cumhuriyet University</t>
        </is>
      </c>
      <c r="Z581" t="inlineStr">
        <is>
          <t>Akova, I (corresponding author), Sivas Cumhuriyet Univ, Dept Publ Hlth, Sivas, Turkey.</t>
        </is>
      </c>
      <c r="AA581" t="inlineStr">
        <is>
          <t>irem-007@hotmail.com</t>
        </is>
      </c>
      <c r="AB581" t="inlineStr">
        <is>
          <t>Sümer, Haldun/AAA-9468-2022</t>
        </is>
      </c>
      <c r="AC581" t="inlineStr">
        <is>
          <t>KEKLIKCI, Tugrul/0000-0002-8194-5123; Sumer, Haldun/0000-0001-6690-7658</t>
        </is>
      </c>
      <c r="AD581" t="inlineStr">
        <is>
          <t>Scientific Research Project Fund of Sivas Cumhuriyet University [T-855]; Sivas Cumhuriyet Universitesi [T-855]; Sivas/Turkey</t>
        </is>
      </c>
      <c r="AE581" t="inlineStr">
        <is>
          <t>Scientific Research Project Fund of Sivas Cumhuriyet University(Cumhuriyet University); Sivas Cumhuriyet Universitesi(Cumhuriyet University); Sivas/Turkey</t>
        </is>
      </c>
      <c r="AF581" t="inlineStr">
        <is>
          <t>This work is supported by the Scientific Research Project Fund of Sivas Cumhuriyet University under the project number T-855; Sivas Cumhuriyet Universitesi, [T-855];Sivas/Turkey.</t>
        </is>
      </c>
      <c r="AH581" t="n">
        <v>48</v>
      </c>
      <c r="AI581" t="n">
        <v>11</v>
      </c>
      <c r="AJ581" t="n">
        <v>11</v>
      </c>
      <c r="AK581" t="n">
        <v>1</v>
      </c>
      <c r="AL581" t="n">
        <v>20</v>
      </c>
      <c r="AM581" t="inlineStr">
        <is>
          <t>TAYLOR &amp; FRANCIS LTD</t>
        </is>
      </c>
      <c r="AN581" t="inlineStr">
        <is>
          <t>ABINGDON</t>
        </is>
      </c>
      <c r="AO581" t="inlineStr">
        <is>
          <t>2-4 PARK SQUARE, MILTON PARK, ABINGDON OR14 4RN, OXON, ENGLAND</t>
        </is>
      </c>
      <c r="AP581" t="inlineStr">
        <is>
          <t>0960-3123</t>
        </is>
      </c>
      <c r="AQ581" t="inlineStr">
        <is>
          <t>1369-1619</t>
        </is>
      </c>
      <c r="AS581" t="inlineStr">
        <is>
          <t>INT J ENVIRON HEAL R</t>
        </is>
      </c>
      <c r="AT581" t="inlineStr">
        <is>
          <t>Int. J. Environ. Health Res.</t>
        </is>
      </c>
      <c r="AU581" t="inlineStr">
        <is>
          <t>JUN 3</t>
        </is>
      </c>
      <c r="AV581" t="n">
        <v>2022</v>
      </c>
      <c r="AW581" t="n">
        <v>32</v>
      </c>
      <c r="AX581" t="n">
        <v>6</v>
      </c>
      <c r="BC581" t="n">
        <v>1204</v>
      </c>
      <c r="BD581" t="n">
        <v>1219</v>
      </c>
      <c r="BF581" t="inlineStr">
        <is>
          <t>10.1080/09603123.2020.1862067</t>
        </is>
      </c>
      <c r="BG581">
        <f>HYPERLINK("http://dx.doi.org/10.1080/09603123.2020.1862067","http://dx.doi.org/10.1080/09603123.2020.1862067")</f>
        <v/>
      </c>
      <c r="BI581" t="inlineStr">
        <is>
          <t>DEC 2020</t>
        </is>
      </c>
      <c r="BJ581" t="n">
        <v>16</v>
      </c>
      <c r="BK581" t="inlineStr">
        <is>
          <t>Environmental Sciences; Public, Environmental &amp; Occupational Health</t>
        </is>
      </c>
      <c r="BL581" t="inlineStr">
        <is>
          <t>Science Citation Index Expanded (SCI-EXPANDED)</t>
        </is>
      </c>
      <c r="BM581" t="inlineStr">
        <is>
          <t>Environmental Sciences &amp; Ecology; Public, Environmental &amp; Occupational Health</t>
        </is>
      </c>
      <c r="BN581" t="inlineStr">
        <is>
          <t>0V5LV</t>
        </is>
      </c>
      <c r="BO581" t="n">
        <v>33322946</v>
      </c>
      <c r="BS581" t="inlineStr">
        <is>
          <t>2023-10-26</t>
        </is>
      </c>
      <c r="BT581" t="inlineStr">
        <is>
          <t>WOS:000598923500001</t>
        </is>
      </c>
      <c r="BU581">
        <f>HYPERLINK("https%3A%2F%2Fwww.webofscience.com%2Fwos%2Fwoscc%2Ffull-record%2FWOS:000598923500001","View Full Record in Web of Science")</f>
        <v/>
      </c>
    </row>
    <row r="582">
      <c r="A582" t="inlineStr">
        <is>
          <t>J</t>
        </is>
      </c>
      <c r="B582" t="inlineStr">
        <is>
          <t>Tamuro, A; Kuwahara, R; Kim, H</t>
        </is>
      </c>
      <c r="F582" t="inlineStr">
        <is>
          <t>Tamuro, Ayame; Kuwahara, Ryoichi; Kim, Hyuntae</t>
        </is>
      </c>
      <c r="J582" t="inlineStr">
        <is>
          <t>ATMOSPHERE</t>
        </is>
      </c>
      <c r="M582" t="inlineStr">
        <is>
          <t>English</t>
        </is>
      </c>
      <c r="N582" t="inlineStr">
        <is>
          <t>Article</t>
        </is>
      </c>
      <c r="T582" t="inlineStr">
        <is>
          <t>Effects of Outdoor Air Pollutants on Indoor Environment Due to Natural Ventilation</t>
        </is>
      </c>
      <c r="U582" t="inlineStr">
        <is>
          <t>pollutants; natural ventilation; indoor environment; particles</t>
        </is>
      </c>
      <c r="W582" t="inlineStr">
        <is>
          <t>This study measured ventilation volumes and particle concentrations in indoor environments with open windows and doors. In addition, the effect of the airflow mode of the air conditioner on the ventilation volume and indoor particle concentration variations was also measured. The ventilation fan could only provide approximately 43% of the ventilation volume during the design phase. The amount of ventilation differed depending on the opening area in windows and doors. The ventilation volume was increased by opening multiple windows or doors, even when the area of the opening was the same. No significant change in the ventilation rate was observed, although the air conditioner was expected to promote the ventilation rate in the room when set on blow mode. It was confirmed that both 0.3 and 1 mu m particles could enter through the gaps around the windows and doors. Although most of the 5 mu m particles were from the outdoor air, when the air conditioner was operated in airflow mode, the removal of 5 mu m particles was performed by the air conditioner filter. The use of medium-performance or HEPA filters is expected to remove smaller particulates.</t>
        </is>
      </c>
      <c r="X582" t="inlineStr">
        <is>
          <t>[Tamuro, Ayame; Kuwahara, Ryoichi; Kim, Hyuntae] Yamaguchi Univ, Grad Sch Sci &amp; Technol Innovat Architectural &amp; Des, 2-16-1 Tokiwa Dai, Ube 7558611, Japan</t>
        </is>
      </c>
      <c r="Y582" t="inlineStr">
        <is>
          <t>Yamaguchi University</t>
        </is>
      </c>
      <c r="Z582" t="inlineStr">
        <is>
          <t>Kim, H (corresponding author), Yamaguchi Univ, Grad Sch Sci &amp; Technol Innovat Architectural &amp; Des, 2-16-1 Tokiwa Dai, Ube 7558611, Japan.</t>
        </is>
      </c>
      <c r="AA582" t="inlineStr">
        <is>
          <t>hyuntae@yamaguchi-u.ac.jp</t>
        </is>
      </c>
      <c r="AH582" t="n">
        <v>29</v>
      </c>
      <c r="AI582" t="n">
        <v>0</v>
      </c>
      <c r="AJ582" t="n">
        <v>0</v>
      </c>
      <c r="AK582" t="n">
        <v>1</v>
      </c>
      <c r="AL582" t="n">
        <v>3</v>
      </c>
      <c r="AM582" t="inlineStr">
        <is>
          <t>MDPI</t>
        </is>
      </c>
      <c r="AN582" t="inlineStr">
        <is>
          <t>BASEL</t>
        </is>
      </c>
      <c r="AO582" t="inlineStr">
        <is>
          <t>ST ALBAN-ANLAGE 66, CH-4052 BASEL, SWITZERLAND</t>
        </is>
      </c>
      <c r="AQ582" t="inlineStr">
        <is>
          <t>2073-4433</t>
        </is>
      </c>
      <c r="AS582" t="inlineStr">
        <is>
          <t>ATMOSPHERE-BASEL</t>
        </is>
      </c>
      <c r="AT582" t="inlineStr">
        <is>
          <t>Atmosphere</t>
        </is>
      </c>
      <c r="AU582" t="inlineStr">
        <is>
          <t>NOV</t>
        </is>
      </c>
      <c r="AV582" t="n">
        <v>2022</v>
      </c>
      <c r="AW582" t="n">
        <v>13</v>
      </c>
      <c r="AX582" t="n">
        <v>11</v>
      </c>
      <c r="BE582" t="n">
        <v>1917</v>
      </c>
      <c r="BF582" t="inlineStr">
        <is>
          <t>10.3390/atmos13111917</t>
        </is>
      </c>
      <c r="BG582">
        <f>HYPERLINK("http://dx.doi.org/10.3390/atmos13111917","http://dx.doi.org/10.3390/atmos13111917")</f>
        <v/>
      </c>
      <c r="BJ582" t="n">
        <v>12</v>
      </c>
      <c r="BK582" t="inlineStr">
        <is>
          <t>Environmental Sciences; Meteorology &amp; Atmospheric Sciences</t>
        </is>
      </c>
      <c r="BL582" t="inlineStr">
        <is>
          <t>Science Citation Index Expanded (SCI-EXPANDED)</t>
        </is>
      </c>
      <c r="BM582" t="inlineStr">
        <is>
          <t>Environmental Sciences &amp; Ecology; Meteorology &amp; Atmospheric Sciences</t>
        </is>
      </c>
      <c r="BN582" t="inlineStr">
        <is>
          <t>6U6LV</t>
        </is>
      </c>
      <c r="BP582" t="inlineStr">
        <is>
          <t>gold</t>
        </is>
      </c>
      <c r="BS582" t="inlineStr">
        <is>
          <t>2023-10-26</t>
        </is>
      </c>
      <c r="BT582" t="inlineStr">
        <is>
          <t>WOS:000894476900001</t>
        </is>
      </c>
      <c r="BU582">
        <f>HYPERLINK("https%3A%2F%2Fwww.webofscience.com%2Fwos%2Fwoscc%2Ffull-record%2FWOS:000894476900001","View Full Record in Web of Science")</f>
        <v/>
      </c>
    </row>
    <row r="583">
      <c r="A583" t="inlineStr">
        <is>
          <t>J</t>
        </is>
      </c>
      <c r="B583" t="inlineStr">
        <is>
          <t>Sreejith, MV; Aradhana, KS; Varsha, M; Cyrus, MK; Aravindakumar, CT; Aravind, UK</t>
        </is>
      </c>
      <c r="F583" t="inlineStr">
        <is>
          <t>Sreejith, M. Vishnu; Aradhana, K. S.; Varsha, M.; Cyrus, M. K.; Aravindakumar, C. T.; Aravind, Usha K.</t>
        </is>
      </c>
      <c r="J583" t="inlineStr">
        <is>
          <t>SCIENCE OF THE TOTAL ENVIRONMENT</t>
        </is>
      </c>
      <c r="M583" t="inlineStr">
        <is>
          <t>English</t>
        </is>
      </c>
      <c r="N583" t="inlineStr">
        <is>
          <t>Article</t>
        </is>
      </c>
      <c r="T583" t="inlineStr">
        <is>
          <t>ATR-FTIR and LC-Q-ToF-MS analysis of indoor dust from different micro-environments located in a tropical metropolitan area</t>
        </is>
      </c>
      <c r="U583" t="inlineStr">
        <is>
          <t>Micro indoor environments; Indoor dust; Contaminants of emerging concern; ATR-FTIR; LC-Q-ToF-MS</t>
        </is>
      </c>
      <c r="V583" t="inlineStr">
        <is>
          <t>PERSONAL CARE PRODUCTS; POLYCYCLIC AROMATIC-HYDROCARBONS; IN-HOUSE DUST; ORGANOPHOSPHORUS FLAME RETARDANTS; AIR-POLLUTION; ORGANIC-COMPOUNDS; PHTHALATE-ESTERS; HUMAN EXPOSURE; EMERGING CONTAMINANTS; MASS-SPECTROMETRY</t>
        </is>
      </c>
      <c r="W583" t="inlineStr">
        <is>
          <t>Indoor dust is an important matrix that exposes humans to a broad spectrum of chemicals. The information on the occurrence of contaminants of emerging concern (CECs), their metabolites, and re-emerging contaminants in indoor dust is rather limited. As the indoor environment is exposed to various chemicals from personal care products, furniture, building materials, machineries and cooking/cleaning products, there is a high chance of the presence of hazardous contaminants in indoor dust. In the present study, dust samples were collected from four different micro indoor environments (photocopying centres, residential houses, classrooms, and ATM cabins) located in an urban environment located in India's southwestern part. The collected samples were subjected to ATR - FTIR and LC-Q-ToF-MS analyses. The AIR - FUR analysis indicated the presence of aldehydes, anhydrides, carboxylic acids, esters, sulphonic acids, and asbestos -a re-emerging contaminant. A total of 19 compounds were identified from the LC-Q-ToF-MS analysis. These compounds belonged to various classes such as plasticisers, plasticiser metabolites, photoinitiators, personal care products, pharmaceutical intermediates, surfactants, and pesticides. To the best of our knowledge, this is the first report regarding the presence of CECs in indoor environments in Kerala and also the suspected occurrence of pesticides (metaldehyde and ethofumesate) in classroom dust in India. Another important highlight of this work is the demonstration of ATR-FTIR as a complementary technique for LC-Q-ToF-MS in the analysis of indoor pollution while dealing with totally unknown pollutants. These results further highlight the occurrence of probable chemically modified metabolites in the tropical climatic conditions in a microenvironment. (C) 2021 Published by Elsevier B.V.</t>
        </is>
      </c>
      <c r="X583" t="inlineStr">
        <is>
          <t>[Sreejith, M. Vishnu; Aravindakumar, C. T.] Mahatma Gandhi Univ MGU, Sch Environm Sci, Kottayam 686560, Kerala, India; [Cyrus, M. K.; Aravindakumar, C. T.] Mahatma Gandhi Univ MGU, Inter Univ Instrumentat Ctr IUIC, Kottayam 686560, Kerala, India; [Aradhana, K. S.; Varsha, M.; Aravind, Usha K.] Cochin Univ Sci &amp; Technol CUSAT, Sch Environm Studies, Kochi 682022, Kerala, India</t>
        </is>
      </c>
      <c r="Y583" t="inlineStr">
        <is>
          <t>Cochin University Science &amp; Technology</t>
        </is>
      </c>
      <c r="Z583" t="inlineStr">
        <is>
          <t>Aravindakumar, CT (corresponding author), Mahatma Gandhi Univ MGU, Sch Environm Sci, Kottayam 686560, Kerala, India.;Aravind, UK (corresponding author), Cochin Univ Sci &amp; Technol CUSAT, Sch Environm Studies, Kochi 682022, Kerala, India.</t>
        </is>
      </c>
      <c r="AA583" t="inlineStr">
        <is>
          <t>cta@mgu.ac.in; ukaravind@gmail.com</t>
        </is>
      </c>
      <c r="AB583" t="inlineStr">
        <is>
          <t>Aravindakumar, Charuvila T./ABH-2019-2021; Rana, Rajiv/AAS-3493-2021</t>
        </is>
      </c>
      <c r="AC583" t="inlineStr">
        <is>
          <t>aravind, usha k/0000-0002-1535-5467</t>
        </is>
      </c>
      <c r="AD583" t="inlineStr">
        <is>
          <t>UGC</t>
        </is>
      </c>
      <c r="AE583" t="inlineStr">
        <is>
          <t>UGC(University Grants Commission, India)</t>
        </is>
      </c>
      <c r="AF583" t="inlineStr">
        <is>
          <t>The authors acknowledge the Inter University Instrumentation Centre (IUIC), Mahatma Gandhi University (MGU), Kottayamfor instrumental support. MVS is thankful to UGC for (UGC-JRF) research fellowship.</t>
        </is>
      </c>
      <c r="AH583" t="n">
        <v>131</v>
      </c>
      <c r="AI583" t="n">
        <v>4</v>
      </c>
      <c r="AJ583" t="n">
        <v>4</v>
      </c>
      <c r="AK583" t="n">
        <v>3</v>
      </c>
      <c r="AL583" t="n">
        <v>49</v>
      </c>
      <c r="AM583" t="inlineStr">
        <is>
          <t>ELSEVIER</t>
        </is>
      </c>
      <c r="AN583" t="inlineStr">
        <is>
          <t>AMSTERDAM</t>
        </is>
      </c>
      <c r="AO583" t="inlineStr">
        <is>
          <t>RADARWEG 29, 1043 NX AMSTERDAM, NETHERLANDS</t>
        </is>
      </c>
      <c r="AP583" t="inlineStr">
        <is>
          <t>0048-9697</t>
        </is>
      </c>
      <c r="AQ583" t="inlineStr">
        <is>
          <t>1879-1026</t>
        </is>
      </c>
      <c r="AS583" t="inlineStr">
        <is>
          <t>SCI TOTAL ENVIRON</t>
        </is>
      </c>
      <c r="AT583" t="inlineStr">
        <is>
          <t>Sci. Total Environ.</t>
        </is>
      </c>
      <c r="AU583" t="inlineStr">
        <is>
          <t>AUG 20</t>
        </is>
      </c>
      <c r="AV583" t="n">
        <v>2021</v>
      </c>
      <c r="AW583" t="n">
        <v>783</v>
      </c>
      <c r="BE583" t="n">
        <v>147066</v>
      </c>
      <c r="BF583" t="inlineStr">
        <is>
          <t>10.1016/j.scitotenv.2021.147066</t>
        </is>
      </c>
      <c r="BG583">
        <f>HYPERLINK("http://dx.doi.org/10.1016/j.scitotenv.2021.147066","http://dx.doi.org/10.1016/j.scitotenv.2021.147066")</f>
        <v/>
      </c>
      <c r="BI583" t="inlineStr">
        <is>
          <t>APR 2021</t>
        </is>
      </c>
      <c r="BJ583" t="n">
        <v>13</v>
      </c>
      <c r="BK583" t="inlineStr">
        <is>
          <t>Environmental Sciences</t>
        </is>
      </c>
      <c r="BL583" t="inlineStr">
        <is>
          <t>Science Citation Index Expanded (SCI-EXPANDED)</t>
        </is>
      </c>
      <c r="BM583" t="inlineStr">
        <is>
          <t>Environmental Sciences &amp; Ecology</t>
        </is>
      </c>
      <c r="BN583" t="inlineStr">
        <is>
          <t>SL6AM</t>
        </is>
      </c>
      <c r="BO583" t="n">
        <v>34088116</v>
      </c>
      <c r="BS583" t="inlineStr">
        <is>
          <t>2023-10-26</t>
        </is>
      </c>
      <c r="BT583" t="inlineStr">
        <is>
          <t>WOS:000656998700005</t>
        </is>
      </c>
      <c r="BU583">
        <f>HYPERLINK("https%3A%2F%2Fwww.webofscience.com%2Fwos%2Fwoscc%2Ffull-record%2FWOS:000656998700005","View Full Record in Web of Science")</f>
        <v/>
      </c>
    </row>
    <row r="584">
      <c r="A584" t="inlineStr">
        <is>
          <t>J</t>
        </is>
      </c>
      <c r="B584" t="inlineStr">
        <is>
          <t>Condotta, M; Zatta, E</t>
        </is>
      </c>
      <c r="F584" t="inlineStr">
        <is>
          <t>Condotta, Massimiliano; Zatta, Elisa</t>
        </is>
      </c>
      <c r="J584" t="inlineStr">
        <is>
          <t>JOURNAL OF CLEANER PRODUCTION</t>
        </is>
      </c>
      <c r="M584" t="inlineStr">
        <is>
          <t>English</t>
        </is>
      </c>
      <c r="N584" t="inlineStr">
        <is>
          <t>Article</t>
        </is>
      </c>
      <c r="T584" t="inlineStr">
        <is>
          <t>Reuse of building elements in the architectural practice and the European regulatory context: Inconsistencies and possible improvements</t>
        </is>
      </c>
      <c r="U584" t="inlineStr">
        <is>
          <t>Resource efficiency; Circular economy; Reuse design project; Building sector; On-site mining; Urban mining</t>
        </is>
      </c>
      <c r="V584" t="inlineStr">
        <is>
          <t>BUILT ENVIRONMENT; CIRCULAR ECONOMY</t>
        </is>
      </c>
      <c r="W584" t="inlineStr">
        <is>
          <t>Current European policies identify the efficient management of Construction and Demolition Waste as a priority area. With regard to this, circular economy principles and present research trajectories encourage the less demanding manufacturing patterns as the ones enhancing resource efficiency, recognising the advantages of reusing as compared to recycling. However, the heterogeneous nature of EU norms concerning reclaimed building elements generates multiple inconsistencies. Uncertainties related to the waste management process, together with a legal vacuum, prevent reuse strategies from spreading, affecting both market competitiveness and its shift towards the sustainable resource management. Starting from the European regulatory framework for reclaimed products and components in the architectural perspective, the paper discusses possible improvements towards a more circular built environment. It analyses how existing legal vacuums and inconsistencies prevent the implementation of reuse processes in the architec-tural field, adding barriers to a value chain already lacking driving forces. The examined regulatory context highlights how the reuse of building elements is subordinate not only to proper deconstruction activities, but also to the uncertain application of the CE marking and the unclear requirements for the element specific use. As a consequence, the legal framework worsen the existing obstacles to the use of reclaimed elements: the results show how time frames, costs, performance assessment, and end users perception are the more involved criti-calities in the conflict between the enactment of reuse processes in architecture and the related regulatory context. The discussion reports possible actions and improvements on the regulatory and policy levels to simplify the procedures for architectural reuse practices. It also highlights how academic and professional research could represent a lever in promoting innovative and site-specific strategies fostering the reuse of building elements as a sustainable process.</t>
        </is>
      </c>
      <c r="X584" t="inlineStr">
        <is>
          <t>[Condotta, Massimiliano; Zatta, Elisa] Univ IUAV Venice, Dipartimento Culture Progetto, Dorsoduro 2196, IT-30123 Venice, Italy</t>
        </is>
      </c>
      <c r="Y584" t="inlineStr">
        <is>
          <t>IUAV University Venice</t>
        </is>
      </c>
      <c r="Z584" t="inlineStr">
        <is>
          <t>Condotta, M (corresponding author), Univ IUAV Venice, Dipartimento Culture Progetto, Dorsoduro 2196, IT-30123 Venice, Italy.</t>
        </is>
      </c>
      <c r="AA584" t="inlineStr">
        <is>
          <t>condotta@iuav.it; ezatta@iuav.it</t>
        </is>
      </c>
      <c r="AB584" t="inlineStr">
        <is>
          <t>Zatta, Elisa/AAH-2874-2021; Condotta, Massimiliano/P-2902-2014</t>
        </is>
      </c>
      <c r="AC584" t="inlineStr">
        <is>
          <t>Condotta, Massimiliano/0000-0002-7959-4520</t>
        </is>
      </c>
      <c r="AD584" t="inlineStr">
        <is>
          <t>School of Doctorate Studies; Department of Architecture and Arts of the University Iuav of Venice</t>
        </is>
      </c>
      <c r="AE584" t="inlineStr">
        <is>
          <t>School of Doctorate Studies; Department of Architecture and Arts of the University Iuav of Venice</t>
        </is>
      </c>
      <c r="AF584" t="inlineStr">
        <is>
          <t>This work was supported by the School of Doctorate Studies and by the Department of Architecture and Arts of the University Iuav of Venice.</t>
        </is>
      </c>
      <c r="AH584" t="n">
        <v>52</v>
      </c>
      <c r="AI584" t="n">
        <v>16</v>
      </c>
      <c r="AJ584" t="n">
        <v>16</v>
      </c>
      <c r="AK584" t="n">
        <v>5</v>
      </c>
      <c r="AL584" t="n">
        <v>16</v>
      </c>
      <c r="AM584" t="inlineStr">
        <is>
          <t>ELSEVIER SCI LTD</t>
        </is>
      </c>
      <c r="AN584" t="inlineStr">
        <is>
          <t>OXFORD</t>
        </is>
      </c>
      <c r="AO584" t="inlineStr">
        <is>
          <t>THE BOULEVARD, LANGFORD LANE, KIDLINGTON, OXFORD OX5 1GB, OXON, ENGLAND</t>
        </is>
      </c>
      <c r="AP584" t="inlineStr">
        <is>
          <t>0959-6526</t>
        </is>
      </c>
      <c r="AQ584" t="inlineStr">
        <is>
          <t>1879-1786</t>
        </is>
      </c>
      <c r="AS584" t="inlineStr">
        <is>
          <t>J CLEAN PROD</t>
        </is>
      </c>
      <c r="AT584" t="inlineStr">
        <is>
          <t>J. Clean Prod.</t>
        </is>
      </c>
      <c r="AU584" t="inlineStr">
        <is>
          <t>OCT 10</t>
        </is>
      </c>
      <c r="AV584" t="n">
        <v>2021</v>
      </c>
      <c r="AW584" t="n">
        <v>318</v>
      </c>
      <c r="BE584" t="n">
        <v>128413</v>
      </c>
      <c r="BF584" t="inlineStr">
        <is>
          <t>10.1016/j.jclepro.2021.128413</t>
        </is>
      </c>
      <c r="BG584">
        <f>HYPERLINK("http://dx.doi.org/10.1016/j.jclepro.2021.128413","http://dx.doi.org/10.1016/j.jclepro.2021.128413")</f>
        <v/>
      </c>
      <c r="BI584" t="inlineStr">
        <is>
          <t>AUG 2021</t>
        </is>
      </c>
      <c r="BJ584" t="n">
        <v>12</v>
      </c>
      <c r="BK584" t="inlineStr">
        <is>
          <t>Green &amp; Sustainable Science &amp; Technology; Engineering, Environmental; Environmental Sciences</t>
        </is>
      </c>
      <c r="BL584" t="inlineStr">
        <is>
          <t>Science Citation Index Expanded (SCI-EXPANDED)</t>
        </is>
      </c>
      <c r="BM584" t="inlineStr">
        <is>
          <t>Science &amp; Technology - Other Topics; Engineering; Environmental Sciences &amp; Ecology</t>
        </is>
      </c>
      <c r="BN584" t="inlineStr">
        <is>
          <t>XD3TE</t>
        </is>
      </c>
      <c r="BS584" t="inlineStr">
        <is>
          <t>2023-10-26</t>
        </is>
      </c>
      <c r="BT584" t="inlineStr">
        <is>
          <t>WOS:000722634100007</t>
        </is>
      </c>
      <c r="BU584">
        <f>HYPERLINK("https%3A%2F%2Fwww.webofscience.com%2Fwos%2Fwoscc%2Ffull-record%2FWOS:000722634100007","View Full Record in Web of Science")</f>
        <v/>
      </c>
    </row>
    <row r="585">
      <c r="A585" t="inlineStr">
        <is>
          <t>J</t>
        </is>
      </c>
      <c r="B585" t="inlineStr">
        <is>
          <t>Markowicz, P; Larsson, L</t>
        </is>
      </c>
      <c r="F585" t="inlineStr">
        <is>
          <t>Markowicz, Pawel; Larsson, Lennart</t>
        </is>
      </c>
      <c r="J585" t="inlineStr">
        <is>
          <t>ATMOSPHERIC ENVIRONMENT</t>
        </is>
      </c>
      <c r="M585" t="inlineStr">
        <is>
          <t>English</t>
        </is>
      </c>
      <c r="N585" t="inlineStr">
        <is>
          <t>Article</t>
        </is>
      </c>
      <c r="T585" t="inlineStr">
        <is>
          <t>Improving the indoor air quality by using a surface emissions trap</t>
        </is>
      </c>
      <c r="U585" t="inlineStr">
        <is>
          <t>Indoor air purification; Volatile organic compounds; Building dampness; Formaldehyde; School environment</t>
        </is>
      </c>
      <c r="V585" t="inlineStr">
        <is>
          <t>VOLATILE ORGANIC-COMPOUNDS; BUILDING-MATERIALS; FLOORING SYSTEMS; IMPACT; PRODUCTS; HEALTH; VOC; DIFFUSION; MOISTURE; OZONE</t>
        </is>
      </c>
      <c r="W585" t="inlineStr">
        <is>
          <t>The surface emissions trap, an adsorption cloth developed for reducing emissions of volatile organic compounds and particulate matter from surfaces while allowing evaporation of moisture, was used to improve the indoor air quality of a school building with elevated air concentrations of 2-ethyl-1-hexanol. An improvement of the perceived air quality was noticed a few days after the device had been attached on the PVC flooring. In parallel, decreased air concentrations of 2-ethyl-1-hexanol were found as well as a linear increase of the amounts of the same compound adsorbed on the installed cloth as observed up to 13 months after installation. Laboratory studies revealed that the performance of the device is not affected by differences in RH (35-85%), temperature (30-40 degrees C) or by accelerated aging simulating up to 10 years product lifetime, and, from a blinded exposure test, that the device efficiently blocks chemical odors. This study suggests that the device may represent a fast and efficient means of restoring the indoor air quality in a building e.g. after water damage leading to irritating and potentially harmful emissions from building material surfaces indoors. (C) 2014 Elsevier Ltd. All rights reserved.</t>
        </is>
      </c>
      <c r="X585" t="inlineStr">
        <is>
          <t>[Markowicz, Pawel; Larsson, Lennart] Lund Univ, Dept Lab Med, Div Med Microbiol, SE-22362 Lund, Sweden</t>
        </is>
      </c>
      <c r="Y585" t="inlineStr">
        <is>
          <t>Lund University</t>
        </is>
      </c>
      <c r="Z585" t="inlineStr">
        <is>
          <t>Larsson, L (corresponding author), Lund Univ, Dept Lab Med, Div Med Microbiol, Solvegatan 23, SE-22362 Lund, Sweden.</t>
        </is>
      </c>
      <c r="AA585" t="inlineStr">
        <is>
          <t>lennart.larsson@med.lu.se</t>
        </is>
      </c>
      <c r="AD585" t="inlineStr">
        <is>
          <t>Swedish Research Council for Environment, Agriculture Science and Spatial Planning (FORMAS) [242-2008-343]; Lund University</t>
        </is>
      </c>
      <c r="AE585" t="inlineStr">
        <is>
          <t>Swedish Research Council for Environment, Agriculture Science and Spatial Planning (FORMAS)(Swedish Research Council Formas); Lund University</t>
        </is>
      </c>
      <c r="AF585" t="inlineStr">
        <is>
          <t>The authors would like to thank James E. Blevins for statistical support, Lars Wadso for performing the water vapor resistance tests, and the participants of the odor perception experiment. This research was supported by the Swedish Research Council for Environment, Agriculture Science and Spatial Planning (FORMAS grant number 242-2008-343) and Lund University.</t>
        </is>
      </c>
      <c r="AH585" t="n">
        <v>35</v>
      </c>
      <c r="AI585" t="n">
        <v>5</v>
      </c>
      <c r="AJ585" t="n">
        <v>5</v>
      </c>
      <c r="AK585" t="n">
        <v>0</v>
      </c>
      <c r="AL585" t="n">
        <v>40</v>
      </c>
      <c r="AM585" t="inlineStr">
        <is>
          <t>PERGAMON-ELSEVIER SCIENCE LTD</t>
        </is>
      </c>
      <c r="AN585" t="inlineStr">
        <is>
          <t>OXFORD</t>
        </is>
      </c>
      <c r="AO585" t="inlineStr">
        <is>
          <t>THE BOULEVARD, LANGFORD LANE, KIDLINGTON, OXFORD OX5 1GB, ENGLAND</t>
        </is>
      </c>
      <c r="AP585" t="inlineStr">
        <is>
          <t>1352-2310</t>
        </is>
      </c>
      <c r="AQ585" t="inlineStr">
        <is>
          <t>1873-2844</t>
        </is>
      </c>
      <c r="AS585" t="inlineStr">
        <is>
          <t>ATMOS ENVIRON</t>
        </is>
      </c>
      <c r="AT585" t="inlineStr">
        <is>
          <t>Atmos. Environ.</t>
        </is>
      </c>
      <c r="AU585" t="inlineStr">
        <is>
          <t>APR</t>
        </is>
      </c>
      <c r="AV585" t="n">
        <v>2015</v>
      </c>
      <c r="AW585" t="n">
        <v>106</v>
      </c>
      <c r="BC585" t="n">
        <v>376</v>
      </c>
      <c r="BD585" t="n">
        <v>381</v>
      </c>
      <c r="BF585" t="inlineStr">
        <is>
          <t>10.1016/j.atmosenv.2014.04.056</t>
        </is>
      </c>
      <c r="BG585">
        <f>HYPERLINK("http://dx.doi.org/10.1016/j.atmosenv.2014.04.056","http://dx.doi.org/10.1016/j.atmosenv.2014.04.056")</f>
        <v/>
      </c>
      <c r="BJ585" t="n">
        <v>6</v>
      </c>
      <c r="BK585" t="inlineStr">
        <is>
          <t>Environmental Sciences; Meteorology &amp; Atmospheric Sciences</t>
        </is>
      </c>
      <c r="BL585" t="inlineStr">
        <is>
          <t>Science Citation Index Expanded (SCI-EXPANDED)</t>
        </is>
      </c>
      <c r="BM585" t="inlineStr">
        <is>
          <t>Environmental Sciences &amp; Ecology; Meteorology &amp; Atmospheric Sciences</t>
        </is>
      </c>
      <c r="BN585" t="inlineStr">
        <is>
          <t>CE6RR</t>
        </is>
      </c>
      <c r="BS585" t="inlineStr">
        <is>
          <t>2023-10-26</t>
        </is>
      </c>
      <c r="BT585" t="inlineStr">
        <is>
          <t>WOS:000351966200039</t>
        </is>
      </c>
      <c r="BU585">
        <f>HYPERLINK("https%3A%2F%2Fwww.webofscience.com%2Fwos%2Fwoscc%2Ffull-record%2FWOS:000351966200039","View Full Record in Web of Science")</f>
        <v/>
      </c>
    </row>
    <row r="586">
      <c r="A586" t="inlineStr">
        <is>
          <t>J</t>
        </is>
      </c>
      <c r="B586" t="inlineStr">
        <is>
          <t>Zhang, HH; Chen, SN; Huang, TL; Shang, PL; Yang, X; Ma, WX</t>
        </is>
      </c>
      <c r="F586" t="inlineStr">
        <is>
          <t>Zhang, Hai-Han; Chen, Sheng-Nan; Huang, Ting-Lin; Shang, Pan-Lu; Yang, Xiao; Ma, Wei-Xing</t>
        </is>
      </c>
      <c r="J586" t="inlineStr">
        <is>
          <t>INTERNATIONAL JOURNAL OF ENVIRONMENTAL RESEARCH AND PUBLIC HEALTH</t>
        </is>
      </c>
      <c r="M586" t="inlineStr">
        <is>
          <t>English</t>
        </is>
      </c>
      <c r="N586" t="inlineStr">
        <is>
          <t>Article</t>
        </is>
      </c>
      <c r="T586" t="inlineStr">
        <is>
          <t>Indoor Heating Drives Water Bacterial Growth and Community Metabolic Profile Changes in Building Tap Pipes during the Winter Season</t>
        </is>
      </c>
      <c r="U586" t="inlineStr">
        <is>
          <t>building indoor pipes; indoor heating; flow cytometry; BIOLOG</t>
        </is>
      </c>
      <c r="V586" t="inlineStr">
        <is>
          <t>DRINKING-WATER; DISTRIBUTION-SYSTEMS; SHAANXI PROVINCE; NORTHWEST CHINA; STAINLESS-STEEL; HOUSEHOLD TAPS; DIVERSITY; QUALITY; RESERVOIR; TEMPERATURE</t>
        </is>
      </c>
      <c r="W586" t="inlineStr">
        <is>
          <t>The growth of the bacterial community harbored in indoor drinking water taps is regulated by external environmental factors, such as indoor temperature. However, the effect of indoor heating on bacterial regrowth associated with indoor drinking water taps is poorly understood. In the present work, flow cytometry and community-level sole-carbon-source utilization techniques were combined to explore the effects of indoor heating on water bacterial cell concentrations and community carbon metabolic profiles in building tap pipes during the winter season. The results showed that the temperature of water stagnated overnight (before) in the indoor water pipes was 15-17 degrees C, and the water temperature decreased to 4-6 degrees C after flushing for 10 min (flushed). The highest bacterial cell number was observed in water stagnated overnight, and was 5-11 times higher than that of flushed water. Meanwhile, a significantly higher bacterial community metabolic activity (AWCD(590nm)) was also found in overnight stagnation water samples. The significant flushed and taps values indicated that the AWCD(590nm), and bacterial cell number varied among the taps within the flushed group (p &lt; 0.01). Heatmap fingerprints and principle component analyses (PCA) revealed a significant discrimination bacterial community functional metabolic profiles in the water stagnated overnight and flushed water. Serine, threonine, glucose-phosphate, ketobutyric acid, phenylethylamine, glycerol, putrescine were significantly used by before water samples. The results suggested that water stagnated at higher temperature should be treated before drinking because of bacterial regrowth. The data from this work provides useful information on reasonable utilization of drinking water after stagnation in indoor pipes during indoor heating periods.</t>
        </is>
      </c>
      <c r="X586" t="inlineStr">
        <is>
          <t>[Zhang, Hai-Han; Chen, Sheng-Nan; Huang, Ting-Lin; Shang, Pan-Lu; Yang, Xiao; Ma, Wei-Xing] Xian Univ Architecture &amp; Technol, Sch Environm &amp; Municipal Engn, Xian 710055, Shaanxi, Peoples R China</t>
        </is>
      </c>
      <c r="Y586" t="inlineStr">
        <is>
          <t>Xi'an University of Architecture &amp; Technology</t>
        </is>
      </c>
      <c r="Z586" t="inlineStr">
        <is>
          <t>Zhang, HH (corresponding author), Xian Univ Architecture &amp; Technol, Sch Environm &amp; Municipal Engn, Xian 710055, Shaanxi, Peoples R China.</t>
        </is>
      </c>
      <c r="AA586" t="inlineStr">
        <is>
          <t>zhanghaihan@xauat.edu.cn; chenshengnan@xauat.edu.cn; huangtinglin@xauat.edu.cn; shangpanlu@xauat.edu.cn; ichitake@126.com; hs_weixing@163.com</t>
        </is>
      </c>
      <c r="AD586" t="inlineStr">
        <is>
          <t>Teaching Reform Project in Xi'an University of Architecture and Technology [JG021415]; National Natural Science Foundation of China [51208413, 51408466]</t>
        </is>
      </c>
      <c r="AE586" t="inlineStr">
        <is>
          <t>Teaching Reform Project in Xi'an University of Architecture and Technology; National Natural Science Foundation of China(National Natural Science Foundation of China (NSFC))</t>
        </is>
      </c>
      <c r="AF586" t="inlineStr">
        <is>
          <t>This work was supported by the grants from Teaching Reform Project in Xi'an University of Architecture and Technology (No. JG021415), National Natural Science Foundation of China (Nos. 51208413; 51408466). The authors extend their thanks to reviewers whose comments and suggestions improved the quality of the manuscript.</t>
        </is>
      </c>
      <c r="AH586" t="n">
        <v>39</v>
      </c>
      <c r="AI586" t="n">
        <v>15</v>
      </c>
      <c r="AJ586" t="n">
        <v>16</v>
      </c>
      <c r="AK586" t="n">
        <v>4</v>
      </c>
      <c r="AL586" t="n">
        <v>25</v>
      </c>
      <c r="AM586" t="inlineStr">
        <is>
          <t>MDPI AG</t>
        </is>
      </c>
      <c r="AN586" t="inlineStr">
        <is>
          <t>BASEL</t>
        </is>
      </c>
      <c r="AO586" t="inlineStr">
        <is>
          <t>POSTFACH, CH-4005 BASEL, SWITZERLAND</t>
        </is>
      </c>
      <c r="AP586" t="inlineStr">
        <is>
          <t>1660-4601</t>
        </is>
      </c>
      <c r="AS586" t="inlineStr">
        <is>
          <t>INT J ENV RES PUB HE</t>
        </is>
      </c>
      <c r="AT586" t="inlineStr">
        <is>
          <t>Int. J. Environ. Res. Public Health</t>
        </is>
      </c>
      <c r="AU586" t="inlineStr">
        <is>
          <t>OCT</t>
        </is>
      </c>
      <c r="AV586" t="n">
        <v>2015</v>
      </c>
      <c r="AW586" t="n">
        <v>12</v>
      </c>
      <c r="AX586" t="n">
        <v>10</v>
      </c>
      <c r="BC586" t="n">
        <v>13649</v>
      </c>
      <c r="BD586" t="n">
        <v>13661</v>
      </c>
      <c r="BF586" t="inlineStr">
        <is>
          <t>10.3390/ijerph121013649</t>
        </is>
      </c>
      <c r="BG586">
        <f>HYPERLINK("http://dx.doi.org/10.3390/ijerph121013649","http://dx.doi.org/10.3390/ijerph121013649")</f>
        <v/>
      </c>
      <c r="BJ586" t="n">
        <v>13</v>
      </c>
      <c r="BK586" t="inlineStr">
        <is>
          <t>Environmental Sciences; Public, Environmental &amp; Occupational Health</t>
        </is>
      </c>
      <c r="BL586" t="inlineStr">
        <is>
          <t>Science Citation Index Expanded (SCI-EXPANDED)</t>
        </is>
      </c>
      <c r="BM586" t="inlineStr">
        <is>
          <t>Environmental Sciences &amp; Ecology; Public, Environmental &amp; Occupational Health</t>
        </is>
      </c>
      <c r="BN586" t="inlineStr">
        <is>
          <t>CX1RE</t>
        </is>
      </c>
      <c r="BO586" t="n">
        <v>26516885</v>
      </c>
      <c r="BP586" t="inlineStr">
        <is>
          <t>Green Published, Green Submitted, gold</t>
        </is>
      </c>
      <c r="BS586" t="inlineStr">
        <is>
          <t>2023-10-26</t>
        </is>
      </c>
      <c r="BT586" t="inlineStr">
        <is>
          <t>WOS:000365472500104</t>
        </is>
      </c>
      <c r="BU586">
        <f>HYPERLINK("https%3A%2F%2Fwww.webofscience.com%2Fwos%2Fwoscc%2Ffull-record%2FWOS:000365472500104","View Full Record in Web of Science")</f>
        <v/>
      </c>
    </row>
    <row r="587">
      <c r="A587" t="inlineStr">
        <is>
          <t>J</t>
        </is>
      </c>
      <c r="B587" t="inlineStr">
        <is>
          <t>Congiu, T; Sotgiu, G; Castiglia, P; Azara, A; Piana, A; Saderi, L; Dettori, M</t>
        </is>
      </c>
      <c r="F587" t="inlineStr">
        <is>
          <t>Congiu, Tanja; Sotgiu, Giovanni; Castiglia, Paolo; Azara, Antonio; Piana, Andrea; Saderi, Laura; Dettori, Marco</t>
        </is>
      </c>
      <c r="J587" t="inlineStr">
        <is>
          <t>SUSTAINABILITY</t>
        </is>
      </c>
      <c r="M587" t="inlineStr">
        <is>
          <t>English</t>
        </is>
      </c>
      <c r="N587" t="inlineStr">
        <is>
          <t>Article</t>
        </is>
      </c>
      <c r="T587" t="inlineStr">
        <is>
          <t>Built Environment Features and Pedestrian Accidents: An Italian Retrospective Study</t>
        </is>
      </c>
      <c r="U587" t="inlineStr">
        <is>
          <t>active transport; urban health; pedestrian accidents; road accidents; Italy</t>
        </is>
      </c>
      <c r="V587" t="inlineStr">
        <is>
          <t>KERNEL DENSITY-ESTIMATION; PHYSICAL-ACTIVITY; NEIGHBORHOOD WALKABILITY; ACTIVE TRANSPORTATION; PUBLIC-HEALTH; URBAN DESIGN; LIFE-STYLE; LAND-USE; WALKING; VEHICLE</t>
        </is>
      </c>
      <c r="W587" t="inlineStr">
        <is>
          <t>Daily walking is a recommended physical activity. It can be an all-age suitable, environment-friendly transport option. However, traffic crashes are a widely recognized risk factor, associated with drivers' errors or a combination of several environmental factors, including physical characteristics of the road space. The aim of this study was to assess the characteristics of built environments on pedestrian safety. Data on road accidents that had occurred between 2005 and 2015, in Alghero, Italy, were retrieved and matched with spatial and functional street qualities. On-street parking was found to increase the risk of pedestrian accidents by about two times, whereas, narrow travel lanes and intersections reduced the incidence of crashes and their public relevance. These field results could inform urban health and spatial planning policies with the final goal of improving health and providing more sustainable models of urban organization.</t>
        </is>
      </c>
      <c r="X587" t="inlineStr">
        <is>
          <t>[Congiu, Tanja] Univ Sassari, Dept Architecture Design &amp; Urban Planning, I-07100 Sassari, Italy; [Sotgiu, Giovanni; Castiglia, Paolo; Azara, Antonio; Piana, Andrea; Saderi, Laura; Dettori, Marco] Univ Sassari, Dept Med Surg &amp; Expt Sci, I-07100 Sassari, Italy</t>
        </is>
      </c>
      <c r="Y587" t="inlineStr">
        <is>
          <t>University of Sassari; University of Sassari</t>
        </is>
      </c>
      <c r="Z587" t="inlineStr">
        <is>
          <t>Sotgiu, G (corresponding author), Univ Sassari, Dept Med Surg &amp; Expt Sci, I-07100 Sassari, Italy.</t>
        </is>
      </c>
      <c r="AA587" t="inlineStr">
        <is>
          <t>tancon@uniss.it; gsotgiu@uniss.it; castigli@uniss.it; azara@uniss.it; piana@uniss.it; lsaderi@uniss.it; madettori@uniss.it</t>
        </is>
      </c>
      <c r="AB587" t="inlineStr">
        <is>
          <t>Sotgiu, Giovanni/N-1032-2017; Azara, Antonio/ABA-1163-2020; Saderi, Laura/GZL-0420-2022; Dettori, Marco/N-8912-2018</t>
        </is>
      </c>
      <c r="AC587" t="inlineStr">
        <is>
          <t>Sotgiu, Giovanni/0000-0002-1600-4474; Azara, Antonio/0000-0001-9089-0817; Saderi, Laura/0000-0002-5131-9367; Dettori, Marco/0000-0002-4901-2067; PIANA, Andrea Fausto/0000-0002-6609-8886</t>
        </is>
      </c>
      <c r="AH587" t="n">
        <v>77</v>
      </c>
      <c r="AI587" t="n">
        <v>44</v>
      </c>
      <c r="AJ587" t="n">
        <v>44</v>
      </c>
      <c r="AK587" t="n">
        <v>5</v>
      </c>
      <c r="AL587" t="n">
        <v>24</v>
      </c>
      <c r="AM587" t="inlineStr">
        <is>
          <t>MDPI</t>
        </is>
      </c>
      <c r="AN587" t="inlineStr">
        <is>
          <t>BASEL</t>
        </is>
      </c>
      <c r="AO587" t="inlineStr">
        <is>
          <t>ST ALBAN-ANLAGE 66, CH-4052 BASEL, SWITZERLAND</t>
        </is>
      </c>
      <c r="AQ587" t="inlineStr">
        <is>
          <t>2071-1050</t>
        </is>
      </c>
      <c r="AS587" t="inlineStr">
        <is>
          <t>SUSTAINABILITY-BASEL</t>
        </is>
      </c>
      <c r="AT587" t="inlineStr">
        <is>
          <t>Sustainability</t>
        </is>
      </c>
      <c r="AU587" t="inlineStr">
        <is>
          <t>FEB 2</t>
        </is>
      </c>
      <c r="AV587" t="n">
        <v>2019</v>
      </c>
      <c r="AW587" t="n">
        <v>11</v>
      </c>
      <c r="AX587" t="n">
        <v>4</v>
      </c>
      <c r="BE587" t="n">
        <v>1064</v>
      </c>
      <c r="BF587" t="inlineStr">
        <is>
          <t>10.3390/su11041064</t>
        </is>
      </c>
      <c r="BG587">
        <f>HYPERLINK("http://dx.doi.org/10.3390/su11041064","http://dx.doi.org/10.3390/su11041064")</f>
        <v/>
      </c>
      <c r="BJ587" t="n">
        <v>14</v>
      </c>
      <c r="BK587" t="inlineStr">
        <is>
          <t>Green &amp; Sustainable Science &amp; Technology; Environmental Sciences; Environmental Studies</t>
        </is>
      </c>
      <c r="BL587" t="inlineStr">
        <is>
          <t>Science Citation Index Expanded (SCI-EXPANDED); Social Science Citation Index (SSCI)</t>
        </is>
      </c>
      <c r="BM587" t="inlineStr">
        <is>
          <t>Science &amp; Technology - Other Topics; Environmental Sciences &amp; Ecology</t>
        </is>
      </c>
      <c r="BN587" t="inlineStr">
        <is>
          <t>HO3JV</t>
        </is>
      </c>
      <c r="BP587" t="inlineStr">
        <is>
          <t>gold</t>
        </is>
      </c>
      <c r="BS587" t="inlineStr">
        <is>
          <t>2023-10-26</t>
        </is>
      </c>
      <c r="BT587" t="inlineStr">
        <is>
          <t>WOS:000460819100124</t>
        </is>
      </c>
      <c r="BU587">
        <f>HYPERLINK("https%3A%2F%2Fwww.webofscience.com%2Fwos%2Fwoscc%2Ffull-record%2FWOS:000460819100124","View Full Record in Web of Science")</f>
        <v/>
      </c>
    </row>
    <row r="588">
      <c r="A588" t="inlineStr">
        <is>
          <t>J</t>
        </is>
      </c>
      <c r="B588" t="inlineStr">
        <is>
          <t>Amoatey, P; Omidvarborna, H; Baawain, MS; Al-Mamun, A</t>
        </is>
      </c>
      <c r="F588" t="inlineStr">
        <is>
          <t>Amoatey, Patrick; Omidvarborna, Hamid; Baawain, Mahad Said; Al-Mamun, Abdullah</t>
        </is>
      </c>
      <c r="J588" t="inlineStr">
        <is>
          <t>ENVIRONMENT INTERNATIONAL</t>
        </is>
      </c>
      <c r="M588" t="inlineStr">
        <is>
          <t>English</t>
        </is>
      </c>
      <c r="N588" t="inlineStr">
        <is>
          <t>Review</t>
        </is>
      </c>
      <c r="T588" t="inlineStr">
        <is>
          <t>Indoor air pollution and exposure assessment of the gulf cooperation council countries: A critical review</t>
        </is>
      </c>
      <c r="U588" t="inlineStr">
        <is>
          <t>Indoor air pollution; Exposure assessment; Ventilation systems; Mitigation; GCC countries</t>
        </is>
      </c>
      <c r="V588" t="inlineStr">
        <is>
          <t>HEALTH-RISK ASSESSMENT; RADON CONCENTRATIONS; PARTICULATE MATTER; ENERGY EFFICIENCY; FLAME RETARDANTS; ELEMENTARY-SCHOOLS; QUALITY CONDITIONS; PHTHALATE-ESTERS; SUSPENDED DUST; HEAVY-METALS</t>
        </is>
      </c>
      <c r="W588" t="inlineStr">
        <is>
          <t>Indoor air pollution is one of the human health threat problems in the Gulf Cooperation Council (GCC) countries. In these countries, due to unfavorable meteorological conditions, such as elevated ambient temperature, high relative humidity, and natural events such as dust storms, people spend a substantial amount of their time in indoor environments. In addition, production of physical and biological aerosols from air conditioners, cooking activities, burning of Arabian incense, and overcrowding due to pilgrimage programs are common causes of low quality indoor air in this region. Thus, due to infiltration of outdoor sources as well as various indoor sources, people living in the GCC countries are highly exposed to indoor air pollutants. Inhalation of indoor air pollutants causes mortalities and morbidities attributed to cardiorespiratory, pulmonary, and lung cancer diseases. Hence, the aim of this review study is to provide a summary of the major findings of indoor air pollution studies in different microenvironments in six GCC countries. These include characterization of detected indoor air pollutants, exposure concentration levels, source identifications, sustainable building designs and ventilation systems, and the mitigation strategies. To do so, &gt; 130 relevant indoor air pollution studies across the GCC countries were critically reviewed. Particulate matters (PM10 and PM2.5), total volatile organic compounds (TVOCs), carbon dioxide (CO2), sulfur dioxide (SO2), nitrogen dioxide (NO2), and heavy metals were identified as the reported indoor air pollutants. Apart from them, indoor Radon and bioaerosols were studied only in specific GCC countries. Thus, future studies should also focus on the investigation of emerging indoor air pollutants, such as ultrafine and nanoparticles and their associated health effects. Furthermore, studies on the mitigation of indoor air pollution through the development of advanced air purification and ventilation systems could improve the indoor air quality (IAQ) in the GCC region.</t>
        </is>
      </c>
      <c r="X588" t="inlineStr">
        <is>
          <t>[Amoatey, Patrick; Omidvarborna, Hamid; Baawain, Mahad Said; Al-Mamun, Abdullah] Sultan Qaboos Univ, Dept Civil &amp; Architectural Engn, Coll Engn, POB 33, Muscat 123, Oman</t>
        </is>
      </c>
      <c r="Y588" t="inlineStr">
        <is>
          <t>Sultan Qaboos University</t>
        </is>
      </c>
      <c r="Z588" t="inlineStr">
        <is>
          <t>Baawain, MS (corresponding author), Sultan Qaboos Univ, Dept Civil &amp; Architectural Engn, Coll Engn, POB 33, Muscat 123, Oman.</t>
        </is>
      </c>
      <c r="AA588" t="inlineStr">
        <is>
          <t>msab@squ.edu.om</t>
        </is>
      </c>
      <c r="AB588" t="inlineStr">
        <is>
          <t>Omidvarborna, Hamid/AAF-9739-2019; Amoatey, Patrick/G-1475-2016; Baawain, Mahad/S-8010-2019; Al-Mamun, Abdullah/ABH-8121-2020</t>
        </is>
      </c>
      <c r="AC588" t="inlineStr">
        <is>
          <t>Omidvarborna, Hamid/0000-0003-2865-5319; Amoatey, Patrick/0000-0003-2995-5399; Baawain, Mahad/0000-0001-5239-4839; Al-Mamun, Abdullah/0000-0002-5642-2945; Dalibalta, Sarah/0000-0003-2288-9210</t>
        </is>
      </c>
      <c r="AH588" t="n">
        <v>155</v>
      </c>
      <c r="AI588" t="n">
        <v>62</v>
      </c>
      <c r="AJ588" t="n">
        <v>65</v>
      </c>
      <c r="AK588" t="n">
        <v>8</v>
      </c>
      <c r="AL588" t="n">
        <v>132</v>
      </c>
      <c r="AM588" t="inlineStr">
        <is>
          <t>PERGAMON-ELSEVIER SCIENCE LTD</t>
        </is>
      </c>
      <c r="AN588" t="inlineStr">
        <is>
          <t>OXFORD</t>
        </is>
      </c>
      <c r="AO588" t="inlineStr">
        <is>
          <t>THE BOULEVARD, LANGFORD LANE, KIDLINGTON, OXFORD OX5 1GB, ENGLAND</t>
        </is>
      </c>
      <c r="AP588" t="inlineStr">
        <is>
          <t>0160-4120</t>
        </is>
      </c>
      <c r="AQ588" t="inlineStr">
        <is>
          <t>1873-6750</t>
        </is>
      </c>
      <c r="AS588" t="inlineStr">
        <is>
          <t>ENVIRON INT</t>
        </is>
      </c>
      <c r="AT588" t="inlineStr">
        <is>
          <t>Environ. Int.</t>
        </is>
      </c>
      <c r="AU588" t="inlineStr">
        <is>
          <t>DEC</t>
        </is>
      </c>
      <c r="AV588" t="n">
        <v>2018</v>
      </c>
      <c r="AW588" t="n">
        <v>121</v>
      </c>
      <c r="AY588" t="n">
        <v>1</v>
      </c>
      <c r="BC588" t="n">
        <v>491</v>
      </c>
      <c r="BD588" t="n">
        <v>506</v>
      </c>
      <c r="BF588" t="inlineStr">
        <is>
          <t>10.1016/j.envint.2018.09.043</t>
        </is>
      </c>
      <c r="BG588">
        <f>HYPERLINK("http://dx.doi.org/10.1016/j.envint.2018.09.043","http://dx.doi.org/10.1016/j.envint.2018.09.043")</f>
        <v/>
      </c>
      <c r="BJ588" t="n">
        <v>16</v>
      </c>
      <c r="BK588" t="inlineStr">
        <is>
          <t>Environmental Sciences</t>
        </is>
      </c>
      <c r="BL588" t="inlineStr">
        <is>
          <t>Science Citation Index Expanded (SCI-EXPANDED)</t>
        </is>
      </c>
      <c r="BM588" t="inlineStr">
        <is>
          <t>Environmental Sciences &amp; Ecology</t>
        </is>
      </c>
      <c r="BN588" t="inlineStr">
        <is>
          <t>GZ0RA</t>
        </is>
      </c>
      <c r="BO588" t="n">
        <v>30286426</v>
      </c>
      <c r="BP588" t="inlineStr">
        <is>
          <t>Green Published, hybrid</t>
        </is>
      </c>
      <c r="BS588" t="inlineStr">
        <is>
          <t>2023-10-26</t>
        </is>
      </c>
      <c r="BT588" t="inlineStr">
        <is>
          <t>WOS:000449071000054</t>
        </is>
      </c>
      <c r="BU588">
        <f>HYPERLINK("https%3A%2F%2Fwww.webofscience.com%2Fwos%2Fwoscc%2Ffull-record%2FWOS:000449071000054","View Full Record in Web of Science")</f>
        <v/>
      </c>
    </row>
    <row r="589">
      <c r="A589" t="inlineStr">
        <is>
          <t>J</t>
        </is>
      </c>
      <c r="B589" t="inlineStr">
        <is>
          <t>Ng, M; Rosenberg, M; Thornton, A; Lester, L; Trost, SG; Bai, P; Christian, H</t>
        </is>
      </c>
      <c r="F589" t="inlineStr">
        <is>
          <t>Ng, Michelle; Rosenberg, Michael; Thornton, Ashleigh; Lester, Leanne; Trost, Stewart G.; Bai, Pulan; Christian, Hayley</t>
        </is>
      </c>
      <c r="J589" t="inlineStr">
        <is>
          <t>INTERNATIONAL JOURNAL OF ENVIRONMENTAL RESEARCH AND PUBLIC HEALTH</t>
        </is>
      </c>
      <c r="M589" t="inlineStr">
        <is>
          <t>English</t>
        </is>
      </c>
      <c r="N589" t="inlineStr">
        <is>
          <t>Article</t>
        </is>
      </c>
      <c r="T589" t="inlineStr">
        <is>
          <t>The Effect of Upgrades to Childcare Outdoor Spaces on Preschoolers' Physical Activity: Findings from a Natural Experiment</t>
        </is>
      </c>
      <c r="U589" t="inlineStr">
        <is>
          <t>early childhood; preschool; childcare; physical activity; outdoor environment; built environment; natural experiment</t>
        </is>
      </c>
      <c r="V589" t="inlineStr">
        <is>
          <t>SEDENTARY BEHAVIOR; ENVIRONMENT; ACCELEROMETER; GUIDELINES; EDUCATION</t>
        </is>
      </c>
      <c r="W589" t="inlineStr">
        <is>
          <t>Physical inactivity is a significant risk factor for childhood obesity. Preventing obesity in the early years reduces the risk of developing chronic health conditions later. Early childhood education and care (ECEC) services are important settings to establish good preschooler physical activity behaviors. This natural experiment investigated the influence of ECEC outdoor physical environment upgrade on preschoolers' physical activity (aged 2-5 years). Centers implemented upgrades without researcher input. Physical activity was measured by 7-day accelerometry for intervention (n = 159; 6 centers) and control (n = 138; 5 centers) groups. ECEC outdoor space was assessed using a modified Environment and Policy Assessment and Observation (EPAO) Instrument. Key outcomes were measured at baseline and 6-12 months follow-up. Fixed sandboxes, balls, portable slides, portable floor play equipment (e.g., tumbling mats), and natural grassed areas were positively associated with activity levels; fixed tunnels and twirling equipment were negatively associated with activity levels (all p &lt; 0.05). Post-upgrade portable play equipment (balls, twirling equipment, slides, floor play equipment) increased intervention preschoolers' moderate-vigorous physical activity (MVPA) levels compared to control (p &lt; 0.05). Intervention preschoolers were more active than control at follow-up (58.09 vs. 42.13 min/day increase in total physical activity; 30.46 vs. 19.16 min/day increase in MVPA (all p &lt; 0.001)). Since few preschoolers meet daily activity recommendations while at ECEC, the findings may help ECEC providers to optimize outdoor physical environments and encourage more active play among preschoolers.</t>
        </is>
      </c>
      <c r="X589" t="inlineStr">
        <is>
          <t>[Ng, Michelle; Bai, Pulan; Christian, Hayley] Univ Western Australia, Telethon Kids Inst, Perth, WA 6009, Australia; [Rosenberg, Michael; Thornton, Ashleigh; Lester, Leanne] Univ Western Australia, Sch Human Sci M408, Perth, WA 6009, Australia; [Trost, Stewart G.] Queensland Univ Technol, Ctr Childrens Hlth Res, Inst Hlth &amp; Biomed Innovat, Brisbane, Qld 4101, Australia; [Christian, Hayley] Univ Western Australia, Sch Populat &amp; Global Hlth M431, Perth, WA 6009, Australia</t>
        </is>
      </c>
      <c r="Y589" t="inlineStr">
        <is>
          <t>Telethon Kids Institute; University of Western Australia; University of Western Australia; Queensland University of Technology (QUT); University of Western Australia</t>
        </is>
      </c>
      <c r="Z589" t="inlineStr">
        <is>
          <t>Ng, M (corresponding author), Univ Western Australia, Telethon Kids Inst, Perth, WA 6009, Australia.</t>
        </is>
      </c>
      <c r="AA589" t="inlineStr">
        <is>
          <t>michelle.ng@telethonkids.org.au; michael.rosenberg@uwa.edu.au; ashleigh.thornton@uwa.edu.au; leanne.lester@uwa.edu.au; s.trost@qut.edu.au; pulan.bai@telethonkids.org.au; hayley.christian@uwa.edu.au</t>
        </is>
      </c>
      <c r="AB589" t="inlineStr">
        <is>
          <t>Rosenberg, Michael/H-5748-2014; Ng, Michelle/HDN-6675-2022; Christian, Hayley/AAU-6163-2020; Trost, Stewart G/B-5948-2012; Thornton, Ashleigh/H-5960-2014</t>
        </is>
      </c>
      <c r="AC589" t="inlineStr">
        <is>
          <t>Christian, Hayley/0000-0001-8486-5746; Trost, Stewart G/0000-0001-9587-3944; Thornton, Ashleigh/0000-0003-3712-3330; Ng, Michelle/0000-0003-4735-9953; Bai, Pulan/0000-0002-5523-4029</t>
        </is>
      </c>
      <c r="AD589" t="inlineStr">
        <is>
          <t>Western Australian Health Promotion Foundation (Healthway) [32018]; Australian National Heart Foundation Future Leader Fellowship [100794]</t>
        </is>
      </c>
      <c r="AE589" t="inlineStr">
        <is>
          <t>Western Australian Health Promotion Foundation (Healthway); Australian National Heart Foundation Future Leader Fellowship</t>
        </is>
      </c>
      <c r="AF589" t="inlineStr">
        <is>
          <t>The PLAYCE study is funded by theWestern Australian Health Promotion Foundation (Healthway; No. 32018). H.C. is supported by an Australian National Heart Foundation Future Leader Fellowship (100794).</t>
        </is>
      </c>
      <c r="AH589" t="n">
        <v>62</v>
      </c>
      <c r="AI589" t="n">
        <v>15</v>
      </c>
      <c r="AJ589" t="n">
        <v>15</v>
      </c>
      <c r="AK589" t="n">
        <v>5</v>
      </c>
      <c r="AL589" t="n">
        <v>27</v>
      </c>
      <c r="AM589" t="inlineStr">
        <is>
          <t>MDPI</t>
        </is>
      </c>
      <c r="AN589" t="inlineStr">
        <is>
          <t>BASEL</t>
        </is>
      </c>
      <c r="AO589" t="inlineStr">
        <is>
          <t>ST ALBAN-ANLAGE 66, CH-4052 BASEL, SWITZERLAND</t>
        </is>
      </c>
      <c r="AQ589" t="inlineStr">
        <is>
          <t>1660-4601</t>
        </is>
      </c>
      <c r="AS589" t="inlineStr">
        <is>
          <t>INT J ENV RES PUB HE</t>
        </is>
      </c>
      <c r="AT589" t="inlineStr">
        <is>
          <t>Int. J. Environ. Res. Public Health</t>
        </is>
      </c>
      <c r="AU589" t="inlineStr">
        <is>
          <t>JAN 2</t>
        </is>
      </c>
      <c r="AV589" t="n">
        <v>2020</v>
      </c>
      <c r="AW589" t="n">
        <v>17</v>
      </c>
      <c r="AX589" t="n">
        <v>2</v>
      </c>
      <c r="BE589" t="n">
        <v>468</v>
      </c>
      <c r="BF589" t="inlineStr">
        <is>
          <t>10.3390/ijerph17020468</t>
        </is>
      </c>
      <c r="BG589">
        <f>HYPERLINK("http://dx.doi.org/10.3390/ijerph17020468","http://dx.doi.org/10.3390/ijerph17020468")</f>
        <v/>
      </c>
      <c r="BJ589" t="n">
        <v>17</v>
      </c>
      <c r="BK589" t="inlineStr">
        <is>
          <t>Environmental Sciences; Public, Environmental &amp; Occupational Health</t>
        </is>
      </c>
      <c r="BL589" t="inlineStr">
        <is>
          <t>Science Citation Index Expanded (SCI-EXPANDED); Social Science Citation Index (SSCI)</t>
        </is>
      </c>
      <c r="BM589" t="inlineStr">
        <is>
          <t>Environmental Sciences &amp; Ecology; Public, Environmental &amp; Occupational Health</t>
        </is>
      </c>
      <c r="BN589" t="inlineStr">
        <is>
          <t>KQ3LG</t>
        </is>
      </c>
      <c r="BO589" t="n">
        <v>31936783</v>
      </c>
      <c r="BP589" t="inlineStr">
        <is>
          <t>Green Published, gold</t>
        </is>
      </c>
      <c r="BS589" t="inlineStr">
        <is>
          <t>2023-10-26</t>
        </is>
      </c>
      <c r="BT589" t="inlineStr">
        <is>
          <t>WOS:000516827400089</t>
        </is>
      </c>
      <c r="BU589">
        <f>HYPERLINK("https%3A%2F%2Fwww.webofscience.com%2Fwos%2Fwoscc%2Ffull-record%2FWOS:000516827400089","View Full Record in Web of Science")</f>
        <v/>
      </c>
    </row>
    <row r="590">
      <c r="A590" t="inlineStr">
        <is>
          <t>J</t>
        </is>
      </c>
      <c r="B590" t="inlineStr">
        <is>
          <t>Park, S; Mistrick, R; Sitzabee, W; Rim, D</t>
        </is>
      </c>
      <c r="F590" t="inlineStr">
        <is>
          <t>Park, Seongjun; Mistrick, Richard; Sitzabee, William; Rim, Donghyun</t>
        </is>
      </c>
      <c r="J590" t="inlineStr">
        <is>
          <t>SCIENCE OF THE TOTAL ENVIRONMENT</t>
        </is>
      </c>
      <c r="M590" t="inlineStr">
        <is>
          <t>English</t>
        </is>
      </c>
      <c r="N590" t="inlineStr">
        <is>
          <t>Article</t>
        </is>
      </c>
      <c r="T590" t="inlineStr">
        <is>
          <t>Effect of ventilation strategy on performance of upper-room ultraviolet germicidal irradiation (UVGI) system in a learning environment</t>
        </is>
      </c>
      <c r="U590" t="inlineStr">
        <is>
          <t>Indoor air quality; Airborne infection; COVID-19 control; Ventilation effectiveness; Indoor airflow; Computational fluid dynamics (CFD)</t>
        </is>
      </c>
      <c r="V590" t="inlineStr">
        <is>
          <t>AIR CHANGE EFFECTIVENESS; DISPLACEMENT VENTILATION; DISINFECTION SYSTEMS; AIRBORNE INFECTION; EFFICIENCY; EXPOSURE; FLOW</t>
        </is>
      </c>
      <c r="W590" t="inlineStr">
        <is>
          <t>Upper-room ultraviolet germicidal irradiation (UVGI) system is recently in the limelight as a potentially effective method to mitigate the risk of airborne virus infection in indoor environments. However, few studies quantitatively evaluated the relationship between ventilation effectiveness and virus disinfection performance of a UVGI system. The objective of this study is to investigate the effects of ventilation strategy on detailed airflow distributions and UVGI disinfection performance in an occupied classroom. Three-dimensional computational fluid dynamics (CFD) simulations were performed for representative cooling, heating, and ventilation scenarios. The results show that when the ventilation rate is 1.1 h-1 (the minimum ventilation rate based on ASHRAE 62.1), enhancing indoor air circulation with the mixing fan notably improves the UVGI disinfection performance, especially for cooling with displacement ventilation and all-air-heating conditions. However, increasing indoor air mixing yields negligible effect on the disinfection performance for forced-convection cooling condition. The results also reveal that regardless of indoor thermal condition, disinfection effectiveness of a UVGI system increases as ventilation effectiveness is close to unity. Moreover, when the room average air speed is &gt;0.1 m/s, upper-room UVGI system could yield about 90% disinfection effect for the aerosol size of 1 &amp; mu;m-10 &amp; mu;m. The findings of this study imply that upper-room UVGI systems in indoor environments (i.e., classrooms, hospitals) should be designed considering ventilation strategy and occupancy conditions, especially for occupied buildings with insufficient air mixing throughout the space.</t>
        </is>
      </c>
      <c r="X590" t="inlineStr">
        <is>
          <t>[Park, Seongjun] Penn State Univ, Dept Architectural Engn, University Pk, PA USA; [Mistrick, Richard] Penn State Univ, Architectural Engn Dept, 104 Engn Unit A, University Pk, PA 16802 USA; [Sitzabee, William] Penn State Univ, 201 Phys Plant Bldg, University Pk, PA 16802 USA; [Rim, Donghyun] Penn State Univ, Architectural Engn Dept, 222 Engn Unit, University Pk, PA 16802 USA</t>
        </is>
      </c>
      <c r="Y590" t="inlineStr">
        <is>
          <t>Pennsylvania Commonwealth System of Higher Education (PCSHE); Pennsylvania State University; Pennsylvania State University - University Park; Pennsylvania Commonwealth System of Higher Education (PCSHE); Pennsylvania State University; Pennsylvania State University - University Park; Pennsylvania Commonwealth System of Higher Education (PCSHE); Pennsylvania State University; Pennsylvania State University - University Park; Pennsylvania Commonwealth System of Higher Education (PCSHE); Pennsylvania State University; Pennsylvania State University - University Park</t>
        </is>
      </c>
      <c r="Z590" t="inlineStr">
        <is>
          <t>Rim, D (corresponding author), Penn State Univ, Architectural Engn Dept, 222 Engn Unit, University Pk, PA 16802 USA.</t>
        </is>
      </c>
      <c r="AA590" t="inlineStr">
        <is>
          <t>svp5982@psu.edu; rgm1@psu.edu; wes25@psu.edu; dxr51@psu.edu</t>
        </is>
      </c>
      <c r="AC590" t="inlineStr">
        <is>
          <t>Park, Seongjun/0000-0002-5981-5146</t>
        </is>
      </c>
      <c r="AD590" t="inlineStr">
        <is>
          <t>U.S. National Science Foundation (NSF) [1944325]; Penn State Office of Physical Plant</t>
        </is>
      </c>
      <c r="AE590" t="inlineStr">
        <is>
          <t>U.S. National Science Foundation (NSF)(National Science Foundation (NSF)); Penn State Office of Physical Plant</t>
        </is>
      </c>
      <c r="AF590" t="inlineStr">
        <is>
          <t>The research presented in this paper was supported by the by the U.S. National Science Foundation (NSF Grant 1944325) as well as the Penn State Office of Physical Plant.</t>
        </is>
      </c>
      <c r="AH590" t="n">
        <v>70</v>
      </c>
      <c r="AI590" t="n">
        <v>0</v>
      </c>
      <c r="AJ590" t="n">
        <v>0</v>
      </c>
      <c r="AK590" t="n">
        <v>7</v>
      </c>
      <c r="AL590" t="n">
        <v>7</v>
      </c>
      <c r="AM590" t="inlineStr">
        <is>
          <t>ELSEVIER</t>
        </is>
      </c>
      <c r="AN590" t="inlineStr">
        <is>
          <t>AMSTERDAM</t>
        </is>
      </c>
      <c r="AO590" t="inlineStr">
        <is>
          <t>RADARWEG 29, 1043 NX AMSTERDAM, NETHERLANDS</t>
        </is>
      </c>
      <c r="AP590" t="inlineStr">
        <is>
          <t>0048-9697</t>
        </is>
      </c>
      <c r="AQ590" t="inlineStr">
        <is>
          <t>1879-1026</t>
        </is>
      </c>
      <c r="AS590" t="inlineStr">
        <is>
          <t>SCI TOTAL ENVIRON</t>
        </is>
      </c>
      <c r="AT590" t="inlineStr">
        <is>
          <t>Sci. Total Environ.</t>
        </is>
      </c>
      <c r="AU590" t="inlineStr">
        <is>
          <t>NOV 15</t>
        </is>
      </c>
      <c r="AV590" t="n">
        <v>2023</v>
      </c>
      <c r="AW590" t="n">
        <v>899</v>
      </c>
      <c r="BE590" t="n">
        <v>165454</v>
      </c>
      <c r="BF590" t="inlineStr">
        <is>
          <t>10.1016/j.scitotenv.2023.165454</t>
        </is>
      </c>
      <c r="BG590">
        <f>HYPERLINK("http://dx.doi.org/10.1016/j.scitotenv.2023.165454","http://dx.doi.org/10.1016/j.scitotenv.2023.165454")</f>
        <v/>
      </c>
      <c r="BJ590" t="n">
        <v>10</v>
      </c>
      <c r="BK590" t="inlineStr">
        <is>
          <t>Environmental Sciences</t>
        </is>
      </c>
      <c r="BL590" t="inlineStr">
        <is>
          <t>Science Citation Index Expanded (SCI-EXPANDED)</t>
        </is>
      </c>
      <c r="BM590" t="inlineStr">
        <is>
          <t>Environmental Sciences &amp; Ecology</t>
        </is>
      </c>
      <c r="BN590" t="inlineStr">
        <is>
          <t>P5WC8</t>
        </is>
      </c>
      <c r="BO590" t="n">
        <v>37467991</v>
      </c>
      <c r="BS590" t="inlineStr">
        <is>
          <t>2023-10-26</t>
        </is>
      </c>
      <c r="BT590" t="inlineStr">
        <is>
          <t>WOS:001051368200001</t>
        </is>
      </c>
      <c r="BU590">
        <f>HYPERLINK("https%3A%2F%2Fwww.webofscience.com%2Fwos%2Fwoscc%2Ffull-record%2FWOS:001051368200001","View Full Record in Web of Science")</f>
        <v/>
      </c>
    </row>
    <row r="591">
      <c r="A591" t="inlineStr">
        <is>
          <t>J</t>
        </is>
      </c>
      <c r="B591" t="inlineStr">
        <is>
          <t>Wang, S; Zheng, C; Du, J; Cao, LZ</t>
        </is>
      </c>
      <c r="F591" t="inlineStr">
        <is>
          <t>Wang, Shan; Zheng, Chao; Du, Ju; Cao, Lianzhong</t>
        </is>
      </c>
      <c r="J591" t="inlineStr">
        <is>
          <t>FRESENIUS ENVIRONMENTAL BULLETIN</t>
        </is>
      </c>
      <c r="M591" t="inlineStr">
        <is>
          <t>English</t>
        </is>
      </c>
      <c r="N591" t="inlineStr">
        <is>
          <t>Article</t>
        </is>
      </c>
      <c r="T591" t="inlineStr">
        <is>
          <t>RESEARCH ON THE PHYSICAL EDUCATION TEACHING MODEL AND ITS EVOLUTION TREND OF COLLEGES AND UNIVERSITIES IN THE INTERNET ENVIRONMENT BASED ON ECOLOGICAL SPORTS PRINCIPLES</t>
        </is>
      </c>
      <c r="U591" t="inlineStr">
        <is>
          <t>Internet environment; ecological sports; colleges and universifies; teaching mode; healthy life</t>
        </is>
      </c>
      <c r="V591" t="inlineStr">
        <is>
          <t>CAPACITY</t>
        </is>
      </c>
      <c r="W591" t="inlineStr">
        <is>
          <t>With the rapid development of society and economy, the natural environment has gradually deteriorated, and it is imperative to propose and develop the concept of green ecology. Facing the gradual promotion of ecological concepts worldwide, the discussion of the physical education teaching model of colleges and universities in the Internet environment based on the principles of constructing ecological sports has gradually become the focus of research and discussion in academic circles at home and abroad. Starting from the concept of ecological sports and focusing on the macro perspective, this study believes that the teaching model of physical education is not only a decisive indicator of the effectiveness of physical education curriculum, but also a standardized process of development under the guidance of physical education ideology. It aims to achieve the established learning goals. Only by adopting the correct model of physical education, we can improve the quality and effect of physical education, ensure that the development of physical education curriculum is not hindered, and finally realize a new, dynamic and sustainable ecological sports system. Implementing the guiding principles of health first and eco-sports and checking the physical education teaching model of colleges and universities in the Internet environment is an important way to improve the comprehensive literacy of talents in our country, build a healthy living environment, and continuously strengthen the country's comprehensive strength. The study analyzes the physical education teaching model and its evolution trend in colleges and universities under the Internet environment based on ecological sports, which has good research value and practical significance.</t>
        </is>
      </c>
      <c r="X591" t="inlineStr">
        <is>
          <t>[Wang, Shan] Binzhou Med Coll, Dept Phys Educ, Yantai 264003, Peoples R China; [Zheng, Chao] Liaoning Normal Univ, Coll Phys Educ, Dalian 116029, Peoples R China; [Du, Ju] Shandong Vocat Univ Foreign Affairs, Dept Phys Educ, Weihai 264504, Peoples R China; [Cao, Lianzhong] Shenyang Sport Univ, Acad Affairs Off, Shenyang 110102, Peoples R China</t>
        </is>
      </c>
      <c r="Y591" t="inlineStr">
        <is>
          <t>Binzhou Medical University; Liaoning Normal University; Shenyang Sport University</t>
        </is>
      </c>
      <c r="Z591" t="inlineStr">
        <is>
          <t>Cao, LZ (corresponding author), Shenyang Sport Univ, Acad Affairs Off, Shenyang 110102, Peoples R China.</t>
        </is>
      </c>
      <c r="AA591" t="inlineStr">
        <is>
          <t>chixian0489080@163.com</t>
        </is>
      </c>
      <c r="AH591" t="n">
        <v>27</v>
      </c>
      <c r="AI591" t="n">
        <v>0</v>
      </c>
      <c r="AJ591" t="n">
        <v>0</v>
      </c>
      <c r="AK591" t="n">
        <v>0</v>
      </c>
      <c r="AL591" t="n">
        <v>10</v>
      </c>
      <c r="AM591" t="inlineStr">
        <is>
          <t>PARLAR SCIENTIFIC PUBLICATIONS (P S P)</t>
        </is>
      </c>
      <c r="AN591" t="inlineStr">
        <is>
          <t>FREISING</t>
        </is>
      </c>
      <c r="AO591" t="inlineStr">
        <is>
          <t>ANGERSTR. 12, 85354 FREISING, GERMANY</t>
        </is>
      </c>
      <c r="AP591" t="inlineStr">
        <is>
          <t>1018-4619</t>
        </is>
      </c>
      <c r="AQ591" t="inlineStr">
        <is>
          <t>1610-2304</t>
        </is>
      </c>
      <c r="AS591" t="inlineStr">
        <is>
          <t>FRESEN ENVIRON BULL</t>
        </is>
      </c>
      <c r="AT591" t="inlineStr">
        <is>
          <t>Fresenius Environ. Bull.</t>
        </is>
      </c>
      <c r="AV591" t="n">
        <v>2020</v>
      </c>
      <c r="AW591" t="n">
        <v>29</v>
      </c>
      <c r="AX591" t="n">
        <v>12</v>
      </c>
      <c r="BC591" t="n">
        <v>10553</v>
      </c>
      <c r="BD591" t="n">
        <v>10559</v>
      </c>
      <c r="BJ591" t="n">
        <v>7</v>
      </c>
      <c r="BK591" t="inlineStr">
        <is>
          <t>Environmental Sciences</t>
        </is>
      </c>
      <c r="BL591" t="inlineStr">
        <is>
          <t>Science Citation Index Expanded (SCI-EXPANDED); Social Science Citation Index (SSCI)</t>
        </is>
      </c>
      <c r="BM591" t="inlineStr">
        <is>
          <t>Environmental Sciences &amp; Ecology</t>
        </is>
      </c>
      <c r="BN591" t="inlineStr">
        <is>
          <t>QX2LX</t>
        </is>
      </c>
      <c r="BS591" t="inlineStr">
        <is>
          <t>2023-10-26</t>
        </is>
      </c>
      <c r="BT591" t="inlineStr">
        <is>
          <t>WOS:000629180500026</t>
        </is>
      </c>
      <c r="BU591">
        <f>HYPERLINK("https%3A%2F%2Fwww.webofscience.com%2Fwos%2Fwoscc%2Ffull-record%2FWOS:000629180500026","View Full Record in Web of Science")</f>
        <v/>
      </c>
    </row>
    <row r="592">
      <c r="A592" t="inlineStr">
        <is>
          <t>J</t>
        </is>
      </c>
      <c r="B592" t="inlineStr">
        <is>
          <t>Fang, Y; Liu, C; Zhao, CC; Zhang, HY; Wang, WZ; Zou, NY</t>
        </is>
      </c>
      <c r="F592" t="inlineStr">
        <is>
          <t>Fang, Yuan; Liu, Chang; Zhao, Chengcheng; Zhang, Hongyu; Wang, Weizhen; Zou, Nianyu</t>
        </is>
      </c>
      <c r="J592" t="inlineStr">
        <is>
          <t>INTERNATIONAL JOURNAL OF ENVIRONMENTAL RESEARCH AND PUBLIC HEALTH</t>
        </is>
      </c>
      <c r="M592" t="inlineStr">
        <is>
          <t>English</t>
        </is>
      </c>
      <c r="N592" t="inlineStr">
        <is>
          <t>Article</t>
        </is>
      </c>
      <c r="T592" t="inlineStr">
        <is>
          <t>A Study of the Effects of Different Indoor Lighting Environments on Computer Work Fatigue</t>
        </is>
      </c>
      <c r="U592" t="inlineStr">
        <is>
          <t>indoor lighting environment; fatigue; EEG; ECG; HRV</t>
        </is>
      </c>
      <c r="V592" t="inlineStr">
        <is>
          <t>VISION SYNDROME; FEATURES</t>
        </is>
      </c>
      <c r="W592" t="inlineStr">
        <is>
          <t>The indoor lighting environment is a key factor affecting human health and safety. In particular, people have been forced to study or work more for long periods of time at home due to the COVID-19 pandemic. In this study, we investigate the influence of physical indoor environmental factors, correlated color temperature (CCT), and illumination on computer work fatigue. We conducted a within-subject experiment consisting of a 10 min-long task test under two different illumination settings (300 lx and 500 lx) and two CCTs (3000 K and 4000 K). Physiological signals, such as electroencephalogram (EEG), electrocardiograph (ECG), and eye movement, were monitored during the test to objectively measure fatigue. The subjective fatigue of eight participants was evaluated based on a questionnaire conducted after completing the test. The error rate of the task test was taken as the key factor representing the working performance. Through the analysis of the subjective and objective results, computer work fatigue was found to be significantly impacted by changes in the lighting environment, where human fatigue was negatively correlated with illumination and CCT. Improving the illumination and CCT of the work environment, within the scope of this study, helped to decrease the fatigue degree-that is, the fatigue degree was the lowest under the 4000 K + 500 lx environment, while it was relatively high at 3000 K + 300 lx. Under indoor environment conditions, the CCT factor was found to have the greatest effect on computer work fatigue, followed by illumination. The presented results are expected to be a valuable reference for improving the satisfaction associated with the lighting environment and to serve as guidance for researchers and reviewers conducting similar research.</t>
        </is>
      </c>
      <c r="X592" t="inlineStr">
        <is>
          <t>[Fang, Yuan] Dalian Polytech Univ, Sch Engn Practice &amp; Innovat Entrepreneurship Educ, Dalian 116034, Peoples R China; [Liu, Chang; Zhao, Chengcheng; Zhang, Hongyu; Zou, Nianyu] Dalian Polytech Univ, Sch Informat Sci &amp; Engn, Dalian 116034, Peoples R China; [Wang, Weizhen] Dalian Polytech Univ, Human Factors &amp; Intelligent Design Res Ctr, Dalian 116034, Peoples R China</t>
        </is>
      </c>
      <c r="Y592" t="inlineStr">
        <is>
          <t>Dalian Polytechnic University; Dalian Polytechnic University; Dalian Polytechnic University</t>
        </is>
      </c>
      <c r="Z592" t="inlineStr">
        <is>
          <t>Fang, Y (corresponding author), Dalian Polytech Univ, Sch Engn Practice &amp; Innovat Entrepreneurship Educ, Dalian 116034, Peoples R China.</t>
        </is>
      </c>
      <c r="AA592" t="inlineStr">
        <is>
          <t>fangy@dlpu.edu.cn; liuchanglcc@yeah.net; chengzhao31@gmail.com; universezhang0427@163.com; wz-wang@foxmail.com; n_y_zou@dlpu.edu.cn</t>
        </is>
      </c>
      <c r="AC592" t="inlineStr">
        <is>
          <t>FANG, YUAN/0000-0003-3502-0792; wang, wei zhen/0000-0002-0081-9660</t>
        </is>
      </c>
      <c r="AD592" t="inlineStr">
        <is>
          <t>Scientific Research Funds of Liaoning Education Department, China [J2020068]; China National Light Industry Council Education Section [QGJY2021008]; Dalian Polytechnic University Reform of Education Project Foundation [JGLX2021026]; Humanity and Social Science Foundation of Ministry of Education of China [21YJAZH088]; University-Industry Collaborative Education Program [202102092001]; Liaoning Provincial Department of Education Project [1010152]; China National Textile And Apparel Council [2021BKJGLX321]</t>
        </is>
      </c>
      <c r="AE592" t="inlineStr">
        <is>
          <t>Scientific Research Funds of Liaoning Education Department, China; China National Light Industry Council Education Section; Dalian Polytechnic University Reform of Education Project Foundation; Humanity and Social Science Foundation of Ministry of Education of China; University-Industry Collaborative Education Program; Liaoning Provincial Department of Education Project; China National Textile And Apparel Council</t>
        </is>
      </c>
      <c r="AF592" t="inlineStr">
        <is>
          <t>This research was funded in part by Scientific Research Funds of Liaoning Education Department, China (NO. J2020068); China National Light Industry Council Education Section (NO. QGJY2021008); Dalian Polytechnic University Reform of Education Project Foundation (NO. JGLX2021026); Humanity and Social Science Foundation of Ministry of Education of China (NO. 21YJAZH088); University-Industry Collaborative Education Program (NO. 202102092001); Liaoning Provincial Department of Education Project (NO. 1010152); and China National Textile And Apparel Council (NO. 2021BKJGLX321).</t>
        </is>
      </c>
      <c r="AH592" t="n">
        <v>39</v>
      </c>
      <c r="AI592" t="n">
        <v>0</v>
      </c>
      <c r="AJ592" t="n">
        <v>0</v>
      </c>
      <c r="AK592" t="n">
        <v>31</v>
      </c>
      <c r="AL592" t="n">
        <v>62</v>
      </c>
      <c r="AM592" t="inlineStr">
        <is>
          <t>MDPI</t>
        </is>
      </c>
      <c r="AN592" t="inlineStr">
        <is>
          <t>BASEL</t>
        </is>
      </c>
      <c r="AO592" t="inlineStr">
        <is>
          <t>ST ALBAN-ANLAGE 66, CH-4052 BASEL, SWITZERLAND</t>
        </is>
      </c>
      <c r="AQ592" t="inlineStr">
        <is>
          <t>1660-4601</t>
        </is>
      </c>
      <c r="AS592" t="inlineStr">
        <is>
          <t>INT J ENV RES PUB HE</t>
        </is>
      </c>
      <c r="AT592" t="inlineStr">
        <is>
          <t>Int. J. Environ. Res. Public Health</t>
        </is>
      </c>
      <c r="AU592" t="inlineStr">
        <is>
          <t>JUN</t>
        </is>
      </c>
      <c r="AV592" t="n">
        <v>2022</v>
      </c>
      <c r="AW592" t="n">
        <v>19</v>
      </c>
      <c r="AX592" t="n">
        <v>11</v>
      </c>
      <c r="BE592" t="n">
        <v>6866</v>
      </c>
      <c r="BF592" t="inlineStr">
        <is>
          <t>10.3390/ijerph19116866</t>
        </is>
      </c>
      <c r="BG592">
        <f>HYPERLINK("http://dx.doi.org/10.3390/ijerph19116866","http://dx.doi.org/10.3390/ijerph19116866")</f>
        <v/>
      </c>
      <c r="BJ592" t="n">
        <v>18</v>
      </c>
      <c r="BK592" t="inlineStr">
        <is>
          <t>Environmental Sciences; Public, Environmental &amp; Occupational Health</t>
        </is>
      </c>
      <c r="BL592" t="inlineStr">
        <is>
          <t>Science Citation Index Expanded (SCI-EXPANDED); Social Science Citation Index (SSCI)</t>
        </is>
      </c>
      <c r="BM592" t="inlineStr">
        <is>
          <t>Environmental Sciences &amp; Ecology; Public, Environmental &amp; Occupational Health</t>
        </is>
      </c>
      <c r="BN592" t="inlineStr">
        <is>
          <t>2B0OC</t>
        </is>
      </c>
      <c r="BO592" t="n">
        <v>35682449</v>
      </c>
      <c r="BP592" t="inlineStr">
        <is>
          <t>gold, Green Published</t>
        </is>
      </c>
      <c r="BS592" t="inlineStr">
        <is>
          <t>2023-10-26</t>
        </is>
      </c>
      <c r="BT592" t="inlineStr">
        <is>
          <t>WOS:000809893300001</t>
        </is>
      </c>
      <c r="BU592">
        <f>HYPERLINK("https%3A%2F%2Fwww.webofscience.com%2Fwos%2Fwoscc%2Ffull-record%2FWOS:000809893300001","View Full Record in Web of Science")</f>
        <v/>
      </c>
    </row>
    <row r="593">
      <c r="A593" t="inlineStr">
        <is>
          <t>J</t>
        </is>
      </c>
      <c r="B593" t="inlineStr">
        <is>
          <t>Lagisz, M; Vasilakopoulou, K; Bridge, C; Santamouris, M; Nakagawa, S</t>
        </is>
      </c>
      <c r="F593" t="inlineStr">
        <is>
          <t>Lagisz, Malgorzata; Vasilakopoulou, Konstantina; Bridge, Catherine; Santamouris, Mattheos; Nakagawa, Shinichi</t>
        </is>
      </c>
      <c r="J593" t="inlineStr">
        <is>
          <t>ENVIRONMENTAL DEVELOPMENT</t>
        </is>
      </c>
      <c r="M593" t="inlineStr">
        <is>
          <t>English</t>
        </is>
      </c>
      <c r="N593" t="inlineStr">
        <is>
          <t>Review</t>
        </is>
      </c>
      <c r="T593" t="inlineStr">
        <is>
          <t>Rapid systematic reviews for synthesizing research on built environment</t>
        </is>
      </c>
      <c r="U593" t="inlineStr">
        <is>
          <t>Evidence synthesis; Built environment; Sustainability; Systematic review; Methodology</t>
        </is>
      </c>
      <c r="V593" t="inlineStr">
        <is>
          <t>LITERATURE SEARCHES; POLICY; CONSERVATION; METHODOLOGY; CHALLENGES; KNOWLEDGE; CONDUCT; SCIENCE</t>
        </is>
      </c>
      <c r="W593" t="inlineStr">
        <is>
          <t>The built environment research expands rapidly making it challenging to synthesize the evidence for informing environmental policies within narrow timeframes. Rapid systematic reviews (rapid reviews) are a practical and viable alternative to comprehensive (full) systematic reviews of research evidence across disciplines. While systematic reviews are now widespread in published academic literature, rapid reviews are still rare. Accordingly, there is an urgent need to familiarise environmental researchers with rapid reviews, clarify misunderstandings, and to improve the use and visibility of rapid reviews in this field. This work outlines the main principles of performing robust and transparent rapid reviews, along with examples of eight such reviews on different topics related to sustainable built environment research. It also provides practical and tested recommendations on the ways to expedite systematic review process while minimising bias and maximising transparency. When conducted according to the best practice, rapid reviews can be of similar quality as many published systematic reviews.</t>
        </is>
      </c>
      <c r="X593" t="inlineStr">
        <is>
          <t>[Lagisz, Malgorzata; Nakagawa, Shinichi] Univ New South Wales, Evolut &amp; Ecol Res Ctr, Sch Biol &amp; Environm Sci, Sydney, NSW 2052, Australia; [Lagisz, Malgorzata; Vasilakopoulou, Konstantina; Bridge, Catherine; Santamouris, Mattheos] Univ New South Wales, Sch Built Environm, Sydney, NSW 2052, Australia</t>
        </is>
      </c>
      <c r="Y593" t="inlineStr">
        <is>
          <t>University of New South Wales Sydney; University of New South Wales Sydney</t>
        </is>
      </c>
      <c r="Z593" t="inlineStr">
        <is>
          <t>Lagisz, M (corresponding author), Univ New South Wales, Evolut &amp; Ecol Res Ctr, Sch Biol &amp; Environm Sci, Sydney, NSW 2052, Australia.</t>
        </is>
      </c>
      <c r="AA593" t="inlineStr">
        <is>
          <t>m.lagisz@unsw.edu.au</t>
        </is>
      </c>
      <c r="AB593" t="inlineStr">
        <is>
          <t>Nakagawa, Shinichi/B-5571-2011</t>
        </is>
      </c>
      <c r="AC593" t="inlineStr">
        <is>
          <t>Nakagawa, Shinichi/0000-0002-7765-5182; Lagisz, Malgorzata/0000-0002-3993-6127</t>
        </is>
      </c>
      <c r="AD593" t="inlineStr">
        <is>
          <t>CRC for Low Carbon Living Ltd; Cooperative Research Centres program, an Australian Government initiative [SP0008e1]; ARC Future Fellowship [FT130100268]</t>
        </is>
      </c>
      <c r="AE593" t="inlineStr">
        <is>
          <t>CRC for Low Carbon Living Ltd(Australian GovernmentDepartment of Industry, Innovation and ScienceCooperative Research Centres (CRC) Programme); Cooperative Research Centres program, an Australian Government initiative(Australian GovernmentDepartment of Industry, Innovation and ScienceCooperative Research Centres (CRC) Programme); ARC Future Fellowship(Australian Research Council)</t>
        </is>
      </c>
      <c r="AF593" t="inlineStr">
        <is>
          <t>This research was funded by the CRC for Low Carbon Living Ltd supported by the Cooperative Research Centres program, an Australian Government initiative (Project SP0008e1: Developing a Methodology for Systematic Review and Establishing Synthesis Methodology in Built Environment - Towards Evidence-Based Practice and Policy) . Disclaimer: Any opinions expressed in this document are those of the authors. SN was funded by an ARC Future Fellowship (FT130100268) . Funding sources were not involved in study design; in the collection, analysis and interpretation of data; in the writing of the report; and in the decision to submit the article for publication. We thank Professor Deo Prasad, Stephen Summerhayes and Stewart Wallace for their support during this project. Michelle Zwagerman and Dr John Blair helped coordinating and finalising rapid reviews. We are grateful to all members of rapid review teams for their contributions.</t>
        </is>
      </c>
      <c r="AH593" t="n">
        <v>71</v>
      </c>
      <c r="AI593" t="n">
        <v>1</v>
      </c>
      <c r="AJ593" t="n">
        <v>1</v>
      </c>
      <c r="AK593" t="n">
        <v>1</v>
      </c>
      <c r="AL593" t="n">
        <v>11</v>
      </c>
      <c r="AM593" t="inlineStr">
        <is>
          <t>ELSEVIER</t>
        </is>
      </c>
      <c r="AN593" t="inlineStr">
        <is>
          <t>AMSTERDAM</t>
        </is>
      </c>
      <c r="AO593" t="inlineStr">
        <is>
          <t>RADARWEG 29, 1043 NX AMSTERDAM, NETHERLANDS</t>
        </is>
      </c>
      <c r="AP593" t="inlineStr">
        <is>
          <t>2211-4645</t>
        </is>
      </c>
      <c r="AQ593" t="inlineStr">
        <is>
          <t>2211-4653</t>
        </is>
      </c>
      <c r="AS593" t="inlineStr">
        <is>
          <t>ENVIRON DEV</t>
        </is>
      </c>
      <c r="AT593" t="inlineStr">
        <is>
          <t>Environ. Dev.</t>
        </is>
      </c>
      <c r="AU593" t="inlineStr">
        <is>
          <t>SEP</t>
        </is>
      </c>
      <c r="AV593" t="n">
        <v>2022</v>
      </c>
      <c r="AW593" t="n">
        <v>43</v>
      </c>
      <c r="BE593" t="n">
        <v>100730</v>
      </c>
      <c r="BF593" t="inlineStr">
        <is>
          <t>10.1016/j.envdev.2022.100730</t>
        </is>
      </c>
      <c r="BG593">
        <f>HYPERLINK("http://dx.doi.org/10.1016/j.envdev.2022.100730","http://dx.doi.org/10.1016/j.envdev.2022.100730")</f>
        <v/>
      </c>
      <c r="BI593" t="inlineStr">
        <is>
          <t>MAY 2022</t>
        </is>
      </c>
      <c r="BJ593" t="n">
        <v>13</v>
      </c>
      <c r="BK593" t="inlineStr">
        <is>
          <t>Environmental Sciences</t>
        </is>
      </c>
      <c r="BL593" t="inlineStr">
        <is>
          <t>Science Citation Index Expanded (SCI-EXPANDED)</t>
        </is>
      </c>
      <c r="BM593" t="inlineStr">
        <is>
          <t>Environmental Sciences &amp; Ecology</t>
        </is>
      </c>
      <c r="BN593" t="inlineStr">
        <is>
          <t>1Y9II</t>
        </is>
      </c>
      <c r="BP593" t="inlineStr">
        <is>
          <t>Green Submitted</t>
        </is>
      </c>
      <c r="BS593" t="inlineStr">
        <is>
          <t>2023-10-26</t>
        </is>
      </c>
      <c r="BT593" t="inlineStr">
        <is>
          <t>WOS:000808449900001</t>
        </is>
      </c>
      <c r="BU593">
        <f>HYPERLINK("https%3A%2F%2Fwww.webofscience.com%2Fwos%2Fwoscc%2Ffull-record%2FWOS:000808449900001","View Full Record in Web of Science")</f>
        <v/>
      </c>
    </row>
    <row r="594">
      <c r="A594" t="inlineStr">
        <is>
          <t>J</t>
        </is>
      </c>
      <c r="B594" t="inlineStr">
        <is>
          <t>Akasaki, Y; Tabira, T; Maruta, M; Makizako, H; Miyata, M; Han, GH; Ikeda, Y; Nakamura, A; Shimokihara, S; Hidaka, Y; Kamasaki, T; Kubozono, T; Ohishi, M</t>
        </is>
      </c>
      <c r="F594" t="inlineStr">
        <is>
          <t>Akasaki, Yoshihiko; Tabira, Takayuki; Maruta, Michio; Makizako, Hyuma; Miyata, Masaaki; Han, Gwanghee; Ikeda, Yuriko; Nakamura, Atsushi; Shimokihara, Suguru; Hidaka, Yuma; Kamasaki, Taishiro; Kubozono, Takuro; Ohishi, Mitsuru</t>
        </is>
      </c>
      <c r="J594" t="inlineStr">
        <is>
          <t>INTERNATIONAL JOURNAL OF ENVIRONMENTAL RESEARCH AND PUBLIC HEALTH</t>
        </is>
      </c>
      <c r="M594" t="inlineStr">
        <is>
          <t>English</t>
        </is>
      </c>
      <c r="N594" t="inlineStr">
        <is>
          <t>Article</t>
        </is>
      </c>
      <c r="T594" t="inlineStr">
        <is>
          <t>Social Frailty and Meaningful Activities among Community-Dwelling Older Adults with Heart Disease</t>
        </is>
      </c>
      <c r="U594" t="inlineStr">
        <is>
          <t>frailty; heart disease; older adult</t>
        </is>
      </c>
      <c r="V594" t="inlineStr">
        <is>
          <t>GERIATRIC DEPRESSION SCALE; CARDIOVASCULAR-DISEASE; DECISION-MAKING; RISK-FACTORS; VALIDITY; RELIABILITY; STRATEGIES; PROGNOSIS; LIFE; AID</t>
        </is>
      </c>
      <c r="W594" t="inlineStr">
        <is>
          <t>Patients with heart disease are more likely to experience social frailty due to physical inactivity, which may affect meaningful activities such as hobbies. This study aimed to investigate (1) the association between heart disease and social frailty in community-dwelling older adults and (2) the characteristics of meaningful activities in community-dwelling older adults with heart disease. Data from 630 older adults who participated in a community-based health survey were obtained, including clinical history, meaningful activities, social frailty and psychosomatic functions. Participants were divided into two groups: those with heart disease (n = 79) and those without (n = 551), and comparisons were made. Social frailty was observed in 23.7% of participants with heart disease, and logistic regression revealed significant associations with heart disease and social frailty after adjusting for potential covariates (OR, 1.97; 95% CI, 1.06 3.67; p = 0.032). Participants with heart disease did not differ significantly in terms of satisfaction or performance; their frequency of engagement in meaningful activities was significantly lower than without heart disease (p = 0.041). These results suggest that heart disease and social frailty are associated in community-dwelling older adults, and that this demographic is inclined to engage in meaningful activities less frequently.</t>
        </is>
      </c>
      <c r="X594" t="inlineStr">
        <is>
          <t>[Akasaki, Yoshihiko] Tarumizu Cent Hosp, Dept Rehabil, 1-140 Kinko Cho, Tarumizu 8912124, Japan; [Tabira, Takayuki; Makizako, Hyuma; Miyata, Masaaki; Ikeda, Yuriko] Kagoshima Univ, Grad Sch Hlth Sci, Fac Med, 8-35-1 Sakuragaoka, Kagoshima 8908544, Japan; [Maruta, Michio] Nagasaki Univ, Dept Occupat Therapy, Grad Sch Biomed Sci Hlth Sci, 1-7-1 Sakamoto, Nagasaki 8528520, Japan; [Han, Gwanghee] Int Univ Hlth &amp; Welf, Sch Hlth Sci Fukuoka, Dept Occupat Therapy, 137-1 Enokizu, Fukuoka 8318501, Japan; [Nakamura, Atsushi] Minist Environm, Natl Inst Minamata Dis, 4058-18 Hama, Kumamoto 8670008, Japan; [Shimokihara, Suguru; Kamasaki, Taishiro] Kagoshima Univ, Grad Sch Hlth Sci, Doctoral Program Clin Neuropsychiat, 8-35-1 Sakuragaoka, Kagoshima 8908544, Japan; [Hidaka, Yuma] Okatsu Hosp, Dept Rehabil, Med Corp, 3-95 Masagohonmachi, Kagoshima 8900067, Japan; [Kubozono, Takuro; Ohishi, Mitsuru] Kagoshima Univ, Grad Sch Med &amp; Dent Sci, Dept Cardiovasc Med Hypertens, 8-35-1 Sakuragaoka, Kagoshima 8908520, Japan</t>
        </is>
      </c>
      <c r="Y594" t="inlineStr">
        <is>
          <t>Kagoshima University; Nagasaki University; International University of Health &amp; Welfare; Kagoshima University; Kagoshima University</t>
        </is>
      </c>
      <c r="Z594" t="inlineStr">
        <is>
          <t>Akasaki, Y (corresponding author), Tarumizu Cent Hosp, Dept Rehabil, 1-140 Kinko Cho, Tarumizu 8912124, Japan.</t>
        </is>
      </c>
      <c r="AA594" t="inlineStr">
        <is>
          <t>aka0805yfw1@yahoo.co.jp</t>
        </is>
      </c>
      <c r="AB594" t="inlineStr">
        <is>
          <t>Maruta, Michio/GQB-2626-2022; Shimokihara, Suguru/AFV-4554-2022</t>
        </is>
      </c>
      <c r="AC594" t="inlineStr">
        <is>
          <t>Maruta, Michio/0000-0003-0820-7738; Shimokihara, Suguru/0000-0002-7235-4479; Yoshihiko, Akasaki/0000-0003-0316-7749; Tabira, Takayuki/0000-0003-4174-3217; Makizako, Hyuma/0000-0001-9898-675X; Kamasaki, Taishiro/0000-0002-3226-4452; Han, Gwanghee/0000-0001-5581-7753</t>
        </is>
      </c>
      <c r="AH594" t="n">
        <v>44</v>
      </c>
      <c r="AI594" t="n">
        <v>0</v>
      </c>
      <c r="AJ594" t="n">
        <v>0</v>
      </c>
      <c r="AK594" t="n">
        <v>2</v>
      </c>
      <c r="AL594" t="n">
        <v>5</v>
      </c>
      <c r="AM594" t="inlineStr">
        <is>
          <t>MDPI</t>
        </is>
      </c>
      <c r="AN594" t="inlineStr">
        <is>
          <t>BASEL</t>
        </is>
      </c>
      <c r="AO594" t="inlineStr">
        <is>
          <t>ST ALBAN-ANLAGE 66, CH-4052 BASEL, SWITZERLAND</t>
        </is>
      </c>
      <c r="AQ594" t="inlineStr">
        <is>
          <t>1660-4601</t>
        </is>
      </c>
      <c r="AS594" t="inlineStr">
        <is>
          <t>INT J ENV RES PUB HE</t>
        </is>
      </c>
      <c r="AT594" t="inlineStr">
        <is>
          <t>Int. J. Environ. Res. Public Health</t>
        </is>
      </c>
      <c r="AU594" t="inlineStr">
        <is>
          <t>NOV</t>
        </is>
      </c>
      <c r="AV594" t="n">
        <v>2022</v>
      </c>
      <c r="AW594" t="n">
        <v>19</v>
      </c>
      <c r="AX594" t="n">
        <v>22</v>
      </c>
      <c r="BE594" t="n">
        <v>15167</v>
      </c>
      <c r="BF594" t="inlineStr">
        <is>
          <t>10.3390/ijerph192215167</t>
        </is>
      </c>
      <c r="BG594">
        <f>HYPERLINK("http://dx.doi.org/10.3390/ijerph192215167","http://dx.doi.org/10.3390/ijerph192215167")</f>
        <v/>
      </c>
      <c r="BJ594" t="n">
        <v>11</v>
      </c>
      <c r="BK594" t="inlineStr">
        <is>
          <t>Environmental Sciences; Public, Environmental &amp; Occupational Health</t>
        </is>
      </c>
      <c r="BL594" t="inlineStr">
        <is>
          <t>Science Citation Index Expanded (SCI-EXPANDED); Social Science Citation Index (SSCI)</t>
        </is>
      </c>
      <c r="BM594" t="inlineStr">
        <is>
          <t>Environmental Sciences &amp; Ecology; Public, Environmental &amp; Occupational Health</t>
        </is>
      </c>
      <c r="BN594" t="inlineStr">
        <is>
          <t>6K0DJ</t>
        </is>
      </c>
      <c r="BO594" t="n">
        <v>36429885</v>
      </c>
      <c r="BP594" t="inlineStr">
        <is>
          <t>Green Published, gold</t>
        </is>
      </c>
      <c r="BS594" t="inlineStr">
        <is>
          <t>2023-10-26</t>
        </is>
      </c>
      <c r="BT594" t="inlineStr">
        <is>
          <t>WOS:000887184100001</t>
        </is>
      </c>
      <c r="BU594">
        <f>HYPERLINK("https%3A%2F%2Fwww.webofscience.com%2Fwos%2Fwoscc%2Ffull-record%2FWOS:000887184100001","View Full Record in Web of Science")</f>
        <v/>
      </c>
    </row>
    <row r="595">
      <c r="A595" t="inlineStr">
        <is>
          <t>J</t>
        </is>
      </c>
      <c r="B595" t="inlineStr">
        <is>
          <t>Ibrahim, R; Baranyai, B; Abdulkareem, H; Katona, TJ</t>
        </is>
      </c>
      <c r="F595" t="inlineStr">
        <is>
          <t>Ibrahim, Rojhat; Baranyai, Balint; Abdulkareem, Haval; Katona, Tamas Janos</t>
        </is>
      </c>
      <c r="J595" t="inlineStr">
        <is>
          <t>SUSTAINABILITY</t>
        </is>
      </c>
      <c r="M595" t="inlineStr">
        <is>
          <t>English</t>
        </is>
      </c>
      <c r="N595" t="inlineStr">
        <is>
          <t>Article</t>
        </is>
      </c>
      <c r="T595" t="inlineStr">
        <is>
          <t>Energy Use and Indoor Environment Performance in Sustainably Designed Refugee Shelters: Three Incremental Phases</t>
        </is>
      </c>
      <c r="U595" t="inlineStr">
        <is>
          <t>upgrading strategies; post-disaster shelters; sustainable prototypes; low-impact constructions; energy efficiency; thermal comfort</t>
        </is>
      </c>
      <c r="V595" t="inlineStr">
        <is>
          <t>KURDISTAN; CAMPS</t>
        </is>
      </c>
      <c r="W595" t="inlineStr">
        <is>
          <t>Globally, natural and man-made disasters continue to force the displacement of masses of people. Existing studies show that several aspects have not been integrated into constructing refugee camps and shelters to achieve sustainability, such as long lifespan, indoor thermal comfort and air quality, energy efficiency, socio-cultural aspects, integration with local planning and design systems, and environmental impact. This study integrates the above factors in six refugee core shelters, designed based on the Middle Eastern cultural context using locally available sustainable construction materials and techniques. The prototypes are situated on two different building plots, i.e., terraced and end-of-terrace, and undergo three development phases, known as the incremental improvement strategy. The study focuses on their energy and indoor environment performance and provides empirical assessments undertaken using dynamic building simulations. It shows that the adopted approach to design and construction leads to remarkable improvements in their overall performance. Concerning energy use, compared to the base case scenarios built with conventional materials, the proposed prototypes show an opportunity to save energy up to 10,000 kWh per unit per year, equivalent to almost 2500 USD savings in energy bills. This is while achieving accepted level for almost 89-94% of thermal comfort hours and 74-85% predicted mean vote (PMV), respectively. However, the CO2 concentration level remains relatively low, ranging from 29 to 51%.</t>
        </is>
      </c>
      <c r="X595" t="inlineStr">
        <is>
          <t>[Ibrahim, Rojhat; Katona, Tamas Janos] Univ Pecs, Marcel Breuer Doctoral Sch, Boszorkany u 2, H-7624 Pecs, Hungary; [Ibrahim, Rojhat; Abdulkareem, Haval] Univ Duhok, Dept Architectural Engn, Duhok 42001, Iraq; [Ibrahim, Rojhat; Baranyai, Balint] Univ Pecs, Inst Architecture, Fac Engn &amp; Informat Technol, Energy Design Res Grp, H-7624 Pecs, Hungary; [Baranyai, Balint] Univ Pecs, Inst Architecture, Fac Engn &amp; Informat Technol, Dept Bldg Struct &amp; Energy Design, H-7624 Pecs, Hungary</t>
        </is>
      </c>
      <c r="Y595" t="inlineStr">
        <is>
          <t>University of Pecs; University of Duhok; University of Pecs; University of Pecs</t>
        </is>
      </c>
      <c r="Z595" t="inlineStr">
        <is>
          <t>Ibrahim, R (corresponding author), Univ Pecs, Marcel Breuer Doctoral Sch, Boszorkany u 2, H-7624 Pecs, Hungary.;Ibrahim, R; Abdulkareem, H (corresponding author), Univ Duhok, Dept Architectural Engn, Duhok 42001, Iraq.;Ibrahim, R (corresponding author), Univ Pecs, Inst Architecture, Fac Engn &amp; Informat Technol, Energy Design Res Grp, H-7624 Pecs, Hungary.</t>
        </is>
      </c>
      <c r="AA595" t="inlineStr">
        <is>
          <t>rojhat.barwary@uod.ac; haval.abdulkareem@uod.ac</t>
        </is>
      </c>
      <c r="AB595" t="inlineStr">
        <is>
          <t>Baranyai, Bálint/JGD-5417-2023</t>
        </is>
      </c>
      <c r="AC595" t="inlineStr">
        <is>
          <t>Baranyai, Bálint/0000-0002-9523-535X</t>
        </is>
      </c>
      <c r="AD595" t="inlineStr">
        <is>
          <t>Faculty of Engineering and Information Technology, University of Pecs [PTE_MIK_BIZ 06.04.2023]</t>
        </is>
      </c>
      <c r="AE595" t="inlineStr">
        <is>
          <t>Faculty of Engineering and Information Technology, University of Pecs</t>
        </is>
      </c>
      <c r="AF595" t="inlineStr">
        <is>
          <t>This research is funded by the Faculty of Engineering and Information Technology, University of Pecs with the reference number (PTE_MIK_BIZ 06.04.2023).</t>
        </is>
      </c>
      <c r="AH595" t="n">
        <v>53</v>
      </c>
      <c r="AI595" t="n">
        <v>0</v>
      </c>
      <c r="AJ595" t="n">
        <v>0</v>
      </c>
      <c r="AK595" t="n">
        <v>1</v>
      </c>
      <c r="AL595" t="n">
        <v>1</v>
      </c>
      <c r="AM595" t="inlineStr">
        <is>
          <t>MDPI</t>
        </is>
      </c>
      <c r="AN595" t="inlineStr">
        <is>
          <t>BASEL</t>
        </is>
      </c>
      <c r="AO595" t="inlineStr">
        <is>
          <t>ST ALBAN-ANLAGE 66, CH-4052 BASEL, SWITZERLAND</t>
        </is>
      </c>
      <c r="AQ595" t="inlineStr">
        <is>
          <t>2071-1050</t>
        </is>
      </c>
      <c r="AS595" t="inlineStr">
        <is>
          <t>SUSTAINABILITY-BASEL</t>
        </is>
      </c>
      <c r="AT595" t="inlineStr">
        <is>
          <t>Sustainability</t>
        </is>
      </c>
      <c r="AU595" t="inlineStr">
        <is>
          <t>APR</t>
        </is>
      </c>
      <c r="AV595" t="n">
        <v>2023</v>
      </c>
      <c r="AW595" t="n">
        <v>15</v>
      </c>
      <c r="AX595" t="n">
        <v>8</v>
      </c>
      <c r="BE595" t="n">
        <v>6903</v>
      </c>
      <c r="BF595" t="inlineStr">
        <is>
          <t>10.3390/su15086903</t>
        </is>
      </c>
      <c r="BG595">
        <f>HYPERLINK("http://dx.doi.org/10.3390/su15086903","http://dx.doi.org/10.3390/su15086903")</f>
        <v/>
      </c>
      <c r="BJ595" t="n">
        <v>19</v>
      </c>
      <c r="BK595" t="inlineStr">
        <is>
          <t>Green &amp; Sustainable Science &amp; Technology; Environmental Sciences; Environmental Studies</t>
        </is>
      </c>
      <c r="BL595" t="inlineStr">
        <is>
          <t>Science Citation Index Expanded (SCI-EXPANDED); Social Science Citation Index (SSCI)</t>
        </is>
      </c>
      <c r="BM595" t="inlineStr">
        <is>
          <t>Science &amp; Technology - Other Topics; Environmental Sciences &amp; Ecology</t>
        </is>
      </c>
      <c r="BN595" t="inlineStr">
        <is>
          <t>F0OQ8</t>
        </is>
      </c>
      <c r="BP595" t="inlineStr">
        <is>
          <t>gold</t>
        </is>
      </c>
      <c r="BS595" t="inlineStr">
        <is>
          <t>2023-10-26</t>
        </is>
      </c>
      <c r="BT595" t="inlineStr">
        <is>
          <t>WOS:000979430400001</t>
        </is>
      </c>
      <c r="BU595">
        <f>HYPERLINK("https%3A%2F%2Fwww.webofscience.com%2Fwos%2Fwoscc%2Ffull-record%2FWOS:000979430400001","View Full Record in Web of Science")</f>
        <v/>
      </c>
    </row>
    <row r="596">
      <c r="A596" t="inlineStr">
        <is>
          <t>J</t>
        </is>
      </c>
      <c r="B596" t="inlineStr">
        <is>
          <t>Kraakman, NJR; González-Martín, J; Pérez, C; Lebrero, R; Muñoz, R</t>
        </is>
      </c>
      <c r="F596" t="inlineStr">
        <is>
          <t>Kraakman, Norbertus Joannes Richardus; Gonzalez-Martin, Javier; Perez, Cristina; Lebrero, Raquel; Munoz, Raul</t>
        </is>
      </c>
      <c r="J596" t="inlineStr">
        <is>
          <t>REVIEWS IN ENVIRONMENTAL SCIENCE AND BIO-TECHNOLOGY</t>
        </is>
      </c>
      <c r="M596" t="inlineStr">
        <is>
          <t>English</t>
        </is>
      </c>
      <c r="N596" t="inlineStr">
        <is>
          <t>Review</t>
        </is>
      </c>
      <c r="T596" t="inlineStr">
        <is>
          <t>Recent advances in biological systems for improving indoor air quality</t>
        </is>
      </c>
      <c r="U596" t="inlineStr">
        <is>
          <t>Indoor air quality; Indoor environmental quality; Biofiltration; Membrane bioreactor; Capillary bioreactor; Photobioreactor</t>
        </is>
      </c>
      <c r="V596" t="inlineStr">
        <is>
          <t>MASS-TRANSFER COEFFICIENTS; VOLATILE ORGANIC-COMPOUNDS; BIOTRICKLING FILTERS; MEMBRANE BIOREACTOR; METHANE ABATEMENT; POLLUTION CONTROL; POTTED-PLANT; REMOVAL; BIOFILTRATION; PERFORMANCE</t>
        </is>
      </c>
      <c r="W596" t="inlineStr">
        <is>
          <t>Studies on human exposure to indoor air pollution reveal that indoor environments could be at least twice as polluted as outdoor environments. Indoor air pollution has not received as much attention than outdoor air pollution, despite an adult spending now most of the time indoors as a result of the global shift in the economy from the manufacturing sector towards the service and knowledge-based sectors, which operate in indoor office environments. Additionally, the health threats caused by a long-term exposure to indoor air pollution have become more apparent over the last decades as buildings are progressively sealed against the outside climate conditions to obtain heating and cooling energy cost savings and in response to stricter safety guidelines. Currently there is not a single technology that can efficiently provide a complete and satisfactory purification of indoor air. Biological systems for improving indoor air quality are promising, but challenges need to be examined to properly address the bioavailability of low pollutant concentrations, guarantee microbial safety, and incorporate CO2-removal. This study presents the recent research advances in biological indoor air purification methods as a 'green' alternative to physical-chemical methods, with emphasis on current challenges and opportunities it can provide for improving Indoor Environment Quality, building energy cost savings and improvements on indoor comfort and well-being.</t>
        </is>
      </c>
      <c r="X596" t="inlineStr">
        <is>
          <t>[Kraakman, Norbertus Joannes Richardus; Gonzalez-Martin, Javier; Perez, Cristina; Lebrero, Raquel; Munoz, Raul] Univ Valladolid, Inst Sustainable Proc, Dr Mergelina S-N, Valladolid 47011, Spain; [Kraakman, Norbertus Joannes Richardus] Jacobs Engn, Temple Quay 1, Bristol BS1 6DG, Avon, England; [Gonzalez-Martin, Javier; Lebrero, Raquel; Munoz, Raul] Univ Valladolid, Dept Chem Engn &amp; Environm Technol, Dr Mergelina S-N, Valladolid 47011, Spain</t>
        </is>
      </c>
      <c r="Y596" t="inlineStr">
        <is>
          <t>Universidad de Valladolid; Universidad de Valladolid</t>
        </is>
      </c>
      <c r="Z596" t="inlineStr">
        <is>
          <t>Kraakman, NJR (corresponding author), Univ Valladolid, Inst Sustainable Proc, Dr Mergelina S-N, Valladolid 47011, Spain.</t>
        </is>
      </c>
      <c r="AA596" t="inlineStr">
        <is>
          <t>bart.kraakman@jacobs.com</t>
        </is>
      </c>
      <c r="AB596" t="inlineStr">
        <is>
          <t>; Munoz, Raul/E-6493-2010</t>
        </is>
      </c>
      <c r="AC596" t="inlineStr">
        <is>
          <t>Kraakman, Norbertus/0000-0002-0923-9056; Gonzalez-Martin, Javier/0000-0002-2562-7876; Munoz, Raul/0000-0003-1207-6275</t>
        </is>
      </c>
      <c r="AD596" t="inlineStr">
        <is>
          <t>Ministry of Science, Innovation and Universities [RTI2018-0-096441-B-I00]; EU-FEDER program [CLU 2017-09, UIC 071]; EREN Castilla y Leon</t>
        </is>
      </c>
      <c r="AE596" t="inlineStr">
        <is>
          <t>Ministry of Science, Innovation and Universities; EU-FEDER program(European Union (EU)); EREN Castilla y Leon</t>
        </is>
      </c>
      <c r="AF596" t="inlineStr">
        <is>
          <t>This work was supported by the Ministry of Science, Innovation and Universities (project RTI2018-0-096441-B-I00). The Regional Government of Castilla y Leon and the EU-FEDER program (Grant Numbers CLU 2017-09 and UIC 071) are also gratefully acknowledged. The financial support of EREN Castilla y Leon for the contract of Cristina Perez is gratefully acknowledged.</t>
        </is>
      </c>
      <c r="AH596" t="n">
        <v>136</v>
      </c>
      <c r="AI596" t="n">
        <v>17</v>
      </c>
      <c r="AJ596" t="n">
        <v>17</v>
      </c>
      <c r="AK596" t="n">
        <v>5</v>
      </c>
      <c r="AL596" t="n">
        <v>57</v>
      </c>
      <c r="AM596" t="inlineStr">
        <is>
          <t>SPRINGER</t>
        </is>
      </c>
      <c r="AN596" t="inlineStr">
        <is>
          <t>DORDRECHT</t>
        </is>
      </c>
      <c r="AO596" t="inlineStr">
        <is>
          <t>VAN GODEWIJCKSTRAAT 30, 3311 GZ DORDRECHT, NETHERLANDS</t>
        </is>
      </c>
      <c r="AP596" t="inlineStr">
        <is>
          <t>1569-1705</t>
        </is>
      </c>
      <c r="AQ596" t="inlineStr">
        <is>
          <t>1572-9826</t>
        </is>
      </c>
      <c r="AS596" t="inlineStr">
        <is>
          <t>REV ENVIRON SCI BIO</t>
        </is>
      </c>
      <c r="AT596" t="inlineStr">
        <is>
          <t>Rev. Environ. Sci. Bio-Technol.</t>
        </is>
      </c>
      <c r="AU596" t="inlineStr">
        <is>
          <t>JUN</t>
        </is>
      </c>
      <c r="AV596" t="n">
        <v>2021</v>
      </c>
      <c r="AW596" t="n">
        <v>20</v>
      </c>
      <c r="AX596" t="n">
        <v>2</v>
      </c>
      <c r="BC596" t="n">
        <v>363</v>
      </c>
      <c r="BD596" t="n">
        <v>387</v>
      </c>
      <c r="BF596" t="inlineStr">
        <is>
          <t>10.1007/s11157-021-09569-x</t>
        </is>
      </c>
      <c r="BG596">
        <f>HYPERLINK("http://dx.doi.org/10.1007/s11157-021-09569-x","http://dx.doi.org/10.1007/s11157-021-09569-x")</f>
        <v/>
      </c>
      <c r="BI596" t="inlineStr">
        <is>
          <t>MAR 2021</t>
        </is>
      </c>
      <c r="BJ596" t="n">
        <v>25</v>
      </c>
      <c r="BK596" t="inlineStr">
        <is>
          <t>Biotechnology &amp; Applied Microbiology; Environmental Sciences</t>
        </is>
      </c>
      <c r="BL596" t="inlineStr">
        <is>
          <t>Science Citation Index Expanded (SCI-EXPANDED)</t>
        </is>
      </c>
      <c r="BM596" t="inlineStr">
        <is>
          <t>Biotechnology &amp; Applied Microbiology; Environmental Sciences &amp; Ecology</t>
        </is>
      </c>
      <c r="BN596" t="inlineStr">
        <is>
          <t>RX1CT</t>
        </is>
      </c>
      <c r="BP596" t="inlineStr">
        <is>
          <t>Green Published</t>
        </is>
      </c>
      <c r="BS596" t="inlineStr">
        <is>
          <t>2023-10-26</t>
        </is>
      </c>
      <c r="BT596" t="inlineStr">
        <is>
          <t>WOS:000627706800001</t>
        </is>
      </c>
      <c r="BU596">
        <f>HYPERLINK("https%3A%2F%2Fwww.webofscience.com%2Fwos%2Fwoscc%2Ffull-record%2FWOS:000627706800001","View Full Record in Web of Science")</f>
        <v/>
      </c>
    </row>
    <row r="597">
      <c r="A597" t="inlineStr">
        <is>
          <t>J</t>
        </is>
      </c>
      <c r="B597" t="inlineStr">
        <is>
          <t>Uchiyama, Y; Blanco, E; Kohsaka, R</t>
        </is>
      </c>
      <c r="F597" t="inlineStr">
        <is>
          <t>Uchiyama, Yuta; Blanco, Eduardo; Kohsaka, Ryo</t>
        </is>
      </c>
      <c r="J597" t="inlineStr">
        <is>
          <t>SUSTAINABILITY</t>
        </is>
      </c>
      <c r="M597" t="inlineStr">
        <is>
          <t>English</t>
        </is>
      </c>
      <c r="N597" t="inlineStr">
        <is>
          <t>Review</t>
        </is>
      </c>
      <c r="T597" t="inlineStr">
        <is>
          <t>Application of Biomimetics to Architectural and Urban Design: A Review across Scales</t>
        </is>
      </c>
      <c r="U597" t="inlineStr">
        <is>
          <t>biomimicry; built environment; interdisciplinary collaboration; sustainability; biophilia</t>
        </is>
      </c>
      <c r="W597" t="inlineStr">
        <is>
          <t>Application of biomimetics has expanded progressively to other fields in recent years, including urban and architectural design, scaling up from materials to a larger scale. Besides its contribution to design and functionality through a long evolutionary process, the philosophy of biomimetics contributes to a sustainable society at the conceptual level. The aim of this review is to shed light on trends in the application of biomimetics to architectural and urban design, in order to identify potential issues and successes resulting from implementation. In the application of biomimetics to architectural design, parts of individual organisms, including their form and surface structure, are frequently mimicked, whereas in urban design, on a larger scale, biomimetics is applied to mimic whole ecosystems. The overall trends of the reviewed research indicate future research necessity in the field of on biomimetic application in architectural and urban design, including Biophilia and Material. As for the scale of the applications, the urban-scale research is limited and it is a promising research which can facilitate the social implementation of biomimetics. As for facilitating methods of applications, it is instrumental to utilize different types of knowledge, such as traditional knowledge, and providing scientific clarification of functions and systems based on reviews. Thus, interdisciplinary research is required additionally to reach such goals.</t>
        </is>
      </c>
      <c r="X597" t="inlineStr">
        <is>
          <t>[Uchiyama, Yuta; Kohsaka, Ryo] Nagoya Univ, Grad Sch Environm Studies, Nagoya, Aichi 4648601, Japan; [Blanco, Eduardo] Ctr Europeen Excellence Biomimetisme Senlis CEEBI, F-60300 Senlis, France; [Blanco, Eduardo] CESCO MNHN, Ctr Ecol &amp; Sci Conservat, F-75005 Paris, France</t>
        </is>
      </c>
      <c r="Y597" t="inlineStr">
        <is>
          <t>Nagoya University; Museum National d'Histoire Naturelle (MNHN)</t>
        </is>
      </c>
      <c r="Z597" t="inlineStr">
        <is>
          <t>Kohsaka, R (corresponding author), Nagoya Univ, Grad Sch Environm Studies, Nagoya, Aichi 4648601, Japan.</t>
        </is>
      </c>
      <c r="AA597" t="inlineStr">
        <is>
          <t>uchiyama.yuta@k.mbox.nagoya-u.ac.jp; eduardo.blanco@ceebios.com; kohsaka@hotmail.com</t>
        </is>
      </c>
      <c r="AB597" t="inlineStr">
        <is>
          <t>Kohsaka, Ryo/J-3022-2019; Blanco, Eduardo/AAR-1246-2021</t>
        </is>
      </c>
      <c r="AC597" t="inlineStr">
        <is>
          <t>Kohsaka, Ryo/0000-0001-6822-4340; Blanco, Eduardo/0000-0002-6741-2881; Uchiyama, Yuta/0000-0001-7363-896X</t>
        </is>
      </c>
      <c r="AD597" t="inlineStr">
        <is>
          <t>JSPS KAKENHI [JP20K12398, JP16KK0053, JP17K02105]; Kurita Water and Environment Foundation [20C002]; Foundation for Environmental Conservation Measures, Keidanren [2020]</t>
        </is>
      </c>
      <c r="AE597" t="inlineStr">
        <is>
          <t>JSPS KAKENHI(Ministry of Education, Culture, Sports, Science and Technology, Japan (MEXT)Japan Society for the Promotion of ScienceGrants-in-Aid for Scientific Research (KAKENHI)); Kurita Water and Environment Foundation(Kurita Water and Environment Foundation); Foundation for Environmental Conservation Measures, Keidanren [2020]</t>
        </is>
      </c>
      <c r="AF597" t="inlineStr">
        <is>
          <t>This study is funded by the JSPS KAKENHI Grant Numbers JP20K12398; JP16KK0053; JP17K02105; Kurita Water and Environment Foundation [20C002]; Foundation for Environmental Conservation Measures, Keidanren [2020].</t>
        </is>
      </c>
      <c r="AH597" t="n">
        <v>110</v>
      </c>
      <c r="AI597" t="n">
        <v>12</v>
      </c>
      <c r="AJ597" t="n">
        <v>12</v>
      </c>
      <c r="AK597" t="n">
        <v>6</v>
      </c>
      <c r="AL597" t="n">
        <v>35</v>
      </c>
      <c r="AM597" t="inlineStr">
        <is>
          <t>MDPI</t>
        </is>
      </c>
      <c r="AN597" t="inlineStr">
        <is>
          <t>BASEL</t>
        </is>
      </c>
      <c r="AO597" t="inlineStr">
        <is>
          <t>ST ALBAN-ANLAGE 66, CH-4052 BASEL, SWITZERLAND</t>
        </is>
      </c>
      <c r="AQ597" t="inlineStr">
        <is>
          <t>2071-1050</t>
        </is>
      </c>
      <c r="AS597" t="inlineStr">
        <is>
          <t>SUSTAINABILITY-BASEL</t>
        </is>
      </c>
      <c r="AT597" t="inlineStr">
        <is>
          <t>Sustainability</t>
        </is>
      </c>
      <c r="AU597" t="inlineStr">
        <is>
          <t>DEC</t>
        </is>
      </c>
      <c r="AV597" t="n">
        <v>2020</v>
      </c>
      <c r="AW597" t="n">
        <v>12</v>
      </c>
      <c r="AX597" t="n">
        <v>23</v>
      </c>
      <c r="BE597" t="n">
        <v>9813</v>
      </c>
      <c r="BF597" t="inlineStr">
        <is>
          <t>10.3390/su12239813</t>
        </is>
      </c>
      <c r="BG597">
        <f>HYPERLINK("http://dx.doi.org/10.3390/su12239813","http://dx.doi.org/10.3390/su12239813")</f>
        <v/>
      </c>
      <c r="BJ597" t="n">
        <v>16</v>
      </c>
      <c r="BK597" t="inlineStr">
        <is>
          <t>Green &amp; Sustainable Science &amp; Technology; Environmental Sciences; Environmental Studies</t>
        </is>
      </c>
      <c r="BL597" t="inlineStr">
        <is>
          <t>Science Citation Index Expanded (SCI-EXPANDED); Social Science Citation Index (SSCI)</t>
        </is>
      </c>
      <c r="BM597" t="inlineStr">
        <is>
          <t>Science &amp; Technology - Other Topics; Environmental Sciences &amp; Ecology</t>
        </is>
      </c>
      <c r="BN597" t="inlineStr">
        <is>
          <t>PD1WY</t>
        </is>
      </c>
      <c r="BP597" t="inlineStr">
        <is>
          <t>Green Published, gold</t>
        </is>
      </c>
      <c r="BS597" t="inlineStr">
        <is>
          <t>2023-10-26</t>
        </is>
      </c>
      <c r="BT597" t="inlineStr">
        <is>
          <t>WOS:000597485100001</t>
        </is>
      </c>
      <c r="BU597">
        <f>HYPERLINK("https%3A%2F%2Fwww.webofscience.com%2Fwos%2Fwoscc%2Ffull-record%2FWOS:000597485100001","View Full Record in Web of Science")</f>
        <v/>
      </c>
    </row>
    <row r="598">
      <c r="A598" t="inlineStr">
        <is>
          <t>J</t>
        </is>
      </c>
      <c r="B598" t="inlineStr">
        <is>
          <t>Chung, YH; Chen, SJ; Lee, CL; Wu, CW; Chang, YS</t>
        </is>
      </c>
      <c r="F598" t="inlineStr">
        <is>
          <t>Chung, Ya-Hui; Chen, Shiu-Jen; Lee, Ching-Luug; Wu, Chun-Wei; Chang, Yu-Sen</t>
        </is>
      </c>
      <c r="J598" t="inlineStr">
        <is>
          <t>INTERNATIONAL JOURNAL OF ENVIRONMENTAL RESEARCH AND PUBLIC HEALTH</t>
        </is>
      </c>
      <c r="M598" t="inlineStr">
        <is>
          <t>English</t>
        </is>
      </c>
      <c r="N598" t="inlineStr">
        <is>
          <t>Article</t>
        </is>
      </c>
      <c r="T598" t="inlineStr">
        <is>
          <t>Relaxing Effects of Breathing Pseudotsuga menziesii and Lavandula angustifolia Essential Oils on Psychophysiological Status in Older Adults</t>
        </is>
      </c>
      <c r="U598" t="inlineStr">
        <is>
          <t>essential oils; psychophysiological status; emotion; older adults</t>
        </is>
      </c>
      <c r="V598" t="inlineStr">
        <is>
          <t>HEART-RATE-VARIABILITY; LAVENDER OIL; CHEMICAL-COMPOSITION; ANTIFUNGAL ACTIVITY; BLOOD-PRESSURE; ALPHA-PINENE; BETA-PINENE; ANXIETY; MOOD; AROMATHERAPY</t>
        </is>
      </c>
      <c r="W598" t="inlineStr">
        <is>
          <t>We evaluated the effects of breathing Pseudotsuga menziesii (P. menziesii) and Lavandula angustifolia (L. angustifolia) essential oils (EOs) during a horticultural activity on older adults. A total number of 92 older adult (71.2 +/- 7.7 years old) participants were guided through a leaf printing procedure. In the meantime, water vapor and EOs were diffused in an orderly manner. The heart rate variability-related parameters as well as the brain waves were recorded. In addition, we also collected data for the State-Trait Anxiety Inventory-State (STAI-S) questionnaires before and after the whole indoor natural activity program. The physiological parameters including standard deviation of normal to normal intervals, normalized high frequency (nHF), and high alpha wave increased while the normalized low frequency (nLF), the ratio of LF-to-HF power, high beta wave, and gamma wave decreased following the breathing of P. menziesii and L. angustifolia EOs. These changes indicated a relaxing effect of breathing both EOs during a horticultural activity on older adults. Our results demonstrated a beneficial effect of P. menziesii EO which is as good as a well-known relaxant L. angustifolia EO. This notion was supported by the results of STAI-S. Here we developed an indoor natural activity program for older adults to promote physical and mental health.</t>
        </is>
      </c>
      <c r="X598" t="inlineStr">
        <is>
          <t>[Chung, Ya-Hui; Lee, Ching-Luug; Chang, Yu-Sen] Natl Taiwan Univ, Dept Hort &amp; Landscape Architecture, Taipei 10617, Taiwan; [Chen, Shiu-Jen] Kang Ning Univ, Coll Nursing &amp; Hlth, Taipei 11485, Taiwan; [Wu, Chun-Wei] Hungkuo Delin Univ Technol, Dept Hort, New Taipei 236354, Taiwan</t>
        </is>
      </c>
      <c r="Y598" t="inlineStr">
        <is>
          <t>National Taiwan University; Hungkuo Delin University of Technology</t>
        </is>
      </c>
      <c r="Z598" t="inlineStr">
        <is>
          <t>Chang, YS (corresponding author), Natl Taiwan Univ, Dept Hort &amp; Landscape Architecture, Taipei 10617, Taiwan.</t>
        </is>
      </c>
      <c r="AA598" t="inlineStr">
        <is>
          <t>yschang@ntu.edu.tw</t>
        </is>
      </c>
      <c r="AC598" t="inlineStr">
        <is>
          <t>Wu, Chun Wei/0000-0002-6935-2499; CHANG, YU-SEN/0000-0002-4461-8975</t>
        </is>
      </c>
      <c r="AD598" t="inlineStr">
        <is>
          <t>National Science and Technology Council (NSTC) in Taiwan [111-2313-B-002-028, 111-2622-8-002-018-TS1]; Council of Agriculture (COA) in Taiwan [111AS-3.3.1-FS-1, 110AS-3.3.1-FS-1]</t>
        </is>
      </c>
      <c r="AE598" t="inlineStr">
        <is>
          <t>National Science and Technology Council (NSTC) in Taiwan; Council of Agriculture (COA) in Taiwan</t>
        </is>
      </c>
      <c r="AF598" t="inlineStr">
        <is>
          <t>This work was financially supported by the National Science and Technology Council (NSTC) in Taiwan (111-2313-B-002-028, 111-2622-8-002-018-TS1), and the Council of Agriculture (COA) in Taiwan (111AS-3.3.1-FS-#1, 110AS-3.3.1-FS-#1).</t>
        </is>
      </c>
      <c r="AH598" t="n">
        <v>90</v>
      </c>
      <c r="AI598" t="n">
        <v>2</v>
      </c>
      <c r="AJ598" t="n">
        <v>2</v>
      </c>
      <c r="AK598" t="n">
        <v>3</v>
      </c>
      <c r="AL598" t="n">
        <v>11</v>
      </c>
      <c r="AM598" t="inlineStr">
        <is>
          <t>MDPI</t>
        </is>
      </c>
      <c r="AN598" t="inlineStr">
        <is>
          <t>BASEL</t>
        </is>
      </c>
      <c r="AO598" t="inlineStr">
        <is>
          <t>ST ALBAN-ANLAGE 66, CH-4052 BASEL, SWITZERLAND</t>
        </is>
      </c>
      <c r="AQ598" t="inlineStr">
        <is>
          <t>1660-4601</t>
        </is>
      </c>
      <c r="AS598" t="inlineStr">
        <is>
          <t>INT J ENV RES PUB HE</t>
        </is>
      </c>
      <c r="AT598" t="inlineStr">
        <is>
          <t>Int. J. Environ. Res. Public Health</t>
        </is>
      </c>
      <c r="AU598" t="inlineStr">
        <is>
          <t>NOV</t>
        </is>
      </c>
      <c r="AV598" t="n">
        <v>2022</v>
      </c>
      <c r="AW598" t="n">
        <v>19</v>
      </c>
      <c r="AX598" t="n">
        <v>22</v>
      </c>
      <c r="BE598" t="n">
        <v>15251</v>
      </c>
      <c r="BF598" t="inlineStr">
        <is>
          <t>10.3390/ijerph192215251</t>
        </is>
      </c>
      <c r="BG598">
        <f>HYPERLINK("http://dx.doi.org/10.3390/ijerph192215251","http://dx.doi.org/10.3390/ijerph192215251")</f>
        <v/>
      </c>
      <c r="BJ598" t="n">
        <v>13</v>
      </c>
      <c r="BK598" t="inlineStr">
        <is>
          <t>Environmental Sciences; Public, Environmental &amp; Occupational Health</t>
        </is>
      </c>
      <c r="BL598" t="inlineStr">
        <is>
          <t>Science Citation Index Expanded (SCI-EXPANDED); Social Science Citation Index (SSCI)</t>
        </is>
      </c>
      <c r="BM598" t="inlineStr">
        <is>
          <t>Environmental Sciences &amp; Ecology; Public, Environmental &amp; Occupational Health</t>
        </is>
      </c>
      <c r="BN598" t="inlineStr">
        <is>
          <t>6K2UF</t>
        </is>
      </c>
      <c r="BO598" t="n">
        <v>36429972</v>
      </c>
      <c r="BP598" t="inlineStr">
        <is>
          <t>Green Published, gold</t>
        </is>
      </c>
      <c r="BS598" t="inlineStr">
        <is>
          <t>2023-10-26</t>
        </is>
      </c>
      <c r="BT598" t="inlineStr">
        <is>
          <t>WOS:000887363200001</t>
        </is>
      </c>
      <c r="BU598">
        <f>HYPERLINK("https%3A%2F%2Fwww.webofscience.com%2Fwos%2Fwoscc%2Ffull-record%2FWOS:000887363200001","View Full Record in Web of Science")</f>
        <v/>
      </c>
    </row>
    <row r="599">
      <c r="A599" t="inlineStr">
        <is>
          <t>J</t>
        </is>
      </c>
      <c r="B599" t="inlineStr">
        <is>
          <t>Weng, SB; Qin, YY</t>
        </is>
      </c>
      <c r="F599" t="inlineStr">
        <is>
          <t>Weng, Shaobin; Qin, Yuanyuan</t>
        </is>
      </c>
      <c r="J599" t="inlineStr">
        <is>
          <t>ENVIRONMENTAL SCIENCE AND POLLUTION RESEARCH</t>
        </is>
      </c>
      <c r="M599" t="inlineStr">
        <is>
          <t>English</t>
        </is>
      </c>
      <c r="N599" t="inlineStr">
        <is>
          <t>Article; Early Access</t>
        </is>
      </c>
      <c r="T599" t="inlineStr">
        <is>
          <t>Which qualities should built environment possess to ensure satisfaction of higher-education students with remote education during pandemics?</t>
        </is>
      </c>
      <c r="U599" t="inlineStr">
        <is>
          <t>Remote education; COVID-19; Student satisfaction; Built environment; China; PLS-SEM</t>
        </is>
      </c>
      <c r="V599" t="inlineStr">
        <is>
          <t>RENEWABLE ENERGY; PERCEIVED USEFULNESS; ECONOMIC-GROWTH; DETERMINANTS; INFORMATION; TECHNOLOGY; EMISSIONS; ACHIEVEMENT; EVOLUTION; COVID-19</t>
        </is>
      </c>
      <c r="W599" t="inlineStr">
        <is>
          <t>The built environment may be considered a complex system comprising several parts (including people, organizations, and physical structures). Since the emergence of the COVID-19 virus in recent years, there has been an explosion in the usage of mobile learning applications for classroom instruction. Research on the diffusion of mobile learning is lacking. This study examines the perceptions and experiences of many aspects of online education from the viewpoint of Chinese HEIs and university students who shifted to online modes of instruction during the COVID-19 outbreak. This research aimed to determine whether or not college students were happy with the resources available to them, how their teachers communicated with them, how they were evaluated, and the conditions in which they studied at home. It also looked at the pros and cons of online learning from the students' points of view. For this study, researchers opted for a cross-sectional survey using an online questionnaire. Information was gathered from 450 students from different Chinese tertiary institutions. To this end, we reflect on the experiences and perspectives of postgraduate students in urban design and discuss the results of an online survey conducted during the 2021-2022 academic year's subject delivery period, which included activities such as assessment, feedback, field study visits, workshops, and the use of digital platforms. PLS-SEM, which stands for partial least square structural equation modeling, is used in order to evaluate the proposed model. Therefore, the findings show that the research model offered for this investigation could explain the diversity in the actual use of mobile learning systems. This would provide helpful insight into the effect of educational, environmental, and quality factors on the actual use of remote education systems. It was shown that quality concerns acted as a mediator between institutional policy, change management, and the implementation of mobile learning systems in actual classrooms. The findings also indicate that the level of pleasure students feel acts as a moderating factor between the degree to which the mobile learning system is used and its overall level of quality. According to the findings of these studies, academic institutions may enhance their use of mobile learning applications and get more benefits from these systems if they adhere to the suggestions stated in these studies.</t>
        </is>
      </c>
      <c r="X599" t="inlineStr">
        <is>
          <t>[Weng, Shaobin; Qin, Yuanyuan] Xihua Univ, Sch Architecture &amp; Civil Engn, Chengdu 610039, Peoples R China</t>
        </is>
      </c>
      <c r="Y599" t="inlineStr">
        <is>
          <t>Xihua University</t>
        </is>
      </c>
      <c r="Z599" t="inlineStr">
        <is>
          <t>Qin, YY (corresponding author), Xihua Univ, Sch Architecture &amp; Civil Engn, Chengdu 610039, Peoples R China.</t>
        </is>
      </c>
      <c r="AA599" t="inlineStr">
        <is>
          <t>shaobin1212@outlook.com; yuanyuanqin110@outlook.com</t>
        </is>
      </c>
      <c r="AH599" t="n">
        <v>116</v>
      </c>
      <c r="AI599" t="n">
        <v>0</v>
      </c>
      <c r="AJ599" t="n">
        <v>0</v>
      </c>
      <c r="AK599" t="n">
        <v>3</v>
      </c>
      <c r="AL599" t="n">
        <v>3</v>
      </c>
      <c r="AM599" t="inlineStr">
        <is>
          <t>SPRINGER HEIDELBERG</t>
        </is>
      </c>
      <c r="AN599" t="inlineStr">
        <is>
          <t>HEIDELBERG</t>
        </is>
      </c>
      <c r="AO599" t="inlineStr">
        <is>
          <t>TIERGARTENSTRASSE 17, D-69121 HEIDELBERG, GERMANY</t>
        </is>
      </c>
      <c r="AP599" t="inlineStr">
        <is>
          <t>0944-1344</t>
        </is>
      </c>
      <c r="AQ599" t="inlineStr">
        <is>
          <t>1614-7499</t>
        </is>
      </c>
      <c r="AS599" t="inlineStr">
        <is>
          <t>ENVIRON SCI POLLUT R</t>
        </is>
      </c>
      <c r="AT599" t="inlineStr">
        <is>
          <t>Environ. Sci. Pollut. Res.</t>
        </is>
      </c>
      <c r="AU599" t="inlineStr">
        <is>
          <t>2023 SEP 5</t>
        </is>
      </c>
      <c r="AV599" t="n">
        <v>2023</v>
      </c>
      <c r="BF599" t="inlineStr">
        <is>
          <t>10.1007/s11356-023-29118</t>
        </is>
      </c>
      <c r="BG599">
        <f>HYPERLINK("http://dx.doi.org/10.1007/s11356-023-29118","http://dx.doi.org/10.1007/s11356-023-29118")</f>
        <v/>
      </c>
      <c r="BI599" t="inlineStr">
        <is>
          <t>SEP 2023</t>
        </is>
      </c>
      <c r="BJ599" t="n">
        <v>15</v>
      </c>
      <c r="BK599" t="inlineStr">
        <is>
          <t>Environmental Sciences</t>
        </is>
      </c>
      <c r="BL599" t="inlineStr">
        <is>
          <t>Science Citation Index Expanded (SCI-EXPANDED)</t>
        </is>
      </c>
      <c r="BM599" t="inlineStr">
        <is>
          <t>Environmental Sciences &amp; Ecology</t>
        </is>
      </c>
      <c r="BN599" t="inlineStr">
        <is>
          <t>R2NH8</t>
        </is>
      </c>
      <c r="BS599" t="inlineStr">
        <is>
          <t>2023-10-26</t>
        </is>
      </c>
      <c r="BT599" t="inlineStr">
        <is>
          <t>WOS:001062761800005</t>
        </is>
      </c>
      <c r="BU599">
        <f>HYPERLINK("https%3A%2F%2Fwww.webofscience.com%2Fwos%2Fwoscc%2Ffull-record%2FWOS:001062761800005","View Full Record in Web of Science")</f>
        <v/>
      </c>
    </row>
    <row r="600">
      <c r="A600" t="inlineStr">
        <is>
          <t>J</t>
        </is>
      </c>
      <c r="B600" t="inlineStr">
        <is>
          <t>Mohammadi, M; Calautit, J</t>
        </is>
      </c>
      <c r="F600" t="inlineStr">
        <is>
          <t>Mohammadi, Murtaza; Calautit, John</t>
        </is>
      </c>
      <c r="J600" t="inlineStr">
        <is>
          <t>SUSTAINABILITY</t>
        </is>
      </c>
      <c r="M600" t="inlineStr">
        <is>
          <t>English</t>
        </is>
      </c>
      <c r="N600" t="inlineStr">
        <is>
          <t>Article</t>
        </is>
      </c>
      <c r="T600" t="inlineStr">
        <is>
          <t>Impact of Ventilation Strategy on the Transmission of Outdoor Pollutants into Indoor Environment Using CFD</t>
        </is>
      </c>
      <c r="U600" t="inlineStr">
        <is>
          <t>air pollution transmission; indoor-outdoor relation; urban canyon; computational fluid dynamics; factors of transmission</t>
        </is>
      </c>
      <c r="V600" t="inlineStr">
        <is>
          <t>AIR-QUALITY; RESIDENTIAL BUILDINGS; PARTICULATE MATTER; INDOOR/OUTDOOR RELATIONSHIPS; NUMERICAL INVESTIGATIONS; PARTICLE CONCENTRATIONS; MASS CONCENTRATIONS; STREET CANYONS; SHORT-TERM; DISPERSION</t>
        </is>
      </c>
      <c r="W600" t="inlineStr">
        <is>
          <t>The transition to remote working due to the pandemic has accentuated the importance of clean indoor air, as people spend a significant portion of their time indoors. Amongst the various determinants of indoor air quality, outdoor pollution is a significant source. While conventional studies have certainly helped to quantify the long-term personal exposure to pollutants and assess their health impact, they have not paid special attention to the mechanism of transmission of pollutants between the two environments. Nevertheless, the quantification of infiltration is essential to determine the contribution of ambient pollutants in indoor air quality and its determinants. This study evaluates the transmission of outdoor pollutants into the indoor environment using 3D computational fluid dynamics modelling with a pollution dispersion model. Naturally ventilated buildings next to an urban canyon were modelled and simulated using Ansys Fluent and validated against wind tunnel results from the Concentration Data of Street Canyons database. The model consisted of two buildings of three storeys each, located on either side of a road. Two line-source pollutants were placed in the street, representing traffic emissions. Three internal rooms were selected and modelled on each floor and implemented with various ventilation strategies. Results indicate that for a canyon with an aspect ratio of 1, indoor spaces in upstream buildings are usually less polluted than downstream ones. Although within the canyon, pollution is 2-3 times higher near the upstream building. Cross ventilation can minimise or prevent infiltration of road-side pollutants into indoor spaces, while also assisting in the dispersion of ambient pollutants. The critical configuration, in terms of air quality, is single-sided ventilation from the canyon. This significantly increases indoor pollutant concentration regardless of the building location. The study reveals that multiple factors determine the indoor-outdoor links, and thorough indexing and understanding of the processes can help designers and urban planners in regulating urban configuration and geometries for improved indoor air quality. Future works should look at investigating the influence of indoor emissions and the effects of different seasons.</t>
        </is>
      </c>
      <c r="X600" t="inlineStr">
        <is>
          <t>[Mohammadi, Murtaza; Calautit, John] Univ Nottingham, Dept Architecture &amp; Built Environm, Nottingham NG7 2RD, England</t>
        </is>
      </c>
      <c r="Y600" t="inlineStr">
        <is>
          <t>University of Nottingham</t>
        </is>
      </c>
      <c r="Z600" t="inlineStr">
        <is>
          <t>Calautit, J (corresponding author), Univ Nottingham, Dept Architecture &amp; Built Environm, Nottingham NG7 2RD, England.</t>
        </is>
      </c>
      <c r="AA600" t="inlineStr">
        <is>
          <t>murtaza.mohammadi1@nottingham.ac.uk; john.calautit1@nottingham.ac.uk</t>
        </is>
      </c>
      <c r="AB600" t="inlineStr">
        <is>
          <t>Calautit, John Kaiser/J-6748-2014</t>
        </is>
      </c>
      <c r="AC600" t="inlineStr">
        <is>
          <t>Calautit, John Kaiser/0000-0001-7046-3308; Mohammadi, Murtaza/0000-0001-5270-0453</t>
        </is>
      </c>
      <c r="AH600" t="n">
        <v>66</v>
      </c>
      <c r="AI600" t="n">
        <v>6</v>
      </c>
      <c r="AJ600" t="n">
        <v>6</v>
      </c>
      <c r="AK600" t="n">
        <v>11</v>
      </c>
      <c r="AL600" t="n">
        <v>42</v>
      </c>
      <c r="AM600" t="inlineStr">
        <is>
          <t>MDPI</t>
        </is>
      </c>
      <c r="AN600" t="inlineStr">
        <is>
          <t>BASEL</t>
        </is>
      </c>
      <c r="AO600" t="inlineStr">
        <is>
          <t>ST ALBAN-ANLAGE 66, CH-4052 BASEL, SWITZERLAND</t>
        </is>
      </c>
      <c r="AQ600" t="inlineStr">
        <is>
          <t>2071-1050</t>
        </is>
      </c>
      <c r="AS600" t="inlineStr">
        <is>
          <t>SUSTAINABILITY-BASEL</t>
        </is>
      </c>
      <c r="AT600" t="inlineStr">
        <is>
          <t>Sustainability</t>
        </is>
      </c>
      <c r="AU600" t="inlineStr">
        <is>
          <t>SEP</t>
        </is>
      </c>
      <c r="AV600" t="n">
        <v>2021</v>
      </c>
      <c r="AW600" t="n">
        <v>13</v>
      </c>
      <c r="AX600" t="n">
        <v>18</v>
      </c>
      <c r="BE600" t="n">
        <v>10343</v>
      </c>
      <c r="BF600" t="inlineStr">
        <is>
          <t>10.3390/su131810343</t>
        </is>
      </c>
      <c r="BG600">
        <f>HYPERLINK("http://dx.doi.org/10.3390/su131810343","http://dx.doi.org/10.3390/su131810343")</f>
        <v/>
      </c>
      <c r="BJ600" t="n">
        <v>18</v>
      </c>
      <c r="BK600" t="inlineStr">
        <is>
          <t>Green &amp; Sustainable Science &amp; Technology; Environmental Sciences; Environmental Studies</t>
        </is>
      </c>
      <c r="BL600" t="inlineStr">
        <is>
          <t>Science Citation Index Expanded (SCI-EXPANDED); Social Science Citation Index (SSCI)</t>
        </is>
      </c>
      <c r="BM600" t="inlineStr">
        <is>
          <t>Science &amp; Technology - Other Topics; Environmental Sciences &amp; Ecology</t>
        </is>
      </c>
      <c r="BN600" t="inlineStr">
        <is>
          <t>UZ3EW</t>
        </is>
      </c>
      <c r="BP600" t="inlineStr">
        <is>
          <t>gold</t>
        </is>
      </c>
      <c r="BS600" t="inlineStr">
        <is>
          <t>2023-10-26</t>
        </is>
      </c>
      <c r="BT600" t="inlineStr">
        <is>
          <t>WOS:000702092500001</t>
        </is>
      </c>
      <c r="BU600">
        <f>HYPERLINK("https%3A%2F%2Fwww.webofscience.com%2Fwos%2Fwoscc%2Ffull-record%2FWOS:000702092500001","View Full Record in Web of Science")</f>
        <v/>
      </c>
    </row>
    <row r="601">
      <c r="A601" t="inlineStr">
        <is>
          <t>J</t>
        </is>
      </c>
      <c r="B601" t="inlineStr">
        <is>
          <t>Reshetnikov, V; Mitrokhin, O; Belova, E; Mikhailovsky, V; Mikerova, M; Alsaegh, A; Yakushina, I; Royuk, V</t>
        </is>
      </c>
      <c r="F601" t="inlineStr">
        <is>
          <t>Reshetnikov, Vladimir; Mitrokhin, Oleg; Belova, Elena; Mikhailovsky, Victor; Mikerova, Maria; Alsaegh, Ali; Yakushina, Irina; Royuk, Valery</t>
        </is>
      </c>
      <c r="J601" t="inlineStr">
        <is>
          <t>INTERNATIONAL JOURNAL OF ENVIRONMENTAL RESEARCH AND PUBLIC HEALTH</t>
        </is>
      </c>
      <c r="M601" t="inlineStr">
        <is>
          <t>English</t>
        </is>
      </c>
      <c r="N601" t="inlineStr">
        <is>
          <t>Article</t>
        </is>
      </c>
      <c r="T601" t="inlineStr">
        <is>
          <t>Indoor Environmental Quality in Dwellings and Lifestyle Behaviors during the COVID-19 Pandemic: Russian Perspective</t>
        </is>
      </c>
      <c r="U601" t="inlineStr">
        <is>
          <t>COVID-19; Russia; self-isolation; indoor environment; built environment; building codes; ventilation; sewage; disinfection; lifestyle</t>
        </is>
      </c>
      <c r="V601" t="inlineStr">
        <is>
          <t>PHYSICAL-ACTIVITY; BUILT ENVIRONMENT; HEALTH; STUDENTS; LOCKDOWN; POLICIES; IMPACT; TIME</t>
        </is>
      </c>
      <c r="W601" t="inlineStr">
        <is>
          <t>The novel coronavirus (COVID-19) outbreak is a public health emergency of international concern, and as a response, public health authorities started enforcing preventive measures like self-isolation and social distancing. The enforcement of isolation has consequences that may affect the lifestyle-related behavior of the general population. Quarantine encompasses a range of strategies that can be used to detain, isolate, or conditionally release individuals or populations infected or exposed to contagious diseases and should be tailored to circumstances. Interestingly, medical students may represent an example of how the COVID-19 pandemic can form new habits and change lifestyle behaviors. We conducted a web-based survey to assess changes in lifestyle-related behavior of self-isolated medical students during the COVID-19 pandemic. Then we analyzed the sanitary-hygienic regulations of the Russian Federation to determine the requirements for healthy buildings. Results showed that during the pandemic, the enforcement of isolation affects medical students' lifestyle-related behavior and accompanies an increase in non-communicable diseases (NCDs). Indoor environmental quality (IEQ) and healthy buildings are cutting-edge factors in preventing COVID-19 and NCDs. The Russian sanitary-hygienic regulations support improving this factor with suitable requirements for ventilation, sewage, waste management, and disinfection. Herein, assessing isolation is possible through the hygienic self-isolation index.</t>
        </is>
      </c>
      <c r="X601" t="inlineStr">
        <is>
          <t>[Reshetnikov, Vladimir; Mikhailovsky, Victor; Mikerova, Maria; Yakushina, Irina; Royuk, Valery] IM Sechenov First Moscow State Med Univ, NA Semashko Dept Publ Hlth &amp; Healthcare, Bld 2,2 Bolshaya Pirogovskaya Str, Moscow 119435, Russia; [Mitrokhin, Oleg; Belova, Elena; Alsaegh, Ali] IM Sechenov First Moscow State Med Univ, Dept Gen Hyg, Bld 2,2 Bolshaya Pirogovskaya Str, Moscow 119435, Russia</t>
        </is>
      </c>
      <c r="Y601" t="inlineStr">
        <is>
          <t>Sechenov First Moscow State Medical University; Sechenov First Moscow State Medical University</t>
        </is>
      </c>
      <c r="Z601" t="inlineStr">
        <is>
          <t>Alsaegh, A (corresponding author), IM Sechenov First Moscow State Med Univ, Dept Gen Hyg, Bld 2,2 Bolshaya Pirogovskaya Str, Moscow 119435, Russia.</t>
        </is>
      </c>
      <c r="AA601" t="inlineStr">
        <is>
          <t>resh1960@mail.ru; mov1163@yandex.ru; ms.ekochina@mail.ru; buzzdoc@yandex.ru; masha-med@mail.ru; ali0alsaegh@gmail.com; yakushina_i_i@staff.sechenov.ru; vvroyuk@mail.ru</t>
        </is>
      </c>
      <c r="AB601" t="inlineStr">
        <is>
          <t>Mitrokhin, Oleg/AAQ-1992-2021; Mikerova, Maria S/B-1762-2017; Belova, Elena/ABE-4753-2021; Alsaegh, Ali/AAS-7024-2021; Reshetnikov, Vladimir A/P-2353-2015</t>
        </is>
      </c>
      <c r="AC601" t="inlineStr">
        <is>
          <t>Mitrokhin, Oleg/0000-0002-6403-0423; Mikerova, Maria S/0000-0003-2718-1895; Alsaegh, Ali/0000-0002-4737-9498; Reshetnikov, Vladimir/0000-0002-7853-7356; Belova, Elena/0000-0002-2134-6348</t>
        </is>
      </c>
      <c r="AH601" t="n">
        <v>48</v>
      </c>
      <c r="AI601" t="n">
        <v>7</v>
      </c>
      <c r="AJ601" t="n">
        <v>7</v>
      </c>
      <c r="AK601" t="n">
        <v>1</v>
      </c>
      <c r="AL601" t="n">
        <v>20</v>
      </c>
      <c r="AM601" t="inlineStr">
        <is>
          <t>MDPI</t>
        </is>
      </c>
      <c r="AN601" t="inlineStr">
        <is>
          <t>BASEL</t>
        </is>
      </c>
      <c r="AO601" t="inlineStr">
        <is>
          <t>ST ALBAN-ANLAGE 66, CH-4052 BASEL, SWITZERLAND</t>
        </is>
      </c>
      <c r="AQ601" t="inlineStr">
        <is>
          <t>1660-4601</t>
        </is>
      </c>
      <c r="AS601" t="inlineStr">
        <is>
          <t>INT J ENV RES PUB HE</t>
        </is>
      </c>
      <c r="AT601" t="inlineStr">
        <is>
          <t>Int. J. Environ. Res. Public Health</t>
        </is>
      </c>
      <c r="AU601" t="inlineStr">
        <is>
          <t>JUN</t>
        </is>
      </c>
      <c r="AV601" t="n">
        <v>2021</v>
      </c>
      <c r="AW601" t="n">
        <v>18</v>
      </c>
      <c r="AX601" t="n">
        <v>11</v>
      </c>
      <c r="BE601" t="n">
        <v>5975</v>
      </c>
      <c r="BF601" t="inlineStr">
        <is>
          <t>10.3390/ijerph18115975</t>
        </is>
      </c>
      <c r="BG601">
        <f>HYPERLINK("http://dx.doi.org/10.3390/ijerph18115975","http://dx.doi.org/10.3390/ijerph18115975")</f>
        <v/>
      </c>
      <c r="BJ601" t="n">
        <v>9</v>
      </c>
      <c r="BK601" t="inlineStr">
        <is>
          <t>Environmental Sciences; Public, Environmental &amp; Occupational Health</t>
        </is>
      </c>
      <c r="BL601" t="inlineStr">
        <is>
          <t>Science Citation Index Expanded (SCI-EXPANDED); Social Science Citation Index (SSCI)</t>
        </is>
      </c>
      <c r="BM601" t="inlineStr">
        <is>
          <t>Environmental Sciences &amp; Ecology; Public, Environmental &amp; Occupational Health</t>
        </is>
      </c>
      <c r="BN601" t="inlineStr">
        <is>
          <t>SP9XS</t>
        </is>
      </c>
      <c r="BO601" t="n">
        <v>34199589</v>
      </c>
      <c r="BP601" t="inlineStr">
        <is>
          <t>Green Published, gold</t>
        </is>
      </c>
      <c r="BS601" t="inlineStr">
        <is>
          <t>2023-10-26</t>
        </is>
      </c>
      <c r="BT601" t="inlineStr">
        <is>
          <t>WOS:000660016600001</t>
        </is>
      </c>
      <c r="BU601">
        <f>HYPERLINK("https%3A%2F%2Fwww.webofscience.com%2Fwos%2Fwoscc%2Ffull-record%2FWOS:000660016600001","View Full Record in Web of Science")</f>
        <v/>
      </c>
    </row>
    <row r="602">
      <c r="A602" t="inlineStr">
        <is>
          <t>J</t>
        </is>
      </c>
      <c r="B602" t="inlineStr">
        <is>
          <t>Sun, ZW; Lai, KY; Bell, S; Scott, I; Zhang, XM</t>
        </is>
      </c>
      <c r="F602" t="inlineStr">
        <is>
          <t>Sun, Ziwen; Lai, Ka Yan; Bell, Simon; Scott, Iain; Zhang, Xiaomeng</t>
        </is>
      </c>
      <c r="J602" t="inlineStr">
        <is>
          <t>INTERNATIONAL JOURNAL OF ENVIRONMENTAL RESEARCH AND PUBLIC HEALTH</t>
        </is>
      </c>
      <c r="M602" t="inlineStr">
        <is>
          <t>English</t>
        </is>
      </c>
      <c r="N602" t="inlineStr">
        <is>
          <t>Article</t>
        </is>
      </c>
      <c r="T602" t="inlineStr">
        <is>
          <t>Exploring the Associations of Walking Behavior with Neighborhood Environments by Different Life Stages: A Cross-Sectional Study in a Smaller Chinese City</t>
        </is>
      </c>
      <c r="U602" t="inlineStr">
        <is>
          <t>walkability; age-spatial separation; everyday life; neighborhood environment; smaller Chinese cities</t>
        </is>
      </c>
      <c r="V602" t="inlineStr">
        <is>
          <t>QUALITY-OF-LIFE; PHYSICAL-ACTIVITY; WALKABILITY SCALE; BUILT ENVIRONMENT; HEALTH; CITIES; INEQUALITIES; RELIABILITY; ATTRIBUTES; VALIDITY</t>
        </is>
      </c>
      <c r="W602" t="inlineStr">
        <is>
          <t>Because of high population density and rapid urbanization, different human life stages have distinct growth experiences, leading to different lifestyles and age-spatial separation in the same neighborhood environment, particularly in smaller Chinese cities. The relationship of environment to physical activity may differ from western or larger Chinese cities. This study examined the associations of walking duration to the neighborhood environment and other factors, and explored the nuances of walking behavior for different life stages of adults in a smaller Chinese city, Yuncheng. An interviewer-administered questionnaire survey (n = 173) and face-to-face interviews (n = 19) were conducted in August 2017. Descriptive analysis and multiple linear regression were performed to describe walking motivations, sociodemographic characteristics, neighborhood environments, and their impacts on walking duration across three life stages. The quantitative findings were followed by interviews to validate and interpret them. Our results showed no positive associations of land-use mix (LUM) and residential density on walking duration, and even inverse associations of LUM-recreation and LUM-education for specific life stages were identified. Younger people's walking behavior was more related to consumption amenities distinct from those of older people. Our findings suggest that using walkable neighborhood policies (e.g., high residential density and land-use mix) to increase physical activity might be ineffective in smaller Chinese cities.</t>
        </is>
      </c>
      <c r="X602" t="inlineStr">
        <is>
          <t>[Sun, Ziwen; Bell, Simon; Scott, Iain] Univ Edinburgh, Edinburgh Sch Architecture &amp; Landscape Architectu, OPENspace Res Ctr, Edinburgh EH1 2LE, Midlothian, Scotland; [Lai, Ka Yan] Univ Hong Kong, HKUrbanLab, Hlth High Dens Cities Lab, Pok Fu Lam, Hong Kong, Peoples R China; [Bell, Simon] Estonian Univ Life Sci, Dept Landscape Architecture, EE-51014 Tartu, Estonia; [Zhang, Xiaomeng] Univ Edinburgh, Usher Inst, Ctr Global Hlth, Edinburgh EH8 9AG, Midlothian, Scotland</t>
        </is>
      </c>
      <c r="Y602" t="inlineStr">
        <is>
          <t>University of Edinburgh; University of Hong Kong; Estonian University of Life Sciences; University of Edinburgh</t>
        </is>
      </c>
      <c r="Z602" t="inlineStr">
        <is>
          <t>Sun, ZW (corresponding author), Univ Edinburgh, Edinburgh Sch Architecture &amp; Landscape Architectu, OPENspace Res Ctr, Edinburgh EH1 2LE, Midlothian, Scotland.</t>
        </is>
      </c>
      <c r="AA602" t="inlineStr">
        <is>
          <t>ziwen.sun@ed.ac.uk; laikyy@hku.hk; s.bell@ed.ac.uk; iain.scott@ed.ac.uk; xiaomeng.zhang@ed.ac.uk</t>
        </is>
      </c>
      <c r="AB602" t="inlineStr">
        <is>
          <t>Sun, Ziwen/GZL-2141-2022</t>
        </is>
      </c>
      <c r="AC602" t="inlineStr">
        <is>
          <t>Sun, Ziwen/0000-0002-1900-4648; Lai, Ka Yan/0000-0002-0764-244X</t>
        </is>
      </c>
      <c r="AD602" t="inlineStr">
        <is>
          <t>China Scholarship Council [201608060149]; China Ministry of Housing and Urban-Rural Development [K22018130]; Henry Lester Trust; Great Britain-China Educational Trust</t>
        </is>
      </c>
      <c r="AE602" t="inlineStr">
        <is>
          <t>China Scholarship Council(China Scholarship Council); China Ministry of Housing and Urban-Rural Development; Henry Lester Trust; Great Britain-China Educational Trust</t>
        </is>
      </c>
      <c r="AF602" t="inlineStr">
        <is>
          <t>This research was supported by the China Scholarship Council, grant number 201608060149; China Ministry of Housing and Urban-Rural Development, grant number K22018130; Tweedie Exploration Fellowship; Henry Lester Trust and; Great Britain-China Educational Trust.</t>
        </is>
      </c>
      <c r="AH602" t="n">
        <v>60</v>
      </c>
      <c r="AI602" t="n">
        <v>10</v>
      </c>
      <c r="AJ602" t="n">
        <v>10</v>
      </c>
      <c r="AK602" t="n">
        <v>6</v>
      </c>
      <c r="AL602" t="n">
        <v>34</v>
      </c>
      <c r="AM602" t="inlineStr">
        <is>
          <t>MDPI</t>
        </is>
      </c>
      <c r="AN602" t="inlineStr">
        <is>
          <t>BASEL</t>
        </is>
      </c>
      <c r="AO602" t="inlineStr">
        <is>
          <t>ST ALBAN-ANLAGE 66, CH-4052 BASEL, SWITZERLAND</t>
        </is>
      </c>
      <c r="AP602" t="inlineStr">
        <is>
          <t>1661-7827</t>
        </is>
      </c>
      <c r="AQ602" t="inlineStr">
        <is>
          <t>1660-4601</t>
        </is>
      </c>
      <c r="AS602" t="inlineStr">
        <is>
          <t>INT J ENV RES PUB HE</t>
        </is>
      </c>
      <c r="AT602" t="inlineStr">
        <is>
          <t>Int. J. Environ. Res. Public Health</t>
        </is>
      </c>
      <c r="AU602" t="inlineStr">
        <is>
          <t>JAN</t>
        </is>
      </c>
      <c r="AV602" t="n">
        <v>2020</v>
      </c>
      <c r="AW602" t="n">
        <v>17</v>
      </c>
      <c r="AX602" t="n">
        <v>1</v>
      </c>
      <c r="BE602" t="n">
        <v>237</v>
      </c>
      <c r="BF602" t="inlineStr">
        <is>
          <t>10.3390/ijerph17010237</t>
        </is>
      </c>
      <c r="BG602">
        <f>HYPERLINK("http://dx.doi.org/10.3390/ijerph17010237","http://dx.doi.org/10.3390/ijerph17010237")</f>
        <v/>
      </c>
      <c r="BJ602" t="n">
        <v>16</v>
      </c>
      <c r="BK602" t="inlineStr">
        <is>
          <t>Environmental Sciences; Public, Environmental &amp; Occupational Health</t>
        </is>
      </c>
      <c r="BL602" t="inlineStr">
        <is>
          <t>Science Citation Index Expanded (SCI-EXPANDED); Social Science Citation Index (SSCI)</t>
        </is>
      </c>
      <c r="BM602" t="inlineStr">
        <is>
          <t>Environmental Sciences &amp; Ecology; Public, Environmental &amp; Occupational Health</t>
        </is>
      </c>
      <c r="BN602" t="inlineStr">
        <is>
          <t>KF7AG</t>
        </is>
      </c>
      <c r="BO602" t="n">
        <v>31905693</v>
      </c>
      <c r="BP602" t="inlineStr">
        <is>
          <t>Green Published, gold</t>
        </is>
      </c>
      <c r="BS602" t="inlineStr">
        <is>
          <t>2023-10-26</t>
        </is>
      </c>
      <c r="BT602" t="inlineStr">
        <is>
          <t>WOS:000509391500237</t>
        </is>
      </c>
      <c r="BU602">
        <f>HYPERLINK("https%3A%2F%2Fwww.webofscience.com%2Fwos%2Fwoscc%2Ffull-record%2FWOS:000509391500237","View Full Record in Web of Science")</f>
        <v/>
      </c>
    </row>
    <row r="603">
      <c r="A603" t="inlineStr">
        <is>
          <t>J</t>
        </is>
      </c>
      <c r="B603" t="inlineStr">
        <is>
          <t>Liu, XP; Peng, Z; Liu, XH; Zhou, R</t>
        </is>
      </c>
      <c r="F603" t="inlineStr">
        <is>
          <t>Liu, Xiaoping; Peng, Zhen; Liu, Xianghua; Zhou, Rui</t>
        </is>
      </c>
      <c r="J603" t="inlineStr">
        <is>
          <t>INTERNATIONAL JOURNAL OF ENVIRONMENTAL RESEARCH AND PUBLIC HEALTH</t>
        </is>
      </c>
      <c r="M603" t="inlineStr">
        <is>
          <t>English</t>
        </is>
      </c>
      <c r="N603" t="inlineStr">
        <is>
          <t>Article</t>
        </is>
      </c>
      <c r="T603" t="inlineStr">
        <is>
          <t>Dispersion Characteristics of Hazardous Gas and Exposure Risk Assessment in a Multiroom Building Environment</t>
        </is>
      </c>
      <c r="U603" t="inlineStr">
        <is>
          <t>accidental leakage; multiroom building; concentration distribution; risk assessment; computational fluid dynamics (CFD)</t>
        </is>
      </c>
      <c r="V603" t="inlineStr">
        <is>
          <t>INDOOR AIR-QUALITY; NATURAL VENTILATION; CROSS-VENTILATION; CFD SIMULATION; FLOW; VALIDATION; TRANSPORT; POLLUTION; OPENINGS; DRIVEN</t>
        </is>
      </c>
      <c r="W603" t="inlineStr">
        <is>
          <t>The leakage of hazardous chemicals during storage and transport processes is a kind of commonly occurring accident that can pose a serious threat to people's lives and property. This paper aims to investigate the airflow and dispersion characteristics of hazardous gas around a multiroom building, and evaluate the corresponding exposure risks. The effects on indoor air quality (IAQ) when polluted air enters a room under different indoor and external conditions were examined by using a computational fluid dynamics technique. First, the numerical model established herein was verified by the available wind-tunnel experimental data, and acceptable agreement was found between the predicted and measured velocities. Subsequently, the effects of different natural ventilation paths, wall porosities and outdoor pollutant source characteristics on the airflow and contaminant distribution were evaluated. The study not only reveals the airflow pattern and concentration distribution in indoor spaces under different natural ventilation conditions but also quantitatively analyzes the relationship between the probability of death and the corresponding source strength under the circumstance of pollutant leakage near a building. The results can be useful for the prevention and control of hazardous chemical gas leakages and provide some guidance on evacuation after an accidental or routine leakage.</t>
        </is>
      </c>
      <c r="X603" t="inlineStr">
        <is>
          <t>[Liu, Xiaoping; Peng, Zhen; Liu, Xianghua] Hefei Univ Technol, Coll Civil Engn, Hefei 230009, Peoples R China; [Zhou, Rui] Tsinghua Univ, Inst Publ Safety Res, Dept Engn Phys, Beijing 100084, Peoples R China</t>
        </is>
      </c>
      <c r="Y603" t="inlineStr">
        <is>
          <t>Hefei University of Technology; Tsinghua University</t>
        </is>
      </c>
      <c r="Z603" t="inlineStr">
        <is>
          <t>Zhou, R (corresponding author), Tsinghua Univ, Inst Publ Safety Res, Dept Engn Phys, Beijing 100084, Peoples R China.</t>
        </is>
      </c>
      <c r="AA603" t="inlineStr">
        <is>
          <t>liuxp@hfut.edu.cn; zpeng328@163.com; liuxianghua@hfut.edu.cn; zhour@tsinghua.edu.cn</t>
        </is>
      </c>
      <c r="AC603" t="inlineStr">
        <is>
          <t>Zhou, Rui/0000-0002-3106-0968; Liu, X.P./0000-0002-8935-8580</t>
        </is>
      </c>
      <c r="AD603" t="inlineStr">
        <is>
          <t>National Key R&amp;D Program of China [2018YFC0810600]; National Natural Science Foundation of China [71603146, 91646101]</t>
        </is>
      </c>
      <c r="AE603" t="inlineStr">
        <is>
          <t>National Key R&amp;D Program of China; National Natural Science Foundation of China(National Natural Science Foundation of China (NSFC))</t>
        </is>
      </c>
      <c r="AF603" t="inlineStr">
        <is>
          <t>This work is supported by National Key R&amp;D Program of China (No. 2018YFC0810600) and National Natural Science Foundation of China (Grant No. 71603146, No.91646101).</t>
        </is>
      </c>
      <c r="AH603" t="n">
        <v>46</v>
      </c>
      <c r="AI603" t="n">
        <v>10</v>
      </c>
      <c r="AJ603" t="n">
        <v>10</v>
      </c>
      <c r="AK603" t="n">
        <v>3</v>
      </c>
      <c r="AL603" t="n">
        <v>38</v>
      </c>
      <c r="AM603" t="inlineStr">
        <is>
          <t>MDPI</t>
        </is>
      </c>
      <c r="AN603" t="inlineStr">
        <is>
          <t>BASEL</t>
        </is>
      </c>
      <c r="AO603" t="inlineStr">
        <is>
          <t>ST ALBAN-ANLAGE 66, CH-4052 BASEL, SWITZERLAND</t>
        </is>
      </c>
      <c r="AP603" t="inlineStr">
        <is>
          <t>1661-7827</t>
        </is>
      </c>
      <c r="AQ603" t="inlineStr">
        <is>
          <t>1660-4601</t>
        </is>
      </c>
      <c r="AS603" t="inlineStr">
        <is>
          <t>INT J ENV RES PUB HE</t>
        </is>
      </c>
      <c r="AT603" t="inlineStr">
        <is>
          <t>Int. J. Environ. Res. Public Health</t>
        </is>
      </c>
      <c r="AU603" t="inlineStr">
        <is>
          <t>JAN</t>
        </is>
      </c>
      <c r="AV603" t="n">
        <v>2020</v>
      </c>
      <c r="AW603" t="n">
        <v>17</v>
      </c>
      <c r="AX603" t="n">
        <v>1</v>
      </c>
      <c r="BE603" t="n">
        <v>199</v>
      </c>
      <c r="BF603" t="inlineStr">
        <is>
          <t>10.3390/ijerph17010199</t>
        </is>
      </c>
      <c r="BG603">
        <f>HYPERLINK("http://dx.doi.org/10.3390/ijerph17010199","http://dx.doi.org/10.3390/ijerph17010199")</f>
        <v/>
      </c>
      <c r="BJ603" t="n">
        <v>18</v>
      </c>
      <c r="BK603" t="inlineStr">
        <is>
          <t>Environmental Sciences; Public, Environmental &amp; Occupational Health</t>
        </is>
      </c>
      <c r="BL603" t="inlineStr">
        <is>
          <t>Science Citation Index Expanded (SCI-EXPANDED); Social Science Citation Index (SSCI)</t>
        </is>
      </c>
      <c r="BM603" t="inlineStr">
        <is>
          <t>Environmental Sciences &amp; Ecology; Public, Environmental &amp; Occupational Health</t>
        </is>
      </c>
      <c r="BN603" t="inlineStr">
        <is>
          <t>KF7AG</t>
        </is>
      </c>
      <c r="BO603" t="n">
        <v>31892176</v>
      </c>
      <c r="BP603" t="inlineStr">
        <is>
          <t>gold, Green Published</t>
        </is>
      </c>
      <c r="BS603" t="inlineStr">
        <is>
          <t>2023-10-26</t>
        </is>
      </c>
      <c r="BT603" t="inlineStr">
        <is>
          <t>WOS:000509391500199</t>
        </is>
      </c>
      <c r="BU603">
        <f>HYPERLINK("https%3A%2F%2Fwww.webofscience.com%2Fwos%2Fwoscc%2Ffull-record%2FWOS:000509391500199","View Full Record in Web of Science")</f>
        <v/>
      </c>
    </row>
    <row r="604">
      <c r="A604" t="inlineStr">
        <is>
          <t>J</t>
        </is>
      </c>
      <c r="B604" t="inlineStr">
        <is>
          <t>Park, S; Seo, J</t>
        </is>
      </c>
      <c r="F604" t="inlineStr">
        <is>
          <t>Park, Seonghyun; Seo, Janghoo</t>
        </is>
      </c>
      <c r="J604" t="inlineStr">
        <is>
          <t>INTERNATIONAL JOURNAL OF ENVIRONMENTAL RESEARCH AND PUBLIC HEALTH</t>
        </is>
      </c>
      <c r="M604" t="inlineStr">
        <is>
          <t>English</t>
        </is>
      </c>
      <c r="N604" t="inlineStr">
        <is>
          <t>Article</t>
        </is>
      </c>
      <c r="T604" t="inlineStr">
        <is>
          <t>Optimum Installation of Sorptive Building Materials Using Contribution Ratio of Pollution Source for Improvement of Indoor Air Quality</t>
        </is>
      </c>
      <c r="U604" t="inlineStr">
        <is>
          <t>optimum installation; sorptive building materials; contribution ratio of pollution source; indoor air quality</t>
        </is>
      </c>
      <c r="V604" t="inlineStr">
        <is>
          <t>CFD ANALYSIS; PERFORMANCE; VENTILATION</t>
        </is>
      </c>
      <c r="W604" t="inlineStr">
        <is>
          <t>Reinforcing the insulation and airtightness of buildings and the use of building materials containing new chemical substances have caused indoor air quality problems. Use of sorptive building materials along with removal of pollutants, constant ventilation, bake-out, etc. are gaining attention in Korea and Japan as methods for improving such indoor air quality problems. On the other hand, sorptive building materials are considered a passive method of reducing the concentration of pollutants, and their application should be reviewed in the early stages. Thus, in this research, activated carbon was prepared as a sorptive building material. Then, computational fluid dynamics (CFD) was conducted, and a method for optimal installation of sorptive building materials was derived according to the indoor environment using the contribution ratio of pollution source (CRP) index. The results show that a method for optimal installation of sorptive building materials can be derived by predicting the contribution ratio of pollutant sources according to the CRP index.</t>
        </is>
      </c>
      <c r="X604" t="inlineStr">
        <is>
          <t>[Park, Seonghyun] Kookmin Univ, Grad Sch Architecture, Seoul 02707, South Korea; [Seo, Janghoo] Kookmin Univ, Sch Architecture, Seoul 02707, South Korea</t>
        </is>
      </c>
      <c r="Y604" t="inlineStr">
        <is>
          <t>Kookmin University; Kookmin University</t>
        </is>
      </c>
      <c r="Z604" t="inlineStr">
        <is>
          <t>Seo, J (corresponding author), Kookmin Univ, Sch Architecture, Seoul 02707, South Korea.</t>
        </is>
      </c>
      <c r="AA604" t="inlineStr">
        <is>
          <t>park4mm@nate.com; seojh@kookmin.ac.kr</t>
        </is>
      </c>
      <c r="AD604" t="inlineStr">
        <is>
          <t>National Research Foundation of Korea (NRF) - Korean government [NRF-2013R1A2A2A01007787, NRF-2015R1C1A1A01052784]</t>
        </is>
      </c>
      <c r="AE604" t="inlineStr">
        <is>
          <t>National Research Foundation of Korea (NRF) - Korean government</t>
        </is>
      </c>
      <c r="AF604" t="inlineStr">
        <is>
          <t>This work was supported by a National Research Foundation of Korea (NRF) grant funded by the Korean government (NRF-2013R1A2A2A01007787, NRF-2015R1C1A1A01052784).</t>
        </is>
      </c>
      <c r="AH604" t="n">
        <v>10</v>
      </c>
      <c r="AI604" t="n">
        <v>4</v>
      </c>
      <c r="AJ604" t="n">
        <v>4</v>
      </c>
      <c r="AK604" t="n">
        <v>0</v>
      </c>
      <c r="AL604" t="n">
        <v>12</v>
      </c>
      <c r="AM604" t="inlineStr">
        <is>
          <t>MDPI AG</t>
        </is>
      </c>
      <c r="AN604" t="inlineStr">
        <is>
          <t>BASEL</t>
        </is>
      </c>
      <c r="AO604" t="inlineStr">
        <is>
          <t>POSTFACH, CH-4005 BASEL, SWITZERLAND</t>
        </is>
      </c>
      <c r="AP604" t="inlineStr">
        <is>
          <t>1660-4601</t>
        </is>
      </c>
      <c r="AS604" t="inlineStr">
        <is>
          <t>INT J ENV RES PUB HE</t>
        </is>
      </c>
      <c r="AT604" t="inlineStr">
        <is>
          <t>Int. J. Environ. Res. Public Health</t>
        </is>
      </c>
      <c r="AU604" t="inlineStr">
        <is>
          <t>APR</t>
        </is>
      </c>
      <c r="AV604" t="n">
        <v>2016</v>
      </c>
      <c r="AW604" t="n">
        <v>13</v>
      </c>
      <c r="AX604" t="n">
        <v>4</v>
      </c>
      <c r="BE604" t="n">
        <v>396</v>
      </c>
      <c r="BF604" t="inlineStr">
        <is>
          <t>10.3390/ijerph13040396</t>
        </is>
      </c>
      <c r="BG604">
        <f>HYPERLINK("http://dx.doi.org/10.3390/ijerph13040396","http://dx.doi.org/10.3390/ijerph13040396")</f>
        <v/>
      </c>
      <c r="BJ604" t="n">
        <v>9</v>
      </c>
      <c r="BK604" t="inlineStr">
        <is>
          <t>Environmental Sciences; Public, Environmental &amp; Occupational Health</t>
        </is>
      </c>
      <c r="BL604" t="inlineStr">
        <is>
          <t>Science Citation Index Expanded (SCI-EXPANDED)</t>
        </is>
      </c>
      <c r="BM604" t="inlineStr">
        <is>
          <t>Environmental Sciences &amp; Ecology; Public, Environmental &amp; Occupational Health</t>
        </is>
      </c>
      <c r="BN604" t="inlineStr">
        <is>
          <t>DK9DR</t>
        </is>
      </c>
      <c r="BO604" t="n">
        <v>27043605</v>
      </c>
      <c r="BP604" t="inlineStr">
        <is>
          <t>Green Published, Green Submitted, gold</t>
        </is>
      </c>
      <c r="BS604" t="inlineStr">
        <is>
          <t>2023-10-26</t>
        </is>
      </c>
      <c r="BT604" t="inlineStr">
        <is>
          <t>WOS:000375231300044</t>
        </is>
      </c>
      <c r="BU604">
        <f>HYPERLINK("https%3A%2F%2Fwww.webofscience.com%2Fwos%2Fwoscc%2Ffull-record%2FWOS:000375231300044","View Full Record in Web of Science")</f>
        <v/>
      </c>
    </row>
    <row r="605">
      <c r="A605" t="inlineStr">
        <is>
          <t>J</t>
        </is>
      </c>
      <c r="B605" t="inlineStr">
        <is>
          <t>Lee, L; Maher, ML</t>
        </is>
      </c>
      <c r="F605" t="inlineStr">
        <is>
          <t>Lee, Lina; Maher, Mary Lou</t>
        </is>
      </c>
      <c r="J605" t="inlineStr">
        <is>
          <t>INTERNATIONAL JOURNAL OF ENVIRONMENTAL RESEARCH AND PUBLIC HEALTH</t>
        </is>
      </c>
      <c r="M605" t="inlineStr">
        <is>
          <t>English</t>
        </is>
      </c>
      <c r="N605" t="inlineStr">
        <is>
          <t>Article</t>
        </is>
      </c>
      <c r="T605" t="inlineStr">
        <is>
          <t>Factors Affecting the Initial Engagement of Older Adults in the Use of Interactive Technology</t>
        </is>
      </c>
      <c r="U605" t="inlineStr">
        <is>
          <t>engagement; older adults; technology; empirical studies</t>
        </is>
      </c>
      <c r="V605" t="inlineStr">
        <is>
          <t>PHYSICAL-ACTIVITY; INFORMATION-TECHNOLOGY; ACCEPTANCE; ADOPTION; INNOVATION; ATTITUDES; YOUNGER; FALLS; WELL</t>
        </is>
      </c>
      <c r="W605" t="inlineStr">
        <is>
          <t>Smart environments and the use of interactive technology has the potential to improve the quality of life for the senior community as well as to support the connections among the senior community and the world outside their community. In addition to the increasing number of studies in the field of aging and technologies, research is needed to understand the practical issues of user focus, adoption, and engagement for older adults to accept interactive technologies in their lives. In this study, we use two commercial technological interventions (uDraw and GrandPad) to understand technology-related perceptions and behaviors of older adults. We present five case studies that emerge from empirical observations of initial engagement with technology through research methods such as focus group discussions, in-depth interviews, observations, and diary studies. The contributions of this study are identification of the key factors that influence the initial engagement with interactive technology for older adults.</t>
        </is>
      </c>
      <c r="X605" t="inlineStr">
        <is>
          <t>[Lee, Lina; Maher, Mary Lou] Univ N Carolina, Dept Software &amp; Informat Syst, Charlotte, NC 28223 USA</t>
        </is>
      </c>
      <c r="Y605" t="inlineStr">
        <is>
          <t>University of North Carolina; University of North Carolina Charlotte</t>
        </is>
      </c>
      <c r="Z605" t="inlineStr">
        <is>
          <t>Lee, L (corresponding author), Univ N Carolina, Dept Software &amp; Informat Syst, Charlotte, NC 28223 USA.</t>
        </is>
      </c>
      <c r="AA605" t="inlineStr">
        <is>
          <t>llee52@uncc.edu; m.maher@uncc.edu</t>
        </is>
      </c>
      <c r="AC605" t="inlineStr">
        <is>
          <t>Maher, Mary Lou/0000-0002-4150-0322; Lee, Lina/0000-0003-2345-6206</t>
        </is>
      </c>
      <c r="AD605" t="inlineStr">
        <is>
          <t>Graduate Assistant Support Program (GASP) at UNCC; Department of Software and Information Systems at UNCC</t>
        </is>
      </c>
      <c r="AE605" t="inlineStr">
        <is>
          <t>Graduate Assistant Support Program (GASP) at UNCC; Department of Software and Information Systems at UNCC</t>
        </is>
      </c>
      <c r="AF605" t="inlineStr">
        <is>
          <t>The researcher was funded by a Graduate Assistant Support Program (GASP) at UNCC, and the Department of Software and Information Systems at UNCC provided the funds for the Grandpad subscriptions.</t>
        </is>
      </c>
      <c r="AH605" t="n">
        <v>82</v>
      </c>
      <c r="AI605" t="n">
        <v>7</v>
      </c>
      <c r="AJ605" t="n">
        <v>7</v>
      </c>
      <c r="AK605" t="n">
        <v>2</v>
      </c>
      <c r="AL605" t="n">
        <v>20</v>
      </c>
      <c r="AM605" t="inlineStr">
        <is>
          <t>MDPI</t>
        </is>
      </c>
      <c r="AN605" t="inlineStr">
        <is>
          <t>BASEL</t>
        </is>
      </c>
      <c r="AO605" t="inlineStr">
        <is>
          <t>ST ALBAN-ANLAGE 66, CH-4052 BASEL, SWITZERLAND</t>
        </is>
      </c>
      <c r="AQ605" t="inlineStr">
        <is>
          <t>1660-4601</t>
        </is>
      </c>
      <c r="AS605" t="inlineStr">
        <is>
          <t>INT J ENV RES PUB HE</t>
        </is>
      </c>
      <c r="AT605" t="inlineStr">
        <is>
          <t>Int. J. Environ. Res. Public Health</t>
        </is>
      </c>
      <c r="AU605" t="inlineStr">
        <is>
          <t>MAR</t>
        </is>
      </c>
      <c r="AV605" t="n">
        <v>2021</v>
      </c>
      <c r="AW605" t="n">
        <v>18</v>
      </c>
      <c r="AX605" t="n">
        <v>6</v>
      </c>
      <c r="BE605" t="n">
        <v>2847</v>
      </c>
      <c r="BF605" t="inlineStr">
        <is>
          <t>10.3390/ijerph18062847</t>
        </is>
      </c>
      <c r="BG605">
        <f>HYPERLINK("http://dx.doi.org/10.3390/ijerph18062847","http://dx.doi.org/10.3390/ijerph18062847")</f>
        <v/>
      </c>
      <c r="BJ605" t="n">
        <v>22</v>
      </c>
      <c r="BK605" t="inlineStr">
        <is>
          <t>Environmental Sciences; Public, Environmental &amp; Occupational Health</t>
        </is>
      </c>
      <c r="BL605" t="inlineStr">
        <is>
          <t>Science Citation Index Expanded (SCI-EXPANDED); Social Science Citation Index (SSCI)</t>
        </is>
      </c>
      <c r="BM605" t="inlineStr">
        <is>
          <t>Environmental Sciences &amp; Ecology; Public, Environmental &amp; Occupational Health</t>
        </is>
      </c>
      <c r="BN605" t="inlineStr">
        <is>
          <t>RL8LC</t>
        </is>
      </c>
      <c r="BO605" t="n">
        <v>33799568</v>
      </c>
      <c r="BP605" t="inlineStr">
        <is>
          <t>Green Published, gold</t>
        </is>
      </c>
      <c r="BS605" t="inlineStr">
        <is>
          <t>2023-10-26</t>
        </is>
      </c>
      <c r="BT605" t="inlineStr">
        <is>
          <t>WOS:000639216400001</t>
        </is>
      </c>
      <c r="BU605">
        <f>HYPERLINK("https%3A%2F%2Fwww.webofscience.com%2Fwos%2Fwoscc%2Ffull-record%2FWOS:000639216400001","View Full Record in Web of Science")</f>
        <v/>
      </c>
    </row>
    <row r="606">
      <c r="A606" t="inlineStr">
        <is>
          <t>J</t>
        </is>
      </c>
      <c r="B606" t="inlineStr">
        <is>
          <t>Brustio, PR; Mulasso, A; D'Emanuele, S; Zia, G; Feletti, L; Del Signore, S; Rainoldi, A</t>
        </is>
      </c>
      <c r="F606" t="inlineStr">
        <is>
          <t>Brustio, Paolo Riccardo; Mulasso, Anna; D'Emanuele, Samuel; Zia, Gianluca; Feletti, Luca; Del Signore, Susanna; Rainoldi, Alberto</t>
        </is>
      </c>
      <c r="J606" t="inlineStr">
        <is>
          <t>INTERNATIONAL JOURNAL OF ENVIRONMENTAL RESEARCH AND PUBLIC HEALTH</t>
        </is>
      </c>
      <c r="M606" t="inlineStr">
        <is>
          <t>English</t>
        </is>
      </c>
      <c r="N606" t="inlineStr">
        <is>
          <t>Article</t>
        </is>
      </c>
      <c r="T606" t="inlineStr">
        <is>
          <t>Indoor Mobility, Frailty, and Disability in Community-Dwelling Older Adults: A Mediation Model</t>
        </is>
      </c>
      <c r="U606" t="inlineStr">
        <is>
          <t>physical activity; walking; Adamo; physical frailty; ADL; active living; aged population</t>
        </is>
      </c>
      <c r="V606" t="inlineStr">
        <is>
          <t>QUALITY-OF-LIFE; PHYSICAL-ACTIVITY; SEDENTARY BEHAVIOR; PUBLIC-HEALTH; POPULATION; IMPAIRMENT; GUIDELINES; DECLINE; MARKERS; HOME</t>
        </is>
      </c>
      <c r="W606" t="inlineStr">
        <is>
          <t>The general population, but especially older adults, were forced or encouraged to stay home during the recent COVID-19 pandemic. In this context, indoor mobility (IM, the number of steps performed daily at home) may be informative about the general health status of older adults. The present study aimed at evaluating the relationship between IM, frailty (loss of functional reserve including both physical and psychosocial domains), and disability (loss of autonomy measured as activities of daily life, ADLs) in a sample of community-dwelling Italian older adults. Specifically, the primary objective was to investigate IM and disability differences between robust and frail older adults. The secondary objective was to test if frailty is in the causal sequence between IM and disability, i.e., as a mediator in their relationship. Thirty-two participants (mean age = 70 +/- 6 years; 56.2% women) were recruited. Frailty and disability were evaluated using the Tilburg Frailty Indicator and the Groningen Activity Restriction Scale, respectively. IM at home was measured via an Adamo wristwatch (a connected accelerometer). One-way analyses of covariance, controlling for age and gender, showed that robust participants, classified according to a score higher than five points in the Tilburg Frailty Indicator, performed significantly more IM (F-1,F-28 = 4.639; p = 0.04) and presented lower disability grade than frail ones (F-1,F-28 = 4.342; p =0.046). Only physical frailty was a mediator in the relationship between IM and disability (F-2,F-29 = 8.538, p &lt; 0.001), with a fully mediated model (z = -2.073, p &lt; 0.04). Conversely, the total frailty score was not a mediator in the same relationship, but with IM accounted for the variance in disability (F-2,F-29 = 8.538, p &lt; 0.001; R-2 = 33.7%). Our results suggested that frail older adults restricted their IM more and presented a higher level of disability compared to robust older adults. Moreover, data suggest that IM reduction may have a negative impact on physical frailty and indirectly increase disability.</t>
        </is>
      </c>
      <c r="X606" t="inlineStr">
        <is>
          <t>[Brustio, Paolo Riccardo; Mulasso, Anna; Rainoldi, Alberto] Univ Torino, Sch Exercise &amp; Sport Sci, Res Grp, NeuroMuscularFunct, I-10126 Turin, Italy; [Brustio, Paolo Riccardo; D'Emanuele, Samuel] Univ Verona, Dept Neurosci Biomed &amp; Movement, I-37124 Verona, Italy; [Brustio, Paolo Riccardo] Univ Torino, Dept Clin &amp; Biol Sci, I-10126 Turin, Italy; [Mulasso, Anna; Rainoldi, Alberto] Univ Torino, Dept Med Sci, I-10126 Turin, Italy; [Zia, Gianluca; Del Signore, Susanna] Bluecompanion Ltd, London NW8 9DD, England; [Feletti, Luca] Caretek Srl, I-10127 Turin, Italy</t>
        </is>
      </c>
      <c r="Y606" t="inlineStr">
        <is>
          <t>University of Turin; University of Verona; University of Turin; University of Turin</t>
        </is>
      </c>
      <c r="Z606" t="inlineStr">
        <is>
          <t>Brustio, PR (corresponding author), Univ Torino, Sch Exercise &amp; Sport Sci, Res Grp, NeuroMuscularFunct, I-10126 Turin, Italy.;Brustio, PR (corresponding author), Univ Verona, Dept Neurosci Biomed &amp; Movement, I-37124 Verona, Italy.;Brustio, PR (corresponding author), Univ Torino, Dept Clin &amp; Biol Sci, I-10126 Turin, Italy.</t>
        </is>
      </c>
      <c r="AA606" t="inlineStr">
        <is>
          <t>paoloriccardo.brustio@unito.it</t>
        </is>
      </c>
      <c r="AB606" t="inlineStr">
        <is>
          <t>D'Emanuele, Samuel/AGL-7525-2022</t>
        </is>
      </c>
      <c r="AC606" t="inlineStr">
        <is>
          <t>D'Emanuele, Samuel/0000-0001-6232-9870; Rainoldi, Alberto/0000-0003-4553-2898; BRUSTIO, PAOLO RICCARDO/0000-0001-8422-5132</t>
        </is>
      </c>
      <c r="AD606" t="inlineStr">
        <is>
          <t>Innovative Medicine Initiative (IMI) [115621]</t>
        </is>
      </c>
      <c r="AE606" t="inlineStr">
        <is>
          <t>Innovative Medicine Initiative (IMI)</t>
        </is>
      </c>
      <c r="AF606" t="inlineStr">
        <is>
          <t>This work was supported by the Innovative Medicine Initiative (IMI; 9th Call, 2013) with the SPRINTT (Sarcopenia &amp; physical frailty in older people: multi-component treatment strategies) project [grant number 115621]. There was no additional external funding received for this study.</t>
        </is>
      </c>
      <c r="AH606" t="n">
        <v>53</v>
      </c>
      <c r="AI606" t="n">
        <v>0</v>
      </c>
      <c r="AJ606" t="n">
        <v>0</v>
      </c>
      <c r="AK606" t="n">
        <v>0</v>
      </c>
      <c r="AL606" t="n">
        <v>3</v>
      </c>
      <c r="AM606" t="inlineStr">
        <is>
          <t>MDPI</t>
        </is>
      </c>
      <c r="AN606" t="inlineStr">
        <is>
          <t>BASEL</t>
        </is>
      </c>
      <c r="AO606" t="inlineStr">
        <is>
          <t>ST ALBAN-ANLAGE 66, CH-4052 BASEL, SWITZERLAND</t>
        </is>
      </c>
      <c r="AQ606" t="inlineStr">
        <is>
          <t>1660-4601</t>
        </is>
      </c>
      <c r="AS606" t="inlineStr">
        <is>
          <t>INT J ENV RES PUB HE</t>
        </is>
      </c>
      <c r="AT606" t="inlineStr">
        <is>
          <t>Int. J. Environ. Res. Public Health</t>
        </is>
      </c>
      <c r="AU606" t="inlineStr">
        <is>
          <t>SEP</t>
        </is>
      </c>
      <c r="AV606" t="n">
        <v>2022</v>
      </c>
      <c r="AW606" t="n">
        <v>19</v>
      </c>
      <c r="AX606" t="n">
        <v>18</v>
      </c>
      <c r="BE606" t="n">
        <v>11386</v>
      </c>
      <c r="BF606" t="inlineStr">
        <is>
          <t>10.3390/ijerph191811386</t>
        </is>
      </c>
      <c r="BG606">
        <f>HYPERLINK("http://dx.doi.org/10.3390/ijerph191811386","http://dx.doi.org/10.3390/ijerph191811386")</f>
        <v/>
      </c>
      <c r="BJ606" t="n">
        <v>11</v>
      </c>
      <c r="BK606" t="inlineStr">
        <is>
          <t>Environmental Sciences; Public, Environmental &amp; Occupational Health</t>
        </is>
      </c>
      <c r="BL606" t="inlineStr">
        <is>
          <t>Science Citation Index Expanded (SCI-EXPANDED); Social Science Citation Index (SSCI)</t>
        </is>
      </c>
      <c r="BM606" t="inlineStr">
        <is>
          <t>Environmental Sciences &amp; Ecology; Public, Environmental &amp; Occupational Health</t>
        </is>
      </c>
      <c r="BN606" t="inlineStr">
        <is>
          <t>4V5CV</t>
        </is>
      </c>
      <c r="BO606" t="n">
        <v>36141659</v>
      </c>
      <c r="BP606" t="inlineStr">
        <is>
          <t>gold, Green Published</t>
        </is>
      </c>
      <c r="BS606" t="inlineStr">
        <is>
          <t>2023-10-26</t>
        </is>
      </c>
      <c r="BT606" t="inlineStr">
        <is>
          <t>WOS:000859495500001</t>
        </is>
      </c>
      <c r="BU606">
        <f>HYPERLINK("https%3A%2F%2Fwww.webofscience.com%2Fwos%2Fwoscc%2Ffull-record%2FWOS:000859495500001","View Full Record in Web of Science")</f>
        <v/>
      </c>
    </row>
    <row r="607">
      <c r="A607" t="inlineStr">
        <is>
          <t>J</t>
        </is>
      </c>
      <c r="B607" t="inlineStr">
        <is>
          <t>Kim, UJ; Hong, M; Choi, YH</t>
        </is>
      </c>
      <c r="F607" t="inlineStr">
        <is>
          <t>Kim, Ui-Jin; Hong, Myeongjin; Choi, Yoon-Hyeong</t>
        </is>
      </c>
      <c r="J607" t="inlineStr">
        <is>
          <t>INTERNATIONAL JOURNAL OF ENVIRONMENTAL RESEARCH AND PUBLIC HEALTH</t>
        </is>
      </c>
      <c r="M607" t="inlineStr">
        <is>
          <t>English</t>
        </is>
      </c>
      <c r="N607" t="inlineStr">
        <is>
          <t>Article</t>
        </is>
      </c>
      <c r="T607" t="inlineStr">
        <is>
          <t>Environmental Pyrethroid Exposure and Cognitive Dysfunction in US Older Adults: The NHANES 2001-2002</t>
        </is>
      </c>
      <c r="U607" t="inlineStr">
        <is>
          <t>cognition; pyrethroid; pesticide; older adults; NHANES</t>
        </is>
      </c>
      <c r="V607" t="inlineStr">
        <is>
          <t>HUMAN DOSE-EXCRETION; NATIONAL-HEALTH; INSECTICIDE; METABOLITES; AGE; CYPERMETHRIN; PERFORMANCE; POPULATION; PREVALENCE; DEMENTIA</t>
        </is>
      </c>
      <c r="W607" t="inlineStr">
        <is>
          <t>Pyrethroid compounds are widely used in household insecticides and agricultural pesticides. Recent studies, however, report that pyrethroid exposures affect neurobehavioral function in animals and may be associated with adverse neurocognitive development in children. This study aimed to examine the association between pyrethroid exposure and cognitive dysfunction in older adults using a well-defined general population. We analyzed data from 336 individuals, aged 60-84 years, who participated in the National Health and Nutrition Examination Survey 2001-2002. We used urinary 3-phenoxybenzoic acid (3-PBA) concentration as a biomarker of pyrethroid exposures and assessed cognitive function with the digit-symbol coding test. The geometric means (&amp; PLUSMN;geometric standard errors) of creatinine-uncorrected and corrected urinary 3-PBA were 0.30 (&amp; PLUSMN;0.87) mu g/L and 0.36 (&amp; PLUSMN;0.89) mu g/g. After adjusting for sociodemographic factors, higher 3-PBA concentrations (&gt; vs. &amp; LE;0.30 mu g/g creatinine (median)) were associated with lower scores of cognitive function (-3.83 95% confidence interval: -7.11, -0.54). Significance was persistent after additionally adjusting for physical activity and smoking pack-year (-3.76 95% CI: -7.16, -0.36) and further adjusting for BMI and presence of hypertension and diabetes (-3.82 95% CI: -6.92, -0.71). Our findings suggest that pyrethroid exposure is associated with cognitive dysfunction in older adults.</t>
        </is>
      </c>
      <c r="X607" t="inlineStr">
        <is>
          <t>[Kim, Ui-Jin] Gachon Univ, Dept Occupat &amp; Environm Med, Gil Med Ctr, Incheon 21565, South Korea; [Hong, Myeongjin; Choi, Yoon-Hyeong] Gachon Univ, Grad Sch Med, Dept Prevent Med, Incheon 21999, South Korea; [Choi, Yoon-Hyeong] Gachon Univ, Dept Hlth Sci &amp; Technol, GAIHST, Incheon 21999, South Korea</t>
        </is>
      </c>
      <c r="Y607" t="inlineStr">
        <is>
          <t>Gachon University; Gachon University; Gachon University</t>
        </is>
      </c>
      <c r="Z607" t="inlineStr">
        <is>
          <t>Choi, YH (corresponding author), Gachon Univ, Grad Sch Med, Dept Prevent Med, Incheon 21999, South Korea.;Choi, YH (corresponding author), Gachon Univ, Dept Hlth Sci &amp; Technol, GAIHST, Incheon 21999, South Korea.</t>
        </is>
      </c>
      <c r="AA607" t="inlineStr">
        <is>
          <t>ujkim@gilhospital.com; a201806@gmail.com; yoonchoi@gachon.ac.kr</t>
        </is>
      </c>
      <c r="AC607" t="inlineStr">
        <is>
          <t>Choi, Yoon-Hyeong/0000-0003-3228-8179</t>
        </is>
      </c>
      <c r="AD607" t="inlineStr">
        <is>
          <t>Korean Ministry of Environment under the 'Environmental Health RD Program' [2021003310005]</t>
        </is>
      </c>
      <c r="AE607" t="inlineStr">
        <is>
          <t>Korean Ministry of Environment under the 'Environmental Health RD Program'</t>
        </is>
      </c>
      <c r="AF607" t="inlineStr">
        <is>
          <t>This work was supported by the Korean Ministry of Environment under the `Environmental Health R&amp;D Program' (2021003310005).</t>
        </is>
      </c>
      <c r="AH607" t="n">
        <v>37</v>
      </c>
      <c r="AI607" t="n">
        <v>4</v>
      </c>
      <c r="AJ607" t="n">
        <v>4</v>
      </c>
      <c r="AK607" t="n">
        <v>2</v>
      </c>
      <c r="AL607" t="n">
        <v>17</v>
      </c>
      <c r="AM607" t="inlineStr">
        <is>
          <t>MDPI</t>
        </is>
      </c>
      <c r="AN607" t="inlineStr">
        <is>
          <t>BASEL</t>
        </is>
      </c>
      <c r="AO607" t="inlineStr">
        <is>
          <t>ST ALBAN-ANLAGE 66, CH-4052 BASEL, SWITZERLAND</t>
        </is>
      </c>
      <c r="AQ607" t="inlineStr">
        <is>
          <t>1660-4601</t>
        </is>
      </c>
      <c r="AS607" t="inlineStr">
        <is>
          <t>INT J ENV RES PUB HE</t>
        </is>
      </c>
      <c r="AT607" t="inlineStr">
        <is>
          <t>Int. J. Environ. Res. Public Health</t>
        </is>
      </c>
      <c r="AU607" t="inlineStr">
        <is>
          <t>NOV</t>
        </is>
      </c>
      <c r="AV607" t="n">
        <v>2021</v>
      </c>
      <c r="AW607" t="n">
        <v>18</v>
      </c>
      <c r="AX607" t="n">
        <v>22</v>
      </c>
      <c r="BE607" t="n">
        <v>12005</v>
      </c>
      <c r="BF607" t="inlineStr">
        <is>
          <t>10.3390/ijerph182212005</t>
        </is>
      </c>
      <c r="BG607">
        <f>HYPERLINK("http://dx.doi.org/10.3390/ijerph182212005","http://dx.doi.org/10.3390/ijerph182212005")</f>
        <v/>
      </c>
      <c r="BJ607" t="n">
        <v>9</v>
      </c>
      <c r="BK607" t="inlineStr">
        <is>
          <t>Environmental Sciences; Public, Environmental &amp; Occupational Health</t>
        </is>
      </c>
      <c r="BL607" t="inlineStr">
        <is>
          <t>Science Citation Index Expanded (SCI-EXPANDED); Social Science Citation Index (SSCI)</t>
        </is>
      </c>
      <c r="BM607" t="inlineStr">
        <is>
          <t>Environmental Sciences &amp; Ecology; Public, Environmental &amp; Occupational Health</t>
        </is>
      </c>
      <c r="BN607" t="inlineStr">
        <is>
          <t>XF9AA</t>
        </is>
      </c>
      <c r="BO607" t="n">
        <v>34831761</v>
      </c>
      <c r="BP607" t="inlineStr">
        <is>
          <t>Green Published, gold</t>
        </is>
      </c>
      <c r="BS607" t="inlineStr">
        <is>
          <t>2023-10-26</t>
        </is>
      </c>
      <c r="BT607" t="inlineStr">
        <is>
          <t>WOS:000724355900001</t>
        </is>
      </c>
      <c r="BU607">
        <f>HYPERLINK("https%3A%2F%2Fwww.webofscience.com%2Fwos%2Fwoscc%2Ffull-record%2FWOS:000724355900001","View Full Record in Web of Science")</f>
        <v/>
      </c>
    </row>
    <row r="608">
      <c r="A608" t="inlineStr">
        <is>
          <t>J</t>
        </is>
      </c>
      <c r="B608" t="inlineStr">
        <is>
          <t>Arnardottir, NY; Oskarsdottir, ND; Brychta, RJ; Koster, A; Van Domelen, DR; Caserotti, P; Eiriksdottir, G; Sverrisdottir, JE; Johannsson, E; Launer, LJ; Gudnason, V; Harris, TB; Chen, KY; Sveinsson, T</t>
        </is>
      </c>
      <c r="F608" t="inlineStr">
        <is>
          <t>Arnardottir, Nanna Yr; Oskarsdottir, Nina Dora; Brychta, Robert J.; Koster, Annemarie; Van Domelen, Dane R.; Caserotti, Paolo; Eiriksdottir, Gudny; Sverrisdottir, Johanna E.; Johannsson, Erlingur; Launer, Lenore J.; Gudnason, Vilmundur; Harris, Tamara B.; Chen, Kong Y.; Sveinsson, Thorarinn</t>
        </is>
      </c>
      <c r="J608" t="inlineStr">
        <is>
          <t>INTERNATIONAL JOURNAL OF ENVIRONMENTAL RESEARCH AND PUBLIC HEALTH</t>
        </is>
      </c>
      <c r="M608" t="inlineStr">
        <is>
          <t>English</t>
        </is>
      </c>
      <c r="N608" t="inlineStr">
        <is>
          <t>Article</t>
        </is>
      </c>
      <c r="T608" t="inlineStr">
        <is>
          <t>Comparison of Summer and Winter Objectively Measured Physical Activity and Sedentary Behavior in Older Adults: Age, Gene/Environment Susceptibility Reykjavik Study</t>
        </is>
      </c>
      <c r="U608" t="inlineStr">
        <is>
          <t>seasonal; aging; physical activity; accelerometer</t>
        </is>
      </c>
      <c r="V608" t="inlineStr">
        <is>
          <t>OF-SPORTS-MEDICINE; SEASONAL-VARIATION; CONTINUOUS EXERCISE; ENERGY EXPENDITURE; WEATHER CONDITIONS; PUBLIC-HEALTH; STEP COUNTS; LEISURE; RECOMMENDATION; PATTERNS</t>
        </is>
      </c>
      <c r="W608" t="inlineStr">
        <is>
          <t>In Iceland, there is a large variation in daylight between summer and winter. The aim of the study was to identify how this large variation influences physical activity (PA) and sedentary behavior (SB). Free living PA was measured by a waist-worn accelerometer for one week during waking hours in 138 community-dwelling older adults (61.1% women, 80.3 +/- 4.9 years) during summer and winter months. In general, SB occupied about 75% of the registered wear-time and was highly correlated with age (beta = 0.36). Although the differences were small, more time was spent during the summer in all PA categories, except for the moderate-to-vigorous PA (MVPA), and SB was reduced. More lifestyle PA (LSPA) was accumulated in &gt;= 5-min bouts during summer than winter, especially among highly active participants. This information could be important for policy makers and health professionals working with older adults. Accounting for seasonal difference is necessary in analyzing SB and PA data.</t>
        </is>
      </c>
      <c r="X608" t="inlineStr">
        <is>
          <t>[Arnardottir, Nanna Yr] Univ Akureyri, Fac Educ, Nordurslod 2, IS-600 Akureyri, Iceland; [Arnardottir, Nanna Yr; Oskarsdottir, Nina Dora; Eiriksdottir, Gudny; Sverrisdottir, Johanna E.; Gudnason, Vilmundur] Iceland Heart Assoc, Holtasmari 1, IS-201 Kopavogur, Iceland; [Oskarsdottir, Nina Dora; Sveinsson, Thorarinn] Univ Iceland, Res Ctr Movement Sci, Stapi V Hringbraut, IS-101 Reykjavik, Iceland; [Brychta, Robert J.; Chen, Kong Y.] Natl Inst Diabet &amp; Digest &amp; Kidney Dis, Diabet Endocrinol &amp; Obes Branch, Bethesda, MD 20892 USA; [Koster, Annemarie] Maastricht Univ, CAPHRI Care &amp; Publ Hlth Res Inst, Dept Social Med, POB 616, NL-6200 MD Maastricht, Netherlands; [Van Domelen, Dane R.] Emory Univ, Rollins Sch Publ Hlth, Dept Biostat &amp; Bioinformat, Atlanta, GA 30322 USA; [Caserotti, Paolo] Univ Southern Denmark, Dept Sports Sci &amp; Clin Biomech, DK-5230 Odense M, Denmark; [Johannsson, Erlingur] Univ Iceland, Ctr Sport &amp; Hlth Sci, Saemundargata 2, IS-101 Reykjavik, Iceland; [Johannsson, Erlingur] Western Norway Univ Appl Sci, Dept Sport &amp; Phys Activ, N-5063 Bergen, Norway; [Launer, Lenore J.; Harris, Tamara B.] NIA, Lab Epidemiol &amp; Populat Sci, Bethesda, MD 20892 USA; [Gudnason, Vilmundur] Univ Iceland, Sch Hlth Sci, Fac Med, Saemundargata 2, IS-101 Reykjavik, Iceland</t>
        </is>
      </c>
      <c r="Y608" t="inlineStr">
        <is>
          <t>University of Akureyri; Icelandic Heart Association; University of Iceland; National Institutes of Health (NIH) - USA; NIH National Institute of Diabetes &amp; Digestive &amp; Kidney Diseases (NIDDK); Maastricht University; Emory University; Rollins School Public Health; University of Southern Denmark; University of Iceland; Western Norway University of Applied Sciences; National Institutes of Health (NIH) - USA; NIH National Institute on Aging (NIA); University of Iceland</t>
        </is>
      </c>
      <c r="Z608" t="inlineStr">
        <is>
          <t>Arnardottir, NY (corresponding author), Univ Akureyri, Fac Educ, Nordurslod 2, IS-600 Akureyri, Iceland.;Arnardottir, NY (corresponding author), Iceland Heart Assoc, Holtasmari 1, IS-201 Kopavogur, Iceland.</t>
        </is>
      </c>
      <c r="AA608" t="inlineStr">
        <is>
          <t>nanna@unak.is; ndo2@hi.is; brychtar@niddk.nih.gov; a.koster@maastrichtuniversity.nl; dvandom@emory.edu; PCaserotti@health.sdu.dk; gudny@hjarta.is; johanna@hjarta.is; erljo@hi.is; LaunerL@nia.nih.gov; v.gudnason@hjarta.is; harris99@nia.nih.gov; chenkong@niddk.nih.gov; thorasve@hi.is</t>
        </is>
      </c>
      <c r="AB608" t="inlineStr">
        <is>
          <t>Chen, Kong/P-1685-2019; Koster, Annemarie/E-7438-2010; Arnardottir, Nanna Yr/AAD-6107-2021; Sveinsson, Thorarinn/F-7554-2010; Gudnason, Vilmundur/AAE-7126-2019; Caserotti, Paolo/JFA-7287-2023</t>
        </is>
      </c>
      <c r="AC608" t="inlineStr">
        <is>
          <t>Chen, Kong/0000-0002-0306-1904; Koster, Annemarie/0000-0003-1583-7391; Sveinsson, Thorarinn/0000-0001-8989-5514; Gudnason, Vilmundur/0000-0001-5696-0084; Caserotti, Paolo/0000-0002-0476-5786; Brychta, Robert/0000-0001-9491-7968; Arnardottir, Nanna Yr/0000-0003-1096-1449; Van Domelen, Dane/0000-0003-0051-7790</t>
        </is>
      </c>
      <c r="AD608" t="inlineStr">
        <is>
          <t>NIA [N01-AG-1-2100]; NIA; Hjartavernd; Althingi; National Science Foundation [DGE-0940903]; National Institutes of Health [Z01 DK071013, Z01 DK071014]</t>
        </is>
      </c>
      <c r="AE608" t="inlineStr">
        <is>
          <t>NIA(United States Department of Health &amp; Human ServicesNational Institutes of Health (NIH) - USANIH National Institute on Aging (NIA)); NIA(United States Department of Health &amp; Human ServicesNational Institutes of Health (NIH) - USANIH National Institute on Aging (NIA)); Hjartavernd; Althingi; National Science Foundation(National Science Foundation (NSF)); National Institutes of Health(United States Department of Health &amp; Human ServicesNational Institutes of Health (NIH) - USA)</t>
        </is>
      </c>
      <c r="AF608" t="inlineStr">
        <is>
          <t>This study has been funded by NIA contract N01-AG-1-2100, the NIA Intramural Research Program, Hjartavernd (the Icelandic Heart Association), and the Althingi (the Icelandic Parliament). This work was also supported by the National Science Foundation Graduate Research Fellowship under Grant No. DGE-0940903 and by the National Institutes of Health Intramural Research Program, grant number: Z01 DK071013 and Z01 DK071014 to Robert J. Brychta and Kong Y. Chen. The researchers are indebted to the participants for their willingness to participate in the study.</t>
        </is>
      </c>
      <c r="AH608" t="n">
        <v>47</v>
      </c>
      <c r="AI608" t="n">
        <v>19</v>
      </c>
      <c r="AJ608" t="n">
        <v>19</v>
      </c>
      <c r="AK608" t="n">
        <v>1</v>
      </c>
      <c r="AL608" t="n">
        <v>1</v>
      </c>
      <c r="AM608" t="inlineStr">
        <is>
          <t>MDPI</t>
        </is>
      </c>
      <c r="AN608" t="inlineStr">
        <is>
          <t>BASEL</t>
        </is>
      </c>
      <c r="AO608" t="inlineStr">
        <is>
          <t>ST ALBAN-ANLAGE 66, CH-4052 BASEL, SWITZERLAND</t>
        </is>
      </c>
      <c r="AQ608" t="inlineStr">
        <is>
          <t>1660-4601</t>
        </is>
      </c>
      <c r="AS608" t="inlineStr">
        <is>
          <t>INT J ENV RES PUB HE</t>
        </is>
      </c>
      <c r="AT608" t="inlineStr">
        <is>
          <t>Int. J. Environ. Res. Public Health</t>
        </is>
      </c>
      <c r="AU608" t="inlineStr">
        <is>
          <t>OCT</t>
        </is>
      </c>
      <c r="AV608" t="n">
        <v>2017</v>
      </c>
      <c r="AW608" t="n">
        <v>14</v>
      </c>
      <c r="AX608" t="n">
        <v>10</v>
      </c>
      <c r="BE608" t="n">
        <v>1268</v>
      </c>
      <c r="BF608" t="inlineStr">
        <is>
          <t>10.3390/ijerph14101268</t>
        </is>
      </c>
      <c r="BG608">
        <f>HYPERLINK("http://dx.doi.org/10.3390/ijerph14101268","http://dx.doi.org/10.3390/ijerph14101268")</f>
        <v/>
      </c>
      <c r="BJ608" t="n">
        <v>11</v>
      </c>
      <c r="BK608" t="inlineStr">
        <is>
          <t>Environmental Sciences; Public, Environmental &amp; Occupational Health</t>
        </is>
      </c>
      <c r="BL608" t="inlineStr">
        <is>
          <t>Science Citation Index Expanded (SCI-EXPANDED); Social Science Citation Index (SSCI)</t>
        </is>
      </c>
      <c r="BM608" t="inlineStr">
        <is>
          <t>Environmental Sciences &amp; Ecology; Public, Environmental &amp; Occupational Health</t>
        </is>
      </c>
      <c r="BN608" t="inlineStr">
        <is>
          <t>FM1TF</t>
        </is>
      </c>
      <c r="BO608" t="n">
        <v>29065475</v>
      </c>
      <c r="BP608" t="inlineStr">
        <is>
          <t>Green Published, Green Submitted, gold</t>
        </is>
      </c>
      <c r="BS608" t="inlineStr">
        <is>
          <t>2023-10-26</t>
        </is>
      </c>
      <c r="BT608" t="inlineStr">
        <is>
          <t>WOS:000414763200177</t>
        </is>
      </c>
      <c r="BU608">
        <f>HYPERLINK("https%3A%2F%2Fwww.webofscience.com%2Fwos%2Fwoscc%2Ffull-record%2FWOS:000414763200177","View Full Record in Web of Science")</f>
        <v/>
      </c>
    </row>
    <row r="609">
      <c r="A609" t="inlineStr">
        <is>
          <t>J</t>
        </is>
      </c>
      <c r="B609" t="inlineStr">
        <is>
          <t>Moran, MR; Eizenberg, E; Plaut, P</t>
        </is>
      </c>
      <c r="F609" t="inlineStr">
        <is>
          <t>Moran, Mika R.; Eizenberg, Efrat; Plaut, Pnina</t>
        </is>
      </c>
      <c r="J609" t="inlineStr">
        <is>
          <t>INTERNATIONAL JOURNAL OF ENVIRONMENTAL RESEARCH AND PUBLIC HEALTH</t>
        </is>
      </c>
      <c r="M609" t="inlineStr">
        <is>
          <t>English</t>
        </is>
      </c>
      <c r="N609" t="inlineStr">
        <is>
          <t>Article</t>
        </is>
      </c>
      <c r="T609" t="inlineStr">
        <is>
          <t>Getting to Know a Place: Built Environment Walkability and Children's Spatial Representation of Their Home-School (h-s) Route</t>
        </is>
      </c>
      <c r="U609" t="inlineStr">
        <is>
          <t>walkability; built environment; spatial knowledge; children; school travel mode</t>
        </is>
      </c>
      <c r="V609" t="inlineStr">
        <is>
          <t>PHYSICAL-ACTIVITY; NEIGHBORHOOD WALKABILITY; VIRTUAL ENVIRONMENT; SEX-DIFFERENCES; SKETCH MAPS; KNOWLEDGE; ADULTS; WALKING; CITY; ASSOCIATION</t>
        </is>
      </c>
      <c r="W609" t="inlineStr">
        <is>
          <t>The literature on environmental walkability to date has mainly focused on walking and related health outcomes. While previous studies suggest associations between walking and spatial knowledge, the associations between environmental walkability and spatial knowledge is yet to be explored. The current study addresses this lacuna in research by exploring children's mental representations of their home-school (h-s) route, vis-a-vis objectively measured environmental attributes along the actual routes. Ninety-two children aged 10-12 years old (5th and 6th graders) drew sketch maps depicting their h-s route and drew the actual route on a neighborhood map, in addition to completing a brief survey. h-s routes went through Geographic Information Systems (GIS) analysis, yielding an en-route walkability index and its components. Children in traditional neighborhoods outperformed in the route's orientation and structure, but not in the richness of the drawn maps. The orientation and structure of the drawn routes was related to objectively measured walkability, density, street connectivity and commercial land-uses along h-s routes. These associations remained significant among children who walked to school, but not among those who were driven to school. These findings highlight the importance of urban form and school travel mode in acquiring navigation skills and getting to know one's neighborhood.</t>
        </is>
      </c>
      <c r="X609" t="inlineStr">
        <is>
          <t>[Moran, Mika R.; Eizenberg, Efrat; Plaut, Pnina] Technion Israel Inst Technol, Fac Architecture &amp; Town Planning, IL-3200003 Haifa, Israel</t>
        </is>
      </c>
      <c r="Y609" t="inlineStr">
        <is>
          <t>Technion Israel Institute of Technology</t>
        </is>
      </c>
      <c r="Z609" t="inlineStr">
        <is>
          <t>Moran, MR (corresponding author), Technion Israel Inst Technol, Fac Architecture &amp; Town Planning, IL-3200003 Haifa, Israel.</t>
        </is>
      </c>
      <c r="AA609" t="inlineStr">
        <is>
          <t>moran.mika@gmail.com; eeizenberg@gmail.com; pninatech@gmail.com</t>
        </is>
      </c>
      <c r="AC609" t="inlineStr">
        <is>
          <t>Moran, Mika/0000-0002-4225-0388; Eizenberg, Efrat/0000-0003-3399-2563</t>
        </is>
      </c>
      <c r="AD609" t="inlineStr">
        <is>
          <t>EU</t>
        </is>
      </c>
      <c r="AE609" t="inlineStr">
        <is>
          <t>EU(European Union (EU))</t>
        </is>
      </c>
      <c r="AF609" t="inlineStr">
        <is>
          <t>The authors received funds from EU horizon 2020 for covering the costs to publish in open access. We also wish to thank Lihi Golan and Or Caspi for their skillful GIS analysis. We also wish to thank the Municipality of Rishon LeZion, and specifically Haim Leshem and Efrayim Jian for sharing their GIS data, which enabled this analysis. Last, but not least, we wish to acknowledge with gratitude the children who voluntarily participated in this study, as well as their parents and school principals and teachers, who welcomed us to conduct the school survey and mapping activities.</t>
        </is>
      </c>
      <c r="AH609" t="n">
        <v>61</v>
      </c>
      <c r="AI609" t="n">
        <v>15</v>
      </c>
      <c r="AJ609" t="n">
        <v>16</v>
      </c>
      <c r="AK609" t="n">
        <v>4</v>
      </c>
      <c r="AL609" t="n">
        <v>28</v>
      </c>
      <c r="AM609" t="inlineStr">
        <is>
          <t>MDPI AG</t>
        </is>
      </c>
      <c r="AN609" t="inlineStr">
        <is>
          <t>BASEL</t>
        </is>
      </c>
      <c r="AO609" t="inlineStr">
        <is>
          <t>ST ALBAN-ANLAGE 66, CH-4052 BASEL, SWITZERLAND</t>
        </is>
      </c>
      <c r="AP609" t="inlineStr">
        <is>
          <t>1660-4601</t>
        </is>
      </c>
      <c r="AS609" t="inlineStr">
        <is>
          <t>INT J ENV RES PUB HE</t>
        </is>
      </c>
      <c r="AT609" t="inlineStr">
        <is>
          <t>Int. J. Environ. Res. Public Health</t>
        </is>
      </c>
      <c r="AU609" t="inlineStr">
        <is>
          <t>JUN</t>
        </is>
      </c>
      <c r="AV609" t="n">
        <v>2017</v>
      </c>
      <c r="AW609" t="n">
        <v>14</v>
      </c>
      <c r="AX609" t="n">
        <v>6</v>
      </c>
      <c r="BE609" t="n">
        <v>607</v>
      </c>
      <c r="BF609" t="inlineStr">
        <is>
          <t>10.3390/ijerph14060607</t>
        </is>
      </c>
      <c r="BG609">
        <f>HYPERLINK("http://dx.doi.org/10.3390/ijerph14060607","http://dx.doi.org/10.3390/ijerph14060607")</f>
        <v/>
      </c>
      <c r="BJ609" t="n">
        <v>21</v>
      </c>
      <c r="BK609" t="inlineStr">
        <is>
          <t>Environmental Sciences; Public, Environmental &amp; Occupational Health</t>
        </is>
      </c>
      <c r="BL609" t="inlineStr">
        <is>
          <t>Science Citation Index Expanded (SCI-EXPANDED); Social Science Citation Index (SSCI)</t>
        </is>
      </c>
      <c r="BM609" t="inlineStr">
        <is>
          <t>Environmental Sciences &amp; Ecology; Public, Environmental &amp; Occupational Health</t>
        </is>
      </c>
      <c r="BN609" t="inlineStr">
        <is>
          <t>EY6QF</t>
        </is>
      </c>
      <c r="BO609" t="n">
        <v>28587315</v>
      </c>
      <c r="BP609" t="inlineStr">
        <is>
          <t>gold, Green Published, Green Submitted</t>
        </is>
      </c>
      <c r="BS609" t="inlineStr">
        <is>
          <t>2023-10-26</t>
        </is>
      </c>
      <c r="BT609" t="inlineStr">
        <is>
          <t>WOS:000404107600055</t>
        </is>
      </c>
      <c r="BU609">
        <f>HYPERLINK("https%3A%2F%2Fwww.webofscience.com%2Fwos%2Fwoscc%2Ffull-record%2FWOS:000404107600055","View Full Record in Web of Science")</f>
        <v/>
      </c>
    </row>
    <row r="610">
      <c r="A610" t="inlineStr">
        <is>
          <t>J</t>
        </is>
      </c>
      <c r="B610" t="inlineStr">
        <is>
          <t>Andrade, A; Dominski, FH; Coimbra, DR</t>
        </is>
      </c>
      <c r="F610" t="inlineStr">
        <is>
          <t>Andrade, Alexandro; Dominski, Fabio Hech; Coimbra, Danilo Reis</t>
        </is>
      </c>
      <c r="J610" t="inlineStr">
        <is>
          <t>JOURNAL OF ENVIRONMENTAL MANAGEMENT</t>
        </is>
      </c>
      <c r="M610" t="inlineStr">
        <is>
          <t>English</t>
        </is>
      </c>
      <c r="N610" t="inlineStr">
        <is>
          <t>Review</t>
        </is>
      </c>
      <c r="T610" t="inlineStr">
        <is>
          <t>Scientific production on indoor air quality of environments used for physical exercise and sports practice: Bibliometric analysis</t>
        </is>
      </c>
      <c r="U610" t="inlineStr">
        <is>
          <t>Bibliometric; Air pollutants; Air pollution; Indoor; Motor activity; Sports; Health</t>
        </is>
      </c>
      <c r="V610" t="inlineStr">
        <is>
          <t>NITROGEN-DIOXIDE EXPOSURES; ICE SKATING RINKS; CARBON-MONOXIDE; PARTICULATE MATTER; OUTDOOR AIR; POLLUTION; RISK; POLLUTANTS; SCHOOLS</t>
        </is>
      </c>
      <c r="W610" t="inlineStr">
        <is>
          <t>Introduction: In order to minimize adverse health effects and increase the benefits of physical activity, it is important to systematize indoor air quality study in environments used for physical exercise and sports. Objectives: To investigate and analyze the scientific production related to indoor air quality of environments used for physical exercise and sports practice through a bibliometric analysis. Methods: The databases Scielo, Science Direct, Scopus, Lilacs, Medline via Pubmed, and SportDiscus were searched from their inception to March 2016. Bibliometric analysis was performed for authors, institutions, countries, and collaborative networks, in relation to publication year, theme, citation network, funding agency, and analysis of titles and keywords of publications. Country, area, and impact factor of the journals were analyzed. Results: Of 1281 studies screened, 34 satisfied the inclusion criteria. The first publication occurred in 1975. An increase in publications was observed in the last 15 years. Most of the studies were performed by researchers in the USA, followed by Portugal and Italy. Seventeen different scientific journals have published studies on the subject, and most are in the area of Environmental Sciences. It was noted that the categories of author keywords associated with Pollutants, Sport Environment, and Physical Exercise were the most commonly used in most studies. A total of 68% of the studies had at least one funding agency, and 81% of studies published in the last decade had funding. Conclusions: Our results demonstrate that there is recent exponential growth, driven in the last decade by researchers in environmental science from European institutions. (C) 2017 Elsevier Ltd. All rights reserved.</t>
        </is>
      </c>
      <c r="X610" t="inlineStr">
        <is>
          <t>[Andrade, Alexandro; Dominski, Fabio Hech; Coimbra, Danilo Reis] Santa Catarina State Univ, Ctr Hlth &amp; Sport Sci, Lab Sport &amp; Exercise Psychol, Florianopolis, SC, Brazil; [Andrade, Alexandro] Fed Inst Educ Sci &amp; Technol Santa Catarina, Sao Jose, SC, Brazil</t>
        </is>
      </c>
      <c r="Y610" t="inlineStr">
        <is>
          <t>Universidade do Estado de Santa Catarina</t>
        </is>
      </c>
      <c r="Z610" t="inlineStr">
        <is>
          <t>Andrade, A (corresponding author), Santa Catarina State Univ, Grad Program Human Movement Sci, Pascoal Simone 358, BR-88080350 Florianopolis, SC, Brazil.</t>
        </is>
      </c>
      <c r="AA610" t="inlineStr">
        <is>
          <t>alexandro.andrade.phd@gmail.com; fabiohdominski@hotmail.com; daniloreiscoimbra@yahoo.com.br</t>
        </is>
      </c>
      <c r="AB610" t="inlineStr">
        <is>
          <t>Andrade, Alexandro/H-5226-2016; Dominski, Fábio Hech/H-5956-2016; Coimbra, Danilo Reis/G-8591-2015</t>
        </is>
      </c>
      <c r="AC610" t="inlineStr">
        <is>
          <t>Andrade, Alexandro/0000-0002-6640-9314; Dominski, Fábio Hech/0000-0003-1767-6405; Coimbra, Danilo Reis/0000-0002-6055-0667</t>
        </is>
      </c>
      <c r="AD610" t="inlineStr">
        <is>
          <t>Higher Education Personnel Improvement Coordination (CAPES) [03/2015]; FAPESC (Research and Innovation Support Foundation of the State of Santa Catarina) [2287/PAP 04/2014]</t>
        </is>
      </c>
      <c r="AE610" t="inlineStr">
        <is>
          <t>Higher Education Personnel Improvement Coordination (CAPES)(Coordenacao de Aperfeicoamento de Pessoal de Nivel Superior (CAPES)); FAPESC (Research and Innovation Support Foundation of the State of Santa Catarina)</t>
        </is>
      </c>
      <c r="AF610" t="inlineStr">
        <is>
          <t>This study was supported by the Higher Education Personnel Improvement Coordination (CAPES), Public notice (n. 03/2015), through masters scholarship and the authors thank FAPESC (Research and Innovation Support Foundation of the State of Santa Catarina) for financial support through research (Project n. 2287/PAP 04/2014).</t>
        </is>
      </c>
      <c r="AH610" t="n">
        <v>73</v>
      </c>
      <c r="AI610" t="n">
        <v>40</v>
      </c>
      <c r="AJ610" t="n">
        <v>42</v>
      </c>
      <c r="AK610" t="n">
        <v>3</v>
      </c>
      <c r="AL610" t="n">
        <v>87</v>
      </c>
      <c r="AM610" t="inlineStr">
        <is>
          <t>ACADEMIC PRESS LTD- ELSEVIER SCIENCE LTD</t>
        </is>
      </c>
      <c r="AN610" t="inlineStr">
        <is>
          <t>LONDON</t>
        </is>
      </c>
      <c r="AO610" t="inlineStr">
        <is>
          <t>24-28 OVAL RD, LONDON NW1 7DX, ENGLAND</t>
        </is>
      </c>
      <c r="AP610" t="inlineStr">
        <is>
          <t>0301-4797</t>
        </is>
      </c>
      <c r="AQ610" t="inlineStr">
        <is>
          <t>1095-8630</t>
        </is>
      </c>
      <c r="AS610" t="inlineStr">
        <is>
          <t>J ENVIRON MANAGE</t>
        </is>
      </c>
      <c r="AT610" t="inlineStr">
        <is>
          <t>J. Environ. Manage.</t>
        </is>
      </c>
      <c r="AU610" t="inlineStr">
        <is>
          <t>JUL 1</t>
        </is>
      </c>
      <c r="AV610" t="n">
        <v>2017</v>
      </c>
      <c r="AW610" t="n">
        <v>196</v>
      </c>
      <c r="BC610" t="n">
        <v>188</v>
      </c>
      <c r="BD610" t="n">
        <v>200</v>
      </c>
      <c r="BF610" t="inlineStr">
        <is>
          <t>10.1016/j.jenvman.2017.03.001</t>
        </is>
      </c>
      <c r="BG610">
        <f>HYPERLINK("http://dx.doi.org/10.1016/j.jenvman.2017.03.001","http://dx.doi.org/10.1016/j.jenvman.2017.03.001")</f>
        <v/>
      </c>
      <c r="BJ610" t="n">
        <v>13</v>
      </c>
      <c r="BK610" t="inlineStr">
        <is>
          <t>Environmental Sciences</t>
        </is>
      </c>
      <c r="BL610" t="inlineStr">
        <is>
          <t>Science Citation Index Expanded (SCI-EXPANDED); Social Science Citation Index (SSCI)</t>
        </is>
      </c>
      <c r="BM610" t="inlineStr">
        <is>
          <t>Environmental Sciences &amp; Ecology</t>
        </is>
      </c>
      <c r="BN610" t="inlineStr">
        <is>
          <t>EV6OI</t>
        </is>
      </c>
      <c r="BO610" t="n">
        <v>28284941</v>
      </c>
      <c r="BS610" t="inlineStr">
        <is>
          <t>2023-10-26</t>
        </is>
      </c>
      <c r="BT610" t="inlineStr">
        <is>
          <t>WOS:000401888300021</t>
        </is>
      </c>
      <c r="BU610">
        <f>HYPERLINK("https%3A%2F%2Fwww.webofscience.com%2Fwos%2Fwoscc%2Ffull-record%2FWOS:000401888300021","View Full Record in Web of Science")</f>
        <v/>
      </c>
    </row>
    <row r="611">
      <c r="A611" t="inlineStr">
        <is>
          <t>J</t>
        </is>
      </c>
      <c r="B611" t="inlineStr">
        <is>
          <t>Kemperman, A; van den Berg, P; Weijs-Perrée, M; Uijtdewillegen, K</t>
        </is>
      </c>
      <c r="F611" t="inlineStr">
        <is>
          <t>Kemperman, Astrid; van den Berg, Pauline; Weijs-Perree, Minou; Uijtdewillegen, Kevin</t>
        </is>
      </c>
      <c r="J611" t="inlineStr">
        <is>
          <t>INTERNATIONAL JOURNAL OF ENVIRONMENTAL RESEARCH AND PUBLIC HEALTH</t>
        </is>
      </c>
      <c r="M611" t="inlineStr">
        <is>
          <t>English</t>
        </is>
      </c>
      <c r="N611" t="inlineStr">
        <is>
          <t>Article</t>
        </is>
      </c>
      <c r="T611" t="inlineStr">
        <is>
          <t>Loneliness of Older Adults: Social Network and the Living Environment</t>
        </is>
      </c>
      <c r="U611" t="inlineStr">
        <is>
          <t>loneliness; aging; social network; social participation; neighborhood; Bayesian belief network (BBN)</t>
        </is>
      </c>
      <c r="V611" t="inlineStr">
        <is>
          <t>AGING IN-PLACE; BAYESIAN NETWORKS; SATISFACTION; HEALTH; SUPPORT; NEIGHBORHOODS; ATTACHMENT; CONTEXT; PEOPLE; SPACES</t>
        </is>
      </c>
      <c r="W611" t="inlineStr">
        <is>
          <t>The social participation and integration of older adults are important aspects of healthy aging. However, in general, older adults have smaller social networks than their younger counterparts due to changes in their life cycle stage, such as retirement or age-related losses, along with a declining health and increasing mobility limitations. Consequently, with increasing age, an increasing proportion of older people experience feelings of loneliness and social isolation. Previous studies that have analyzed the relationships between loneliness, social networks, and the living environment have often been based on bivariate relationships or included only a limited number of variables. Therefore, the aim of this study was to analyze multiple relationships in a more comprehensive framework. Data were collected using a survey among 182 adults aged 65 years and over in the Netherlands. A Bayesian belief network (BBN) modeling approach was used that derives all direct and indirect relationships between the variables. The results showed that feelings of loneliness are directly related to satisfaction with one's social network and neighborhood attachment and are indirectly related to perceived safety and satisfaction with local amenities and services. This knowledge is relevant to urban planners and policy makers who focus on creating livable and healthy social neighborhoods for the aging population.</t>
        </is>
      </c>
      <c r="X611" t="inlineStr">
        <is>
          <t>[Kemperman, Astrid; van den Berg, Pauline; Weijs-Perree, Minou; Uijtdewillegen, Kevin] Eindhoven Univ Technol, Dept Built Environm, NL-5600 MB Eindhoven, Netherlands</t>
        </is>
      </c>
      <c r="Y611" t="inlineStr">
        <is>
          <t>Eindhoven University of Technology</t>
        </is>
      </c>
      <c r="Z611" t="inlineStr">
        <is>
          <t>van den Berg, P (corresponding author), Eindhoven Univ Technol, Dept Built Environm, NL-5600 MB Eindhoven, Netherlands.</t>
        </is>
      </c>
      <c r="AA611" t="inlineStr">
        <is>
          <t>a.d.a.m.kemperman@tue.nl; p.e.w.v.d.berg@tue.nl; m.weijs.perree@tue.nl; kevin_uytdewillegen@hotmail.com</t>
        </is>
      </c>
      <c r="AB611" t="inlineStr">
        <is>
          <t>Van+Den+Berg, Pauline/ACY-3551-2022</t>
        </is>
      </c>
      <c r="AC611" t="inlineStr">
        <is>
          <t>Kemperman, Astrid/0000-0002-1312-4913; van den Berg, Pauline/0000-0003-1712-5873; Weijs-Perree, Minou/0000-0001-6368-003X</t>
        </is>
      </c>
      <c r="AH611" t="n">
        <v>58</v>
      </c>
      <c r="AI611" t="n">
        <v>104</v>
      </c>
      <c r="AJ611" t="n">
        <v>105</v>
      </c>
      <c r="AK611" t="n">
        <v>6</v>
      </c>
      <c r="AL611" t="n">
        <v>58</v>
      </c>
      <c r="AM611" t="inlineStr">
        <is>
          <t>MDPI</t>
        </is>
      </c>
      <c r="AN611" t="inlineStr">
        <is>
          <t>BASEL</t>
        </is>
      </c>
      <c r="AO611" t="inlineStr">
        <is>
          <t>ST ALBAN-ANLAGE 66, CH-4052 BASEL, SWITZERLAND</t>
        </is>
      </c>
      <c r="AQ611" t="inlineStr">
        <is>
          <t>1660-4601</t>
        </is>
      </c>
      <c r="AS611" t="inlineStr">
        <is>
          <t>INT J ENV RES PUB HE</t>
        </is>
      </c>
      <c r="AT611" t="inlineStr">
        <is>
          <t>Int. J. Environ. Res. Public Health</t>
        </is>
      </c>
      <c r="AU611" t="inlineStr">
        <is>
          <t>FEB 1</t>
        </is>
      </c>
      <c r="AV611" t="n">
        <v>2019</v>
      </c>
      <c r="AW611" t="n">
        <v>16</v>
      </c>
      <c r="AX611" t="n">
        <v>3</v>
      </c>
      <c r="BE611" t="n">
        <v>406</v>
      </c>
      <c r="BF611" t="inlineStr">
        <is>
          <t>10.3390/ijerph16030406</t>
        </is>
      </c>
      <c r="BG611">
        <f>HYPERLINK("http://dx.doi.org/10.3390/ijerph16030406","http://dx.doi.org/10.3390/ijerph16030406")</f>
        <v/>
      </c>
      <c r="BJ611" t="n">
        <v>16</v>
      </c>
      <c r="BK611" t="inlineStr">
        <is>
          <t>Environmental Sciences; Public, Environmental &amp; Occupational Health</t>
        </is>
      </c>
      <c r="BL611" t="inlineStr">
        <is>
          <t>Science Citation Index Expanded (SCI-EXPANDED); Social Science Citation Index (SSCI)</t>
        </is>
      </c>
      <c r="BM611" t="inlineStr">
        <is>
          <t>Environmental Sciences &amp; Ecology; Public, Environmental &amp; Occupational Health</t>
        </is>
      </c>
      <c r="BN611" t="inlineStr">
        <is>
          <t>HM0CQ</t>
        </is>
      </c>
      <c r="BO611" t="n">
        <v>30708985</v>
      </c>
      <c r="BP611" t="inlineStr">
        <is>
          <t>Green Published, gold, Green Submitted</t>
        </is>
      </c>
      <c r="BS611" t="inlineStr">
        <is>
          <t>2023-10-26</t>
        </is>
      </c>
      <c r="BT611" t="inlineStr">
        <is>
          <t>WOS:000459113600112</t>
        </is>
      </c>
      <c r="BU611">
        <f>HYPERLINK("https%3A%2F%2Fwww.webofscience.com%2Fwos%2Fwoscc%2Ffull-record%2FWOS:000459113600112","View Full Record in Web of Science")</f>
        <v/>
      </c>
    </row>
    <row r="612">
      <c r="A612" t="inlineStr">
        <is>
          <t>J</t>
        </is>
      </c>
      <c r="B612" t="inlineStr">
        <is>
          <t>Ye, CM; Li, HF; Li, CM; Liu, X; Li, Y; Li, J; Gonçalves, WN; Junior, JM</t>
        </is>
      </c>
      <c r="F612" t="inlineStr">
        <is>
          <t>Ye, Chengming; Li, Hongfu; Li, Chunming; Liu, Xin; Li, Yao; Li, Jonathan; Goncalves, Wesley Nunes; Junior, Jose Marcato</t>
        </is>
      </c>
      <c r="J612" t="inlineStr">
        <is>
          <t>REMOTE SENSING</t>
        </is>
      </c>
      <c r="M612" t="inlineStr">
        <is>
          <t>English</t>
        </is>
      </c>
      <c r="N612" t="inlineStr">
        <is>
          <t>Article</t>
        </is>
      </c>
      <c r="T612" t="inlineStr">
        <is>
          <t>A Building Roof Identification CNN Based on Interior-Edge-Adjacency Features Using Hyperspectral Imagery</t>
        </is>
      </c>
      <c r="U612" t="inlineStr">
        <is>
          <t>hyperspectral image; spectral and spatial feature; Convolutional Neural Network (CNN); interior-edge-adjacency features; building roof</t>
        </is>
      </c>
      <c r="V612" t="inlineStr">
        <is>
          <t>CLASSIFICATION</t>
        </is>
      </c>
      <c r="W612" t="inlineStr">
        <is>
          <t>Hyperspectral remote sensing can obtain both spatial and spectral information of ground objects. It is an important prerequisite for a hyperspectral remote sensing application to make good use of spectral and image features. Therefore, we improved the Convolutional Neural Network (CNN) model by extracting interior-edge-adjacency features of building roof and proposed a new CNN model with a flexible structure: Building Roof Identification CNN (BRI-CNN). Our experimental results demonstrated that the BRI-CNN can not only extract interior-edge-adjacency features of building roof, but also change the weight of these different features during the training process, according to selected samples. Our approach was tested using the Indian Pines (IP) data set and our comparative study indicates that the BRI-CNN model achieves at least 0.2% higher overall accuracy than that of the capsule network model, and more than 2% than that of CNN models.</t>
        </is>
      </c>
      <c r="X612" t="inlineStr">
        <is>
          <t>[Ye, Chengming; Li, Hongfu; Li, Chunming; Liu, Xin] Chengdu Univ Technol, Minist Educ, Key Lab Earth Explorat &amp; Informat Technol, Chengdu 610059, Peoples R China; [Li, Yao] Chinese Acad Sci, Key Lab Mt Hazards &amp; Earth Surface Proc, Chengdu 610059, Peoples R China; [Li, Jonathan] Univ Waterloo, Dept Geog &amp; Environm Management &amp; Syst Design Eng, 200 Univ Ave West, Waterloo, ON N2L 3G1, Canada; [Goncalves, Wesley Nunes; Junior, Jose Marcato] Univ Fed Mato Grosso do Sul, Fac Engn Architecture &amp; Urbanism &amp; Geog, BR-79070900 Campo Grande, MS, Brazil</t>
        </is>
      </c>
      <c r="Y612" t="inlineStr">
        <is>
          <t>Chengdu University of Technology; Chinese Academy of Sciences; University of Waterloo; Universidade Federal de Mato Grosso do Sul</t>
        </is>
      </c>
      <c r="Z612" t="inlineStr">
        <is>
          <t>Li, HF (corresponding author), Chengdu Univ Technol, Minist Educ, Key Lab Earth Explorat &amp; Informat Technol, Chengdu 610059, Peoples R China.</t>
        </is>
      </c>
      <c r="AA612" t="inlineStr">
        <is>
          <t>rsgis@sina.com; leehungu@stu.cdut.edu.cn; lichunming_@outlook.com; astluxn@outlook.com; YaoLiCD@hotmail.com; junli@uwaterloo.ca; wesley.goncalves@ufms.br; jose.marcato@ufms.br</t>
        </is>
      </c>
      <c r="AB612" t="inlineStr">
        <is>
          <t>Li, Chunming/AAC-1022-2020; Li, Chunming/JDD-4682-2023; Li, Jonathan/AAA-7712-2021; Marcato Junior, Jose/H-4406-2017</t>
        </is>
      </c>
      <c r="AC612" t="inlineStr">
        <is>
          <t>LI, Jonathan/0000-0001-7899-0049; YE, Chengming/0000-0002-6799-0286; Li, Yao/0000-0003-2986-8789; Marcato Junior, Jose/0000-0002-9096-6866; Liu, Xin/0000-0002-0409-7466</t>
        </is>
      </c>
      <c r="AD612" t="inlineStr">
        <is>
          <t>National Natural Science Foundation of China [42071411]; Second Tibetan Plateau Scientific Expedition and Research Program (STEP) [2019QZKK0902]</t>
        </is>
      </c>
      <c r="AE612" t="inlineStr">
        <is>
          <t>National Natural Science Foundation of China(National Natural Science Foundation of China (NSFC)); Second Tibetan Plateau Scientific Expedition and Research Program (STEP)</t>
        </is>
      </c>
      <c r="AF612" t="inlineStr">
        <is>
          <t>This research was funded by the National Natural Science Foundation of China, grant number 42071411 and the Second Tibetan Plateau Scientific Expedition and Research Program (STEP), grant number 2019QZKK0902.</t>
        </is>
      </c>
      <c r="AH612" t="n">
        <v>41</v>
      </c>
      <c r="AI612" t="n">
        <v>3</v>
      </c>
      <c r="AJ612" t="n">
        <v>3</v>
      </c>
      <c r="AK612" t="n">
        <v>5</v>
      </c>
      <c r="AL612" t="n">
        <v>26</v>
      </c>
      <c r="AM612" t="inlineStr">
        <is>
          <t>MDPI</t>
        </is>
      </c>
      <c r="AN612" t="inlineStr">
        <is>
          <t>BASEL</t>
        </is>
      </c>
      <c r="AO612" t="inlineStr">
        <is>
          <t>ST ALBAN-ANLAGE 66, CH-4052 BASEL, SWITZERLAND</t>
        </is>
      </c>
      <c r="AQ612" t="inlineStr">
        <is>
          <t>2072-4292</t>
        </is>
      </c>
      <c r="AS612" t="inlineStr">
        <is>
          <t>REMOTE SENS-BASEL</t>
        </is>
      </c>
      <c r="AT612" t="inlineStr">
        <is>
          <t>Remote Sens.</t>
        </is>
      </c>
      <c r="AU612" t="inlineStr">
        <is>
          <t>AUG</t>
        </is>
      </c>
      <c r="AV612" t="n">
        <v>2021</v>
      </c>
      <c r="AW612" t="n">
        <v>13</v>
      </c>
      <c r="AX612" t="n">
        <v>15</v>
      </c>
      <c r="BE612" t="n">
        <v>2927</v>
      </c>
      <c r="BF612" t="inlineStr">
        <is>
          <t>10.3390/rs13152927</t>
        </is>
      </c>
      <c r="BG612">
        <f>HYPERLINK("http://dx.doi.org/10.3390/rs13152927","http://dx.doi.org/10.3390/rs13152927")</f>
        <v/>
      </c>
      <c r="BJ612" t="n">
        <v>15</v>
      </c>
      <c r="BK612" t="inlineStr">
        <is>
          <t>Environmental Sciences; Geosciences, Multidisciplinary; Remote Sensing; Imaging Science &amp; Photographic Technology</t>
        </is>
      </c>
      <c r="BL612" t="inlineStr">
        <is>
          <t>Science Citation Index Expanded (SCI-EXPANDED)</t>
        </is>
      </c>
      <c r="BM612" t="inlineStr">
        <is>
          <t>Environmental Sciences &amp; Ecology; Geology; Remote Sensing; Imaging Science &amp; Photographic Technology</t>
        </is>
      </c>
      <c r="BN612" t="inlineStr">
        <is>
          <t>TW1VE</t>
        </is>
      </c>
      <c r="BP612" t="inlineStr">
        <is>
          <t>gold</t>
        </is>
      </c>
      <c r="BS612" t="inlineStr">
        <is>
          <t>2023-10-26</t>
        </is>
      </c>
      <c r="BT612" t="inlineStr">
        <is>
          <t>WOS:000682196100001</t>
        </is>
      </c>
      <c r="BU612">
        <f>HYPERLINK("https%3A%2F%2Fwww.webofscience.com%2Fwos%2Fwoscc%2Ffull-record%2FWOS:000682196100001","View Full Record in Web of Science")</f>
        <v/>
      </c>
    </row>
    <row r="613">
      <c r="A613" t="inlineStr">
        <is>
          <t>J</t>
        </is>
      </c>
      <c r="B613" t="inlineStr">
        <is>
          <t>Chithra, VS; Nagendra, SMS</t>
        </is>
      </c>
      <c r="F613" t="inlineStr">
        <is>
          <t>Chithra, V. S.; Nagendra, S. M. Shiva</t>
        </is>
      </c>
      <c r="J613" t="inlineStr">
        <is>
          <t>ATMOSPHERIC ENVIRONMENT</t>
        </is>
      </c>
      <c r="M613" t="inlineStr">
        <is>
          <t>English</t>
        </is>
      </c>
      <c r="N613" t="inlineStr">
        <is>
          <t>Article</t>
        </is>
      </c>
      <c r="T613" t="inlineStr">
        <is>
          <t>Chemical and morphological characteristics of indoor and outdoor particulate matter in an urban environment</t>
        </is>
      </c>
      <c r="U613" t="inlineStr">
        <is>
          <t>Classroom; Indoor-outdoor; Elements; Ions; Suspended particulate matter; Traffic</t>
        </is>
      </c>
      <c r="V613" t="inlineStr">
        <is>
          <t>FINE PARTICULATE; TRACE-ELEMENTS; AIR-POLLUTION; SOURCE IDENTIFICATION; ATMOSPHERIC AEROSOLS; SCHOOLS; PM2.5; INDIA; PM10; EXPOSURE</t>
        </is>
      </c>
      <c r="W613" t="inlineStr">
        <is>
          <t>Chemical characterization of suspended particulate matter (SPM) measured inside a naturally ventilated school building (indoor) and at an adjacent roadway (outdoor) in Chennai city was performed during monsoon, winter and summer seasons. The daily average indoor SPM concentrations in monsoon, winter and summer seasons were 158.18, 170.08 and 149.63 mu g m(-3), respectively. Indoor and outdoor samples were analyzed for 11 inorganic ions using ion chromatography and 28 elements by inductively coupled plasma optical emission spectrometry. Results indicated the dominance of SO42- (10.89 mu g m(-3)) followed by NH4+ (5.62 mu g m(-3)), NO3- (5.35 mu g m(-3)), Na+ (4.35 mu g m(-3)) Ca2+ (4.08 mu g m(-3)) and Cl(3.47 mu g m(-3)) ions in the indoor SPM. In the outdoor SPM, SO42-, NO3- and NH4+ ions concentration were slightly higher while Ca2+, K+ and Mg2+ ions concentrations were higher in indoors. Among the elements, crustal element (Al, Fe, Ca, K, Mg and Na) concentrations were much higher (92.7% of the total elemental concentration) in indoor environment than those of toxic elements (Ba, Cr, Cu, Mn, Mo, Ni, Sr, Ti, V and Zn) emitted from vehicles. Analysis of elemental carbon (EC) and organic carbon (OC) components in indoor and outdoor PM indicated the predominance of OC. The indoor/outdoor (I/O) ratios for EC = 0.70 and OC = 0.82, indicating no significant indoor emission sources of OC and EC. To characterize the morphology, indoor and outdoor filters were examined by Scanning Electron Microscopy coupled with energy dispersive X-ray spectrometry. Soot and Al-Si rich particles were mostly found in indoor and outdoor SPM. The presence of toxic elements and soot particles in the indoor PM confirms the contributions of vehicular emissions from the adjacent motorway. (C) 2013 Elsevier Ltd. All rights reserved.</t>
        </is>
      </c>
      <c r="X613" t="inlineStr">
        <is>
          <t>[Chithra, V. S.; Nagendra, S. M. Shiva] Indian Inst Technol, Dept Civil Engn Environm, Madras 600036, Tamil Nadu, India; [Chithra, V. S.; Nagendra, S. M. Shiva] Indian Inst Technol, Water Resources Engn Div, Madras 600036, Tamil Nadu, India</t>
        </is>
      </c>
      <c r="Y613" t="inlineStr">
        <is>
          <t>Indian Institute of Technology System (IIT System); Indian Institute of Technology (IIT) - Madras; Indian Institute of Technology System (IIT System); Indian Institute of Technology (IIT) - Madras</t>
        </is>
      </c>
      <c r="Z613" t="inlineStr">
        <is>
          <t>Nagendra, SMS (corresponding author), Indian Inst Technol, Dept Civil Engn Environm, Madras 600036, Tamil Nadu, India.</t>
        </is>
      </c>
      <c r="AA613" t="inlineStr">
        <is>
          <t>snagendra@iitm.ac.in</t>
        </is>
      </c>
      <c r="AB613" t="inlineStr">
        <is>
          <t>M, S/GVT-6330-2022; VS, Chithra/R-3313-2017; M, Shiva Nagendra S/D-1563-2013</t>
        </is>
      </c>
      <c r="AC613" t="inlineStr">
        <is>
          <t>VS, Chithra/0000-0001-9005-9943;</t>
        </is>
      </c>
      <c r="AD613" t="inlineStr">
        <is>
          <t>Ministry of Environment and Forests, Government of India, New Delhi</t>
        </is>
      </c>
      <c r="AE613" t="inlineStr">
        <is>
          <t>Ministry of Environment and Forests, Government of India, New Delhi</t>
        </is>
      </c>
      <c r="AF613" t="inlineStr">
        <is>
          <t>We wish to thank the Ministry of Environment and Forests, Government of India, New Delhi, for funding this study. We express our sincere thanks to Head, Sophisticated Analytical Instruments Facility (SAIF), Indian Institute of Technology Madras, Chennai, India, for their support to this study. We are also grateful to the students, teachers and staff of the Kendriya Vidyalaya School, CLRI, Chennai, for their support and cooperation in carrying out this study.</t>
        </is>
      </c>
      <c r="AH613" t="n">
        <v>52</v>
      </c>
      <c r="AI613" t="n">
        <v>70</v>
      </c>
      <c r="AJ613" t="n">
        <v>72</v>
      </c>
      <c r="AK613" t="n">
        <v>3</v>
      </c>
      <c r="AL613" t="n">
        <v>111</v>
      </c>
      <c r="AM613" t="inlineStr">
        <is>
          <t>PERGAMON-ELSEVIER SCIENCE LTD</t>
        </is>
      </c>
      <c r="AN613" t="inlineStr">
        <is>
          <t>OXFORD</t>
        </is>
      </c>
      <c r="AO613" t="inlineStr">
        <is>
          <t>THE BOULEVARD, LANGFORD LANE, KIDLINGTON, OXFORD OX5 1GB, ENGLAND</t>
        </is>
      </c>
      <c r="AP613" t="inlineStr">
        <is>
          <t>1352-2310</t>
        </is>
      </c>
      <c r="AS613" t="inlineStr">
        <is>
          <t>ATMOS ENVIRON</t>
        </is>
      </c>
      <c r="AT613" t="inlineStr">
        <is>
          <t>Atmos. Environ.</t>
        </is>
      </c>
      <c r="AU613" t="inlineStr">
        <is>
          <t>OCT</t>
        </is>
      </c>
      <c r="AV613" t="n">
        <v>2013</v>
      </c>
      <c r="AW613" t="n">
        <v>77</v>
      </c>
      <c r="BC613" t="n">
        <v>579</v>
      </c>
      <c r="BD613" t="n">
        <v>587</v>
      </c>
      <c r="BF613" t="inlineStr">
        <is>
          <t>10.1016/j.atmosenv.2013.05.044</t>
        </is>
      </c>
      <c r="BG613">
        <f>HYPERLINK("http://dx.doi.org/10.1016/j.atmosenv.2013.05.044","http://dx.doi.org/10.1016/j.atmosenv.2013.05.044")</f>
        <v/>
      </c>
      <c r="BJ613" t="n">
        <v>9</v>
      </c>
      <c r="BK613" t="inlineStr">
        <is>
          <t>Environmental Sciences; Meteorology &amp; Atmospheric Sciences</t>
        </is>
      </c>
      <c r="BL613" t="inlineStr">
        <is>
          <t>Science Citation Index Expanded (SCI-EXPANDED)</t>
        </is>
      </c>
      <c r="BM613" t="inlineStr">
        <is>
          <t>Environmental Sciences &amp; Ecology; Meteorology &amp; Atmospheric Sciences</t>
        </is>
      </c>
      <c r="BN613" t="inlineStr">
        <is>
          <t>223YN</t>
        </is>
      </c>
      <c r="BS613" t="inlineStr">
        <is>
          <t>2023-10-26</t>
        </is>
      </c>
      <c r="BT613" t="inlineStr">
        <is>
          <t>WOS:000324848500061</t>
        </is>
      </c>
      <c r="BU613">
        <f>HYPERLINK("https%3A%2F%2Fwww.webofscience.com%2Fwos%2Fwoscc%2Ffull-record%2FWOS:000324848500061","View Full Record in Web of Science")</f>
        <v/>
      </c>
    </row>
    <row r="614">
      <c r="A614" t="inlineStr">
        <is>
          <t>J</t>
        </is>
      </c>
      <c r="B614" t="inlineStr">
        <is>
          <t>Huang, SD; Song, SJ; Nielsen, CP; Zhang, YQ; Xiong, JY; Weschler, LB; Xie, SD; Li, J</t>
        </is>
      </c>
      <c r="F614" t="inlineStr">
        <is>
          <t>Huang, Shaodan; Song, Shaojie; Nielsen, Chris P.; Zhang, Yuqiang; Xiong, Jianyin; Weschler, Louise B.; Xie, Shaodong; Li, Jing</t>
        </is>
      </c>
      <c r="J614" t="inlineStr">
        <is>
          <t>ENVIRONMENT INTERNATIONAL</t>
        </is>
      </c>
      <c r="M614" t="inlineStr">
        <is>
          <t>English</t>
        </is>
      </c>
      <c r="N614" t="inlineStr">
        <is>
          <t>Article</t>
        </is>
      </c>
      <c r="T614" t="inlineStr">
        <is>
          <t>Residential building materials: An important source of ambient formaldehyde in mainland China</t>
        </is>
      </c>
      <c r="U614" t="inlineStr">
        <is>
          <t>Formaldehyde; Emission; Indoor; Ambient; Building materials</t>
        </is>
      </c>
      <c r="V614" t="inlineStr">
        <is>
          <t>VOLATILE ORGANIC-COMPOUNDS; EMISSION INVENTORIES; SPATIAL-DISTRIBUTION; AIR-POLLUTION; HEALTH-RISKS; INDOOR; CARBONYLS; EXPOSURE; PM2.5; TEMPERATURE</t>
        </is>
      </c>
      <c r="W614" t="inlineStr">
        <is>
          <t>This study investigates the contribution of formaldehyde from residential building materials to ambient air in mainland China. Based on 265 indoor field tests in 9 provinces, we estimate that indoor residential sources are responsible for 6.66% of the total anthropogenic formaldehyde in China's ambient air (range for 31 provinces: 1.88-18.79%). Residential building materials rank 6th among 81 anthropogenic sources (range: 2nd-10th for 31 provinces). Emission intensities show large spatial variability between and within regions due to different residential densities, emission characteristics of building materials, and indoor thermal conditions. Our findings indicate that formaldehyde from the indoor environment is a significant source of ambient formaldehyde, especially in urban areas. This study will help to more accurately evaluate exposure to ambient formaldehyde and its related pollutants, and will assist in formulating policies to protect air quality and public health.</t>
        </is>
      </c>
      <c r="X614" t="inlineStr">
        <is>
          <t>[Huang, Shaodan; Li, Jing] Peking Univ, Sch Publ Hlth, Beijing 100871, Peoples R China; [Huang, Shaodan; Li, Jing] Harvard TH Chan Sch Publ Hlth, Dept Environm Hlth, Boston, MA 02115 USA; [Song, Shaojie; Nielsen, Chris P.] Harvard John A Paulson Sch Engn &amp; Appl Sci, Boston, MA 02138 USA; [Zhang, Yuqiang] Duke Univ, Nicholas Sch Environm, Durham, NC 27708 USA; [Xiong, Jianyin] Beijing Inst Technol, Sch Mech Engn, Beijing 100081, Peoples R China; [Weschler, Louise B.] 161 Richdale Rd, Colts Neck, NJ 07722 USA; [Xie, Shaodong; Li, Jing] Peking Univ, Coll Environm Sci &amp; Engn, State Key Joint Lab Environm Simulat &amp; Pollut Con, Beijing 100871, Peoples R China</t>
        </is>
      </c>
      <c r="Y614" t="inlineStr">
        <is>
          <t>Peking University; Harvard University; Harvard T.H. Chan School of Public Health; Duke University; Beijing Institute of Technology; Peking University</t>
        </is>
      </c>
      <c r="Z614" t="inlineStr">
        <is>
          <t>Li, J (corresponding author), Peking Univ, Sch Publ Hlth, Beijing 100871, Peoples R China.</t>
        </is>
      </c>
      <c r="AA614" t="inlineStr">
        <is>
          <t>lijing1989pku@163.com</t>
        </is>
      </c>
      <c r="AB614" t="inlineStr">
        <is>
          <t>Xiong, Jianyin/F-8562-2012; Weschler, Louise B/E-3937-2013; Zhang, Yuqiang Alan/C-5027-2015</t>
        </is>
      </c>
      <c r="AC614" t="inlineStr">
        <is>
          <t>Zhang, Yuqiang Alan/0000-0002-9161-7086; Li, Jing/0000-0001-7682-4311; Weschler, Louise/0000-0002-5778-6134</t>
        </is>
      </c>
      <c r="AD614" t="inlineStr">
        <is>
          <t>National Key Research and Development Program of China [2018YFC0214001]; U.S. Environmental Protection Agency (EPA) [RD-835872]</t>
        </is>
      </c>
      <c r="AE614" t="inlineStr">
        <is>
          <t>National Key Research and Development Program of China; U.S. Environmental Protection Agency (EPA)(United States Environmental Protection Agency)</t>
        </is>
      </c>
      <c r="AF614" t="inlineStr">
        <is>
          <t>This work was supported by the National Key Research and Development Program of China (No. 2018YFC0214001) and U.S. Environmental Protection Agency (EPA) grant RD-835872. The contents do not represent the views of U.S. EPA or the U.S. Government.</t>
        </is>
      </c>
      <c r="AH614" t="n">
        <v>53</v>
      </c>
      <c r="AI614" t="n">
        <v>13</v>
      </c>
      <c r="AJ614" t="n">
        <v>14</v>
      </c>
      <c r="AK614" t="n">
        <v>14</v>
      </c>
      <c r="AL614" t="n">
        <v>76</v>
      </c>
      <c r="AM614" t="inlineStr">
        <is>
          <t>PERGAMON-ELSEVIER SCIENCE LTD</t>
        </is>
      </c>
      <c r="AN614" t="inlineStr">
        <is>
          <t>OXFORD</t>
        </is>
      </c>
      <c r="AO614" t="inlineStr">
        <is>
          <t>THE BOULEVARD, LANGFORD LANE, KIDLINGTON, OXFORD OX5 1GB, ENGLAND</t>
        </is>
      </c>
      <c r="AP614" t="inlineStr">
        <is>
          <t>0160-4120</t>
        </is>
      </c>
      <c r="AQ614" t="inlineStr">
        <is>
          <t>1873-6750</t>
        </is>
      </c>
      <c r="AS614" t="inlineStr">
        <is>
          <t>ENVIRON INT</t>
        </is>
      </c>
      <c r="AT614" t="inlineStr">
        <is>
          <t>Environ. Int.</t>
        </is>
      </c>
      <c r="AU614" t="inlineStr">
        <is>
          <t>JAN</t>
        </is>
      </c>
      <c r="AV614" t="n">
        <v>2022</v>
      </c>
      <c r="AW614" t="n">
        <v>158</v>
      </c>
      <c r="BE614" t="n">
        <v>106909</v>
      </c>
      <c r="BF614" t="inlineStr">
        <is>
          <t>10.1016/j.envint.2021.106909</t>
        </is>
      </c>
      <c r="BG614">
        <f>HYPERLINK("http://dx.doi.org/10.1016/j.envint.2021.106909","http://dx.doi.org/10.1016/j.envint.2021.106909")</f>
        <v/>
      </c>
      <c r="BI614" t="inlineStr">
        <is>
          <t>OCT 2021</t>
        </is>
      </c>
      <c r="BJ614" t="n">
        <v>9</v>
      </c>
      <c r="BK614" t="inlineStr">
        <is>
          <t>Environmental Sciences</t>
        </is>
      </c>
      <c r="BL614" t="inlineStr">
        <is>
          <t>Science Citation Index Expanded (SCI-EXPANDED)</t>
        </is>
      </c>
      <c r="BM614" t="inlineStr">
        <is>
          <t>Environmental Sciences &amp; Ecology</t>
        </is>
      </c>
      <c r="BN614" t="inlineStr">
        <is>
          <t>WD6CH</t>
        </is>
      </c>
      <c r="BO614" t="n">
        <v>34619531</v>
      </c>
      <c r="BP614" t="inlineStr">
        <is>
          <t>gold</t>
        </is>
      </c>
      <c r="BS614" t="inlineStr">
        <is>
          <t>2023-10-26</t>
        </is>
      </c>
      <c r="BT614" t="inlineStr">
        <is>
          <t>WOS:000705025600002</t>
        </is>
      </c>
      <c r="BU614">
        <f>HYPERLINK("https%3A%2F%2Fwww.webofscience.com%2Fwos%2Fwoscc%2Ffull-record%2FWOS:000705025600002","View Full Record in Web of Science")</f>
        <v/>
      </c>
    </row>
    <row r="615">
      <c r="A615" t="inlineStr">
        <is>
          <t>J</t>
        </is>
      </c>
      <c r="B615" t="inlineStr">
        <is>
          <t>Cheng, Y; Kong, DX; Ci, M; Guan, YL; Luo, CY; Zhang, XL; Gao, FP; Li, M; Deng, GF</t>
        </is>
      </c>
      <c r="F615" t="inlineStr">
        <is>
          <t>Cheng, Yao; Kong, Dexuan; Ci, Meng; Guan, Yunlong; Luo, Changyi; Zhang, Xianglan; Gao, Fuping; Li, Min; Deng, Gaofeng</t>
        </is>
      </c>
      <c r="J615" t="inlineStr">
        <is>
          <t>TOXICS</t>
        </is>
      </c>
      <c r="M615" t="inlineStr">
        <is>
          <t>English</t>
        </is>
      </c>
      <c r="N615" t="inlineStr">
        <is>
          <t>Article</t>
        </is>
      </c>
      <c r="T615" t="inlineStr">
        <is>
          <t>Oxidative Stress Effects of Multiple Pollutants in an Indoor Environment on Human Bronchial Epithelial Cells</t>
        </is>
      </c>
      <c r="U615" t="inlineStr">
        <is>
          <t>multiple pollutants complex system; BTX; IAQ standard; cellular biology effect</t>
        </is>
      </c>
      <c r="V615" t="inlineStr">
        <is>
          <t>IMPACT; BUILDINGS</t>
        </is>
      </c>
      <c r="W615" t="inlineStr">
        <is>
          <t>Benzene, toluene, and xylene (denoted as BTX) are normally used in coatings, sealants, curing agents and other home decoration products, which can cause harm to human health. However, traditional studies mostly focus on the toxicity evaluation of a single pollution source, and little attention has been paid to the toxicity reports of multiple pollutants in a complex system. To evaluate the impact of indoor BTX on human health at the cellular level, the oxidative stress effect of BTX on human bronchial epithelial cells was assessed, including cell cytotoxicity, intracellular ROS, cell mitochondrial membrane potential, cell apoptosis, and CYP2E1 expression. The concentrations of BTX introduced into the human bronchial epithelial cell culture medium were determined based on both the tested distribution in 143 newly decorated rooms and the limited concentrations in the indoor air quality (denoted as IAQ) standards. Our study showed that the concentration in line with the standard limit may still pose a serious risk to health. The cellular biology effect studies of BTX showed that BTX, even at concentrations lower than the national standard limit, can still induce observable oxidative stress effects which warrant attention.</t>
        </is>
      </c>
      <c r="X615" t="inlineStr">
        <is>
          <t>[Cheng, Yao; Guan, Yunlong; Zhang, Xianglan; Deng, Gaofeng] China Acad Bldg Res, State Key Lab Bldg Safety &amp; Environm, Beijing 100013, Peoples R China; [Kong, Dexuan; Luo, Changyi; Gao, Fuping; Li, Min] Chinese Acad Sci, Inst High Energy Phys, Beijing 100049, Peoples R China; [Ci, Meng] China Natl Accreditat Insitute Conform Assessment, Beijing 100010, Peoples R China; [Luo, Changyi] Beijing Inst Basic Med Sci, Beijing 100850, Peoples R China</t>
        </is>
      </c>
      <c r="Y615" t="inlineStr">
        <is>
          <t>Chinese Academy of Sciences; Institute of High Energy Physics, CAS; Academy of Military Medical Sciences - China</t>
        </is>
      </c>
      <c r="Z615" t="inlineStr">
        <is>
          <t>Deng, GF (corresponding author), China Acad Bldg Res, State Key Lab Bldg Safety &amp; Environm, Beijing 100013, Peoples R China.;Li, M (corresponding author), Chinese Acad Sci, Inst High Energy Phys, Beijing 100049, Peoples R China.</t>
        </is>
      </c>
      <c r="AA615" t="inlineStr">
        <is>
          <t>limin@ihep.ac.cn; denggaofeng@cabrtech.com</t>
        </is>
      </c>
      <c r="AD615" t="inlineStr">
        <is>
          <t>Opening Funds of State Key Laboratory of Building Safety and Built Environment [20200122512120022]; National Natural Science Foundation of China [22074147]</t>
        </is>
      </c>
      <c r="AE615" t="inlineStr">
        <is>
          <t>Opening Funds of State Key Laboratory of Building Safety and Built Environment; National Natural Science Foundation of China(National Natural Science Foundation of China (NSFC))</t>
        </is>
      </c>
      <c r="AF615" t="inlineStr">
        <is>
          <t>This work was supported by the Opening Funds of State Key Laboratory of Building Safety and Built Environment (No. 20200122512120022), and the National Natural Science Foundation of China (Grant No. 22074147).</t>
        </is>
      </c>
      <c r="AH615" t="n">
        <v>24</v>
      </c>
      <c r="AI615" t="n">
        <v>0</v>
      </c>
      <c r="AJ615" t="n">
        <v>0</v>
      </c>
      <c r="AK615" t="n">
        <v>6</v>
      </c>
      <c r="AL615" t="n">
        <v>6</v>
      </c>
      <c r="AM615" t="inlineStr">
        <is>
          <t>MDPI</t>
        </is>
      </c>
      <c r="AN615" t="inlineStr">
        <is>
          <t>BASEL</t>
        </is>
      </c>
      <c r="AO615" t="inlineStr">
        <is>
          <t>ST ALBAN-ANLAGE 66, CH-4052 BASEL, SWITZERLAND</t>
        </is>
      </c>
      <c r="AQ615" t="inlineStr">
        <is>
          <t>2305-6304</t>
        </is>
      </c>
      <c r="AS615" t="inlineStr">
        <is>
          <t>TOXICS</t>
        </is>
      </c>
      <c r="AT615" t="inlineStr">
        <is>
          <t>Toxics</t>
        </is>
      </c>
      <c r="AU615" t="inlineStr">
        <is>
          <t>MAR</t>
        </is>
      </c>
      <c r="AV615" t="n">
        <v>2023</v>
      </c>
      <c r="AW615" t="n">
        <v>11</v>
      </c>
      <c r="AX615" t="n">
        <v>3</v>
      </c>
      <c r="BE615" t="n">
        <v>251</v>
      </c>
      <c r="BF615" t="inlineStr">
        <is>
          <t>10.3390/toxics11030251</t>
        </is>
      </c>
      <c r="BG615">
        <f>HYPERLINK("http://dx.doi.org/10.3390/toxics11030251","http://dx.doi.org/10.3390/toxics11030251")</f>
        <v/>
      </c>
      <c r="BJ615" t="n">
        <v>10</v>
      </c>
      <c r="BK615" t="inlineStr">
        <is>
          <t>Environmental Sciences; Toxicology</t>
        </is>
      </c>
      <c r="BL615" t="inlineStr">
        <is>
          <t>Science Citation Index Expanded (SCI-EXPANDED)</t>
        </is>
      </c>
      <c r="BM615" t="inlineStr">
        <is>
          <t>Environmental Sciences &amp; Ecology; Toxicology</t>
        </is>
      </c>
      <c r="BN615" t="inlineStr">
        <is>
          <t>C0RE0</t>
        </is>
      </c>
      <c r="BO615" t="n">
        <v>36977016</v>
      </c>
      <c r="BP615" t="inlineStr">
        <is>
          <t>gold, Green Published</t>
        </is>
      </c>
      <c r="BS615" t="inlineStr">
        <is>
          <t>2023-10-26</t>
        </is>
      </c>
      <c r="BT615" t="inlineStr">
        <is>
          <t>WOS:000959086600001</t>
        </is>
      </c>
      <c r="BU615">
        <f>HYPERLINK("https%3A%2F%2Fwww.webofscience.com%2Fwos%2Fwoscc%2Ffull-record%2FWOS:000959086600001","View Full Record in Web of Science")</f>
        <v/>
      </c>
    </row>
    <row r="616">
      <c r="A616" t="inlineStr">
        <is>
          <t>J</t>
        </is>
      </c>
      <c r="B616" t="inlineStr">
        <is>
          <t>Khoshbakht, M; Gou, ZH; Xie, XH; He, BJ; Darko, A</t>
        </is>
      </c>
      <c r="F616" t="inlineStr">
        <is>
          <t>Khoshbakht, Maryam; Gou, Zhonghua; Xie, Xiaohuan; He, Baojie; Darko, Amos</t>
        </is>
      </c>
      <c r="J616" t="inlineStr">
        <is>
          <t>SUSTAINABILITY</t>
        </is>
      </c>
      <c r="M616" t="inlineStr">
        <is>
          <t>English</t>
        </is>
      </c>
      <c r="N616" t="inlineStr">
        <is>
          <t>Article</t>
        </is>
      </c>
      <c r="T616" t="inlineStr">
        <is>
          <t>Green Building Occupant Satisfaction: Evidence from the Australian Higher Education Sector</t>
        </is>
      </c>
      <c r="U616" t="inlineStr">
        <is>
          <t>green building; occupant satisfaction; indoor environment quality; building design; facilities management; higher education</t>
        </is>
      </c>
      <c r="V616" t="inlineStr">
        <is>
          <t>INDOOR ENVIRONMENT QUALITY; LEED-CERTIFIED BUILDINGS; OFFICE BUILDINGS; THERMAL ENVIRONMENT; COMFORT; PERFORMANCE; CHINA; PRODUCTIVITY; MODEL; USERS</t>
        </is>
      </c>
      <c r="W616" t="inlineStr">
        <is>
          <t>Universities spend billions of dollars on green buildings as a sustainability commitment. This research investigates occupant satisfaction with indoor environmental quality (IEQ), building design (BD), and facilities management (FM) in five highly ranked green higher educational buildings in the subtropical climate of Australia, in comparison to nine non-green counterparts. The results disclose that the green building users were more consistently satisfied than the non-green building users with BD&amp;FM elements, such as design, needs from facilities, building image, cleaning, the availability of meeting rooms, and storage. On the other hand, the study revealed weaknesses of green buildings in IEQ, such as noise, ventilation, and artificial lighting. The individual environmental control positively correlated with satisfaction in non-green buildings, but did not significantly affect satisfaction in green buildings. This study also identified the influences of non-environmental factors on occupant satisfaction, such as gender, age, sitting close to a window, hours spent in the building and in the workstation, and the number of people sharing office space. The research provides evidence and guidance for investing in, designing, and managing green educational facilities.</t>
        </is>
      </c>
      <c r="X616" t="inlineStr">
        <is>
          <t>[Khoshbakht, Maryam; Gou, Zhonghua] Griffith Univ, Sch Engn &amp; Built Environm, Gold Coast, Qld 4215, Australia; [Xie, Xiaohuan] Shenzhen Univ, Sch Architecture &amp; Urban Planning, Shenzhen 518060, Peoples R China; [Xie, Xiaohuan] Shenzhen Univ, Shenzhen Key Lab Built Environm Optimizat, Shenzhen 518060, Peoples R China; [He, Baojie] Univ New South Wales, Fac Built Environm, Sydney, NSW 2052, Australia; [Darko, Amos] Hong Kong Polytech Univ, Dept Bldg &amp; Real Estate, Hong Kong, Hong Kong, Peoples R China</t>
        </is>
      </c>
      <c r="Y616" t="inlineStr">
        <is>
          <t>Griffith University; Shenzhen University; Shenzhen University; University of New South Wales Sydney; Hong Kong Polytechnic University</t>
        </is>
      </c>
      <c r="Z616" t="inlineStr">
        <is>
          <t>Xie, XH (corresponding author), Shenzhen Univ, Sch Architecture &amp; Urban Planning, Shenzhen 518060, Peoples R China.;Xie, XH (corresponding author), Shenzhen Univ, Shenzhen Key Lab Built Environm Optimizat, Shenzhen 518060, Peoples R China.</t>
        </is>
      </c>
      <c r="AA616" t="inlineStr">
        <is>
          <t>m.kh@griffith.edu.au; z.gou@griffith.edu.au; xiexiaohuan@szu.edu.cn; baojie.he@unsw.edu.au; amos.darko@connect.polyu.hk</t>
        </is>
      </c>
      <c r="AB616" t="inlineStr">
        <is>
          <t>Darko, Amos/C-4721-2018; Gou, Zhonghua/H-5621-2019; He, Bao-jie/ABC-5621-2020; He, Baojie/J-4430-2019</t>
        </is>
      </c>
      <c r="AC616" t="inlineStr">
        <is>
          <t>Darko, Amos/0000-0002-7978-6039; Gou, Zhonghua/0000-0001-9627-4724; He, Bao-jie/0000-0002-8841-0711; He, Baojie/0000-0002-8841-0711</t>
        </is>
      </c>
      <c r="AD616" t="inlineStr">
        <is>
          <t>Research Start-up Funding for Newly Introduced Teacher of Shenzhen University [2017043]</t>
        </is>
      </c>
      <c r="AE616" t="inlineStr">
        <is>
          <t>Research Start-up Funding for Newly Introduced Teacher of Shenzhen University</t>
        </is>
      </c>
      <c r="AF616" t="inlineStr">
        <is>
          <t>This research was funded by Research Start-up Funding for Newly Introduced Teacher of Shenzhen University grant number [2017043].</t>
        </is>
      </c>
      <c r="AH616" t="n">
        <v>49</v>
      </c>
      <c r="AI616" t="n">
        <v>18</v>
      </c>
      <c r="AJ616" t="n">
        <v>18</v>
      </c>
      <c r="AK616" t="n">
        <v>2</v>
      </c>
      <c r="AL616" t="n">
        <v>58</v>
      </c>
      <c r="AM616" t="inlineStr">
        <is>
          <t>MDPI</t>
        </is>
      </c>
      <c r="AN616" t="inlineStr">
        <is>
          <t>BASEL</t>
        </is>
      </c>
      <c r="AO616" t="inlineStr">
        <is>
          <t>ST ALBAN-ANLAGE 66, CH-4052 BASEL, SWITZERLAND</t>
        </is>
      </c>
      <c r="AQ616" t="inlineStr">
        <is>
          <t>2071-1050</t>
        </is>
      </c>
      <c r="AS616" t="inlineStr">
        <is>
          <t>SUSTAINABILITY-BASEL</t>
        </is>
      </c>
      <c r="AT616" t="inlineStr">
        <is>
          <t>Sustainability</t>
        </is>
      </c>
      <c r="AU616" t="inlineStr">
        <is>
          <t>AUG</t>
        </is>
      </c>
      <c r="AV616" t="n">
        <v>2018</v>
      </c>
      <c r="AW616" t="n">
        <v>10</v>
      </c>
      <c r="AX616" t="n">
        <v>8</v>
      </c>
      <c r="BE616" t="n">
        <v>2890</v>
      </c>
      <c r="BF616" t="inlineStr">
        <is>
          <t>10.3390/su10082890</t>
        </is>
      </c>
      <c r="BG616">
        <f>HYPERLINK("http://dx.doi.org/10.3390/su10082890","http://dx.doi.org/10.3390/su10082890")</f>
        <v/>
      </c>
      <c r="BJ616" t="n">
        <v>21</v>
      </c>
      <c r="BK616" t="inlineStr">
        <is>
          <t>Green &amp; Sustainable Science &amp; Technology; Environmental Sciences; Environmental Studies</t>
        </is>
      </c>
      <c r="BL616" t="inlineStr">
        <is>
          <t>Science Citation Index Expanded (SCI-EXPANDED); Social Science Citation Index (SSCI)</t>
        </is>
      </c>
      <c r="BM616" t="inlineStr">
        <is>
          <t>Science &amp; Technology - Other Topics; Environmental Sciences &amp; Ecology</t>
        </is>
      </c>
      <c r="BN616" t="inlineStr">
        <is>
          <t>GW3CI</t>
        </is>
      </c>
      <c r="BP616" t="inlineStr">
        <is>
          <t>Green Published, gold</t>
        </is>
      </c>
      <c r="BS616" t="inlineStr">
        <is>
          <t>2023-10-26</t>
        </is>
      </c>
      <c r="BT616" t="inlineStr">
        <is>
          <t>WOS:000446767700306</t>
        </is>
      </c>
      <c r="BU616">
        <f>HYPERLINK("https%3A%2F%2Fwww.webofscience.com%2Fwos%2Fwoscc%2Ffull-record%2FWOS:000446767700306","View Full Record in Web of Science")</f>
        <v/>
      </c>
    </row>
    <row r="617">
      <c r="A617" t="inlineStr">
        <is>
          <t>J</t>
        </is>
      </c>
      <c r="B617" t="inlineStr">
        <is>
          <t>Tsirigoti, D; Giarma, C; Tsikaloudaki, K</t>
        </is>
      </c>
      <c r="F617" t="inlineStr">
        <is>
          <t>Tsirigoti, Dimitra; Giarma, Christina; Tsikaloudaki, Katerina</t>
        </is>
      </c>
      <c r="J617" t="inlineStr">
        <is>
          <t>SUSTAINABILITY</t>
        </is>
      </c>
      <c r="M617" t="inlineStr">
        <is>
          <t>English</t>
        </is>
      </c>
      <c r="N617" t="inlineStr">
        <is>
          <t>Article</t>
        </is>
      </c>
      <c r="T617" t="inlineStr">
        <is>
          <t>Indoor Acoustic Comfort Provided by an Innovative Preconstructed Wall Module: Sound Insulation Performance Analysis</t>
        </is>
      </c>
      <c r="U617" t="inlineStr">
        <is>
          <t>sound insulation; acoustic performance; indoor environment; preconstructed module</t>
        </is>
      </c>
      <c r="V617" t="inlineStr">
        <is>
          <t>AIRBORNE SOUND; SINGLE; TRANSMISSION; PREDICTION</t>
        </is>
      </c>
      <c r="W617" t="inlineStr">
        <is>
          <t>The complicated nature of indoor environmental quality (IEQ) (thermal, visual, acoustic comfort, etc.) dictates a multi-fold approach for desirable IEQ levels to be achieved. The improvement of building shells' thermal performance, imposed by the constantly revised buildings' energy performance regulations, does not necessarily guarantee the upgrade of all IEQ-related aspects, such as the construction's acoustic quality, as most of the commonly used insulation materials are characterized by their low acoustic performance properties. From this perspective the SUstainable PReconstructed Innovative Module (SU.PR.I.M.) research project investigates a new, innovative preconstructed building module with advanced characteristics, which can, among other features, provide a high quality of acoustic performance in the indoor space. The module consists of two reinforced concrete vertical panels, between which the load bearing steel profiles are positioned. In the cavity and at the exterior surface of the panel there is a layer of thermal insulation. For the scope of the analysis, different external finishing surfaces are considered, including cladding with slate and brick, and different cavity insulation materials are examined. The addition of Phase Change Materials (PCM) in different mix proportions in the interior concrete panel is also examined. For the calculation of the sound insulation performance of the building module the INSUL 9.0 software is used. The results were validated through an experimental measurement in the laboratory in order to test the consistency of the values obtained. The results indicate that the examined preconstructed module can cover the sound insulation national regulation's performance limits, but the implementation of such panels in building constructions should be carefully considered in case of lower frequency noise environments.</t>
        </is>
      </c>
      <c r="X617" t="inlineStr">
        <is>
          <t>[Tsirigoti, Dimitra; Giarma, Christina; Tsikaloudaki, Katerina] Aristotle Univ Thessaloniki, Lab Bldg Construct &amp; Bldg Phys, Fac Civil Engn, Thessaloniki 54124, Greece</t>
        </is>
      </c>
      <c r="Y617" t="inlineStr">
        <is>
          <t>Aristotle University of Thessaloniki</t>
        </is>
      </c>
      <c r="Z617" t="inlineStr">
        <is>
          <t>Tsirigoti, D (corresponding author), Aristotle Univ Thessaloniki, Lab Bldg Construct &amp; Bldg Phys, Fac Civil Engn, Thessaloniki 54124, Greece.</t>
        </is>
      </c>
      <c r="AA617" t="inlineStr">
        <is>
          <t>dtsirigo@civil.auth.gr; chgiarma@civil.auth.gr; katgt@civil.auth.gr</t>
        </is>
      </c>
      <c r="AB617" t="inlineStr">
        <is>
          <t>Tsirigoti, Dimitra/J-4889-2019</t>
        </is>
      </c>
      <c r="AC617" t="inlineStr">
        <is>
          <t>Tsirigoti, Dimitra/0000-0001-6995-5102; Tsikaloudaki, Katerina/0000-0002-6668-0198</t>
        </is>
      </c>
      <c r="AD617" t="inlineStr">
        <is>
          <t>European Regional Development Fund of the European Union; Greek national funds through the Operational Program Competitiveness, Entrepreneurship and Innovation, under the name RESEARCH-CREATE-INNOVATE [T1EDK-03042]</t>
        </is>
      </c>
      <c r="AE617" t="inlineStr">
        <is>
          <t>European Regional Development Fund of the European Union(European Union (EU)); Greek national funds through the Operational Program Competitiveness, Entrepreneurship and Innovation, under the name RESEARCH-CREATE-INNOVATE</t>
        </is>
      </c>
      <c r="AF617" t="inlineStr">
        <is>
          <t>This research has been co financed by the European Regional Development Fund of the European Union and Greek national funds through the Operational Program Competitiveness, Entrepreneurship and Innovation, under the name RESEARCH-CREATE-INNOVATE (project code:T1EDK-03042).</t>
        </is>
      </c>
      <c r="AH617" t="n">
        <v>39</v>
      </c>
      <c r="AI617" t="n">
        <v>2</v>
      </c>
      <c r="AJ617" t="n">
        <v>2</v>
      </c>
      <c r="AK617" t="n">
        <v>3</v>
      </c>
      <c r="AL617" t="n">
        <v>10</v>
      </c>
      <c r="AM617" t="inlineStr">
        <is>
          <t>MDPI</t>
        </is>
      </c>
      <c r="AN617" t="inlineStr">
        <is>
          <t>BASEL</t>
        </is>
      </c>
      <c r="AO617" t="inlineStr">
        <is>
          <t>ST ALBAN-ANLAGE 66, CH-4052 BASEL, SWITZERLAND</t>
        </is>
      </c>
      <c r="AQ617" t="inlineStr">
        <is>
          <t>2071-1050</t>
        </is>
      </c>
      <c r="AS617" t="inlineStr">
        <is>
          <t>SUSTAINABILITY-BASEL</t>
        </is>
      </c>
      <c r="AT617" t="inlineStr">
        <is>
          <t>Sustainability</t>
        </is>
      </c>
      <c r="AU617" t="inlineStr">
        <is>
          <t>OCT</t>
        </is>
      </c>
      <c r="AV617" t="n">
        <v>2020</v>
      </c>
      <c r="AW617" t="n">
        <v>12</v>
      </c>
      <c r="AX617" t="n">
        <v>20</v>
      </c>
      <c r="BE617" t="n">
        <v>8666</v>
      </c>
      <c r="BF617" t="inlineStr">
        <is>
          <t>10.3390/su12208666</t>
        </is>
      </c>
      <c r="BG617">
        <f>HYPERLINK("http://dx.doi.org/10.3390/su12208666","http://dx.doi.org/10.3390/su12208666")</f>
        <v/>
      </c>
      <c r="BJ617" t="n">
        <v>21</v>
      </c>
      <c r="BK617" t="inlineStr">
        <is>
          <t>Green &amp; Sustainable Science &amp; Technology; Environmental Sciences; Environmental Studies</t>
        </is>
      </c>
      <c r="BL617" t="inlineStr">
        <is>
          <t>Science Citation Index Expanded (SCI-EXPANDED); Social Science Citation Index (SSCI)</t>
        </is>
      </c>
      <c r="BM617" t="inlineStr">
        <is>
          <t>Science &amp; Technology - Other Topics; Environmental Sciences &amp; Ecology</t>
        </is>
      </c>
      <c r="BN617" t="inlineStr">
        <is>
          <t>OI1QX</t>
        </is>
      </c>
      <c r="BP617" t="inlineStr">
        <is>
          <t>gold, Green Published</t>
        </is>
      </c>
      <c r="BS617" t="inlineStr">
        <is>
          <t>2023-10-26</t>
        </is>
      </c>
      <c r="BT617" t="inlineStr">
        <is>
          <t>WOS:000583063200001</t>
        </is>
      </c>
      <c r="BU617">
        <f>HYPERLINK("https%3A%2F%2Fwww.webofscience.com%2Fwos%2Fwoscc%2Ffull-record%2FWOS:000583063200001","View Full Record in Web of Science")</f>
        <v/>
      </c>
    </row>
    <row r="618">
      <c r="A618" t="inlineStr">
        <is>
          <t>J</t>
        </is>
      </c>
      <c r="B618" t="inlineStr">
        <is>
          <t>Rösch, C; Wissenbach, D; von Bergen, M; Franck, U; Wendisch, M; Schlink, U</t>
        </is>
      </c>
      <c r="F618" t="inlineStr">
        <is>
          <t>Roesch, Carolin; Wissenbach, Dirk K.; von Bergen, Martin; Franck, Ulrich; Wendisch, Manfred; Schlink, Uwe</t>
        </is>
      </c>
      <c r="J618" t="inlineStr">
        <is>
          <t>ENVIRONMENTAL SCIENCE AND POLLUTION RESEARCH</t>
        </is>
      </c>
      <c r="M618" t="inlineStr">
        <is>
          <t>English</t>
        </is>
      </c>
      <c r="N618" t="inlineStr">
        <is>
          <t>Article</t>
        </is>
      </c>
      <c r="T618" t="inlineStr">
        <is>
          <t>The lasting effect of limonene-induced particle formation on air quality in a genuine indoor environment</t>
        </is>
      </c>
      <c r="U618" t="inlineStr">
        <is>
          <t>Indoor air quality; Ozonolysis; Particle formation; Limonene; Particle growth; Indoor environment</t>
        </is>
      </c>
      <c r="V618" t="inlineStr">
        <is>
          <t>VOLATILE ORGANIC-COMPOUNDS; OZONE-INITIATED REACTIONS; AEROSOL FORMATION; ALPHA-PINENE; ULTRAFINE PARTICLES; FINE PARTICLES; OZONE/LIMONENE REACTIONS; VENTILATION CONDITIONS; MASS CONCENTRATIONS; RESIDENTIAL HOUSES</t>
        </is>
      </c>
      <c r="W618" t="inlineStr">
        <is>
          <t>Atmospheric ozone-terpene reactions, which form secondary organic aerosol (SOA) particles, can affect indoor air quality when outdoor air mixes with indoor air during ventilation. This study, conducted in Leipzig, Germany, focused on limonene-induced particle formation in a genuine indoor environment (24 m(3)). Particle number, limonene and ozone concentrations were monitored during the whole experimental period. After manual ventilation for 30 min, during which indoor ozone levels reached up to 22.7 ppb, limonene was introduced into the room at concentrations of approximately 180 to 250 mu g m(-3). We observed strong particle formation and growth within a diameter range of 9 to 50 nm under real-room conditions. Larger particles with diameters above 100 nm were less affected by limonene introduction. The total particle number concentrations (TPNCs) after limonene introduction clearly exceed outdoor values by a factor of 4.5 to 41 reaching maximum concentrations of up to 267,000 particles cm(-3). The formation strength was influenced by background particles, which attenuated the formation of new SOA with increasing concentration, and by ozone levels, an increase of which by 10 ppb will result in a six times higher TPNC. This study emphasizes indoor environments to be preferred locations for particle formation and growth after ventilation events. As a consequence, SOA formation can produce significantly higher amounts of particles than transported by ventilation into the indoor air.</t>
        </is>
      </c>
      <c r="X618" t="inlineStr">
        <is>
          <t>[Roesch, Carolin; Schlink, Uwe] UFZ Helmholtz Ctr Environm Res, Dept Urban &amp; Environm Sociol, D-04318 Leipzig, Germany; [Wissenbach, Dirk K.; von Bergen, Martin] UFZ Helmholtz Ctr Environm Res, Dept Metabol, D-04318 Leipzig, Germany; [von Bergen, Martin] Aalborg Univ, Dept Biotechnol Chem &amp; Environm Engn, DK-9220 Aalborg, Denmark; [Franck, Ulrich] UFZ Helmholtz Ctr Environm Res, Dept Environm Immunol Core Facil Studies, D-04318 Leipzig, Germany; [Wendisch, Manfred] Univ Leipzig, LIM, Fac Phys &amp; Earth Sci, D-04103 Leipzig, Germany</t>
        </is>
      </c>
      <c r="Y618" t="inlineStr">
        <is>
          <t>Helmholtz Association; Helmholtz Center for Environmental Research (UFZ); Helmholtz Association; Helmholtz Center for Environmental Research (UFZ); Aalborg University; Helmholtz Association; Helmholtz Center for Environmental Research (UFZ); Leipzig University</t>
        </is>
      </c>
      <c r="Z618" t="inlineStr">
        <is>
          <t>Rösch, C (corresponding author), UFZ Helmholtz Ctr Environm Res, Dept Urban &amp; Environm Sociol, Permoserstr 15, D-04318 Leipzig, Germany.</t>
        </is>
      </c>
      <c r="AA618" t="inlineStr">
        <is>
          <t>carolin.roesch@ufz.de</t>
        </is>
      </c>
      <c r="AB618" t="inlineStr">
        <is>
          <t>Wendisch, Manfred/E-4175-2013; Schlink, Uwe/D-5357-2015; von Bergen, Martin/D-7960-2011</t>
        </is>
      </c>
      <c r="AC618" t="inlineStr">
        <is>
          <t>Wendisch, Manfred/0000-0002-4652-5561; Schlink, Uwe/0000-0002-3109-9459; von Bergen, Martin/0000-0003-2732-2977</t>
        </is>
      </c>
      <c r="AD618" t="inlineStr">
        <is>
          <t>Deutsche Bundesstiftung Umwelt</t>
        </is>
      </c>
      <c r="AE618" t="inlineStr">
        <is>
          <t>Deutsche Bundesstiftung Umwelt</t>
        </is>
      </c>
      <c r="AF618" t="inlineStr">
        <is>
          <t>The first author would like to thank the Deutsche Bundesstiftung Umwelt for funding this research and especially Brigitte Winkler who conducted the laboratory preparation of the VOC samples for GC/MS analyses and the evaluation of the GC/MS data.</t>
        </is>
      </c>
      <c r="AH618" t="n">
        <v>56</v>
      </c>
      <c r="AI618" t="n">
        <v>6</v>
      </c>
      <c r="AJ618" t="n">
        <v>6</v>
      </c>
      <c r="AK618" t="n">
        <v>0</v>
      </c>
      <c r="AL618" t="n">
        <v>21</v>
      </c>
      <c r="AM618" t="inlineStr">
        <is>
          <t>SPRINGER HEIDELBERG</t>
        </is>
      </c>
      <c r="AN618" t="inlineStr">
        <is>
          <t>HEIDELBERG</t>
        </is>
      </c>
      <c r="AO618" t="inlineStr">
        <is>
          <t>TIERGARTENSTRASSE 17, D-69121 HEIDELBERG, GERMANY</t>
        </is>
      </c>
      <c r="AP618" t="inlineStr">
        <is>
          <t>0944-1344</t>
        </is>
      </c>
      <c r="AQ618" t="inlineStr">
        <is>
          <t>1614-7499</t>
        </is>
      </c>
      <c r="AS618" t="inlineStr">
        <is>
          <t>ENVIRON SCI POLLUT R</t>
        </is>
      </c>
      <c r="AT618" t="inlineStr">
        <is>
          <t>Environ. Sci. Pollut. Res.</t>
        </is>
      </c>
      <c r="AU618" t="inlineStr">
        <is>
          <t>SEP</t>
        </is>
      </c>
      <c r="AV618" t="n">
        <v>2015</v>
      </c>
      <c r="AW618" t="n">
        <v>22</v>
      </c>
      <c r="AX618" t="n">
        <v>18</v>
      </c>
      <c r="BC618" t="n">
        <v>14209</v>
      </c>
      <c r="BD618" t="n">
        <v>14219</v>
      </c>
      <c r="BF618" t="inlineStr">
        <is>
          <t>10.1007/s11356-015-4663-8</t>
        </is>
      </c>
      <c r="BG618">
        <f>HYPERLINK("http://dx.doi.org/10.1007/s11356-015-4663-8","http://dx.doi.org/10.1007/s11356-015-4663-8")</f>
        <v/>
      </c>
      <c r="BJ618" t="n">
        <v>11</v>
      </c>
      <c r="BK618" t="inlineStr">
        <is>
          <t>Environmental Sciences</t>
        </is>
      </c>
      <c r="BL618" t="inlineStr">
        <is>
          <t>Science Citation Index Expanded (SCI-EXPANDED)</t>
        </is>
      </c>
      <c r="BM618" t="inlineStr">
        <is>
          <t>Environmental Sciences &amp; Ecology</t>
        </is>
      </c>
      <c r="BN618" t="inlineStr">
        <is>
          <t>CQ8GI</t>
        </is>
      </c>
      <c r="BO618" t="n">
        <v>25966888</v>
      </c>
      <c r="BS618" t="inlineStr">
        <is>
          <t>2023-10-26</t>
        </is>
      </c>
      <c r="BT618" t="inlineStr">
        <is>
          <t>WOS:000360844200055</t>
        </is>
      </c>
      <c r="BU618">
        <f>HYPERLINK("https%3A%2F%2Fwww.webofscience.com%2Fwos%2Fwoscc%2Ffull-record%2FWOS:000360844200055","View Full Record in Web of Science")</f>
        <v/>
      </c>
    </row>
    <row r="619">
      <c r="A619" t="inlineStr">
        <is>
          <t>J</t>
        </is>
      </c>
      <c r="B619" t="inlineStr">
        <is>
          <t>Ji, YZ; Xu, MH; Zhang, T; He, YD</t>
        </is>
      </c>
      <c r="F619" t="inlineStr">
        <is>
          <t>Ji, Yunzhu; Xu, Minghao; Zhang, Tong; He, Yingdong</t>
        </is>
      </c>
      <c r="J619" t="inlineStr">
        <is>
          <t>SUSTAINABILITY</t>
        </is>
      </c>
      <c r="M619" t="inlineStr">
        <is>
          <t>English</t>
        </is>
      </c>
      <c r="N619" t="inlineStr">
        <is>
          <t>Article</t>
        </is>
      </c>
      <c r="T619" t="inlineStr">
        <is>
          <t>Intelligent Parametric Optimization of Building Atrium Design: A Case Study for a Sustainable and Comfortable Environment</t>
        </is>
      </c>
      <c r="U619" t="inlineStr">
        <is>
          <t>building atrium; parametric design; built environment; thermal comfort; multi-objective optimization; optimization framework</t>
        </is>
      </c>
      <c r="V619" t="inlineStr">
        <is>
          <t>ENERGY-CONSUMPTION; ADJOINING SPACES; THERMAL COMFORT; PERFORMANCE</t>
        </is>
      </c>
      <c r="W619" t="inlineStr">
        <is>
          <t>Building atrium design is crucial to maintaining a sustainable built environment and providing thermal comfort to occupants. This study proposes a parametric framework to optimize the atrium's geometry for environmental performance and thermal comfort improvement. It integrates the parametric design, performance simulation, and multi-objective optimization in the Rhino and Grasshopper platform to realize automatic optimization. The atrium's well index, shape ratio, volume ratio, position index, and inner interface window-to-wall ratio were set as optimized factors. For the optimization objectives, useful daylight illuminance (UDI), energy use intensity (EUI), and the discomfort time percentage (DTP) were chosen as metrics for the measurement of daylighting, energy use efficiency, and thermal comfort, respectively. Moreover, a geometry mapping method is developed; it can turn atrium shape into rectangular profiles. Thus, the framework can apply to general buildings. To validate the effectiveness of the proposed framework, an atrium optimization case study is conducted for a villa in Poland. According to the optimization results, the performance of the compared three objectives are improved by 43.20%, 15.52%, and 3.89%, respectively. The running time for the optimization is about 36 s per solution, which greatly reduce the human and time cost compared to the traditional working method.</t>
        </is>
      </c>
      <c r="X619" t="inlineStr">
        <is>
          <t>[Ji, Yunzhu; Zhang, Tong] Southeast Univ, Sch Architecture, Nanjing 210096, Peoples R China; [Ji, Yunzhu; He, Yingdong] Univ Calif Berkeley, Ctr Built Environm, Berkeley, CA 94720 USA; [Xu, Minghao] Univ Calif Berkeley, Coll Environm Design, Berkeley, CA 94720 USA; [He, Yingdong] Hunan Univ, Coll Civil Engn, Changsha 410082, Peoples R China</t>
        </is>
      </c>
      <c r="Y619" t="inlineStr">
        <is>
          <t>Southeast University - China; University of California System; University of California Berkeley; University of California System; University of California Berkeley; Hunan University</t>
        </is>
      </c>
      <c r="Z619" t="inlineStr">
        <is>
          <t>He, YD (corresponding author), Univ Calif Berkeley, Ctr Built Environm, Berkeley, CA 94720 USA.;He, YD (corresponding author), Hunan Univ, Coll Civil Engn, Changsha 410082, Peoples R China.</t>
        </is>
      </c>
      <c r="AA619" t="inlineStr">
        <is>
          <t>heyingdong2022@hnu.edu.cn</t>
        </is>
      </c>
      <c r="AB619" t="inlineStr">
        <is>
          <t>zhang, tong/JAO-3571-2023; Xu, Minghao/JAO-5257-2023; Zhang, tong/IAP-2587-2023; ZHANG, TAO/ITV-6162-2023</t>
        </is>
      </c>
      <c r="AC619" t="inlineStr">
        <is>
          <t>Xu, Minghao/0000-0002-9823-3085; JI, yunzhu/0000-0003-0171-3865</t>
        </is>
      </c>
      <c r="AD619" t="inlineStr">
        <is>
          <t>Center for the Built Environment, University of California, Berkeley [59297 24003 44]; Fundamental Research Funds for the Central Universities, China</t>
        </is>
      </c>
      <c r="AE619" t="inlineStr">
        <is>
          <t>Center for the Built Environment, University of California, Berkeley(University of California System); Fundamental Research Funds for the Central Universities, China(Fundamental Research Funds for the Central Universities)</t>
        </is>
      </c>
      <c r="AF619" t="inlineStr">
        <is>
          <t>This research was funded by the Center for the Built Environment, University of California, Berkeley (Number: 59297 24003 44) and the Fundamental Research Funds for the Central Universities, China.</t>
        </is>
      </c>
      <c r="AH619" t="n">
        <v>39</v>
      </c>
      <c r="AI619" t="n">
        <v>3</v>
      </c>
      <c r="AJ619" t="n">
        <v>3</v>
      </c>
      <c r="AK619" t="n">
        <v>18</v>
      </c>
      <c r="AL619" t="n">
        <v>21</v>
      </c>
      <c r="AM619" t="inlineStr">
        <is>
          <t>MDPI</t>
        </is>
      </c>
      <c r="AN619" t="inlineStr">
        <is>
          <t>BASEL</t>
        </is>
      </c>
      <c r="AO619" t="inlineStr">
        <is>
          <t>ST ALBAN-ANLAGE 66, CH-4052 BASEL, SWITZERLAND</t>
        </is>
      </c>
      <c r="AQ619" t="inlineStr">
        <is>
          <t>2071-1050</t>
        </is>
      </c>
      <c r="AS619" t="inlineStr">
        <is>
          <t>SUSTAINABILITY-BASEL</t>
        </is>
      </c>
      <c r="AT619" t="inlineStr">
        <is>
          <t>Sustainability</t>
        </is>
      </c>
      <c r="AU619" t="inlineStr">
        <is>
          <t>MAR</t>
        </is>
      </c>
      <c r="AV619" t="n">
        <v>2023</v>
      </c>
      <c r="AW619" t="n">
        <v>15</v>
      </c>
      <c r="AX619" t="n">
        <v>5</v>
      </c>
      <c r="BE619" t="n">
        <v>4362</v>
      </c>
      <c r="BF619" t="inlineStr">
        <is>
          <t>10.3390/su15054362</t>
        </is>
      </c>
      <c r="BG619">
        <f>HYPERLINK("http://dx.doi.org/10.3390/su15054362","http://dx.doi.org/10.3390/su15054362")</f>
        <v/>
      </c>
      <c r="BJ619" t="n">
        <v>25</v>
      </c>
      <c r="BK619" t="inlineStr">
        <is>
          <t>Green &amp; Sustainable Science &amp; Technology; Environmental Sciences; Environmental Studies</t>
        </is>
      </c>
      <c r="BL619" t="inlineStr">
        <is>
          <t>Science Citation Index Expanded (SCI-EXPANDED); Social Science Citation Index (SSCI)</t>
        </is>
      </c>
      <c r="BM619" t="inlineStr">
        <is>
          <t>Science &amp; Technology - Other Topics; Environmental Sciences &amp; Ecology</t>
        </is>
      </c>
      <c r="BN619" t="inlineStr">
        <is>
          <t>9U8YM</t>
        </is>
      </c>
      <c r="BP619" t="inlineStr">
        <is>
          <t>gold</t>
        </is>
      </c>
      <c r="BS619" t="inlineStr">
        <is>
          <t>2023-10-26</t>
        </is>
      </c>
      <c r="BT619" t="inlineStr">
        <is>
          <t>WOS:000947990900001</t>
        </is>
      </c>
      <c r="BU619">
        <f>HYPERLINK("https%3A%2F%2Fwww.webofscience.com%2Fwos%2Fwoscc%2Ffull-record%2FWOS:000947990900001","View Full Record in Web of Science")</f>
        <v/>
      </c>
    </row>
    <row r="620">
      <c r="A620" t="inlineStr">
        <is>
          <t>J</t>
        </is>
      </c>
      <c r="B620" t="inlineStr">
        <is>
          <t>San Jose, R; Pérez, JL; Gonzalez-Barras, RM</t>
        </is>
      </c>
      <c r="F620" t="inlineStr">
        <is>
          <t>San Jose, R.; Perez, J. L.; Gonzalez-Barras, R. M.</t>
        </is>
      </c>
      <c r="J620" t="inlineStr">
        <is>
          <t>SCIENCE OF THE TOTAL ENVIRONMENT</t>
        </is>
      </c>
      <c r="M620" t="inlineStr">
        <is>
          <t>English</t>
        </is>
      </c>
      <c r="N620" t="inlineStr">
        <is>
          <t>Article</t>
        </is>
      </c>
      <c r="T620" t="inlineStr">
        <is>
          <t>Multizone airflow and pollution simulations of indoor emission sources</t>
        </is>
      </c>
      <c r="U620" t="inlineStr">
        <is>
          <t>Indoor pollution; Exposure; Health impact; Energy; Buildings</t>
        </is>
      </c>
      <c r="V620" t="inlineStr">
        <is>
          <t>URBAN HEAT-ISLAND; ENERGY; EXPOSURES; IMPACT; BUILDINGS; PARTICLES; HEALTH; PM2.5; DISTRIBUTIONS; PENETRATION</t>
        </is>
      </c>
      <c r="W620" t="inlineStr">
        <is>
          <t>A health impact assessment of the indoor pollution was performed for various indoor sources: oven for heating, cooking, photocopy machine and smoke cigarettes. The mortality levels and hospital admissions associated with exposure to PM2.5 and NO2 concentrations have been calculated. We have modelled a two level house in Madrid city center where the office and the living floors are in the same building. The people follow a predefined activity patterns (time profiles) in the outdoor and indoor environments. In this experiment, we have performed a full year simulation using the Energy-Plus model to obtain the following parameters: building energy use, thermal behavior, airflow and indoor air quality simultaneously. Outdoor air quality and meteorological conditions were provided by the output of running the very well-known model WRF/Chem. The health impacts of the indoor emitting sources are higher in the warm months due to the operation of the air conditioning system. The largest impact on health is produced by the emissions that are released during cooking. The results also show a high correlation between indoor and outdoor concentrations when indoor emissions are not considered. (C) 2020 Elsevier B.V. All rights reserved.</t>
        </is>
      </c>
      <c r="X620" t="inlineStr">
        <is>
          <t>[San Jose, R.; Perez, J. L.] Tech Univ Madrid UPM, Comp Sci Sch, Environm Software &amp; Modelling Grp, Madrid, Spain; [Gonzalez-Barras, R. M.] Complutense Univ Madrid UCM, Fac Phys, Dept Phys &amp; Meteorol, Ciudad Univ, Madrid 28040, Spain</t>
        </is>
      </c>
      <c r="Y620" t="inlineStr">
        <is>
          <t>Universidad Politecnica de Madrid; Complutense University of Madrid</t>
        </is>
      </c>
      <c r="Z620" t="inlineStr">
        <is>
          <t>San Jose, R (corresponding author), Tech Univ Madrid UPM, Comp Sci Sch, Environm Software &amp; Modelling Grp, Madrid, Spain.</t>
        </is>
      </c>
      <c r="AA620" t="inlineStr">
        <is>
          <t>roberto@fi.upm.es</t>
        </is>
      </c>
      <c r="AB620" t="inlineStr">
        <is>
          <t>Pérez-Naranjo, José/JFT-1427-2023</t>
        </is>
      </c>
      <c r="AH620" t="n">
        <v>48</v>
      </c>
      <c r="AI620" t="n">
        <v>10</v>
      </c>
      <c r="AJ620" t="n">
        <v>10</v>
      </c>
      <c r="AK620" t="n">
        <v>2</v>
      </c>
      <c r="AL620" t="n">
        <v>39</v>
      </c>
      <c r="AM620" t="inlineStr">
        <is>
          <t>ELSEVIER</t>
        </is>
      </c>
      <c r="AN620" t="inlineStr">
        <is>
          <t>AMSTERDAM</t>
        </is>
      </c>
      <c r="AO620" t="inlineStr">
        <is>
          <t>RADARWEG 29, 1043 NX AMSTERDAM, NETHERLANDS</t>
        </is>
      </c>
      <c r="AP620" t="inlineStr">
        <is>
          <t>0048-9697</t>
        </is>
      </c>
      <c r="AQ620" t="inlineStr">
        <is>
          <t>1879-1026</t>
        </is>
      </c>
      <c r="AS620" t="inlineStr">
        <is>
          <t>SCI TOTAL ENVIRON</t>
        </is>
      </c>
      <c r="AT620" t="inlineStr">
        <is>
          <t>Sci. Total Environ.</t>
        </is>
      </c>
      <c r="AU620" t="inlineStr">
        <is>
          <t>APR 20</t>
        </is>
      </c>
      <c r="AV620" t="n">
        <v>2021</v>
      </c>
      <c r="AW620" t="n">
        <v>766</v>
      </c>
      <c r="BE620" t="n">
        <v>142593</v>
      </c>
      <c r="BF620" t="inlineStr">
        <is>
          <t>10.1016/j.scitotenv.2020.142593</t>
        </is>
      </c>
      <c r="BG620">
        <f>HYPERLINK("http://dx.doi.org/10.1016/j.scitotenv.2020.142593","http://dx.doi.org/10.1016/j.scitotenv.2020.142593")</f>
        <v/>
      </c>
      <c r="BI620" t="inlineStr">
        <is>
          <t>FEB 2021</t>
        </is>
      </c>
      <c r="BJ620" t="n">
        <v>11</v>
      </c>
      <c r="BK620" t="inlineStr">
        <is>
          <t>Environmental Sciences</t>
        </is>
      </c>
      <c r="BL620" t="inlineStr">
        <is>
          <t>Science Citation Index Expanded (SCI-EXPANDED)</t>
        </is>
      </c>
      <c r="BM620" t="inlineStr">
        <is>
          <t>Environmental Sciences &amp; Ecology</t>
        </is>
      </c>
      <c r="BN620" t="inlineStr">
        <is>
          <t>QG6EO</t>
        </is>
      </c>
      <c r="BO620" t="n">
        <v>33082044</v>
      </c>
      <c r="BS620" t="inlineStr">
        <is>
          <t>2023-10-26</t>
        </is>
      </c>
      <c r="BT620" t="inlineStr">
        <is>
          <t>WOS:000617676800026</t>
        </is>
      </c>
      <c r="BU620">
        <f>HYPERLINK("https%3A%2F%2Fwww.webofscience.com%2Fwos%2Fwoscc%2Ffull-record%2FWOS:000617676800026","View Full Record in Web of Science")</f>
        <v/>
      </c>
    </row>
    <row r="621">
      <c r="A621" t="inlineStr">
        <is>
          <t>J</t>
        </is>
      </c>
      <c r="B621" t="inlineStr">
        <is>
          <t>Kotradyova, V; Vavrinsky, E; Kalinakova, B; Petro, D; Jansakova, A; Boles, M; Svobodova, H</t>
        </is>
      </c>
      <c r="F621" t="inlineStr">
        <is>
          <t>Kotradyova, Veronika; Vavrinsky, Erik; Kalinakova, Barbora; Petro, Dominik; Jansakova, Atarina; Boles, Martin; Svobodova, Helena</t>
        </is>
      </c>
      <c r="J621" t="inlineStr">
        <is>
          <t>INTERNATIONAL JOURNAL OF ENVIRONMENTAL RESEARCH AND PUBLIC HEALTH</t>
        </is>
      </c>
      <c r="M621" t="inlineStr">
        <is>
          <t>English</t>
        </is>
      </c>
      <c r="N621" t="inlineStr">
        <is>
          <t>Article</t>
        </is>
      </c>
      <c r="T621" t="inlineStr">
        <is>
          <t>Wood and Its Impact on Humans and Environment Quality in Health Care Facilities</t>
        </is>
      </c>
      <c r="U621" t="inlineStr">
        <is>
          <t>natural materials; wood; environment design; hospitals; human physiology; face emotions</t>
        </is>
      </c>
      <c r="W621" t="inlineStr">
        <is>
          <t>The paper presents the application of natural materials, especially wood, which are relevant for human well-being in built environments of health, social, and day care facilities. These properties were tested by a complex methodology in a case study in the wooden waiting room at National Oncology Institute in Bratislava. In this space, experimental tests of physiological responses were further executed on 50 volunteers moving in the waiting room for 20 min. In this article, the EEG (electroencephalograph) (four persons) and emotions from the faces of all our volunteers before entering and after a stay in a wooden waiting room were recorded. Specifically, the ECG (electrocardiograph), heart rate (HR), and respiration activity were measured by using our own designed ECG holter (40 persons), and also blood pressure and cortisol levels were observed. The usage of wooden materials verifies their regenerative and positive impact on the human nervous system, through the appealing aesthetics (color, texture, and structures), high contact comfort, pleasant smell, possibility to regulate air humidity, volatile organic compound emissions (VOC-emissions), and acoustic well-being in the space.</t>
        </is>
      </c>
      <c r="X621" t="inlineStr">
        <is>
          <t>[Kotradyova, Veronika; Boles, Martin] Slovak Univ Technol Bratislava, Fac Architecture, Inst Interior &amp; Exhibit Design, BCDlab, Nam Slobody 19, Bratislava 81245, Slovakia; [Vavrinsky, Erik] Slovak Univ Technol Bratislava, Fac Elect Engn &amp; Informat Technol, Inst Elect &amp; Photon, Ilkovicova 3, Bratislava 81219, Slovakia; [Vavrinsky, Erik; Svobodova, Helena] Comenius Univ, Fac Med, Inst Med Phys Biophys Informat &amp; Telemed, Sasinkova 2, Bratislava 81372, Slovakia; [Kalinakova, Barbora] Slovak Univ Technol Bratislava, Fac Chem &amp; Food Technol, Inst Biochem &amp; Microbiol, Radlinskeho 9, Bratislava 81237, Slovakia; [Petro, Dominik] FaceMedia, Jazdecka 6, Bratislava 83103, Slovakia; [Jansakova, Atarina] Comenius Univ, Fac Med, Inst Physiol, Sasinkova 2, Bratislava 81372, Slovakia; [Svobodova, Helena] Comenius Univ, Fac Med, Dept Simulat &amp; Virtual Med Educ, Sasinkova 4, Bratislava 81272, Slovakia</t>
        </is>
      </c>
      <c r="Y621" t="inlineStr">
        <is>
          <t>Slovak University of Technology Bratislava; Slovak University of Technology Bratislava; Comenius University Bratislava; Slovak University of Technology Bratislava; Slovak Academy of Sciences; Comenius University Bratislava; Comenius University Bratislava</t>
        </is>
      </c>
      <c r="Z621" t="inlineStr">
        <is>
          <t>Kotradyova, V (corresponding author), Slovak Univ Technol Bratislava, Fac Architecture, Inst Interior &amp; Exhibit Design, BCDlab, Nam Slobody 19, Bratislava 81245, Slovakia.</t>
        </is>
      </c>
      <c r="AA621" t="inlineStr">
        <is>
          <t>veronika.kotradyova@stuba.sk; erik.vavrinsky@stuba.sk; barbora.kalinakova@stuba.sk; dominik@facemedia.io; katarina.jansakova@fmed.uniba.sk; martin.boles@stuba.sk; helena.svobodova@fmed.uniba.sk</t>
        </is>
      </c>
      <c r="AB621" t="inlineStr">
        <is>
          <t>Svobodova, Helena/AAF-9950-2020; Vavrinský, Erik/AAU-7599-2020</t>
        </is>
      </c>
      <c r="AC621" t="inlineStr">
        <is>
          <t>Svobodova, Helena/0000-0001-8384-3510; Vavrinský, Erik/0000-0002-0981-5949</t>
        </is>
      </c>
      <c r="AD621" t="inlineStr">
        <is>
          <t>Slovak Research and Development Agency [APVV 16-0567, APVV 0594-12, APVV-18-0550]; Ministry of Education, Science, Research and Sport of the Slovak Republic [VEGA 1/0886/17]; COST action project SHELDON-Smart habitat for elderly</t>
        </is>
      </c>
      <c r="AE621" t="inlineStr">
        <is>
          <t>Slovak Research and Development Agency(Slovak Research and Development Agency); Ministry of Education, Science, Research and Sport of the Slovak Republic; COST action project SHELDON-Smart habitat for elderly</t>
        </is>
      </c>
      <c r="AF621" t="inlineStr">
        <is>
          <t>This work was supported by Slovak Research and Development Agency under contract APVV 16-0567 Identity SK, APVV 0594-12 Interaction of man and wood and APVV-18-0550 Printed sensor elements for monitoring of human health using the IoT, the Ministry of Education, Science, Research and Sport of the Slovak Republic under grant VEGA 1/0886/17 and COST action project SHELDON-Smart habitat for elderly.</t>
        </is>
      </c>
      <c r="AH621" t="n">
        <v>35</v>
      </c>
      <c r="AI621" t="n">
        <v>18</v>
      </c>
      <c r="AJ621" t="n">
        <v>18</v>
      </c>
      <c r="AK621" t="n">
        <v>11</v>
      </c>
      <c r="AL621" t="n">
        <v>36</v>
      </c>
      <c r="AM621" t="inlineStr">
        <is>
          <t>MDPI</t>
        </is>
      </c>
      <c r="AN621" t="inlineStr">
        <is>
          <t>BASEL</t>
        </is>
      </c>
      <c r="AO621" t="inlineStr">
        <is>
          <t>ST ALBAN-ANLAGE 66, CH-4052 BASEL, SWITZERLAND</t>
        </is>
      </c>
      <c r="AQ621" t="inlineStr">
        <is>
          <t>1660-4601</t>
        </is>
      </c>
      <c r="AS621" t="inlineStr">
        <is>
          <t>INT J ENV RES PUB HE</t>
        </is>
      </c>
      <c r="AT621" t="inlineStr">
        <is>
          <t>Int. J. Environ. Res. Public Health</t>
        </is>
      </c>
      <c r="AU621" t="inlineStr">
        <is>
          <t>SEP 2</t>
        </is>
      </c>
      <c r="AV621" t="n">
        <v>2019</v>
      </c>
      <c r="AW621" t="n">
        <v>16</v>
      </c>
      <c r="AX621" t="n">
        <v>18</v>
      </c>
      <c r="BE621" t="n">
        <v>3496</v>
      </c>
      <c r="BF621" t="inlineStr">
        <is>
          <t>10.3390/ijerph16183496</t>
        </is>
      </c>
      <c r="BG621">
        <f>HYPERLINK("http://dx.doi.org/10.3390/ijerph16183496","http://dx.doi.org/10.3390/ijerph16183496")</f>
        <v/>
      </c>
      <c r="BJ621" t="n">
        <v>20</v>
      </c>
      <c r="BK621" t="inlineStr">
        <is>
          <t>Environmental Sciences; Public, Environmental &amp; Occupational Health</t>
        </is>
      </c>
      <c r="BL621" t="inlineStr">
        <is>
          <t>Science Citation Index Expanded (SCI-EXPANDED); Social Science Citation Index (SSCI)</t>
        </is>
      </c>
      <c r="BM621" t="inlineStr">
        <is>
          <t>Environmental Sciences &amp; Ecology; Public, Environmental &amp; Occupational Health</t>
        </is>
      </c>
      <c r="BN621" t="inlineStr">
        <is>
          <t>JC3KV</t>
        </is>
      </c>
      <c r="BO621" t="n">
        <v>31546873</v>
      </c>
      <c r="BP621" t="inlineStr">
        <is>
          <t>gold, Green Published</t>
        </is>
      </c>
      <c r="BS621" t="inlineStr">
        <is>
          <t>2023-10-26</t>
        </is>
      </c>
      <c r="BT621" t="inlineStr">
        <is>
          <t>WOS:000489178500270</t>
        </is>
      </c>
      <c r="BU621">
        <f>HYPERLINK("https%3A%2F%2Fwww.webofscience.com%2Fwos%2Fwoscc%2Ffull-record%2FWOS:000489178500270","View Full Record in Web of Science")</f>
        <v/>
      </c>
    </row>
    <row r="622">
      <c r="A622" t="inlineStr">
        <is>
          <t>J</t>
        </is>
      </c>
      <c r="B622" t="inlineStr">
        <is>
          <t>Wang, J; Norbäck, D</t>
        </is>
      </c>
      <c r="F622" t="inlineStr">
        <is>
          <t>Wang, Juan; Norback, Dan</t>
        </is>
      </c>
      <c r="J622" t="inlineStr">
        <is>
          <t>SCIENCE OF THE TOTAL ENVIRONMENT</t>
        </is>
      </c>
      <c r="M622" t="inlineStr">
        <is>
          <t>English</t>
        </is>
      </c>
      <c r="N622" t="inlineStr">
        <is>
          <t>Article</t>
        </is>
      </c>
      <c r="T622" t="inlineStr">
        <is>
          <t>Subjective indoor air quality and thermal comfort among adults in relation to inspected and measured indoor environment factors in single-family houses in Sweden-the BETSI study</t>
        </is>
      </c>
      <c r="U622" t="inlineStr">
        <is>
          <t>Subjective indoor air quality; Draught; Temperature; Measured indoor environment; Moisture load; Ventilation</t>
        </is>
      </c>
      <c r="V622" t="inlineStr">
        <is>
          <t>SICK BUILDING SYNDROME; VENTILATION FLOW; SBS SYMPTOMS; PERCEPTION; OFFICE; HUMIDIFICATION; TEMPERATURE; HEALTH; SATISFACTION; ASTHMA</t>
        </is>
      </c>
      <c r="W622" t="inlineStr">
        <is>
          <t>Totally 1160 adults living in single-family houses in Sweden participated in a questionnaire survey on subjective indoor air quality (SIAQ). Inspectors investigated the dwellings and performed home measurements (mean indoor temperature 21.4 degrees C, mean indoor air humidity 342%, mean indoor air exchange rate 0.36 ac/h and mean moisture load indoor 1.7 g/m(3)). Totally 15.5% perceived draught. 28.0% perceived too high room temperature, 42.4% unstable room temperature, 36.8% too low room temperature, 19.6% stuffy air, 19.8% dry air and 29.9% dust or dirt. Measured room temperature was related to perception of room temperature. Higher relative air humidity was related to perceived unstable room temperature (OR = 1.70) and too low room temperature (OR = 1.96). Higher absolute air humidity was related to too high room temperature (OR = 121), unstable room temperature (OR = 1.34) and too low room temperature (OR = 135). Higher measured relative humidity, absolute air humidity and moisture load were all associated with stuffy air and unpleasant odor (OR = 1.45-1.97). Higher air exchange rate was related to less perceived unstable room temperature (OR = 0.93). Higher U value was related to draught (OR = 1.17). too low room temperature (OR = 1.09), unpleasant odor (OR = 1.12) and dust and dirt (OR = 1.07 ). New concrete slab foundation was related to less stuffy air (OR = 0.39) (vs. basement). Damp foundation was associated with more stuffy air (OR = 1.44) and unpleasant odor (OR = 1.61). Window pane condensation was related to stuffy air (OR = 1.88). Moldy odor reported by inspector was related to stuffy air (OR = 1.73). Observed mold in the attic was associated with more stuffy air and unpleasant odor. In conclusion, complaints of room temperature can indicate poor thermal environment. Higher air exchange rate can create a more stable thermal sensation. Excess indoor humidity, lower degree of thermal insulation, presence of window pane condensation and indoor dampness/mold can impair SIAQ. Higher ventilation and concrete slab foundation with underlying thermal insulation can improve SIAQ. (C) 2021 The Authors. Published by Elsevier B.V.</t>
        </is>
      </c>
      <c r="X622" t="inlineStr">
        <is>
          <t>[Wang, Juan; Norback, Dan] Uppsala Univ, Dept Med Sci Occupat &amp; Environm Med, SE-75185 Uppsala, Sweden</t>
        </is>
      </c>
      <c r="Y622" t="inlineStr">
        <is>
          <t>Uppsala University</t>
        </is>
      </c>
      <c r="Z622" t="inlineStr">
        <is>
          <t>Wang, J (corresponding author), Uppsala Univ, Dept Med Sci Occupat &amp; Environm Med, SE-75185 Uppsala, Sweden.</t>
        </is>
      </c>
      <c r="AA622" t="inlineStr">
        <is>
          <t>juan.wang@medsci.uu.se</t>
        </is>
      </c>
      <c r="AD622" t="inlineStr">
        <is>
          <t>Swedish AFA Insurance [467801100]</t>
        </is>
      </c>
      <c r="AE622" t="inlineStr">
        <is>
          <t>Swedish AFA Insurance</t>
        </is>
      </c>
      <c r="AF622" t="inlineStr">
        <is>
          <t>The study was funded by the Swedish AFA Insurance (No. 467801100). Thanks to Boverket and the Swedish National Board of Housing, Building and Planning. The authors would also like to thank all the participants.</t>
        </is>
      </c>
      <c r="AH622" t="n">
        <v>50</v>
      </c>
      <c r="AI622" t="n">
        <v>9</v>
      </c>
      <c r="AJ622" t="n">
        <v>10</v>
      </c>
      <c r="AK622" t="n">
        <v>4</v>
      </c>
      <c r="AL622" t="n">
        <v>25</v>
      </c>
      <c r="AM622" t="inlineStr">
        <is>
          <t>ELSEVIER</t>
        </is>
      </c>
      <c r="AN622" t="inlineStr">
        <is>
          <t>AMSTERDAM</t>
        </is>
      </c>
      <c r="AO622" t="inlineStr">
        <is>
          <t>RADARWEG 29, 1043 NX AMSTERDAM, NETHERLANDS</t>
        </is>
      </c>
      <c r="AP622" t="inlineStr">
        <is>
          <t>0048-9697</t>
        </is>
      </c>
      <c r="AQ622" t="inlineStr">
        <is>
          <t>1879-1026</t>
        </is>
      </c>
      <c r="AS622" t="inlineStr">
        <is>
          <t>SCI TOTAL ENVIRON</t>
        </is>
      </c>
      <c r="AT622" t="inlineStr">
        <is>
          <t>Sci. Total Environ.</t>
        </is>
      </c>
      <c r="AU622" t="inlineStr">
        <is>
          <t>JAN 1</t>
        </is>
      </c>
      <c r="AV622" t="n">
        <v>2022</v>
      </c>
      <c r="AW622" t="n">
        <v>802</v>
      </c>
      <c r="BE622" t="n">
        <v>149804</v>
      </c>
      <c r="BF622" t="inlineStr">
        <is>
          <t>10.1016/j.scitotenv.2021.149804</t>
        </is>
      </c>
      <c r="BG622">
        <f>HYPERLINK("http://dx.doi.org/10.1016/j.scitotenv.2021.149804","http://dx.doi.org/10.1016/j.scitotenv.2021.149804")</f>
        <v/>
      </c>
      <c r="BI622" t="inlineStr">
        <is>
          <t>AUG 2021</t>
        </is>
      </c>
      <c r="BJ622" t="n">
        <v>10</v>
      </c>
      <c r="BK622" t="inlineStr">
        <is>
          <t>Environmental Sciences</t>
        </is>
      </c>
      <c r="BL622" t="inlineStr">
        <is>
          <t>Science Citation Index Expanded (SCI-EXPANDED)</t>
        </is>
      </c>
      <c r="BM622" t="inlineStr">
        <is>
          <t>Environmental Sciences &amp; Ecology</t>
        </is>
      </c>
      <c r="BN622" t="inlineStr">
        <is>
          <t>UY8FK</t>
        </is>
      </c>
      <c r="BO622" t="n">
        <v>34455269</v>
      </c>
      <c r="BP622" t="inlineStr">
        <is>
          <t>Green Published, hybrid</t>
        </is>
      </c>
      <c r="BS622" t="inlineStr">
        <is>
          <t>2023-10-26</t>
        </is>
      </c>
      <c r="BT622" t="inlineStr">
        <is>
          <t>WOS:000701753000017</t>
        </is>
      </c>
      <c r="BU622">
        <f>HYPERLINK("https%3A%2F%2Fwww.webofscience.com%2Fwos%2Fwoscc%2Ffull-record%2FWOS:000701753000017","View Full Record in Web of Science")</f>
        <v/>
      </c>
    </row>
    <row r="623">
      <c r="A623" t="inlineStr">
        <is>
          <t>J</t>
        </is>
      </c>
      <c r="B623" t="inlineStr">
        <is>
          <t>Zhou, Y; Leung, MHY; Tong, XZ; Lee, JYY; Lee, PKH</t>
        </is>
      </c>
      <c r="F623" t="inlineStr">
        <is>
          <t>Zhou, You; Leung, Marcus H. Y.; Tong, Xinzhao; Lee, Justin Y. Y.; Lee, Patrick K. H.</t>
        </is>
      </c>
      <c r="J623" t="inlineStr">
        <is>
          <t>ENVIRONMENTAL SCIENCE &amp; TECHNOLOGY</t>
        </is>
      </c>
      <c r="M623" t="inlineStr">
        <is>
          <t>English</t>
        </is>
      </c>
      <c r="N623" t="inlineStr">
        <is>
          <t>Article</t>
        </is>
      </c>
      <c r="T623" t="inlineStr">
        <is>
          <t>City-Scale Meta-Analysis of Indoor Airborne Microbiota Reveals that Taxonomic and Functional Compositions Vary with Building Types</t>
        </is>
      </c>
      <c r="U623" t="inlineStr">
        <is>
          <t>airborne microbiota; amplicon sequence variants; building type; indoor air; operational taxonomic units</t>
        </is>
      </c>
      <c r="V623" t="inlineStr">
        <is>
          <t>SP NOV.; BACTERIAL COMMUNITIES; AIR-QUALITY; SP. NOV.; WATER; ACTINOMYCETE; DIVERSITY; DADA2; ACIDS; DUST</t>
        </is>
      </c>
      <c r="W623" t="inlineStr">
        <is>
          <t>Currently, there is a lack of understanding on the variations of the indoor airborne microbiotas of different building types within a city, and how operational taxonomic unit (OTU)- and amplicon sequence variant (ASV)-based analyses of the 16S rRNA gene sequences affect interpretation of the indoor airborne microbiota results. Therefore, in this study, the indoor airborne bacterial microbiotas between commercial buildings, residences, and subways within the same city were compared using both OTU- and ASV-based analytic methods. Our findings suggested that indoor airborne bacterial microbiota compositions were significantly different between building types regardless of the bioinformatics method used. The processes of ecological drift and random dispersal consistently played significant roles in the assembly of the indoor microbiota across building types. Abundant taxa tended to be more centralized in the correlation network of each building type, highlighting their importance. Taxonomic changes between the microbiotas of different building types were also linked to changes in their inferred metabolic function capabilities. Overall, the results imply that customized strategies are necessary to manage indoor airborne bacterial microbiotas for each building type or even within each specific building.</t>
        </is>
      </c>
      <c r="X623" t="inlineStr">
        <is>
          <t>[Zhou, You; Leung, Marcus H. Y.; Tong, Xinzhao; Lee, Justin Y. Y.; Lee, Patrick K. H.] City Univ Hong Kong, Sch Energy &amp; Environm, Hong Kong, Peoples R China; [Lee, Patrick K. H.] City Univ Hong Kong, State Key Lab Marine Pollut, Hong Kong, Peoples R China</t>
        </is>
      </c>
      <c r="Y623" t="inlineStr">
        <is>
          <t>City University of Hong Kong; City University of Hong Kong</t>
        </is>
      </c>
      <c r="Z623" t="inlineStr">
        <is>
          <t>Lee, PKH (corresponding author), City Univ Hong Kong, Sch Energy &amp; Environm, Hong Kong, Peoples R China.;Lee, PKH (corresponding author), City Univ Hong Kong, State Key Lab Marine Pollut, Hong Kong, Peoples R China.</t>
        </is>
      </c>
      <c r="AA623" t="inlineStr">
        <is>
          <t>patrick.kh.lee@cityu.edu.hk</t>
        </is>
      </c>
      <c r="AB623" t="inlineStr">
        <is>
          <t>Lee, Patrick K H/L-1844-2016</t>
        </is>
      </c>
      <c r="AC623" t="inlineStr">
        <is>
          <t>Lee, Patrick K H/0000-0003-0911-5317; , Joe/0000-0002-6179-5690</t>
        </is>
      </c>
      <c r="AD623" t="inlineStr">
        <is>
          <t>Research Grants Council of Hong Kong [11215017]</t>
        </is>
      </c>
      <c r="AE623" t="inlineStr">
        <is>
          <t>Research Grants Council of Hong Kong(Hong Kong Research Grants Council)</t>
        </is>
      </c>
      <c r="AF623" t="inlineStr">
        <is>
          <t>This research was supported by the Research Grants Council of Hong Kong through Project 11215017.</t>
        </is>
      </c>
      <c r="AH623" t="n">
        <v>102</v>
      </c>
      <c r="AI623" t="n">
        <v>2</v>
      </c>
      <c r="AJ623" t="n">
        <v>2</v>
      </c>
      <c r="AK623" t="n">
        <v>21</v>
      </c>
      <c r="AL623" t="n">
        <v>62</v>
      </c>
      <c r="AM623" t="inlineStr">
        <is>
          <t>AMER CHEMICAL SOC</t>
        </is>
      </c>
      <c r="AN623" t="inlineStr">
        <is>
          <t>WASHINGTON</t>
        </is>
      </c>
      <c r="AO623" t="inlineStr">
        <is>
          <t>1155 16TH ST, NW, WASHINGTON, DC 20036 USA</t>
        </is>
      </c>
      <c r="AP623" t="inlineStr">
        <is>
          <t>0013-936X</t>
        </is>
      </c>
      <c r="AQ623" t="inlineStr">
        <is>
          <t>1520-5851</t>
        </is>
      </c>
      <c r="AS623" t="inlineStr">
        <is>
          <t>ENVIRON SCI TECHNOL</t>
        </is>
      </c>
      <c r="AT623" t="inlineStr">
        <is>
          <t>Environ. Sci. Technol.</t>
        </is>
      </c>
      <c r="AU623" t="inlineStr">
        <is>
          <t>NOV 16</t>
        </is>
      </c>
      <c r="AV623" t="n">
        <v>2021</v>
      </c>
      <c r="AW623" t="n">
        <v>55</v>
      </c>
      <c r="AX623" t="n">
        <v>22</v>
      </c>
      <c r="BC623" t="n">
        <v>15051</v>
      </c>
      <c r="BD623" t="n">
        <v>15062</v>
      </c>
      <c r="BF623" t="inlineStr">
        <is>
          <t>10.1021/acs.est.1c03941</t>
        </is>
      </c>
      <c r="BG623">
        <f>HYPERLINK("http://dx.doi.org/10.1021/acs.est.1c03941","http://dx.doi.org/10.1021/acs.est.1c03941")</f>
        <v/>
      </c>
      <c r="BI623" t="inlineStr">
        <is>
          <t>NOV 2021</t>
        </is>
      </c>
      <c r="BJ623" t="n">
        <v>12</v>
      </c>
      <c r="BK623" t="inlineStr">
        <is>
          <t>Engineering, Environmental; Environmental Sciences</t>
        </is>
      </c>
      <c r="BL623" t="inlineStr">
        <is>
          <t>Science Citation Index Expanded (SCI-EXPANDED)</t>
        </is>
      </c>
      <c r="BM623" t="inlineStr">
        <is>
          <t>Engineering; Environmental Sciences &amp; Ecology</t>
        </is>
      </c>
      <c r="BN623" t="inlineStr">
        <is>
          <t>XB3TY</t>
        </is>
      </c>
      <c r="BO623" t="n">
        <v>34738808</v>
      </c>
      <c r="BS623" t="inlineStr">
        <is>
          <t>2023-10-26</t>
        </is>
      </c>
      <c r="BT623" t="inlineStr">
        <is>
          <t>WOS:000721255600009</t>
        </is>
      </c>
      <c r="BU623">
        <f>HYPERLINK("https%3A%2F%2Fwww.webofscience.com%2Fwos%2Fwoscc%2Ffull-record%2FWOS:000721255600009","View Full Record in Web of Science")</f>
        <v/>
      </c>
    </row>
    <row r="624">
      <c r="A624" t="inlineStr">
        <is>
          <t>J</t>
        </is>
      </c>
      <c r="B624" t="inlineStr">
        <is>
          <t>Son, YS; Lim, BA; Park, HJ; Kim, JC</t>
        </is>
      </c>
      <c r="F624" t="inlineStr">
        <is>
          <t>Son, Youn-Suk; Lim, Bo-A; Park, Hyun-Ju; Kim, Jo-Chun</t>
        </is>
      </c>
      <c r="J624" t="inlineStr">
        <is>
          <t>AIR QUALITY ATMOSPHERE AND HEALTH</t>
        </is>
      </c>
      <c r="M624" t="inlineStr">
        <is>
          <t>English</t>
        </is>
      </c>
      <c r="N624" t="inlineStr">
        <is>
          <t>Article</t>
        </is>
      </c>
      <c r="T624" t="inlineStr">
        <is>
          <t>Characteristics of volatile organic compounds (VOCs) emitted from building materials to improve indoor air quality: focused on natural VOCs</t>
        </is>
      </c>
      <c r="U624" t="inlineStr">
        <is>
          <t>Indoor air quality; Building material; NVOC; TVOC; alpha-Pinene</t>
        </is>
      </c>
      <c r="V624" t="inlineStr">
        <is>
          <t>FOREST ENVIRONMENTS; EMISSIONS; FORMALDEHYDE; WALKING</t>
        </is>
      </c>
      <c r="W624" t="inlineStr">
        <is>
          <t>To protect public health from indoor volatile organic compounds (VOCs) exposure, it is critical to estimate the emission rate and characteristic by indoor building materials. To this end, four different types of lumbers (Pinus densiflora, Pinus koraiensis, Cryptomeria japonica, and Larix leptolepis) and four different types of artificial building materials (particleboard (PB), medium density fiberboard (MDF), plywood of Radiata Pine (PRP), and plywood of Oceania Timber (POT)) were used. Total VOC (TVOC) from lumbers, excluding P. koraiensis, showed the highest level of emissions on the first day, and the level tended to decline with the passage of time. In particular, TVOC from P. densiflora showed the highest level at 10,793 mu g/m(2) center dot h and only 40 % of TVOC reduced even after 14 days. On the other hand, TVOC from artificial building materials showed lower levels of emissions in the order of MDF &gt; PRP &gt; PB &gt; POT. Furthermore, The TVOC emissions from lumbers were approximately 1.3-47.6 times higher than those of artificial building materials. However, the levels emitted from P. densiflora and P. koraiensis stabilized afterwards, and the natural VOC beneficial to the human body was confirmed to exceed 90 %, most of which comprised alpha-pinene, beta-pinene, d-limonene, camphene, and alpha-terpinene.</t>
        </is>
      </c>
      <c r="X624" t="inlineStr">
        <is>
          <t>[Son, Youn-Suk] Harvard Univ, Sch Publ Hlth, Dept Environm Hlth, Exposure Epidemiol &amp; Risk Program, Boston, MA 02115 USA; [Son, Youn-Suk; Lim, Bo-A; Park, Hyun-Ju; Kim, Jo-Chun] Konkuk Univ, Dept Environm Engn, Seoul 143701, South Korea</t>
        </is>
      </c>
      <c r="Y624" t="inlineStr">
        <is>
          <t>Harvard University; Harvard T.H. Chan School of Public Health; Konkuk University</t>
        </is>
      </c>
      <c r="Z624" t="inlineStr">
        <is>
          <t>Kim, JC (corresponding author), Konkuk Univ, Dept Environm Engn, 1 Hwayang Dong, Seoul 143701, South Korea.</t>
        </is>
      </c>
      <c r="AA624" t="inlineStr">
        <is>
          <t>jckim@konkuk.ac.kr</t>
        </is>
      </c>
      <c r="AC624" t="inlineStr">
        <is>
          <t>Kim, Jo-Chun/0000-0003-3916-0565</t>
        </is>
      </c>
      <c r="AD624" t="inlineStr">
        <is>
          <t>Korea Forest Research Institute; National Research Foundation of Korea (NRF); Ministry of Education, Science and Technology [2012R1A6A3A03039668]; National Research Foundation of Korea [2012R1A6A3A03039668] Funding Source: Korea Institute of Science &amp; Technology Information (KISTI), National Science &amp; Technology Information Service (NTIS)</t>
        </is>
      </c>
      <c r="AE624" t="inlineStr">
        <is>
          <t>Korea Forest Research Institute; National Research Foundation of Korea (NRF)(National Research Foundation of Korea); Ministry of Education, Science and Technology(Ministry of Education, Science &amp; Technology (MEST), Republic of Korea); National Research Foundation of Korea(National Research Foundation of Korea)</t>
        </is>
      </c>
      <c r="AF624" t="inlineStr">
        <is>
          <t>This work was supported by the Korea Forest Research Institute and by Basic Science Research Program through the National Research Foundation of Korea (NRF) funded by the Ministry of Education, Science and Technology (2012R1A6A3A03039668).</t>
        </is>
      </c>
      <c r="AH624" t="n">
        <v>25</v>
      </c>
      <c r="AI624" t="n">
        <v>30</v>
      </c>
      <c r="AJ624" t="n">
        <v>30</v>
      </c>
      <c r="AK624" t="n">
        <v>0</v>
      </c>
      <c r="AL624" t="n">
        <v>81</v>
      </c>
      <c r="AM624" t="inlineStr">
        <is>
          <t>SPRINGER</t>
        </is>
      </c>
      <c r="AN624" t="inlineStr">
        <is>
          <t>DORDRECHT</t>
        </is>
      </c>
      <c r="AO624" t="inlineStr">
        <is>
          <t>VAN GODEWIJCKSTRAAT 30, 3311 GZ DORDRECHT, NETHERLANDS</t>
        </is>
      </c>
      <c r="AP624" t="inlineStr">
        <is>
          <t>1873-9318</t>
        </is>
      </c>
      <c r="AQ624" t="inlineStr">
        <is>
          <t>1873-9326</t>
        </is>
      </c>
      <c r="AS624" t="inlineStr">
        <is>
          <t>AIR QUAL ATMOS HLTH</t>
        </is>
      </c>
      <c r="AT624" t="inlineStr">
        <is>
          <t>Air Qual. Atmos. Health</t>
        </is>
      </c>
      <c r="AU624" t="inlineStr">
        <is>
          <t>DEC</t>
        </is>
      </c>
      <c r="AV624" t="n">
        <v>2013</v>
      </c>
      <c r="AW624" t="n">
        <v>6</v>
      </c>
      <c r="AX624" t="n">
        <v>4</v>
      </c>
      <c r="BC624" t="n">
        <v>737</v>
      </c>
      <c r="BD624" t="n">
        <v>746</v>
      </c>
      <c r="BF624" t="inlineStr">
        <is>
          <t>10.1007/s11869-013-0207-x</t>
        </is>
      </c>
      <c r="BG624">
        <f>HYPERLINK("http://dx.doi.org/10.1007/s11869-013-0207-x","http://dx.doi.org/10.1007/s11869-013-0207-x")</f>
        <v/>
      </c>
      <c r="BJ624" t="n">
        <v>10</v>
      </c>
      <c r="BK624" t="inlineStr">
        <is>
          <t>Environmental Sciences</t>
        </is>
      </c>
      <c r="BL624" t="inlineStr">
        <is>
          <t>Science Citation Index Expanded (SCI-EXPANDED)</t>
        </is>
      </c>
      <c r="BM624" t="inlineStr">
        <is>
          <t>Environmental Sciences &amp; Ecology</t>
        </is>
      </c>
      <c r="BN624" t="inlineStr">
        <is>
          <t>270QC</t>
        </is>
      </c>
      <c r="BS624" t="inlineStr">
        <is>
          <t>2023-10-26</t>
        </is>
      </c>
      <c r="BT624" t="inlineStr">
        <is>
          <t>WOS:000328332500007</t>
        </is>
      </c>
      <c r="BU624">
        <f>HYPERLINK("https%3A%2F%2Fwww.webofscience.com%2Fwos%2Fwoscc%2Ffull-record%2FWOS:000328332500007","View Full Record in Web of Science")</f>
        <v/>
      </c>
    </row>
    <row r="625">
      <c r="A625" t="inlineStr">
        <is>
          <t>J</t>
        </is>
      </c>
      <c r="B625" t="inlineStr">
        <is>
          <t>Hu, M; Roberts, J</t>
        </is>
      </c>
      <c r="F625" t="inlineStr">
        <is>
          <t>Hu, Ming; Roberts, Jennifer</t>
        </is>
      </c>
      <c r="J625" t="inlineStr">
        <is>
          <t>URBAN SCIENCE</t>
        </is>
      </c>
      <c r="M625" t="inlineStr">
        <is>
          <t>English</t>
        </is>
      </c>
      <c r="N625" t="inlineStr">
        <is>
          <t>Article</t>
        </is>
      </c>
      <c r="T625" t="inlineStr">
        <is>
          <t>Built Environment Evaluation in Virtual Reality Environments-A Cognitive Neuroscience Approach</t>
        </is>
      </c>
      <c r="U625" t="inlineStr">
        <is>
          <t>built environment; data driven; virtual reality; electroencephalogram; emotion</t>
        </is>
      </c>
      <c r="V625" t="inlineStr">
        <is>
          <t>HEALTH-BENEFITS; ARCHITECTURE; EXPERIENCE; DESIGN; EEG</t>
        </is>
      </c>
      <c r="W625" t="inlineStr">
        <is>
          <t>To date, the predominant tools for the evaluation of built environment quality and impact have been surveys, scorecards, or verbal comments-approaches that rely upon user-reported responses. The goal of this research project is to develop, test, and validate a data-driven approach for built environment quality evaluation /validation based upon measurement of real-time emotional responses to simulated environments. This paper presents an experiment that was conducted by combining an immersive virtual environment (virtual reality) and electroencephalogram (EEG) as a tool to evaluate Pre and Post Purple Line development. More precisely, the objective was to (a) develop a data-driven approach for built environment quality evaluation and (b) understand the correlation between the built environment characters and emotional state. The preliminary validation of the proposed evaluation method identified discrepancies between traditional evaluation results and emotion response indications through EEG signals. The validation and findings have laid a foundation for further investigation of relations between people's general cognitive and emotional responses in evaluating built environment quality and characters.</t>
        </is>
      </c>
      <c r="X625" t="inlineStr">
        <is>
          <t>[Hu, Ming] Univ Maryland, Sch Architecture, Planning, Preservat, College Pk, MD 20742 USA; [Roberts, Jennifer] Univ Maryland, Dept Kinesiol, Sch Publ Hlth, College Pk, MD 20742 USA</t>
        </is>
      </c>
      <c r="Y625" t="inlineStr">
        <is>
          <t>University System of Maryland; University of Maryland College Park; University System of Maryland; University of Maryland College Park</t>
        </is>
      </c>
      <c r="Z625" t="inlineStr">
        <is>
          <t>Hu, M (corresponding author), Univ Maryland, Sch Architecture, Planning, Preservat, College Pk, MD 20742 USA.</t>
        </is>
      </c>
      <c r="AA625" t="inlineStr">
        <is>
          <t>mhu2008@umd.edu; jenrob@umd.edu</t>
        </is>
      </c>
      <c r="AB625" t="inlineStr">
        <is>
          <t>Hu, Ming/I-4311-2019; Hu, Ming/GLR-6191-2022</t>
        </is>
      </c>
      <c r="AC625" t="inlineStr">
        <is>
          <t>Hu, Ming/0000-0003-2583-1161; Hu, Ming/0000-0003-2583-1161; Roberts, Jennifer D./0000-0002-1850-4341</t>
        </is>
      </c>
      <c r="AD625" t="inlineStr">
        <is>
          <t>University of Maryland, Tier 1 award</t>
        </is>
      </c>
      <c r="AE625" t="inlineStr">
        <is>
          <t>University of Maryland, Tier 1 award</t>
        </is>
      </c>
      <c r="AF625" t="inlineStr">
        <is>
          <t>This work was supported by the University of Maryland, Tier 1 award.</t>
        </is>
      </c>
      <c r="AH625" t="n">
        <v>51</v>
      </c>
      <c r="AI625" t="n">
        <v>12</v>
      </c>
      <c r="AJ625" t="n">
        <v>12</v>
      </c>
      <c r="AK625" t="n">
        <v>8</v>
      </c>
      <c r="AL625" t="n">
        <v>28</v>
      </c>
      <c r="AM625" t="inlineStr">
        <is>
          <t>MDPI</t>
        </is>
      </c>
      <c r="AN625" t="inlineStr">
        <is>
          <t>BASEL</t>
        </is>
      </c>
      <c r="AO625" t="inlineStr">
        <is>
          <t>ST ALBAN-ANLAGE 66, CH-4052 BASEL, SWITZERLAND</t>
        </is>
      </c>
      <c r="AQ625" t="inlineStr">
        <is>
          <t>2413-8851</t>
        </is>
      </c>
      <c r="AS625" t="inlineStr">
        <is>
          <t>URBAN SCI</t>
        </is>
      </c>
      <c r="AT625" t="inlineStr">
        <is>
          <t>Urban Sci.</t>
        </is>
      </c>
      <c r="AU625" t="inlineStr">
        <is>
          <t>DEC</t>
        </is>
      </c>
      <c r="AV625" t="n">
        <v>2020</v>
      </c>
      <c r="AW625" t="n">
        <v>4</v>
      </c>
      <c r="AX625" t="n">
        <v>4</v>
      </c>
      <c r="BE625" t="n">
        <v>48</v>
      </c>
      <c r="BF625" t="inlineStr">
        <is>
          <t>10.3390/urbansci4040048</t>
        </is>
      </c>
      <c r="BG625">
        <f>HYPERLINK("http://dx.doi.org/10.3390/urbansci4040048","http://dx.doi.org/10.3390/urbansci4040048")</f>
        <v/>
      </c>
      <c r="BJ625" t="n">
        <v>16</v>
      </c>
      <c r="BK625" t="inlineStr">
        <is>
          <t>Environmental Sciences; Environmental Studies; Geography; Regional &amp; Urban Planning; Urban Studies</t>
        </is>
      </c>
      <c r="BL625" t="inlineStr">
        <is>
          <t>Emerging Sources Citation Index (ESCI)</t>
        </is>
      </c>
      <c r="BM625" t="inlineStr">
        <is>
          <t>Environmental Sciences &amp; Ecology; Geography; Public Administration; Urban Studies</t>
        </is>
      </c>
      <c r="BN625" t="inlineStr">
        <is>
          <t>QL3ZZ</t>
        </is>
      </c>
      <c r="BP625" t="inlineStr">
        <is>
          <t>gold</t>
        </is>
      </c>
      <c r="BS625" t="inlineStr">
        <is>
          <t>2023-10-26</t>
        </is>
      </c>
      <c r="BT625" t="inlineStr">
        <is>
          <t>WOS:000621019300004</t>
        </is>
      </c>
      <c r="BU625">
        <f>HYPERLINK("https%3A%2F%2Fwww.webofscience.com%2Fwos%2Fwoscc%2Ffull-record%2FWOS:000621019300004","View Full Record in Web of Science")</f>
        <v/>
      </c>
    </row>
    <row r="626">
      <c r="A626" t="inlineStr">
        <is>
          <t>J</t>
        </is>
      </c>
      <c r="B626" t="inlineStr">
        <is>
          <t>Torrens, PM</t>
        </is>
      </c>
      <c r="F626" t="inlineStr">
        <is>
          <t>Torrens, Paul M.</t>
        </is>
      </c>
      <c r="J626" t="inlineStr">
        <is>
          <t>ENVIRONMENTAL EARTH SCIENCES</t>
        </is>
      </c>
      <c r="M626" t="inlineStr">
        <is>
          <t>English</t>
        </is>
      </c>
      <c r="N626" t="inlineStr">
        <is>
          <t>Article</t>
        </is>
      </c>
      <c r="T626" t="inlineStr">
        <is>
          <t>Intertwining agents and environments</t>
        </is>
      </c>
      <c r="U626" t="inlineStr">
        <is>
          <t>Geosimulation; Modeling and simulation; Virtual reality; Earthquakes; Evacuation; GIS</t>
        </is>
      </c>
      <c r="V626" t="inlineStr">
        <is>
          <t>VIRTUAL GEOGRAPHIC ENVIRONMENT; INTEGRATION; GENERATION; DISTANCE; MOTION; SPACE; GIS</t>
        </is>
      </c>
      <c r="W626" t="inlineStr">
        <is>
          <t>Connections between human agents and dynamic natural and physical environments can be difficult to explore, particularly for critical scenarios in which evidence is often scarce. For these scenarios, we often turn to modeling and simulation as sandboxes for our inquiry. However, in the absence of fine-grain ground truth about events and phenomena that are often extraordinary in the human experience, our models have settled upon a tradition of coarse representation. In this paper, we introduce a method for developing rich connections between agents and environment. We present a scheme for Virtual Geographic Environments, which puts them to use as a platform for intertwining diverse spatial data from Geographic Information Systems, three-dimensional mesh models of built settings, agent-based models of human cognition and movement, and richly specified process models for physical phenomena and human behavior. To demonstrate the usefulness of the scheme, we will present a unified model of human-physical response to built damage following a simulated earthquake.</t>
        </is>
      </c>
      <c r="X626" t="inlineStr">
        <is>
          <t>[Torrens, Paul M.] Univ Maryland, Dept Geog Sci, College Pk, MD 20742 USA; [Torrens, Paul M.] Univ Maryland, Inst Adv Comp Studies, Ctr Geospatial Informat Sci, College Pk, MD 20742 USA; [Torrens, Paul M.] Univ Maryland, Geosimulat Res Lab, College Pk, MD 20742 USA</t>
        </is>
      </c>
      <c r="Y626" t="inlineStr">
        <is>
          <t>University System of Maryland; University of Maryland College Park; University System of Maryland; University of Maryland College Park; University System of Maryland; University of Maryland College Park</t>
        </is>
      </c>
      <c r="Z626" t="inlineStr">
        <is>
          <t>Torrens, PM (corresponding author), Univ Maryland, Dept Geog Sci, 2181 Samuel J LeFrak Hall, College Pk, MD 20742 USA.</t>
        </is>
      </c>
      <c r="AA626" t="inlineStr">
        <is>
          <t>torrens@geosimulation.com</t>
        </is>
      </c>
      <c r="AD626" t="inlineStr">
        <is>
          <t>National Science Foundation [1340984, 1343123, 1441177]; Directorate For Engineering; Emerging Frontiers &amp; Multidisciplinary Activities [1664275, 1441177] Funding Source: National Science Foundation; Divn Of Social and Economic Sciences; Direct For Social, Behav &amp; Economic Scie [1343123] Funding Source: National Science Foundation; Office of Advanced Cyberinfrastructure (OAC); Direct For Computer &amp; Info Scie &amp; Enginr [1340984] Funding Source: National Science Foundation</t>
        </is>
      </c>
      <c r="AE626" t="inlineStr">
        <is>
          <t>National Science Foundation(National Science Foundation (NSF)); Directorate For Engineering; Emerging Frontiers &amp; Multidisciplinary Activities(National Science Foundation (NSF)NSF - Directorate for Engineering (ENG)NSF - Directorate for Biological Sciences (BIO)); Divn Of Social and Economic Sciences; Direct For Social, Behav &amp; Economic Scie(National Science Foundation (NSF)NSF - Directorate for Social, Behavioral &amp; Economic Sciences (SBE)); Office of Advanced Cyberinfrastructure (OAC); Direct For Computer &amp; Info Scie &amp; Enginr(National Science Foundation (NSF)NSF - Directorate for Computer &amp; Information Science &amp; Engineering (CISE))</t>
        </is>
      </c>
      <c r="AF626" t="inlineStr">
        <is>
          <t>This material is based in part upon work supported by the National Science Foundation under grant numbers 1340984, 1343123, and 1441177. Any opinions, findings, and conclusions or recommendations expressed in this material are those of the author and do not necessarily reflect the views of the National Science Foundation.</t>
        </is>
      </c>
      <c r="AH626" t="n">
        <v>97</v>
      </c>
      <c r="AI626" t="n">
        <v>17</v>
      </c>
      <c r="AJ626" t="n">
        <v>17</v>
      </c>
      <c r="AK626" t="n">
        <v>0</v>
      </c>
      <c r="AL626" t="n">
        <v>23</v>
      </c>
      <c r="AM626" t="inlineStr">
        <is>
          <t>SPRINGER</t>
        </is>
      </c>
      <c r="AN626" t="inlineStr">
        <is>
          <t>NEW YORK</t>
        </is>
      </c>
      <c r="AO626" t="inlineStr">
        <is>
          <t>ONE NEW YORK PLAZA, SUITE 4600, NEW YORK, NY, UNITED STATES</t>
        </is>
      </c>
      <c r="AP626" t="inlineStr">
        <is>
          <t>1866-6280</t>
        </is>
      </c>
      <c r="AQ626" t="inlineStr">
        <is>
          <t>1866-6299</t>
        </is>
      </c>
      <c r="AS626" t="inlineStr">
        <is>
          <t>ENVIRON EARTH SCI</t>
        </is>
      </c>
      <c r="AT626" t="inlineStr">
        <is>
          <t>Environ. Earth Sci.</t>
        </is>
      </c>
      <c r="AU626" t="inlineStr">
        <is>
          <t>NOV</t>
        </is>
      </c>
      <c r="AV626" t="n">
        <v>2015</v>
      </c>
      <c r="AW626" t="n">
        <v>74</v>
      </c>
      <c r="AX626" t="n">
        <v>10</v>
      </c>
      <c r="BC626" t="n">
        <v>7117</v>
      </c>
      <c r="BD626" t="n">
        <v>7131</v>
      </c>
      <c r="BF626" t="inlineStr">
        <is>
          <t>10.1007/s12665-015-4738-3</t>
        </is>
      </c>
      <c r="BG626">
        <f>HYPERLINK("http://dx.doi.org/10.1007/s12665-015-4738-3","http://dx.doi.org/10.1007/s12665-015-4738-3")</f>
        <v/>
      </c>
      <c r="BJ626" t="n">
        <v>15</v>
      </c>
      <c r="BK626" t="inlineStr">
        <is>
          <t>Environmental Sciences; Geosciences, Multidisciplinary; Water Resources</t>
        </is>
      </c>
      <c r="BL626" t="inlineStr">
        <is>
          <t>Science Citation Index Expanded (SCI-EXPANDED)</t>
        </is>
      </c>
      <c r="BM626" t="inlineStr">
        <is>
          <t>Environmental Sciences &amp; Ecology; Geology; Water Resources</t>
        </is>
      </c>
      <c r="BN626" t="inlineStr">
        <is>
          <t>CT6EA</t>
        </is>
      </c>
      <c r="BS626" t="inlineStr">
        <is>
          <t>2023-10-26</t>
        </is>
      </c>
      <c r="BT626" t="inlineStr">
        <is>
          <t>WOS:000362903400012</t>
        </is>
      </c>
      <c r="BU626">
        <f>HYPERLINK("https%3A%2F%2Fwww.webofscience.com%2Fwos%2Fwoscc%2Ffull-record%2FWOS:000362903400012","View Full Record in Web of Science")</f>
        <v/>
      </c>
    </row>
    <row r="627">
      <c r="A627" t="inlineStr">
        <is>
          <t>J</t>
        </is>
      </c>
      <c r="B627" t="inlineStr">
        <is>
          <t>Svajlenka, J; Kozlovská, M; Posiváková, T</t>
        </is>
      </c>
      <c r="F627" t="inlineStr">
        <is>
          <t>Svajlenka, Jozef; Kozlovska, Maria; Posivakova, Terezia</t>
        </is>
      </c>
      <c r="J627" t="inlineStr">
        <is>
          <t>INTERNATIONAL JOURNAL OF ENVIRONMENTAL HEALTH RESEARCH</t>
        </is>
      </c>
      <c r="M627" t="inlineStr">
        <is>
          <t>English</t>
        </is>
      </c>
      <c r="N627" t="inlineStr">
        <is>
          <t>Article</t>
        </is>
      </c>
      <c r="T627" t="inlineStr">
        <is>
          <t>Assessment and biomonitoring indoor environment of buildings</t>
        </is>
      </c>
      <c r="U627" t="inlineStr">
        <is>
          <t>Indoor air; biomonitoring; building; diagnostic methods; micromycetes</t>
        </is>
      </c>
      <c r="V627" t="inlineStr">
        <is>
          <t>MOLD GROWTH; AIR-QUALITY; FLOW-CYTOMETRY; SYNDROME SBS; IDENTIFICATION; SYMPTOMS; EXPOSURE; BACTERIA; BIOAEROSOLS; REMEDIATION</t>
        </is>
      </c>
      <c r="W627" t="inlineStr">
        <is>
          <t>Ensuring hygiene and health protection is one of the basic construction requirements. Such requirements are examined when commissioning new constructions and examining defects in constructions already in use. One substantial defect is biocorrosion which represents a synergistic process with a complex variety of factors. It is caused by biochemical manifestations of various micro-organisms (micromycetes). Micromycetes producing mycotoxins therefore play an important role regarding the so-called 'Sick Building Syndrome' that has become a global problem nowadays. The case study presented here aims to demonstrate the effectiveness of the diagnostic methods used in assessing the presence of micromycetes in a building's internal atmosphere and on the internal surfaces of a construction built using traditional construction methods. The methodology of comparing methods is based on their effectiveness, taking into account the identification of type and intensity of micromycetes presence in the air and on the material surfaces in the monitored areas.</t>
        </is>
      </c>
      <c r="X627" t="inlineStr">
        <is>
          <t>[Svajlenka, Jozef; Kozlovska, Maria] Tech Univ Kosice, Dept Construct Technol &amp; Management, Fac Civil Engn, Kosice, Slovakia; [Posivakova, Terezia] Univ Vet Med &amp; Pharm Kosice, Dept Environm Vet Legislat &amp; Econ, Kosice, Slovakia</t>
        </is>
      </c>
      <c r="Y627" t="inlineStr">
        <is>
          <t>Technical University Kosice; University of Veterinary Medicine Kosice</t>
        </is>
      </c>
      <c r="Z627" t="inlineStr">
        <is>
          <t>Svajlenka, J (corresponding author), Tech Univ Kosice, Dept Construct Technol &amp; Management, Fac Civil Engn, Kosice, Slovakia.</t>
        </is>
      </c>
      <c r="AA627" t="inlineStr">
        <is>
          <t>ingsvajl@gmail.com</t>
        </is>
      </c>
      <c r="AB627" t="inlineStr">
        <is>
          <t>Švajlenka, Jozef/AAA-6202-2020; Kozlovska, Maria/AAA-5356-2020</t>
        </is>
      </c>
      <c r="AC627" t="inlineStr">
        <is>
          <t>Švajlenka, Jozef/0000-0002-9273-9755; Kozlovska, Maria/0000-0002-8125-4680</t>
        </is>
      </c>
      <c r="AD627" t="inlineStr">
        <is>
          <t>Research of Construction Efficiency Improvement Through MMC Technologies project solution [VEGA - 1/0677/14]</t>
        </is>
      </c>
      <c r="AE627" t="inlineStr">
        <is>
          <t>Research of Construction Efficiency Improvement Through MMC Technologies project solution</t>
        </is>
      </c>
      <c r="AF627" t="inlineStr">
        <is>
          <t>This contribution is a partial output of the VEGA - 1/0677/14 Research of Construction Efficiency Improvement Through MMC Technologies project solution.</t>
        </is>
      </c>
      <c r="AH627" t="n">
        <v>79</v>
      </c>
      <c r="AI627" t="n">
        <v>12</v>
      </c>
      <c r="AJ627" t="n">
        <v>13</v>
      </c>
      <c r="AK627" t="n">
        <v>0</v>
      </c>
      <c r="AL627" t="n">
        <v>20</v>
      </c>
      <c r="AM627" t="inlineStr">
        <is>
          <t>TAYLOR &amp; FRANCIS LTD</t>
        </is>
      </c>
      <c r="AN627" t="inlineStr">
        <is>
          <t>ABINGDON</t>
        </is>
      </c>
      <c r="AO627" t="inlineStr">
        <is>
          <t>2-4 PARK SQUARE, MILTON PARK, ABINGDON OR14 4RN, OXON, ENGLAND</t>
        </is>
      </c>
      <c r="AP627" t="inlineStr">
        <is>
          <t>0960-3123</t>
        </is>
      </c>
      <c r="AQ627" t="inlineStr">
        <is>
          <t>1369-1619</t>
        </is>
      </c>
      <c r="AS627" t="inlineStr">
        <is>
          <t>INT J ENVIRON HEAL R</t>
        </is>
      </c>
      <c r="AT627" t="inlineStr">
        <is>
          <t>Int. J. Environ. Health Res.</t>
        </is>
      </c>
      <c r="AV627" t="n">
        <v>2017</v>
      </c>
      <c r="AW627" t="n">
        <v>27</v>
      </c>
      <c r="AX627" t="n">
        <v>5</v>
      </c>
      <c r="BC627" t="n">
        <v>427</v>
      </c>
      <c r="BD627" t="n">
        <v>439</v>
      </c>
      <c r="BF627" t="inlineStr">
        <is>
          <t>10.1080/09603123.2017.1373276</t>
        </is>
      </c>
      <c r="BG627">
        <f>HYPERLINK("http://dx.doi.org/10.1080/09603123.2017.1373276","http://dx.doi.org/10.1080/09603123.2017.1373276")</f>
        <v/>
      </c>
      <c r="BJ627" t="n">
        <v>13</v>
      </c>
      <c r="BK627" t="inlineStr">
        <is>
          <t>Environmental Sciences; Public, Environmental &amp; Occupational Health</t>
        </is>
      </c>
      <c r="BL627" t="inlineStr">
        <is>
          <t>Science Citation Index Expanded (SCI-EXPANDED)</t>
        </is>
      </c>
      <c r="BM627" t="inlineStr">
        <is>
          <t>Environmental Sciences &amp; Ecology; Public, Environmental &amp; Occupational Health</t>
        </is>
      </c>
      <c r="BN627" t="inlineStr">
        <is>
          <t>FO2ME</t>
        </is>
      </c>
      <c r="BO627" t="n">
        <v>28868901</v>
      </c>
      <c r="BS627" t="inlineStr">
        <is>
          <t>2023-10-26</t>
        </is>
      </c>
      <c r="BT627" t="inlineStr">
        <is>
          <t>WOS:000416612600010</t>
        </is>
      </c>
      <c r="BU627">
        <f>HYPERLINK("https%3A%2F%2Fwww.webofscience.com%2Fwos%2Fwoscc%2Ffull-record%2FWOS:000416612600010","View Full Record in Web of Science")</f>
        <v/>
      </c>
    </row>
    <row r="628">
      <c r="A628" t="inlineStr">
        <is>
          <t>J</t>
        </is>
      </c>
      <c r="B628" t="inlineStr">
        <is>
          <t>Wang, Y; Yue, XL; Zhang, HO; Su, YX; Qin, J</t>
        </is>
      </c>
      <c r="F628" t="inlineStr">
        <is>
          <t>Wang, Yang; Yue, Xiaoli; Zhang, Hong'ou; Su, Yongxian; Qin, Jing</t>
        </is>
      </c>
      <c r="J628" t="inlineStr">
        <is>
          <t>SUSTAINABILITY</t>
        </is>
      </c>
      <c r="M628" t="inlineStr">
        <is>
          <t>English</t>
        </is>
      </c>
      <c r="N628" t="inlineStr">
        <is>
          <t>Article</t>
        </is>
      </c>
      <c r="T628" t="inlineStr">
        <is>
          <t>Relationship between Urban Floating Population Distribution and Livability Environment: Evidence from Guangzhou's Urban District, China</t>
        </is>
      </c>
      <c r="U628" t="inlineStr">
        <is>
          <t>livability environment; floating population; social environment; spatial regression model; Guangzhou's urban district</t>
        </is>
      </c>
      <c r="V628" t="inlineStr">
        <is>
          <t>RESIDENTIAL SELF-SELECTION; LOCATION CHOICE; SPATIAL DIFFERENTIATION; LOW-INCOME; MOVE; SATISFACTION; INTENTION; MOBILITY; BEHAVIOR; REASONS</t>
        </is>
      </c>
      <c r="W628" t="inlineStr">
        <is>
          <t>The livability environment is an important aspect of urban sustainable development. The floating population refers to people without local hukou (also called 'non-hukou migrants'). The floating population distribution is influenced by livability environment, but few studies have investigated this relationship. Especially, the influence of social environment on floating population distribution is rarely studied. Therefore, we study 1054 communities in Guangzhou's urban district to explore the relationship between livability environment and floating population distribution. The purpose of this article is to study how livability environment affects floating population distribution. We develop a conceptual framework of livability environment, which consists of physical environment, social environment and life convenience. A cross-sectional dataset of the impact of livability environment on the floating population distribution is developed covering the proportion of floating population in the community as the dependent variable, eight factors of livability environment as the explanatory variables, and two factors of architectural characteristics and one factor of location characteristics as the control variables. We use spatial regression models to explore the degree of influence and direction of physical environment, social environment and life convenience on the floating population distribution in livability environment. The results show that the spatial error model is more effective than ordinary least squares and spatial lag model models. The five factors of the livability environment have statistical significance regarding floating population distribution, including four social environment factors (proportion of middle- and high-class occupation population, proportion of highly educated people in the population, proportion of rental households, and unemployment rate) and regarding life convenience factors (work and shopping convenience). The conclusion has value for understanding how the social environment affects the residential choice of the floating population. This study will help city administrators reasonably guide the residential pattern of the floating population and formulate reasonable management policies, thereby improving the city's livability, attractiveness and sustainable development.</t>
        </is>
      </c>
      <c r="X628" t="inlineStr">
        <is>
          <t>[Wang, Yang] Yunnan Normal Univ, Fac Geog, Kunming 650500, Peoples R China; [Yue, Xiaoli] Guangdong Univ Technol, Sch Architecture &amp; Urban Planning, Guangzhou 510090, Peoples R China; [Yue, Xiaoli; Zhang, Hong'ou; Su, Yongxian] Guangdong Acad Sci, Guangzhou Inst Geog, Guangdong Open Lab Geospatial Informat Technol, Key Lab Guangdong Utilizat Remote Sensing &amp; Geog, Guangzhou 510070, Peoples R China; [Qin, Jing] Beijing Int Studies Univ, Sch Tourism Sci, Beijing 100024, Peoples R China; [Qin, Jing] Res Ctr Beijing Tourism Dev, Beijing 100024, Peoples R China</t>
        </is>
      </c>
      <c r="Y628" t="inlineStr">
        <is>
          <t>Yunnan Normal University; Guangdong University of Technology; Guangdong Academy of Sciences; Guangzhou Institute of Geography, Guangdong Academy of Sciences; Beijing International Studies University</t>
        </is>
      </c>
      <c r="Z628" t="inlineStr">
        <is>
          <t>Wang, Y (corresponding author), Yunnan Normal Univ, Fac Geog, Kunming 650500, Peoples R China.</t>
        </is>
      </c>
      <c r="AA628" t="inlineStr">
        <is>
          <t>wyxkwy@163.com; yxl199766@163.com; hozhang@gdas.ac.cn; suyongxian@gdas.ac.cn; qjing1986@163.com</t>
        </is>
      </c>
      <c r="AB628" t="inlineStr">
        <is>
          <t>Shi, Xiangyang/A-1289-2007; li, zhang/JHV-1750-2023</t>
        </is>
      </c>
      <c r="AC628" t="inlineStr">
        <is>
          <t>Shi, Xiangyang/0000-0001-6785-6645; wang, yang/0000-0002-3651-7517; Yue, Xiaoli/0000-0002-0313-0797</t>
        </is>
      </c>
      <c r="AD628" t="inlineStr">
        <is>
          <t>National Natural Science Foundation of China [41871150, 41801168]; GDAS Special Project of Science and Technology Development [2020GDASYL-20200104001, 2021GDASYL-20210103004]; Special Project of Institute of Strategy Research for Guangdong, Hong Kong, and Macao Greater Bay Area Construction [2021GDASYL-20210401001]; National Key Research and Development Program [2019YFB2103101]</t>
        </is>
      </c>
      <c r="AE628" t="inlineStr">
        <is>
          <t>National Natural Science Foundation of China(National Natural Science Foundation of China (NSFC)); GDAS Special Project of Science and Technology Development; Special Project of Institute of Strategy Research for Guangdong, Hong Kong, and Macao Greater Bay Area Construction; National Key Research and Development Program</t>
        </is>
      </c>
      <c r="AF628" t="inlineStr">
        <is>
          <t>This research was funded by the National Natural Science Foundation of China (No. 41871150, 41801168); GDAS Special Project of Science and Technology Development (No. 2020GDASYL-20200104001; 2021GDASYL-20210103004); Special Project of Institute of Strategy Research for Guangdong, Hong Kong, and Macao Greater Bay Area Construction (No. 2021GDASYL-20210401001); and National Key Research and Development Program (No. 2019YFB2103101).</t>
        </is>
      </c>
      <c r="AH628" t="n">
        <v>55</v>
      </c>
      <c r="AI628" t="n">
        <v>4</v>
      </c>
      <c r="AJ628" t="n">
        <v>4</v>
      </c>
      <c r="AK628" t="n">
        <v>16</v>
      </c>
      <c r="AL628" t="n">
        <v>47</v>
      </c>
      <c r="AM628" t="inlineStr">
        <is>
          <t>MDPI</t>
        </is>
      </c>
      <c r="AN628" t="inlineStr">
        <is>
          <t>BASEL</t>
        </is>
      </c>
      <c r="AO628" t="inlineStr">
        <is>
          <t>ST ALBAN-ANLAGE 66, CH-4052 BASEL, SWITZERLAND</t>
        </is>
      </c>
      <c r="AQ628" t="inlineStr">
        <is>
          <t>2071-1050</t>
        </is>
      </c>
      <c r="AS628" t="inlineStr">
        <is>
          <t>SUSTAINABILITY-BASEL</t>
        </is>
      </c>
      <c r="AT628" t="inlineStr">
        <is>
          <t>Sustainability</t>
        </is>
      </c>
      <c r="AU628" t="inlineStr">
        <is>
          <t>DEC</t>
        </is>
      </c>
      <c r="AV628" t="n">
        <v>2021</v>
      </c>
      <c r="AW628" t="n">
        <v>13</v>
      </c>
      <c r="AX628" t="n">
        <v>23</v>
      </c>
      <c r="BE628" t="n">
        <v>13477</v>
      </c>
      <c r="BF628" t="inlineStr">
        <is>
          <t>10.3390/su132313477</t>
        </is>
      </c>
      <c r="BG628">
        <f>HYPERLINK("http://dx.doi.org/10.3390/su132313477","http://dx.doi.org/10.3390/su132313477")</f>
        <v/>
      </c>
      <c r="BJ628" t="n">
        <v>15</v>
      </c>
      <c r="BK628" t="inlineStr">
        <is>
          <t>Green &amp; Sustainable Science &amp; Technology; Environmental Sciences; Environmental Studies</t>
        </is>
      </c>
      <c r="BL628" t="inlineStr">
        <is>
          <t>Science Citation Index Expanded (SCI-EXPANDED); Social Science Citation Index (SSCI)</t>
        </is>
      </c>
      <c r="BM628" t="inlineStr">
        <is>
          <t>Science &amp; Technology - Other Topics; Environmental Sciences &amp; Ecology</t>
        </is>
      </c>
      <c r="BN628" t="inlineStr">
        <is>
          <t>XV6XR</t>
        </is>
      </c>
      <c r="BP628" t="inlineStr">
        <is>
          <t>gold</t>
        </is>
      </c>
      <c r="BS628" t="inlineStr">
        <is>
          <t>2023-10-26</t>
        </is>
      </c>
      <c r="BT628" t="inlineStr">
        <is>
          <t>WOS:000735083000001</t>
        </is>
      </c>
      <c r="BU628">
        <f>HYPERLINK("https%3A%2F%2Fwww.webofscience.com%2Fwos%2Fwoscc%2Ffull-record%2FWOS:000735083000001","View Full Record in Web of Science")</f>
        <v/>
      </c>
    </row>
    <row r="629">
      <c r="A629" t="inlineStr">
        <is>
          <t>J</t>
        </is>
      </c>
      <c r="B629" t="inlineStr">
        <is>
          <t>Hu, Y; Wu, YH; Wang, Q; Hang, J; Li, QM; Liang, J; Ling, H; Zhang, XL</t>
        </is>
      </c>
      <c r="F629" t="inlineStr">
        <is>
          <t>Hu, Yun; Wu, Yihui; Wang, Qun; Hang, Jian; Li, Qingman; Liang, Jie; Ling, Hong; Zhang, Xuelin</t>
        </is>
      </c>
      <c r="J629" t="inlineStr">
        <is>
          <t>ATMOSPHERE</t>
        </is>
      </c>
      <c r="M629" t="inlineStr">
        <is>
          <t>English</t>
        </is>
      </c>
      <c r="N629" t="inlineStr">
        <is>
          <t>Article</t>
        </is>
      </c>
      <c r="T629" t="inlineStr">
        <is>
          <t>Impact of Indoor-Outdoor Temperature Difference on Building Ventilation and Pollutant Dispersion within Urban Communities</t>
        </is>
      </c>
      <c r="U629" t="inlineStr">
        <is>
          <t>CFD simulation; ventilation; pollutant dispersion; natural ventilation; exposure</t>
        </is>
      </c>
      <c r="V629" t="inlineStr">
        <is>
          <t>HIGHRISE RESIDENTIAL BUILDINGS; STREET CANYONS; WIND-TUNNEL; INTAKE FRACTION; CFD SIMULATION; PART I; AIRBORNE TRANSMISSION; BUOYANT FLOWS; AIR-QUALITY; POPULATION EXPOSURE</t>
        </is>
      </c>
      <c r="W629" t="inlineStr">
        <is>
          <t>Mechanical ventilation consumes a huge amount of global energy. Natural ventilation is a crucial solution for reducing energy consumption and enhancing the capacity of atmospheric self-purification. This paper evaluates the impacts of indoor-outdoor temperature differences on building ventilation and indoor-outdoor air pollutant dispersion in urban areas. The Computational Fluid Dynamics (CFD) method is employed to simulate the flow fields in the street canyon and indoor environment. Ventilation conditions of single-side ventilation mode and cross-ventilation mode are investigated. Air change rate, normalized concentration of traffic-related air pollutant (CO), intake fraction and exposure concentration are calculated to for ventilation efficiency investigation and exposure assessment. The results show that cross ventilation increases the air change rate for residential buildings under isothermal conditions. With the indoor-outdoor temperature difference, heating could increase the air change rate of the single-side ventilation mode but restrain the capability of the cross-ventilation mode in part of the floors. Heavier polluted areas appear in the upstream areas of single-side ventilation modes, and the pollutant can diffuse to middle-upper floors in cross-ventilation modes. Cross ventilation mitigates the environmental health stress for the indoor environment when indoor-outdoor temperature difference exits and the personal intake fraction is decreased by about 66% compared to the single-side ventilation. Moreover, the existence of indoor-outdoor temperature differences can clearly decrease the risk of indoor personal exposure under both two natural ventilation modes. The study numerically investigates the building ventilation and pollutant dispersion in the urban community with natural ventilation. The method and the results are helpful references for optimizing the building ventilation plan and improving indoor air quality.</t>
        </is>
      </c>
      <c r="X629" t="inlineStr">
        <is>
          <t>[Hu, Yun] State Environm Protect Key Lab Atmospher Phys Mod, Nanjing 210031, Peoples R China; [Wu, Yihui; Hang, Jian; Li, Qingman; Liang, Jie; Ling, Hong; Zhang, Xuelin] Sun Yat Sen Univ, Sch Atmospher Sci, Southern Marine Sci &amp; Engn Guangdong Lab Zhuhai, Zhuhai 519082, Peoples R China; [Wang, Qun] Univ Hong Kong, Dept Mech Engn, Pokfulam Rd, Hong Kong 999077, Peoples R China</t>
        </is>
      </c>
      <c r="Y629" t="inlineStr">
        <is>
          <t>Sun Yat Sen University; Southern Marine Science &amp; Engineering Guangdong Laboratory; Southern Marine Science &amp; Engineering Guangdong Laboratory (Zhuhai); University of Hong Kong</t>
        </is>
      </c>
      <c r="Z629" t="inlineStr">
        <is>
          <t>Ling, H (corresponding author), Sun Yat Sen Univ, Sch Atmospher Sci, Southern Marine Sci &amp; Engn Guangdong Lab Zhuhai, Zhuhai 519082, Peoples R China.</t>
        </is>
      </c>
      <c r="AA629" t="inlineStr">
        <is>
          <t>12069991@chnenergy.com.cn; wuyihui2@mail2.sysu.edu.cn; qunwang@connect.hku.hk; hangj3@mail.sysu.edu.cn; liqm23@mail2.sysu.edu.cn; liangj58@mail2.sysu.edu.cn; lingh23@mail.sysu.edu.cn; zhangxlin25@mail.sysu.edu.cn</t>
        </is>
      </c>
      <c r="AB629" t="inlineStr">
        <is>
          <t>Zhang, Xuelin/L-5200-2019</t>
        </is>
      </c>
      <c r="AC629" t="inlineStr">
        <is>
          <t>Zhang, Xuelin/0000-0003-3941-4596; Wang, Qun/0000-0002-9166-6144</t>
        </is>
      </c>
      <c r="AD629" t="inlineStr">
        <is>
          <t>National Natural Science Foundation of China (NSFC) [41805102, 42175094, 41875015]; Special Fund for Science and Technology Innovation Strategy of Guangdong Province (International cooperation) (China) [2019A050510021]; UK GCRF Rapid Response Grant; China Energy Science and Technology Research Institute [HB2020Y09]</t>
        </is>
      </c>
      <c r="AE629" t="inlineStr">
        <is>
          <t>National Natural Science Foundation of China (NSFC)(National Natural Science Foundation of China (NSFC)); Special Fund for Science and Technology Innovation Strategy of Guangdong Province (International cooperation) (China); UK GCRF Rapid Response Grant; China Energy Science and Technology Research Institute</t>
        </is>
      </c>
      <c r="AF629" t="inlineStr">
        <is>
          <t>This work was supported by the National Natural Science Foundation of China (NSFC, No. 41805102, 42175094, and 41875015), as well as Special Fund for Science and Technology Innovation Strategy of Guangdong Province (International cooperation) (China, No. 2019A050510021). The financial support from UK GCRF Rapid Response Grant on Transmission of SARS-CoV-2 virus in crowded indoor environment is also gratefully acknowledged. The authors are also grateful to the support of China Energy Science and Technology Research Institute (HB2020Y09).</t>
        </is>
      </c>
      <c r="AH629" t="n">
        <v>79</v>
      </c>
      <c r="AI629" t="n">
        <v>2</v>
      </c>
      <c r="AJ629" t="n">
        <v>2</v>
      </c>
      <c r="AK629" t="n">
        <v>13</v>
      </c>
      <c r="AL629" t="n">
        <v>63</v>
      </c>
      <c r="AM629" t="inlineStr">
        <is>
          <t>MDPI</t>
        </is>
      </c>
      <c r="AN629" t="inlineStr">
        <is>
          <t>BASEL</t>
        </is>
      </c>
      <c r="AO629" t="inlineStr">
        <is>
          <t>ST ALBAN-ANLAGE 66, CH-4052 BASEL, SWITZERLAND</t>
        </is>
      </c>
      <c r="AQ629" t="inlineStr">
        <is>
          <t>2073-4433</t>
        </is>
      </c>
      <c r="AS629" t="inlineStr">
        <is>
          <t>ATMOSPHERE-BASEL</t>
        </is>
      </c>
      <c r="AT629" t="inlineStr">
        <is>
          <t>Atmosphere</t>
        </is>
      </c>
      <c r="AU629" t="inlineStr">
        <is>
          <t>JAN</t>
        </is>
      </c>
      <c r="AV629" t="n">
        <v>2022</v>
      </c>
      <c r="AW629" t="n">
        <v>13</v>
      </c>
      <c r="AX629" t="n">
        <v>1</v>
      </c>
      <c r="BE629" t="n">
        <v>28</v>
      </c>
      <c r="BF629" t="inlineStr">
        <is>
          <t>10.3390/atmos13010028</t>
        </is>
      </c>
      <c r="BG629">
        <f>HYPERLINK("http://dx.doi.org/10.3390/atmos13010028","http://dx.doi.org/10.3390/atmos13010028")</f>
        <v/>
      </c>
      <c r="BJ629" t="n">
        <v>27</v>
      </c>
      <c r="BK629" t="inlineStr">
        <is>
          <t>Environmental Sciences; Meteorology &amp; Atmospheric Sciences</t>
        </is>
      </c>
      <c r="BL629" t="inlineStr">
        <is>
          <t>Science Citation Index Expanded (SCI-EXPANDED)</t>
        </is>
      </c>
      <c r="BM629" t="inlineStr">
        <is>
          <t>Environmental Sciences &amp; Ecology; Meteorology &amp; Atmospheric Sciences</t>
        </is>
      </c>
      <c r="BN629" t="inlineStr">
        <is>
          <t>ZC7IV</t>
        </is>
      </c>
      <c r="BP629" t="inlineStr">
        <is>
          <t>gold</t>
        </is>
      </c>
      <c r="BS629" t="inlineStr">
        <is>
          <t>2023-10-26</t>
        </is>
      </c>
      <c r="BT629" t="inlineStr">
        <is>
          <t>WOS:000757689800001</t>
        </is>
      </c>
      <c r="BU629">
        <f>HYPERLINK("https%3A%2F%2Fwww.webofscience.com%2Fwos%2Fwoscc%2Ffull-record%2FWOS:000757689800001","View Full Record in Web of Science")</f>
        <v/>
      </c>
    </row>
    <row r="630">
      <c r="A630" t="inlineStr">
        <is>
          <t>J</t>
        </is>
      </c>
      <c r="B630" t="inlineStr">
        <is>
          <t>Benites, HS; Osmond, P; Prasad, D</t>
        </is>
      </c>
      <c r="F630" t="inlineStr">
        <is>
          <t>Benites, Henrique Sala; Osmond, Paul; Prasad, Deo</t>
        </is>
      </c>
      <c r="J630" t="inlineStr">
        <is>
          <t>SUSTAINABILITY</t>
        </is>
      </c>
      <c r="M630" t="inlineStr">
        <is>
          <t>English</t>
        </is>
      </c>
      <c r="N630" t="inlineStr">
        <is>
          <t>Article</t>
        </is>
      </c>
      <c r="T630" t="inlineStr">
        <is>
          <t>A Future-Proof Built Environment through Regenerative and Circular Lenses-Delphi Approach for Criteria Selection</t>
        </is>
      </c>
      <c r="U630" t="inlineStr">
        <is>
          <t>circular economy; climate change; Delphi technique; key performance indicators; social and ecological boundaries; regenerative design and development; sustainability framework; sustainable urban planning; urban regeneration; urban transition</t>
        </is>
      </c>
      <c r="V630" t="inlineStr">
        <is>
          <t>SUSTAINABILITY ASSESSMENTS; ENERGY POVERTY; URBAN; INDICATORS; PERCEPTIONS; PRINCIPLES; GREEN; CITY; ACCESSIBILITY; TYPOLOGY</t>
        </is>
      </c>
      <c r="W630" t="inlineStr">
        <is>
          <t>Despite the increasing use of neighbourhood sustainability assessment tools (NSAT), their linear approach may be insufficient to tackle the global and local social and ecological challenges. The circular economy (CE) has recently emerged as a new pathway, adopted by corporations and public organisations. Understanding how to apply CE to existing communities, while addressing some of its shortcomings, particularly the strong focus on resource management, is the main goal of this paper. Building upon a Regenerative Circularity for the Built Environment (RC4BE) conceptual model that merges circular economy and regenerative design concepts, a framework with criteria for its implementation in the transition of existing urban areas is proposed. A preliminary framework structure with criteria mapped from literature is proposed and validated through a 2-round Delphi consultation with 31 international experts. The final framework, with 136 criteria, addresses some of the identified gaps and different urban cycles related to physical resources, ecosystems, liveability, infrastructure, governance, participation, local economy, and other socioeconomic aspects of urban communities. This expanded take on CE should be useful for built environment professionals and other urban stakeholders interested in regenerating their communities and precincts by going beyond current green approaches and existing tools to effectively generate positive impact for people and the planet.</t>
        </is>
      </c>
      <c r="X630" t="inlineStr">
        <is>
          <t>[Benites, Henrique Sala; Osmond, Paul; Prasad, Deo] Univ New South Wales Sydney, Sch Built Environm, Sydney, NSW 2052, Australia</t>
        </is>
      </c>
      <c r="Y630" t="inlineStr">
        <is>
          <t>University of New South Wales Sydney</t>
        </is>
      </c>
      <c r="Z630" t="inlineStr">
        <is>
          <t>Benites, HS (corresponding author), Univ New South Wales Sydney, Sch Built Environm, Sydney, NSW 2052, Australia.</t>
        </is>
      </c>
      <c r="AA630" t="inlineStr">
        <is>
          <t>h.salabenites@unsw.edu.au</t>
        </is>
      </c>
      <c r="AC630" t="inlineStr">
        <is>
          <t>Osmond, Paul/0000-0002-8533-6624</t>
        </is>
      </c>
      <c r="AH630" t="n">
        <v>197</v>
      </c>
      <c r="AI630" t="n">
        <v>1</v>
      </c>
      <c r="AJ630" t="n">
        <v>1</v>
      </c>
      <c r="AK630" t="n">
        <v>4</v>
      </c>
      <c r="AL630" t="n">
        <v>15</v>
      </c>
      <c r="AM630" t="inlineStr">
        <is>
          <t>MDPI</t>
        </is>
      </c>
      <c r="AN630" t="inlineStr">
        <is>
          <t>BASEL</t>
        </is>
      </c>
      <c r="AO630" t="inlineStr">
        <is>
          <t>ST ALBAN-ANLAGE 66, CH-4052 BASEL, SWITZERLAND</t>
        </is>
      </c>
      <c r="AQ630" t="inlineStr">
        <is>
          <t>2071-1050</t>
        </is>
      </c>
      <c r="AS630" t="inlineStr">
        <is>
          <t>SUSTAINABILITY-BASEL</t>
        </is>
      </c>
      <c r="AT630" t="inlineStr">
        <is>
          <t>Sustainability</t>
        </is>
      </c>
      <c r="AU630" t="inlineStr">
        <is>
          <t>JAN</t>
        </is>
      </c>
      <c r="AV630" t="n">
        <v>2023</v>
      </c>
      <c r="AW630" t="n">
        <v>15</v>
      </c>
      <c r="AX630" t="n">
        <v>1</v>
      </c>
      <c r="BE630" t="n">
        <v>616</v>
      </c>
      <c r="BF630" t="inlineStr">
        <is>
          <t>10.3390/su15010616</t>
        </is>
      </c>
      <c r="BG630">
        <f>HYPERLINK("http://dx.doi.org/10.3390/su15010616","http://dx.doi.org/10.3390/su15010616")</f>
        <v/>
      </c>
      <c r="BJ630" t="n">
        <v>33</v>
      </c>
      <c r="BK630" t="inlineStr">
        <is>
          <t>Green &amp; Sustainable Science &amp; Technology; Environmental Sciences; Environmental Studies</t>
        </is>
      </c>
      <c r="BL630" t="inlineStr">
        <is>
          <t>Science Citation Index Expanded (SCI-EXPANDED); Social Science Citation Index (SSCI)</t>
        </is>
      </c>
      <c r="BM630" t="inlineStr">
        <is>
          <t>Science &amp; Technology - Other Topics; Environmental Sciences &amp; Ecology</t>
        </is>
      </c>
      <c r="BN630" t="inlineStr">
        <is>
          <t>7P4AH</t>
        </is>
      </c>
      <c r="BP630" t="inlineStr">
        <is>
          <t>gold</t>
        </is>
      </c>
      <c r="BS630" t="inlineStr">
        <is>
          <t>2023-10-26</t>
        </is>
      </c>
      <c r="BT630" t="inlineStr">
        <is>
          <t>WOS:000908649800001</t>
        </is>
      </c>
      <c r="BU630">
        <f>HYPERLINK("https%3A%2F%2Fwww.webofscience.com%2Fwos%2Fwoscc%2Ffull-record%2FWOS:000908649800001","View Full Record in Web of Science")</f>
        <v/>
      </c>
    </row>
    <row r="631">
      <c r="A631" t="inlineStr">
        <is>
          <t>J</t>
        </is>
      </c>
      <c r="B631" t="inlineStr">
        <is>
          <t>Sanjurjo-Sánchez, J; Alves, C</t>
        </is>
      </c>
      <c r="F631" t="inlineStr">
        <is>
          <t>Sanjurjo-Sanchez, Jorge; Alves, Carlos</t>
        </is>
      </c>
      <c r="J631" t="inlineStr">
        <is>
          <t>ENVIRONMENTAL CHEMISTRY LETTERS</t>
        </is>
      </c>
      <c r="M631" t="inlineStr">
        <is>
          <t>English</t>
        </is>
      </c>
      <c r="N631" t="inlineStr">
        <is>
          <t>Review</t>
        </is>
      </c>
      <c r="T631" t="inlineStr">
        <is>
          <t>Geologic materials and gamma radiation in the built environment</t>
        </is>
      </c>
      <c r="U631" t="inlineStr">
        <is>
          <t>Gamma radiation; Indoor radiation; Building materials; Geochemistry of radioactive elements; Radiological hazards assessment; Geologic materials; Building stone; Building regulations; Hazard assessment models; Natural gamma radiation</t>
        </is>
      </c>
      <c r="V631" t="inlineStr">
        <is>
          <t>NATURAL RADIOACTIVITY LEVELS; BUILDING-MATERIALS; DOSE-RATE; RADON EXHALATION; ORNAMENTAL STONES; RADIONUCLIDES; URANIUM; DWELLINGS; EXPOSURE; GRANITES</t>
        </is>
      </c>
      <c r="W631" t="inlineStr">
        <is>
          <t>Human exposure to natural ionizing radiation is due to both internal sources such as ingestion and inhalation of radioactive isotopes, and external sources from cosmic radiation and primordial radionuclides present in the Earth crust. Primordial radionuclides are K-40 and radioisotopes of the decay series of U-238 and Th-232, which emit gamma radiation at low doses. Gamma emission can occur both in outdoor, due to background geologic radiation, and in indoor spaces, due to the use of geologic materials in dwellings. This radiation has received less attention than man-made sources because it contributes less to the total doses that affect humans, on the average. However, there are geographical areas and rocks used as building materials that contain high concentrations of radionuclides, thus being a source of relatively high gamma dose exposures. Assessing exposure is difficult, especially in indoor situations where there are marked variations regarding materials application. Nonetheless, some measures and regulations to control such dose exposures on building materials have been suggested. This article reviews gamma radiation in geologic materials used for buildings. We discuss: (1) procedures that relate radionuclide contents in building materials to external gamma radiation, considering namely indoor applications and that are used for establishing restrictions on building materials commerce; (2) relation of rock radionuclide contents with their geologic history that can lead to listing of some geologic materials as potentially hazardous in terms of gamma radiation; and (3) the implications for the European regulation, which has an universal criteria that might be excessively restrictive for the commerce of geologic materials used in small amounts, and does not have provisions regarding existing structures where geologic materials are used in extended amounts.</t>
        </is>
      </c>
      <c r="X631" t="inlineStr">
        <is>
          <t>[Sanjurjo-Sanchez, Jorge] Univ A Coruna, Univ Inst Geol, ESCI, Campus Elvina, La Coruna 15017, Spain; [Alves, Carlos] Univ Minho, Heritage &amp; Terr Lab FCT UID AUR 04509 2013, Landscape, LandS Lab2PT Lab2PT, Campus Gualtar, P-4710057 Braga, Portugal; [Alves, Carlos] Univ Minho, FEDER COMPETE POCI 01 0145, FEDER 007528, Campus Gualtar, P-4710057 Braga, Portugal; [Alves, Carlos] Univ Minho, Sch Sci, Earth Sci Dept, Campus Gualtar, P-4710057 Braga, Portugal</t>
        </is>
      </c>
      <c r="Y631" t="inlineStr">
        <is>
          <t>Universidade da Coruna; Universidade do Minho; Universidade do Minho; Universidade do Minho</t>
        </is>
      </c>
      <c r="Z631" t="inlineStr">
        <is>
          <t>Sanjurjo-Sánchez, J (corresponding author), Univ A Coruna, Univ Inst Geol, ESCI, Campus Elvina, La Coruna 15017, Spain.</t>
        </is>
      </c>
      <c r="AA631" t="inlineStr">
        <is>
          <t>jsanjurjo@udc.es; casaix@dct.uminho.pt</t>
        </is>
      </c>
      <c r="AB631" t="inlineStr">
        <is>
          <t>Sánchez, Jorge Sanjurjo/E-4404-2011; Alves, Carlos/B-2548-2018</t>
        </is>
      </c>
      <c r="AC631" t="inlineStr">
        <is>
          <t>Sánchez, Jorge Sanjurjo/0000-0002-7559-8647; Alves, Carlos/0000-0003-3943-3340</t>
        </is>
      </c>
      <c r="AD631" t="inlineStr">
        <is>
          <t>Portuguese Fundacao para a Ciencia e a Tecnologia [FCT UID/AUR/04509/2013]; FEDER; COMPETE2020 [POCI 01 0145 FEDER 007528]; Consolidacion y estructuracion de unidades de investigacion competitivas-Grupo de potencial de crecimiento, Xunta de Galicia [GPC2015/024]; Fundação para a Ciência e a Tecnologia [UID/AUR/04509/2013] Funding Source: FCT</t>
        </is>
      </c>
      <c r="AE631" t="inlineStr">
        <is>
          <t>Portuguese Fundacao para a Ciencia e a Tecnologia(Fundacao para a Ciencia e a Tecnologia (FCT)); FEDER(European Union (EU)Spanish Government); COMPETE2020; Consolidacion y estructuracion de unidades de investigacion competitivas-Grupo de potencial de crecimiento, Xunta de Galicia; Fundação para a Ciência e a Tecnologia(Fundacao para a Ciencia e a Tecnologia (FCT))</t>
        </is>
      </c>
      <c r="AF631" t="inlineStr">
        <is>
          <t>The Lab2PT-Landscapes, Heritage and Territory laboratory-AUR/04509 is supported by the Portuguese Fundacao para a Ciencia e a Tecnologia (FCT UID/AUR/04509/2013), with Portuguese funds and when applicable of the FEDER co-financing, in the aim of the new partnership agreement PT2020 and COMPETE2020-POCI 01 0145 FEDER 007528. J. Sanjurjo-Sanchez is also grateful for funding from Consolidacion y estructuracion de unidades de investigacion competitivas-Grupo de potencial de crecimiento (GPC2015/024), Xunta de Galicia.</t>
        </is>
      </c>
      <c r="AH631" t="n">
        <v>111</v>
      </c>
      <c r="AI631" t="n">
        <v>16</v>
      </c>
      <c r="AJ631" t="n">
        <v>16</v>
      </c>
      <c r="AK631" t="n">
        <v>3</v>
      </c>
      <c r="AL631" t="n">
        <v>38</v>
      </c>
      <c r="AM631" t="inlineStr">
        <is>
          <t>SPRINGER HEIDELBERG</t>
        </is>
      </c>
      <c r="AN631" t="inlineStr">
        <is>
          <t>HEIDELBERG</t>
        </is>
      </c>
      <c r="AO631" t="inlineStr">
        <is>
          <t>TIERGARTENSTRASSE 17, D-69121 HEIDELBERG, GERMANY</t>
        </is>
      </c>
      <c r="AP631" t="inlineStr">
        <is>
          <t>1610-3653</t>
        </is>
      </c>
      <c r="AQ631" t="inlineStr">
        <is>
          <t>1610-3661</t>
        </is>
      </c>
      <c r="AS631" t="inlineStr">
        <is>
          <t>ENVIRON CHEM LETT</t>
        </is>
      </c>
      <c r="AT631" t="inlineStr">
        <is>
          <t>Environ. Chem. Lett.</t>
        </is>
      </c>
      <c r="AU631" t="inlineStr">
        <is>
          <t>DEC</t>
        </is>
      </c>
      <c r="AV631" t="n">
        <v>2017</v>
      </c>
      <c r="AW631" t="n">
        <v>15</v>
      </c>
      <c r="AX631" t="n">
        <v>4</v>
      </c>
      <c r="BC631" t="n">
        <v>561</v>
      </c>
      <c r="BD631" t="n">
        <v>589</v>
      </c>
      <c r="BF631" t="inlineStr">
        <is>
          <t>10.1007/s10311-017-0643-1</t>
        </is>
      </c>
      <c r="BG631">
        <f>HYPERLINK("http://dx.doi.org/10.1007/s10311-017-0643-1","http://dx.doi.org/10.1007/s10311-017-0643-1")</f>
        <v/>
      </c>
      <c r="BJ631" t="n">
        <v>29</v>
      </c>
      <c r="BK631" t="inlineStr">
        <is>
          <t>Chemistry, Multidisciplinary; Engineering, Environmental; Environmental Sciences</t>
        </is>
      </c>
      <c r="BL631" t="inlineStr">
        <is>
          <t>Science Citation Index Expanded (SCI-EXPANDED)</t>
        </is>
      </c>
      <c r="BM631" t="inlineStr">
        <is>
          <t>Chemistry; Engineering; Environmental Sciences &amp; Ecology</t>
        </is>
      </c>
      <c r="BN631" t="inlineStr">
        <is>
          <t>FM7TP</t>
        </is>
      </c>
      <c r="BS631" t="inlineStr">
        <is>
          <t>2023-10-26</t>
        </is>
      </c>
      <c r="BT631" t="inlineStr">
        <is>
          <t>WOS:000415283800002</t>
        </is>
      </c>
      <c r="BU631">
        <f>HYPERLINK("https%3A%2F%2Fwww.webofscience.com%2Fwos%2Fwoscc%2Ffull-record%2FWOS:000415283800002","View Full Record in Web of Science")</f>
        <v/>
      </c>
    </row>
    <row r="632">
      <c r="A632" t="inlineStr">
        <is>
          <t>J</t>
        </is>
      </c>
      <c r="B632" t="inlineStr">
        <is>
          <t>Shao, YM; Li, JQ; Zhou, ZW; Zhang, F; Cui, YL</t>
        </is>
      </c>
      <c r="F632" t="inlineStr">
        <is>
          <t>Shao, Yiming; Li, Jiaqiang; Zhou, Zhiwei; Zhang, Fan; Cui, Yuanlong</t>
        </is>
      </c>
      <c r="J632" t="inlineStr">
        <is>
          <t>SUSTAINABILITY</t>
        </is>
      </c>
      <c r="M632" t="inlineStr">
        <is>
          <t>English</t>
        </is>
      </c>
      <c r="N632" t="inlineStr">
        <is>
          <t>Article</t>
        </is>
      </c>
      <c r="T632" t="inlineStr">
        <is>
          <t>The Impact of Indoor Living Wall System on Air Quality: A Comparative Monitoring Test in Building Corridors</t>
        </is>
      </c>
      <c r="U632" t="inlineStr">
        <is>
          <t>vertical greenery system; indoor living wall system; indoor air quality; carbon dioxide; particulate matter</t>
        </is>
      </c>
      <c r="V632" t="inlineStr">
        <is>
          <t>VERTICAL GREENERY SYSTEMS; ENERGY PERFORMANCE; THERMAL COMFORT; CARBON-DIOXIDE; ASIAN SUMMER; TEMPERATURE; NOISE; HUMIDITY; CHINA; PHYTOREMEDIATION</t>
        </is>
      </c>
      <c r="W632" t="inlineStr">
        <is>
          <t>Living wall systems have been widely recognized as one of the promising approaches for building applications due to their aesthetic value and ecological benefits. Compared with outdoor living wall systems, indoor living wall systems (ILWS) play a more vital role in indoor air quality. The aim of this study is to investigate the effects of ILWS on indoor air quality. In an office building, two parallel corridors were selected as comparative groups. A 10.6 m(2) ILWS was installed on the sidewall of the west corridor while the east corridor was empty. Some important parameters, including indoor air temperature, relative humidity, concentrations of carbon dioxide (CO2), and particulate matter (PM) were obtained based on the actual environment monitoring. According to the statistical analysis of the data, there were significant differences in the concentrations of CO2 and PMs in the corridors with and without ILWS, which indicated that CO2 and PM2.5 removal rate ranged from 12% to 17% and 8% to 14%, respectively. The temperature difference is quite small (0.13 degrees C on average), while relative humidity slightly increased by 3.1-6.4% with the presence of the ILWS.</t>
        </is>
      </c>
      <c r="X632" t="inlineStr">
        <is>
          <t>[Shao, Yiming; Li, Jiaqiang; Zhou, Zhiwei] Nanjing Tech Univ, Sch Architecture, Nanjing 211816, Peoples R China; [Zhang, Fan] Griffith Univ, Sch Engn &amp; Built Environm, Southport, Qld 4222, Australia; [Cui, Yuanlong] Univ Derby, Coll Engn &amp; Technol, Dept Built Environm, Derby DE22 3AW, England</t>
        </is>
      </c>
      <c r="Y632" t="inlineStr">
        <is>
          <t>Nanjing Tech University; Griffith University; University of Derby</t>
        </is>
      </c>
      <c r="Z632" t="inlineStr">
        <is>
          <t>Shao, YM (corresponding author), Nanjing Tech Univ, Sch Architecture, Nanjing 211816, Peoples R China.</t>
        </is>
      </c>
      <c r="AA632" t="inlineStr">
        <is>
          <t>sym19851021@njtech.edu.cn; 201861111024@njtech.edu.cn; 201961111015@njtech.edu.cn; fan.zhang@griffith.edu.au; Y.Cui@derby.ac.uk</t>
        </is>
      </c>
      <c r="AB632" t="inlineStr">
        <is>
          <t>Zhang, Fan/J-1106-2019</t>
        </is>
      </c>
      <c r="AC632" t="inlineStr">
        <is>
          <t>Zhang, Fan/0000-0002-3031-8218; , yiming/0000-0002-0282-3129; cui, yuanlong/0000-0003-2417-4251</t>
        </is>
      </c>
      <c r="AD632" t="inlineStr">
        <is>
          <t>National Natural Science Foundation of China [51708283]; Natural Science Foundation of Jiangsu Province [BK20171011]; Ministry of Education Key Laboratory (Tongji University) [2019030101]</t>
        </is>
      </c>
      <c r="AE632" t="inlineStr">
        <is>
          <t>National Natural Science Foundation of China(National Natural Science Foundation of China (NSFC)); Natural Science Foundation of Jiangsu Province(Natural Science Foundation of Jiangsu Province); Ministry of Education Key Laboratory (Tongji University)</t>
        </is>
      </c>
      <c r="AF632" t="inlineStr">
        <is>
          <t>This research was funded by the National Natural Science Foundation of China [grant number 51708283]; the Natural Science Foundation of Jiangsu Province [grant number BK20171011], and the Ministry of Education Key Laboratory (Tongji University) Open Project Funding [grant number 2019030101].</t>
        </is>
      </c>
      <c r="AH632" t="n">
        <v>57</v>
      </c>
      <c r="AI632" t="n">
        <v>6</v>
      </c>
      <c r="AJ632" t="n">
        <v>6</v>
      </c>
      <c r="AK632" t="n">
        <v>2</v>
      </c>
      <c r="AL632" t="n">
        <v>26</v>
      </c>
      <c r="AM632" t="inlineStr">
        <is>
          <t>MDPI</t>
        </is>
      </c>
      <c r="AN632" t="inlineStr">
        <is>
          <t>BASEL</t>
        </is>
      </c>
      <c r="AO632" t="inlineStr">
        <is>
          <t>ST ALBAN-ANLAGE 66, CH-4052 BASEL, SWITZERLAND</t>
        </is>
      </c>
      <c r="AQ632" t="inlineStr">
        <is>
          <t>2071-1050</t>
        </is>
      </c>
      <c r="AS632" t="inlineStr">
        <is>
          <t>SUSTAINABILITY-BASEL</t>
        </is>
      </c>
      <c r="AT632" t="inlineStr">
        <is>
          <t>Sustainability</t>
        </is>
      </c>
      <c r="AU632" t="inlineStr">
        <is>
          <t>JUL</t>
        </is>
      </c>
      <c r="AV632" t="n">
        <v>2021</v>
      </c>
      <c r="AW632" t="n">
        <v>13</v>
      </c>
      <c r="AX632" t="n">
        <v>14</v>
      </c>
      <c r="BE632" t="n">
        <v>7884</v>
      </c>
      <c r="BF632" t="inlineStr">
        <is>
          <t>10.3390/su13147884</t>
        </is>
      </c>
      <c r="BG632">
        <f>HYPERLINK("http://dx.doi.org/10.3390/su13147884","http://dx.doi.org/10.3390/su13147884")</f>
        <v/>
      </c>
      <c r="BJ632" t="n">
        <v>21</v>
      </c>
      <c r="BK632" t="inlineStr">
        <is>
          <t>Green &amp; Sustainable Science &amp; Technology; Environmental Sciences; Environmental Studies</t>
        </is>
      </c>
      <c r="BL632" t="inlineStr">
        <is>
          <t>Science Citation Index Expanded (SCI-EXPANDED); Social Science Citation Index (SSCI)</t>
        </is>
      </c>
      <c r="BM632" t="inlineStr">
        <is>
          <t>Science &amp; Technology - Other Topics; Environmental Sciences &amp; Ecology</t>
        </is>
      </c>
      <c r="BN632" t="inlineStr">
        <is>
          <t>TO5WR</t>
        </is>
      </c>
      <c r="BP632" t="inlineStr">
        <is>
          <t>gold, Green Published</t>
        </is>
      </c>
      <c r="BS632" t="inlineStr">
        <is>
          <t>2023-10-26</t>
        </is>
      </c>
      <c r="BT632" t="inlineStr">
        <is>
          <t>WOS:000676982000001</t>
        </is>
      </c>
      <c r="BU632">
        <f>HYPERLINK("https%3A%2F%2Fwww.webofscience.com%2Fwos%2Fwoscc%2Ffull-record%2FWOS:000676982000001","View Full Record in Web of Science")</f>
        <v/>
      </c>
    </row>
    <row r="633">
      <c r="A633" t="inlineStr">
        <is>
          <t>J</t>
        </is>
      </c>
      <c r="B633" t="inlineStr">
        <is>
          <t>Wierzbicka, A; Bohgard, M; Pagels, JH; Dahl, A; Löndahl, J; Hussein, T; Swietlicki, E; Gudmundsson, A</t>
        </is>
      </c>
      <c r="F633" t="inlineStr">
        <is>
          <t>Wierzbicka, A.; Bohgard, M.; Pagels, J. H.; Dahl, A.; Londahl, J.; Hussein, T.; Swietlicki, E.; Gudmundsson, A.</t>
        </is>
      </c>
      <c r="J633" t="inlineStr">
        <is>
          <t>ATMOSPHERIC ENVIRONMENT</t>
        </is>
      </c>
      <c r="M633" t="inlineStr">
        <is>
          <t>English</t>
        </is>
      </c>
      <c r="N633" t="inlineStr">
        <is>
          <t>Article</t>
        </is>
      </c>
      <c r="T633" t="inlineStr">
        <is>
          <t>Quantification of differences between occupancy and total monitoring periods for better assessment of exposure to particles in indoor environments</t>
        </is>
      </c>
      <c r="U633" t="inlineStr">
        <is>
          <t>Particles; Indoor environment; Source strength</t>
        </is>
      </c>
      <c r="V633" t="inlineStr">
        <is>
          <t>ULTRAFINE PARTICLES; SIZE CHARACTERIZATION; MASS CONCENTRATIONS; PARTICULATE MATTER; AIR-QUALITY; FINE; COOKING; PM2.5; DISTRIBUTIONS; AMBIENT</t>
        </is>
      </c>
      <c r="W633" t="inlineStr">
        <is>
          <t>For the assessment of personal exposure, information about the concentration of pollutants when people are in given indoor environments (occupancy time) are of prime importance. However this kind of data frequently is not reported. The aim of this study was to assess differences in particle characteristics between occupancy time and the total monitoring period, with the latter being the most frequently used averaging time in the published data. Seven indoor environments were selected in Sweden and Finland: an apartment, two houses, two schools, a supermarket, and a restaurant. They were assessed for particle number and mass concentrations and number size distributions. The measurements using a Scanning Mobility Particle Sizer and two photometers were conducted for seven consecutive days during winter in each location. Particle concentrations in residences and schools were, as expected, the highest during occupancy time. In the apartment average and median PM2.5 mass concentrations during the occupancy time were 29% and 17% higher, respectively compared to total monitoring period. In both schools, the average and medium values of the PM2.5 mass concentrations were on average higher during teaching hours compared to the total monitoring period by 16% and 32%, respectively. When it comes to particle number concentrations (PNC), in the apartment during occupancy, the average and median values were 33% and 58% higher, respectively than during the total monitoring period. In both houses and schools the average and median PNC were similar for the occupancy and total monitoring periods. General conclusions on the basis of measurements in the limited number of indoor environments cannot be drawn. However the results confirm a strong dependence on type and frequency of indoor activities that generate particles and site specificity. The results also indicate that the exclusion of data series during non-occupancy periods can improve the estimates of particle concentrations and characteristics suitable for exposure assessment, which is crucial for estimating health effects in epidemiological and toxicological studies. (C) 2014 The Authors. Published by Elsevier Ltd. This is an open access article under the CC BY license (http://creativecommons.org/licenses/by/3.0/).</t>
        </is>
      </c>
      <c r="X633" t="inlineStr">
        <is>
          <t>[Wierzbicka, A.; Bohgard, M.; Pagels, J. H.; Dahl, A.; Londahl, J.; Gudmundsson, A.] Lund Univ, Div Ergon &amp; Aerosol Technol, SE-22100 Lund, Sweden; [Hussein, T.] Univ Jordan, Dept Phys, Amman 11942, Jordan; [Hussein, T.] Univ Helsinki, Dept Phys, FI-00014 Helsinki, Finland; [Swietlicki, E.] Lund Univ, Div Nucl Phys, SE-22100 Lund, Sweden</t>
        </is>
      </c>
      <c r="Y633" t="inlineStr">
        <is>
          <t>Lund University; University of Jordan; University of Helsinki; Lund University</t>
        </is>
      </c>
      <c r="Z633" t="inlineStr">
        <is>
          <t>Wierzbicka, A (corresponding author), Lund Univ, Div Ergon &amp; Aerosol Technol, Box 118, SE-22100 Lund, Sweden.</t>
        </is>
      </c>
      <c r="AA633" t="inlineStr">
        <is>
          <t>aneta.wierzbicka@design.lth.se</t>
        </is>
      </c>
      <c r="AB633" t="inlineStr">
        <is>
          <t>Hussein, Tareq/A-8055-2011; Wierzbicka, Aneta/AAD-1860-2019; Swietlicki, Erik/B-9426-2014; Londahl, Jakob/B-8217-2014; Pagels, Joakim/G-9118-2014</t>
        </is>
      </c>
      <c r="AC633" t="inlineStr">
        <is>
          <t>Hussein, Tareq/0000-0002-0241-6435; Wierzbicka, Aneta/0000-0002-0678-7161; Londahl, Jakob/0000-0001-9379-592X; Pagels, Joakim/0000-0002-7423-3240; Swietlicki, Erik/0000-0003-2031-0404</t>
        </is>
      </c>
      <c r="AD633" t="inlineStr">
        <is>
          <t>Vinnova [2010-01004]; Swedish Research Council, FORMAS; Development Fund of the Swedish Construction Industry, SBUF; EU 7th Programme (ACTRIS project) [EU INFRA-2010-1.1.16-262254]</t>
        </is>
      </c>
      <c r="AE633" t="inlineStr">
        <is>
          <t>Vinnova(Vinnova); Swedish Research Council, FORMAS(Swedish Research CouncilSwedish Research Council Formas); Development Fund of the Swedish Construction Industry, SBUF; EU 7th Programme (ACTRIS project)</t>
        </is>
      </c>
      <c r="AF633" t="inlineStr">
        <is>
          <t>This work was supported by Vinnova through project 2010-01004, the Swedish Research Council, FORMAS, and the Development Fund of the Swedish Construction Industry, SBUF. The Environment Department of Malmo Municipality is acknowledged for providing the PM2.5 data from the roof top of the town hall in Malmo city centre. The measurements at the Vavihill site were supported by EU 7th Programme (ACTRIS project, EU INFRA-2010-1.1.16-262254) and the Swedish Environmental Protection Agency.</t>
        </is>
      </c>
      <c r="AH633" t="n">
        <v>39</v>
      </c>
      <c r="AI633" t="n">
        <v>34</v>
      </c>
      <c r="AJ633" t="n">
        <v>34</v>
      </c>
      <c r="AK633" t="n">
        <v>1</v>
      </c>
      <c r="AL633" t="n">
        <v>29</v>
      </c>
      <c r="AM633" t="inlineStr">
        <is>
          <t>PERGAMON-ELSEVIER SCIENCE LTD</t>
        </is>
      </c>
      <c r="AN633" t="inlineStr">
        <is>
          <t>OXFORD</t>
        </is>
      </c>
      <c r="AO633" t="inlineStr">
        <is>
          <t>THE BOULEVARD, LANGFORD LANE, KIDLINGTON, OXFORD OX5 1GB, ENGLAND</t>
        </is>
      </c>
      <c r="AP633" t="inlineStr">
        <is>
          <t>1352-2310</t>
        </is>
      </c>
      <c r="AQ633" t="inlineStr">
        <is>
          <t>1873-2844</t>
        </is>
      </c>
      <c r="AS633" t="inlineStr">
        <is>
          <t>ATMOS ENVIRON</t>
        </is>
      </c>
      <c r="AT633" t="inlineStr">
        <is>
          <t>Atmos. Environ.</t>
        </is>
      </c>
      <c r="AU633" t="inlineStr">
        <is>
          <t>APR</t>
        </is>
      </c>
      <c r="AV633" t="n">
        <v>2015</v>
      </c>
      <c r="AW633" t="n">
        <v>106</v>
      </c>
      <c r="BC633" t="n">
        <v>419</v>
      </c>
      <c r="BD633" t="n">
        <v>428</v>
      </c>
      <c r="BF633" t="inlineStr">
        <is>
          <t>10.1016/j.atmosenv.2014.08.011</t>
        </is>
      </c>
      <c r="BG633">
        <f>HYPERLINK("http://dx.doi.org/10.1016/j.atmosenv.2014.08.011","http://dx.doi.org/10.1016/j.atmosenv.2014.08.011")</f>
        <v/>
      </c>
      <c r="BJ633" t="n">
        <v>10</v>
      </c>
      <c r="BK633" t="inlineStr">
        <is>
          <t>Environmental Sciences; Meteorology &amp; Atmospheric Sciences</t>
        </is>
      </c>
      <c r="BL633" t="inlineStr">
        <is>
          <t>Science Citation Index Expanded (SCI-EXPANDED)</t>
        </is>
      </c>
      <c r="BM633" t="inlineStr">
        <is>
          <t>Environmental Sciences &amp; Ecology; Meteorology &amp; Atmospheric Sciences</t>
        </is>
      </c>
      <c r="BN633" t="inlineStr">
        <is>
          <t>CE6RR</t>
        </is>
      </c>
      <c r="BP633" t="inlineStr">
        <is>
          <t>Green Published, hybrid</t>
        </is>
      </c>
      <c r="BS633" t="inlineStr">
        <is>
          <t>2023-10-26</t>
        </is>
      </c>
      <c r="BT633" t="inlineStr">
        <is>
          <t>WOS:000351966200044</t>
        </is>
      </c>
      <c r="BU633">
        <f>HYPERLINK("https%3A%2F%2Fwww.webofscience.com%2Fwos%2Fwoscc%2Ffull-record%2FWOS:000351966200044","View Full Record in Web of Science")</f>
        <v/>
      </c>
    </row>
    <row r="634">
      <c r="A634" t="inlineStr">
        <is>
          <t>J</t>
        </is>
      </c>
      <c r="B634" t="inlineStr">
        <is>
          <t>Waring, MS</t>
        </is>
      </c>
      <c r="F634" t="inlineStr">
        <is>
          <t>Waring, Michael S.</t>
        </is>
      </c>
      <c r="J634" t="inlineStr">
        <is>
          <t>ATMOSPHERIC ENVIRONMENT</t>
        </is>
      </c>
      <c r="M634" t="inlineStr">
        <is>
          <t>English</t>
        </is>
      </c>
      <c r="N634" t="inlineStr">
        <is>
          <t>Article</t>
        </is>
      </c>
      <c r="T634" t="inlineStr">
        <is>
          <t>Secondary organic aerosol formation by limonene ozonolysis: Parameterizing multi-generational chemistry in ozone- and residence time-limited indoor environments</t>
        </is>
      </c>
      <c r="U634" t="inlineStr">
        <is>
          <t>Particle formation; SOA yield; Aerosol mass fraction; Indoor chemistry; Terpenes; Ozone</t>
        </is>
      </c>
      <c r="V634" t="inlineStr">
        <is>
          <t>AIR EXCHANGE-RATES; ALPHA-PINENE; TERPENE OZONOLYSIS; CLEANING PRODUCTS; RATE CONSTANTS; PARTICLE MASS; EMISSIONS; OXIDATION; IMPACTS; OH</t>
        </is>
      </c>
      <c r="W634" t="inlineStr">
        <is>
          <t>Terpene ozonolysis reactions can be a strong source of secondary organic aerosol (SOA) indoors. SOA formation can be parameterized and predicted using the aerosol mass fraction (AMF), also known as the SOA yield, which quantifies the mass ratio of generated SOA to oxidized terpene. Limonene is a monoterpene that is at sufficient concentrations such that it reacts meaningfully with ozone indoors. It has two unsaturated bonds, and the magnitude of the limonene ozonolysis AMF varies by a factor of similar to 4 depending on whether one or both of its unsaturated bonds are ozonated, which depends on whether ozone is in excess compared to limonene as well as the available time for reactions indoors. Hence, this study developed a framework to predict the limonene AMF as a function of the ozone [O-3] and limonene [lim] concentrations and the air exchange rate (AER, h(-1)), which is the inverse of the residence time. Empirical AMF data were used to calculate a mixing coefficient, beta, that would yield a 'resultant AMF' as the combination of the AMFs due to ozonolysis of one or both of limonene's unsaturated bonds, within the volatility basis set (VBS) organic aerosol framework. Then, beta was regressed against predictors of log(10)([O-3]/[lim]) and AER (R-2 = 0.74). The beta increased as the log(10)([O-3]/[lim]) increased and as AER decreased, having the physical meaning of driving the resultant AMF to the upper AMF condition when both unsaturated bonds of limonene are ozonated. Modeling demonstrates that using the correct resultant AMF to simulate SOA formation owing to limonene ozonolysis is crucial for accurate indoor prediction. (C) 2016 Elsevier Ltd. All rights reserved.</t>
        </is>
      </c>
      <c r="X634" t="inlineStr">
        <is>
          <t>[Waring, Michael S.] Drexel Univ, Dept Civil Architectural &amp; Environm Engn, 3141 Chestnut St, Philadelphia, PA 19104 USA</t>
        </is>
      </c>
      <c r="Y634" t="inlineStr">
        <is>
          <t>Drexel University</t>
        </is>
      </c>
      <c r="Z634" t="inlineStr">
        <is>
          <t>Waring, MS (corresponding author), Drexel Univ, Dept Civil Architectural &amp; Environm Engn, 3141 Chestnut St, Philadelphia, PA 19104 USA.</t>
        </is>
      </c>
      <c r="AA634" t="inlineStr">
        <is>
          <t>msw59@drexel.edu</t>
        </is>
      </c>
      <c r="AD634" t="inlineStr">
        <is>
          <t>U.S. National Science Foundation [1055584]; Div Of Chem, Bioeng, Env, &amp; Transp Sys; Directorate For Engineering [1055584] Funding Source: National Science Foundation</t>
        </is>
      </c>
      <c r="AE634" t="inlineStr">
        <is>
          <t>U.S. National Science Foundation(National Science Foundation (NSF)); Div Of Chem, Bioeng, Env, &amp; Transp Sys; Directorate For Engineering(National Science Foundation (NSF)NSF - Directorate for Engineering (ENG))</t>
        </is>
      </c>
      <c r="AF634" t="inlineStr">
        <is>
          <t>This article is based upon work supported by the U.S. National Science Foundation (Grant #1055584).</t>
        </is>
      </c>
      <c r="AH634" t="n">
        <v>72</v>
      </c>
      <c r="AI634" t="n">
        <v>19</v>
      </c>
      <c r="AJ634" t="n">
        <v>19</v>
      </c>
      <c r="AK634" t="n">
        <v>3</v>
      </c>
      <c r="AL634" t="n">
        <v>52</v>
      </c>
      <c r="AM634" t="inlineStr">
        <is>
          <t>PERGAMON-ELSEVIER SCIENCE LTD</t>
        </is>
      </c>
      <c r="AN634" t="inlineStr">
        <is>
          <t>OXFORD</t>
        </is>
      </c>
      <c r="AO634" t="inlineStr">
        <is>
          <t>THE BOULEVARD, LANGFORD LANE, KIDLINGTON, OXFORD OX5 1GB, ENGLAND</t>
        </is>
      </c>
      <c r="AP634" t="inlineStr">
        <is>
          <t>1352-2310</t>
        </is>
      </c>
      <c r="AQ634" t="inlineStr">
        <is>
          <t>1873-2844</t>
        </is>
      </c>
      <c r="AS634" t="inlineStr">
        <is>
          <t>ATMOS ENVIRON</t>
        </is>
      </c>
      <c r="AT634" t="inlineStr">
        <is>
          <t>Atmos. Environ.</t>
        </is>
      </c>
      <c r="AU634" t="inlineStr">
        <is>
          <t>NOV</t>
        </is>
      </c>
      <c r="AV634" t="n">
        <v>2016</v>
      </c>
      <c r="AW634" t="n">
        <v>144</v>
      </c>
      <c r="BC634" t="n">
        <v>79</v>
      </c>
      <c r="BD634" t="n">
        <v>86</v>
      </c>
      <c r="BF634" t="inlineStr">
        <is>
          <t>10.1016/j.atmosenv.2016.08.051</t>
        </is>
      </c>
      <c r="BG634">
        <f>HYPERLINK("http://dx.doi.org/10.1016/j.atmosenv.2016.08.051","http://dx.doi.org/10.1016/j.atmosenv.2016.08.051")</f>
        <v/>
      </c>
      <c r="BJ634" t="n">
        <v>8</v>
      </c>
      <c r="BK634" t="inlineStr">
        <is>
          <t>Environmental Sciences; Meteorology &amp; Atmospheric Sciences</t>
        </is>
      </c>
      <c r="BL634" t="inlineStr">
        <is>
          <t>Science Citation Index Expanded (SCI-EXPANDED)</t>
        </is>
      </c>
      <c r="BM634" t="inlineStr">
        <is>
          <t>Environmental Sciences &amp; Ecology; Meteorology &amp; Atmospheric Sciences</t>
        </is>
      </c>
      <c r="BN634" t="inlineStr">
        <is>
          <t>DY7RD</t>
        </is>
      </c>
      <c r="BP634" t="inlineStr">
        <is>
          <t>hybrid</t>
        </is>
      </c>
      <c r="BS634" t="inlineStr">
        <is>
          <t>2023-10-26</t>
        </is>
      </c>
      <c r="BT634" t="inlineStr">
        <is>
          <t>WOS:000385326100009</t>
        </is>
      </c>
      <c r="BU634">
        <f>HYPERLINK("https%3A%2F%2Fwww.webofscience.com%2Fwos%2Fwoscc%2Ffull-record%2FWOS:000385326100009","View Full Record in Web of Science")</f>
        <v/>
      </c>
    </row>
    <row r="635">
      <c r="A635" t="inlineStr">
        <is>
          <t>J</t>
        </is>
      </c>
      <c r="B635" t="inlineStr">
        <is>
          <t>Xiao, JL; Aletta, F; Ali-Maclachlan, I</t>
        </is>
      </c>
      <c r="F635" t="inlineStr">
        <is>
          <t>Xiao, Jieling; Aletta, Francesco; Ali-Maclachlan, Islah</t>
        </is>
      </c>
      <c r="J635" t="inlineStr">
        <is>
          <t>SUSTAINABILITY</t>
        </is>
      </c>
      <c r="M635" t="inlineStr">
        <is>
          <t>English</t>
        </is>
      </c>
      <c r="N635" t="inlineStr">
        <is>
          <t>Article</t>
        </is>
      </c>
      <c r="T635" t="inlineStr">
        <is>
          <t>On the Opportunities of the Soundscape Approach to Revitalise Acoustics Training in Undergraduate Architectural Courses</t>
        </is>
      </c>
      <c r="U635" t="inlineStr">
        <is>
          <t>soundscape; acoustics; architectural education; pedagogy; architectural practice</t>
        </is>
      </c>
      <c r="W635" t="inlineStr">
        <is>
          <t>Soundscape research has been gaining prominence in studies on the built environment. The soundscape concept is defined as the acoustic environment as perceived and/or understood by a person in context. Compared with traditional building acoustics, the soundscape concept brings interesting perspectives-but also challenges-for undergraduate architectural curricula, where it tries to strike a balance between qualitative and quantitative methodologies, a theoretical approach that in the context of soundscape studies it is often referred to as 'triangulation'. Starting from real-world higher education courses, the aim of this paper is to examine how the soundscape approach can be integrated into teaching building acoustics at the undergraduate level in architectural courses. Methods such as soundwalks, acoustic measurements, and computational simulations that are commonly used in soundscape research are introduced in educational projects as tools for students to experience, analyse, and articulate the narrative around the sound environment to inform their design concepts and details.</t>
        </is>
      </c>
      <c r="X635" t="inlineStr">
        <is>
          <t>[Xiao, Jieling] Birmingham City Univ, Sch Architecture &amp; Design, Birmingham B4 7BD, W Midlands, England; [Aletta, Francesco] UCL, Inst Environm Design &amp; Engn, London WC1H 0NN, England; [Ali-Maclachlan, Islah] Birmingham City Univ, Sch Comp &amp; Digital Technol, Birmingham B4 7BD, W Midlands, England</t>
        </is>
      </c>
      <c r="Y635" t="inlineStr">
        <is>
          <t>Birmingham City University; University of London; University College London; Birmingham City University</t>
        </is>
      </c>
      <c r="Z635" t="inlineStr">
        <is>
          <t>Xiao, JL (corresponding author), Birmingham City Univ, Sch Architecture &amp; Design, Birmingham B4 7BD, W Midlands, England.</t>
        </is>
      </c>
      <c r="AA635" t="inlineStr">
        <is>
          <t>jieling.xiao@bcu.ac.uk; f.aletta@ucl.ac.uk; Islah.ali-maclachlan@bcu.ac.uk</t>
        </is>
      </c>
      <c r="AB635" t="inlineStr">
        <is>
          <t>Aletta, Francesco/U-4821-2017; Xiao, Jieling/AAT-3576-2021</t>
        </is>
      </c>
      <c r="AC635" t="inlineStr">
        <is>
          <t>Aletta, Francesco/0000-0003-0351-3189; Xiao, Jieling/0000-0002-9509-6695</t>
        </is>
      </c>
      <c r="AH635" t="n">
        <v>34</v>
      </c>
      <c r="AI635" t="n">
        <v>1</v>
      </c>
      <c r="AJ635" t="n">
        <v>1</v>
      </c>
      <c r="AK635" t="n">
        <v>2</v>
      </c>
      <c r="AL635" t="n">
        <v>9</v>
      </c>
      <c r="AM635" t="inlineStr">
        <is>
          <t>MDPI</t>
        </is>
      </c>
      <c r="AN635" t="inlineStr">
        <is>
          <t>BASEL</t>
        </is>
      </c>
      <c r="AO635" t="inlineStr">
        <is>
          <t>ST ALBAN-ANLAGE 66, CH-4052 BASEL, SWITZERLAND</t>
        </is>
      </c>
      <c r="AQ635" t="inlineStr">
        <is>
          <t>2071-1050</t>
        </is>
      </c>
      <c r="AS635" t="inlineStr">
        <is>
          <t>SUSTAINABILITY-BASEL</t>
        </is>
      </c>
      <c r="AT635" t="inlineStr">
        <is>
          <t>Sustainability</t>
        </is>
      </c>
      <c r="AU635" t="inlineStr">
        <is>
          <t>FEB</t>
        </is>
      </c>
      <c r="AV635" t="n">
        <v>2022</v>
      </c>
      <c r="AW635" t="n">
        <v>14</v>
      </c>
      <c r="AX635" t="n">
        <v>4</v>
      </c>
      <c r="BE635" t="n">
        <v>1957</v>
      </c>
      <c r="BF635" t="inlineStr">
        <is>
          <t>10.3390/su14041957</t>
        </is>
      </c>
      <c r="BG635">
        <f>HYPERLINK("http://dx.doi.org/10.3390/su14041957","http://dx.doi.org/10.3390/su14041957")</f>
        <v/>
      </c>
      <c r="BJ635" t="n">
        <v>11</v>
      </c>
      <c r="BK635" t="inlineStr">
        <is>
          <t>Green &amp; Sustainable Science &amp; Technology; Environmental Sciences; Environmental Studies</t>
        </is>
      </c>
      <c r="BL635" t="inlineStr">
        <is>
          <t>Science Citation Index Expanded (SCI-EXPANDED); Social Science Citation Index (SSCI)</t>
        </is>
      </c>
      <c r="BM635" t="inlineStr">
        <is>
          <t>Science &amp; Technology - Other Topics; Environmental Sciences &amp; Ecology</t>
        </is>
      </c>
      <c r="BN635" t="inlineStr">
        <is>
          <t>ZT2IL</t>
        </is>
      </c>
      <c r="BP635" t="inlineStr">
        <is>
          <t>gold, Green Published, Green Accepted</t>
        </is>
      </c>
      <c r="BS635" t="inlineStr">
        <is>
          <t>2023-10-26</t>
        </is>
      </c>
      <c r="BT635" t="inlineStr">
        <is>
          <t>WOS:000768977100001</t>
        </is>
      </c>
      <c r="BU635">
        <f>HYPERLINK("https%3A%2F%2Fwww.webofscience.com%2Fwos%2Fwoscc%2Ffull-record%2FWOS:000768977100001","View Full Record in Web of Science")</f>
        <v/>
      </c>
    </row>
    <row r="636">
      <c r="A636" t="inlineStr">
        <is>
          <t>J</t>
        </is>
      </c>
      <c r="B636" t="inlineStr">
        <is>
          <t>Paterson, CA; Sharpe, RA; Taylor, T; Morrissey, K</t>
        </is>
      </c>
      <c r="F636" t="inlineStr">
        <is>
          <t>Paterson, C. A.; Sharpe, R. A.; Taylor, T.; Morrissey, K.</t>
        </is>
      </c>
      <c r="J636" t="inlineStr">
        <is>
          <t>ENVIRONMENTAL RESEARCH</t>
        </is>
      </c>
      <c r="M636" t="inlineStr">
        <is>
          <t>English</t>
        </is>
      </c>
      <c r="N636" t="inlineStr">
        <is>
          <t>Review</t>
        </is>
      </c>
      <c r="T636" t="inlineStr">
        <is>
          <t>Indoor PM2.5, VOCs and asthma outcomes: A systematic review in adults and their home environments</t>
        </is>
      </c>
      <c r="U636" t="inlineStr">
        <is>
          <t>VOCS; PM2; 5; Asthma; Indoor environment; Home environment</t>
        </is>
      </c>
      <c r="V636" t="inlineStr">
        <is>
          <t>VOLATILE ORGANIC-COMPOUNDS; AIR-POLLUTION; RESPIRATORY SYMPTOMS; FUNGAL DIVERSITY; EXPOSURE; HEALTH; RISK; FORMALDEHYDE; PREVALENCE; ASSOCIATION</t>
        </is>
      </c>
      <c r="W636" t="inlineStr">
        <is>
          <t>Introduction: As the amount of time people spend indoors increases globally, exposure to indoor air pollutants has become an important public health concern. Asthma is a complex disease caused and/or exacerbated by increased exposure to diverse chemical, physical and biological exposures from multiple indoor and outdoor sources. This review aims to investigate the relationship between increased indoor PM and VOC concentrations (i.e. objectively measured) and the risk of adult asthma in higher-income countries. Methods: Eleven databases were systematically searched on the February 1, 2019 and again on the February 2, 2020. Articles were limited to those published since 1990. Reference lists were independently screened by three reviewers and authors were contacted to identify relevant articles. Backwards and forward citation chasing was used to identify further studies. Data were extracted from included studies meeting our eligibility criteria by three reviewers and assessed for quality using the Newcastle-Ottawa scale designed for case-control and cohort studies. Results: Twelve studies were included in a narrative synthesis. We found insufficient evidence to determine the effect of PM2.5 on asthma in the indoor home environment. However, there was strong evidence to suggest that VOCs, especially aromatic compounds, and aliphatic compounds, were associated with increased asthma symptoms. Discussion &amp; conclusion: Although no single exposure appears to be responsible for the development of asthma or its associated symptoms, the use of everyday products may be associated with increased asthma symptoms. To prevent poor health outcomes among the general population, health professionals and industry must make a concerted effort to better inform the general population of the importance of appropriate use of and storage of chemicals within the home as well as better health messaging on product labelling.</t>
        </is>
      </c>
      <c r="X636" t="inlineStr">
        <is>
          <t>[Paterson, C. A.; Taylor, T.; Morrissey, K.] Univ Exeter, Knowledge Spa, Royal Cornwall Hosp, Sch Med,European Ctr Environm &amp; Human Hlth, Truro TR1 3HD, Cornwall, England; [Sharpe, R. A.] Cornwall Council, Publ Hlth, 1E,New Cty Hall, Truro TR1 3AY, England</t>
        </is>
      </c>
      <c r="Y636" t="inlineStr">
        <is>
          <t>Royal Cornwall Hospital; University of Exeter</t>
        </is>
      </c>
      <c r="Z636" t="inlineStr">
        <is>
          <t>Paterson, CA (corresponding author), Univ Exeter, Knowledge Spa, Royal Cornwall Hosp, Sch Med,European Ctr Environm &amp; Human Hlth, Truro TR1 3HD, Cornwall, England.</t>
        </is>
      </c>
      <c r="AA636" t="inlineStr">
        <is>
          <t>C.b.paterson@exeter.ac.uk; Richard.sharpe@cornwall.gov.uk; Timothy.J.Taylor@exeter.ac.uk; K.Morrissey@exeter.ac.uk</t>
        </is>
      </c>
      <c r="AB636" t="inlineStr">
        <is>
          <t>Morrissey, Karyn/HZK-6855-2023</t>
        </is>
      </c>
      <c r="AC636" t="inlineStr">
        <is>
          <t>Morrissey, Karyn/0000-0001-7259-1047</t>
        </is>
      </c>
      <c r="AD636" t="inlineStr">
        <is>
          <t>England European Regional Development Fund as part of the European Structural and Investment Funds Growth Programme 2014-2020 [05R16P00305, 05R18P02819]; Smartline proj-ect</t>
        </is>
      </c>
      <c r="AE636" t="inlineStr">
        <is>
          <t>England European Regional Development Fund as part of the European Structural and Investment Funds Growth Programme 2014-2020; Smartline proj-ect</t>
        </is>
      </c>
      <c r="AF636" t="inlineStr">
        <is>
          <t>Funding for this research was provided through the Smartline proj-ect. The Smartline project ( www.smartline.org.uk, based in Cornwall, UK) is receiving up to 3,780,374 of funding from the England European Regional Development Fund (Grant Numbers 05R16P00305, 05R18P02819) as part of the European Structural and Investment Funds Growth Programme 2014-2020. The Ministry of Housing, Communitiesand Local Government (and in London the intermediate body Greater London Authority) is the Managing Authority for European Regional Development Fund. Established by the European Union, the European Regional Development Fund helps local areas stimulate their economic development by investing in projects which will support innovation, businesses, create jobs and local community regenerations. For more information visit https:// www.gov.uk/european-growth-funding.; The Smartline project is also funded by the South West Academic Health Science Network, Cornwall Council, and H.M. Government, and is a partnership between University of Exeter, Coastline Housing, Volunteer Cornwall, Cornwall Council, and the South West Academic Health Science Network. .</t>
        </is>
      </c>
      <c r="AH636" t="n">
        <v>53</v>
      </c>
      <c r="AI636" t="n">
        <v>28</v>
      </c>
      <c r="AJ636" t="n">
        <v>29</v>
      </c>
      <c r="AK636" t="n">
        <v>3</v>
      </c>
      <c r="AL636" t="n">
        <v>41</v>
      </c>
      <c r="AM636" t="inlineStr">
        <is>
          <t>ACADEMIC PRESS INC ELSEVIER SCIENCE</t>
        </is>
      </c>
      <c r="AN636" t="inlineStr">
        <is>
          <t>SAN DIEGO</t>
        </is>
      </c>
      <c r="AO636" t="inlineStr">
        <is>
          <t>525 B ST, STE 1900, SAN DIEGO, CA 92101-4495 USA</t>
        </is>
      </c>
      <c r="AP636" t="inlineStr">
        <is>
          <t>0013-9351</t>
        </is>
      </c>
      <c r="AQ636" t="inlineStr">
        <is>
          <t>1096-0953</t>
        </is>
      </c>
      <c r="AS636" t="inlineStr">
        <is>
          <t>ENVIRON RES</t>
        </is>
      </c>
      <c r="AT636" t="inlineStr">
        <is>
          <t>Environ. Res.</t>
        </is>
      </c>
      <c r="AU636" t="inlineStr">
        <is>
          <t>NOV</t>
        </is>
      </c>
      <c r="AV636" t="n">
        <v>2021</v>
      </c>
      <c r="AW636" t="n">
        <v>202</v>
      </c>
      <c r="BE636" t="n">
        <v>111631</v>
      </c>
      <c r="BF636" t="inlineStr">
        <is>
          <t>10.1016/j.envres.2021.111631</t>
        </is>
      </c>
      <c r="BG636">
        <f>HYPERLINK("http://dx.doi.org/10.1016/j.envres.2021.111631","http://dx.doi.org/10.1016/j.envres.2021.111631")</f>
        <v/>
      </c>
      <c r="BI636" t="inlineStr">
        <is>
          <t>JUL 2021</t>
        </is>
      </c>
      <c r="BJ636" t="n">
        <v>10</v>
      </c>
      <c r="BK636" t="inlineStr">
        <is>
          <t>Environmental Sciences; Public, Environmental &amp; Occupational Health</t>
        </is>
      </c>
      <c r="BL636" t="inlineStr">
        <is>
          <t>Science Citation Index Expanded (SCI-EXPANDED)</t>
        </is>
      </c>
      <c r="BM636" t="inlineStr">
        <is>
          <t>Environmental Sciences &amp; Ecology; Public, Environmental &amp; Occupational Health</t>
        </is>
      </c>
      <c r="BN636" t="inlineStr">
        <is>
          <t>WD5BA</t>
        </is>
      </c>
      <c r="BO636" t="n">
        <v>34224711</v>
      </c>
      <c r="BP636" t="inlineStr">
        <is>
          <t>hybrid</t>
        </is>
      </c>
      <c r="BS636" t="inlineStr">
        <is>
          <t>2023-10-26</t>
        </is>
      </c>
      <c r="BT636" t="inlineStr">
        <is>
          <t>WOS:000704954700004</t>
        </is>
      </c>
      <c r="BU636">
        <f>HYPERLINK("https%3A%2F%2Fwww.webofscience.com%2Fwos%2Fwoscc%2Ffull-record%2FWOS:000704954700004","View Full Record in Web of Science")</f>
        <v/>
      </c>
    </row>
    <row r="637">
      <c r="A637" t="inlineStr">
        <is>
          <t>J</t>
        </is>
      </c>
      <c r="B637" t="inlineStr">
        <is>
          <t>Cong, XW; Zhang, J; Sun, RL; Pu, YP</t>
        </is>
      </c>
      <c r="F637" t="inlineStr">
        <is>
          <t>Cong, Xiaowei; Zhang, Juan; Sun, Rongli; Pu, Yuepu</t>
        </is>
      </c>
      <c r="J637" t="inlineStr">
        <is>
          <t>SCIENCE OF THE TOTAL ENVIRONMENT</t>
        </is>
      </c>
      <c r="M637" t="inlineStr">
        <is>
          <t>English</t>
        </is>
      </c>
      <c r="N637" t="inlineStr">
        <is>
          <t>Article</t>
        </is>
      </c>
      <c r="T637" t="inlineStr">
        <is>
          <t>Indoor unclean fuel cessation linked with adult cognitive performance in China</t>
        </is>
      </c>
      <c r="U637" t="inlineStr">
        <is>
          <t>Indoor fuel use; Indoor air pollution; CVD; Cognitive performance; China</t>
        </is>
      </c>
      <c r="V637" t="inlineStr">
        <is>
          <t>HOUSEHOLD AIR-POLLUTION; ALL-CAUSE; ULTRAFINE PARTICLES; BRAIN INFLAMMATION; ALZHEIMERS-DISEASE; RISK-FACTORS; MORTALITY; EXPOSURE; TRANSLOCATION; ASSOCIATION</t>
        </is>
      </c>
      <c r="W637" t="inlineStr">
        <is>
          <t>Both indoor unclean fuel use and CVD associates with cognitive function. Indoor fuel has transitioned from the use of unclean fuel to clean fuel in recent years in China. The aimof this studywas to evaluate the association between adult cognitive function and such a transition and to investigate the potential role of CVD in this association. 7112 participants (26- to 98-years of age) with 12,676 observations living in twelve provinces of China from 1997 to 2015 were extracted based on having complete data. The associations, combined effects, and furthermediation effects between indoor unclean fuel use and its transition, CVD, and cognitive function were tested using regression models, stratified analyses, the relative excess risk due to interaction (RERI), mediation analysis methods, and sensitivity analyses. Between 1997 and 2015, cooking fuel use coal and wood went down a lot in China, from a baseline of 26.9% to 6.1%, from30.1% to 11.5%, respectively. Such a transition showed a positive associationwith delayed verbal recall (B= 0.288, p&lt; 0.01), especially in rural area, subjectswith age = 65 years old, andwomen (all P &lt; 0.05). The combined effect of the presence of hypertension during a baseline visit and such a transition on changes in delayed verbal recall was antagonistic (RERI=-0.529, p &lt; 0.05). Moreover, the development of hypertension explainedmore than 50% of such a fuel transition-related decline of verbal memory. The transition of household energy to clean fuel was associated with a higher adult cognitive function. The presence or the development of CVD appeared to affect the association between indoor air pollution and cognitive function, which suggests a need to further optimize prevention of concurrent CVD and risk factor control in adults at higher risk for cognitive impairment andwith indoor unclean cooking fuel, especially in potentially susceptible subgroups. (c) 2021 Elsevier B.V. All rights reserved.</t>
        </is>
      </c>
      <c r="X637" t="inlineStr">
        <is>
          <t>[Cong, Xiaowei; Zhang, Juan; Sun, Rongli; Pu, Yuepu] Southeast Univ, Sch Publ Hlth, Minist Educ, Key Lab Environm Med Engn, Nanjing 210009, Jiangsu, Peoples R China</t>
        </is>
      </c>
      <c r="Y637" t="inlineStr">
        <is>
          <t>Southeast University - China</t>
        </is>
      </c>
      <c r="Z637" t="inlineStr">
        <is>
          <t>Zhang, J; Pu, YP (corresponding author), Southeast Univ, Sch Publ Hlth, Minist Educ, Key Lab Environm Med Engn, Nanjing 210009, Jiangsu, Peoples R China.</t>
        </is>
      </c>
      <c r="AA637" t="inlineStr">
        <is>
          <t>101011288@seu.edu.cn; yppu@seu.edu.cn</t>
        </is>
      </c>
      <c r="AB637" t="inlineStr">
        <is>
          <t>Zhang, Juan/GRX-2638-2022</t>
        </is>
      </c>
      <c r="AH637" t="n">
        <v>81</v>
      </c>
      <c r="AI637" t="n">
        <v>6</v>
      </c>
      <c r="AJ637" t="n">
        <v>8</v>
      </c>
      <c r="AK637" t="n">
        <v>1</v>
      </c>
      <c r="AL637" t="n">
        <v>49</v>
      </c>
      <c r="AM637" t="inlineStr">
        <is>
          <t>ELSEVIER</t>
        </is>
      </c>
      <c r="AN637" t="inlineStr">
        <is>
          <t>AMSTERDAM</t>
        </is>
      </c>
      <c r="AO637" t="inlineStr">
        <is>
          <t>RADARWEG 29, 1043 NX AMSTERDAM, NETHERLANDS</t>
        </is>
      </c>
      <c r="AP637" t="inlineStr">
        <is>
          <t>0048-9697</t>
        </is>
      </c>
      <c r="AQ637" t="inlineStr">
        <is>
          <t>1879-1026</t>
        </is>
      </c>
      <c r="AS637" t="inlineStr">
        <is>
          <t>SCI TOTAL ENVIRON</t>
        </is>
      </c>
      <c r="AT637" t="inlineStr">
        <is>
          <t>Sci. Total Environ.</t>
        </is>
      </c>
      <c r="AU637" t="inlineStr">
        <is>
          <t>JUN 25</t>
        </is>
      </c>
      <c r="AV637" t="n">
        <v>2021</v>
      </c>
      <c r="AW637" t="n">
        <v>775</v>
      </c>
      <c r="BE637" t="n">
        <v>145518</v>
      </c>
      <c r="BF637" t="inlineStr">
        <is>
          <t>10.1016/j.scitotenv.2021.145518</t>
        </is>
      </c>
      <c r="BG637">
        <f>HYPERLINK("http://dx.doi.org/10.1016/j.scitotenv.2021.145518","http://dx.doi.org/10.1016/j.scitotenv.2021.145518")</f>
        <v/>
      </c>
      <c r="BI637" t="inlineStr">
        <is>
          <t>FEB 2021</t>
        </is>
      </c>
      <c r="BJ637" t="n">
        <v>13</v>
      </c>
      <c r="BK637" t="inlineStr">
        <is>
          <t>Environmental Sciences</t>
        </is>
      </c>
      <c r="BL637" t="inlineStr">
        <is>
          <t>Science Citation Index Expanded (SCI-EXPANDED); Social Science Citation Index (SSCI)</t>
        </is>
      </c>
      <c r="BM637" t="inlineStr">
        <is>
          <t>Environmental Sciences &amp; Ecology</t>
        </is>
      </c>
      <c r="BN637" t="inlineStr">
        <is>
          <t>RP3CP</t>
        </is>
      </c>
      <c r="BO637" t="n">
        <v>33621876</v>
      </c>
      <c r="BS637" t="inlineStr">
        <is>
          <t>2023-10-26</t>
        </is>
      </c>
      <c r="BT637" t="inlineStr">
        <is>
          <t>WOS:000641610200016</t>
        </is>
      </c>
      <c r="BU637">
        <f>HYPERLINK("https%3A%2F%2Fwww.webofscience.com%2Fwos%2Fwoscc%2Ffull-record%2FWOS:000641610200016","View Full Record in Web of Science")</f>
        <v/>
      </c>
    </row>
    <row r="638">
      <c r="A638" t="inlineStr">
        <is>
          <t>J</t>
        </is>
      </c>
      <c r="B638" t="inlineStr">
        <is>
          <t>Birenboim, A; Bloom, PB; Levit, H; Omer, I</t>
        </is>
      </c>
      <c r="F638" t="inlineStr">
        <is>
          <t>Birenboim, Amit; Ben-Nun Bloom, Pazit; Levit, Hila; Omer, Itzhak</t>
        </is>
      </c>
      <c r="J638" t="inlineStr">
        <is>
          <t>INTERNATIONAL JOURNAL OF ENVIRONMENTAL RESEARCH AND PUBLIC HEALTH</t>
        </is>
      </c>
      <c r="M638" t="inlineStr">
        <is>
          <t>English</t>
        </is>
      </c>
      <c r="N638" t="inlineStr">
        <is>
          <t>Article</t>
        </is>
      </c>
      <c r="T638" t="inlineStr">
        <is>
          <t>The Study of Walking, Walkability and Wellbeing in Immersive Virtual Environments</t>
        </is>
      </c>
      <c r="U638" t="inlineStr">
        <is>
          <t>walkability; immersive virtual environment; VR; walking simulator; wellbeing; eye tracking; gait analysis; electrodermal activity; heart rate; mobility</t>
        </is>
      </c>
      <c r="V638" t="inlineStr">
        <is>
          <t>PHYSICAL-ACTIVITY; AFFECTIVE EXPERIENCES; BUILT ENVIRONMENTS; REALITY; HEALTH; QUESTIONNAIRE; VALIDATION; FRAMEWORK; DESIGN; ADULTS</t>
        </is>
      </c>
      <c r="W638" t="inlineStr">
        <is>
          <t>Recent approaches in the research on walkable environments and wellbeing go beyond correlational analysis to consider the specific characteristics of individuals and their interaction with the immediate environment. Accordingly, a need has been accentuated for new human-centered methods to improve our understanding of the mechanisms underlying environmental effects on walking and consequently on wellbeing. Immersive virtual environments (IVEs) were suggested as a potential method that can advance this type of research as they offer a unique combination between controlled experimental environments that allow drawing causal conclusions and a high level of environmental realism that supports ecological validity. The current study pilot tested a walking simulator with additional sensor technologies, including biosensors, eye tracking and gait sensors. Results found IVEs to facilitate extremely high tempo-spatial-resolution measurement of physical walking parameters (e.g., speed, number of gaits) along with walking experience and wellbeing (e.g., electrodermal activity, heartrate). This level of resolution is useful in linking specific environmental stimuli to the psychophysiological and behavioral reactions, which cannot be obtained in real-world and self-report research designs. A set of guidelines for implementing IVE technology for research is suggested in order to standardize its use and allow new researchers to engage with this emerging field of research.</t>
        </is>
      </c>
      <c r="X638" t="inlineStr">
        <is>
          <t>[Birenboim, Amit; Levit, Hila; Omer, Itzhak] Tel Aviv Univ, Dept Geog &amp; Human Environm, IL-6997801 Tel Aviv, Israel; [Ben-Nun Bloom, Pazit] Hebrew Univ Jerusalem, Dept Polit Sci, IL-9190401 Jerusalem, Israel</t>
        </is>
      </c>
      <c r="Y638" t="inlineStr">
        <is>
          <t>Tel Aviv University; Hebrew University of Jerusalem</t>
        </is>
      </c>
      <c r="Z638" t="inlineStr">
        <is>
          <t>Birenboim, A (corresponding author), Tel Aviv Univ, Dept Geog &amp; Human Environm, IL-6997801 Tel Aviv, Israel.</t>
        </is>
      </c>
      <c r="AA638" t="inlineStr">
        <is>
          <t>abirenboim@tauex.tau.ac.il; pazit.bennun@mail.huji.ac.il; hilalevit@mail.tau.ac.il; omery@tauex.tau.ac.il</t>
        </is>
      </c>
      <c r="AB638" t="inlineStr">
        <is>
          <t>Birenboim, Amit/J-6445-2019</t>
        </is>
      </c>
      <c r="AC638" t="inlineStr">
        <is>
          <t>Birenboim, Amit/0000-0002-7087-9634; Ben-Nun Bloom, Pazit/0000-0003-4930-3355; Levit, Hila/0000-0003-2338-5241</t>
        </is>
      </c>
      <c r="AD638" t="inlineStr">
        <is>
          <t>ISRAEL SCIENCE FOUNDATION [1015/19]</t>
        </is>
      </c>
      <c r="AE638" t="inlineStr">
        <is>
          <t>ISRAEL SCIENCE FOUNDATION(Israel Science Foundation)</t>
        </is>
      </c>
      <c r="AF638" t="inlineStr">
        <is>
          <t>This research was supported by the ISRAEL SCIENCE FOUNDATION (grant No. 1015/19).</t>
        </is>
      </c>
      <c r="AH638" t="n">
        <v>82</v>
      </c>
      <c r="AI638" t="n">
        <v>10</v>
      </c>
      <c r="AJ638" t="n">
        <v>10</v>
      </c>
      <c r="AK638" t="n">
        <v>6</v>
      </c>
      <c r="AL638" t="n">
        <v>39</v>
      </c>
      <c r="AM638" t="inlineStr">
        <is>
          <t>MDPI</t>
        </is>
      </c>
      <c r="AN638" t="inlineStr">
        <is>
          <t>BASEL</t>
        </is>
      </c>
      <c r="AO638" t="inlineStr">
        <is>
          <t>ST ALBAN-ANLAGE 66, CH-4052 BASEL, SWITZERLAND</t>
        </is>
      </c>
      <c r="AQ638" t="inlineStr">
        <is>
          <t>1660-4601</t>
        </is>
      </c>
      <c r="AS638" t="inlineStr">
        <is>
          <t>INT J ENV RES PUB HE</t>
        </is>
      </c>
      <c r="AT638" t="inlineStr">
        <is>
          <t>Int. J. Environ. Res. Public Health</t>
        </is>
      </c>
      <c r="AU638" t="inlineStr">
        <is>
          <t>JAN</t>
        </is>
      </c>
      <c r="AV638" t="n">
        <v>2021</v>
      </c>
      <c r="AW638" t="n">
        <v>18</v>
      </c>
      <c r="AX638" t="n">
        <v>2</v>
      </c>
      <c r="BE638" t="n">
        <v>364</v>
      </c>
      <c r="BF638" t="inlineStr">
        <is>
          <t>10.3390/ijerph18020364</t>
        </is>
      </c>
      <c r="BG638">
        <f>HYPERLINK("http://dx.doi.org/10.3390/ijerph18020364","http://dx.doi.org/10.3390/ijerph18020364")</f>
        <v/>
      </c>
      <c r="BJ638" t="n">
        <v>18</v>
      </c>
      <c r="BK638" t="inlineStr">
        <is>
          <t>Environmental Sciences; Public, Environmental &amp; Occupational Health</t>
        </is>
      </c>
      <c r="BL638" t="inlineStr">
        <is>
          <t>Science Citation Index Expanded (SCI-EXPANDED); Social Science Citation Index (SSCI)</t>
        </is>
      </c>
      <c r="BM638" t="inlineStr">
        <is>
          <t>Environmental Sciences &amp; Ecology; Public, Environmental &amp; Occupational Health</t>
        </is>
      </c>
      <c r="BN638" t="inlineStr">
        <is>
          <t>PX3SD</t>
        </is>
      </c>
      <c r="BO638" t="n">
        <v>33418896</v>
      </c>
      <c r="BP638" t="inlineStr">
        <is>
          <t>Green Published, gold</t>
        </is>
      </c>
      <c r="BS638" t="inlineStr">
        <is>
          <t>2023-10-26</t>
        </is>
      </c>
      <c r="BT638" t="inlineStr">
        <is>
          <t>WOS:000611277700001</t>
        </is>
      </c>
      <c r="BU638">
        <f>HYPERLINK("https%3A%2F%2Fwww.webofscience.com%2Fwos%2Fwoscc%2Ffull-record%2FWOS:000611277700001","View Full Record in Web of Science")</f>
        <v/>
      </c>
    </row>
    <row r="639">
      <c r="A639" t="inlineStr">
        <is>
          <t>J</t>
        </is>
      </c>
      <c r="B639" t="inlineStr">
        <is>
          <t>Liu, JY; Zhu, SW; Kim, MK; Srebric, J</t>
        </is>
      </c>
      <c r="F639" t="inlineStr">
        <is>
          <t>Liu, Jiying; Zhu, Shengwei; Kim, Moon Keun; Srebric, Jelena</t>
        </is>
      </c>
      <c r="J639" t="inlineStr">
        <is>
          <t>SUSTAINABILITY</t>
        </is>
      </c>
      <c r="M639" t="inlineStr">
        <is>
          <t>English</t>
        </is>
      </c>
      <c r="N639" t="inlineStr">
        <is>
          <t>Review</t>
        </is>
      </c>
      <c r="T639" t="inlineStr">
        <is>
          <t>A Review of CFD Analysis Methods for Personalized Ventilation (PV) in Indoor Built Environments</t>
        </is>
      </c>
      <c r="U639" t="inlineStr">
        <is>
          <t>computational fluid dynamics (CFD); personalized ventilation (PV); computational thermal manikin (CTM); inhaled air quality; thermal comfort; energy saving</t>
        </is>
      </c>
      <c r="V639" t="inlineStr">
        <is>
          <t>COMPUTATIONAL FLUID-DYNAMICS; NONUNIFORM THERMAL ENVIRONMENT; HEAT-TRANSFER COEFFICIENTS; AIR-DISTRIBUTION SYSTEMS; SEATED HUMAN-BODY; DISPLACEMENT VENTILATION; ENERGY PERFORMANCE; TURBULENCE MODELS; ROOM AIR; HUMAN THERMOREGULATION</t>
        </is>
      </c>
      <c r="W639" t="inlineStr">
        <is>
          <t>Computational fluid dynamics (CFD) is an effective analysis method of personalized ventilation (PV) in indoor built environments. As an increasingly important supplement to experimental and theoretical methods, the quality of CFD simulations must be maintained through an adequately controlled numerical modeling process. CFD numerical data can explain PV performance in terms of inhaled air quality, occupants' thermal comfort, and building energy savings. Therefore, this paper presents state-of-the-art CFD analyses of PV systems in indoor built environments. The results emphasize the importance of accurate thermal boundary conditions for computational thermal manikins (CTMs) to properly analyze the heat exchange between human body and the microenvironment, including both convective and radiative heat exchange. CFD modeling performance is examined in terms of effectiveness of computational grids, convergence criteria, and validation methods. Additionally, indices of PV performance are suggested as system-performance evaluation criteria. A specific utilization of realistic PV air supply diffuser configurations remains a challenging task for further study. Overall, the adaptable airflow characteristics of a PV air supply provide an opportunity to achieve better thermal comfort with lower energy use based on CFD numerical analyses.</t>
        </is>
      </c>
      <c r="X639" t="inlineStr">
        <is>
          <t>[Liu, Jiying] Shandong Jianzhu Univ, Sch Thermal Engn, Jinan 250101, Shandong, Peoples R China; [Liu, Jiying; Zhu, Shengwei; Srebric, Jelena] Univ Maryland, Dept Mech Engn, College Pk, MD 20742 USA; [Kim, Moon Keun] Xian Jiaotong Liverpool Univ, Dept Architecture, Suzhou 215123, Peoples R China</t>
        </is>
      </c>
      <c r="Y639" t="inlineStr">
        <is>
          <t>Shandong Jianzhu University; University System of Maryland; University of Maryland College Park; Xi'an Jiaotong-Liverpool University</t>
        </is>
      </c>
      <c r="Z639" t="inlineStr">
        <is>
          <t>Liu, JY (corresponding author), Shandong Jianzhu Univ, Sch Thermal Engn, Jinan 250101, Shandong, Peoples R China.;Liu, JY (corresponding author), Univ Maryland, Dept Mech Engn, College Pk, MD 20742 USA.;Kim, MK (corresponding author), Xian Jiaotong Liverpool Univ, Dept Architecture, Suzhou 215123, Peoples R China.</t>
        </is>
      </c>
      <c r="AA639" t="inlineStr">
        <is>
          <t>jxl83@sdjzu.edu.cn; moon.kim@xjtlu.edu.cn</t>
        </is>
      </c>
      <c r="AB639" t="inlineStr">
        <is>
          <t>Liu, Jiying/T-4645-2018</t>
        </is>
      </c>
      <c r="AC639" t="inlineStr">
        <is>
          <t>Liu, Jiying/0000-0001-7385-6959; Kim, Moon Keun/0000-0001-9614-5412</t>
        </is>
      </c>
      <c r="AD639" t="inlineStr">
        <is>
          <t>National Natural Science Foundation of China [51608310]; Science and Technology Plan Project of University in Shandong Province [J16LG07]</t>
        </is>
      </c>
      <c r="AE639" t="inlineStr">
        <is>
          <t>National Natural Science Foundation of China(National Natural Science Foundation of China (NSFC)); Science and Technology Plan Project of University in Shandong Province</t>
        </is>
      </c>
      <c r="AF639" t="inlineStr">
        <is>
          <t>This research was funded by National Natural Science Foundation of China (51608310) and Science and Technology Plan Project of University in Shandong Province (J16LG07).</t>
        </is>
      </c>
      <c r="AH639" t="n">
        <v>208</v>
      </c>
      <c r="AI639" t="n">
        <v>39</v>
      </c>
      <c r="AJ639" t="n">
        <v>39</v>
      </c>
      <c r="AK639" t="n">
        <v>13</v>
      </c>
      <c r="AL639" t="n">
        <v>110</v>
      </c>
      <c r="AM639" t="inlineStr">
        <is>
          <t>MDPI</t>
        </is>
      </c>
      <c r="AN639" t="inlineStr">
        <is>
          <t>BASEL</t>
        </is>
      </c>
      <c r="AO639" t="inlineStr">
        <is>
          <t>ST ALBAN-ANLAGE 66, CH-4052 BASEL, SWITZERLAND</t>
        </is>
      </c>
      <c r="AQ639" t="inlineStr">
        <is>
          <t>2071-1050</t>
        </is>
      </c>
      <c r="AS639" t="inlineStr">
        <is>
          <t>SUSTAINABILITY-BASEL</t>
        </is>
      </c>
      <c r="AT639" t="inlineStr">
        <is>
          <t>Sustainability</t>
        </is>
      </c>
      <c r="AU639" t="inlineStr">
        <is>
          <t>AUG</t>
        </is>
      </c>
      <c r="AV639" t="n">
        <v>2019</v>
      </c>
      <c r="AW639" t="n">
        <v>11</v>
      </c>
      <c r="AX639" t="n">
        <v>15</v>
      </c>
      <c r="BE639" t="n">
        <v>4166</v>
      </c>
      <c r="BF639" t="inlineStr">
        <is>
          <t>10.3390/su11154166</t>
        </is>
      </c>
      <c r="BG639">
        <f>HYPERLINK("http://dx.doi.org/10.3390/su11154166","http://dx.doi.org/10.3390/su11154166")</f>
        <v/>
      </c>
      <c r="BJ639" t="n">
        <v>33</v>
      </c>
      <c r="BK639" t="inlineStr">
        <is>
          <t>Green &amp; Sustainable Science &amp; Technology; Environmental Sciences; Environmental Studies</t>
        </is>
      </c>
      <c r="BL639" t="inlineStr">
        <is>
          <t>Science Citation Index Expanded (SCI-EXPANDED); Social Science Citation Index (SSCI)</t>
        </is>
      </c>
      <c r="BM639" t="inlineStr">
        <is>
          <t>Science &amp; Technology - Other Topics; Environmental Sciences &amp; Ecology</t>
        </is>
      </c>
      <c r="BN639" t="inlineStr">
        <is>
          <t>IW8FS</t>
        </is>
      </c>
      <c r="BP639" t="inlineStr">
        <is>
          <t>gold, Green Submitted</t>
        </is>
      </c>
      <c r="BS639" t="inlineStr">
        <is>
          <t>2023-10-26</t>
        </is>
      </c>
      <c r="BT639" t="inlineStr">
        <is>
          <t>WOS:000485230200171</t>
        </is>
      </c>
      <c r="BU639">
        <f>HYPERLINK("https%3A%2F%2Fwww.webofscience.com%2Fwos%2Fwoscc%2Ffull-record%2FWOS:000485230200171","View Full Record in Web of Science")</f>
        <v/>
      </c>
    </row>
    <row r="640">
      <c r="A640" t="inlineStr">
        <is>
          <t>J</t>
        </is>
      </c>
      <c r="B640" t="inlineStr">
        <is>
          <t>Sung, H; Lee, S; Cheon, S; Yoon, J</t>
        </is>
      </c>
      <c r="F640" t="inlineStr">
        <is>
          <t>Sung, Hyungun; Lee, Sugie; Cheon, SangHyun; Yoon, Junho</t>
        </is>
      </c>
      <c r="J640" t="inlineStr">
        <is>
          <t>SUSTAINABILITY</t>
        </is>
      </c>
      <c r="M640" t="inlineStr">
        <is>
          <t>English</t>
        </is>
      </c>
      <c r="N640" t="inlineStr">
        <is>
          <t>Article</t>
        </is>
      </c>
      <c r="T640" t="inlineStr">
        <is>
          <t>Pedestrian Safety in Compact and Mixed-Use Urban Environments: Evaluation of 5D Measures on Pedestrian Crashes</t>
        </is>
      </c>
      <c r="U640" t="inlineStr">
        <is>
          <t>pedestrian safety; pedestrian-vehicle crash; built environment; compact development; land-use mix; urban form</t>
        </is>
      </c>
      <c r="V640" t="inlineStr">
        <is>
          <t>TRANSIT-ORIENTED DEVELOPMENT; BUILT ENVIRONMENT; LAND-USE; INJURY COLLISIONS; PHYSICAL-ACTIVITY; SPATIAL-ANALYSIS; VEHICLE CRASHES; RISK; DENSITY; SEOUL</t>
        </is>
      </c>
      <c r="W640" t="inlineStr">
        <is>
          <t>This study examined the impact of density, diversity, design, distance to transit, and destination accessibility, five measures, known as the 5Ds, that characterize the built environment, on pedestrian-vehicle crashes in Seoul, Korea. Using spatial analysis based on 500-m grid cells, this study employed negative binomial regression models on the frequencies of three specific types of pedestrian-vehicle crashes: crashes causing death, major injury, and minor injury to pedestrians. Analysis shows that compact and mixed-use urban environments represented by 5D measures have mixed effects on pedestrian safety. Trade-off effects are found between a higher risk for all types of pedestrian crashes, and a lower risk for fatal pedestrian crashes in 5D urban environments. As a design variable, a higher number of intersections is more likely to increase some types of pedestrian crashes, including fatal crashes, a finding which warrants policy attention to promote pedestrian safety near intersection areas. This study also confirms an urgent need to secure the travel safety of pedestrians near public transit stations due to the higher risk of pedestrian crashes near such facilities. Various destinations, such as retail stores, traditional markets, and hospitals, are associated with pedestrian crashes. Pedestrian safety measures should be implemented to reduce the likelihood of pedestrian crashes near major destination facilities.</t>
        </is>
      </c>
      <c r="X640" t="inlineStr">
        <is>
          <t>[Sung, Hyungun] Hanyang Univ, Grad Sch Urban Studies, Seoul 04763, South Korea; [Lee, Sugie; Yoon, Junho] Hanyang Univ, Dept Urban Planning &amp; Engn, Seoul 04763, South Korea; [Cheon, SangHyun] Hongik Univ, Dept Urban Planning &amp; Design, Seoul 04066, South Korea</t>
        </is>
      </c>
      <c r="Y640" t="inlineStr">
        <is>
          <t>Hanyang University; Hanyang University; Hongik University</t>
        </is>
      </c>
      <c r="Z640" t="inlineStr">
        <is>
          <t>Lee, S (corresponding author), Hanyang Univ, Dept Urban Planning &amp; Engn, Seoul 04763, South Korea.</t>
        </is>
      </c>
      <c r="AA640" t="inlineStr">
        <is>
          <t>hgsung80@hanyang.ac.kr; sugielee@hanyang.ac.kr; scheon@hongik.ac.kr; winjunho@naver.com</t>
        </is>
      </c>
      <c r="AB640" t="inlineStr">
        <is>
          <t>Sung, Hyungun/AAO-9811-2021; Yoon, Junho/GSE-6278-2022</t>
        </is>
      </c>
      <c r="AC640" t="inlineStr">
        <is>
          <t>Sung, Hyungun/0000-0003-0239-2725; Yoon, Junho/0000-0002-6378-539X; Lee, Sugie/0000-0002-0940-4488</t>
        </is>
      </c>
      <c r="AD640" t="inlineStr">
        <is>
          <t>National Research Foundations of Korea [NRF-2020R1A2C2008443, NRF-2020S1A5A2A01044573]; Korean government; National Research Foundation of Korea [2020S1A5A2A01044573] Funding Source: Korea Institute of Science &amp; Technology Information (KISTI), National Science &amp; Technology Information Service (NTIS)</t>
        </is>
      </c>
      <c r="AE640" t="inlineStr">
        <is>
          <t>National Research Foundations of Korea; Korean government(Korean Government); National Research Foundation of Korea(National Research Foundation of Korea)</t>
        </is>
      </c>
      <c r="AF640" t="inlineStr">
        <is>
          <t>FundingThis research was supported by National Research Foundations of Korea grants (NRF-2020R1A2C2008443 and NRF-2020S1A5A2A01044573) funded by the Korean government.</t>
        </is>
      </c>
      <c r="AH640" t="n">
        <v>81</v>
      </c>
      <c r="AI640" t="n">
        <v>4</v>
      </c>
      <c r="AJ640" t="n">
        <v>4</v>
      </c>
      <c r="AK640" t="n">
        <v>5</v>
      </c>
      <c r="AL640" t="n">
        <v>28</v>
      </c>
      <c r="AM640" t="inlineStr">
        <is>
          <t>MDPI</t>
        </is>
      </c>
      <c r="AN640" t="inlineStr">
        <is>
          <t>BASEL</t>
        </is>
      </c>
      <c r="AO640" t="inlineStr">
        <is>
          <t>ST ALBAN-ANLAGE 66, CH-4052 BASEL, SWITZERLAND</t>
        </is>
      </c>
      <c r="AQ640" t="inlineStr">
        <is>
          <t>2071-1050</t>
        </is>
      </c>
      <c r="AS640" t="inlineStr">
        <is>
          <t>SUSTAINABILITY-BASEL</t>
        </is>
      </c>
      <c r="AT640" t="inlineStr">
        <is>
          <t>Sustainability</t>
        </is>
      </c>
      <c r="AU640" t="inlineStr">
        <is>
          <t>JAN</t>
        </is>
      </c>
      <c r="AV640" t="n">
        <v>2022</v>
      </c>
      <c r="AW640" t="n">
        <v>14</v>
      </c>
      <c r="AX640" t="n">
        <v>2</v>
      </c>
      <c r="BE640" t="n">
        <v>646</v>
      </c>
      <c r="BF640" t="inlineStr">
        <is>
          <t>10.3390/su14020646</t>
        </is>
      </c>
      <c r="BG640">
        <f>HYPERLINK("http://dx.doi.org/10.3390/su14020646","http://dx.doi.org/10.3390/su14020646")</f>
        <v/>
      </c>
      <c r="BJ640" t="n">
        <v>15</v>
      </c>
      <c r="BK640" t="inlineStr">
        <is>
          <t>Green &amp; Sustainable Science &amp; Technology; Environmental Sciences; Environmental Studies</t>
        </is>
      </c>
      <c r="BL640" t="inlineStr">
        <is>
          <t>Science Citation Index Expanded (SCI-EXPANDED); Social Science Citation Index (SSCI)</t>
        </is>
      </c>
      <c r="BM640" t="inlineStr">
        <is>
          <t>Science &amp; Technology - Other Topics; Environmental Sciences &amp; Ecology</t>
        </is>
      </c>
      <c r="BN640" t="inlineStr">
        <is>
          <t>ZB8CI</t>
        </is>
      </c>
      <c r="BP640" t="inlineStr">
        <is>
          <t>gold</t>
        </is>
      </c>
      <c r="BS640" t="inlineStr">
        <is>
          <t>2023-10-26</t>
        </is>
      </c>
      <c r="BT640" t="inlineStr">
        <is>
          <t>WOS:000757063200001</t>
        </is>
      </c>
      <c r="BU640">
        <f>HYPERLINK("https%3A%2F%2Fwww.webofscience.com%2Fwos%2Fwoscc%2Ffull-record%2FWOS:000757063200001","View Full Record in Web of Science")</f>
        <v/>
      </c>
    </row>
    <row r="641">
      <c r="A641" t="inlineStr">
        <is>
          <t>B</t>
        </is>
      </c>
      <c r="B641" t="inlineStr">
        <is>
          <t>Viegas, DX</t>
        </is>
      </c>
      <c r="D641" t="inlineStr">
        <is>
          <t>Viegas, DX</t>
        </is>
      </c>
      <c r="F641" t="inlineStr">
        <is>
          <t>Viegas, Domingos Xavier</t>
        </is>
      </c>
      <c r="J641" t="inlineStr">
        <is>
          <t>ADVANCES IN FOREST FIRE RESEARCH</t>
        </is>
      </c>
      <c r="M641" t="inlineStr">
        <is>
          <t>English</t>
        </is>
      </c>
      <c r="N641" t="inlineStr">
        <is>
          <t>Article; Book Chapter</t>
        </is>
      </c>
      <c r="T641" t="inlineStr">
        <is>
          <t>Fire effects on the physical environment in the WUI using FIRETEC</t>
        </is>
      </c>
      <c r="U641" t="inlineStr">
        <is>
          <t>WUI; clearing; radiant flux; gas temperature; building; FIRETEC</t>
        </is>
      </c>
      <c r="V641" t="inlineStr">
        <is>
          <t>WIND; SIMULATIONS; RADIATION; BEHAVIOR; MODEL</t>
        </is>
      </c>
      <c r="W641" t="inlineStr">
        <is>
          <t>In France, the clearing distance between buildings and forest edge is 50 m, to allow fire fighters to protect those buildings. Current building recommendations in the wildland-urban interface derive from fire-safety tests on building materials using heat exposures (duration and magnitude) that are expected to be different from those produced by wildfires. Beyond a few experimental data released after the International Crown Fire Modelling Experiment, there is a lack of characterisation of the physical environment of a building or human target within a cleared area, that receives hot gases and radiant fluxes from a crown fire. In the present study, we evaluate FIRETEC's ability to simulate heat fluxes based on some available experimental data and subsequently use it to characterize the radiant fluxes, gas temperatures and velocities around a human or building target. Simulations have been performed in a mature Aleppo pine forest within a 600 by 400 m domain. The conditions of the fire spread were severe (30 degrees C, wind up to 50 km/h, slope until 30%). Radiant fluxes and gas temperatures were computed for several distances between the forest tailing edge and a target that represents either a building or a fire fighter. Peak radiant heat flux magnitudes decreased by about 80% when the target was at 50 m compared to a target at 10 m. This is between 90 and 95% reduction o0f radiant flux reduction observed at 50 m compared to the forest edge. For the purpose of comparison with reference acceptable thresholds for both materials and fire fighters, the peak values of the average over one minute of the instantaneous radiant fluxes and gas temperatures were computed. These values support the notion that a clearing distance of 50 m is appropriate in the tested conditions for both thermal radiation and gas temperature, even if radiant fluxes remain high is the sloped case. This study shows a new type of application for physics-based models such as FIRETEC. Simulations demonstrate the interest of clearing around buildings and can help provide recommendations about the appropriate clearing distance. It can also be used for building material specifications.</t>
        </is>
      </c>
      <c r="X641" t="inlineStr">
        <is>
          <t>[Viegas, Domingos Xavier] Univ Coimbra, ADAI CEIF, Coimbra, Portugal</t>
        </is>
      </c>
      <c r="Y641" t="inlineStr">
        <is>
          <t>Universidade de Coimbra</t>
        </is>
      </c>
      <c r="Z641" t="inlineStr">
        <is>
          <t>Viegas, DX (corresponding author), Univ Coimbra, ADAI CEIF, Coimbra, Portugal.</t>
        </is>
      </c>
      <c r="AB641" t="inlineStr">
        <is>
          <t>Viegas, Domingos Xavier/J-6091-2013</t>
        </is>
      </c>
      <c r="AC641" t="inlineStr">
        <is>
          <t>Viegas, Domingos Xavier/0000-0001-6690-035X</t>
        </is>
      </c>
      <c r="AH641" t="n">
        <v>12</v>
      </c>
      <c r="AI641" t="n">
        <v>6</v>
      </c>
      <c r="AJ641" t="n">
        <v>6</v>
      </c>
      <c r="AK641" t="n">
        <v>0</v>
      </c>
      <c r="AL641" t="n">
        <v>1</v>
      </c>
      <c r="AM641" t="inlineStr">
        <is>
          <t>UNIV COIMBRA</t>
        </is>
      </c>
      <c r="AN641" t="inlineStr">
        <is>
          <t>COIMBRA</t>
        </is>
      </c>
      <c r="AO641" t="inlineStr">
        <is>
          <t>RUA DA ILHA, COIMBRA, 3000-214, PORTUGAL</t>
        </is>
      </c>
      <c r="AR641" t="inlineStr">
        <is>
          <t>978-989-26-0884-6</t>
        </is>
      </c>
      <c r="AV641" t="n">
        <v>2014</v>
      </c>
      <c r="BC641" t="n">
        <v>749</v>
      </c>
      <c r="BD641" t="n">
        <v>758</v>
      </c>
      <c r="BF641" t="inlineStr">
        <is>
          <t>10.14195/978-989-26-0884-6_83</t>
        </is>
      </c>
      <c r="BG641">
        <f>HYPERLINK("http://dx.doi.org/10.14195/978-989-26-0884-6_83","http://dx.doi.org/10.14195/978-989-26-0884-6_83")</f>
        <v/>
      </c>
      <c r="BH641" t="inlineStr">
        <is>
          <t>10.14195/978-989-26-0884-6</t>
        </is>
      </c>
      <c r="BJ641" t="n">
        <v>10</v>
      </c>
      <c r="BK641" t="inlineStr">
        <is>
          <t>Ecology; Environmental Sciences; Environmental Studies; Forestry</t>
        </is>
      </c>
      <c r="BL641" t="inlineStr">
        <is>
          <t>Book Citation Index – Social Sciences &amp; Humanities (BKCI-SSH); Book Citation Index – Science (BKCI-S)</t>
        </is>
      </c>
      <c r="BM641" t="inlineStr">
        <is>
          <t>Environmental Sciences &amp; Ecology; Forestry</t>
        </is>
      </c>
      <c r="BN641" t="inlineStr">
        <is>
          <t>BH4DF</t>
        </is>
      </c>
      <c r="BP641" t="inlineStr">
        <is>
          <t>Bronze</t>
        </is>
      </c>
      <c r="BS641" t="inlineStr">
        <is>
          <t>2023-10-26</t>
        </is>
      </c>
      <c r="BT641" t="inlineStr">
        <is>
          <t>WOS:000400252000084</t>
        </is>
      </c>
      <c r="BU641">
        <f>HYPERLINK("https%3A%2F%2Fwww.webofscience.com%2Fwos%2Fwoscc%2Ffull-record%2FWOS:000400252000084","View Full Record in Web of Science")</f>
        <v/>
      </c>
    </row>
    <row r="642">
      <c r="A642" t="inlineStr">
        <is>
          <t>J</t>
        </is>
      </c>
      <c r="B642" t="inlineStr">
        <is>
          <t>Leung, KCM; Chu, CH</t>
        </is>
      </c>
      <c r="F642" t="inlineStr">
        <is>
          <t>Leung, Katherine Chiu-Man; Chu, Chun-Hung</t>
        </is>
      </c>
      <c r="J642" t="inlineStr">
        <is>
          <t>INTERNATIONAL JOURNAL OF ENVIRONMENTAL RESEARCH AND PUBLIC HEALTH</t>
        </is>
      </c>
      <c r="M642" t="inlineStr">
        <is>
          <t>English</t>
        </is>
      </c>
      <c r="N642" t="inlineStr">
        <is>
          <t>Article</t>
        </is>
      </c>
      <c r="T642" t="inlineStr">
        <is>
          <t>Dental Care for Older Adults</t>
        </is>
      </c>
      <c r="U642" t="inlineStr">
        <is>
          <t>older adult; masticatory function; xerostomia; medical conditions; replacement of missing teeth; silver diamine fluoride</t>
        </is>
      </c>
      <c r="V642" t="inlineStr">
        <is>
          <t>ORAL-HEALTH; SOUTHERN CHINESE; CANCER; CARIES; XEROSTOMIA; DISEASE; TEETH; ARCH</t>
        </is>
      </c>
      <c r="W642" t="inlineStr">
        <is>
          <t>There is a global increase in the older population. Unfortunately, dental conditions in the older population can sometimes be poor as a result of worsened physical conditions and the cumulative damage caused by dental diseases in the past. Many suffer from oral diseases such as dental caries and periodontal disease but receive no regular dental care. Oral conditions and systemic problems are interrelated. Chronic medical problems and polypharmacy are common among them. These conditions may lead to xerostomia with or without a decrease in saliva output. Additionally, many older adults have deteriorated masticatory function associated with physical health issues such as frailty. Preventive measures are crucial to stop oral diseases from progressing and the replacement of missing teeth is needed when masticatory function is impaired. Older adults also suffer a higher risk of oral cancer because of their less resilient but more permeable oral mucosa. With the increasing need for elderly dental care, dentists should equip themselves with knowledge and skills in geriatric dentistry. They should help older adults to develop and maintain the functional ability that enables well-being in older age. This communication article aims to discuss the relevant medical conditions, common dental diseases, and dental care for older adults.</t>
        </is>
      </c>
      <c r="X642" t="inlineStr">
        <is>
          <t>[Leung, Katherine Chiu-Man; Chu, Chun-Hung] Univ Hong Kong, Fac Dent, Hong Kong, Peoples R China</t>
        </is>
      </c>
      <c r="Y642" t="inlineStr">
        <is>
          <t>University of Hong Kong</t>
        </is>
      </c>
      <c r="Z642" t="inlineStr">
        <is>
          <t>Leung, KCM (corresponding author), Univ Hong Kong, Fac Dent, Hong Kong, Peoples R China.</t>
        </is>
      </c>
      <c r="AA642" t="inlineStr">
        <is>
          <t>kcmleung@hku.hk</t>
        </is>
      </c>
      <c r="AC642" t="inlineStr">
        <is>
          <t>Chu, Chun Hung/0000-0002-8167-0430; Leung, Katherine Chiu Man/0000-0003-3703-8232</t>
        </is>
      </c>
      <c r="AD642" t="inlineStr">
        <is>
          <t>University of Hong Kong Seed Fund for Basic Research; [201910159256]</t>
        </is>
      </c>
      <c r="AE642" t="inlineStr">
        <is>
          <t>University of Hong Kong Seed Fund for Basic Research;</t>
        </is>
      </c>
      <c r="AF642" t="inlineStr">
        <is>
          <t>This study was supported by The University of Hong Kong Seed Fund for Basic Research #201910159256.</t>
        </is>
      </c>
      <c r="AH642" t="n">
        <v>55</v>
      </c>
      <c r="AI642" t="n">
        <v>0</v>
      </c>
      <c r="AJ642" t="n">
        <v>0</v>
      </c>
      <c r="AK642" t="n">
        <v>5</v>
      </c>
      <c r="AL642" t="n">
        <v>10</v>
      </c>
      <c r="AM642" t="inlineStr">
        <is>
          <t>MDPI</t>
        </is>
      </c>
      <c r="AN642" t="inlineStr">
        <is>
          <t>BASEL</t>
        </is>
      </c>
      <c r="AO642" t="inlineStr">
        <is>
          <t>ST ALBAN-ANLAGE 66, CH-4052 BASEL, SWITZERLAND</t>
        </is>
      </c>
      <c r="AQ642" t="inlineStr">
        <is>
          <t>1660-4601</t>
        </is>
      </c>
      <c r="AS642" t="inlineStr">
        <is>
          <t>INT J ENV RES PUB HE</t>
        </is>
      </c>
      <c r="AT642" t="inlineStr">
        <is>
          <t>Int. J. Environ. Res. Public Health</t>
        </is>
      </c>
      <c r="AU642" t="inlineStr">
        <is>
          <t>JAN</t>
        </is>
      </c>
      <c r="AV642" t="n">
        <v>2023</v>
      </c>
      <c r="AW642" t="n">
        <v>20</v>
      </c>
      <c r="AX642" t="n">
        <v>1</v>
      </c>
      <c r="BE642" t="n">
        <v>214</v>
      </c>
      <c r="BF642" t="inlineStr">
        <is>
          <t>10.3390/ijerph20010214</t>
        </is>
      </c>
      <c r="BG642">
        <f>HYPERLINK("http://dx.doi.org/10.3390/ijerph20010214","http://dx.doi.org/10.3390/ijerph20010214")</f>
        <v/>
      </c>
      <c r="BJ642" t="n">
        <v>9</v>
      </c>
      <c r="BK642" t="inlineStr">
        <is>
          <t>Environmental Sciences; Public, Environmental &amp; Occupational Health</t>
        </is>
      </c>
      <c r="BL642" t="inlineStr">
        <is>
          <t>Science Citation Index Expanded (SCI-EXPANDED); Social Science Citation Index (SSCI)</t>
        </is>
      </c>
      <c r="BM642" t="inlineStr">
        <is>
          <t>Environmental Sciences &amp; Ecology; Public, Environmental &amp; Occupational Health</t>
        </is>
      </c>
      <c r="BN642" t="inlineStr">
        <is>
          <t>7P4TY</t>
        </is>
      </c>
      <c r="BO642" t="n">
        <v>36612536</v>
      </c>
      <c r="BP642" t="inlineStr">
        <is>
          <t>gold, Green Published</t>
        </is>
      </c>
      <c r="BS642" t="inlineStr">
        <is>
          <t>2023-10-26</t>
        </is>
      </c>
      <c r="BT642" t="inlineStr">
        <is>
          <t>WOS:000908701000001</t>
        </is>
      </c>
      <c r="BU642">
        <f>HYPERLINK("https%3A%2F%2Fwww.webofscience.com%2Fwos%2Fwoscc%2Ffull-record%2FWOS:000908701000001","View Full Record in Web of Science")</f>
        <v/>
      </c>
    </row>
    <row r="643">
      <c r="A643" t="inlineStr">
        <is>
          <t>J</t>
        </is>
      </c>
      <c r="B643" t="inlineStr">
        <is>
          <t>Chen, C; Lu, Q</t>
        </is>
      </c>
      <c r="F643" t="inlineStr">
        <is>
          <t>Chen, Chao; Lu, Qiang</t>
        </is>
      </c>
      <c r="J643" t="inlineStr">
        <is>
          <t>FRESENIUS ENVIRONMENTAL BULLETIN</t>
        </is>
      </c>
      <c r="M643" t="inlineStr">
        <is>
          <t>English</t>
        </is>
      </c>
      <c r="N643" t="inlineStr">
        <is>
          <t>Article</t>
        </is>
      </c>
      <c r="T643" t="inlineStr">
        <is>
          <t>RESEARCH ON THE PLANNING METHOD OF SHARED SPACE IN OLD RESIDENTIAL DISTRICT BASED ON THE IMPROVEMENT OF ECOLOGICAL ENVIRONMENT</t>
        </is>
      </c>
      <c r="U643" t="inlineStr">
        <is>
          <t>Ecological environment; old residential area; shared space; planning method; planning strategy; building layout</t>
        </is>
      </c>
      <c r="W643" t="inlineStr">
        <is>
          <t>In order to improve the comfort and functions of the old living shared space environment, and enhance the suitability of the shared space ecological environment, in this paper, an old living area shared space planning method based on the improvement of the ecological environment is proposed. The ENVI-met model combined with one-dimensional and three-dimensional algorithms was established, and the microclimate environment was simulated through the calculation of the thermal stress relationship between vegetation and air. In addition, the shared space in the old residential area is planned from four aspects: architectural layout, activity venues, landscape greening and road organization. According to the simulation results of ENVI-met, the layout of the building and the location of the event venue were planned by bearing the shade and embracing the sun and side by side/staggered layout. In the end, road grades and transportation methods combined with plant morphological characteristics were used to complete road organization and landscape greening planning. The experimental results show that the shared space planned by this method can ensure the best environmental suitability and sunshine effect. After planning, its temperature drops by an average of about 1.2 degrees C, which can improve the comfort of the human body in the shared space.</t>
        </is>
      </c>
      <c r="X643" t="inlineStr">
        <is>
          <t>[Chen, Chao; Lu, Qiang] Xian Shiyou Univ, Coll Humanities, Xian 710065, Shaanxi, Peoples R China</t>
        </is>
      </c>
      <c r="Y643" t="inlineStr">
        <is>
          <t>Xi'an Shiyou University</t>
        </is>
      </c>
      <c r="Z643" t="inlineStr">
        <is>
          <t>Lu, Q (corresponding author), Xian Shiyou Univ, Coll Humanities, Xian 710065, Shaanxi, Peoples R China.</t>
        </is>
      </c>
      <c r="AA643" t="inlineStr">
        <is>
          <t>open1201@126.com</t>
        </is>
      </c>
      <c r="AH643" t="n">
        <v>21</v>
      </c>
      <c r="AI643" t="n">
        <v>0</v>
      </c>
      <c r="AJ643" t="n">
        <v>0</v>
      </c>
      <c r="AK643" t="n">
        <v>0</v>
      </c>
      <c r="AL643" t="n">
        <v>14</v>
      </c>
      <c r="AM643" t="inlineStr">
        <is>
          <t>PARLAR SCIENTIFIC PUBLICATIONS (P S P)</t>
        </is>
      </c>
      <c r="AN643" t="inlineStr">
        <is>
          <t>FREISING</t>
        </is>
      </c>
      <c r="AO643" t="inlineStr">
        <is>
          <t>ANGERSTR. 12, 85354 FREISING, GERMANY</t>
        </is>
      </c>
      <c r="AP643" t="inlineStr">
        <is>
          <t>1018-4619</t>
        </is>
      </c>
      <c r="AQ643" t="inlineStr">
        <is>
          <t>1610-2304</t>
        </is>
      </c>
      <c r="AS643" t="inlineStr">
        <is>
          <t>FRESEN ENVIRON BULL</t>
        </is>
      </c>
      <c r="AT643" t="inlineStr">
        <is>
          <t>Fresenius Environ. Bull.</t>
        </is>
      </c>
      <c r="AV643" t="n">
        <v>2021</v>
      </c>
      <c r="AW643" t="n">
        <v>30</v>
      </c>
      <c r="AX643" t="n">
        <v>9</v>
      </c>
      <c r="BC643" t="n">
        <v>10625</v>
      </c>
      <c r="BD643" t="n">
        <v>10632</v>
      </c>
      <c r="BJ643" t="n">
        <v>8</v>
      </c>
      <c r="BK643" t="inlineStr">
        <is>
          <t>Environmental Sciences</t>
        </is>
      </c>
      <c r="BL643" t="inlineStr">
        <is>
          <t>Science Citation Index Expanded (SCI-EXPANDED)</t>
        </is>
      </c>
      <c r="BM643" t="inlineStr">
        <is>
          <t>Environmental Sciences &amp; Ecology</t>
        </is>
      </c>
      <c r="BN643" t="inlineStr">
        <is>
          <t>UK3BZ</t>
        </is>
      </c>
      <c r="BS643" t="inlineStr">
        <is>
          <t>2023-10-26</t>
        </is>
      </c>
      <c r="BT643" t="inlineStr">
        <is>
          <t>WOS:000691849600025</t>
        </is>
      </c>
      <c r="BU643">
        <f>HYPERLINK("https%3A%2F%2Fwww.webofscience.com%2Fwos%2Fwoscc%2Ffull-record%2FWOS:000691849600025","View Full Record in Web of Science")</f>
        <v/>
      </c>
    </row>
    <row r="644">
      <c r="A644" t="inlineStr">
        <is>
          <t>J</t>
        </is>
      </c>
      <c r="B644" t="inlineStr">
        <is>
          <t>Hsueh, MC; Liao, Y; Chang, SH</t>
        </is>
      </c>
      <c r="F644" t="inlineStr">
        <is>
          <t>Hsueh, Ming-Chun; Liao, Yung; Chang, Shao-Hsi</t>
        </is>
      </c>
      <c r="J644" t="inlineStr">
        <is>
          <t>INTERNATIONAL JOURNAL OF ENVIRONMENTAL RESEARCH AND PUBLIC HEALTH</t>
        </is>
      </c>
      <c r="M644" t="inlineStr">
        <is>
          <t>English</t>
        </is>
      </c>
      <c r="N644" t="inlineStr">
        <is>
          <t>Article</t>
        </is>
      </c>
      <c r="T644" t="inlineStr">
        <is>
          <t>Perceived Neighborhood and Home Environmental Factors Associated with Television Viewing among Taiwanese Older Adults</t>
        </is>
      </c>
      <c r="U644" t="inlineStr">
        <is>
          <t>sedentary behavior; built environment; traffic safety; household; sedentary equipment; elderly; Asia</t>
        </is>
      </c>
      <c r="V644" t="inlineStr">
        <is>
          <t>SEDENTARY BEHAVIOR; PHYSICAL-ACTIVITY; TIME; HEALTH; ATTRIBUTES; OVERWEIGHT; WALKING; INDICATORS; RISK</t>
        </is>
      </c>
      <c r="W644" t="inlineStr">
        <is>
          <t>This study examined the associations between perceived neighborhood and home environmental factors and excessive television (TV) viewing time among Taiwanese older adults. The sample data was collected by administering computer-assisted telephone interviewers to 980 Taiwanese older adults (aged &gt;= 65 years) living in two regions. Odds ratios (ORs) and 95% confidence intervals (CIs) were calculated to examine the associations between self-reported perceived neighborhood and home environmental attributions and TV viewing time by using logistic regression analyses. The results showed that perceived neighborhood and home environmental factors were associated with excessive TV viewing time (&gt;= 2 h/day) after adjusting for potential confounders. Compared with a reference group, older adults who perceived their neighborhoods to have unsafe traffic were more likely to report excessive TV viewing time (OR = 1.36, 95% CI = 1.02-1.82). Older adults who reported having two or more TV sets in the home (OR = 1.77, CI = 1.28-2.44) and having a TV in the bedroom (OR = 1.55, CI = 1.18-2.03) were also more likely to report excessive TV viewing time. Further longitudinal research can confirm these findings, and tailored interventions focusing on the perceptions of neighborhood traffic safety and TV access at home for older adults might be effective means of preventing excessive TV viewing time.</t>
        </is>
      </c>
      <c r="X644" t="inlineStr">
        <is>
          <t>[Hsueh, Ming-Chun; Chang, Shao-Hsi] Natl Taiwan Normal Univ, Dept Phys Educ, 162,Heping East Rd Sect 1, Taipei 106, Taiwan; [Liao, Yung] Natl Taiwan Normal Univ, Dept Hlth Promot &amp; Hlth Educ, Taipei 106, Taiwan</t>
        </is>
      </c>
      <c r="Y644" t="inlineStr">
        <is>
          <t>National Taiwan Normal University; National Taiwan Normal University</t>
        </is>
      </c>
      <c r="Z644" t="inlineStr">
        <is>
          <t>Chang, SH (corresponding author), Natl Taiwan Normal Univ, Dept Phys Educ, 162,Heping East Rd Sect 1, Taipei 106, Taiwan.</t>
        </is>
      </c>
      <c r="AA644" t="inlineStr">
        <is>
          <t>boxeo19912016@gmail.com; liaoyung@ntnu.edu.tw; t08016@ntnu.edu.tw</t>
        </is>
      </c>
      <c r="AC644" t="inlineStr">
        <is>
          <t>/0000-0002-3257-7803; Liao, Yung/0000-0002-4401-8275; Hsueh, Ming-Chun/0000-0001-6723-9487</t>
        </is>
      </c>
      <c r="AD644" t="inlineStr">
        <is>
          <t>National Taiwan Normal University (NTNU) - Ministry of Education, Taiwan, R.O.C.; International Research-Intensive Center of Excellence Program of NTNU; Ministry of Science and Technology, Taiwan, R.O.C. [MOST 104-2911-I-003-301]</t>
        </is>
      </c>
      <c r="AE644" t="inlineStr">
        <is>
          <t>National Taiwan Normal University (NTNU) - Ministry of Education, Taiwan, R.O.C.; International Research-Intensive Center of Excellence Program of NTNU; Ministry of Science and Technology, Taiwan, R.O.C.(Ministry of Science and Technology, Taiwan)</t>
        </is>
      </c>
      <c r="AF644" t="inlineStr">
        <is>
          <t>This research was partially supported by the Aim for the Top University Project of National Taiwan Normal University (NTNU), sponsored by the Ministry of Education, Taiwan, R.O.C., and the International Research-Intensive Center of Excellence Program of NTNU and the Ministry of Science and Technology, Taiwan, R.O.C., under Grant No. MOST 104-2911-I-003-301.</t>
        </is>
      </c>
      <c r="AH644" t="n">
        <v>44</v>
      </c>
      <c r="AI644" t="n">
        <v>18</v>
      </c>
      <c r="AJ644" t="n">
        <v>18</v>
      </c>
      <c r="AK644" t="n">
        <v>1</v>
      </c>
      <c r="AL644" t="n">
        <v>11</v>
      </c>
      <c r="AM644" t="inlineStr">
        <is>
          <t>MDPI</t>
        </is>
      </c>
      <c r="AN644" t="inlineStr">
        <is>
          <t>BASEL</t>
        </is>
      </c>
      <c r="AO644" t="inlineStr">
        <is>
          <t>ST ALBAN-ANLAGE 66, CH-4052 BASEL, SWITZERLAND</t>
        </is>
      </c>
      <c r="AQ644" t="inlineStr">
        <is>
          <t>1660-4601</t>
        </is>
      </c>
      <c r="AS644" t="inlineStr">
        <is>
          <t>INT J ENV RES PUB HE</t>
        </is>
      </c>
      <c r="AT644" t="inlineStr">
        <is>
          <t>Int. J. Environ. Res. Public Health</t>
        </is>
      </c>
      <c r="AU644" t="inlineStr">
        <is>
          <t>JUL</t>
        </is>
      </c>
      <c r="AV644" t="n">
        <v>2016</v>
      </c>
      <c r="AW644" t="n">
        <v>13</v>
      </c>
      <c r="AX644" t="n">
        <v>7</v>
      </c>
      <c r="BE644" t="n">
        <v>708</v>
      </c>
      <c r="BF644" t="inlineStr">
        <is>
          <t>10.3390/ijerph13070708</t>
        </is>
      </c>
      <c r="BG644">
        <f>HYPERLINK("http://dx.doi.org/10.3390/ijerph13070708","http://dx.doi.org/10.3390/ijerph13070708")</f>
        <v/>
      </c>
      <c r="BJ644" t="n">
        <v>12</v>
      </c>
      <c r="BK644" t="inlineStr">
        <is>
          <t>Environmental Sciences; Public, Environmental &amp; Occupational Health</t>
        </is>
      </c>
      <c r="BL644" t="inlineStr">
        <is>
          <t>Science Citation Index Expanded (SCI-EXPANDED); Social Science Citation Index (SSCI)</t>
        </is>
      </c>
      <c r="BM644" t="inlineStr">
        <is>
          <t>Environmental Sciences &amp; Ecology; Public, Environmental &amp; Occupational Health</t>
        </is>
      </c>
      <c r="BN644" t="inlineStr">
        <is>
          <t>DS4OG</t>
        </is>
      </c>
      <c r="BO644" t="n">
        <v>27420086</v>
      </c>
      <c r="BP644" t="inlineStr">
        <is>
          <t>Green Submitted, Green Published, gold</t>
        </is>
      </c>
      <c r="BS644" t="inlineStr">
        <is>
          <t>2023-10-26</t>
        </is>
      </c>
      <c r="BT644" t="inlineStr">
        <is>
          <t>WOS:000380759800084</t>
        </is>
      </c>
      <c r="BU644">
        <f>HYPERLINK("https%3A%2F%2Fwww.webofscience.com%2Fwos%2Fwoscc%2Ffull-record%2FWOS:000380759800084","View Full Record in Web of Science")</f>
        <v/>
      </c>
    </row>
    <row r="645">
      <c r="A645" t="inlineStr">
        <is>
          <t>J</t>
        </is>
      </c>
      <c r="B645" t="inlineStr">
        <is>
          <t>Park, TH; Kang, DR; Park, SH; Yoon, DK; Lee, CM</t>
        </is>
      </c>
      <c r="F645" t="inlineStr">
        <is>
          <t>Park, Tae Hyun; Kang, Dae Ryong; Park, Si Hyun; Yoon, Dan Ki; Lee, Cheol Min</t>
        </is>
      </c>
      <c r="J645" t="inlineStr">
        <is>
          <t>ENVIRONMENTAL SCIENCE AND POLLUTION RESEARCH</t>
        </is>
      </c>
      <c r="M645" t="inlineStr">
        <is>
          <t>English</t>
        </is>
      </c>
      <c r="N645" t="inlineStr">
        <is>
          <t>Article</t>
        </is>
      </c>
      <c r="T645" t="inlineStr">
        <is>
          <t>Indoor radon concentration in Korea residential environments</t>
        </is>
      </c>
      <c r="U645" t="inlineStr">
        <is>
          <t>Rn-222; Alpha track detector; Residential environment; ANCOVA; Effective environmental factors</t>
        </is>
      </c>
      <c r="V645" t="inlineStr">
        <is>
          <t>BUILDING-MATERIALS; EXHALATION RATE; UNITED-KINGDOM; AREAS</t>
        </is>
      </c>
      <c r="W645" t="inlineStr">
        <is>
          <t>The purpose of this study is to provide basic data for the evaluation and management of health effects with respect to exposure to radon within residential environments in South Korea. It is part of a case-control study to develop a management plan based on indoor radon exposure levels and assess their impact on health. To investigate the long-term cumulative concentration levels of radon, 599 patients who have respiratory diseases were recruited in South Korea, and alpha track detectors were installed in their residences for a period of 3 months from mid-2015 to late 2016. A survey was then conducted to determine the factors affecting the radon concentration. The radon concentration levels were analyzed in conjunction with the survey results. The results show that the arithmetic mean of the radon concentrations in domestic residences was in the range of 70.8 +/- 65.2 Bq/m(3). An analysis of covariance (ANCOVA) was performed to identify the environmental factors affecting the radon concentration and contributing to variations in the residential radon concentration based on the height of the residence. The results show that the contribution of the local environmental factor to the variation in radon concentration (p &lt; 0.05) was greater than that of other environmental factors. Although no statistically significant difference was found with regard to the construction year of the building before the control (p &gt; 0.05), the same was found with regard to the construction year after the control (p &lt; 0.05).</t>
        </is>
      </c>
      <c r="X645" t="inlineStr">
        <is>
          <t>[Park, Tae Hyun; Park, Si Hyun; Yoon, Dan Ki; Lee, Cheol Min] SeoKyeong Univ, Dept Chem &amp; Biol Engn, Seoul 02713, South Korea; [Kang, Dae Ryong] Yonsei Univ, Inst Genom Cohort, Coll Med, Wonju 26493, South Korea</t>
        </is>
      </c>
      <c r="Y645" t="inlineStr">
        <is>
          <t>Seokyeong University; Yonsei University; Yonsei University Health System</t>
        </is>
      </c>
      <c r="Z645" t="inlineStr">
        <is>
          <t>Park, TH (corresponding author), SeoKyeong Univ, Dept Chem &amp; Biol Engn, Seoul 02713, South Korea.</t>
        </is>
      </c>
      <c r="AA645" t="inlineStr">
        <is>
          <t>thp119@skuniv.ac.kr; dr.kang@yonsei.ac.kr; shp8880@skuniv.ac.kr; ydk0207@skuniv.ac.kr; cheolmin@skuniv.ac.kr</t>
        </is>
      </c>
      <c r="AD645" t="inlineStr">
        <is>
          <t>Environmental Health Action Program of the Ministry of Environment [2015001350004]</t>
        </is>
      </c>
      <c r="AE645" t="inlineStr">
        <is>
          <t>Environmental Health Action Program of the Ministry of Environment(Ministry of Environment (ME), Republic of Korea)</t>
        </is>
      </c>
      <c r="AF645" t="inlineStr">
        <is>
          <t>This study was supported by the Environmental Health Action Program of the Ministry of Environment (No. 2015001350004).</t>
        </is>
      </c>
      <c r="AH645" t="n">
        <v>39</v>
      </c>
      <c r="AI645" t="n">
        <v>18</v>
      </c>
      <c r="AJ645" t="n">
        <v>18</v>
      </c>
      <c r="AK645" t="n">
        <v>0</v>
      </c>
      <c r="AL645" t="n">
        <v>6</v>
      </c>
      <c r="AM645" t="inlineStr">
        <is>
          <t>SPRINGER HEIDELBERG</t>
        </is>
      </c>
      <c r="AN645" t="inlineStr">
        <is>
          <t>HEIDELBERG</t>
        </is>
      </c>
      <c r="AO645" t="inlineStr">
        <is>
          <t>TIERGARTENSTRASSE 17, D-69121 HEIDELBERG, GERMANY</t>
        </is>
      </c>
      <c r="AP645" t="inlineStr">
        <is>
          <t>0944-1344</t>
        </is>
      </c>
      <c r="AQ645" t="inlineStr">
        <is>
          <t>1614-7499</t>
        </is>
      </c>
      <c r="AS645" t="inlineStr">
        <is>
          <t>ENVIRON SCI POLLUT R</t>
        </is>
      </c>
      <c r="AT645" t="inlineStr">
        <is>
          <t>Environ. Sci. Pollut. Res.</t>
        </is>
      </c>
      <c r="AU645" t="inlineStr">
        <is>
          <t>MAY</t>
        </is>
      </c>
      <c r="AV645" t="n">
        <v>2018</v>
      </c>
      <c r="AW645" t="n">
        <v>25</v>
      </c>
      <c r="AX645" t="n">
        <v>13</v>
      </c>
      <c r="BA645" t="inlineStr">
        <is>
          <t>SI</t>
        </is>
      </c>
      <c r="BC645" t="n">
        <v>12678</v>
      </c>
      <c r="BD645" t="n">
        <v>12685</v>
      </c>
      <c r="BF645" t="inlineStr">
        <is>
          <t>10.1007/s11356-018-1531-3</t>
        </is>
      </c>
      <c r="BG645">
        <f>HYPERLINK("http://dx.doi.org/10.1007/s11356-018-1531-3","http://dx.doi.org/10.1007/s11356-018-1531-3")</f>
        <v/>
      </c>
      <c r="BJ645" t="n">
        <v>8</v>
      </c>
      <c r="BK645" t="inlineStr">
        <is>
          <t>Environmental Sciences</t>
        </is>
      </c>
      <c r="BL645" t="inlineStr">
        <is>
          <t>Science Citation Index Expanded (SCI-EXPANDED)</t>
        </is>
      </c>
      <c r="BM645" t="inlineStr">
        <is>
          <t>Environmental Sciences &amp; Ecology</t>
        </is>
      </c>
      <c r="BN645" t="inlineStr">
        <is>
          <t>GF3UZ</t>
        </is>
      </c>
      <c r="BO645" t="n">
        <v>29468397</v>
      </c>
      <c r="BS645" t="inlineStr">
        <is>
          <t>2023-10-26</t>
        </is>
      </c>
      <c r="BT645" t="inlineStr">
        <is>
          <t>WOS:000431883500043</t>
        </is>
      </c>
      <c r="BU645">
        <f>HYPERLINK("https%3A%2F%2Fwww.webofscience.com%2Fwos%2Fwoscc%2Ffull-record%2FWOS:000431883500043","View Full Record in Web of Science")</f>
        <v/>
      </c>
    </row>
    <row r="646">
      <c r="A646" t="inlineStr">
        <is>
          <t>J</t>
        </is>
      </c>
      <c r="B646" t="inlineStr">
        <is>
          <t>Besser, LM; Brenowitz, WD; Meyer, OL; Hoermann, S; Renne, J</t>
        </is>
      </c>
      <c r="F646" t="inlineStr">
        <is>
          <t>Besser, Lilah M.; Brenowitz, Willa D.; Meyer, Oanh L.; Hoermann, Serena; Renne, John</t>
        </is>
      </c>
      <c r="J646" t="inlineStr">
        <is>
          <t>INTERNATIONAL JOURNAL OF ENVIRONMENTAL RESEARCH AND PUBLIC HEALTH</t>
        </is>
      </c>
      <c r="M646" t="inlineStr">
        <is>
          <t>English</t>
        </is>
      </c>
      <c r="N646" t="inlineStr">
        <is>
          <t>Review</t>
        </is>
      </c>
      <c r="T646" t="inlineStr">
        <is>
          <t>Methods to Address Self-Selection and Reverse Causation in Studies of Neighborhood Environments and Brain Health</t>
        </is>
      </c>
      <c r="U646" t="inlineStr">
        <is>
          <t>epidemiological methods; causality; reverse causation; self-selection; bias; neighborhood; built environment; brain health; Alzheimer disease; cognition</t>
        </is>
      </c>
      <c r="V646" t="inlineStr">
        <is>
          <t>NEUROPSYCHOLOGICAL ASSESSMENT SCALES; BUILT ENVIRONMENT; PHYSICAL-ACTIVITY; COGNITIVE FUNCTION; MENDELIAN RANDOMIZATION; SOCIOECONOMIC-STATUS; ALZHEIMERS-DISEASE; URBAN NEIGHBORHOOD; OLDER-ADULTS; GREEN SPACE</t>
        </is>
      </c>
      <c r="W646" t="inlineStr">
        <is>
          <t>Preliminary evidence suggests that neighborhood environments, such as socioeconomic disadvantage, pedestrian and physical activity infrastructure, and availability of neighborhood destinations (e.g., parks), may be associated with late-life cognitive functioning and risk of Alzheimer's disease and related disorders (ADRD). The supposition is that these neighborhood characteristics are associated with factors such as mental health, environmental exposures, health behaviors, and social determinants of health that in turn promote or diminish cognitive reserve and resilience in later life. However, observed associations may be biased by self-selection or reverse causation, such as when individuals with better cognition move to denser neighborhoods because they prefer many destinations within walking distance of home, or when individuals with deteriorating health choose residences offering health services in neighborhoods in rural or suburban areas (e.g., assisted living). Research on neighborhood environments and ADRD has typically focused on late-life brain health outcomes, which makes it difficult to disentangle true associations from associations that result from reverse causality. In this paper, we review study designs and methods to help reduce bias due to reverse causality and self-selection, while drawing attention to the unique aspects of these approaches when conducting research on neighborhoods and brain aging.</t>
        </is>
      </c>
      <c r="X646" t="inlineStr">
        <is>
          <t>[Besser, Lilah M.] Florida Atlantic Univ, Inst Human Hlth &amp; Dis Intervent I HLTH, Dept Urban &amp; Reg Planning, Boca Raton, FL 33431 USA; [Brenowitz, Willa D.] Univ Calif San Francisco, Dept Psychiat &amp; Behav Sci &amp; Epidemiol, San Francisco, CA 94121 USA; [Meyer, Oanh L.] Univ Calif Davis, Dept Neurol, Sacramento, CA 95817 USA; [Hoermann, Serena; Renne, John] Florida Atlantic Univ, Ctr Urban &amp; Environm Solut CUES, Dept Urban &amp; Reg Planning, Boca Raton, FL 33431 USA</t>
        </is>
      </c>
      <c r="Y646" t="inlineStr">
        <is>
          <t>State University System of Florida; Florida Atlantic University; University of California System; University of California San Francisco; University of California System; University of California Davis; State University System of Florida; Florida Atlantic University</t>
        </is>
      </c>
      <c r="Z646" t="inlineStr">
        <is>
          <t>Besser, LM (corresponding author), Florida Atlantic Univ, Inst Human Hlth &amp; Dis Intervent I HLTH, Dept Urban &amp; Reg Planning, Boca Raton, FL 33431 USA.</t>
        </is>
      </c>
      <c r="AA646" t="inlineStr">
        <is>
          <t>lbesser@fau.edu; Willa.Brenowitz@ucsf.edu; olmeyer@ucdavis.edu; shoermann@fau.edu; jrenne@fau.edu</t>
        </is>
      </c>
      <c r="AC646" t="inlineStr">
        <is>
          <t>Hoermann, Serena/0000-0002-9969-8669</t>
        </is>
      </c>
      <c r="AD646" t="inlineStr">
        <is>
          <t>NIH/NIA [K01 AG063895, K01AG062722, P30AG010129, R01AG067541]; Alzheimer's Association [AARF-18-565846, AARGD-19-619832]</t>
        </is>
      </c>
      <c r="AE646" t="inlineStr">
        <is>
          <t>NIH/NIA(United States Department of Health &amp; Human ServicesNational Institutes of Health (NIH) - USANIH National Institute on Aging (NIA)); Alzheimer's Association(Alzheimer's Association)</t>
        </is>
      </c>
      <c r="AF646" t="inlineStr">
        <is>
          <t>Besser is supported by NIH/NIA award K01 AG063895. Brenowitz is supported by NIH/NIA grant K01AG062722 and Alzheimer's Association (AARF-18-565846). Meyer is supported by NIH/NIA P30AG010129, R01AG067541 and the Alzheimer's Association (AARGD-19-619832).</t>
        </is>
      </c>
      <c r="AH646" t="n">
        <v>82</v>
      </c>
      <c r="AI646" t="n">
        <v>13</v>
      </c>
      <c r="AJ646" t="n">
        <v>13</v>
      </c>
      <c r="AK646" t="n">
        <v>5</v>
      </c>
      <c r="AL646" t="n">
        <v>24</v>
      </c>
      <c r="AM646" t="inlineStr">
        <is>
          <t>MDPI</t>
        </is>
      </c>
      <c r="AN646" t="inlineStr">
        <is>
          <t>BASEL</t>
        </is>
      </c>
      <c r="AO646" t="inlineStr">
        <is>
          <t>ST ALBAN-ANLAGE 66, CH-4052 BASEL, SWITZERLAND</t>
        </is>
      </c>
      <c r="AQ646" t="inlineStr">
        <is>
          <t>1660-4601</t>
        </is>
      </c>
      <c r="AS646" t="inlineStr">
        <is>
          <t>INT J ENV RES PUB HE</t>
        </is>
      </c>
      <c r="AT646" t="inlineStr">
        <is>
          <t>Int. J. Environ. Res. Public Health</t>
        </is>
      </c>
      <c r="AU646" t="inlineStr">
        <is>
          <t>JUN</t>
        </is>
      </c>
      <c r="AV646" t="n">
        <v>2021</v>
      </c>
      <c r="AW646" t="n">
        <v>18</v>
      </c>
      <c r="AX646" t="n">
        <v>12</v>
      </c>
      <c r="BE646" t="n">
        <v>6484</v>
      </c>
      <c r="BF646" t="inlineStr">
        <is>
          <t>10.3390/ijerph18126484</t>
        </is>
      </c>
      <c r="BG646">
        <f>HYPERLINK("http://dx.doi.org/10.3390/ijerph18126484","http://dx.doi.org/10.3390/ijerph18126484")</f>
        <v/>
      </c>
      <c r="BJ646" t="n">
        <v>19</v>
      </c>
      <c r="BK646" t="inlineStr">
        <is>
          <t>Environmental Sciences; Public, Environmental &amp; Occupational Health</t>
        </is>
      </c>
      <c r="BL646" t="inlineStr">
        <is>
          <t>Science Citation Index Expanded (SCI-EXPANDED); Social Science Citation Index (SSCI)</t>
        </is>
      </c>
      <c r="BM646" t="inlineStr">
        <is>
          <t>Environmental Sciences &amp; Ecology; Public, Environmental &amp; Occupational Health</t>
        </is>
      </c>
      <c r="BN646" t="inlineStr">
        <is>
          <t>SZ7TN</t>
        </is>
      </c>
      <c r="BO646" t="n">
        <v>34208454</v>
      </c>
      <c r="BP646" t="inlineStr">
        <is>
          <t>Green Published, gold</t>
        </is>
      </c>
      <c r="BS646" t="inlineStr">
        <is>
          <t>2023-10-26</t>
        </is>
      </c>
      <c r="BT646" t="inlineStr">
        <is>
          <t>WOS:000666762800001</t>
        </is>
      </c>
      <c r="BU646">
        <f>HYPERLINK("https%3A%2F%2Fwww.webofscience.com%2Fwos%2Fwoscc%2Ffull-record%2FWOS:000666762800001","View Full Record in Web of Science")</f>
        <v/>
      </c>
    </row>
    <row r="647">
      <c r="A647" t="inlineStr">
        <is>
          <t>J</t>
        </is>
      </c>
      <c r="B647" t="inlineStr">
        <is>
          <t>Brown, CJ; Markusson, N</t>
        </is>
      </c>
      <c r="F647" t="inlineStr">
        <is>
          <t>Brown, Christopher J.; Markusson, Nils</t>
        </is>
      </c>
      <c r="J647" t="inlineStr">
        <is>
          <t>ENERGY POLICY</t>
        </is>
      </c>
      <c r="M647" t="inlineStr">
        <is>
          <t>English</t>
        </is>
      </c>
      <c r="N647" t="inlineStr">
        <is>
          <t>Article</t>
        </is>
      </c>
      <c r="T647" t="inlineStr">
        <is>
          <t>The responses of older adults to smart energy monitors</t>
        </is>
      </c>
      <c r="U647" t="inlineStr">
        <is>
          <t>Smart energy monitors; Older adults; Awareness; Behaviour</t>
        </is>
      </c>
      <c r="V647" t="inlineStr">
        <is>
          <t>HOUSEHOLD ELECTRICITY CONSUMPTION; TECHNOLOGY ADOPTION; FEEDBACK; INFORMATION; BEHAVIORS; DIRECTIONS; ATTITUDES</t>
        </is>
      </c>
      <c r="W647" t="inlineStr">
        <is>
          <t>By 2020, every UK household has the option to have a Smart Energy Monitor (SEM) installed, displaying electricity consumption monetarily. The success of the 11 pound billion scheme in enabling people to reduce energy consumption is questioned amongst researchers and relatively little is known about older adults' (60 + years) responses to SEMs. This paper explores older adult responses to SEM feedback and compares them to those of younger-middle aged adults (25-59 years). A qualitative, interpretative methodology was used with participants from 20 households recording their SEM experiences during one month through a diary, and post-study semi-structured interview allowing methodological triangulation. Data analysis indicated that older adults were generally more aware of their energy use pre-SEM and practiced energy saving behaviours learnt from upbringing. This appeared to result in negligible positive benefits and low engagement with the device. Other limiting factors included lack of technical skills and confidence, and the risk of losing the comfort and convenience of using electrical appliances. The device also triggered negative emotions and depression amongst some older adults surrounding electricity usage, potentially leading to dangerously cold homes. Consequently, the schemes appropriateness is questioned, especially for older adults, and improvements are suggested for SEMs and the scheme.</t>
        </is>
      </c>
      <c r="X647" t="inlineStr">
        <is>
          <t>[Brown, Christopher J.; Markusson, Nils] Univ Lancaster, Lancaster Environm Ctr, Lancaster LA1 4YQ, England</t>
        </is>
      </c>
      <c r="Y647" t="inlineStr">
        <is>
          <t>Lancaster University</t>
        </is>
      </c>
      <c r="Z647" t="inlineStr">
        <is>
          <t>Markusson, N (corresponding author), Univ Lancaster, Lancaster Environm Ctr, Lancaster LA1 4YQ, England.</t>
        </is>
      </c>
      <c r="AA647" t="inlineStr">
        <is>
          <t>n.markusson@lancaster.ac.uk</t>
        </is>
      </c>
      <c r="AB647" t="inlineStr">
        <is>
          <t>Markusson, Nils O/D-9725-2014</t>
        </is>
      </c>
      <c r="AC647" t="inlineStr">
        <is>
          <t>Markusson, Nils/0000-0002-7087-4905</t>
        </is>
      </c>
      <c r="AH647" t="n">
        <v>70</v>
      </c>
      <c r="AI647" t="n">
        <v>15</v>
      </c>
      <c r="AJ647" t="n">
        <v>15</v>
      </c>
      <c r="AK647" t="n">
        <v>0</v>
      </c>
      <c r="AL647" t="n">
        <v>12</v>
      </c>
      <c r="AM647" t="inlineStr">
        <is>
          <t>ELSEVIER SCI LTD</t>
        </is>
      </c>
      <c r="AN647" t="inlineStr">
        <is>
          <t>OXFORD</t>
        </is>
      </c>
      <c r="AO647" t="inlineStr">
        <is>
          <t>THE BOULEVARD, LANGFORD LANE, KIDLINGTON, OXFORD OX5 1GB, OXON, ENGLAND</t>
        </is>
      </c>
      <c r="AP647" t="inlineStr">
        <is>
          <t>0301-4215</t>
        </is>
      </c>
      <c r="AQ647" t="inlineStr">
        <is>
          <t>1873-6777</t>
        </is>
      </c>
      <c r="AS647" t="inlineStr">
        <is>
          <t>ENERG POLICY</t>
        </is>
      </c>
      <c r="AT647" t="inlineStr">
        <is>
          <t>Energy Policy</t>
        </is>
      </c>
      <c r="AU647" t="inlineStr">
        <is>
          <t>JUL</t>
        </is>
      </c>
      <c r="AV647" t="n">
        <v>2019</v>
      </c>
      <c r="AW647" t="n">
        <v>130</v>
      </c>
      <c r="BC647" t="n">
        <v>218</v>
      </c>
      <c r="BD647" t="n">
        <v>226</v>
      </c>
      <c r="BF647" t="inlineStr">
        <is>
          <t>10.1016/j.enpol.2019.03.063</t>
        </is>
      </c>
      <c r="BG647">
        <f>HYPERLINK("http://dx.doi.org/10.1016/j.enpol.2019.03.063","http://dx.doi.org/10.1016/j.enpol.2019.03.063")</f>
        <v/>
      </c>
      <c r="BJ647" t="n">
        <v>9</v>
      </c>
      <c r="BK647" t="inlineStr">
        <is>
          <t>Economics; Energy &amp; Fuels; Environmental Sciences; Environmental Studies</t>
        </is>
      </c>
      <c r="BL647" t="inlineStr">
        <is>
          <t>Science Citation Index Expanded (SCI-EXPANDED); Social Science Citation Index (SSCI)</t>
        </is>
      </c>
      <c r="BM647" t="inlineStr">
        <is>
          <t>Business &amp; Economics; Energy &amp; Fuels; Environmental Sciences &amp; Ecology</t>
        </is>
      </c>
      <c r="BN647" t="inlineStr">
        <is>
          <t>IC6LN</t>
        </is>
      </c>
      <c r="BP647" t="inlineStr">
        <is>
          <t>Green Accepted</t>
        </is>
      </c>
      <c r="BS647" t="inlineStr">
        <is>
          <t>2023-10-26</t>
        </is>
      </c>
      <c r="BT647" t="inlineStr">
        <is>
          <t>WOS:000471083700018</t>
        </is>
      </c>
      <c r="BU647">
        <f>HYPERLINK("https%3A%2F%2Fwww.webofscience.com%2Fwos%2Fwoscc%2Ffull-record%2FWOS:000471083700018","View Full Record in Web of Science")</f>
        <v/>
      </c>
    </row>
    <row r="648">
      <c r="A648" t="inlineStr">
        <is>
          <t>J</t>
        </is>
      </c>
      <c r="B648" t="inlineStr">
        <is>
          <t>Alomirah, HF; Moda, HM</t>
        </is>
      </c>
      <c r="F648" t="inlineStr">
        <is>
          <t>Alomirah, Haya Fahad; Moda, Haruna Musa</t>
        </is>
      </c>
      <c r="J648" t="inlineStr">
        <is>
          <t>INTERNATIONAL JOURNAL OF ENVIRONMENTAL RESEARCH AND PUBLIC HEALTH</t>
        </is>
      </c>
      <c r="M648" t="inlineStr">
        <is>
          <t>English</t>
        </is>
      </c>
      <c r="N648" t="inlineStr">
        <is>
          <t>Article</t>
        </is>
      </c>
      <c r="T648" t="inlineStr">
        <is>
          <t>Assessment of Indoor Air Quality and Users Perception of a Renovated Office Building in Manchester</t>
        </is>
      </c>
      <c r="U648" t="inlineStr">
        <is>
          <t>sick building syndrome; indoor air quality; post occupancy evaluation; questionnaire survey; instrumentation</t>
        </is>
      </c>
      <c r="V648" t="inlineStr">
        <is>
          <t>THERMAL COMFORT; PSYCHOSOCIAL FACTORS; GENDER-DIFFERENCES; HEALTH; PRODUCTIVITY; ENVIRONMENT; SYMPTOMS; DAMPNESS</t>
        </is>
      </c>
      <c r="W648" t="inlineStr">
        <is>
          <t>Building renovations can adversely affect building occupants through the release of biological contaminants, gases and particulates. In this study, the research aim was to monitor the air quality of a renovated building and assess the impact of sick building syndrome (SBS) on the occupants. Post occupancy monitoring of the building was carried out after two months occupancy for the following environmental parameters: airborne microflora using an air sampler (SAS super 180) and a hand-held monitoring device (Graywolf advance sense IQ-610) to measure total volatile organic compounds (TVOC), CO2, CO and temperature and relative humidity in each office environment. In addition, an online (Qualtrics) structured questionnaire was used to assess occupants' perceptions of the indoor environment. Results of the airborne flora showed 833 cfu/m(3) recovered on a Malt Extract Agar (MEA) plate in the morning and 1213 cfu/m(3) in the afternoon. A similar result was noticed on a Plate Count Agar (PCA) plate during the morning period (731 cfu/m(3)) and afternoon (1358 cfu/m(3)). Results of TVOC monitored over one week showed that the first two days of monitoring had a high reading that peaked at 10,837 ppb and that the CO2 concentration during that period was 1163 ppm. Online questionnaire analysis indicates that a majority of the staff who took part in the survey experienced some form of health abnormality, including headache, shortness of breath, itchy eyes/ears, loss of concentration and so on, especially in the first few weeks of returning to the office. The results from the study indicate that a large proportion (41%) of the respondents experienced thermal discomfort as a result of varying room temperature during their working hours. A high number of female participants experienced some form of SBS as compared to their male counterparts. The study findings show a direct relationship between high airborne mold counts, TVOC and adverse staff health perception of the building. The study raised a number of opportunities for estate managers to improve building performance based on occupants' preferences.</t>
        </is>
      </c>
      <c r="X648" t="inlineStr">
        <is>
          <t>[Alomirah, Haya Fahad] Coll Hlth Sci, POB 1983, Safat 13020, Kuwait; [Alomirah, Haya Fahad; Moda, Haruna Musa] Manchester Metropolitan Univ, Dept Hlth Profess, Manchester M15 6BG, Lancs, England</t>
        </is>
      </c>
      <c r="Y648" t="inlineStr">
        <is>
          <t>Manchester Metropolitan University</t>
        </is>
      </c>
      <c r="Z648" t="inlineStr">
        <is>
          <t>Moda, HM (corresponding author), Manchester Metropolitan Univ, Dept Hlth Profess, Manchester M15 6BG, Lancs, England.</t>
        </is>
      </c>
      <c r="AA648" t="inlineStr">
        <is>
          <t>hf.alomirah@paaet.edu.kw; h.moda@mmu.ac.uk</t>
        </is>
      </c>
      <c r="AB648" t="inlineStr">
        <is>
          <t>Moda, Haruna/L-6876-2019</t>
        </is>
      </c>
      <c r="AC648" t="inlineStr">
        <is>
          <t>Moda, Haruna/0000-0002-3760-8357</t>
        </is>
      </c>
      <c r="AD648" t="inlineStr">
        <is>
          <t>Public Authority for Applied Education and Training Kuwait</t>
        </is>
      </c>
      <c r="AE648" t="inlineStr">
        <is>
          <t>Public Authority for Applied Education and Training Kuwait</t>
        </is>
      </c>
      <c r="AF648" t="inlineStr">
        <is>
          <t>Special thanks to Manchester Metropolitan University for hosting the project and the Public Authority for Applied Education and Training Kuwait for sponsoring the sabbatical.</t>
        </is>
      </c>
      <c r="AH648" t="n">
        <v>33</v>
      </c>
      <c r="AI648" t="n">
        <v>12</v>
      </c>
      <c r="AJ648" t="n">
        <v>13</v>
      </c>
      <c r="AK648" t="n">
        <v>5</v>
      </c>
      <c r="AL648" t="n">
        <v>20</v>
      </c>
      <c r="AM648" t="inlineStr">
        <is>
          <t>MDPI</t>
        </is>
      </c>
      <c r="AN648" t="inlineStr">
        <is>
          <t>BASEL</t>
        </is>
      </c>
      <c r="AO648" t="inlineStr">
        <is>
          <t>ST ALBAN-ANLAGE 66, CH-4052 BASEL, SWITZERLAND</t>
        </is>
      </c>
      <c r="AQ648" t="inlineStr">
        <is>
          <t>1660-4601</t>
        </is>
      </c>
      <c r="AS648" t="inlineStr">
        <is>
          <t>INT J ENV RES PUB HE</t>
        </is>
      </c>
      <c r="AT648" t="inlineStr">
        <is>
          <t>Int. J. Environ. Res. Public Health</t>
        </is>
      </c>
      <c r="AU648" t="inlineStr">
        <is>
          <t>MAR 2</t>
        </is>
      </c>
      <c r="AV648" t="n">
        <v>2020</v>
      </c>
      <c r="AW648" t="n">
        <v>17</v>
      </c>
      <c r="AX648" t="n">
        <v>6</v>
      </c>
      <c r="BE648" t="n">
        <v>1972</v>
      </c>
      <c r="BF648" t="inlineStr">
        <is>
          <t>10.3390/ijerph17061972</t>
        </is>
      </c>
      <c r="BG648">
        <f>HYPERLINK("http://dx.doi.org/10.3390/ijerph17061972","http://dx.doi.org/10.3390/ijerph17061972")</f>
        <v/>
      </c>
      <c r="BJ648" t="n">
        <v>9</v>
      </c>
      <c r="BK648" t="inlineStr">
        <is>
          <t>Environmental Sciences; Public, Environmental &amp; Occupational Health</t>
        </is>
      </c>
      <c r="BL648" t="inlineStr">
        <is>
          <t>Science Citation Index Expanded (SCI-EXPANDED); Social Science Citation Index (SSCI)</t>
        </is>
      </c>
      <c r="BM648" t="inlineStr">
        <is>
          <t>Environmental Sciences &amp; Ecology; Public, Environmental &amp; Occupational Health</t>
        </is>
      </c>
      <c r="BN648" t="inlineStr">
        <is>
          <t>LI2VS</t>
        </is>
      </c>
      <c r="BO648" t="n">
        <v>32192148</v>
      </c>
      <c r="BP648" t="inlineStr">
        <is>
          <t>gold, Green Published, Green Accepted</t>
        </is>
      </c>
      <c r="BS648" t="inlineStr">
        <is>
          <t>2023-10-26</t>
        </is>
      </c>
      <c r="BT648" t="inlineStr">
        <is>
          <t>WOS:000529342300162</t>
        </is>
      </c>
      <c r="BU648">
        <f>HYPERLINK("https%3A%2F%2Fwww.webofscience.com%2Fwos%2Fwoscc%2Ffull-record%2FWOS:000529342300162","View Full Record in Web of Science")</f>
        <v/>
      </c>
    </row>
    <row r="649">
      <c r="A649" t="inlineStr">
        <is>
          <t>J</t>
        </is>
      </c>
      <c r="B649" t="inlineStr">
        <is>
          <t>Fokaides, PA; Apanaviciene, R; Cerneckiene, J; Jurelionis, A; Klumbyte, E; Kriauciunaite-Neklejonoviene, V; Pupeikis, D; Rekus, D; Sadauskiene, J; Seduikyte, L; Stasiuliene, L; Vaiciunas, J; Valancius, R; Zdankus, T</t>
        </is>
      </c>
      <c r="F649" t="inlineStr">
        <is>
          <t>Fokaides, Paris A.; Apanaviciene, Rasa; Cerneckiene, Jurgita; Jurelionis, Andrius; Klumbyte, Egle; Kriauciunaite-Neklejonoviene, Vilma; Pupeikis, Darius; Rekus, Donatas; Sadauskiene, Jolanta; Seduikyte, Lina; Stasiuliene, Laura; Vaiciunas, Juozas; Valancius, Rokas; Zdankus, Tadas</t>
        </is>
      </c>
      <c r="J649" t="inlineStr">
        <is>
          <t>SUSTAINABILITY</t>
        </is>
      </c>
      <c r="M649" t="inlineStr">
        <is>
          <t>English</t>
        </is>
      </c>
      <c r="N649" t="inlineStr">
        <is>
          <t>Review</t>
        </is>
      </c>
      <c r="T649" t="inlineStr">
        <is>
          <t>Research Challenges and Advancements in the field of Sustainable Energy Technologies in the Built Environment</t>
        </is>
      </c>
      <c r="U649" t="inlineStr">
        <is>
          <t>sustainable energy; life cycle assessment; building information modelling; indoor air quality; energy systems; whole building energy analysis</t>
        </is>
      </c>
      <c r="V649" t="inlineStr">
        <is>
          <t>INDOOR AIR-QUALITY; SOLAR THERMAL-SYSTEMS; LIFE-CYCLE ASSESSMENT; CONSTRUCTION; POLLUTANTS; BUILDINGS; DESIGN; IMPACT; PERFORMANCE; VENTILATION</t>
        </is>
      </c>
      <c r="W649" t="inlineStr">
        <is>
          <t>Inevitably, the 21st century has initiated a series of developments in the construction industry, leading to its digitalization and resulting in a series of innovative approaches and practices. At the same time, the construction industry, being one of the main global environment polluters, should fulfil well-established, as well as novel, sustainability requirements in order to evolve in harmony with the rising concerns on the availability of natural resources. This overview study aims to present the main developments, research, and scientific challenges in the field of sustainable construction, emphasizing the field of energy. The study aims to present a state-of-the-art scientific discussion on the sustainable built environment topic by analyzing cutting edge topics in the fields of building elements and whole building energy assessment, of indoor air quality and low carbon buildings, as well as on sustainable energy systems and smart buildings. The study also presents the state-of-the-art in existing tools which are adopted for the assessment of the sustainable built environment, including the use of digital tools and building information modelling for the energy assessment of the built environment, as well as the application of Life Cycle Assessment on building-related processes. Cross cutting issues related to the analysis of the building sector in the Industry 4.0 era, such as sustainability management topics and environmental geomatics are also discussed. The study concludes in those fields which will be of interest of the scientific community in the following years, towards achieving the goals of the sustainable development of the building sector.</t>
        </is>
      </c>
      <c r="X649" t="inlineStr">
        <is>
          <t>[Fokaides, Paris A.; Apanaviciene, Rasa; Cerneckiene, Jurgita; Jurelionis, Andrius; Klumbyte, Egle; Kriauciunaite-Neklejonoviene, Vilma; Pupeikis, Darius; Rekus, Donatas; Sadauskiene, Jolanta; Seduikyte, Lina; Stasiuliene, Laura; Vaiciunas, Juozas; Valancius, Rokas; Zdankus, Tadas] Kaunas Univ Technol, Fac Civil Engn &amp; Architecture, Studentu Str 48, LT-51367 Kaunas, Lithuania</t>
        </is>
      </c>
      <c r="Y649" t="inlineStr">
        <is>
          <t>Kaunas University of Technology</t>
        </is>
      </c>
      <c r="Z649" t="inlineStr">
        <is>
          <t>Fokaides, PA (corresponding author), Kaunas Univ Technol, Fac Civil Engn &amp; Architecture, Studentu Str 48, LT-51367 Kaunas, Lithuania.</t>
        </is>
      </c>
      <c r="AA649" t="inlineStr">
        <is>
          <t>paris.fokaides@ktu.lt; rasa.apanaviciene@ktu.lt; jurgita.cerneckiene@ktu.lt; andrius.jurelionis@ktu.lt; egle.klumbyte@ktu.lt; vilma.kriauciunaite@ktu.lt; darius.pupeikis@ktu.lt; donatas.rekus@ktu.lt; jolanta.sadauskiene@ktu.lt; lina.seduikyte@ktu.lt; laura.stasiuliene@ktu.lt; juozas.vaiciunas@ktu.lt; rokas.valancius@ktu.lt; tadas.zdankus@ktu.lt</t>
        </is>
      </c>
      <c r="AB649" t="inlineStr">
        <is>
          <t>Apanavičienė, Rasa/AGS-8885-2022; Zdankus, Tadas/J-7733-2019; Fokaides, Paris/B-7047-2018; Fokaides, Paris/HTS-0039-2023</t>
        </is>
      </c>
      <c r="AC649" t="inlineStr">
        <is>
          <t>Apanavičienė, Rasa/0000-0003-2826-5062; Zdankus, Tadas/0000-0001-9236-6357; Fokaides, Paris/0000-0003-4112-3819; Seduikyte, Lina/0000-0003-1801-3486; , Jolanta/0000-0002-1863-8593; Cerneckiene, Jurgita/0000-0002-9122-5189</t>
        </is>
      </c>
      <c r="AH649" t="n">
        <v>84</v>
      </c>
      <c r="AI649" t="n">
        <v>23</v>
      </c>
      <c r="AJ649" t="n">
        <v>23</v>
      </c>
      <c r="AK649" t="n">
        <v>12</v>
      </c>
      <c r="AL649" t="n">
        <v>60</v>
      </c>
      <c r="AM649" t="inlineStr">
        <is>
          <t>MDPI</t>
        </is>
      </c>
      <c r="AN649" t="inlineStr">
        <is>
          <t>BASEL</t>
        </is>
      </c>
      <c r="AO649" t="inlineStr">
        <is>
          <t>ST ALBAN-ANLAGE 66, CH-4052 BASEL, SWITZERLAND</t>
        </is>
      </c>
      <c r="AQ649" t="inlineStr">
        <is>
          <t>2071-1050</t>
        </is>
      </c>
      <c r="AS649" t="inlineStr">
        <is>
          <t>SUSTAINABILITY-BASEL</t>
        </is>
      </c>
      <c r="AT649" t="inlineStr">
        <is>
          <t>Sustainability</t>
        </is>
      </c>
      <c r="AU649" t="inlineStr">
        <is>
          <t>OCT</t>
        </is>
      </c>
      <c r="AV649" t="n">
        <v>2020</v>
      </c>
      <c r="AW649" t="n">
        <v>12</v>
      </c>
      <c r="AX649" t="n">
        <v>20</v>
      </c>
      <c r="BE649" t="n">
        <v>8417</v>
      </c>
      <c r="BF649" t="inlineStr">
        <is>
          <t>10.3390/su12208417</t>
        </is>
      </c>
      <c r="BG649">
        <f>HYPERLINK("http://dx.doi.org/10.3390/su12208417","http://dx.doi.org/10.3390/su12208417")</f>
        <v/>
      </c>
      <c r="BJ649" t="n">
        <v>20</v>
      </c>
      <c r="BK649" t="inlineStr">
        <is>
          <t>Green &amp; Sustainable Science &amp; Technology; Environmental Sciences; Environmental Studies</t>
        </is>
      </c>
      <c r="BL649" t="inlineStr">
        <is>
          <t>Science Citation Index Expanded (SCI-EXPANDED); Social Science Citation Index (SSCI)</t>
        </is>
      </c>
      <c r="BM649" t="inlineStr">
        <is>
          <t>Science &amp; Technology - Other Topics; Environmental Sciences &amp; Ecology</t>
        </is>
      </c>
      <c r="BN649" t="inlineStr">
        <is>
          <t>OI2MU</t>
        </is>
      </c>
      <c r="BP649" t="inlineStr">
        <is>
          <t>Green Published, gold</t>
        </is>
      </c>
      <c r="BS649" t="inlineStr">
        <is>
          <t>2023-10-26</t>
        </is>
      </c>
      <c r="BT649" t="inlineStr">
        <is>
          <t>WOS:000583120100001</t>
        </is>
      </c>
      <c r="BU649">
        <f>HYPERLINK("https%3A%2F%2Fwww.webofscience.com%2Fwos%2Fwoscc%2Ffull-record%2FWOS:000583120100001","View Full Record in Web of Science")</f>
        <v/>
      </c>
    </row>
    <row r="650">
      <c r="A650" t="inlineStr">
        <is>
          <t>J</t>
        </is>
      </c>
      <c r="B650" t="inlineStr">
        <is>
          <t>Chen, CX; Luo, WJ; Kang, N; Li, HW; Yang, XH; Xia, Y</t>
        </is>
      </c>
      <c r="F650" t="inlineStr">
        <is>
          <t>Chen, Chongxian; Luo, Weijing; Kang, Ning; Li, Haiwei; Yang, Xiaohao; Xia, Yu</t>
        </is>
      </c>
      <c r="J650" t="inlineStr">
        <is>
          <t>SUSTAINABILITY</t>
        </is>
      </c>
      <c r="M650" t="inlineStr">
        <is>
          <t>English</t>
        </is>
      </c>
      <c r="N650" t="inlineStr">
        <is>
          <t>Article</t>
        </is>
      </c>
      <c r="T650" t="inlineStr">
        <is>
          <t>Study on the Impact of Residential Outdoor Environments on Mood in the Elderly in Guangzhou, China</t>
        </is>
      </c>
      <c r="U650" t="inlineStr">
        <is>
          <t>mood; the elderly; residential outdoor environment</t>
        </is>
      </c>
      <c r="V650" t="inlineStr">
        <is>
          <t>NEGATIVE AFFECT SCHEDULE; MENTAL-HEALTH; GREEN SPACE; OLDER-ADULTS; NEIGHBORHOOD QUALITY; BUILT ENVIRONMENT; PHYSICAL-ACTIVITY; DEPRESSIVE MOOD; BLUE SPACES; COMMUNITY</t>
        </is>
      </c>
      <c r="W650" t="inlineStr">
        <is>
          <t>Understanding the relationship between mood and the environment among the elderly is important for the healthy aging agenda. This study aimed to investigate the relationship between residential outdoor environments of different qualities and mood in the elderly. Nine residential neighborhoods across three different quality levels of the outdoor environment in Guangzhou, China, were surveyed. Measures included demographic characteristics, assessment of the residential outdoor environment, and mood status of the elderly. We constructed a group of multiple regression models to investigate influencing environmental factors of participants' mood. Results revealed that the environmental factors influencing mood in the elderly are different across the three types of residential outdoor environments: function and cleanliness of the site showed a significant correlation with mood in high-quality residences, while pavement was significantly correlated with mood in medium-quality residences. In contrast, transparency, enclosure, greenness, temperature, and humidity were significantly correlated with mood in poor-quality residences. To promote mental health in the elderly, we recommend that different qualities of residential outdoor environments should be considered individually rather than aggregated as simply outdoor space. The findings of this study are expected to contribute to create age-friendly communities for an aging society.</t>
        </is>
      </c>
      <c r="X650" t="inlineStr">
        <is>
          <t>[Chen, Chongxian; Luo, Weijing; Li, Haiwei; Xia, Yu] South China Agr Univ, Coll Forestry &amp; Landscape Architecture, Guangzhou 510642, Peoples R China; [Kang, Ning] Tsinghua Univ, Sch Architecture, Beijing 10084, Peoples R China; [Yang, Xiaohao] Univ Michigan, Sch Environm &amp; Sustainabil, Ann Arbor, MI 48104 USA</t>
        </is>
      </c>
      <c r="Y650" t="inlineStr">
        <is>
          <t>South China Agricultural University; Tsinghua University; University of Michigan System; University of Michigan</t>
        </is>
      </c>
      <c r="Z650" t="inlineStr">
        <is>
          <t>Chen, CX; Xia, Y (corresponding author), South China Agr Univ, Coll Forestry &amp; Landscape Architecture, Guangzhou 510642, Peoples R China.</t>
        </is>
      </c>
      <c r="AA650" t="inlineStr">
        <is>
          <t>chongxian@scau.edu.cn; luoweijing@stu.scau.edu.cn; ningkang@mail.tsinghua.edu.cn; hiwaylee@stu.scau.edu.cn; xiaohaoy@umich.edu; xiayuscau@scau.edu.cn</t>
        </is>
      </c>
      <c r="AD650" t="inlineStr">
        <is>
          <t>National Natural Science Foundation of China [51808229, 51908310]; Philosophy and Social Science Foundation of Guangzhou [2019GZGJ53]; 2017 Innovative Talents Project of Education Department of Guangdong Province [2017WQNCX010]</t>
        </is>
      </c>
      <c r="AE650" t="inlineStr">
        <is>
          <t>National Natural Science Foundation of China(National Natural Science Foundation of China (NSFC)); Philosophy and Social Science Foundation of Guangzhou; 2017 Innovative Talents Project of Education Department of Guangdong Province</t>
        </is>
      </c>
      <c r="AF650" t="inlineStr">
        <is>
          <t>This research was funded by theNational Natural Science Foundation of China, grant numbers: 51808229 and 51908310, and by the 2019 Philosophy and Social Science Foundation of Guangzhou, grant number: 2019GZGJ53, and by the 2017 Innovative Talents Project of Education Department of Guangdong Province, grant number: 2017WQNCX010.</t>
        </is>
      </c>
      <c r="AH650" t="n">
        <v>101</v>
      </c>
      <c r="AI650" t="n">
        <v>14</v>
      </c>
      <c r="AJ650" t="n">
        <v>16</v>
      </c>
      <c r="AK650" t="n">
        <v>21</v>
      </c>
      <c r="AL650" t="n">
        <v>114</v>
      </c>
      <c r="AM650" t="inlineStr">
        <is>
          <t>MDPI</t>
        </is>
      </c>
      <c r="AN650" t="inlineStr">
        <is>
          <t>BASEL</t>
        </is>
      </c>
      <c r="AO650" t="inlineStr">
        <is>
          <t>ST ALBAN-ANLAGE 66, CH-4052 BASEL, SWITZERLAND</t>
        </is>
      </c>
      <c r="AQ650" t="inlineStr">
        <is>
          <t>2071-1050</t>
        </is>
      </c>
      <c r="AS650" t="inlineStr">
        <is>
          <t>SUSTAINABILITY-BASEL</t>
        </is>
      </c>
      <c r="AT650" t="inlineStr">
        <is>
          <t>Sustainability</t>
        </is>
      </c>
      <c r="AU650" t="inlineStr">
        <is>
          <t>MAY</t>
        </is>
      </c>
      <c r="AV650" t="n">
        <v>2020</v>
      </c>
      <c r="AW650" t="n">
        <v>12</v>
      </c>
      <c r="AX650" t="n">
        <v>9</v>
      </c>
      <c r="BE650" t="n">
        <v>3933</v>
      </c>
      <c r="BF650" t="inlineStr">
        <is>
          <t>10.3390/su12093933</t>
        </is>
      </c>
      <c r="BG650">
        <f>HYPERLINK("http://dx.doi.org/10.3390/su12093933","http://dx.doi.org/10.3390/su12093933")</f>
        <v/>
      </c>
      <c r="BJ650" t="n">
        <v>18</v>
      </c>
      <c r="BK650" t="inlineStr">
        <is>
          <t>Green &amp; Sustainable Science &amp; Technology; Environmental Sciences; Environmental Studies</t>
        </is>
      </c>
      <c r="BL650" t="inlineStr">
        <is>
          <t>Science Citation Index Expanded (SCI-EXPANDED); Social Science Citation Index (SSCI)</t>
        </is>
      </c>
      <c r="BM650" t="inlineStr">
        <is>
          <t>Science &amp; Technology - Other Topics; Environmental Sciences &amp; Ecology</t>
        </is>
      </c>
      <c r="BN650" t="inlineStr">
        <is>
          <t>LU0TK</t>
        </is>
      </c>
      <c r="BP650" t="inlineStr">
        <is>
          <t>Green Published, gold</t>
        </is>
      </c>
      <c r="BS650" t="inlineStr">
        <is>
          <t>2023-10-26</t>
        </is>
      </c>
      <c r="BT650" t="inlineStr">
        <is>
          <t>WOS:000537476200431</t>
        </is>
      </c>
      <c r="BU650">
        <f>HYPERLINK("https%3A%2F%2Fwww.webofscience.com%2Fwos%2Fwoscc%2Ffull-record%2FWOS:000537476200431","View Full Record in Web of Science")</f>
        <v/>
      </c>
    </row>
    <row r="651">
      <c r="A651" t="inlineStr">
        <is>
          <t>J</t>
        </is>
      </c>
      <c r="B651" t="inlineStr">
        <is>
          <t>Stojic, A; Jovanovic, G; Stanisic, S; Romanic, SH; Sostaric, A; Udovicic, V; Perisic, M; Milicevic, T</t>
        </is>
      </c>
      <c r="F651" t="inlineStr">
        <is>
          <t>Stojic, Andreja; Jovanovic, Gordana; Stanisic, Svetlana; Romanic, Snjezana Herceg; Sostaric, Andrej; Udovicic, Vladimir; Perisic, Mirjana; Milicevic, Tijana</t>
        </is>
      </c>
      <c r="J651" t="inlineStr">
        <is>
          <t>CHEMOSPHERE</t>
        </is>
      </c>
      <c r="M651" t="inlineStr">
        <is>
          <t>English</t>
        </is>
      </c>
      <c r="N651" t="inlineStr">
        <is>
          <t>Article</t>
        </is>
      </c>
      <c r="T651" t="inlineStr">
        <is>
          <t>The PM2.5-bound polycyclic aromatic hydrocarbon behavior in indoor and outdoor environments, part II: Explainable prediction of benzo[a] pyrene levels</t>
        </is>
      </c>
      <c r="U651" t="inlineStr">
        <is>
          <t>Indoor air pollution; Outdoor air pollution; benzo[ a ]pyrene; Machine learning; Explainable artificial intelligence</t>
        </is>
      </c>
      <c r="V651" t="inlineStr">
        <is>
          <t>AIR; PAHS; EXPOSURE; PARTICLES; TRENDS; TERM</t>
        </is>
      </c>
      <c r="W651" t="inlineStr">
        <is>
          <t>Among the polycyclic aromatic hydrocarbons (PAH), benzo[a]pyrene (B[a]P) has been considered more relevant than other species when estimating the potential exposure-related health effects and has been recognized as a marker of carcinogenic potency of air pollutant mixture. The current understanding of the factors which govern non-linear behavior of B[a]P and associated pollutants and environmental processes is insufficient and further research has to rely on the advanced analytical approach which averts the assumptions and avoids simplifications required by linear modeling methods. For the purpose of this study, we employed eXtreme Gradient Boosting (XGBoost), SHapley Additive exPlanations (SHAP) attribution method, and SHAP value fuzzy clustering to investigate the concentrations of inorganic gaseous pollutants, radon, PM2.5 and particle constituents including trace metals, ions, 16 US EPA priority PM2.5-bound PAHs and 31 meteorological variables, as key factors which shape indoor and outdoor PM2.5-bound B[a]P distribution in a university building located in the urban area of Belgrade (Serbia). According to the results, the indoor and outdoor B[a]P levels were shown to be highly correlated and mostly influenced by the concentrations of Chry, B[b]F, CO, B[a]A, I[cd]P, B[k]F, Flt, D[ah]A, Pyr, B[ghi]P, Cr, As, and PM2.5 in both indoor and outdoor environments. Besides, high B[a]P concentration events were recorded during the periods of low ambient temperature (&lt;12 degrees C), unstable weather conditions with precipitation and increased soil humidity.</t>
        </is>
      </c>
      <c r="X651" t="inlineStr">
        <is>
          <t>[Stojic, Andreja; Jovanovic, Gordana; Udovicic, Vladimir; Perisic, Mirjana; Milicevic, Tijana] Univ Belgrade, Inst Phys Belgrade, Natl Inst Republ Serbia, 118 Pregrevica St, Belgrade 11000, Serbia; [Stojic, Andreja; Jovanovic, Gordana; Stanisic, Svetlana; Perisic, Mirjana] Singidunum Univ, 32 Danijelova St, Belgrade 11000, Serbia; [Romanic, Snjezana Herceg] Inst Med Res &amp; Occupat Hlth, 2 Ksaverska Cesta St,POB 291, Zagreb 10001, Croatia; [Sostaric, Andrej] Inst Publ Hlth Belgrade, 54 Despota Stefana St, Belgrade 11000, Serbia</t>
        </is>
      </c>
      <c r="Y651" t="inlineStr">
        <is>
          <t>University of Belgrade; Institute for Medical Research &amp; Occupational Health (IMROH)</t>
        </is>
      </c>
      <c r="Z651" t="inlineStr">
        <is>
          <t>Stanisic, S (corresponding author), Singidunum Univ, 32 Danijelova St, Belgrade 11000, Serbia.</t>
        </is>
      </c>
      <c r="AA651" t="inlineStr">
        <is>
          <t>sstanisic@singidunum.ac.rs</t>
        </is>
      </c>
      <c r="AB651" t="inlineStr">
        <is>
          <t>Milićević, Tijana/M-1487-2019; Perišić, Mirjana/W-8608-2019; Stojic, Andreja/F-5969-2017; Perisic, Mirjana/L-8943-2018; Jovanovic, Gordana/L-8167-2015</t>
        </is>
      </c>
      <c r="AC651" t="inlineStr">
        <is>
          <t>Milićević, Tijana/0000-0003-1258-910X; Stojic, Andreja/0000-0002-5293-9533; Perisic, Mirjana/0000-0002-8287-4136; Jovanovic, Gordana/0000-0001-8657-423X; Stanisic, Svetlana/0000-0002-1842-7366</t>
        </is>
      </c>
      <c r="AD651" t="inlineStr">
        <is>
          <t>Institute of Physics Belgrade; Ministry of Education, Science and Technological Development of the Republic of Serbia; Science Fund of the Republic of Serbia [6524105]</t>
        </is>
      </c>
      <c r="AE651" t="inlineStr">
        <is>
          <t>Institute of Physics Belgrade; Ministry of Education, Science and Technological Development of the Republic of Serbia(Ministry of Education, Science &amp; Technological Development, Serbia); Science Fund of the Republic of Serbia</t>
        </is>
      </c>
      <c r="AF651" t="inlineStr">
        <is>
          <t>The authors acknowledge funding provided by the Institute of Physics Belgrade, through the grant by the Ministry of Education, Science and Technological Development of the Republic of Serbia, the Science Fund of the Republic of Serbia #GRANT No. 6524105, AI ATLAS, as well as Analysis of organic pollutants in biological systems and the environment, institutional financing of scientific activity, Croatia.</t>
        </is>
      </c>
      <c r="AH651" t="n">
        <v>48</v>
      </c>
      <c r="AI651" t="n">
        <v>4</v>
      </c>
      <c r="AJ651" t="n">
        <v>4</v>
      </c>
      <c r="AK651" t="n">
        <v>4</v>
      </c>
      <c r="AL651" t="n">
        <v>31</v>
      </c>
      <c r="AM651" t="inlineStr">
        <is>
          <t>PERGAMON-ELSEVIER SCIENCE LTD</t>
        </is>
      </c>
      <c r="AN651" t="inlineStr">
        <is>
          <t>OXFORD</t>
        </is>
      </c>
      <c r="AO651" t="inlineStr">
        <is>
          <t>THE BOULEVARD, LANGFORD LANE, KIDLINGTON, OXFORD OX5 1GB, ENGLAND</t>
        </is>
      </c>
      <c r="AP651" t="inlineStr">
        <is>
          <t>0045-6535</t>
        </is>
      </c>
      <c r="AQ651" t="inlineStr">
        <is>
          <t>1879-1298</t>
        </is>
      </c>
      <c r="AS651" t="inlineStr">
        <is>
          <t>CHEMOSPHERE</t>
        </is>
      </c>
      <c r="AT651" t="inlineStr">
        <is>
          <t>Chemosphere</t>
        </is>
      </c>
      <c r="AU651" t="inlineStr">
        <is>
          <t>FEB</t>
        </is>
      </c>
      <c r="AV651" t="n">
        <v>2022</v>
      </c>
      <c r="AW651" t="n">
        <v>289</v>
      </c>
      <c r="BE651" t="n">
        <v>133154</v>
      </c>
      <c r="BF651" t="inlineStr">
        <is>
          <t>10.1016/j.chemosphere.2021.133154</t>
        </is>
      </c>
      <c r="BG651">
        <f>HYPERLINK("http://dx.doi.org/10.1016/j.chemosphere.2021.133154","http://dx.doi.org/10.1016/j.chemosphere.2021.133154")</f>
        <v/>
      </c>
      <c r="BI651" t="inlineStr">
        <is>
          <t>DEC 2021</t>
        </is>
      </c>
      <c r="BJ651" t="n">
        <v>9</v>
      </c>
      <c r="BK651" t="inlineStr">
        <is>
          <t>Environmental Sciences</t>
        </is>
      </c>
      <c r="BL651" t="inlineStr">
        <is>
          <t>Science Citation Index Expanded (SCI-EXPANDED)</t>
        </is>
      </c>
      <c r="BM651" t="inlineStr">
        <is>
          <t>Environmental Sciences &amp; Ecology</t>
        </is>
      </c>
      <c r="BN651" t="inlineStr">
        <is>
          <t>XU2VQ</t>
        </is>
      </c>
      <c r="BO651" t="n">
        <v>34871609</v>
      </c>
      <c r="BS651" t="inlineStr">
        <is>
          <t>2023-10-26</t>
        </is>
      </c>
      <c r="BT651" t="inlineStr">
        <is>
          <t>WOS:000734129700008</t>
        </is>
      </c>
      <c r="BU651">
        <f>HYPERLINK("https%3A%2F%2Fwww.webofscience.com%2Fwos%2Fwoscc%2Ffull-record%2FWOS:000734129700008","View Full Record in Web of Science")</f>
        <v/>
      </c>
    </row>
    <row r="652">
      <c r="A652" t="inlineStr">
        <is>
          <t>J</t>
        </is>
      </c>
      <c r="B652" t="inlineStr">
        <is>
          <t>Lee, S; Oh, E; Hong, GRS</t>
        </is>
      </c>
      <c r="F652" t="inlineStr">
        <is>
          <t>Lee, Seonhye; Oh, Eunmi; Hong, Gwi-Ryung Son</t>
        </is>
      </c>
      <c r="J652" t="inlineStr">
        <is>
          <t>INTERNATIONAL JOURNAL OF ENVIRONMENTAL RESEARCH AND PUBLIC HEALTH</t>
        </is>
      </c>
      <c r="M652" t="inlineStr">
        <is>
          <t>English</t>
        </is>
      </c>
      <c r="N652" t="inlineStr">
        <is>
          <t>Article</t>
        </is>
      </c>
      <c r="T652" t="inlineStr">
        <is>
          <t>Comparison of Factors Associated with Fear of Falling between Older Adults with and without a Fall History</t>
        </is>
      </c>
      <c r="U652" t="inlineStr">
        <is>
          <t>fear of falling; older adults; environmental factors; ecological model</t>
        </is>
      </c>
      <c r="V652" t="inlineStr">
        <is>
          <t>NEIGHBORHOOD ENVIRONMENT; PSYCHOLOGICAL CONCERNS; ACTIVITY RESTRICTION; PHYSICAL-ACTIVITY; RISK-FACTORS; WALKING; PREVALENCE; IMPACT</t>
        </is>
      </c>
      <c r="W652" t="inlineStr">
        <is>
          <t>Background: Although fear of falling (FOF) has been studied since FOF has negative consequences for the elderly, there is limited information about the risk factors of FOF, including the environment. The purpose of this study was to describe individual and environmental factors of FOF between those with and without a fall history from an ecological aspect and to examine whether individual and environmental factors differently affect the FOF according to the state of fall history in community-dwelling older adults in Korea. Methods: Data from the 2014 Survey of Living Conditions and Welfare Needs of Korean Older Adults were used. Participants were 7730 older adults. Hierarchical logistic regression analysis was conducted to examine the predictors of FOF. Results: According to the ecological model, female and discomfort with the neighborhood environment were significantly associated with greater odds of reporting FOF in both older adults with fall history and those without. A significant interaction was not observed between any variable of FOF in participants with and without a fall history. Conclusions: An ecological model including individual and environmental factors should be considered when conducting research and designing programs and decision policies related to FOF for older adults with and without a history of falling.</t>
        </is>
      </c>
      <c r="X652" t="inlineStr">
        <is>
          <t>[Lee, Seonhye] Gyeongnam Natl Univ Sci &amp; Technol, Dept Nursing, 33 Dongjinro, Jinju 52725, Gyeongnam, South Korea; [Oh, Eunmi; Hong, Gwi-Ryung Son] Hanyang Univ, Sch Nursing, 222 Wangsimliro, Seoul 04763, South Korea</t>
        </is>
      </c>
      <c r="Y652" t="inlineStr">
        <is>
          <t>Gyeongnam National University of Science and Technology; Hanyang University</t>
        </is>
      </c>
      <c r="Z652" t="inlineStr">
        <is>
          <t>Oh, E (corresponding author), Hanyang Univ, Sch Nursing, 222 Wangsimliro, Seoul 04763, South Korea.</t>
        </is>
      </c>
      <c r="AA652" t="inlineStr">
        <is>
          <t>shlee@gntech.ac.kr; oem76@hanyang.ac.kr; grson@hanyang.ac.kr</t>
        </is>
      </c>
      <c r="AB652" t="inlineStr">
        <is>
          <t>Freitas, Cátia VG/T-7736-2018; Lee, Seonhye/HRD-3608-2023</t>
        </is>
      </c>
      <c r="AC652" t="inlineStr">
        <is>
          <t>Lee, Seonhye/0000-0002-3524-8896; Oh, EunMi/0000-0001-6825-5331; Hong, Gwi-Ryung/0000-0001-7460-4972</t>
        </is>
      </c>
      <c r="AH652" t="n">
        <v>44</v>
      </c>
      <c r="AI652" t="n">
        <v>37</v>
      </c>
      <c r="AJ652" t="n">
        <v>37</v>
      </c>
      <c r="AK652" t="n">
        <v>2</v>
      </c>
      <c r="AL652" t="n">
        <v>16</v>
      </c>
      <c r="AM652" t="inlineStr">
        <is>
          <t>MDPI</t>
        </is>
      </c>
      <c r="AN652" t="inlineStr">
        <is>
          <t>BASEL</t>
        </is>
      </c>
      <c r="AO652" t="inlineStr">
        <is>
          <t>ST ALBAN-ANLAGE 66, CH-4052 BASEL, SWITZERLAND</t>
        </is>
      </c>
      <c r="AQ652" t="inlineStr">
        <is>
          <t>1660-4601</t>
        </is>
      </c>
      <c r="AS652" t="inlineStr">
        <is>
          <t>INT J ENV RES PUB HE</t>
        </is>
      </c>
      <c r="AT652" t="inlineStr">
        <is>
          <t>Int. J. Environ. Res. Public Health</t>
        </is>
      </c>
      <c r="AU652" t="inlineStr">
        <is>
          <t>MAY</t>
        </is>
      </c>
      <c r="AV652" t="n">
        <v>2018</v>
      </c>
      <c r="AW652" t="n">
        <v>15</v>
      </c>
      <c r="AX652" t="n">
        <v>5</v>
      </c>
      <c r="BE652" t="n">
        <v>982</v>
      </c>
      <c r="BF652" t="inlineStr">
        <is>
          <t>10.3390/ijerph15050982</t>
        </is>
      </c>
      <c r="BG652">
        <f>HYPERLINK("http://dx.doi.org/10.3390/ijerph15050982","http://dx.doi.org/10.3390/ijerph15050982")</f>
        <v/>
      </c>
      <c r="BJ652" t="n">
        <v>12</v>
      </c>
      <c r="BK652" t="inlineStr">
        <is>
          <t>Environmental Sciences; Public, Environmental &amp; Occupational Health</t>
        </is>
      </c>
      <c r="BL652" t="inlineStr">
        <is>
          <t>Science Citation Index Expanded (SCI-EXPANDED); Social Science Citation Index (SSCI)</t>
        </is>
      </c>
      <c r="BM652" t="inlineStr">
        <is>
          <t>Environmental Sciences &amp; Ecology; Public, Environmental &amp; Occupational Health</t>
        </is>
      </c>
      <c r="BN652" t="inlineStr">
        <is>
          <t>GJ3LS</t>
        </is>
      </c>
      <c r="BO652" t="n">
        <v>29757960</v>
      </c>
      <c r="BP652" t="inlineStr">
        <is>
          <t>gold, Green Published, Green Submitted</t>
        </is>
      </c>
      <c r="BS652" t="inlineStr">
        <is>
          <t>2023-10-26</t>
        </is>
      </c>
      <c r="BT652" t="inlineStr">
        <is>
          <t>WOS:000435197300150</t>
        </is>
      </c>
      <c r="BU652">
        <f>HYPERLINK("https%3A%2F%2Fwww.webofscience.com%2Fwos%2Fwoscc%2Ffull-record%2FWOS:000435197300150","View Full Record in Web of Science")</f>
        <v/>
      </c>
    </row>
    <row r="653">
      <c r="A653" t="inlineStr">
        <is>
          <t>J</t>
        </is>
      </c>
      <c r="B653" t="inlineStr">
        <is>
          <t>Cassarino, M; Bantry-White, E; Setti, A</t>
        </is>
      </c>
      <c r="F653" t="inlineStr">
        <is>
          <t>Cassarino, Marica; Bantry-White, Eleanor; Setti, Annalisa</t>
        </is>
      </c>
      <c r="J653" t="inlineStr">
        <is>
          <t>SUSTAINABILITY</t>
        </is>
      </c>
      <c r="M653" t="inlineStr">
        <is>
          <t>English</t>
        </is>
      </c>
      <c r="N653" t="inlineStr">
        <is>
          <t>Article</t>
        </is>
      </c>
      <c r="T653" t="inlineStr">
        <is>
          <t>Neighbourhood Environment and Cognitive Vulnerability-A Survey Investigation of Variations Across the Lifespan and Urbanity Levels</t>
        </is>
      </c>
      <c r="U653" t="inlineStr">
        <is>
          <t>cognitive vulnerability; neighbourhood environment; lifespan; urbanity</t>
        </is>
      </c>
      <c r="V653" t="inlineStr">
        <is>
          <t>PHYSICAL-ACTIVITY; BUILT ENVIRONMENT; OLDER-ADULTS; HEALTH; FAILURES; PEOPLE; ASSOCIATION</t>
        </is>
      </c>
      <c r="W653" t="inlineStr">
        <is>
          <t>Background: Understanding the impact of local communities on wellbeing is a paramount Sustainable Development Goal. In order to inform people-centred planning interventions, it is important to understand what demographic groups need supportive communities the most and where. This study explored associations between perceived neighbourhood characteristics and cognitive vulnerability, and the moderating role of age and urbanity of the place of residence. Methods: A convenience sample of 224 Irish adults completed a survey assessing cognitive vulnerability and perceptions of neighbourhood qualities, together with sociodemographic and residential information. Correlational analyses explored bivariate associations as well as moderating effects. A subsample (n = 142) provided qualitative accounts of their preferences of neighbourhood characteristics. Results: Regression analyses showed that controlling for sociodemographic factors, higher self-reported neighbourhood pleasantness was associated with lower cognitive vulnerability, particularly in older adults who lived in the most rural and urban areas (p = 0.006). Qualitative accounts suggested urban-rural variations in perceived accessibility and perceptual stressors, and age-related variations in social preferences. Conclusions: Our findings indicate a complex association between neighbourhood characteristics and cognitive wellbeing, highlighting the potential benefits of neighbourhood pleasantness for cognition particularly for older people in very rural or very urbanised places. Implications for research and environmental interventions are discussed.</t>
        </is>
      </c>
      <c r="X653" t="inlineStr">
        <is>
          <t>[Cassarino, Marica; Setti, Annalisa] Univ Coll Cork, North Mall Enterprise Ctr, Sch Appl Psychol, Cork T23 TK30, Ireland; [Bantry-White, Eleanor] Univ Coll Cork, Sch Appl Social Studies, William Thompson House,Donovans Rd, Cork T12 D726, Ireland</t>
        </is>
      </c>
      <c r="Y653" t="inlineStr">
        <is>
          <t>University College Cork; University College Cork</t>
        </is>
      </c>
      <c r="Z653" t="inlineStr">
        <is>
          <t>Cassarino, M (corresponding author), Univ Coll Cork, North Mall Enterprise Ctr, Sch Appl Psychol, Cork T23 TK30, Ireland.</t>
        </is>
      </c>
      <c r="AA653" t="inlineStr">
        <is>
          <t>mcassarino@ucc.ie; e.bantrywhite@ucc.ie; a.setti@ucc.ie</t>
        </is>
      </c>
      <c r="AB653" t="inlineStr">
        <is>
          <t>Setti, Annalisa/A-5586-2011; Cassarino, Marica/G-2332-2018</t>
        </is>
      </c>
      <c r="AC653" t="inlineStr">
        <is>
          <t>Cassarino, Marica/0000-0002-1624-921X; Bantry White, Eleanor/0000-0002-7663-6836</t>
        </is>
      </c>
      <c r="AD653" t="inlineStr">
        <is>
          <t>School of Applied Psychology, University College Cork, Ireland</t>
        </is>
      </c>
      <c r="AE653" t="inlineStr">
        <is>
          <t>School of Applied Psychology, University College Cork, Ireland</t>
        </is>
      </c>
      <c r="AF653" t="inlineStr">
        <is>
          <t>This research was partially funded by Seed Funding from the School of Applied Psychology, University College Cork, Ireland.</t>
        </is>
      </c>
      <c r="AH653" t="n">
        <v>50</v>
      </c>
      <c r="AI653" t="n">
        <v>2</v>
      </c>
      <c r="AJ653" t="n">
        <v>2</v>
      </c>
      <c r="AK653" t="n">
        <v>1</v>
      </c>
      <c r="AL653" t="n">
        <v>11</v>
      </c>
      <c r="AM653" t="inlineStr">
        <is>
          <t>MDPI</t>
        </is>
      </c>
      <c r="AN653" t="inlineStr">
        <is>
          <t>BASEL</t>
        </is>
      </c>
      <c r="AO653" t="inlineStr">
        <is>
          <t>ST ALBAN-ANLAGE 66, CH-4052 BASEL, SWITZERLAND</t>
        </is>
      </c>
      <c r="AQ653" t="inlineStr">
        <is>
          <t>2071-1050</t>
        </is>
      </c>
      <c r="AS653" t="inlineStr">
        <is>
          <t>SUSTAINABILITY-BASEL</t>
        </is>
      </c>
      <c r="AT653" t="inlineStr">
        <is>
          <t>Sustainability</t>
        </is>
      </c>
      <c r="AU653" t="inlineStr">
        <is>
          <t>OCT</t>
        </is>
      </c>
      <c r="AV653" t="n">
        <v>2020</v>
      </c>
      <c r="AW653" t="n">
        <v>12</v>
      </c>
      <c r="AX653" t="n">
        <v>19</v>
      </c>
      <c r="BE653" t="n">
        <v>7951</v>
      </c>
      <c r="BF653" t="inlineStr">
        <is>
          <t>10.3390/su12197951</t>
        </is>
      </c>
      <c r="BG653">
        <f>HYPERLINK("http://dx.doi.org/10.3390/su12197951","http://dx.doi.org/10.3390/su12197951")</f>
        <v/>
      </c>
      <c r="BJ653" t="n">
        <v>15</v>
      </c>
      <c r="BK653" t="inlineStr">
        <is>
          <t>Green &amp; Sustainable Science &amp; Technology; Environmental Sciences; Environmental Studies</t>
        </is>
      </c>
      <c r="BL653" t="inlineStr">
        <is>
          <t>Science Citation Index Expanded (SCI-EXPANDED); Social Science Citation Index (SSCI)</t>
        </is>
      </c>
      <c r="BM653" t="inlineStr">
        <is>
          <t>Science &amp; Technology - Other Topics; Environmental Sciences &amp; Ecology</t>
        </is>
      </c>
      <c r="BN653" t="inlineStr">
        <is>
          <t>OO2SB</t>
        </is>
      </c>
      <c r="BP653" t="inlineStr">
        <is>
          <t>gold, Green Published</t>
        </is>
      </c>
      <c r="BS653" t="inlineStr">
        <is>
          <t>2023-10-26</t>
        </is>
      </c>
      <c r="BT653" t="inlineStr">
        <is>
          <t>WOS:000587232800001</t>
        </is>
      </c>
      <c r="BU653">
        <f>HYPERLINK("https%3A%2F%2Fwww.webofscience.com%2Fwos%2Fwoscc%2Ffull-record%2FWOS:000587232800001","View Full Record in Web of Science")</f>
        <v/>
      </c>
    </row>
    <row r="654">
      <c r="A654" t="inlineStr">
        <is>
          <t>J</t>
        </is>
      </c>
      <c r="B654" t="inlineStr">
        <is>
          <t>Mahdavi, A; Berger, C; Bochukova, V; Bourikas, L; Hellwig, RT; Jin, Q; Pisello, AL; Schweiker, M</t>
        </is>
      </c>
      <c r="F654" t="inlineStr">
        <is>
          <t>Mahdavi, Ardeshir; Berger, Christiane; Bochukova, Veselina; Bourikas, Leonidas; Hellwig, Runa T.; Jin, Quan; Pisello, Anna Laura; Schweiker, Marcel</t>
        </is>
      </c>
      <c r="J654" t="inlineStr">
        <is>
          <t>SUSTAINABILITY</t>
        </is>
      </c>
      <c r="M654" t="inlineStr">
        <is>
          <t>English</t>
        </is>
      </c>
      <c r="N654" t="inlineStr">
        <is>
          <t>Article</t>
        </is>
      </c>
      <c r="T654" t="inlineStr">
        <is>
          <t>Necessary Conditions for Multi-Domain Indoor Environmental Quality Standards</t>
        </is>
      </c>
      <c r="U654" t="inlineStr">
        <is>
          <t>indoor environmental quality; codes; standards; multi-domain; human factor; architecture; building; sustainability rating</t>
        </is>
      </c>
      <c r="W654" t="inlineStr">
        <is>
          <t>A discussion of sustainability in architecture cannot be meaningfully carried out without the inclusion of most buildings' central purpose, namely the provision of indoor environments that are accommodating of occupants' needs and requirements. To this end, building designers and operators are expected to demonstrate compliance with codes and standards pertaining to indoor environmental quality (IEQ). However, the majority of conventional IEQ standards, codes, and guidelines have a single-domain character, in that they address IEQ in terms of a number of isolated domains (i.e., thermal, visual, acoustic, air quality). In this context, the present contribution explores the current state of multi-domain IEQ evaluation approaches and the necessary conditions for their further development and application. Toward this end, a number of common building rating schemes were selected and analyzed in detail. The results of this assessment imply the necessity of both short-term improvements of the existing schemes in terms of the transparency and plausibility of the applied point allocation and weighting strategies and the fundamental need for a deeper empirically grounded understanding of the nature of occupants' perception of and behavior in the built environments.</t>
        </is>
      </c>
      <c r="X654" t="inlineStr">
        <is>
          <t>[Mahdavi, Ardeshir; Berger, Christiane; Bochukova, Veselina] TU Wien, Dept Bldg Phys &amp; Bldg Ecol, A-1040 Vienna, Austria; [Bourikas, Leonidas] Univ Lancaster, Sch Architecture, Imaginat Lancaster, Lancaster LA1 4YW, England; [Hellwig, Runa T.] Aalborg Univ, Dept Architecture Design &amp; Media Technol CREATE, DK-9000 Aalborg, Denmark; [Jin, Quan] Chalmers Univ Technol, Dept Architecture &amp; Civil Engn, S-41296 Gothenburg, Sweden; [Pisello, Anna Laura] Univ Perugia, Dept Engn, I-06125 Perugia, Italy; [Schweiker, Marcel] Rhein Westfal TH Aachen, Inst Occupat Social &amp; Environm Med, D-52074 Aachen, Germany</t>
        </is>
      </c>
      <c r="Y654" t="inlineStr">
        <is>
          <t>Technische Universitat Wien; Lancaster University; Aalborg University; Chalmers University of Technology; University of Perugia; RWTH Aachen University</t>
        </is>
      </c>
      <c r="Z654" t="inlineStr">
        <is>
          <t>Mahdavi, A (corresponding author), TU Wien, Dept Bldg Phys &amp; Bldg Ecol, A-1040 Vienna, Austria.</t>
        </is>
      </c>
      <c r="AA654" t="inlineStr">
        <is>
          <t>amahdavi@tuwien.ac.at; christiane.berger@tuwien.ac.at; veselina.bochukova@tuwien.ac.at; l.bourikas@lancaster.ac.uk; rthe@create.aau.dk; quan.jin@chalmers.se; anna.pisello@unipg.it; mschweiker@ukaachen.de</t>
        </is>
      </c>
      <c r="AB654" t="inlineStr">
        <is>
          <t>Hellwig, Runa T./S-6649-2019; Schweiker, Marcel/AAH-9794-2021; Schweiker, Marcel/N-5787-2019; Jin, Quan/F-8297-2016</t>
        </is>
      </c>
      <c r="AC654" t="inlineStr">
        <is>
          <t>Hellwig, Runa T./0000-0002-5882-8033; Schweiker, Marcel/0000-0003-3906-4688; Schweiker, Marcel/0000-0003-3906-4688; Berger, Christiane/0000-0001-9936-7627; PISELLO, ANNA LAURA/0000-0002-4527-6444; Jin, Quan/0000-0003-4331-7983; Bourikas, Leonidas/0000-0002-5289-2157</t>
        </is>
      </c>
      <c r="AD654" t="inlineStr">
        <is>
          <t>VILLUM FONDEN [21055]; Svenska Forskningsradet Formas [2018-01494]; Chalmers Energy Area of Advance; Obelske Familiefond [14939]; European Union [678407]; Vinnova [2018-01494] Funding Source: Vinnova; Formas [2018-01494] Funding Source: Formas</t>
        </is>
      </c>
      <c r="AE654" t="inlineStr">
        <is>
          <t>VILLUM FONDEN(Villum Fonden); Svenska Forskningsradet Formas(Swedish Research Council Formas); Chalmers Energy Area of Advance; Obelske Familiefond; European Union(European Union (EU)); Vinnova(Vinnova); Formas(Swedish Research Council Formas)</t>
        </is>
      </c>
      <c r="AF654" t="inlineStr">
        <is>
          <t>The treatment presented in this paper benefited from authors' participation in the IEA EBC Annex 79. Moreover, a number of authors have received research support in the past relevant to the topic of this contribution. Specifically, M.S. was supported by a research grant (21055) from VILLUM FONDEN. Q.J. received support from Svenska Forskningsradet Formas (2018-01494) and Chalmers Energy Area of Advance. R.T.H. was supported by the Obelske Familiefond (14939). A.L.P. acknowledges the European Union Horizon 2020 Programme in the framework of the ZERO-PLUS project: Achieving near Zero and Positive Energy Settlements in Europe using Advanced Energy Technology (Grant Agreement Nffi 678407).</t>
        </is>
      </c>
      <c r="AH654" t="n">
        <v>68</v>
      </c>
      <c r="AI654" t="n">
        <v>9</v>
      </c>
      <c r="AJ654" t="n">
        <v>9</v>
      </c>
      <c r="AK654" t="n">
        <v>2</v>
      </c>
      <c r="AL654" t="n">
        <v>18</v>
      </c>
      <c r="AM654" t="inlineStr">
        <is>
          <t>MDPI</t>
        </is>
      </c>
      <c r="AN654" t="inlineStr">
        <is>
          <t>BASEL</t>
        </is>
      </c>
      <c r="AO654" t="inlineStr">
        <is>
          <t>ST ALBAN-ANLAGE 66, CH-4052 BASEL, SWITZERLAND</t>
        </is>
      </c>
      <c r="AQ654" t="inlineStr">
        <is>
          <t>2071-1050</t>
        </is>
      </c>
      <c r="AS654" t="inlineStr">
        <is>
          <t>SUSTAINABILITY-BASEL</t>
        </is>
      </c>
      <c r="AT654" t="inlineStr">
        <is>
          <t>Sustainability</t>
        </is>
      </c>
      <c r="AU654" t="inlineStr">
        <is>
          <t>OCT</t>
        </is>
      </c>
      <c r="AV654" t="n">
        <v>2020</v>
      </c>
      <c r="AW654" t="n">
        <v>12</v>
      </c>
      <c r="AX654" t="n">
        <v>20</v>
      </c>
      <c r="BE654" t="n">
        <v>8439</v>
      </c>
      <c r="BF654" t="inlineStr">
        <is>
          <t>10.3390/su12208439</t>
        </is>
      </c>
      <c r="BG654">
        <f>HYPERLINK("http://dx.doi.org/10.3390/su12208439","http://dx.doi.org/10.3390/su12208439")</f>
        <v/>
      </c>
      <c r="BJ654" t="n">
        <v>24</v>
      </c>
      <c r="BK654" t="inlineStr">
        <is>
          <t>Green &amp; Sustainable Science &amp; Technology; Environmental Sciences; Environmental Studies</t>
        </is>
      </c>
      <c r="BL654" t="inlineStr">
        <is>
          <t>Science Citation Index Expanded (SCI-EXPANDED); Social Science Citation Index (SSCI)</t>
        </is>
      </c>
      <c r="BM654" t="inlineStr">
        <is>
          <t>Science &amp; Technology - Other Topics; Environmental Sciences &amp; Ecology</t>
        </is>
      </c>
      <c r="BN654" t="inlineStr">
        <is>
          <t>OI2NQ</t>
        </is>
      </c>
      <c r="BP654" t="inlineStr">
        <is>
          <t>Green Published, gold</t>
        </is>
      </c>
      <c r="BS654" t="inlineStr">
        <is>
          <t>2023-10-26</t>
        </is>
      </c>
      <c r="BT654" t="inlineStr">
        <is>
          <t>WOS:000583122300001</t>
        </is>
      </c>
      <c r="BU654">
        <f>HYPERLINK("https%3A%2F%2Fwww.webofscience.com%2Fwos%2Fwoscc%2Ffull-record%2FWOS:000583122300001","View Full Record in Web of Science")</f>
        <v/>
      </c>
    </row>
    <row r="655">
      <c r="A655" t="inlineStr">
        <is>
          <t>J</t>
        </is>
      </c>
      <c r="B655" t="inlineStr">
        <is>
          <t>Abhijith, KV; Kumar, P; Gallagher, J; McNabola, A; Baldauf, R; Pilla, F; Broderick, B; Di Sabatino, S; Pulvirenti, B</t>
        </is>
      </c>
      <c r="F655" t="inlineStr">
        <is>
          <t>Abhijith, K. V.; Kumar, Prashant; Gallagher, John; McNabola, Aonghus; Baldauf, Richard; Pilla, Francesco; Broderick, Brian; Di Sabatino, Silvana; Pulvirenti, Beatrice</t>
        </is>
      </c>
      <c r="J655" t="inlineStr">
        <is>
          <t>ATMOSPHERIC ENVIRONMENT</t>
        </is>
      </c>
      <c r="M655" t="inlineStr">
        <is>
          <t>English</t>
        </is>
      </c>
      <c r="N655" t="inlineStr">
        <is>
          <t>Review</t>
        </is>
      </c>
      <c r="T655" t="inlineStr">
        <is>
          <t>Air pollution abatement performances of green infrastructure in open road and built-up street canyon environments - A review</t>
        </is>
      </c>
      <c r="U655" t="inlineStr">
        <is>
          <t>Local pollutant exposure; Street canyons; Open roads; Urban trees and hedges; Green wall; Green roof</t>
        </is>
      </c>
      <c r="V655" t="inlineStr">
        <is>
          <t>LARGE-EDDY SIMULATION; PARTICULATE MATTER; VEGETATION BARRIERS; URBAN VEGETATION; ULTRAFINE PARTICLES; PASSIVE CONTROL; BLACK CARBON; HUMAN HEALTH; NUMBER CONCENTRATIONS; ECOSYSTEM SERVICES</t>
        </is>
      </c>
      <c r="W655" t="inlineStr">
        <is>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 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 (C) 2017 The Authors. Published by Elsevier Ltd.</t>
        </is>
      </c>
      <c r="X655" t="inlineStr">
        <is>
          <t>[Abhijith, K. V.; Kumar, Prashant] Univ Surrey, Global Ctr Clean Air Res GCARE, Dept Civil &amp; Environm Engn, Fac Engn &amp; Phys Sci, Guildford GU2 7XH, Surrey, England; [Kumar, Prashant] Univ Surrey, Fac Engn &amp; Phys Sci, Environm Flow EnFlo Res Ctr, Guildford GU2 7XH, Surrey, England; [Gallagher, John; McNabola, Aonghus; Broderick, Brian] Trinity Coll Dublin, Dept Civil Struct &amp; Environm Engn, Dublin, Ireland; [Gallagher, John] Bangor Univ, Sch Environm Nat Resources &amp; Geog, Bangor LL57 2UW, Gwynedd, Wales; [Baldauf, Richard] US EPA, Off Res &amp; Dev, Res Triangle Pk, NC 27711 USA; [Baldauf, Richard] US EPA, Off Transportat &amp; Air Qual, Ann Arbor, MI USA; [Pilla, Francesco] Univ Coll Dublin, Dept Planning &amp; Environm Policy, Dublin D14, Ireland; [Di Sabatino, Silvana] Univ Bologna, Alma Mater Studiorum, Dept Phys &amp; Astron, Viale Berti Pichat 6-2, I-40127 Bologna, Italy; [Pulvirenti, Beatrice] Univ Bologna, Dipartimento Ingn Energet Nucl &amp; Controllo Ambien, Bologna, Italy</t>
        </is>
      </c>
      <c r="Y655" t="inlineStr">
        <is>
          <t>University of Surrey; University of Surrey; Trinity College Dublin; Bangor University; United States Environmental Protection Agency; United States Environmental Protection Agency; University College Dublin; University of Bologna; University of Bologna</t>
        </is>
      </c>
      <c r="Z655" t="inlineStr">
        <is>
          <t>Kumar, P (corresponding author), Univ Surrey, Global Ctr Clean Air Res GCARE, Dept Civil &amp; Environm Engn, Fac Engn &amp; Phys Sci, Guildford GU2 7XH, Surrey, England.</t>
        </is>
      </c>
      <c r="AA655" t="inlineStr">
        <is>
          <t>P.Kumar@surrey.ac.uk</t>
        </is>
      </c>
      <c r="AB655" t="inlineStr">
        <is>
          <t>Gallagher, John/J-1373-2014; Broderick, Brian M/E-6575-2019; Kumar, Prashant/C-6357-2011; Pulvirenti, Beatrice/GVU-3227-2022</t>
        </is>
      </c>
      <c r="AC655" t="inlineStr">
        <is>
          <t>Gallagher, John/0000-0002-0848-6151; Broderick, Brian M/0000-0001-5307-3578; Kumar, Prashant/0000-0002-2462-4411; Kooloth Valappil, Abhijith/0000-0002-3678-3516; DI SABATINO, SILVANA/0000-0003-2716-9247; pulvirenti, beatrice/0000-0002-2607-525X; Pilla, Francesco/0000-0002-1535-1239</t>
        </is>
      </c>
      <c r="AD655" t="inlineStr">
        <is>
          <t>European Community's H Programme [H2020-SC5-04-2015, 689954]</t>
        </is>
      </c>
      <c r="AE655" t="inlineStr">
        <is>
          <t>European Community's H Programme</t>
        </is>
      </c>
      <c r="AF655" t="inlineStr">
        <is>
          <t>This work is led by the University of Surrey's team as a part of the iSCAPE (Improving Smart Control of Air Pollution in Europe) project, which is funded by the European Community's H2020 Programme (H2020-SC5-04-2015) under the Grant Agreement No. 689954.</t>
        </is>
      </c>
      <c r="AH655" t="n">
        <v>139</v>
      </c>
      <c r="AI655" t="n">
        <v>477</v>
      </c>
      <c r="AJ655" t="n">
        <v>502</v>
      </c>
      <c r="AK655" t="n">
        <v>44</v>
      </c>
      <c r="AL655" t="n">
        <v>499</v>
      </c>
      <c r="AM655" t="inlineStr">
        <is>
          <t>PERGAMON-ELSEVIER SCIENCE LTD</t>
        </is>
      </c>
      <c r="AN655" t="inlineStr">
        <is>
          <t>OXFORD</t>
        </is>
      </c>
      <c r="AO655" t="inlineStr">
        <is>
          <t>THE BOULEVARD, LANGFORD LANE, KIDLINGTON, OXFORD OX5 1GB, ENGLAND</t>
        </is>
      </c>
      <c r="AP655" t="inlineStr">
        <is>
          <t>1352-2310</t>
        </is>
      </c>
      <c r="AQ655" t="inlineStr">
        <is>
          <t>1873-2844</t>
        </is>
      </c>
      <c r="AS655" t="inlineStr">
        <is>
          <t>ATMOS ENVIRON</t>
        </is>
      </c>
      <c r="AT655" t="inlineStr">
        <is>
          <t>Atmos. Environ.</t>
        </is>
      </c>
      <c r="AU655" t="inlineStr">
        <is>
          <t>AUG</t>
        </is>
      </c>
      <c r="AV655" t="n">
        <v>2017</v>
      </c>
      <c r="AW655" t="n">
        <v>162</v>
      </c>
      <c r="BC655" t="n">
        <v>71</v>
      </c>
      <c r="BD655" t="n">
        <v>86</v>
      </c>
      <c r="BF655" t="inlineStr">
        <is>
          <t>10.1016/j.atmosenv.2017.05.014</t>
        </is>
      </c>
      <c r="BG655">
        <f>HYPERLINK("http://dx.doi.org/10.1016/j.atmosenv.2017.05.014","http://dx.doi.org/10.1016/j.atmosenv.2017.05.014")</f>
        <v/>
      </c>
      <c r="BJ655" t="n">
        <v>16</v>
      </c>
      <c r="BK655" t="inlineStr">
        <is>
          <t>Environmental Sciences; Meteorology &amp; Atmospheric Sciences</t>
        </is>
      </c>
      <c r="BL655" t="inlineStr">
        <is>
          <t>Science Citation Index Expanded (SCI-EXPANDED); Social Science Citation Index (SSCI)</t>
        </is>
      </c>
      <c r="BM655" t="inlineStr">
        <is>
          <t>Environmental Sciences &amp; Ecology; Meteorology &amp; Atmospheric Sciences</t>
        </is>
      </c>
      <c r="BN655" t="inlineStr">
        <is>
          <t>EY5CX</t>
        </is>
      </c>
      <c r="BP655" t="inlineStr">
        <is>
          <t>Green Published, hybrid, Green Submitted</t>
        </is>
      </c>
      <c r="BS655" t="inlineStr">
        <is>
          <t>2023-10-26</t>
        </is>
      </c>
      <c r="BT655" t="inlineStr">
        <is>
          <t>WOS:000403995900007</t>
        </is>
      </c>
      <c r="BU655">
        <f>HYPERLINK("https%3A%2F%2Fwww.webofscience.com%2Fwos%2Fwoscc%2Ffull-record%2FWOS:000403995900007","View Full Record in Web of Science")</f>
        <v/>
      </c>
    </row>
    <row r="656">
      <c r="A656" t="inlineStr">
        <is>
          <t>J</t>
        </is>
      </c>
      <c r="B656" t="inlineStr">
        <is>
          <t>Xu, HL; Wen, LM; Hardy, LL; Rissel, C</t>
        </is>
      </c>
      <c r="F656" t="inlineStr">
        <is>
          <t>Xu, Huilan; Wen, Li Ming; Hardy, Louise L.; Rissel, Chris</t>
        </is>
      </c>
      <c r="J656" t="inlineStr">
        <is>
          <t>INTERNATIONAL JOURNAL OF ENVIRONMENTAL RESEARCH AND PUBLIC HEALTH</t>
        </is>
      </c>
      <c r="M656" t="inlineStr">
        <is>
          <t>English</t>
        </is>
      </c>
      <c r="N656" t="inlineStr">
        <is>
          <t>Article</t>
        </is>
      </c>
      <c r="T656" t="inlineStr">
        <is>
          <t>Mothers' Perceived Neighbourhood Environment and Outdoor Play of 2-to 3.5-Year-Old Children: Findings from the Healthy Beginnings Trial</t>
        </is>
      </c>
      <c r="U656" t="inlineStr">
        <is>
          <t>neighbourhood environment; outdoor play; physical activity; young children; perceptions</t>
        </is>
      </c>
      <c r="V656" t="inlineStr">
        <is>
          <t>PHYSICAL-ACTIVITY; WALK SCORE; TIME; PERCEPTIONS; OBESITY; SAFETY; YOUTH; ASSOCIATIONS; WALKABILITY; VALIDATION</t>
        </is>
      </c>
      <c r="W656" t="inlineStr">
        <is>
          <t>Background: This study aims to investigate whether mothers' perceived neighbourhood environment is associated with outdoor playtime of 2- to 3.5-year-old children. Methods: Cross-sectional analyses were conducted using data from the Healthy Beginnings Trial (HBT). Data on children's outdoor playtime and mothers' perceived neighbourhood environment were collected through face-to-face interviews with mothers when their children were 2 and 3.5 years old. Walk score was obtained from a publicly available website and population density data were obtained from Australian Census data. Multiple logistic regression models were built to investigate these associations. Results: A total of 497 and 415 mother-child dyads were retained at 2 years and 3.5 years. After adjusting for intervention group allocation and other confounding factors, at 2 years, mothers' perceptions that 'the neighbourhood is a good place to bring up children', 'it is safe to play outside during the day', and 'there are good parks or playgrounds in neighbourhood' were positively associated with children's outdoor playtime. At 3.5 years, living in a free-standing house was associated with more children's outdoor playtime. Conclusions: Children may benefit from living in a neighbourhood that supports active lifestyle. Improving social and physical environments in neighbourhoods could be an important strategy for improving young children's physical activity.</t>
        </is>
      </c>
      <c r="X656" t="inlineStr">
        <is>
          <t>[Xu, Huilan; Wen, Li Ming] Univ Sydney, Sydney Sch Publ Hlth, Sydney, NSW 2006, Australia; [Xu, Huilan; Wen, Li Ming] Sydney Local Hlth Dist, Hlth Promot Unit, Sydney, NSW 2050, Australia; [Wen, Li Ming] Fudan Univ, Sch Publ Hlth, Shanghai 200433, Peoples R China; [Hardy, Louise L.; Rissel, Chris] Univ Sydney, Sydney Sch Publ Hlth, Prevent Res Collaborat, Sydney, NSW 2006, Australia</t>
        </is>
      </c>
      <c r="Y656" t="inlineStr">
        <is>
          <t>University of Sydney; Fudan University; University of Sydney</t>
        </is>
      </c>
      <c r="Z656" t="inlineStr">
        <is>
          <t>Xu, HL (corresponding author), Univ Sydney, Sydney Sch Publ Hlth, Sydney, NSW 2006, Australia.;Xu, HL (corresponding author), Sydney Local Hlth Dist, Hlth Promot Unit, Sydney, NSW 2050, Australia.</t>
        </is>
      </c>
      <c r="AA656" t="inlineStr">
        <is>
          <t>Huilan.Xu@sswahs.nsw.gov.au; LiMing.Wen@sswahs.nsw.gov.au; Louise.hardy@sydney.edu.au; Chris.rissel@sydney.edu.au</t>
        </is>
      </c>
      <c r="AB656" t="inlineStr">
        <is>
          <t>Rissel, Chris/ABA-5881-2020; Rissel, Chris/AAH-2423-2019; Hardy, Louise L./E-7043-2010; Xu, Huilan/AAE-9862-2020</t>
        </is>
      </c>
      <c r="AC656" t="inlineStr">
        <is>
          <t>Rissel, Chris/0000-0002-2156-8581; Hardy, Louise L./0000-0001-8656-6758;</t>
        </is>
      </c>
      <c r="AD656" t="inlineStr">
        <is>
          <t>Australian National Health and Medical Research Council [393112, 1003780]</t>
        </is>
      </c>
      <c r="AE656" t="inlineStr">
        <is>
          <t>Australian National Health and Medical Research Council(National Health and Medical Research Council (NHMRC) of Australia)</t>
        </is>
      </c>
      <c r="AF656" t="inlineStr">
        <is>
          <t>This study is part of the Healthy Beginnings Trial funded by the Australian National Health and Medical Research Council (Phase 1 ID number: 393112, Phase 2 ID number: 1003780). We wish to thank mothers and children for their participation in this study. We are grateful to Rachel Heenan who helped to obtain the walk scores and population density data. We also wish to thank members of the project team based at Health Promotion Service, South Western Sydney &amp; Sydney Local Health Districts.</t>
        </is>
      </c>
      <c r="AH656" t="n">
        <v>56</v>
      </c>
      <c r="AI656" t="n">
        <v>12</v>
      </c>
      <c r="AJ656" t="n">
        <v>12</v>
      </c>
      <c r="AK656" t="n">
        <v>0</v>
      </c>
      <c r="AL656" t="n">
        <v>20</v>
      </c>
      <c r="AM656" t="inlineStr">
        <is>
          <t>MDPI</t>
        </is>
      </c>
      <c r="AN656" t="inlineStr">
        <is>
          <t>BASEL</t>
        </is>
      </c>
      <c r="AO656" t="inlineStr">
        <is>
          <t>ST ALBAN-ANLAGE 66, CH-4052 BASEL, SWITZERLAND</t>
        </is>
      </c>
      <c r="AQ656" t="inlineStr">
        <is>
          <t>1660-4601</t>
        </is>
      </c>
      <c r="AS656" t="inlineStr">
        <is>
          <t>INT J ENV RES PUB HE</t>
        </is>
      </c>
      <c r="AT656" t="inlineStr">
        <is>
          <t>Int. J. Environ. Res. Public Health</t>
        </is>
      </c>
      <c r="AU656" t="inlineStr">
        <is>
          <t>SEP</t>
        </is>
      </c>
      <c r="AV656" t="n">
        <v>2017</v>
      </c>
      <c r="AW656" t="n">
        <v>14</v>
      </c>
      <c r="AX656" t="n">
        <v>9</v>
      </c>
      <c r="BE656" t="n">
        <v>1082</v>
      </c>
      <c r="BF656" t="inlineStr">
        <is>
          <t>10.3390/ijerph14091082</t>
        </is>
      </c>
      <c r="BG656">
        <f>HYPERLINK("http://dx.doi.org/10.3390/ijerph14091082","http://dx.doi.org/10.3390/ijerph14091082")</f>
        <v/>
      </c>
      <c r="BJ656" t="n">
        <v>14</v>
      </c>
      <c r="BK656" t="inlineStr">
        <is>
          <t>Environmental Sciences; Public, Environmental &amp; Occupational Health</t>
        </is>
      </c>
      <c r="BL656" t="inlineStr">
        <is>
          <t>Science Citation Index Expanded (SCI-EXPANDED); Social Science Citation Index (SSCI)</t>
        </is>
      </c>
      <c r="BM656" t="inlineStr">
        <is>
          <t>Environmental Sciences &amp; Ecology; Public, Environmental &amp; Occupational Health</t>
        </is>
      </c>
      <c r="BN656" t="inlineStr">
        <is>
          <t>FH9YO</t>
        </is>
      </c>
      <c r="BO656" t="n">
        <v>28927015</v>
      </c>
      <c r="BP656" t="inlineStr">
        <is>
          <t>Green Published, gold, Green Submitted</t>
        </is>
      </c>
      <c r="BS656" t="inlineStr">
        <is>
          <t>2023-10-26</t>
        </is>
      </c>
      <c r="BT656" t="inlineStr">
        <is>
          <t>WOS:000411574400134</t>
        </is>
      </c>
      <c r="BU656">
        <f>HYPERLINK("https%3A%2F%2Fwww.webofscience.com%2Fwos%2Fwoscc%2Ffull-record%2FWOS:000411574400134","View Full Record in Web of Science")</f>
        <v/>
      </c>
    </row>
    <row r="657">
      <c r="A657" t="inlineStr">
        <is>
          <t>J</t>
        </is>
      </c>
      <c r="B657" t="inlineStr">
        <is>
          <t>Kyogoku, S; Takebayashi, H</t>
        </is>
      </c>
      <c r="F657" t="inlineStr">
        <is>
          <t>Kyogoku, Sae; Takebayashi, Hideki</t>
        </is>
      </c>
      <c r="J657" t="inlineStr">
        <is>
          <t>SUSTAINABILITY</t>
        </is>
      </c>
      <c r="M657" t="inlineStr">
        <is>
          <t>English</t>
        </is>
      </c>
      <c r="N657" t="inlineStr">
        <is>
          <t>Article</t>
        </is>
      </c>
      <c r="T657" t="inlineStr">
        <is>
          <t>Effects of Upward Reflective Film Applied to Window Glass on Indoor and Outdoor Thermal Environments in a Mid-Latitude City</t>
        </is>
      </c>
      <c r="U657" t="inlineStr">
        <is>
          <t>upward reflective film; window; indoor thermal environment; outdoor thermal environment</t>
        </is>
      </c>
      <c r="V657" t="inlineStr">
        <is>
          <t>HEAT-ISLAND MITIGATION; QUANTITATIVE-ANALYSIS; RETROREFLECTORS; FACADES</t>
        </is>
      </c>
      <c r="W657" t="inlineStr">
        <is>
          <t>The effect of upward reflective film applied to a window on the thermal environment inside and outside the window was investigated, considering the reflection and transmission characteristics depending on the angle of incident solar radiation. In terms of controlling the amount of solar radiation on a building's windows, it is sufficient if the reflected solar radiation returns upward and does not need to be retroreflected in the azimuthal direction. Therefore, in this study, only the incident angle was considered and treated in two dimensions. The amount of incident solar radiation on the vertical facade is greater around 9:00 and around 16:00. Therefore, it is important to take measures in the morning for east-facing windows and in the afternoon for west-facing windows. The indoor MRT in front of upward reflective film is lower than in front of a transparent window due to lower transmittance. The outdoor MRT in front of upward reflective film is suppressed to the same level as in front of a transparent window, because the downward reflectance does not increase as much as in transparent windows. Upward reflective films applied to windows can improve the indoor thermal environment without worsening the outdoor thermal environment compared to thermal barrier films.</t>
        </is>
      </c>
      <c r="X657" t="inlineStr">
        <is>
          <t>[Kyogoku, Sae; Takebayashi, Hideki] Kobe Univ, Urban Environm Engn Lab, Kobe 6578501, Japan</t>
        </is>
      </c>
      <c r="Y657" t="inlineStr">
        <is>
          <t>Kobe University</t>
        </is>
      </c>
      <c r="Z657" t="inlineStr">
        <is>
          <t>Kyogoku, S (corresponding author), Kobe Univ, Urban Environm Engn Lab, Kobe 6578501, Japan.</t>
        </is>
      </c>
      <c r="AA657" t="inlineStr">
        <is>
          <t>thideki@kobe-u.ac.jp</t>
        </is>
      </c>
      <c r="AB657" t="inlineStr">
        <is>
          <t>Takebayashi, Hideki/H-3242-2016</t>
        </is>
      </c>
      <c r="AC657" t="inlineStr">
        <is>
          <t>Takebayashi, Hideki/0000-0002-9295-2855</t>
        </is>
      </c>
      <c r="AH657" t="n">
        <v>24</v>
      </c>
      <c r="AI657" t="n">
        <v>0</v>
      </c>
      <c r="AJ657" t="n">
        <v>0</v>
      </c>
      <c r="AK657" t="n">
        <v>1</v>
      </c>
      <c r="AL657" t="n">
        <v>2</v>
      </c>
      <c r="AM657" t="inlineStr">
        <is>
          <t>MDPI</t>
        </is>
      </c>
      <c r="AN657" t="inlineStr">
        <is>
          <t>BASEL</t>
        </is>
      </c>
      <c r="AO657" t="inlineStr">
        <is>
          <t>ST ALBAN-ANLAGE 66, CH-4052 BASEL, SWITZERLAND</t>
        </is>
      </c>
      <c r="AQ657" t="inlineStr">
        <is>
          <t>2071-1050</t>
        </is>
      </c>
      <c r="AS657" t="inlineStr">
        <is>
          <t>SUSTAINABILITY-BASEL</t>
        </is>
      </c>
      <c r="AT657" t="inlineStr">
        <is>
          <t>Sustainability</t>
        </is>
      </c>
      <c r="AU657" t="inlineStr">
        <is>
          <t>FEB</t>
        </is>
      </c>
      <c r="AV657" t="n">
        <v>2023</v>
      </c>
      <c r="AW657" t="n">
        <v>15</v>
      </c>
      <c r="AX657" t="n">
        <v>4</v>
      </c>
      <c r="BE657" t="n">
        <v>3848</v>
      </c>
      <c r="BF657" t="inlineStr">
        <is>
          <t>10.3390/su15043848</t>
        </is>
      </c>
      <c r="BG657">
        <f>HYPERLINK("http://dx.doi.org/10.3390/su15043848","http://dx.doi.org/10.3390/su15043848")</f>
        <v/>
      </c>
      <c r="BJ657" t="n">
        <v>21</v>
      </c>
      <c r="BK657" t="inlineStr">
        <is>
          <t>Green &amp; Sustainable Science &amp; Technology; Environmental Sciences; Environmental Studies</t>
        </is>
      </c>
      <c r="BL657" t="inlineStr">
        <is>
          <t>Science Citation Index Expanded (SCI-EXPANDED); Social Science Citation Index (SSCI)</t>
        </is>
      </c>
      <c r="BM657" t="inlineStr">
        <is>
          <t>Science &amp; Technology - Other Topics; Environmental Sciences &amp; Ecology</t>
        </is>
      </c>
      <c r="BN657" t="inlineStr">
        <is>
          <t>9L2WN</t>
        </is>
      </c>
      <c r="BP657" t="inlineStr">
        <is>
          <t>gold</t>
        </is>
      </c>
      <c r="BS657" t="inlineStr">
        <is>
          <t>2023-10-26</t>
        </is>
      </c>
      <c r="BT657" t="inlineStr">
        <is>
          <t>WOS:000941414900001</t>
        </is>
      </c>
      <c r="BU657">
        <f>HYPERLINK("https%3A%2F%2Fwww.webofscience.com%2Fwos%2Fwoscc%2Ffull-record%2FWOS:000941414900001","View Full Record in Web of Science")</f>
        <v/>
      </c>
    </row>
    <row r="658">
      <c r="A658" t="inlineStr">
        <is>
          <t>J</t>
        </is>
      </c>
      <c r="B658" t="inlineStr">
        <is>
          <t>Chen, X; Huang, JC; Yang, HX; Peng, JQ</t>
        </is>
      </c>
      <c r="F658" t="inlineStr">
        <is>
          <t>Chen, Xi; Huang, Junchao; Yang, Hongxing; Peng, Jinqing</t>
        </is>
      </c>
      <c r="J658" t="inlineStr">
        <is>
          <t>JOURNAL OF CLEANER PRODUCTION</t>
        </is>
      </c>
      <c r="M658" t="inlineStr">
        <is>
          <t>English</t>
        </is>
      </c>
      <c r="N658" t="inlineStr">
        <is>
          <t>Article</t>
        </is>
      </c>
      <c r="T658" t="inlineStr">
        <is>
          <t>Approaching low-energy high-rise building by integrating passive architectural design with photovoltaic application</t>
        </is>
      </c>
      <c r="U658" t="inlineStr">
        <is>
          <t>Photovoltaic application; Low-energy building; Passive design; Sensitivity analysis; Particle swarm optimization</t>
        </is>
      </c>
      <c r="V658" t="inlineStr">
        <is>
          <t>RENTAL HOUSING DEVELOPMENT; SIMULATION-BASED APPROACH; SOLAR HEAT GAIN; SENSITIVITY-ANALYSIS; THERMAL COMFORT; GENETIC ALGORITHM; WINDOW SYSTEM; PERFORMANCE; OPTIMIZATION; MODEL</t>
        </is>
      </c>
      <c r="W658" t="inlineStr">
        <is>
          <t>Building envelopes can highly impact the building energy demand and indoor environmental quality, so that the application of novel fa cade systems such as photovoltaics has been widely investigated. However, few study has addressed the interactive effect between photovoltaic (PV) application and traditional passive architectural design strategies, which is thoroughly discussed in this comparative study using a holistic design optimization process. The holistic design optimization approach combines screening based and variance-based sensitivity analyses with the non-dominated sorting genetic algorithm-II (NSGA-II) and hybrid generalized pattern search particle swarm optimization (HGPSPSO). The impact of the light-to-solar gain ratio (LSG) is evaluated as one of the key factor to combine the passive design and PV glazing based on a comprehensive glazing database. Through an exhaustive sensitivity analysis (SA), the Morris method is proved to be efficient and robust in factor prioritizing only when the required minimum sampling size is satisfied. The window to ground ratio showed much greater impact on the net building energy demand when PV applications are coupled with all available vertical fa ades. Furthermore, the necessary particles for specified design input dimensions are determined for the optimal performance of HGPSPSO. With the optimum design configuration, the net building demand can be reduced by up to 71.36% under the hot summer and warm winter condition of Hong Kong. Research findings from this study can be used to develop low-energy building guidelines and building integrated PV applications in early planning stages. (C) 2019 Elsevier Ltd. All rights reserved.</t>
        </is>
      </c>
      <c r="X658" t="inlineStr">
        <is>
          <t>[Chen, Xi; Huang, Junchao; Yang, Hongxing] Hong Kong Polytech Univ, Dept Bldg Serv Engn, RERG, Kowloon, Hong Kong, Peoples R China; [Peng, Jinqing] Hunan Univ, Coll Civil Engn, Changsha 410082, Hunan, Peoples R China</t>
        </is>
      </c>
      <c r="Y658" t="inlineStr">
        <is>
          <t>Hong Kong Polytechnic University; Hunan University</t>
        </is>
      </c>
      <c r="Z658" t="inlineStr">
        <is>
          <t>Chen, X (corresponding author), Hong Kong Polytech Univ, Dept Bldg Serv Engn, RERG, Kowloon, Hong Kong, Peoples R China.</t>
        </is>
      </c>
      <c r="AA658" t="inlineStr">
        <is>
          <t>climber027@gmail.com</t>
        </is>
      </c>
      <c r="AB658" t="inlineStr">
        <is>
          <t>CHEN, Patrick/AGE-2671-2022; CHEN, XI/P-2323-2014; CHEN, XI/AAL-9640-2021; Peng, Jinqing (Jallen)/B-9520-2019; Yang, Hongxing/E-5737-2014</t>
        </is>
      </c>
      <c r="AC658" t="inlineStr">
        <is>
          <t>CHEN, Patrick/0000-0003-2168-9057; CHEN, XI/0000-0003-2168-9057; CHEN, XI/0000-0003-2168-9057; Peng, Jinqing (Jallen)/0000-0003-4455-5908; Yang, Hongxing/0000-0001-5117-5394; , Junchao/0000-0002-2688-1577</t>
        </is>
      </c>
      <c r="AD658" t="inlineStr">
        <is>
          <t>Innovation and Technology Fund [ITS/171/16FX]; Postdoctoral Fellow Scheme of the Faculty of Construction and Environment, The Hong Kong Polytechnic University [K-ZM2G]; National Key R&amp;D Program of China, Research and Demonstration of Key Technology of Net-Zero Energy Building [2016YFE0102300]</t>
        </is>
      </c>
      <c r="AE658" t="inlineStr">
        <is>
          <t>Innovation and Technology Fund; Postdoctoral Fellow Scheme of the Faculty of Construction and Environment, The Hong Kong Polytechnic University; National Key R&amp;D Program of China, Research and Demonstration of Key Technology of Net-Zero Energy Building</t>
        </is>
      </c>
      <c r="AF658" t="inlineStr">
        <is>
          <t>The work described in this paper was supported by the Innovation and Technology Fund with project No. ITS/171/16FX and the Postdoctoral Fellow Scheme of the Faculty of Construction and Environment, The Hong Kong Polytechnic University (Grant No.: K-ZM2G). Appreciation was also given to the National Key R&amp;D Program of China, Research and Demonstration of Key Technology of Net-Zero Energy Building (Project No.: 2016YFE0102300).</t>
        </is>
      </c>
      <c r="AH658" t="n">
        <v>49</v>
      </c>
      <c r="AI658" t="n">
        <v>34</v>
      </c>
      <c r="AJ658" t="n">
        <v>35</v>
      </c>
      <c r="AK658" t="n">
        <v>5</v>
      </c>
      <c r="AL658" t="n">
        <v>49</v>
      </c>
      <c r="AM658" t="inlineStr">
        <is>
          <t>ELSEVIER SCI LTD</t>
        </is>
      </c>
      <c r="AN658" t="inlineStr">
        <is>
          <t>OXFORD</t>
        </is>
      </c>
      <c r="AO658" t="inlineStr">
        <is>
          <t>THE BOULEVARD, LANGFORD LANE, KIDLINGTON, OXFORD OX5 1GB, OXON, ENGLAND</t>
        </is>
      </c>
      <c r="AP658" t="inlineStr">
        <is>
          <t>0959-6526</t>
        </is>
      </c>
      <c r="AQ658" t="inlineStr">
        <is>
          <t>1879-1786</t>
        </is>
      </c>
      <c r="AS658" t="inlineStr">
        <is>
          <t>J CLEAN PROD</t>
        </is>
      </c>
      <c r="AT658" t="inlineStr">
        <is>
          <t>J. Clean Prod.</t>
        </is>
      </c>
      <c r="AU658" t="inlineStr">
        <is>
          <t>MAY 20</t>
        </is>
      </c>
      <c r="AV658" t="n">
        <v>2019</v>
      </c>
      <c r="AW658" t="n">
        <v>220</v>
      </c>
      <c r="BC658" t="n">
        <v>313</v>
      </c>
      <c r="BD658" t="n">
        <v>330</v>
      </c>
      <c r="BF658" t="inlineStr">
        <is>
          <t>10.1016/j.jclepro.2019.02.137</t>
        </is>
      </c>
      <c r="BG658">
        <f>HYPERLINK("http://dx.doi.org/10.1016/j.jclepro.2019.02.137","http://dx.doi.org/10.1016/j.jclepro.2019.02.137")</f>
        <v/>
      </c>
      <c r="BJ658" t="n">
        <v>18</v>
      </c>
      <c r="BK658" t="inlineStr">
        <is>
          <t>Green &amp; Sustainable Science &amp; Technology; Engineering, Environmental; Environmental Sciences</t>
        </is>
      </c>
      <c r="BL658" t="inlineStr">
        <is>
          <t>Science Citation Index Expanded (SCI-EXPANDED)</t>
        </is>
      </c>
      <c r="BM658" t="inlineStr">
        <is>
          <t>Science &amp; Technology - Other Topics; Engineering; Environmental Sciences &amp; Ecology</t>
        </is>
      </c>
      <c r="BN658" t="inlineStr">
        <is>
          <t>HU8CH</t>
        </is>
      </c>
      <c r="BS658" t="inlineStr">
        <is>
          <t>2023-10-26</t>
        </is>
      </c>
      <c r="BT658" t="inlineStr">
        <is>
          <t>WOS:000465509400026</t>
        </is>
      </c>
      <c r="BU658">
        <f>HYPERLINK("https%3A%2F%2Fwww.webofscience.com%2Fwos%2Fwoscc%2Ffull-record%2FWOS:000465509400026","View Full Record in Web of Science")</f>
        <v/>
      </c>
    </row>
    <row r="659">
      <c r="A659" t="inlineStr">
        <is>
          <t>J</t>
        </is>
      </c>
      <c r="B659" t="inlineStr">
        <is>
          <t>Chen, N</t>
        </is>
      </c>
      <c r="F659" t="inlineStr">
        <is>
          <t>Chen, Nan</t>
        </is>
      </c>
      <c r="J659" t="inlineStr">
        <is>
          <t>FRESENIUS ENVIRONMENTAL BULLETIN</t>
        </is>
      </c>
      <c r="M659" t="inlineStr">
        <is>
          <t>English</t>
        </is>
      </c>
      <c r="N659" t="inlineStr">
        <is>
          <t>Article</t>
        </is>
      </c>
      <c r="T659" t="inlineStr">
        <is>
          <t>RESEARCH ON ECOLOGICAL BUILDING AND SUSTAINABLE BUILDING DEVELOPMENT</t>
        </is>
      </c>
      <c r="U659" t="inlineStr">
        <is>
          <t>Ecological building; Energy-saving; Sustainable development; Sustainable building</t>
        </is>
      </c>
      <c r="V659" t="inlineStr">
        <is>
          <t>ENERGY-CONSUMPTION; URBAN; GENERATION; SIMULATION; MODELS; SCALE</t>
        </is>
      </c>
      <c r="W659" t="inlineStr">
        <is>
          <t>Ecological buildings are also called energy-saving buildings and green buildings. People, architecture and the environment are the eternal themes of architectural development. With the deterioration of the global environment, ecological problems are becoming more and more serious, and people are paying more and more attention to their own ways of living. This paper uses the method of combining sustainable development theory and coordinated development model to study ecological architecture and sustainable building development. The connotation of ecological building environment and sustainable development is analyzed, and the relationship between ecological building environment and sustainable development is discussed.</t>
        </is>
      </c>
      <c r="X659" t="inlineStr">
        <is>
          <t>[Chen, Nan] Bengbu Coll, Dept Econ &amp; Management, Bengbu 233000, Peoples R China</t>
        </is>
      </c>
      <c r="Y659" t="inlineStr">
        <is>
          <t>Bengbu University</t>
        </is>
      </c>
      <c r="Z659" t="inlineStr">
        <is>
          <t>Chen, N (corresponding author), Bengbu Coll, Dept Econ &amp; Management, Bengbu 233000, Peoples R China.</t>
        </is>
      </c>
      <c r="AA659" t="inlineStr">
        <is>
          <t>chennan88991@163.com</t>
        </is>
      </c>
      <c r="AB659" t="inlineStr">
        <is>
          <t>Tite Salas, Josue Rodrigo/ABC-3591-2021</t>
        </is>
      </c>
      <c r="AH659" t="n">
        <v>19</v>
      </c>
      <c r="AI659" t="n">
        <v>2</v>
      </c>
      <c r="AJ659" t="n">
        <v>2</v>
      </c>
      <c r="AK659" t="n">
        <v>9</v>
      </c>
      <c r="AL659" t="n">
        <v>62</v>
      </c>
      <c r="AM659" t="inlineStr">
        <is>
          <t>PARLAR SCIENTIFIC PUBLICATIONS (P S P)</t>
        </is>
      </c>
      <c r="AN659" t="inlineStr">
        <is>
          <t>FREISING</t>
        </is>
      </c>
      <c r="AO659" t="inlineStr">
        <is>
          <t>ANGERSTR. 12, 85354 FREISING, GERMANY</t>
        </is>
      </c>
      <c r="AP659" t="inlineStr">
        <is>
          <t>1018-4619</t>
        </is>
      </c>
      <c r="AQ659" t="inlineStr">
        <is>
          <t>1610-2304</t>
        </is>
      </c>
      <c r="AS659" t="inlineStr">
        <is>
          <t>FRESEN ENVIRON BULL</t>
        </is>
      </c>
      <c r="AT659" t="inlineStr">
        <is>
          <t>Fresenius Environ. Bull.</t>
        </is>
      </c>
      <c r="AV659" t="n">
        <v>2021</v>
      </c>
      <c r="AW659" t="n">
        <v>30</v>
      </c>
      <c r="AX659" t="n">
        <v>3</v>
      </c>
      <c r="BC659" t="n">
        <v>2998</v>
      </c>
      <c r="BD659" t="n">
        <v>3004</v>
      </c>
      <c r="BJ659" t="n">
        <v>7</v>
      </c>
      <c r="BK659" t="inlineStr">
        <is>
          <t>Environmental Sciences</t>
        </is>
      </c>
      <c r="BL659" t="inlineStr">
        <is>
          <t>Science Citation Index Expanded (SCI-EXPANDED)</t>
        </is>
      </c>
      <c r="BM659" t="inlineStr">
        <is>
          <t>Environmental Sciences &amp; Ecology</t>
        </is>
      </c>
      <c r="BN659" t="inlineStr">
        <is>
          <t>QX2MG</t>
        </is>
      </c>
      <c r="BS659" t="inlineStr">
        <is>
          <t>2023-10-26</t>
        </is>
      </c>
      <c r="BT659" t="inlineStr">
        <is>
          <t>WOS:000629181400080</t>
        </is>
      </c>
      <c r="BU659">
        <f>HYPERLINK("https%3A%2F%2Fwww.webofscience.com%2Fwos%2Fwoscc%2Ffull-record%2FWOS:000629181400080","View Full Record in Web of Science")</f>
        <v/>
      </c>
    </row>
    <row r="660">
      <c r="A660" t="inlineStr">
        <is>
          <t>J</t>
        </is>
      </c>
      <c r="B660" t="inlineStr">
        <is>
          <t>Kotval, Z; Keilman, L; Wang, WJ</t>
        </is>
      </c>
      <c r="F660" t="inlineStr">
        <is>
          <t>Kotval-K, Zeenat; Keilman, Linda; Wang, Weijing</t>
        </is>
      </c>
      <c r="J660" t="inlineStr">
        <is>
          <t>URBAN SCIENCE</t>
        </is>
      </c>
      <c r="M660" t="inlineStr">
        <is>
          <t>English</t>
        </is>
      </c>
      <c r="N660" t="inlineStr">
        <is>
          <t>Article</t>
        </is>
      </c>
      <c r="T660" t="inlineStr">
        <is>
          <t>Transportation Services for Older Adults and Preventive Healthcare Attainment</t>
        </is>
      </c>
      <c r="U660" t="inlineStr">
        <is>
          <t>older adults; preventive health; transportation services</t>
        </is>
      </c>
      <c r="V660" t="inlineStr">
        <is>
          <t>ELDERLY POPULATION; ACCESSIBILITY; ACCESS; FACILITIES; BARRIERS</t>
        </is>
      </c>
      <c r="W660" t="inlineStr">
        <is>
          <t>This study examines the impact of the provision of specialized transportation services for older adults on the attainment of preventive healthcare services in selected cities across Michigan. The main hypothesis is that transportation services are critical factors for older adults to not only attain preventive healthcare but also to maintain an active lifestyle that avoids the physical, mental and social isolation that they may face when advised to stop driving. Results indicate that provision of transit services and socio-economic characteristics have statistically significant effects on the attainment of preventive healthcare services. However, although transportation is a critical element for maintaining medical appointments, other factors need to be considered if we truly want to attain better health outcomes for all older adults. Qualitative analyses point to other logistical barriers and the need for more awareness of insurance plans and covered services in order to increase preventive healthcare attainment.</t>
        </is>
      </c>
      <c r="X660" t="inlineStr">
        <is>
          <t>[Kotval-K, Zeenat; Wang, Weijing] Michigan State Univ, Sch Planning Design &amp; Construct, E Lansing, MI 48824 USA; [Keilman, Linda] Michigan State Univ, Coll Nursing, E Lansing, MI 48824 USA</t>
        </is>
      </c>
      <c r="Y660" t="inlineStr">
        <is>
          <t>Michigan State University; Michigan State University</t>
        </is>
      </c>
      <c r="Z660" t="inlineStr">
        <is>
          <t>Kotval, Z (corresponding author), Michigan State Univ, Sch Planning Design &amp; Construct, E Lansing, MI 48824 USA.</t>
        </is>
      </c>
      <c r="AA660" t="inlineStr">
        <is>
          <t>kotvalze@msu.edu; keilman@msu.edu; wangwe92@msu.edu</t>
        </is>
      </c>
      <c r="AC660" t="inlineStr">
        <is>
          <t>Wang, Weijing/0000-0001-8528-5065; Kotval-K, Zeenat/0000-0001-5092-9764</t>
        </is>
      </c>
      <c r="AD660" t="inlineStr">
        <is>
          <t>Urban Institute through Robert Wood Johnson Foundation [101566-0001-MSU-01]</t>
        </is>
      </c>
      <c r="AE660" t="inlineStr">
        <is>
          <t>Urban Institute through Robert Wood Johnson Foundation</t>
        </is>
      </c>
      <c r="AF660" t="inlineStr">
        <is>
          <t>This research was funded by Urban Institute through funds provided by the Robert Wood Johnson Foundation, grant number 101566-0001-MSU-01.</t>
        </is>
      </c>
      <c r="AH660" t="n">
        <v>19</v>
      </c>
      <c r="AI660" t="n">
        <v>2</v>
      </c>
      <c r="AJ660" t="n">
        <v>2</v>
      </c>
      <c r="AK660" t="n">
        <v>0</v>
      </c>
      <c r="AL660" t="n">
        <v>2</v>
      </c>
      <c r="AM660" t="inlineStr">
        <is>
          <t>MDPI</t>
        </is>
      </c>
      <c r="AN660" t="inlineStr">
        <is>
          <t>BASEL</t>
        </is>
      </c>
      <c r="AO660" t="inlineStr">
        <is>
          <t>ST ALBAN-ANLAGE 66, CH-4052 BASEL, SWITZERLAND</t>
        </is>
      </c>
      <c r="AQ660" t="inlineStr">
        <is>
          <t>2413-8851</t>
        </is>
      </c>
      <c r="AS660" t="inlineStr">
        <is>
          <t>URBAN SCI</t>
        </is>
      </c>
      <c r="AT660" t="inlineStr">
        <is>
          <t>Urban Sci.</t>
        </is>
      </c>
      <c r="AU660" t="inlineStr">
        <is>
          <t>SEP</t>
        </is>
      </c>
      <c r="AV660" t="n">
        <v>2020</v>
      </c>
      <c r="AW660" t="n">
        <v>4</v>
      </c>
      <c r="AX660" t="n">
        <v>3</v>
      </c>
      <c r="BE660" t="n">
        <v>38</v>
      </c>
      <c r="BF660" t="inlineStr">
        <is>
          <t>10.3390/urbansci4030038</t>
        </is>
      </c>
      <c r="BG660">
        <f>HYPERLINK("http://dx.doi.org/10.3390/urbansci4030038","http://dx.doi.org/10.3390/urbansci4030038")</f>
        <v/>
      </c>
      <c r="BJ660" t="n">
        <v>16</v>
      </c>
      <c r="BK660" t="inlineStr">
        <is>
          <t>Environmental Sciences; Environmental Studies; Geography; Regional &amp; Urban Planning; Urban Studies</t>
        </is>
      </c>
      <c r="BL660" t="inlineStr">
        <is>
          <t>Emerging Sources Citation Index (ESCI)</t>
        </is>
      </c>
      <c r="BM660" t="inlineStr">
        <is>
          <t>Environmental Sciences &amp; Ecology; Geography; Public Administration; Urban Studies</t>
        </is>
      </c>
      <c r="BN660" t="inlineStr">
        <is>
          <t>QL3GU</t>
        </is>
      </c>
      <c r="BP660" t="inlineStr">
        <is>
          <t>gold</t>
        </is>
      </c>
      <c r="BS660" t="inlineStr">
        <is>
          <t>2023-10-26</t>
        </is>
      </c>
      <c r="BT660" t="inlineStr">
        <is>
          <t>WOS:000620969300008</t>
        </is>
      </c>
      <c r="BU660">
        <f>HYPERLINK("https%3A%2F%2Fwww.webofscience.com%2Fwos%2Fwoscc%2Ffull-record%2FWOS:000620969300008","View Full Record in Web of Science")</f>
        <v/>
      </c>
    </row>
    <row r="661">
      <c r="A661" t="inlineStr">
        <is>
          <t>J</t>
        </is>
      </c>
      <c r="B661" t="inlineStr">
        <is>
          <t>Lin, JS; Leung, J; Yu, B; Woo, J; Kwok, T; Lau, KKL</t>
        </is>
      </c>
      <c r="F661" t="inlineStr">
        <is>
          <t>Lin, Jiesheng; Leung, Jason; Yu, Blanche; Woo, Jean; Kwok, Timothy; Lau, Kevin Ka-Lun</t>
        </is>
      </c>
      <c r="J661" t="inlineStr">
        <is>
          <t>ENVIRONMENTAL RESEARCH</t>
        </is>
      </c>
      <c r="M661" t="inlineStr">
        <is>
          <t>English</t>
        </is>
      </c>
      <c r="N661" t="inlineStr">
        <is>
          <t>Article</t>
        </is>
      </c>
      <c r="T661" t="inlineStr">
        <is>
          <t>Socioeconomic status as an effect modifier of the association between built environment and mortality in elderly Hong Kong Chinese: A latent profile analysis</t>
        </is>
      </c>
      <c r="U661" t="inlineStr">
        <is>
          <t>Built environment; Mortality; Latent profile analysis; Cohort study</t>
        </is>
      </c>
      <c r="V661" t="inlineStr">
        <is>
          <t>PHYSICAL-ACTIVITY; GREEN SPACE; SOCIAL-STATUS; WALKABILITY; PATTERNS; HEALTH; DISPARITIES; PATHWAYS; FEATURES; TRANSIT</t>
        </is>
      </c>
      <c r="W661" t="inlineStr">
        <is>
          <t>Background: Previous studies have focused on associations between individual built environment (BE) characteristics and mortality, and found the BE-mortality associations differed by socioeconomic status (SES). Different individual BE characteristics may have different impacts on health and thus could interact. Combinations of BE characteristics may be a better approach to explore the BE-mortality associations. Objectives: This study aimed to investigate the associations of BE pattern with mortality in a prospective cohort of elderly Hong Kong Chinese (Mr. OS and Ms. OS Study), and assess whether the BE-mortality association differed by SES. Methods: Between 2001 and 2003, 3944 participants aged 65-98 years at baseline were included in the present analysis. BE characteristics were assessed via Geographic Information System. Data on all-cause and cause-specific mortality were obtained from the Hong Kong Government Death Registry. Latent profile analysis was used to derive BE class, and the Cox proportional hazards model was used to estimate hazard ratios (HRs) and 95% confidence intervals (CIs). Results: Three BE classes were identified. During a total of 53276 person-years of follow-up, 1632 deaths were observed. There were no significant associations of BE class with all-cause and cause-specific mortality. However, we found the associations of BE class with all-cause mortality were modified by SES. In comparison with Class 3 (characterized by greater green space), HRs (95%CIs) were 0.72 (0.54, 0.97) for Class 1 (characterized by greater commercial land use) and 0.77 (0.64, 0.94) for Class 2 (characterized by greater residential land use) among low-SES participants. The associations were stronger among high-SES participants, with 0.55 (0.33, 0.89) for Class 1 and 0.68 (0.48, 0.97) for Class 2. In contrast, Class 2 (HR 1.18, 95%CI 1.01-1.39) had a higher mortality risk compared with Class 3 among middle-SES participants. Conclusions: Our findings provide new evidence on the role of SES as an effect modifier of BE pattern and mortality. BE pattern has a varied effect on mortality risk for different SES groups.</t>
        </is>
      </c>
      <c r="X661" t="inlineStr">
        <is>
          <t>[Lin, Jiesheng; Lau, Kevin Ka-Lun] Chinese Univ Hong Kong, Inst Future Cities, Hong Kong, Peoples R China; [Woo, Jean; Lau, Kevin Ka-Lun] Chinese Univ Hong Kong, CUHK Jockey Club Inst Ageing, Hong Kong, Peoples R China; [Leung, Jason; Yu, Blanche; Kwok, Timothy] Chinese Univ Hong Kong, Jockey Club Ctr Osteoporosis Care &amp; Control, Hong Kong, Peoples R China; [Yu, Blanche; Woo, Jean; Kwok, Timothy] Chinese Univ Hong Kong, Fac Med, Dept Med &amp; Therapeut, Hong Kong, Peoples R China</t>
        </is>
      </c>
      <c r="Y661" t="inlineStr">
        <is>
          <t>Chinese University of Hong Kong; Chinese University of Hong Kong; Chinese University of Hong Kong; Chinese University of Hong Kong</t>
        </is>
      </c>
      <c r="Z661" t="inlineStr">
        <is>
          <t>Lin, JS; Lau, KKL (corresponding author), Chinese Univ Hong Kong, Inst Future Cities, Shatin, Hong Kong 99077, Peoples R China.</t>
        </is>
      </c>
      <c r="AA661" t="inlineStr">
        <is>
          <t>linjsh6@mail3.sysu.edu.cn; kevinlau@cuhk.edu.hk</t>
        </is>
      </c>
      <c r="AB661" t="inlineStr">
        <is>
          <t>Lau, KL/IXX-1078-2023; Woo, Jean/K-2625-2014</t>
        </is>
      </c>
      <c r="AC661" t="inlineStr">
        <is>
          <t>Woo, Jean/0000-0001-7593-3081; Leung, Jason/0000-0003-3382-9096</t>
        </is>
      </c>
      <c r="AD661" t="inlineStr">
        <is>
          <t>Vice-Chancellor's One-off Discretionary Fund of the Chinese University of Hong Kong [4930785]; Faculty of Social Science, the Chinese University of Hong Kong [4052187]</t>
        </is>
      </c>
      <c r="AE661" t="inlineStr">
        <is>
          <t>Vice-Chancellor's One-off Discretionary Fund of the Chinese University of Hong Kong; Faculty of Social Science, the Chinese University of Hong Kong(Chinese University of Hong Kong)</t>
        </is>
      </c>
      <c r="AF661" t="inlineStr">
        <is>
          <t>This research was funded by the Vice-Chancellor's One-off Discretionary Fund of the Chinese University of Hong Kong (No.: 4930785) and the Direct Grant for Research 2017/18 of the Faculty of Social Science, the Chinese University of Hong Kong (No.: 4052187). The funder had no role in study design, data collection, and analysis, decision to publish, or preparation of the manuscript.</t>
        </is>
      </c>
      <c r="AH661" t="n">
        <v>45</v>
      </c>
      <c r="AI661" t="n">
        <v>6</v>
      </c>
      <c r="AJ661" t="n">
        <v>6</v>
      </c>
      <c r="AK661" t="n">
        <v>2</v>
      </c>
      <c r="AL661" t="n">
        <v>8</v>
      </c>
      <c r="AM661" t="inlineStr">
        <is>
          <t>ACADEMIC PRESS INC ELSEVIER SCIENCE</t>
        </is>
      </c>
      <c r="AN661" t="inlineStr">
        <is>
          <t>SAN DIEGO</t>
        </is>
      </c>
      <c r="AO661" t="inlineStr">
        <is>
          <t>525 B ST, STE 1900, SAN DIEGO, CA 92101-4495 USA</t>
        </is>
      </c>
      <c r="AP661" t="inlineStr">
        <is>
          <t>0013-9351</t>
        </is>
      </c>
      <c r="AQ661" t="inlineStr">
        <is>
          <t>1096-0953</t>
        </is>
      </c>
      <c r="AS661" t="inlineStr">
        <is>
          <t>ENVIRON RES</t>
        </is>
      </c>
      <c r="AT661" t="inlineStr">
        <is>
          <t>Environ. Res.</t>
        </is>
      </c>
      <c r="AU661" t="inlineStr">
        <is>
          <t>APR</t>
        </is>
      </c>
      <c r="AV661" t="n">
        <v>2021</v>
      </c>
      <c r="AW661" t="n">
        <v>195</v>
      </c>
      <c r="BE661" t="n">
        <v>110830</v>
      </c>
      <c r="BF661" t="inlineStr">
        <is>
          <t>10.1016/j.envres.2021.110830</t>
        </is>
      </c>
      <c r="BG661">
        <f>HYPERLINK("http://dx.doi.org/10.1016/j.envres.2021.110830","http://dx.doi.org/10.1016/j.envres.2021.110830")</f>
        <v/>
      </c>
      <c r="BI661" t="inlineStr">
        <is>
          <t>FEB 2021</t>
        </is>
      </c>
      <c r="BJ661" t="n">
        <v>7</v>
      </c>
      <c r="BK661" t="inlineStr">
        <is>
          <t>Environmental Sciences; Public, Environmental &amp; Occupational Health</t>
        </is>
      </c>
      <c r="BL661" t="inlineStr">
        <is>
          <t>Science Citation Index Expanded (SCI-EXPANDED); Social Science Citation Index (SSCI)</t>
        </is>
      </c>
      <c r="BM661" t="inlineStr">
        <is>
          <t>Environmental Sciences &amp; Ecology; Public, Environmental &amp; Occupational Health</t>
        </is>
      </c>
      <c r="BN661" t="inlineStr">
        <is>
          <t>RM0BZ</t>
        </is>
      </c>
      <c r="BO661" t="n">
        <v>33548297</v>
      </c>
      <c r="BS661" t="inlineStr">
        <is>
          <t>2023-10-26</t>
        </is>
      </c>
      <c r="BT661" t="inlineStr">
        <is>
          <t>WOS:000639328800110</t>
        </is>
      </c>
      <c r="BU661">
        <f>HYPERLINK("https%3A%2F%2Fwww.webofscience.com%2Fwos%2Fwoscc%2Ffull-record%2FWOS:000639328800110","View Full Record in Web of Science")</f>
        <v/>
      </c>
    </row>
    <row r="662">
      <c r="A662" t="inlineStr">
        <is>
          <t>J</t>
        </is>
      </c>
      <c r="B662" t="inlineStr">
        <is>
          <t>Wangzom, D; White, M; Paay, J</t>
        </is>
      </c>
      <c r="F662" t="inlineStr">
        <is>
          <t>Wangzom, Dorji; White, Marcus; Paay, Jeni</t>
        </is>
      </c>
      <c r="J662" t="inlineStr">
        <is>
          <t>INTERNATIONAL JOURNAL OF ENVIRONMENTAL RESEARCH AND PUBLIC HEALTH</t>
        </is>
      </c>
      <c r="M662" t="inlineStr">
        <is>
          <t>English</t>
        </is>
      </c>
      <c r="N662" t="inlineStr">
        <is>
          <t>Review</t>
        </is>
      </c>
      <c r="T662" t="inlineStr">
        <is>
          <t>Perceived Safety Influencing Active Travel to School-A Built Environment Perspective</t>
        </is>
      </c>
      <c r="U662" t="inlineStr">
        <is>
          <t>active school travel; children; built-environment; traffic safety; neighborhood safety; distance</t>
        </is>
      </c>
      <c r="V662" t="inlineStr">
        <is>
          <t>CHILDRENS INDEPENDENT MOBILITY; MODE CHOICE BEHAVIOR; PHYSICAL-ACTIVITY; URBAN FORM; NEIGHBORHOOD SAFETY; PARENTS FEAR; WALKING; TRANSPORT; PERCEPTIONS; IMPACT</t>
        </is>
      </c>
      <c r="W662" t="inlineStr">
        <is>
          <t>Despite the many research studies on active school travel (AST), the number of children walking/cycling to school is decreasing as there is a lack of implementable research evidence. This review through database searches from 2000 to 2020 aims to identify research gaps and explore new perspectives. The articles are selected and screened methodically for systematic presentation of the review. An existing active school travel framework is used to structure and discuss this review paper on mediating factors influencing children's active travel to school, that is the perceived traffic safety, neighborhood safety, and distance to school. Perception of traffic safety could be ameliorated through lateral separation from the traffic, and this could be a new area of research. The neighborhood safety perception may require more research to validate the previous findings. Schools should be located within high-density residential development so that many children can walk to school.</t>
        </is>
      </c>
      <c r="X662" t="inlineStr">
        <is>
          <t>[Wangzom, Dorji; White, Marcus; Paay, Jeni] Adv Mfg &amp; Design Ctr AMDC, Ctr Design Innovat, 469-477 Burwood Rd, Hawthorn, Vic 3122, Australia</t>
        </is>
      </c>
      <c r="Z662" t="inlineStr">
        <is>
          <t>Wangzom, D (corresponding author), Adv Mfg &amp; Design Ctr AMDC, Ctr Design Innovat, 469-477 Burwood Rd, Hawthorn, Vic 3122, Australia.</t>
        </is>
      </c>
      <c r="AA662" t="inlineStr">
        <is>
          <t>dwangzom@swin.edu.au</t>
        </is>
      </c>
      <c r="AB662" t="inlineStr">
        <is>
          <t>Paay, Jeni/M-6073-2018</t>
        </is>
      </c>
      <c r="AC662" t="inlineStr">
        <is>
          <t>Paay, Jeni/0000-0001-8328-6662; White, Marcus/0000-0002-2238-9251</t>
        </is>
      </c>
      <c r="AH662" t="n">
        <v>96</v>
      </c>
      <c r="AI662" t="n">
        <v>0</v>
      </c>
      <c r="AJ662" t="n">
        <v>0</v>
      </c>
      <c r="AK662" t="n">
        <v>23</v>
      </c>
      <c r="AL662" t="n">
        <v>40</v>
      </c>
      <c r="AM662" t="inlineStr">
        <is>
          <t>MDPI</t>
        </is>
      </c>
      <c r="AN662" t="inlineStr">
        <is>
          <t>BASEL</t>
        </is>
      </c>
      <c r="AO662" t="inlineStr">
        <is>
          <t>ST ALBAN-ANLAGE 66, CH-4052 BASEL, SWITZERLAND</t>
        </is>
      </c>
      <c r="AQ662" t="inlineStr">
        <is>
          <t>1660-4601</t>
        </is>
      </c>
      <c r="AS662" t="inlineStr">
        <is>
          <t>INT J ENV RES PUB HE</t>
        </is>
      </c>
      <c r="AT662" t="inlineStr">
        <is>
          <t>Int. J. Environ. Res. Public Health</t>
        </is>
      </c>
      <c r="AU662" t="inlineStr">
        <is>
          <t>JAN</t>
        </is>
      </c>
      <c r="AV662" t="n">
        <v>2023</v>
      </c>
      <c r="AW662" t="n">
        <v>20</v>
      </c>
      <c r="AX662" t="n">
        <v>2</v>
      </c>
      <c r="BE662" t="n">
        <v>1026</v>
      </c>
      <c r="BF662" t="inlineStr">
        <is>
          <t>10.3390/ijerph20021026</t>
        </is>
      </c>
      <c r="BG662">
        <f>HYPERLINK("http://dx.doi.org/10.3390/ijerph20021026","http://dx.doi.org/10.3390/ijerph20021026")</f>
        <v/>
      </c>
      <c r="BJ662" t="n">
        <v>12</v>
      </c>
      <c r="BK662" t="inlineStr">
        <is>
          <t>Environmental Sciences; Public, Environmental &amp; Occupational Health</t>
        </is>
      </c>
      <c r="BL662" t="inlineStr">
        <is>
          <t>Science Citation Index Expanded (SCI-EXPANDED); Social Science Citation Index (SSCI)</t>
        </is>
      </c>
      <c r="BM662" t="inlineStr">
        <is>
          <t>Environmental Sciences &amp; Ecology; Public, Environmental &amp; Occupational Health</t>
        </is>
      </c>
      <c r="BN662" t="inlineStr">
        <is>
          <t>7Z0MS</t>
        </is>
      </c>
      <c r="BO662" t="n">
        <v>36673781</v>
      </c>
      <c r="BP662" t="inlineStr">
        <is>
          <t>Green Published, gold</t>
        </is>
      </c>
      <c r="BS662" t="inlineStr">
        <is>
          <t>2023-10-26</t>
        </is>
      </c>
      <c r="BT662" t="inlineStr">
        <is>
          <t>WOS:000915261900001</t>
        </is>
      </c>
      <c r="BU662">
        <f>HYPERLINK("https%3A%2F%2Fwww.webofscience.com%2Fwos%2Fwoscc%2Ffull-record%2FWOS:000915261900001","View Full Record in Web of Science")</f>
        <v/>
      </c>
    </row>
    <row r="663">
      <c r="A663" t="inlineStr">
        <is>
          <t>J</t>
        </is>
      </c>
      <c r="B663" t="inlineStr">
        <is>
          <t>Cheng, BJ; Xu, PR; Wei, R; Li, XD; Sheng, J; Wang, SF; Liu, KY; Chen, GM; Tao, FB; Wang, QN; Yang, LS</t>
        </is>
      </c>
      <c r="F663" t="inlineStr">
        <is>
          <t>Cheng, Bei-jing; Xu, Pei-ru; Wei, Rong; Li, Xiu-de; Sheng, Jie; Wang, Su-fang; Liu, Kai-yong; Chen, Gui-mei; Tao, Fang-biao; Wang, Qu-nan; Yang, Lin-sheng</t>
        </is>
      </c>
      <c r="J663" t="inlineStr">
        <is>
          <t>SCIENCE OF THE TOTAL ENVIRONMENT</t>
        </is>
      </c>
      <c r="M663" t="inlineStr">
        <is>
          <t>English</t>
        </is>
      </c>
      <c r="N663" t="inlineStr">
        <is>
          <t>Article</t>
        </is>
      </c>
      <c r="T663" t="inlineStr">
        <is>
          <t>Levels and determinants of urinary phthalate metabolites in Chinese community-dwelling older adults</t>
        </is>
      </c>
      <c r="U663" t="inlineStr">
        <is>
          <t>Chinese older adults; Phthalate metabolites; Cumulative risk assessment; Determinants</t>
        </is>
      </c>
      <c r="V663" t="inlineStr">
        <is>
          <t>PERSONAL CARE PRODUCTS; CUMULATIVE RISK-ASSESSMENT; DIETARY EXPOSURE; CREATININE CONCENTRATIONS; OXIDATIVE STRESS; US POPULATION; UNITED-STATES; YOUNG-ADULTS; CHILDREN; HEALTH</t>
        </is>
      </c>
      <c r="W663" t="inlineStr">
        <is>
          <t>Background: Biomonitoring studies have demonstrated extensive exposure of infants, children, and pregnant women to phthalates, but data on phthalate exposure and their determinants in Chinese older adults remain insufficient. This study aims to assess urinary phthalate metabolite levels, individual and cumulative exposure risk, and their determinants in Chinese community-dwelling older adults. Methods: A total 01987 individuals aged 60 years or over were included in this study. The urinary levels of seven phthalate metabolites were measured using high-performance liquid chromatography-tandem mass spectrometry. The estimated daily intake (EDI), hazard quotient (HQ), and hazard index (HI) of phthalates were calculated based on urinary metabolite levels. The associations between phthalate metabolite levels and potential determinants were examined using multiple linear regressions. Results: Detection rates of seven phthalate metabolites from the study population ranged from 63.83% to 99.39%. The highest median concentration was 43.64 mu g/L (42.59 mu g/g creatinine) for mono-butyl phthalate (MBP). The highest median EDI was 1.55 mu g/kg-bw/day for diethyl phthalate (DBP). Nearly 5% of participants had high HI values exceeding 1, mainly attributed to DBP and di-2-ethylhexyl phthalate (DEHP). Furthermore, we found that females, higher body mass index (BMI), smoking, having two or more chronic diseases, and vegetable-based diets were significantly associated with higher levels of parts of phthalate metabolites. More interestingly, higher urine levels of high-molecular-weight (HMW) phthalate metabolites and lower urine levels of low-molecular-weight (LMW) phthalate metabolites were found in rural older adults than in urban older adults. Conclusions: Chinese community-dwelling older adults are extensively exposed to phthalates, especially to DBP and DEHP. More attention should be paid to urban-rural differences in exposure to HMW and LMW phthalates and to phthalate exposure among older adults with overweight/obesity, females, and individuals who are current heavy smokers, have two or more chronic diseases, and consume vegetable-based diets. (C) 2020 Elsevier B.V. All rights reserved.</t>
        </is>
      </c>
      <c r="X663" t="inlineStr">
        <is>
          <t>[Cheng, Bei-jing; Xu, Pei-ru; Yang, Lin-sheng] Anhui Med Univ, Sch Publ Hlth, Dept Epidemiol &amp; Hlth Stat, Hefei 230032, Anhui, Peoples R China; [Wei, Rong] Anhui Med Univ, Outpatient Dept, Hosp 2, Hefei 230601, Anhui, Peoples R China; [Li, Xiu-de] Luan Municipal Ctr Dis Control &amp; Prevent, Luan 237008, Anhui, Peoples R China; [Sheng, Jie] Anhui Med Univ, Expt Ctr Publ Hlth, Sch Publ Hlth, Hefei 230032, Anhui, Peoples R China; [Wang, Su-fang; Liu, Kai-yong] Anhui Med Univ, Sch Publ Hlth, Dept Nutr &amp; Food Hyg, Hefei 230032, Anhui, Peoples R China; [Chen, Gui-mei; Tao, Fang-biao] Anhui Med Univ, Sch Hlth Serv Management, Hefei 230032, Anhui, Peoples R China; [Tao, Fang-biao] Anhui Prov Key Lab Populat Hlth &amp; Aristogen, Hefei 230032, Anhui, Peoples R China; [Wang, Qu-nan] Anhui Med Univ, Sch Publ Hlth, Dept Toxicol, Hefei 230032, Anhui, Peoples R China</t>
        </is>
      </c>
      <c r="Y663" t="inlineStr">
        <is>
          <t>Anhui Medical University; Anhui Medical University; Anhui Medical University; Anhui Medical University; Anhui Medical University; Anhui Medical University</t>
        </is>
      </c>
      <c r="Z663" t="inlineStr">
        <is>
          <t>Wang, QN (corresponding author), Anhui Med Univ, Dept Toxicol, Meishan Rd 81, Hefei 230032, Anhui, Peoples R China.;Yang, LS (corresponding author), Anhui Med Univ, Dept Epidemiol &amp; Hlth Stat, Meishan Rd 81, Hefei 230032, Anhui, Peoples R China.</t>
        </is>
      </c>
      <c r="AA663" t="inlineStr">
        <is>
          <t>wqn@ahmu.edu.cn; yanglinsheng@ahmu.edu.cn</t>
        </is>
      </c>
      <c r="AB663" t="inlineStr">
        <is>
          <t>li, xiude/ADY-8151-2022</t>
        </is>
      </c>
      <c r="AD663" t="inlineStr">
        <is>
          <t>National Key R&amp;D Program of China [2016YFC1305900]; National Natural Science Foundation of China [81872662]; Major Projects on College Leading Talent Team Introduced of Anhui [0303011224]; Key Scientific Research Fund of Anhui Provincial Education Department [KJ2017A189]; Grants for Scientific Research of BSKY from Anhui Medical University [Xj201525]</t>
        </is>
      </c>
      <c r="AE663" t="inlineStr">
        <is>
          <t>National Key R&amp;D Program of China; National Natural Science Foundation of China(National Natural Science Foundation of China (NSFC)); Major Projects on College Leading Talent Team Introduced of Anhui; Key Scientific Research Fund of Anhui Provincial Education Department; Grants for Scientific Research of BSKY from Anhui Medical University</t>
        </is>
      </c>
      <c r="AF663" t="inlineStr">
        <is>
          <t>The authors are grateful to the research group of Older Adults Health and Modifiable Factors, the Lu'an Center for Disease Control and Prevention. This study was funded by the National Key R&amp;D Program of China [grant number 2016YFC1305900], the National Natural Science Foundation of China [grant number 81872662], Major Projects on College Leading Talent Team Introduced of Anhui [grant number 0303011224], the Key Scientific Research Fund of Anhui Provincial Education Department [grant number KJ2017A189], and Grants for Scientific Research of BSKY from Anhui Medical University [grant number Xj201525].</t>
        </is>
      </c>
      <c r="AH663" t="n">
        <v>78</v>
      </c>
      <c r="AI663" t="n">
        <v>10</v>
      </c>
      <c r="AJ663" t="n">
        <v>10</v>
      </c>
      <c r="AK663" t="n">
        <v>8</v>
      </c>
      <c r="AL663" t="n">
        <v>72</v>
      </c>
      <c r="AM663" t="inlineStr">
        <is>
          <t>ELSEVIER</t>
        </is>
      </c>
      <c r="AN663" t="inlineStr">
        <is>
          <t>AMSTERDAM</t>
        </is>
      </c>
      <c r="AO663" t="inlineStr">
        <is>
          <t>RADARWEG 29, 1043 NX AMSTERDAM, NETHERLANDS</t>
        </is>
      </c>
      <c r="AP663" t="inlineStr">
        <is>
          <t>0048-9697</t>
        </is>
      </c>
      <c r="AQ663" t="inlineStr">
        <is>
          <t>1879-1026</t>
        </is>
      </c>
      <c r="AS663" t="inlineStr">
        <is>
          <t>SCI TOTAL ENVIRON</t>
        </is>
      </c>
      <c r="AT663" t="inlineStr">
        <is>
          <t>Sci. Total Environ.</t>
        </is>
      </c>
      <c r="AU663" t="inlineStr">
        <is>
          <t>MAR 25</t>
        </is>
      </c>
      <c r="AV663" t="n">
        <v>2021</v>
      </c>
      <c r="AW663" t="n">
        <v>762</v>
      </c>
      <c r="BE663" t="n">
        <v>144173</v>
      </c>
      <c r="BF663" t="inlineStr">
        <is>
          <t>10.1016/j.scitotenv.2020.144173</t>
        </is>
      </c>
      <c r="BG663">
        <f>HYPERLINK("http://dx.doi.org/10.1016/j.scitotenv.2020.144173","http://dx.doi.org/10.1016/j.scitotenv.2020.144173")</f>
        <v/>
      </c>
      <c r="BJ663" t="n">
        <v>11</v>
      </c>
      <c r="BK663" t="inlineStr">
        <is>
          <t>Environmental Sciences</t>
        </is>
      </c>
      <c r="BL663" t="inlineStr">
        <is>
          <t>Science Citation Index Expanded (SCI-EXPANDED)</t>
        </is>
      </c>
      <c r="BM663" t="inlineStr">
        <is>
          <t>Environmental Sciences &amp; Ecology</t>
        </is>
      </c>
      <c r="BN663" t="inlineStr">
        <is>
          <t>PS4RL</t>
        </is>
      </c>
      <c r="BO663" t="n">
        <v>33360337</v>
      </c>
      <c r="BS663" t="inlineStr">
        <is>
          <t>2023-10-26</t>
        </is>
      </c>
      <c r="BT663" t="inlineStr">
        <is>
          <t>WOS:000607910300132</t>
        </is>
      </c>
      <c r="BU663">
        <f>HYPERLINK("https%3A%2F%2Fwww.webofscience.com%2Fwos%2Fwoscc%2Ffull-record%2FWOS:000607910300132","View Full Record in Web of Science")</f>
        <v/>
      </c>
    </row>
    <row r="664">
      <c r="A664" t="inlineStr">
        <is>
          <t>J</t>
        </is>
      </c>
      <c r="B664" t="inlineStr">
        <is>
          <t>Mohammadi, M; Calautit, J</t>
        </is>
      </c>
      <c r="F664" t="inlineStr">
        <is>
          <t>Mohammadi, Murtaza; Calautit, John</t>
        </is>
      </c>
      <c r="J664" t="inlineStr">
        <is>
          <t>SUSTAINABILITY</t>
        </is>
      </c>
      <c r="M664" t="inlineStr">
        <is>
          <t>English</t>
        </is>
      </c>
      <c r="N664" t="inlineStr">
        <is>
          <t>Review</t>
        </is>
      </c>
      <c r="T664" t="inlineStr">
        <is>
          <t>Quantifying the Transmission of Outdoor Pollutants into the Indoor Environment and Vice Versa-Review of Influencing Factors, Methods, Challenges and Future Direction</t>
        </is>
      </c>
      <c r="U664" t="inlineStr">
        <is>
          <t>air pollution transmission; indoor-outdoor relation; factors of transmission</t>
        </is>
      </c>
      <c r="V664" t="inlineStr">
        <is>
          <t>VOLATILE ORGANIC-COMPOUNDS; AIR CHANGE RATES; PARTICULATE MATTER; PARTICLE CONCENTRATIONS; RESIDENTIAL BUILDINGS; NATURAL VENTILATION; MASS CONCENTRATIONS; INDOOR/OUTDOOR RELATIONSHIPS; PENETRATION COEFFICIENT; SHORT-TERM</t>
        </is>
      </c>
      <c r="W664" t="inlineStr">
        <is>
          <t>Epidemiological studies have established a strong relationship between poor air quality and deteriorating human health, demanding urgent remedial measures. Specifically, indoor pollution is more critical, and outdoor pollutants significantly contribute towards indoor pollution, its strength depending on various parameters, including ventilation strategy, meteorological conditions, building design, outdoor sources, etc. This report analyses the various factors reported influencing the transmission of pollutants between the two environments. The report critically reviews various studies investigating the inter-environment variability and transmission, providing an overview of various factors and their impacts and covering both experimental and modelling studies. The review suggests that while many studies have helped to quantify the long-term personal exposure to pollutants, they have not paid special attention to the mechanism of the transmission of pollutants from the outdoor to the indoor environment and vice versa. The findings demonstrate that the proper indexing of various mechanisms and their relative strength is necessary before an effective intervention strategy can be applied in the built environment to counter the effect of pollution.</t>
        </is>
      </c>
      <c r="X664" t="inlineStr">
        <is>
          <t>[Mohammadi, Murtaza; Calautit, John] Univ Nottingham, Dept Architecture &amp; Built Environm, Nottingham NG7 2RD, England</t>
        </is>
      </c>
      <c r="Y664" t="inlineStr">
        <is>
          <t>University of Nottingham</t>
        </is>
      </c>
      <c r="Z664" t="inlineStr">
        <is>
          <t>Mohammadi, M (corresponding author), Univ Nottingham, Dept Architecture &amp; Built Environm, Nottingham NG7 2RD, England.</t>
        </is>
      </c>
      <c r="AA664" t="inlineStr">
        <is>
          <t>murtaza.mohammadi1@nottingham.ac.uk</t>
        </is>
      </c>
      <c r="AB664" t="inlineStr">
        <is>
          <t>; Calautit, John Kaiser/J-6748-2014</t>
        </is>
      </c>
      <c r="AC664" t="inlineStr">
        <is>
          <t>Mohammadi, Murtaza/0000-0001-5270-0453; Calautit, John Kaiser/0000-0001-7046-3308</t>
        </is>
      </c>
      <c r="AD664" t="inlineStr">
        <is>
          <t>Faculty of Engineering (UoN) for the Engineering Research Excellence Scholarship</t>
        </is>
      </c>
      <c r="AE664" t="inlineStr">
        <is>
          <t>Faculty of Engineering (UoN) for the Engineering Research Excellence Scholarship</t>
        </is>
      </c>
      <c r="AF664" t="inlineStr">
        <is>
          <t>This research was funded by the Faculty of Engineering (UoN) for the Engineering Research Excellence Scholarship.</t>
        </is>
      </c>
      <c r="AH664" t="n">
        <v>143</v>
      </c>
      <c r="AI664" t="n">
        <v>1</v>
      </c>
      <c r="AJ664" t="n">
        <v>1</v>
      </c>
      <c r="AK664" t="n">
        <v>13</v>
      </c>
      <c r="AL664" t="n">
        <v>21</v>
      </c>
      <c r="AM664" t="inlineStr">
        <is>
          <t>MDPI</t>
        </is>
      </c>
      <c r="AN664" t="inlineStr">
        <is>
          <t>BASEL</t>
        </is>
      </c>
      <c r="AO664" t="inlineStr">
        <is>
          <t>ST ALBAN-ANLAGE 66, CH-4052 BASEL, SWITZERLAND</t>
        </is>
      </c>
      <c r="AQ664" t="inlineStr">
        <is>
          <t>2071-1050</t>
        </is>
      </c>
      <c r="AS664" t="inlineStr">
        <is>
          <t>SUSTAINABILITY-BASEL</t>
        </is>
      </c>
      <c r="AT664" t="inlineStr">
        <is>
          <t>Sustainability</t>
        </is>
      </c>
      <c r="AU664" t="inlineStr">
        <is>
          <t>SEP</t>
        </is>
      </c>
      <c r="AV664" t="n">
        <v>2022</v>
      </c>
      <c r="AW664" t="n">
        <v>14</v>
      </c>
      <c r="AX664" t="n">
        <v>17</v>
      </c>
      <c r="BE664" t="n">
        <v>10880</v>
      </c>
      <c r="BF664" t="inlineStr">
        <is>
          <t>10.3390/su141710880</t>
        </is>
      </c>
      <c r="BG664">
        <f>HYPERLINK("http://dx.doi.org/10.3390/su141710880","http://dx.doi.org/10.3390/su141710880")</f>
        <v/>
      </c>
      <c r="BJ664" t="n">
        <v>27</v>
      </c>
      <c r="BK664" t="inlineStr">
        <is>
          <t>Green &amp; Sustainable Science &amp; Technology; Environmental Sciences; Environmental Studies</t>
        </is>
      </c>
      <c r="BL664" t="inlineStr">
        <is>
          <t>Science Citation Index Expanded (SCI-EXPANDED); Social Science Citation Index (SSCI)</t>
        </is>
      </c>
      <c r="BM664" t="inlineStr">
        <is>
          <t>Science &amp; Technology - Other Topics; Environmental Sciences &amp; Ecology</t>
        </is>
      </c>
      <c r="BN664" t="inlineStr">
        <is>
          <t>4K2JU</t>
        </is>
      </c>
      <c r="BP664" t="inlineStr">
        <is>
          <t>gold</t>
        </is>
      </c>
      <c r="BS664" t="inlineStr">
        <is>
          <t>2023-10-26</t>
        </is>
      </c>
      <c r="BT664" t="inlineStr">
        <is>
          <t>WOS:000851783800001</t>
        </is>
      </c>
      <c r="BU664">
        <f>HYPERLINK("https%3A%2F%2Fwww.webofscience.com%2Fwos%2Fwoscc%2Ffull-record%2FWOS:000851783800001","View Full Record in Web of Science")</f>
        <v/>
      </c>
    </row>
    <row r="665">
      <c r="A665" t="inlineStr">
        <is>
          <t>J</t>
        </is>
      </c>
      <c r="B665" t="inlineStr">
        <is>
          <t>Joensuu, T; Edelman, H; Saari, A</t>
        </is>
      </c>
      <c r="F665" t="inlineStr">
        <is>
          <t>Joensuu, Tuomo; Edelman, Harry; Saari, Arto</t>
        </is>
      </c>
      <c r="J665" t="inlineStr">
        <is>
          <t>JOURNAL OF CLEANER PRODUCTION</t>
        </is>
      </c>
      <c r="M665" t="inlineStr">
        <is>
          <t>English</t>
        </is>
      </c>
      <c r="N665" t="inlineStr">
        <is>
          <t>Review</t>
        </is>
      </c>
      <c r="T665" t="inlineStr">
        <is>
          <t>Circular economy practices in the built environment</t>
        </is>
      </c>
      <c r="U665" t="inlineStr">
        <is>
          <t>Built environment; Circular economy; Sustainable development; Urban development; Cradle to cradle; Waste hierarchy</t>
        </is>
      </c>
      <c r="V665" t="inlineStr">
        <is>
          <t>LIFE-CYCLE ASSESSMENT; MULTISCALE INTEGRATED ANALYSIS; INDUSTRIAL SYMBIOSIS; WASTE MANAGEMENT; DEMOLITION WASTE; EMISSION REDUCTION; RECYCLED AGGREGATE; SUSTAINABLE CITIES; BUILDING-MATERIALS; WEEE COLLECTION</t>
        </is>
      </c>
      <c r="W665" t="inlineStr">
        <is>
          <t>The aim of this literature review is to provide structured information for the basis of organizing the future cities through circular economy. The built environment is responsible for the majority of global greenhouse gases and raw material extraction. Climate efficiency in cities cannot be improved simply by replacing the old structures with new ones, because both the construction and operation phases cause major resource and energy consumption. The academia and practice have recognized circular economy as a key approach in sustainable urban development, especially in China and Europe. The main idea of circular economy is to retain the value of resources and to prevent the use of virgin materials and waste outputs, not only by recycling and reusing, but primarily by reducing the need for resources. This review aims to clarify the general view, identify research gaps and target further research by asking how the present body of literature sees cities getting organized in the transition towards low carbon circular economy. The review covers 282 journal articles, forming three approaches for the adoption of circular economy in the built environment: (1) Management for sustainable cities; (2) Urban services and consumer practices aligned with circular economy; and (3) Cleaner production and construction. In the results on consumer practices, requests on waste hierarchy indicate that further research is needed on strategies of reduction such as product-service systems in intensifying use and extending service life. The review also suggests a new concept of urban-rural symbiosis as a potential approach for resource recovery in integrated urban waste, water and energy systems. In the construction sector, the review notes shortcomings of buildings' life cycle assessment in the ability to reveal benefits in practices of reuse and reduction. In urban and industrial symbiosis, the review finds lack of carbon-free techniques and notices a risk of failing waste hierarchy. In the management of sustainable cities, the literature highlights self-correcting 'adaptive management cycle' with the phases of planning, implementation and evaluation. The review divides strategies for successful implementation under the categories of innovation-positive and inclusive politics, cross-sectoral integration, and cross-institutional capacity development. To promote cross-sectoral integration and cross-institutional capacity development, it is suggested that cities establish a database that consists of an interconnected set of best practices that are evaluated and continuously supplemented. This kind of a platform could support developing of built environment towards circular economy and delinking of environmental impact from economic growth. (C) 2020 Elsevier Ltd. All rights reserved.</t>
        </is>
      </c>
      <c r="X665" t="inlineStr">
        <is>
          <t>[Joensuu, Tuomo; Edelman, Harry; Saari, Arto] Tampere Univ, Fac Built Environm, Construct Management &amp; Econ Res Grp, POB 600, FI-33101 Tampere, Finland</t>
        </is>
      </c>
      <c r="Y665" t="inlineStr">
        <is>
          <t>Tampere University</t>
        </is>
      </c>
      <c r="Z665" t="inlineStr">
        <is>
          <t>Joensuu, T (corresponding author), Tampere Univ, Fac Built Environm, Construct Management &amp; Econ Res Grp, POB 600, FI-33101 Tampere, Finland.</t>
        </is>
      </c>
      <c r="AA665" t="inlineStr">
        <is>
          <t>tuomo.joensuu@tuni.fi; harry.edelman@tuni.fi; arto.saari@tuni.fi</t>
        </is>
      </c>
      <c r="AB665" t="inlineStr">
        <is>
          <t>Saari, Arto/ACK-0266-2022</t>
        </is>
      </c>
      <c r="AC665" t="inlineStr">
        <is>
          <t>Saari, Arto/0000-0001-5205-712X; Joensuu, Tuomo/0000-0001-5947-636X; Edelman, Harry/0000-0003-4397-4289</t>
        </is>
      </c>
      <c r="AD665" t="inlineStr">
        <is>
          <t>Doctoral School of Industrial Innovations (DSII); Eco Fellows Ltd.</t>
        </is>
      </c>
      <c r="AE665" t="inlineStr">
        <is>
          <t>Doctoral School of Industrial Innovations (DSII); Eco Fellows Ltd.</t>
        </is>
      </c>
      <c r="AF665" t="inlineStr">
        <is>
          <t>This study was funded by the Doctoral School of Industrial Innovations (DSII) with the financial support of Eco Fellows Ltd. And Tampere University (TUNI). Eco Fellows Ltd. is a joint venture of the City of Tampere, Tampere Regional Solid Waste Management Ltd., and Tampere Water.</t>
        </is>
      </c>
      <c r="AH665" t="n">
        <v>195</v>
      </c>
      <c r="AI665" t="n">
        <v>88</v>
      </c>
      <c r="AJ665" t="n">
        <v>88</v>
      </c>
      <c r="AK665" t="n">
        <v>19</v>
      </c>
      <c r="AL665" t="n">
        <v>201</v>
      </c>
      <c r="AM665" t="inlineStr">
        <is>
          <t>ELSEVIER SCI LTD</t>
        </is>
      </c>
      <c r="AN665" t="inlineStr">
        <is>
          <t>OXFORD</t>
        </is>
      </c>
      <c r="AO665" t="inlineStr">
        <is>
          <t>THE BOULEVARD, LANGFORD LANE, KIDLINGTON, OXFORD OX5 1GB, OXON, ENGLAND</t>
        </is>
      </c>
      <c r="AP665" t="inlineStr">
        <is>
          <t>0959-6526</t>
        </is>
      </c>
      <c r="AQ665" t="inlineStr">
        <is>
          <t>1879-1786</t>
        </is>
      </c>
      <c r="AS665" t="inlineStr">
        <is>
          <t>J CLEAN PROD</t>
        </is>
      </c>
      <c r="AT665" t="inlineStr">
        <is>
          <t>J. Clean Prod.</t>
        </is>
      </c>
      <c r="AU665" t="inlineStr">
        <is>
          <t>DEC 10</t>
        </is>
      </c>
      <c r="AV665" t="n">
        <v>2020</v>
      </c>
      <c r="AW665" t="n">
        <v>276</v>
      </c>
      <c r="BE665" t="n">
        <v>124215</v>
      </c>
      <c r="BF665" t="inlineStr">
        <is>
          <t>10.1016/j.jclepro.2020.124215</t>
        </is>
      </c>
      <c r="BG665">
        <f>HYPERLINK("http://dx.doi.org/10.1016/j.jclepro.2020.124215","http://dx.doi.org/10.1016/j.jclepro.2020.124215")</f>
        <v/>
      </c>
      <c r="BJ665" t="n">
        <v>20</v>
      </c>
      <c r="BK665" t="inlineStr">
        <is>
          <t>Green &amp; Sustainable Science &amp; Technology; Engineering, Environmental; Environmental Sciences</t>
        </is>
      </c>
      <c r="BL665" t="inlineStr">
        <is>
          <t>Science Citation Index Expanded (SCI-EXPANDED); Social Science Citation Index (SSCI)</t>
        </is>
      </c>
      <c r="BM665" t="inlineStr">
        <is>
          <t>Science &amp; Technology - Other Topics; Engineering; Environmental Sciences &amp; Ecology</t>
        </is>
      </c>
      <c r="BN665" t="inlineStr">
        <is>
          <t>OC9UG</t>
        </is>
      </c>
      <c r="BS665" t="inlineStr">
        <is>
          <t>2023-10-26</t>
        </is>
      </c>
      <c r="BT665" t="inlineStr">
        <is>
          <t>WOS:000579500800185</t>
        </is>
      </c>
      <c r="BU665">
        <f>HYPERLINK("https%3A%2F%2Fwww.webofscience.com%2Fwos%2Fwoscc%2Ffull-record%2FWOS:000579500800185","View Full Record in Web of Science")</f>
        <v/>
      </c>
    </row>
    <row r="666">
      <c r="A666" t="inlineStr">
        <is>
          <t>J</t>
        </is>
      </c>
      <c r="B666" t="inlineStr">
        <is>
          <t>Jiménez-Zazo, F; Romero-Blanco, C; Castro-Lemus, N; Dorado-Suárez, A; Aznar, S</t>
        </is>
      </c>
      <c r="F666" t="inlineStr">
        <is>
          <t>Jimenez-Zazo, Fabio; Romero-Blanco, Cristina; Castro-Lemus, Nuria; Dorado-Suarez, Alberto; Aznar, Susana</t>
        </is>
      </c>
      <c r="J666" t="inlineStr">
        <is>
          <t>INTERNATIONAL JOURNAL OF ENVIRONMENTAL RESEARCH AND PUBLIC HEALTH</t>
        </is>
      </c>
      <c r="M666" t="inlineStr">
        <is>
          <t>English</t>
        </is>
      </c>
      <c r="N666" t="inlineStr">
        <is>
          <t>Review</t>
        </is>
      </c>
      <c r="T666" t="inlineStr">
        <is>
          <t>Transtheoretical Model for Physical Activity in Older Adults: Systematic Review</t>
        </is>
      </c>
      <c r="U666" t="inlineStr">
        <is>
          <t>transtheoretical model; older adults; physical activity</t>
        </is>
      </c>
      <c r="V666" t="inlineStr">
        <is>
          <t>ACTIVITY BEHAVIOR; SELF-EFFICACY; HEALTH-BENEFITS; EXERCISE; INTERVENTIONS; PREVALENCE; PREDICTORS; ADHERENCE</t>
        </is>
      </c>
      <c r="W666" t="inlineStr">
        <is>
          <t>Healthy aging makes the practice of physical activity (PA) a necessity. However, PA guidelines achievement in older adults is scarce. The use of behavioral theories such as Transtheoretical Model (TTM), helps in older adults PA promotion. The aim of this review was to identify the use of TTM for PA in older adults (&gt;60 years). PubMed, SPORTdiscus, and Medline databases were used to conduct the search. All steps of the process followed the recommendations of the PRISMA flow-diagram. We identified eight studies: Six were descriptive cross-sectional studies, one prospective-cohort study and one with a quasi-experimental design. Only two papers evaluated the four behavior change dimensions within the same study, three evaluated the processes of change and the decisional balance, four evaluated the exercise self-efficacy and all assessed the stages of change for PA behavior. From this review, we can conclude that TTM is a useful and suitable behavior model in creating, developing, and evaluating interventions with the aim of acquiring and improving PA habits in the older adults. However, there is paucity of research in this area, and more studies including the four behavioral change dimensions are needed to analyze the effect of TTM on the promotion of PA in the older adults.</t>
        </is>
      </c>
      <c r="X666" t="inlineStr">
        <is>
          <t>[Jimenez-Zazo, Fabio; Dorado-Suarez, Alberto; Aznar, Susana] Univ Castilla La Mancha, Fac Sports Sci, PAFS Res Grp, Toledo 45071, Spain; [Romero-Blanco, Cristina] Univ Castilla La Mancha, Fac Nursing, PAFS Res Grp, Ciudad Real 13071, Spain; [Castro-Lemus, Nuria] Univ Seville, Fac Sports Sci, FENIX Res Grp, Seville 41004, Spain</t>
        </is>
      </c>
      <c r="Y666" t="inlineStr">
        <is>
          <t>Universidad de Castilla-La Mancha; Universidad de Castilla-La Mancha; University of Sevilla</t>
        </is>
      </c>
      <c r="Z666" t="inlineStr">
        <is>
          <t>Aznar, S (corresponding author), Univ Castilla La Mancha, Fac Sports Sci, PAFS Res Grp, Toledo 45071, Spain.</t>
        </is>
      </c>
      <c r="AA666" t="inlineStr">
        <is>
          <t>fabio.jimenez@uclm.es; cristina.romero@uclm.es; ncastro@us.es; alberto.dorado@uclm.es; susana.aznar@uclm.es</t>
        </is>
      </c>
      <c r="AB666" t="inlineStr">
        <is>
          <t>Jiménez-Zazo, Fabio/GRE-9345-2022; Aznar, Susana/AAD-9999-2021; Castro Lemus, Nuria/S-8871-2016</t>
        </is>
      </c>
      <c r="AC666" t="inlineStr">
        <is>
          <t>Jimenez-Zazo, Fabio/0000-0002-6378-4098; Romero Blanco, Cristina/0000-0003-2286-5200; Castro Lemus, Nuria/0000-0002-2100-3169; Aznar Lain, Susana/0000-0001-7054-436X</t>
        </is>
      </c>
      <c r="AD666" t="inlineStr">
        <is>
          <t>Ministry of Education; Spanish Government [FPU17/01230]</t>
        </is>
      </c>
      <c r="AE666" t="inlineStr">
        <is>
          <t>Ministry of Education; Spanish Government(Spanish Government)</t>
        </is>
      </c>
      <c r="AF666" t="inlineStr">
        <is>
          <t>This research was funded by the Ministry of Education. Spanish Government [Doctoral grant number: FPU17/01230].</t>
        </is>
      </c>
      <c r="AH666" t="n">
        <v>49</v>
      </c>
      <c r="AI666" t="n">
        <v>16</v>
      </c>
      <c r="AJ666" t="n">
        <v>17</v>
      </c>
      <c r="AK666" t="n">
        <v>7</v>
      </c>
      <c r="AL666" t="n">
        <v>67</v>
      </c>
      <c r="AM666" t="inlineStr">
        <is>
          <t>MDPI</t>
        </is>
      </c>
      <c r="AN666" t="inlineStr">
        <is>
          <t>BASEL</t>
        </is>
      </c>
      <c r="AO666" t="inlineStr">
        <is>
          <t>ST ALBAN-ANLAGE 66, CH-4052 BASEL, SWITZERLAND</t>
        </is>
      </c>
      <c r="AQ666" t="inlineStr">
        <is>
          <t>1660-4601</t>
        </is>
      </c>
      <c r="AS666" t="inlineStr">
        <is>
          <t>INT J ENV RES PUB HE</t>
        </is>
      </c>
      <c r="AT666" t="inlineStr">
        <is>
          <t>Int. J. Environ. Res. Public Health</t>
        </is>
      </c>
      <c r="AU666" t="inlineStr">
        <is>
          <t>DEC</t>
        </is>
      </c>
      <c r="AV666" t="n">
        <v>2020</v>
      </c>
      <c r="AW666" t="n">
        <v>17</v>
      </c>
      <c r="AX666" t="n">
        <v>24</v>
      </c>
      <c r="BE666" t="n">
        <v>9262</v>
      </c>
      <c r="BF666" t="inlineStr">
        <is>
          <t>10.3390/ijerph17249262</t>
        </is>
      </c>
      <c r="BG666">
        <f>HYPERLINK("http://dx.doi.org/10.3390/ijerph17249262","http://dx.doi.org/10.3390/ijerph17249262")</f>
        <v/>
      </c>
      <c r="BJ666" t="n">
        <v>14</v>
      </c>
      <c r="BK666" t="inlineStr">
        <is>
          <t>Environmental Sciences; Public, Environmental &amp; Occupational Health</t>
        </is>
      </c>
      <c r="BL666" t="inlineStr">
        <is>
          <t>Science Citation Index Expanded (SCI-EXPANDED); Social Science Citation Index (SSCI)</t>
        </is>
      </c>
      <c r="BM666" t="inlineStr">
        <is>
          <t>Environmental Sciences &amp; Ecology; Public, Environmental &amp; Occupational Health</t>
        </is>
      </c>
      <c r="BN666" t="inlineStr">
        <is>
          <t>PK9ZB</t>
        </is>
      </c>
      <c r="BO666" t="n">
        <v>33322327</v>
      </c>
      <c r="BP666" t="inlineStr">
        <is>
          <t>gold, Green Published</t>
        </is>
      </c>
      <c r="BS666" t="inlineStr">
        <is>
          <t>2023-10-26</t>
        </is>
      </c>
      <c r="BT666" t="inlineStr">
        <is>
          <t>WOS:000602792300001</t>
        </is>
      </c>
      <c r="BU666">
        <f>HYPERLINK("https%3A%2F%2Fwww.webofscience.com%2Fwos%2Fwoscc%2Ffull-record%2FWOS:000602792300001","View Full Record in Web of Science")</f>
        <v/>
      </c>
    </row>
    <row r="667">
      <c r="A667" t="inlineStr">
        <is>
          <t>J</t>
        </is>
      </c>
      <c r="B667" t="inlineStr">
        <is>
          <t>Vornanen-Winqvist, C; Järvi, K; Toomla, S; Ahmed, K; Andersson, MA; Mikkola, R; Marik, T; Kredics, L; Salonen, H; Kurnitski, J</t>
        </is>
      </c>
      <c r="F667" t="inlineStr">
        <is>
          <t>Vornanen-Winqvist, Camilla; Jarvi, Kati; Toomla, Sander; Ahmed, Kaiser; Andersson, Maria A.; Mikkola, Raimo; Marik, Tamas; Kredics, Laszlo; Salonen, Heidi; Kurnitski, Jarek</t>
        </is>
      </c>
      <c r="J667" t="inlineStr">
        <is>
          <t>INTERNATIONAL JOURNAL OF ENVIRONMENTAL RESEARCH AND PUBLIC HEALTH</t>
        </is>
      </c>
      <c r="M667" t="inlineStr">
        <is>
          <t>English</t>
        </is>
      </c>
      <c r="N667" t="inlineStr">
        <is>
          <t>Article</t>
        </is>
      </c>
      <c r="T667" t="inlineStr">
        <is>
          <t>Ventilation Positive Pressure Intervention Effect on Indoor Air Quality in a School Building with Moisture Problems</t>
        </is>
      </c>
      <c r="U667" t="inlineStr">
        <is>
          <t>ventilation; positive pressure; indoor air quality; mycobiota; indoor air questionnaire; moisture damage</t>
        </is>
      </c>
      <c r="V667" t="inlineStr">
        <is>
          <t>SBS SYMPTOMS; TEMPERATURE; IMPACT; HUMIDITY; OFFICE; REPAIRS; OUTDOOR; HEALTH; SPERM; WORK</t>
        </is>
      </c>
      <c r="W667" t="inlineStr">
        <is>
          <t>This case study investigates the effects of ventilation intervention on measured and perceived indoor air quality (IAQ) in a repaired school where occupants reported IAQ problems. Occupants' symptoms were suspected to be related to the impurities leaked indoors through the building envelope. The study's aim was to determine whether a positive pressure of 5-7 Pa prevents the infiltration of harmful chemical and microbiological agents from structures, thus decreasing symptoms and discomfort. Ventilation intervention was conducted in a building section comprising 12 classrooms and was completed with IAQ measurements and occupants' questionnaires. After intervention, the concentration of total volatile organic compounds (TVOC) and fine particulate matter (PM2.5) decreased, and occupants' negative perceptions became more moderate compared to those for other parts of the building. The indoor mycobiota differed in species composition from the outdoor mycobiota, and changed remarkably with the intervention, indicating that some species may have emanated from an indoor source before the intervention.</t>
        </is>
      </c>
      <c r="X667" t="inlineStr">
        <is>
          <t>[Vornanen-Winqvist, Camilla; Jarvi, Kati; Toomla, Sander; Ahmed, Kaiser; Andersson, Maria A.; Mikkola, Raimo; Salonen, Heidi; Kurnitski, Jarek] Aalto Univ, Dept Civil Engn, Rakentajanaukio 4, Espoo 02150, Finland; [Marik, Tamas; Kredics, Laszlo] Univ Szeged, Dept Microbiol, Kozep Fasor 52, H-6726 Szeged, Hungary; [Kurnitski, Jarek] Tallinn Univ Technol, Dept Civil Engn &amp; Architecture, Ehitajate Tee 5, EE-19086 Tallinn, Estonia</t>
        </is>
      </c>
      <c r="Y667" t="inlineStr">
        <is>
          <t>Aalto University; Szeged University; Tallinn University of Technology</t>
        </is>
      </c>
      <c r="Z667" t="inlineStr">
        <is>
          <t>Vornanen-Winqvist, C (corresponding author), Aalto Univ, Dept Civil Engn, Rakentajanaukio 4, Espoo 02150, Finland.</t>
        </is>
      </c>
      <c r="AA667" t="inlineStr">
        <is>
          <t>camilla.vornanen@aalto.fi; kati.jarvi@aalto.fi; sander.toomla@aalto.fi; kaiser.ahmed@aalto.fi; maria.a.andersson@helsinki.fi; raimo.mikkola@aalto.fi; mariktamas88@gmail.com; kredics@bio.u-szeged.hu; heidi.salonen@aalto.fi; jarek.kurnitski@aalto.fi</t>
        </is>
      </c>
      <c r="AB667" t="inlineStr">
        <is>
          <t>Kredics, Laszlo/L-8204-2018; Salonen, Heidi/G-4685-2016; Kurnitski, Jarek/AAB-3503-2020; Mikkola, Raimo/E-3546-2013</t>
        </is>
      </c>
      <c r="AC667" t="inlineStr">
        <is>
          <t>Kredics, Laszlo/0000-0002-8837-3973; Kurnitski, Jarek/0000-0003-3254-0637; Mikkola, Raimo/0000-0002-6193-5286; Salonen, Heidi/0000-0002-3807-4895</t>
        </is>
      </c>
      <c r="AD667" t="inlineStr">
        <is>
          <t>Academy of Finland [TOXICPM 289161]; Finnish Work Environment Fund [EURA 115376]; Tekes [4098/31/2015]; Szechenyi Programme, Hungary [GINOP-2.3.2-15-2016-00012]; Janos Bolyai Research Scholarship (Hungarian Academy of Sciences)</t>
        </is>
      </c>
      <c r="AE667" t="inlineStr">
        <is>
          <t>Academy of Finland(Research Council of Finland); Finnish Work Environment Fund; Tekes(Finnish Funding Agency for Technology &amp; Innovation (TEKES)); Szechenyi Programme, Hungary; Janos Bolyai Research Scholarship (Hungarian Academy of Sciences)(Hungarian Academy of Sciences)</t>
        </is>
      </c>
      <c r="AF667" t="inlineStr">
        <is>
          <t>The authors warmly acknowledge the Academy of Finland (grant TOXICPM 289161), the Finnish Work Environment Fund (grant EURA 115376) and Tekes (grant 4098/31/2015) for funding this research. The participation of the Real Estate Center of the city of Vantaa and the studied school is greatly appreciated. Sweco Finland Oy (Sweco Asiantuntijapalvelut Oy) is acknowledged for conducting the indoor climate and structural investigations. Laszlo Kredics was supported by grant GINOP-2.3.2-15-2016-00012 (Szechenyi 2020 Programme, Hungary) and the Janos Bolyai Research Scholarship (Hungarian Academy of Sciences).</t>
        </is>
      </c>
      <c r="AH667" t="n">
        <v>34</v>
      </c>
      <c r="AI667" t="n">
        <v>21</v>
      </c>
      <c r="AJ667" t="n">
        <v>22</v>
      </c>
      <c r="AK667" t="n">
        <v>0</v>
      </c>
      <c r="AL667" t="n">
        <v>6</v>
      </c>
      <c r="AM667" t="inlineStr">
        <is>
          <t>MDPI</t>
        </is>
      </c>
      <c r="AN667" t="inlineStr">
        <is>
          <t>BASEL</t>
        </is>
      </c>
      <c r="AO667" t="inlineStr">
        <is>
          <t>ST ALBAN-ANLAGE 66, CH-4052 BASEL, SWITZERLAND</t>
        </is>
      </c>
      <c r="AQ667" t="inlineStr">
        <is>
          <t>1660-4601</t>
        </is>
      </c>
      <c r="AS667" t="inlineStr">
        <is>
          <t>INT J ENV RES PUB HE</t>
        </is>
      </c>
      <c r="AT667" t="inlineStr">
        <is>
          <t>Int. J. Environ. Res. Public Health</t>
        </is>
      </c>
      <c r="AU667" t="inlineStr">
        <is>
          <t>FEB</t>
        </is>
      </c>
      <c r="AV667" t="n">
        <v>2018</v>
      </c>
      <c r="AW667" t="n">
        <v>15</v>
      </c>
      <c r="AX667" t="n">
        <v>2</v>
      </c>
      <c r="BE667" t="n">
        <v>230</v>
      </c>
      <c r="BF667" t="inlineStr">
        <is>
          <t>10.3390/ijerph15020230</t>
        </is>
      </c>
      <c r="BG667">
        <f>HYPERLINK("http://dx.doi.org/10.3390/ijerph15020230","http://dx.doi.org/10.3390/ijerph15020230")</f>
        <v/>
      </c>
      <c r="BJ667" t="n">
        <v>23</v>
      </c>
      <c r="BK667" t="inlineStr">
        <is>
          <t>Environmental Sciences; Public, Environmental &amp; Occupational Health</t>
        </is>
      </c>
      <c r="BL667" t="inlineStr">
        <is>
          <t>Science Citation Index Expanded (SCI-EXPANDED); Social Science Citation Index (SSCI)</t>
        </is>
      </c>
      <c r="BM667" t="inlineStr">
        <is>
          <t>Environmental Sciences &amp; Ecology; Public, Environmental &amp; Occupational Health</t>
        </is>
      </c>
      <c r="BN667" t="inlineStr">
        <is>
          <t>FY3LM</t>
        </is>
      </c>
      <c r="BO667" t="n">
        <v>29385772</v>
      </c>
      <c r="BP667" t="inlineStr">
        <is>
          <t>Green Published, Green Accepted, Green Submitted, gold</t>
        </is>
      </c>
      <c r="BS667" t="inlineStr">
        <is>
          <t>2023-10-26</t>
        </is>
      </c>
      <c r="BT667" t="inlineStr">
        <is>
          <t>WOS:000426721400055</t>
        </is>
      </c>
      <c r="BU667">
        <f>HYPERLINK("https%3A%2F%2Fwww.webofscience.com%2Fwos%2Fwoscc%2Ffull-record%2FWOS:000426721400055","View Full Record in Web of Science")</f>
        <v/>
      </c>
    </row>
    <row r="668">
      <c r="A668" t="inlineStr">
        <is>
          <t>J</t>
        </is>
      </c>
      <c r="B668" t="inlineStr">
        <is>
          <t>Kalimeri, KK; Saraga, DE; Lazaridis, VD; Legkas, NA; Missia, DA; Tolis, EI; Bartzis, JG</t>
        </is>
      </c>
      <c r="F668" t="inlineStr">
        <is>
          <t>Kalimeri, Krystallia K.; Saraga, Dikaia E.; Lazaridis, Vasileios D.; Legkas, Nikolaos A.; Missia, Dafni A.; Tolis, Evangelos I.; Bartzis, John G.</t>
        </is>
      </c>
      <c r="J668" t="inlineStr">
        <is>
          <t>ATMOSPHERIC POLLUTION RESEARCH</t>
        </is>
      </c>
      <c r="M668" t="inlineStr">
        <is>
          <t>English</t>
        </is>
      </c>
      <c r="N668" t="inlineStr">
        <is>
          <t>Article</t>
        </is>
      </c>
      <c r="T668" t="inlineStr">
        <is>
          <t>Indoor air quality investigation of the school environment and estimated health risks: Two-season measurements in primary schools in Kozani, Greece</t>
        </is>
      </c>
      <c r="U668" t="inlineStr">
        <is>
          <t>School buildings; Indoor air quality; Exposure; Children; Building material emissions; Ventilation</t>
        </is>
      </c>
      <c r="V668" t="inlineStr">
        <is>
          <t>AIRBORNE PARTICULATE MATTER; VENTILATION RATES; CO2 CONCENTRATIONS; PERSONAL EXPOSURE; FRENCH SCHOOLS; OUTDOOR; PERFORMANCE; EMISSIONS; ASTHMA; VOC</t>
        </is>
      </c>
      <c r="W668" t="inlineStr">
        <is>
          <t>Two primary schools and one kindergarten were selected in the city of Kozani, Greece in order to investigate the school environment, the indoor air pollutants that children are exposed to and possible health risks at school. In each school three classrooms and one outdoor position were monitored from Monday to Friday, in both non-heating (26/09/2011e14/10/2011) and heating (23/01/2012e10/02/2012) period. Temperature, relative humidity and CO2, were continuously monitored. Formaldehyde, benzene, trichloroethylene, pinene, limonene, NO2 and O-3 were measured with diffusive samplers. CO was monitored every day (30 min/day). Radon was measured for four weeks with short term radon detectors. PM2.5 was gravimetrically determined while PM2.5 and PM10 fractions were measured using the optical light scattering technique. Building material emission testing for VOCs was performed using the Field and Laboratory Emission Cell (FLEC). The ventilation rate for each classroom was calculated based on the CO2 measurements. Results indicated that indoor air concentrations of the measured pollutants were within accepted limits with indicative ranges 1.5-9.4 mu g/m(3) for benzene, 2.3-28.5 mu g/m(3) for formaldehyde, 4.6-43 mg/m(3) for NO2 and 0.1-15.6 mu g/m(3) for O-3. Emissions from building materials seem to have a significant contribution to the indoor air quality. Very low ventilation rates (0.1-3.7 L/s per person) were observed, indicating inadequate ventilation and possible indoor air quality problems requiring intervention measures. The estimated average lifetime cancer risks for benzene, formaldehyde and trichloroethylene were very low. Copyright (C) 2016 Turkish National Committee for Air Pollution Research and Control. Production and hosting by Elsevier B.V. All rights reserved.</t>
        </is>
      </c>
      <c r="X668" t="inlineStr">
        <is>
          <t>[Kalimeri, Krystallia K.; Saraga, Dikaia E.; Lazaridis, Vasileios D.; Legkas, Nikolaos A.; Missia, Dafni A.; Tolis, Evangelos I.; Bartzis, John G.] Univ Western Macedonia, Dept Mech Engn, Environm Technol Lab, Kozani 50100, Greece; [Saraga, Dikaia E.] Natl Ctr Sci Res Demokritos, Inst Nucl &amp; Radiol Sci &amp; Technol Energy &amp; Safety, Athens 15310, Greece</t>
        </is>
      </c>
      <c r="Y668" t="inlineStr">
        <is>
          <t>University of Western Macedonia; National Centre of Scientific Research Demokritos</t>
        </is>
      </c>
      <c r="Z668" t="inlineStr">
        <is>
          <t>Kalimeri, KK (corresponding author), Univ Western Macedonia, Dept Mech Engn, Environm Technol Lab, Kozani 50100, Greece.</t>
        </is>
      </c>
      <c r="AA668" t="inlineStr">
        <is>
          <t>kkalimeri@uowm.gr; dsaraga@ipta.demokritos.gr; vasilislazaridis@hotmail.com; legasn@hotmail.com; dmissia@uowm.gr; etolis@uowm.gr; bartzis@uowm.gr</t>
        </is>
      </c>
      <c r="AB668" t="inlineStr">
        <is>
          <t>Saraga, Dikaia/AAA-1111-2019</t>
        </is>
      </c>
      <c r="AC668" t="inlineStr">
        <is>
          <t>Saraga, Dikaia/0000-0002-8877-0776; Bartzis, John/0000-0002-1213-8379; Kalimeri, Krystallia/0000-0001-8344-8932</t>
        </is>
      </c>
      <c r="AD668" t="inlineStr">
        <is>
          <t>Directorate General for Health and Consumers of the European Commission [SANCO/2009/C4/04]</t>
        </is>
      </c>
      <c r="AE668" t="inlineStr">
        <is>
          <t>Directorate General for Health and Consumers of the European Commission</t>
        </is>
      </c>
      <c r="AF668" t="inlineStr">
        <is>
          <t>This research was conducted under the framework of the SINPHONIE (Schools Indoor Pollution and Health: Observatory Network in Europe)-Air Quality in Schools and Child care Settings project, which is financed by the Directorate General for Health and Consumers of the European Commission. Contract reference: SANCO/2009/C4/04, Project website: www.sinphonie.eu.</t>
        </is>
      </c>
      <c r="AH668" t="n">
        <v>85</v>
      </c>
      <c r="AI668" t="n">
        <v>65</v>
      </c>
      <c r="AJ668" t="n">
        <v>69</v>
      </c>
      <c r="AK668" t="n">
        <v>2</v>
      </c>
      <c r="AL668" t="n">
        <v>67</v>
      </c>
      <c r="AM668" t="inlineStr">
        <is>
          <t>TURKISH NATL COMMITTEE AIR POLLUTION RES &amp; CONTROL-TUNCAP</t>
        </is>
      </c>
      <c r="AN668" t="inlineStr">
        <is>
          <t>BUCA</t>
        </is>
      </c>
      <c r="AO668" t="inlineStr">
        <is>
          <t>DOKUZ EYLUL UNIV, DEPT ENVIRONMENTAL ENGINEERING, TINAZTEPE CAMPUS, BUCA, IZMIR 35160, TURKEY</t>
        </is>
      </c>
      <c r="AP668" t="inlineStr">
        <is>
          <t>1309-1042</t>
        </is>
      </c>
      <c r="AS668" t="inlineStr">
        <is>
          <t>ATMOS POLLUT RES</t>
        </is>
      </c>
      <c r="AT668" t="inlineStr">
        <is>
          <t>Atmos. Pollut. Res.</t>
        </is>
      </c>
      <c r="AU668" t="inlineStr">
        <is>
          <t>NOV</t>
        </is>
      </c>
      <c r="AV668" t="n">
        <v>2016</v>
      </c>
      <c r="AW668" t="n">
        <v>7</v>
      </c>
      <c r="AX668" t="n">
        <v>6</v>
      </c>
      <c r="BC668" t="n">
        <v>1128</v>
      </c>
      <c r="BD668" t="n">
        <v>1142</v>
      </c>
      <c r="BF668" t="inlineStr">
        <is>
          <t>10.1016/j.apr.2016.07.002</t>
        </is>
      </c>
      <c r="BG668">
        <f>HYPERLINK("http://dx.doi.org/10.1016/j.apr.2016.07.002","http://dx.doi.org/10.1016/j.apr.2016.07.002")</f>
        <v/>
      </c>
      <c r="BJ668" t="n">
        <v>15</v>
      </c>
      <c r="BK668" t="inlineStr">
        <is>
          <t>Environmental Sciences</t>
        </is>
      </c>
      <c r="BL668" t="inlineStr">
        <is>
          <t>Science Citation Index Expanded (SCI-EXPANDED)</t>
        </is>
      </c>
      <c r="BM668" t="inlineStr">
        <is>
          <t>Environmental Sciences &amp; Ecology</t>
        </is>
      </c>
      <c r="BN668" t="inlineStr">
        <is>
          <t>EN9ZL</t>
        </is>
      </c>
      <c r="BS668" t="inlineStr">
        <is>
          <t>2023-10-26</t>
        </is>
      </c>
      <c r="BT668" t="inlineStr">
        <is>
          <t>WOS:000396358000020</t>
        </is>
      </c>
      <c r="BU668">
        <f>HYPERLINK("https%3A%2F%2Fwww.webofscience.com%2Fwos%2Fwoscc%2Ffull-record%2FWOS:000396358000020","View Full Record in Web of Science")</f>
        <v/>
      </c>
    </row>
    <row r="669">
      <c r="A669" t="inlineStr">
        <is>
          <t>J</t>
        </is>
      </c>
      <c r="B669" t="inlineStr">
        <is>
          <t>Hu, J; Yang, GS; Hegedus, M; Iwaoka, K; Hosoda, M; Tokonami, S</t>
        </is>
      </c>
      <c r="F669" t="inlineStr">
        <is>
          <t>Hu, Jun; Yang, Guosheng; Hegedus, Miklos; Iwaoka, Kazuki; Hosoda, Masahiro; Tokonami, Shinji</t>
        </is>
      </c>
      <c r="J669" t="inlineStr">
        <is>
          <t>JOURNAL OF ENVIRONMENTAL RADIOACTIVITY</t>
        </is>
      </c>
      <c r="M669" t="inlineStr">
        <is>
          <t>English</t>
        </is>
      </c>
      <c r="N669" t="inlineStr">
        <is>
          <t>Review</t>
        </is>
      </c>
      <c r="T669" t="inlineStr">
        <is>
          <t>Numerical modeling of the sources and behaviors of 222Rn, 220Rn and their progenies in the indoor environment-A review</t>
        </is>
      </c>
      <c r="U669" t="inlineStr">
        <is>
          <t>Source; Behavior; Rn-222; Rn-220; Progeny; Numerical modeling</t>
        </is>
      </c>
      <c r="V669" t="inlineStr">
        <is>
          <t>BUILDING MATERIAL SAMPLES; 3 MODAL DISTRIBUTIONS; RADON EXHALATION RATE; THORON DISTRIBUTION; DECAY PRODUCTS; ROOM MODEL; AIR; EXPOSURE; HOUSE; SIMULATION</t>
        </is>
      </c>
      <c r="W669" t="inlineStr">
        <is>
          <t>Rn-222, Rn-220 and their short-lived progenies are well known radioactive indoor pollutants, identified as the leading environmental cause of lung cancer next to smoking. Apart from the conventional measurement methods, numerical modeling methods are developed to simulate their physical and decay processes in Rn-222 and Rn-220's life cycle, estimate their levels, concentration distributions, as well as effects of control strategies in the indoor environment. In this article, we summarized the numerical models used to illustrate the physical processes of each source of Rn-222 and Rn-220 entry into the indoor environment, and the application of Jacobi room models and CFD (Computational Fluid Dynamic) models used to present the behaviors of indoor Rn-222, Rn-220 and their progenies. Furthermore, we consider that the development of numerical modeling of Rn-222 and Rn-220 would have a bright prospect in the directions of stochastic methods based on a steady-state model, the fine simulation of the time-dependent model as well as the multi-dimension model.</t>
        </is>
      </c>
      <c r="X669" t="inlineStr">
        <is>
          <t>[Hu, Jun; Hosoda, Masahiro] Hirosaki Univ, Grad Sch Hlth Sci, 66-1 Hon Cho, Hirosaki, Aomori 0368564, Japan; [Hu, Jun; Yang, Guosheng; Hegedus, Miklos; Iwaoka, Kazuki; Tokonami, Shinji] Hirosaki Univ, Inst Radiat Emergency Med, 66-1 Hon Cho, Hirosaki, Aomori 0368564, Japan</t>
        </is>
      </c>
      <c r="Y669" t="inlineStr">
        <is>
          <t>Hirosaki University; Hirosaki University</t>
        </is>
      </c>
      <c r="Z669" t="inlineStr">
        <is>
          <t>Tokonami, S (corresponding author), Hirosaki Univ, Inst Radiat Emergency Med, 66-1 Hon Cho, Hirosaki, Aomori 0368564, Japan.</t>
        </is>
      </c>
      <c r="AA669" t="inlineStr">
        <is>
          <t>tokonami@hirosaki-u.ac.jp</t>
        </is>
      </c>
      <c r="AB669" t="inlineStr">
        <is>
          <t>Yang, Guosheng/ABA-2619-2022; Tokonami, Shinji/AAH-6042-2020; Hegedűs, Miklós/AAN-3609-2021</t>
        </is>
      </c>
      <c r="AC669" t="inlineStr">
        <is>
          <t>Yang, Guosheng/0000-0002-6478-249X; Hegedűs, Miklós/0000-0003-2524-8160; Tokonami, Shinji/0000-0002-6617-7402</t>
        </is>
      </c>
      <c r="AD669" t="inlineStr">
        <is>
          <t>JSPS KAKENHI [16K15368, 16H02667]; Grants-in-Aid for Scientific Research [16H02667, 16K15368] Funding Source: KAKEN</t>
        </is>
      </c>
      <c r="AE669" t="inlineStr">
        <is>
          <t>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is>
      </c>
      <c r="AF669" t="inlineStr">
        <is>
          <t>This work was partially supported by JSPS KAKENHI (Grant Numbers: 16K15368 and 16H02667).</t>
        </is>
      </c>
      <c r="AH669" t="n">
        <v>51</v>
      </c>
      <c r="AI669" t="n">
        <v>13</v>
      </c>
      <c r="AJ669" t="n">
        <v>15</v>
      </c>
      <c r="AK669" t="n">
        <v>2</v>
      </c>
      <c r="AL669" t="n">
        <v>31</v>
      </c>
      <c r="AM669" t="inlineStr">
        <is>
          <t>ELSEVIER SCI LTD</t>
        </is>
      </c>
      <c r="AN669" t="inlineStr">
        <is>
          <t>OXFORD</t>
        </is>
      </c>
      <c r="AO669" t="inlineStr">
        <is>
          <t>THE BOULEVARD, LANGFORD LANE, KIDLINGTON, OXFORD OX5 1GB, OXON, ENGLAND</t>
        </is>
      </c>
      <c r="AP669" t="inlineStr">
        <is>
          <t>0265-931X</t>
        </is>
      </c>
      <c r="AQ669" t="inlineStr">
        <is>
          <t>1879-1700</t>
        </is>
      </c>
      <c r="AS669" t="inlineStr">
        <is>
          <t>J ENVIRON RADIOACTIV</t>
        </is>
      </c>
      <c r="AT669" t="inlineStr">
        <is>
          <t>J. Environ. Radioact.</t>
        </is>
      </c>
      <c r="AU669" t="inlineStr">
        <is>
          <t>SEP</t>
        </is>
      </c>
      <c r="AV669" t="n">
        <v>2018</v>
      </c>
      <c r="AW669" t="n">
        <v>189</v>
      </c>
      <c r="BC669" t="n">
        <v>40</v>
      </c>
      <c r="BD669" t="n">
        <v>47</v>
      </c>
      <c r="BF669" t="inlineStr">
        <is>
          <t>10.1016/j.jenvrad.2018.03.006</t>
        </is>
      </c>
      <c r="BG669">
        <f>HYPERLINK("http://dx.doi.org/10.1016/j.jenvrad.2018.03.006","http://dx.doi.org/10.1016/j.jenvrad.2018.03.006")</f>
        <v/>
      </c>
      <c r="BJ669" t="n">
        <v>8</v>
      </c>
      <c r="BK669" t="inlineStr">
        <is>
          <t>Environmental Sciences</t>
        </is>
      </c>
      <c r="BL669" t="inlineStr">
        <is>
          <t>Science Citation Index Expanded (SCI-EXPANDED)</t>
        </is>
      </c>
      <c r="BM669" t="inlineStr">
        <is>
          <t>Environmental Sciences &amp; Ecology</t>
        </is>
      </c>
      <c r="BN669" t="inlineStr">
        <is>
          <t>GH7SJ</t>
        </is>
      </c>
      <c r="BO669" t="n">
        <v>29573590</v>
      </c>
      <c r="BS669" t="inlineStr">
        <is>
          <t>2023-10-26</t>
        </is>
      </c>
      <c r="BT669" t="inlineStr">
        <is>
          <t>WOS:000433653400005</t>
        </is>
      </c>
      <c r="BU669">
        <f>HYPERLINK("https%3A%2F%2Fwww.webofscience.com%2Fwos%2Fwoscc%2Ffull-record%2FWOS:000433653400005","View Full Record in Web of Science")</f>
        <v/>
      </c>
    </row>
    <row r="670">
      <c r="A670" t="inlineStr">
        <is>
          <t>J</t>
        </is>
      </c>
      <c r="B670" t="inlineStr">
        <is>
          <t>Norbäck, D; Zhang, X; Fan, QN; Zhang, ZF; Zhang, YP; Li, BZ; Zhao, ZH; Huang, C; Deng, QH; Lu, C; Qian, H; Yang, X; Sun, YX; Sundell, J; Wang, J</t>
        </is>
      </c>
      <c r="F670" t="inlineStr">
        <is>
          <t>Norback, Dan; Zhang, Xin; Fan, Qiannan; Zhang, Zefei; Zhang, Yinping; Li, Baizhan; Zhao, Zhuohui; Huang, Chen; Deng, Qihong; Lu, Chan; Qian, Hua; Yang, Xu; Sun, Yuexia; Sundell, Jan; Wang, Juan</t>
        </is>
      </c>
      <c r="J670" t="inlineStr">
        <is>
          <t>SCIENCE OF THE TOTAL ENVIRONMENT</t>
        </is>
      </c>
      <c r="M670" t="inlineStr">
        <is>
          <t>English</t>
        </is>
      </c>
      <c r="N670" t="inlineStr">
        <is>
          <t>Article</t>
        </is>
      </c>
      <c r="T670" t="inlineStr">
        <is>
          <t>Home environment and health: Domestic risk factors for rhinitis, throat symptoms and non-respiratory symptoms among adults across China</t>
        </is>
      </c>
      <c r="U670" t="inlineStr">
        <is>
          <t>Home environment; Sick Building Syndrome (SBS); Air pollution; Redecoration; Incense burning; Cockroaches; Home environment; Sick Building Syndrome (SBS); Air pollution; Redecoration; Incense burning; Cockroaches</t>
        </is>
      </c>
      <c r="V670" t="inlineStr">
        <is>
          <t>SICK BUILDING SYNDROME; HOUSEHOLD AIR-POLLUTION; CROSS-SECTIONAL QUESTIONNAIRE; ASTHMA; ASSOCIATION; PREVALENCE; POLLUTANTS; EXPOSURE; WOMEN; DWELLINGS</t>
        </is>
      </c>
      <c r="W670" t="inlineStr">
        <is>
          <t>Few studies exist from China on associations between home environment and adult health. We studied associations between home environment factors (other than dampness and mould) and rhinitis, throat and dermal symptoms and headache and fatigue among young parents in six cities across China (N = 36,541). They were recruited as parents from day care centers selected randomly and answered a questionnaire on medical symptoms and the home environment. Odds ratios (OR) were calculated by multilevel logistic regression adjusting for gender, atopy, smoking, home size and dampness/mould. Overall, 4.8% had skin symptoms 3.1% rhinitis, 2.8% eye, 4.1% throat symptoms, 3.0% headache and 13.9% had fatigue (all as weekly symptoms). Redecoration was associated with rhinitis, eye and skin symptoms, headache and fatigue. New furniture was associated with eye, throat and skin symptoms and fatigue. Gas cooking was associated with eye and throat symptoms, headache and fatigue. Biomass cooking was associated with eye and throat symptoms and headache. Burning incense was associated with eye, throat and skin symptoms, headache and fatigue. Presence of cockroaches and mosquitos or flies was associated with all six symptoms. Rats or mice were associated with eye and dermal symptoms. Cat keeping was associated with eye symptoms while dog keepers had less fatigue. Living near major roads was associated with rhinitis, eye, throat and skin symptoms and fatigue. Daily cleaning, a mechanical ventilation system in the kitchen or in the bathroom, living in older buildings and living in less urbanized areas were protective factors. In conclusion, urbanization, traffic exhaust, indoor emissions from redecoration and new furniture, gas cooking and air pollution from burning incense and biomass may cause dermal and mucosal symptoms, headache and fatigue among adults in China. Indoor animals (cats, mice/rats, cockroaches) were other risk factors. Daily cleaning, mechanical ventilation and living in older buildings can be protective. (C) 2019 Published by Elsevier B.V.</t>
        </is>
      </c>
      <c r="X670" t="inlineStr">
        <is>
          <t>[Norback, Dan; Zhang, Xin; Fan, Qiannan; Zhang, Zefei] Shanxi Univ, Inst Environm Sci, Taiyuan, Shanxi, Peoples R China; [Norback, Dan; Wang, Juan] Uppsala Univ, Dept Med Sci, Uppsala, Sweden; [Zhang, Yinping] Tsinghua Univ, Sch Architecture, Beijing, Peoples R China; [Li, Baizhan] Chongqing Univ, Key Lab Three Gorges Reservoir Reg Ecoenvironm, Chongqing, Peoples R China; [Zhao, Zhuohui] Fudan Univ, Dept Environm Hlth, Shanghai, Peoples R China; [Huang, Chen] Univ Shanghai Sci &amp; Technol, Sch Environm &amp; Architecture, Dept Bldg Environm &amp; Energy Engn, Shanghai, Peoples R China; [Deng, Qihong; Lu, Chan] Cent S Univ, XiangYa Sch Publ Hlth, Changsha, Hunan, Peoples R China; [Deng, Qihong; Lu, Chan] Cent S Univ, Sch Energy Sci &amp; Engn, Changsha, Hunan, Peoples R China; [Qian, Hua] Southeast Univ, Sch Energy &amp; Environm, Nanjing, Jiangsu, Peoples R China; [Yang, Xu] Cent China Normal Univ, Coll Life Sci, Wuhan, Hubei, Peoples R China; [Sun, Yuexia; Sundell, Jan] Tianjin Univ, Sch Environm Sci &amp; Engn, Tianjin, Peoples R China</t>
        </is>
      </c>
      <c r="Y670" t="inlineStr">
        <is>
          <t>Shanxi University; Uppsala University; Tsinghua University; Chongqing University; Fudan University; University of Shanghai for Science &amp; Technology; Central South University; Central South University; Southeast University - China; Central China Normal University; Tianjin University</t>
        </is>
      </c>
      <c r="Z670" t="inlineStr">
        <is>
          <t>Norbäck, D; Zhang, X (corresponding author), Shanxi Univ, Inst Environm Sci, Taiyuan, Shanxi, Peoples R China.</t>
        </is>
      </c>
      <c r="AA670" t="inlineStr">
        <is>
          <t>dannorback@medsci.uu.se; xinzhang0051@sxu.edu.cn</t>
        </is>
      </c>
      <c r="AB670" t="inlineStr">
        <is>
          <t>li, bz/GVR-7133-2022; QIAN, Hua/A-1410-2009; Deng, Qihong/AGM-3262-2022; li, bing/GWQ-9617-2022; Zhang, Yinping/B-5187-2012; li, bing/HTS-1845-2023; Lu, Chan/JAX-6778-2023; Deng, Qihong/E-3922-2015; Li, bo/IWL-9318-2023</t>
        </is>
      </c>
      <c r="AC670" t="inlineStr">
        <is>
          <t>QIAN, Hua/0000-0002-7237-7806; Deng, Qihong/0000-0001-9824-3534; Zhang, Yinping/0000-0001-9175-7890; Lu, Chan/0000-0002-0110-9492; Deng, Qihong/0000-0001-9824-3534;</t>
        </is>
      </c>
      <c r="AD670" t="inlineStr">
        <is>
          <t>National Key Research and Development Program of China [2017YFC0702700]; Shanxi One Hundred Excellent Experts Project [9]; Key Research and Development (R&amp; D) Projects of Shanxi Province [201803D31021]; Swedish Research Council Formas [348-2011-7402]; Swedish Research Council [2017-05845]; NationalNatural Science Foundation of China [81861138005]</t>
        </is>
      </c>
      <c r="AE670" t="inlineStr">
        <is>
          <t>National Key Research and Development Program of China; Shanxi One Hundred Excellent Experts Project; Key Research and Development (R&amp; D) Projects of Shanxi Province; Swedish Research Council Formas(Swedish Research CouncilSwedish Research Council Formas); Swedish Research Council(Swedish Research Council); NationalNatural Science Foundation of China(National Natural Science Foundation of China (NSFC))</t>
        </is>
      </c>
      <c r="AF670" t="inlineStr">
        <is>
          <t>Our study had financial support fromthe National Key Research and Development Program of China (2017YFC0702700), Shanxi One Hundred Excellent Experts Project (nr 9), theNationalNatural Science Foundation of China (81861138005), Key Research and Development (R&amp; D) Projects of Shanxi Province (201803D31021), the Swedish Research Council Formas (348-2011-7402) and the Swedish Research Council (2017-05845).</t>
        </is>
      </c>
      <c r="AH670" t="n">
        <v>50</v>
      </c>
      <c r="AI670" t="n">
        <v>16</v>
      </c>
      <c r="AJ670" t="n">
        <v>16</v>
      </c>
      <c r="AK670" t="n">
        <v>12</v>
      </c>
      <c r="AL670" t="n">
        <v>102</v>
      </c>
      <c r="AM670" t="inlineStr">
        <is>
          <t>ELSEVIER SCIENCE BV</t>
        </is>
      </c>
      <c r="AN670" t="inlineStr">
        <is>
          <t>AMSTERDAM</t>
        </is>
      </c>
      <c r="AO670" t="inlineStr">
        <is>
          <t>PO BOX 211, 1000 AE AMSTERDAM, NETHERLANDS</t>
        </is>
      </c>
      <c r="AP670" t="inlineStr">
        <is>
          <t>0048-9697</t>
        </is>
      </c>
      <c r="AQ670" t="inlineStr">
        <is>
          <t>1879-1026</t>
        </is>
      </c>
      <c r="AS670" t="inlineStr">
        <is>
          <t>SCI TOTAL ENVIRON</t>
        </is>
      </c>
      <c r="AT670" t="inlineStr">
        <is>
          <t>Sci. Total Environ.</t>
        </is>
      </c>
      <c r="AU670" t="inlineStr">
        <is>
          <t>SEP 1</t>
        </is>
      </c>
      <c r="AV670" t="n">
        <v>2019</v>
      </c>
      <c r="AW670" t="n">
        <v>681</v>
      </c>
      <c r="BC670" t="n">
        <v>320</v>
      </c>
      <c r="BD670" t="n">
        <v>330</v>
      </c>
      <c r="BF670" t="inlineStr">
        <is>
          <t>10.1016/j.scitotenv.2019.05.084</t>
        </is>
      </c>
      <c r="BG670">
        <f>HYPERLINK("http://dx.doi.org/10.1016/j.scitotenv.2019.05.084","http://dx.doi.org/10.1016/j.scitotenv.2019.05.084")</f>
        <v/>
      </c>
      <c r="BJ670" t="n">
        <v>11</v>
      </c>
      <c r="BK670" t="inlineStr">
        <is>
          <t>Environmental Sciences</t>
        </is>
      </c>
      <c r="BL670" t="inlineStr">
        <is>
          <t>Science Citation Index Expanded (SCI-EXPANDED)</t>
        </is>
      </c>
      <c r="BM670" t="inlineStr">
        <is>
          <t>Environmental Sciences &amp; Ecology</t>
        </is>
      </c>
      <c r="BN670" t="inlineStr">
        <is>
          <t>IA8ZM</t>
        </is>
      </c>
      <c r="BO670" t="n">
        <v>31121396</v>
      </c>
      <c r="BS670" t="inlineStr">
        <is>
          <t>2023-10-26</t>
        </is>
      </c>
      <c r="BT670" t="inlineStr">
        <is>
          <t>WOS:000469847200030</t>
        </is>
      </c>
      <c r="BU670">
        <f>HYPERLINK("https%3A%2F%2Fwww.webofscience.com%2Fwos%2Fwoscc%2Ffull-record%2FWOS:000469847200030","View Full Record in Web of Science")</f>
        <v/>
      </c>
    </row>
    <row r="671">
      <c r="A671" t="inlineStr">
        <is>
          <t>J</t>
        </is>
      </c>
      <c r="B671" t="inlineStr">
        <is>
          <t>Wee, LE; Tsang, TYY; Yi, H; Toh, SA; Lee, GL; Yee, J; Lee, S; Oen, K; Koh, GCH</t>
        </is>
      </c>
      <c r="F671" t="inlineStr">
        <is>
          <t>Wee, Liang En; Tsang, Tammy Yun Ying; Yi, Huso; Toh, Sue Anne; Lee, Geok Ling; Yee, Jaime; Lee, Shannon; Oen, Kellynn; Koh, Gerald Choon Huat</t>
        </is>
      </c>
      <c r="J671" t="inlineStr">
        <is>
          <t>INTERNATIONAL JOURNAL OF ENVIRONMENTAL RESEARCH AND PUBLIC HEALTH</t>
        </is>
      </c>
      <c r="M671" t="inlineStr">
        <is>
          <t>English</t>
        </is>
      </c>
      <c r="N671" t="inlineStr">
        <is>
          <t>Article</t>
        </is>
      </c>
      <c r="T671" t="inlineStr">
        <is>
          <t>Loneliness amongst Low-Socioeconomic Status Elderly Singaporeans and its Association with Perceptions of the Neighbourhood Environment</t>
        </is>
      </c>
      <c r="U671" t="inlineStr">
        <is>
          <t>loneliness; neighbourhood environment; social isolation; socioeconomic status</t>
        </is>
      </c>
      <c r="V671" t="inlineStr">
        <is>
          <t>DEPRESSIVE SYMPTOMS; OLDER-ADULTS; HEALTH; SCALE</t>
        </is>
      </c>
      <c r="W671" t="inlineStr">
        <is>
          <t>In Singapore, a densely urbanised Asian city state, more than 80% of the population stays in public housing estates and the majority (90%) own their own homes. For the needy who cannot afford home ownership, public rental flats are available. We were interested in exploring social-environmental factors that are associated with loneliness among elderly residents of public rental housing in Singapore. We surveyed residents aged 60 in two Singapore public housing precincts in 2016. Loneliness was measured using a three-item scale. Sociodemographic information was obtained via standardised questionnaires. We used chi-square to identify associations between loneliness and sociodemographic characteristics, as well as neighbourhood perceptions (safety, convenience and the physical environment), on univariate analysis; and logistic regression for multivariate analysis. The response rate was 62.1% (528/800). On multivariate analysis, staying in a rental flat block was independently associated with loneliness (adjusted odds ratio, aOR = 2.10, 95% confidence interval (CI) = 1.32-3.36), as was staying in a poorer physical environment (aOR = 1.92, 95% CI = 1.15-3.22). Although needy Singapore residents share the same built environment as more well-to-do neighbours, differences in the impact of loneliness do exist.</t>
        </is>
      </c>
      <c r="X671" t="inlineStr">
        <is>
          <t>[Wee, Liang En] Singapore Gen Hosp, Dept Infect Dis, Singapore 169608, Singapore; [Wee, Liang En] Duke NUS Grad Med Sch, Singapore 169857, Singapore; [Tsang, Tammy Yun Ying] Inst Mental Hlth, Singapore 539747, Singapore; [Yi, Huso; Koh, Gerald Choon Huat] Natl Univ Singapore, Saw Swee Hock Sch Publ Hlth, Natl Univ Hlth Syst, Singapore 119228, Singapore; [Toh, Sue Anne] Natl Univ Singapore, Reg Hlth Syst Planning &amp; Dev, Natl Univ Hlth Syst, Singapore 119228, Singapore; [Lee, Geok Ling] Natl Univ Singapore, Fac Arts &amp; Social Sci, Dept Social Work, Singapore 119077, Singapore; [Yee, Jaime; Lee, Shannon; Oen, Kellynn] Natl Univ Singapore, Natl Univ Hlth Syst, Yong Loo Lin Sch Med, Singapore 119228, Singapore</t>
        </is>
      </c>
      <c r="Y671" t="inlineStr">
        <is>
          <t>Singapore General Hospital; National University of Singapore; National University of Singapore; National University of Singapore; National University of Singapore; National University of Singapore</t>
        </is>
      </c>
      <c r="Z671" t="inlineStr">
        <is>
          <t>Wee, LE (corresponding author), Singapore Gen Hosp, Dept Infect Dis, Singapore 169608, Singapore.;Wee, LE (corresponding author), Duke NUS Grad Med Sch, Singapore 169857, Singapore.</t>
        </is>
      </c>
      <c r="AA671" t="inlineStr">
        <is>
          <t>ian.wee@mohh.com.sg; tammy.tsang@mohh.com.sg; ephyh@nus.edu.sg; mdcsates@nus.edu.sg; swklgl@nus.edu.sg; jaimeyee96@gmail.com; shannon.lxj@gmail.com; kellynnoenqixuan@gmail.com; ephkohch@nus.edu.sg</t>
        </is>
      </c>
      <c r="AB671" t="inlineStr">
        <is>
          <t>Yi, Huso/X-8902-2018</t>
        </is>
      </c>
      <c r="AC671" t="inlineStr">
        <is>
          <t>Yi, Huso/0000-0003-4724-5235; Lee, Geok Ling/0000-0003-1490-9269</t>
        </is>
      </c>
      <c r="AD671" t="inlineStr">
        <is>
          <t>Neighbourhood Health Service's student organising committees</t>
        </is>
      </c>
      <c r="AE671" t="inlineStr">
        <is>
          <t>Neighbourhood Health Service's student organising committees</t>
        </is>
      </c>
      <c r="AF671" t="inlineStr">
        <is>
          <t>The authors would like to acknowledge the support of the Neighbourhood Health Service's student organising committees for this study.</t>
        </is>
      </c>
      <c r="AH671" t="n">
        <v>28</v>
      </c>
      <c r="AI671" t="n">
        <v>12</v>
      </c>
      <c r="AJ671" t="n">
        <v>13</v>
      </c>
      <c r="AK671" t="n">
        <v>4</v>
      </c>
      <c r="AL671" t="n">
        <v>17</v>
      </c>
      <c r="AM671" t="inlineStr">
        <is>
          <t>MDPI</t>
        </is>
      </c>
      <c r="AN671" t="inlineStr">
        <is>
          <t>BASEL</t>
        </is>
      </c>
      <c r="AO671" t="inlineStr">
        <is>
          <t>ST ALBAN-ANLAGE 66, CH-4052 BASEL, SWITZERLAND</t>
        </is>
      </c>
      <c r="AP671" t="inlineStr">
        <is>
          <t>1661-7827</t>
        </is>
      </c>
      <c r="AQ671" t="inlineStr">
        <is>
          <t>1660-4601</t>
        </is>
      </c>
      <c r="AS671" t="inlineStr">
        <is>
          <t>INT J ENV RES PUB HE</t>
        </is>
      </c>
      <c r="AT671" t="inlineStr">
        <is>
          <t>Int. J. Environ. Res. Public Health</t>
        </is>
      </c>
      <c r="AU671" t="inlineStr">
        <is>
          <t>MAR 2</t>
        </is>
      </c>
      <c r="AV671" t="n">
        <v>2019</v>
      </c>
      <c r="AW671" t="n">
        <v>16</v>
      </c>
      <c r="AX671" t="n">
        <v>6</v>
      </c>
      <c r="BE671" t="n">
        <v>967</v>
      </c>
      <c r="BF671" t="inlineStr">
        <is>
          <t>10.3390/ijerph16060967</t>
        </is>
      </c>
      <c r="BG671">
        <f>HYPERLINK("http://dx.doi.org/10.3390/ijerph16060967","http://dx.doi.org/10.3390/ijerph16060967")</f>
        <v/>
      </c>
      <c r="BJ671" t="n">
        <v>9</v>
      </c>
      <c r="BK671" t="inlineStr">
        <is>
          <t>Environmental Sciences; Public, Environmental &amp; Occupational Health</t>
        </is>
      </c>
      <c r="BL671" t="inlineStr">
        <is>
          <t>Science Citation Index Expanded (SCI-EXPANDED); Social Science Citation Index (SSCI)</t>
        </is>
      </c>
      <c r="BM671" t="inlineStr">
        <is>
          <t>Environmental Sciences &amp; Ecology; Public, Environmental &amp; Occupational Health</t>
        </is>
      </c>
      <c r="BN671" t="inlineStr">
        <is>
          <t>HU3GB</t>
        </is>
      </c>
      <c r="BO671" t="n">
        <v>30889851</v>
      </c>
      <c r="BP671" t="inlineStr">
        <is>
          <t>gold, Green Published, Green Submitted</t>
        </is>
      </c>
      <c r="BS671" t="inlineStr">
        <is>
          <t>2023-10-26</t>
        </is>
      </c>
      <c r="BT671" t="inlineStr">
        <is>
          <t>WOS:000465159500067</t>
        </is>
      </c>
      <c r="BU671">
        <f>HYPERLINK("https%3A%2F%2Fwww.webofscience.com%2Fwos%2Fwoscc%2Ffull-record%2FWOS:000465159500067","View Full Record in Web of Science")</f>
        <v/>
      </c>
    </row>
    <row r="672">
      <c r="A672" t="inlineStr">
        <is>
          <t>J</t>
        </is>
      </c>
      <c r="B672" t="inlineStr">
        <is>
          <t>Dygryn, J; Mitás, J; Gába, A; Rubín, L; Frömel, K</t>
        </is>
      </c>
      <c r="F672" t="inlineStr">
        <is>
          <t>Dygryn, Jan; Mitas, Josef; Gaba, Ales; Rubin, Lukas; Froemel, Karel</t>
        </is>
      </c>
      <c r="J672" t="inlineStr">
        <is>
          <t>INTERNATIONAL JOURNAL OF ENVIRONMENTAL RESEARCH AND PUBLIC HEALTH</t>
        </is>
      </c>
      <c r="M672" t="inlineStr">
        <is>
          <t>English</t>
        </is>
      </c>
      <c r="N672" t="inlineStr">
        <is>
          <t>Article</t>
        </is>
      </c>
      <c r="T672" t="inlineStr">
        <is>
          <t>Changes in Active Commuting to School in Czech Adolescents in Different Types of Built Environment across a 10-Year Period</t>
        </is>
      </c>
      <c r="U672" t="inlineStr">
        <is>
          <t>walking; cycling; physical activity; GIS; youth; transportation; census</t>
        </is>
      </c>
      <c r="V672" t="inlineStr">
        <is>
          <t>PHYSICAL-ACTIVITY; NEIGHBORHOOD WALKABILITY; TRANSPORTATION; TRAVEL; WALKING; TRENDS; CHILDREN; HEALTH; SCHOOLCHILDREN; ASSOCIATIONS</t>
        </is>
      </c>
      <c r="W672" t="inlineStr">
        <is>
          <t>Active commuting (AC) to school represents a great opportunity to incorporate walking or cycling into adolescents' everyday routine. The objective of the study was to describe changes in AC in Czech adolescents across a 10-year period in different built environments. Data from the 2001 and 2011 Czech Census of Population and Housing were used to examine the mode of transportation taken to school in 6236 adolescents. Changes in AC over time were analyzed for low and high walkable areas separately in two Czech regional cities, Olomouc and Hradec Kralove. Between 2001 and 2011, the proportion of adolescents actively commuting to school decreased by 47%, from an absolute rate of 49.1% to 26%. The proportion of active commuters fell in low walkable areas by 61% and in high walkable areas by 39%. The results indicated that adolescents in 2011 were 2.7 times less (OR = 0.365, p &lt; 0.001) likely to actively commute than in 2001. The AC behavior in Czech adolescents has a negative tendency to replicate travel-to-school patterns in adolescents previously described in more developed countries. The findings might serve as a recommendation for municipal policy.</t>
        </is>
      </c>
      <c r="X672" t="inlineStr">
        <is>
          <t>[Dygryn, Jan; Mitas, Josef; Gaba, Ales; Rubin, Lukas; Froemel, Karel] Palacky Univ, Fac Phys Culture, Olomouc 77111, Czech Republic</t>
        </is>
      </c>
      <c r="Y672" t="inlineStr">
        <is>
          <t>Palacky University Olomouc</t>
        </is>
      </c>
      <c r="Z672" t="inlineStr">
        <is>
          <t>Dygryn, J (corresponding author), Palacky Univ, Fac Phys Culture, Olomouc 77111, Czech Republic.</t>
        </is>
      </c>
      <c r="AA672" t="inlineStr">
        <is>
          <t>jan.dygryn@upol.cz; josef.mitas@upol.cz; ales.gaba@upol.cz; lukas.rubin@upol.cz; karel.fromel@upol.cz</t>
        </is>
      </c>
      <c r="AB672" t="inlineStr">
        <is>
          <t>Frömel, Karel/L-9865-2017; Rubín, Lukáš/G-6266-2016; Gába, Aleš/D-2090-2011; Dygryn, Jan/E-4760-2017; Mitáš, Josef/K-1760-2015; Frömel, Karel/AAU-2222-2020</t>
        </is>
      </c>
      <c r="AC672" t="inlineStr">
        <is>
          <t>Frömel, Karel/0000-0001-7848-3418; Rubín, Lukáš/0000-0003-4920-1113; Gába, Aleš/0000-0002-7236-9072; Dygryn, Jan/0000-0003-1026-1784; Mitáš, Josef/0000-0001-7219-931X; Frömel, Karel/0000-0001-7848-3418</t>
        </is>
      </c>
      <c r="AD672" t="inlineStr">
        <is>
          <t>Czech Science Foundation [14-28696S]</t>
        </is>
      </c>
      <c r="AE672" t="inlineStr">
        <is>
          <t>Czech Science Foundation(Grant Agency of the Czech Republic)</t>
        </is>
      </c>
      <c r="AF672" t="inlineStr">
        <is>
          <t>This study was supported by the research grant of the Czech Science Foundation (No. 14-28696S) Multifactorial research on built environment, active lifestyle and physical fitness in Czech adolescents.</t>
        </is>
      </c>
      <c r="AH672" t="n">
        <v>36</v>
      </c>
      <c r="AI672" t="n">
        <v>27</v>
      </c>
      <c r="AJ672" t="n">
        <v>27</v>
      </c>
      <c r="AK672" t="n">
        <v>0</v>
      </c>
      <c r="AL672" t="n">
        <v>23</v>
      </c>
      <c r="AM672" t="inlineStr">
        <is>
          <t>MDPI</t>
        </is>
      </c>
      <c r="AN672" t="inlineStr">
        <is>
          <t>BASEL</t>
        </is>
      </c>
      <c r="AO672" t="inlineStr">
        <is>
          <t>ST ALBAN-ANLAGE 66, CH-4052 BASEL, SWITZERLAND</t>
        </is>
      </c>
      <c r="AP672" t="inlineStr">
        <is>
          <t>1660-4601</t>
        </is>
      </c>
      <c r="AS672" t="inlineStr">
        <is>
          <t>INT J ENV RES PUB HE</t>
        </is>
      </c>
      <c r="AT672" t="inlineStr">
        <is>
          <t>Int. J. Environ. Res. Public Health</t>
        </is>
      </c>
      <c r="AU672" t="inlineStr">
        <is>
          <t>OCT</t>
        </is>
      </c>
      <c r="AV672" t="n">
        <v>2015</v>
      </c>
      <c r="AW672" t="n">
        <v>12</v>
      </c>
      <c r="AX672" t="n">
        <v>10</v>
      </c>
      <c r="BC672" t="n">
        <v>12988</v>
      </c>
      <c r="BD672" t="n">
        <v>12998</v>
      </c>
      <c r="BF672" t="inlineStr">
        <is>
          <t>10.3390/ijerph121012988</t>
        </is>
      </c>
      <c r="BG672">
        <f>HYPERLINK("http://dx.doi.org/10.3390/ijerph121012988","http://dx.doi.org/10.3390/ijerph121012988")</f>
        <v/>
      </c>
      <c r="BJ672" t="n">
        <v>11</v>
      </c>
      <c r="BK672" t="inlineStr">
        <is>
          <t>Environmental Sciences; Public, Environmental &amp; Occupational Health</t>
        </is>
      </c>
      <c r="BL672" t="inlineStr">
        <is>
          <t>Science Citation Index Expanded (SCI-EXPANDED); Social Science Citation Index (SSCI)</t>
        </is>
      </c>
      <c r="BM672" t="inlineStr">
        <is>
          <t>Environmental Sciences &amp; Ecology; Public, Environmental &amp; Occupational Health</t>
        </is>
      </c>
      <c r="BN672" t="inlineStr">
        <is>
          <t>CX1RE</t>
        </is>
      </c>
      <c r="BO672" t="n">
        <v>26501304</v>
      </c>
      <c r="BP672" t="inlineStr">
        <is>
          <t>Green Submitted, Green Published, gold</t>
        </is>
      </c>
      <c r="BS672" t="inlineStr">
        <is>
          <t>2023-10-26</t>
        </is>
      </c>
      <c r="BT672" t="inlineStr">
        <is>
          <t>WOS:000365472500063</t>
        </is>
      </c>
      <c r="BU672">
        <f>HYPERLINK("https%3A%2F%2Fwww.webofscience.com%2Fwos%2Fwoscc%2Ffull-record%2FWOS:000365472500063","View Full Record in Web of Science")</f>
        <v/>
      </c>
    </row>
    <row r="673">
      <c r="A673" t="inlineStr">
        <is>
          <t>J</t>
        </is>
      </c>
      <c r="B673" t="inlineStr">
        <is>
          <t>Trajkovic, JR; Milovanovic, A; Nikezic, A</t>
        </is>
      </c>
      <c r="F673" t="inlineStr">
        <is>
          <t>Ristic Trajkovic, Jelena; Milovanovic, Aleksandra; Nikezic, Ana</t>
        </is>
      </c>
      <c r="J673" t="inlineStr">
        <is>
          <t>SUSTAINABILITY</t>
        </is>
      </c>
      <c r="M673" t="inlineStr">
        <is>
          <t>English</t>
        </is>
      </c>
      <c r="N673" t="inlineStr">
        <is>
          <t>Article</t>
        </is>
      </c>
      <c r="T673" t="inlineStr">
        <is>
          <t>Reprogramming Modernist Heritage: Enhancing Social Wellbeing by Value-Based Programming Approach in Architectural Design</t>
        </is>
      </c>
      <c r="U673" t="inlineStr">
        <is>
          <t>architectural programming; heritage; modernist architecture; value-based matrix; architectural design studio; environment-behavior relations; Genex tower; New Belgrade</t>
        </is>
      </c>
      <c r="V673" t="inlineStr">
        <is>
          <t>UNIVERSAL; BEHAVIOR</t>
        </is>
      </c>
      <c r="W673" t="inlineStr">
        <is>
          <t>This paper is built on the assumption that architecture is the establishment of the relationship between past and future, built and unbuilt, within the inherited and natural context and in direct connection with the overall culture. Unlike a traditional approach to heritage generally limited to considering only the visible values of the place, this research stands on the belief that, in the context of heritage, the implementation and application of behavioral knowledge in architectural discourse contributes to the intensification and enhancement of these relations. In accordance with the need to re-examine existing and explore new forms of the relationship between future life of heritage and social wellbeing, the main goal of the research is to examine the possibility of improving this relationship through a value-based architectural programming methodological framework. This paper was conducted through: (1) theoretical framework that intertwines environment-behavior theories and architectural programming as the value-matrix methodology for the reuse of heritage; (2) exploring the established framework through design results gathered within the design-based studio on heritage reprogramming  at the University of Belgrade-Faculty of Architecture with a particular focus on the modernist architectural heritage; and (3) discussing the overall principles through the multiscale and value-based approach. The evaluation of the results indicates the possibility of improving the social dimension of heritage protection and reuse, as well as the need to shift the focus from exclusively material and formal values of heritage to social and cultural aspects in accordance with the needs of contemporary society and culture. Results indicate that the multidimensional nature of architectural programming methodological approach in the context of modern heritage and, accordingly, the synergy of different programming values (environmental, human, social, systemic, temporal, economic, aesthetic) provides sustainable access to heritage and has the capacity to improve the social wellbeing of individual users but also of the wider community.</t>
        </is>
      </c>
      <c r="X673" t="inlineStr">
        <is>
          <t>[Ristic Trajkovic, Jelena; Milovanovic, Aleksandra; Nikezic, Ana] Univ Belgrade, Fac Architecture, Belgrade 11000, Serbia</t>
        </is>
      </c>
      <c r="Y673" t="inlineStr">
        <is>
          <t>University of Belgrade</t>
        </is>
      </c>
      <c r="Z673" t="inlineStr">
        <is>
          <t>Milovanovic, A (corresponding author), Univ Belgrade, Fac Architecture, Belgrade 11000, Serbia.</t>
        </is>
      </c>
      <c r="AA673" t="inlineStr">
        <is>
          <t>jelena.ristic@arh.bg.ac.rs; alekmil@arh.bg.ac.rs; ana.nikezic@arh.bg.ac.rs</t>
        </is>
      </c>
      <c r="AB673" t="inlineStr">
        <is>
          <t>Nikezic, Ana Z/S-7482-2017; Milovanovic, Aleksandra/ABF-4902-2020</t>
        </is>
      </c>
      <c r="AC673" t="inlineStr">
        <is>
          <t>Nikezic, Ana Z/0000-0003-0158-731X; Milovanovic, Aleksandra/0000-0003-0305-9318; Ristic Trajkovic, Jelena/0000-0001-8792-5599</t>
        </is>
      </c>
      <c r="AD673" t="inlineStr">
        <is>
          <t>Ministry of Education, Science and Technological Development of the Republic of Serbia [451-03-68/2020-14/200090]</t>
        </is>
      </c>
      <c r="AE673" t="inlineStr">
        <is>
          <t>Ministry of Education, Science and Technological Development of the Republic of Serbia(Ministry of Education, Science &amp; Technological Development, Serbia)</t>
        </is>
      </c>
      <c r="AF673" t="inlineStr">
        <is>
          <t>This research was funded by the Ministry of Education, Science and Technological Development of the Republic of Serbia, grant number 451-03-68/2020-14/200090.</t>
        </is>
      </c>
      <c r="AH673" t="n">
        <v>77</v>
      </c>
      <c r="AI673" t="n">
        <v>4</v>
      </c>
      <c r="AJ673" t="n">
        <v>4</v>
      </c>
      <c r="AK673" t="n">
        <v>5</v>
      </c>
      <c r="AL673" t="n">
        <v>16</v>
      </c>
      <c r="AM673" t="inlineStr">
        <is>
          <t>MDPI</t>
        </is>
      </c>
      <c r="AN673" t="inlineStr">
        <is>
          <t>BASEL</t>
        </is>
      </c>
      <c r="AO673" t="inlineStr">
        <is>
          <t>ST ALBAN-ANLAGE 66, CH-4052 BASEL, SWITZERLAND</t>
        </is>
      </c>
      <c r="AQ673" t="inlineStr">
        <is>
          <t>2071-1050</t>
        </is>
      </c>
      <c r="AS673" t="inlineStr">
        <is>
          <t>SUSTAINABILITY-BASEL</t>
        </is>
      </c>
      <c r="AT673" t="inlineStr">
        <is>
          <t>Sustainability</t>
        </is>
      </c>
      <c r="AU673" t="inlineStr">
        <is>
          <t>OCT</t>
        </is>
      </c>
      <c r="AV673" t="n">
        <v>2021</v>
      </c>
      <c r="AW673" t="n">
        <v>13</v>
      </c>
      <c r="AX673" t="n">
        <v>19</v>
      </c>
      <c r="BE673" t="n">
        <v>11111</v>
      </c>
      <c r="BF673" t="inlineStr">
        <is>
          <t>10.3390/su131911111</t>
        </is>
      </c>
      <c r="BG673">
        <f>HYPERLINK("http://dx.doi.org/10.3390/su131911111","http://dx.doi.org/10.3390/su131911111")</f>
        <v/>
      </c>
      <c r="BJ673" t="n">
        <v>30</v>
      </c>
      <c r="BK673" t="inlineStr">
        <is>
          <t>Green &amp; Sustainable Science &amp; Technology; Environmental Sciences; Environmental Studies</t>
        </is>
      </c>
      <c r="BL673" t="inlineStr">
        <is>
          <t>Science Citation Index Expanded (SCI-EXPANDED); Social Science Citation Index (SSCI)</t>
        </is>
      </c>
      <c r="BM673" t="inlineStr">
        <is>
          <t>Science &amp; Technology - Other Topics; Environmental Sciences &amp; Ecology</t>
        </is>
      </c>
      <c r="BN673" t="inlineStr">
        <is>
          <t>WI2YN</t>
        </is>
      </c>
      <c r="BP673" t="inlineStr">
        <is>
          <t>Green Published, gold</t>
        </is>
      </c>
      <c r="BS673" t="inlineStr">
        <is>
          <t>2023-10-26</t>
        </is>
      </c>
      <c r="BT673" t="inlineStr">
        <is>
          <t>WOS:000708232500001</t>
        </is>
      </c>
      <c r="BU673">
        <f>HYPERLINK("https%3A%2F%2Fwww.webofscience.com%2Fwos%2Fwoscc%2Ffull-record%2FWOS:000708232500001","View Full Record in Web of Science")</f>
        <v/>
      </c>
    </row>
    <row r="674">
      <c r="A674" t="inlineStr">
        <is>
          <t>J</t>
        </is>
      </c>
      <c r="B674" t="inlineStr">
        <is>
          <t>Massougbodji, J; Lebel, A; De Wals, P</t>
        </is>
      </c>
      <c r="F674" t="inlineStr">
        <is>
          <t>Massougbodji, Jose; Lebel, Alexandre; De Wals, Philippe</t>
        </is>
      </c>
      <c r="J674" t="inlineStr">
        <is>
          <t>INTERNATIONAL JOURNAL OF ENVIRONMENTAL RESEARCH AND PUBLIC HEALTH</t>
        </is>
      </c>
      <c r="M674" t="inlineStr">
        <is>
          <t>English</t>
        </is>
      </c>
      <c r="N674" t="inlineStr">
        <is>
          <t>Article</t>
        </is>
      </c>
      <c r="T674" t="inlineStr">
        <is>
          <t>Individual and School Correlates of Adolescent Leisure Time Physical Activity in Quebec, Canada</t>
        </is>
      </c>
      <c r="U674" t="inlineStr">
        <is>
          <t>adolescents; built environment; geographic information system; leisure-time physical activity; school neighbourhoods</t>
        </is>
      </c>
      <c r="V674" t="inlineStr">
        <is>
          <t>BUILT ENVIRONMENT; CHILDHOOD OBESITY; PARTICIPATION; INTERVENTION; CHILDREN; BEHAVIOR; POLICIES; PEOPLE; YOUTH</t>
        </is>
      </c>
      <c r="W674" t="inlineStr">
        <is>
          <t>Background: Leisure time physical activity (LTPA) correlates have been mostly studied in relation to adolescents' home neighbourhoods, but not so much in relation to the environment of their schools' neighbourhoods. We sought to investigate how objective environmental measures of the schools' vicinity are related to adolescents' self-reported LTPA. Methods: Individual data from the Quebec High School Students Health Survey (QHSSHS) were matched with schools' socioeconomic indicators, as well as geographic information system-based indicators of their built environments. Self-reported levels of LTPA during the school year were assessed according to intensity, frequency and index of energy expenditure. Associations per gender between covariates and LTPA were estimated using ordinal multilevel regression with multiple imputations. Results: Boys (21% of which were highly active) were more active than girls (16% of which were highly active) (p &lt;= 0.01). The incremental variance between schools explained by the contextual variables in the final models was higher among girls (7.8%) than boys (2.8%). The number of parks or green spaces within 750 m around their schools was positively associated with student LTPA in both genders. Conclusions: The promotion of parks around schools seems to be an avenue to be strengthened.</t>
        </is>
      </c>
      <c r="X674" t="inlineStr">
        <is>
          <t>[Massougbodji, Jose; De Wals, Philippe] Laval Univ, Dept Social &amp; Prevent Med, Sch Med, Quebec City, PQ G1V 0A6, Canada; [Massougbodji, Jose; Lebel, Alexandre; De Wals, Philippe] Quebec Heart &amp; Lung Inst Res Ctr, Evaluat Platform Obes Prevent, Ste Foy, PQ G1V 4G5, Canada; [Lebel, Alexandre] Laval Univ, Grad Sch Land Management &amp; Reg Planning, Quebec City, PQ G1K 9E5, Canada</t>
        </is>
      </c>
      <c r="Y674" t="inlineStr">
        <is>
          <t>Laval University; Quebec Heart &amp; Lung Institute; Laval University</t>
        </is>
      </c>
      <c r="Z674" t="inlineStr">
        <is>
          <t>De Wals, P (corresponding author), Laval Univ, Dept Social &amp; Prevent Med, Sch Med, Quebec City, PQ G1V 0A6, Canada.;De Wals, P (corresponding author), Quebec Heart &amp; Lung Inst Res Ctr, Evaluat Platform Obes Prevent, Ste Foy, PQ G1V 4G5, Canada.</t>
        </is>
      </c>
      <c r="AA674" t="inlineStr">
        <is>
          <t>Jose.Massougbodji@criucpq.ulaval.ca; alexandre.lebel@criucpq.ulaval.ca; philippe.dewals@criucpq.ulaval.ca</t>
        </is>
      </c>
      <c r="AB674" t="inlineStr">
        <is>
          <t>Lebel, Alexandre/HSF-8475-2023</t>
        </is>
      </c>
      <c r="AC674" t="inlineStr">
        <is>
          <t>Lebel, Alexandre/0000-0001-6774-7633</t>
        </is>
      </c>
      <c r="AD674" t="inlineStr">
        <is>
          <t>Fondation Lucie et Andre Chagnon</t>
        </is>
      </c>
      <c r="AE674" t="inlineStr">
        <is>
          <t>Fondation Lucie et Andre Chagnon</t>
        </is>
      </c>
      <c r="AF674" t="inlineStr">
        <is>
          <t>This work was supported by a development grant from the 'Fondation Lucie et Andre Chagnon'. We thank Florina Ramona Fratu, and Benoit Lalonde for their contribution to this study.</t>
        </is>
      </c>
      <c r="AH674" t="n">
        <v>46</v>
      </c>
      <c r="AI674" t="n">
        <v>5</v>
      </c>
      <c r="AJ674" t="n">
        <v>5</v>
      </c>
      <c r="AK674" t="n">
        <v>1</v>
      </c>
      <c r="AL674" t="n">
        <v>16</v>
      </c>
      <c r="AM674" t="inlineStr">
        <is>
          <t>MDPI</t>
        </is>
      </c>
      <c r="AN674" t="inlineStr">
        <is>
          <t>BASEL</t>
        </is>
      </c>
      <c r="AO674" t="inlineStr">
        <is>
          <t>ST ALBAN-ANLAGE 66, CH-4052 BASEL, SWITZERLAND</t>
        </is>
      </c>
      <c r="AP674" t="inlineStr">
        <is>
          <t>1660-4601</t>
        </is>
      </c>
      <c r="AS674" t="inlineStr">
        <is>
          <t>INT J ENV RES PUB HE</t>
        </is>
      </c>
      <c r="AT674" t="inlineStr">
        <is>
          <t>Int. J. Environ. Res. Public Health</t>
        </is>
      </c>
      <c r="AU674" t="inlineStr">
        <is>
          <t>MAR</t>
        </is>
      </c>
      <c r="AV674" t="n">
        <v>2018</v>
      </c>
      <c r="AW674" t="n">
        <v>15</v>
      </c>
      <c r="AX674" t="n">
        <v>3</v>
      </c>
      <c r="BE674" t="n">
        <v>412</v>
      </c>
      <c r="BF674" t="inlineStr">
        <is>
          <t>10.3390/ijerph15030412</t>
        </is>
      </c>
      <c r="BG674">
        <f>HYPERLINK("http://dx.doi.org/10.3390/ijerph15030412","http://dx.doi.org/10.3390/ijerph15030412")</f>
        <v/>
      </c>
      <c r="BJ674" t="n">
        <v>12</v>
      </c>
      <c r="BK674" t="inlineStr">
        <is>
          <t>Environmental Sciences; Public, Environmental &amp; Occupational Health</t>
        </is>
      </c>
      <c r="BL674" t="inlineStr">
        <is>
          <t>Science Citation Index Expanded (SCI-EXPANDED); Social Science Citation Index (SSCI)</t>
        </is>
      </c>
      <c r="BM674" t="inlineStr">
        <is>
          <t>Environmental Sciences &amp; Ecology; Public, Environmental &amp; Occupational Health</t>
        </is>
      </c>
      <c r="BN674" t="inlineStr">
        <is>
          <t>GA7II</t>
        </is>
      </c>
      <c r="BO674" t="n">
        <v>29495509</v>
      </c>
      <c r="BP674" t="inlineStr">
        <is>
          <t>gold, Green Published, Green Submitted</t>
        </is>
      </c>
      <c r="BS674" t="inlineStr">
        <is>
          <t>2023-10-26</t>
        </is>
      </c>
      <c r="BT674" t="inlineStr">
        <is>
          <t>WOS:000428509200019</t>
        </is>
      </c>
      <c r="BU674">
        <f>HYPERLINK("https%3A%2F%2Fwww.webofscience.com%2Fwos%2Fwoscc%2Ffull-record%2FWOS:000428509200019","View Full Record in Web of Science")</f>
        <v/>
      </c>
    </row>
    <row r="675">
      <c r="A675" t="inlineStr">
        <is>
          <t>J</t>
        </is>
      </c>
      <c r="B675" t="inlineStr">
        <is>
          <t>Salthammer, T</t>
        </is>
      </c>
      <c r="F675" t="inlineStr">
        <is>
          <t>Salthammer, Tunga</t>
        </is>
      </c>
      <c r="J675" t="inlineStr">
        <is>
          <t>ENVIRONMENTAL SCIENCE-ATMOSPHERES</t>
        </is>
      </c>
      <c r="M675" t="inlineStr">
        <is>
          <t>English</t>
        </is>
      </c>
      <c r="N675" t="inlineStr">
        <is>
          <t>Review</t>
        </is>
      </c>
      <c r="T675" t="inlineStr">
        <is>
          <t>Acetaldehyde in the indoor environment</t>
        </is>
      </c>
      <c r="V675" t="inlineStr">
        <is>
          <t>VOLATILE ORGANIC-COMPOUNDS; AIR-POLLUTANTS; CARBONYL-COMPOUNDS; PHOTOCATALYTIC OXIDATION; WOOD COMBUSTION; TOBACCO-SMOKE; ELECTRONIC CIGARETTES; MASS-SPECTROMETRY; NITROGEN-DIOXIDE; EMISSION FACTORS</t>
        </is>
      </c>
      <c r="W675" t="inlineStr">
        <is>
          <t>Acetaldehyde is a very volatile carbonyl compound with a boiling point of 20.1 degrees C. The industrial importance of acetaldehyde is comparatively small and tends to decrease. Nevertheless, the substance is ubiquitous in the environment, because acetaldehyde occurs in many chemical and biological processes as an intermediate and byproduct. Acetaldehyde plays an important role in atmospheric chemistry, it is formed during combustion and from the oxidation of fats and oils. Acetaldehyde primarily occurs in the metabolism of plant and animal organisms. Due to the diverse chemical reactions, there are a large number of potential sources, which means that acetaldehyde is also important for the indoor environment. Building products are often rich in fatty acids, which slowly decompose under the formation of aldehydes. Sources from human activities include the preparation of food, burning of candles, wood, and ethanol, as well as the consumption of cigarettes and e-cigarettes. Many other products and devices can release acetaldehyde, the human respiratory gas must not be disregarded, and acetaldehyde is present in outdoor air. Several organizations and institutions regard acetaldehyde as a priority indoor pollutant. This is due to its acute and chronic effects, but also to its classification as a carcinogenic substance. There are sufficient data for acetaldehyde in the atmosphere, as the substance is easily accessible analytically using the DNPH method and is thus often recorded in measurements. Nevertheless, to date, there has been no scientific work that comprehensively characterizes and evaluates acetaldehyde indoors. From the point of view of the necessity of such a summary, an overview of the properties of acetaldehyde and the most important reaction mechanisms is given, followed by a discussion of potential sources and indoor air concentrations. Finally, a health-related assessment of the substance is provided on the basis of indoor guide values.</t>
        </is>
      </c>
      <c r="X675" t="inlineStr">
        <is>
          <t>[Salthammer, Tunga] Fraunhofer WKI, Dept Mat Anal &amp; Indoor Chem, D-38108 Braunschweig, Germany</t>
        </is>
      </c>
      <c r="Z675" t="inlineStr">
        <is>
          <t>Salthammer, T (corresponding author), Fraunhofer WKI, Dept Mat Anal &amp; Indoor Chem, D-38108 Braunschweig, Germany.</t>
        </is>
      </c>
      <c r="AA675" t="inlineStr">
        <is>
          <t>tunga.salthammer@wki.fraunhofer.de</t>
        </is>
      </c>
      <c r="AD675" t="inlineStr">
        <is>
          <t>[CID 177]</t>
        </is>
      </c>
      <c r="AF675" t="inlineStr">
        <is>
          <t>The 3D structure image in the Graphical Abstract was taken from PubChem (R) (CID 177) https://pubchem.ncbi.nlm.nih.gov/.</t>
        </is>
      </c>
      <c r="AH675" t="n">
        <v>171</v>
      </c>
      <c r="AI675" t="n">
        <v>1</v>
      </c>
      <c r="AJ675" t="n">
        <v>1</v>
      </c>
      <c r="AK675" t="n">
        <v>7</v>
      </c>
      <c r="AL675" t="n">
        <v>16</v>
      </c>
      <c r="AM675" t="inlineStr">
        <is>
          <t>ROYAL SOC CHEMISTRY</t>
        </is>
      </c>
      <c r="AN675" t="inlineStr">
        <is>
          <t>CAMBRIDGE</t>
        </is>
      </c>
      <c r="AO675" t="inlineStr">
        <is>
          <t>THOMAS GRAHAM HOUSE, SCIENCE PARK, MILTON RD, CAMBRIDGE CB4 0WF, CAMBS, ENGLAND</t>
        </is>
      </c>
      <c r="AQ675" t="inlineStr">
        <is>
          <t>2634-3606</t>
        </is>
      </c>
      <c r="AS675" t="inlineStr">
        <is>
          <t>ENVIRON SCI-ATMOS</t>
        </is>
      </c>
      <c r="AT675" t="inlineStr">
        <is>
          <t>Environ. Sci. - Atmospheres</t>
        </is>
      </c>
      <c r="AU675" t="inlineStr">
        <is>
          <t>MAR 16</t>
        </is>
      </c>
      <c r="AV675" t="n">
        <v>2023</v>
      </c>
      <c r="AW675" t="n">
        <v>3</v>
      </c>
      <c r="AX675" t="n">
        <v>3</v>
      </c>
      <c r="BC675" t="n">
        <v>474</v>
      </c>
      <c r="BD675" t="n">
        <v>493</v>
      </c>
      <c r="BF675" t="inlineStr">
        <is>
          <t>10.1039/d2ea00146b</t>
        </is>
      </c>
      <c r="BG675">
        <f>HYPERLINK("http://dx.doi.org/10.1039/d2ea00146b","http://dx.doi.org/10.1039/d2ea00146b")</f>
        <v/>
      </c>
      <c r="BI675" t="inlineStr">
        <is>
          <t>DEC 2022</t>
        </is>
      </c>
      <c r="BJ675" t="n">
        <v>20</v>
      </c>
      <c r="BK675" t="inlineStr">
        <is>
          <t>Environmental Sciences; Meteorology &amp; Atmospheric Sciences</t>
        </is>
      </c>
      <c r="BL675" t="inlineStr">
        <is>
          <t>Emerging Sources Citation Index (ESCI)</t>
        </is>
      </c>
      <c r="BM675" t="inlineStr">
        <is>
          <t>Environmental Sciences &amp; Ecology; Meteorology &amp; Atmospheric Sciences</t>
        </is>
      </c>
      <c r="BN675" t="inlineStr">
        <is>
          <t>9V2CW</t>
        </is>
      </c>
      <c r="BP675" t="inlineStr">
        <is>
          <t>gold</t>
        </is>
      </c>
      <c r="BS675" t="inlineStr">
        <is>
          <t>2023-10-26</t>
        </is>
      </c>
      <c r="BT675" t="inlineStr">
        <is>
          <t>WOS:000900258800001</t>
        </is>
      </c>
      <c r="BU675">
        <f>HYPERLINK("https%3A%2F%2Fwww.webofscience.com%2Fwos%2Fwoscc%2Ffull-record%2FWOS:000900258800001","View Full Record in Web of Science")</f>
        <v/>
      </c>
    </row>
    <row r="676">
      <c r="A676" t="inlineStr">
        <is>
          <t>J</t>
        </is>
      </c>
      <c r="B676" t="inlineStr">
        <is>
          <t>Zedi, M; Kayser, B</t>
        </is>
      </c>
      <c r="F676" t="inlineStr">
        <is>
          <t>Zedi, Matthias; Kayser, Bengt</t>
        </is>
      </c>
      <c r="J676" t="inlineStr">
        <is>
          <t>INTERNATIONAL JOURNAL OF ENVIRONMENTAL RESEARCH AND PUBLIC HEALTH</t>
        </is>
      </c>
      <c r="M676" t="inlineStr">
        <is>
          <t>English</t>
        </is>
      </c>
      <c r="N676" t="inlineStr">
        <is>
          <t>Article</t>
        </is>
      </c>
      <c r="T676" t="inlineStr">
        <is>
          <t>Lack of Pregraduate Teaching on the Associations between the Built Environment, Physical Activity and Health in Swiss Architecture and Urban Design Degree Programs</t>
        </is>
      </c>
      <c r="U676" t="inlineStr">
        <is>
          <t>physical activity; health; epidemiology; education; pedagogy; urbanism; architecture</t>
        </is>
      </c>
      <c r="W676" t="inlineStr">
        <is>
          <t>Background: Lack of physical activity (PA) is the fourth risk factor for all-cause mortality. Regular PA reduces noncommunicable disease (NCD) and mortality risk. The built environment (BE) is a determinant of spontaneous daily PA. Professionals who plan and build the BE therefore affect public health. We tested the hypothesis of a lack of formal pregraduate training about associations between the BE, PA and health in architecture, landscape architecture, and urban design academic degree programs (DPs) in Switzerland. Methods: We reached out to all DPs in Switzerland to ask if and how these associations are taught. For those declaring to teach the topic, the program syllabus and course material were inspected. Results and discussion: For 30 out of 33 identified programs, information for the analysis was obtained. A total of 18 declared teaching the BE, PA and health associations, but this could be confirmed for only 5 after verifying the course content. Teaching principles of building PA-promoting BE represents an underutilized potential for public health promotion. Conclusions: There is a need to introduce formal learning objectives in architecture, landscape architecture, and urban design DPs in Switzerland on the associations between BE, PA and health. It is likely that similar needs exist in other countries.</t>
        </is>
      </c>
      <c r="X676" t="inlineStr">
        <is>
          <t>[Zedi, Matthias; Kayser, Bengt] Univ Lausanne, Inst Sport Sci, CH-1015 Lausanne, Switzerland</t>
        </is>
      </c>
      <c r="Y676" t="inlineStr">
        <is>
          <t>University of Lausanne</t>
        </is>
      </c>
      <c r="Z676" t="inlineStr">
        <is>
          <t>Kayser, B (corresponding author), Univ Lausanne, Inst Sport Sci, CH-1015 Lausanne, Switzerland.</t>
        </is>
      </c>
      <c r="AA676" t="inlineStr">
        <is>
          <t>zedi.matthias@bluewin.ch; bengt.kayser@unil.ch</t>
        </is>
      </c>
      <c r="AB676" t="inlineStr">
        <is>
          <t>Kayser, Bengt/M-8643-2013</t>
        </is>
      </c>
      <c r="AC676" t="inlineStr">
        <is>
          <t>Kayser, Bengt/0000-0002-9776-7501</t>
        </is>
      </c>
      <c r="AH676" t="n">
        <v>35</v>
      </c>
      <c r="AI676" t="n">
        <v>0</v>
      </c>
      <c r="AJ676" t="n">
        <v>0</v>
      </c>
      <c r="AK676" t="n">
        <v>0</v>
      </c>
      <c r="AL676" t="n">
        <v>16</v>
      </c>
      <c r="AM676" t="inlineStr">
        <is>
          <t>MDPI</t>
        </is>
      </c>
      <c r="AN676" t="inlineStr">
        <is>
          <t>BASEL</t>
        </is>
      </c>
      <c r="AO676" t="inlineStr">
        <is>
          <t>ST ALBAN-ANLAGE 66, CH-4052 BASEL, SWITZERLAND</t>
        </is>
      </c>
      <c r="AQ676" t="inlineStr">
        <is>
          <t>1660-4601</t>
        </is>
      </c>
      <c r="AS676" t="inlineStr">
        <is>
          <t>INT J ENV RES PUB HE</t>
        </is>
      </c>
      <c r="AT676" t="inlineStr">
        <is>
          <t>Int. J. Environ. Res. Public Health</t>
        </is>
      </c>
      <c r="AU676" t="inlineStr">
        <is>
          <t>JAN</t>
        </is>
      </c>
      <c r="AV676" t="n">
        <v>2021</v>
      </c>
      <c r="AW676" t="n">
        <v>18</v>
      </c>
      <c r="AX676" t="n">
        <v>1</v>
      </c>
      <c r="BE676" t="n">
        <v>15</v>
      </c>
      <c r="BF676" t="inlineStr">
        <is>
          <t>10.3390/ijerph18010015</t>
        </is>
      </c>
      <c r="BG676">
        <f>HYPERLINK("http://dx.doi.org/10.3390/ijerph18010015","http://dx.doi.org/10.3390/ijerph18010015")</f>
        <v/>
      </c>
      <c r="BJ676" t="n">
        <v>10</v>
      </c>
      <c r="BK676" t="inlineStr">
        <is>
          <t>Environmental Sciences; Public, Environmental &amp; Occupational Health</t>
        </is>
      </c>
      <c r="BL676" t="inlineStr">
        <is>
          <t>Science Citation Index Expanded (SCI-EXPANDED); Social Science Citation Index (SSCI)</t>
        </is>
      </c>
      <c r="BM676" t="inlineStr">
        <is>
          <t>Environmental Sciences &amp; Ecology; Public, Environmental &amp; Occupational Health</t>
        </is>
      </c>
      <c r="BN676" t="inlineStr">
        <is>
          <t>PQ6MP</t>
        </is>
      </c>
      <c r="BO676" t="n">
        <v>33375100</v>
      </c>
      <c r="BP676" t="inlineStr">
        <is>
          <t>Green Published, gold</t>
        </is>
      </c>
      <c r="BS676" t="inlineStr">
        <is>
          <t>2023-10-26</t>
        </is>
      </c>
      <c r="BT676" t="inlineStr">
        <is>
          <t>WOS:000606658000001</t>
        </is>
      </c>
      <c r="BU676">
        <f>HYPERLINK("https%3A%2F%2Fwww.webofscience.com%2Fwos%2Fwoscc%2Ffull-record%2FWOS:000606658000001","View Full Record in Web of Science")</f>
        <v/>
      </c>
    </row>
    <row r="677">
      <c r="A677" t="inlineStr">
        <is>
          <t>J</t>
        </is>
      </c>
      <c r="B677" t="inlineStr">
        <is>
          <t>Zhang, CL</t>
        </is>
      </c>
      <c r="F677" t="inlineStr">
        <is>
          <t>Zhang, Chaolin</t>
        </is>
      </c>
      <c r="J677" t="inlineStr">
        <is>
          <t>FRESENIUS ENVIRONMENTAL BULLETIN</t>
        </is>
      </c>
      <c r="M677" t="inlineStr">
        <is>
          <t>English</t>
        </is>
      </c>
      <c r="N677" t="inlineStr">
        <is>
          <t>Article</t>
        </is>
      </c>
      <c r="T677" t="inlineStr">
        <is>
          <t>RESEARCH ON THE CONSTRUCTION OF ECOLOGICAL SPORTS EDUCATION ENVIRONMENT</t>
        </is>
      </c>
      <c r="U677" t="inlineStr">
        <is>
          <t>Sustainable development; Physical ecological education; Construction; Reform</t>
        </is>
      </c>
      <c r="V677" t="inlineStr">
        <is>
          <t>PHYSICAL-EDUCATION; SCHOOL</t>
        </is>
      </c>
      <c r="W677" t="inlineStr">
        <is>
          <t>With the continuous development and progress of the economy and society. in order to achieve the sustainable development of higher education, it is required to change the traditional concept of education to the concept of educational ecology. This article uses ecological theories and methods to establish a new concept of the dual subject of physical education teachers, the comprehensive integration of physical education goals and content, and build an ecological physical education environment. The results show that: under the guidance of quality education and the idea of health first, the reformed discipline promotes the innovation of talent training model. It is beneficial to the development of teachers and students to build an internal and external integration to teach ecological models, an ecosystem of physical education courses, implement ecological evaluation. and create an ecological environment for learning and learning throughout the learning stage. This research can improve the quality of personnel training and provide theoretical reference for the reform of college physical education in the new period.</t>
        </is>
      </c>
      <c r="X677" t="inlineStr">
        <is>
          <t>[Zhang, Chaolin] Chongqing Three Gorges Univ, Chongqing 404100, Peoples R China</t>
        </is>
      </c>
      <c r="Y677" t="inlineStr">
        <is>
          <t>Chongqing Three Gorges University</t>
        </is>
      </c>
      <c r="Z677" t="inlineStr">
        <is>
          <t>Zhang, CL (corresponding author), Chongqing Three Gorges Univ, Chongqing 404100, Peoples R China.</t>
        </is>
      </c>
      <c r="AA677" t="inlineStr">
        <is>
          <t>zhangchaolin888@sina.com</t>
        </is>
      </c>
      <c r="AH677" t="n">
        <v>20</v>
      </c>
      <c r="AI677" t="n">
        <v>0</v>
      </c>
      <c r="AJ677" t="n">
        <v>0</v>
      </c>
      <c r="AK677" t="n">
        <v>1</v>
      </c>
      <c r="AL677" t="n">
        <v>10</v>
      </c>
      <c r="AM677" t="inlineStr">
        <is>
          <t>PARLAR SCIENTIFIC PUBLICATIONS (P S P)</t>
        </is>
      </c>
      <c r="AN677" t="inlineStr">
        <is>
          <t>FREISING</t>
        </is>
      </c>
      <c r="AO677" t="inlineStr">
        <is>
          <t>ANGERSTR. 12, 85354 FREISING, GERMANY</t>
        </is>
      </c>
      <c r="AP677" t="inlineStr">
        <is>
          <t>1018-4619</t>
        </is>
      </c>
      <c r="AQ677" t="inlineStr">
        <is>
          <t>1610-2304</t>
        </is>
      </c>
      <c r="AS677" t="inlineStr">
        <is>
          <t>FRESEN ENVIRON BULL</t>
        </is>
      </c>
      <c r="AT677" t="inlineStr">
        <is>
          <t>Fresenius Environ. Bull.</t>
        </is>
      </c>
      <c r="AV677" t="n">
        <v>2021</v>
      </c>
      <c r="AW677" t="n">
        <v>30</v>
      </c>
      <c r="AX677" t="n">
        <v>1</v>
      </c>
      <c r="BC677" t="n">
        <v>815</v>
      </c>
      <c r="BD677" t="n">
        <v>821</v>
      </c>
      <c r="BJ677" t="n">
        <v>7</v>
      </c>
      <c r="BK677" t="inlineStr">
        <is>
          <t>Environmental Sciences</t>
        </is>
      </c>
      <c r="BL677" t="inlineStr">
        <is>
          <t>Science Citation Index Expanded (SCI-EXPANDED); Social Science Citation Index (SSCI)</t>
        </is>
      </c>
      <c r="BM677" t="inlineStr">
        <is>
          <t>Environmental Sciences &amp; Ecology</t>
        </is>
      </c>
      <c r="BN677" t="inlineStr">
        <is>
          <t>QX2ME</t>
        </is>
      </c>
      <c r="BS677" t="inlineStr">
        <is>
          <t>2023-10-26</t>
        </is>
      </c>
      <c r="BT677" t="inlineStr">
        <is>
          <t>WOS:000629181200090</t>
        </is>
      </c>
      <c r="BU677">
        <f>HYPERLINK("https%3A%2F%2Fwww.webofscience.com%2Fwos%2Fwoscc%2Ffull-record%2FWOS:000629181200090","View Full Record in Web of Science")</f>
        <v/>
      </c>
    </row>
    <row r="678">
      <c r="A678" t="inlineStr">
        <is>
          <t>J</t>
        </is>
      </c>
      <c r="B678" t="inlineStr">
        <is>
          <t>Hildebrandt, S; Kubota, T; Sani, HA; Surahman, U</t>
        </is>
      </c>
      <c r="F678" t="inlineStr">
        <is>
          <t>Hildebrandt, Sophia; Kubota, Tetsu; Sani, Hanief Ariefman; Surahman, Usep</t>
        </is>
      </c>
      <c r="J678" t="inlineStr">
        <is>
          <t>ATMOSPHERE</t>
        </is>
      </c>
      <c r="M678" t="inlineStr">
        <is>
          <t>English</t>
        </is>
      </c>
      <c r="N678" t="inlineStr">
        <is>
          <t>Article</t>
        </is>
      </c>
      <c r="T678" t="inlineStr">
        <is>
          <t>Indoor Air Quality and Health in Newly Constructed Apartments in Developing Countries: A Case Study of Surabaya, Indonesia</t>
        </is>
      </c>
      <c r="U678" t="inlineStr">
        <is>
          <t>indoor air quality; multiple chemical sensitivity; QEESI; high-rise apartment; residence; developing countries</t>
        </is>
      </c>
      <c r="V678" t="inlineStr">
        <is>
          <t>SICK-BUILDING SYNDROME; MULTIPLE CHEMICAL-SENSITIVITY; VOLATILE ORGANIC-COMPOUNDS; ALLERGIC DISEASES; SOCIAL SUPPORT; HOUSE SYNDROME; RISK-FACTORS; SYMPTOMS; EXPOSURE; HOME</t>
        </is>
      </c>
      <c r="W678" t="inlineStr">
        <is>
          <t>In times of rapid urbanization, increasing usage of chemicals in buildings, and energy saving measures, the topic of indoor air quality (IAQ) demands reinforced attention. Nevertheless, especially in developing countries with urgent building construction needs, IAQ has hardly been examined. This study investigates the condition of IAQ and health of occupants in newly constructed high-rise apartments in contrast to traditional detached houses (Kampongs) in Surabaya, Indonesia. Information on building attributes, cleaning and ventilation behavior, interior sources, personal characteristics and health, especially multiple chemical sensitivity (MCS), was collected through 471 questionnaires. In addition, 76 measurements of TVOCs, formaldehyde and 30 measurements of mold risk were carried out. The results showed that the share of people in apartments with a very suggestive risk of MCS was twice as high as that in Kampongs (17.6% vs. 6.7%). Correlation analysis suggested that for both residential types, health problems, negative smell or perception of IAQ, and higher levels of stress determined higher degrees of MCS. For IAQ, high concentrations of formaldehyde and TVOCs were measured in apartments and corresponded to higher MCS risk, whereas severe mold issues were predicted in Kampongs. This study suggests major shortcomings in the indoor environment in newly constructed apartments for the physical and the mental health of occupants.</t>
        </is>
      </c>
      <c r="X678" t="inlineStr">
        <is>
          <t>[Hildebrandt, Sophia] Univ Leipzig, Inst Bldg Design &amp; Management, Grimmaische Str 12, D-04109 Leipzig, Germany; [Kubota, Tetsu; Sani, Hanief Ariefman] Hiroshima Univ, Grad Sch Int Dev &amp; Cooperat, 1-5-1 Kagamiyama, Higashihiroshima, Hiroshima 7398529, Japan; [Kubota, Tetsu] Minist Publ Works &amp; Housing, Res Inst Human Settlement &amp; Housing, Bandung 40393, Indonesia; [Surahman, Usep] Univ Pendidikan Indonesia, Dept Architectural Educ, Jl Dr Setiabudhi 229, Bandung 40154, West Java, Indonesia</t>
        </is>
      </c>
      <c r="Y678" t="inlineStr">
        <is>
          <t>Leipzig University; Hiroshima University; Universitas Pendidikan Indonesia</t>
        </is>
      </c>
      <c r="Z678" t="inlineStr">
        <is>
          <t>Kubota, T (corresponding author), Hiroshima Univ, Grad Sch Int Dev &amp; Cooperat, 1-5-1 Kagamiyama, Higashihiroshima, Hiroshima 7398529, Japan.;Kubota, T (corresponding author), Minist Publ Works &amp; Housing, Res Inst Human Settlement &amp; Housing, Bandung 40393, Indonesia.</t>
        </is>
      </c>
      <c r="AA678" t="inlineStr">
        <is>
          <t>sophia.hildebrandt@posteo.de; tetsu@hiroshima-u.ac.jp; hanief.sani@yahoo.com; u_surahman@yahoo.com</t>
        </is>
      </c>
      <c r="AB678" t="inlineStr">
        <is>
          <t>Kubota, Tetsu/O-9310-2019; KUBOTA, TETSU/N-1527-2013; Surahman, Usep/AHC-8417-2022</t>
        </is>
      </c>
      <c r="AC678" t="inlineStr">
        <is>
          <t>Kubota, Tetsu/0000-0002-2992-6726; Surahman, Usep/0000-0001-7468-1396; Hildebrandt, Sophia/0000-0002-1295-4472</t>
        </is>
      </c>
      <c r="AD678" t="inlineStr">
        <is>
          <t>Panasonic Corporation; KAKENHI [JP15KK0210]</t>
        </is>
      </c>
      <c r="AE678" t="inlineStr">
        <is>
          <t>Panasonic Corporation; KAKENHI(Ministry of Education, Culture, Sports, Science and Technology, Japan (MEXT)Japan Society for the Promotion of ScienceGrants-in-Aid for Scientific Research (KAKENHI))</t>
        </is>
      </c>
      <c r="AF678" t="inlineStr">
        <is>
          <t>This research was supported by a grant from Panasonic Corporation and KAKENHI (JP15KK0210).</t>
        </is>
      </c>
      <c r="AH678" t="n">
        <v>72</v>
      </c>
      <c r="AI678" t="n">
        <v>10</v>
      </c>
      <c r="AJ678" t="n">
        <v>10</v>
      </c>
      <c r="AK678" t="n">
        <v>0</v>
      </c>
      <c r="AL678" t="n">
        <v>5</v>
      </c>
      <c r="AM678" t="inlineStr">
        <is>
          <t>MDPI</t>
        </is>
      </c>
      <c r="AN678" t="inlineStr">
        <is>
          <t>BASEL</t>
        </is>
      </c>
      <c r="AO678" t="inlineStr">
        <is>
          <t>ST ALBAN-ANLAGE 66, CH-4052 BASEL, SWITZERLAND</t>
        </is>
      </c>
      <c r="AP678" t="inlineStr">
        <is>
          <t>2073-4433</t>
        </is>
      </c>
      <c r="AS678" t="inlineStr">
        <is>
          <t>ATMOSPHERE-BASEL</t>
        </is>
      </c>
      <c r="AT678" t="inlineStr">
        <is>
          <t>Atmosphere</t>
        </is>
      </c>
      <c r="AU678" t="inlineStr">
        <is>
          <t>APR</t>
        </is>
      </c>
      <c r="AV678" t="n">
        <v>2019</v>
      </c>
      <c r="AW678" t="n">
        <v>10</v>
      </c>
      <c r="AX678" t="n">
        <v>4</v>
      </c>
      <c r="BE678" t="n">
        <v>182</v>
      </c>
      <c r="BF678" t="inlineStr">
        <is>
          <t>10.3390/atmos10040182</t>
        </is>
      </c>
      <c r="BG678">
        <f>HYPERLINK("http://dx.doi.org/10.3390/atmos10040182","http://dx.doi.org/10.3390/atmos10040182")</f>
        <v/>
      </c>
      <c r="BJ678" t="n">
        <v>22</v>
      </c>
      <c r="BK678" t="inlineStr">
        <is>
          <t>Environmental Sciences; Meteorology &amp; Atmospheric Sciences</t>
        </is>
      </c>
      <c r="BL678" t="inlineStr">
        <is>
          <t>Science Citation Index Expanded (SCI-EXPANDED)</t>
        </is>
      </c>
      <c r="BM678" t="inlineStr">
        <is>
          <t>Environmental Sciences &amp; Ecology; Meteorology &amp; Atmospheric Sciences</t>
        </is>
      </c>
      <c r="BN678" t="inlineStr">
        <is>
          <t>HX3SR</t>
        </is>
      </c>
      <c r="BP678" t="inlineStr">
        <is>
          <t>Green Submitted, gold</t>
        </is>
      </c>
      <c r="BS678" t="inlineStr">
        <is>
          <t>2023-10-26</t>
        </is>
      </c>
      <c r="BT678" t="inlineStr">
        <is>
          <t>WOS:000467313400021</t>
        </is>
      </c>
      <c r="BU678">
        <f>HYPERLINK("https%3A%2F%2Fwww.webofscience.com%2Fwos%2Fwoscc%2Ffull-record%2FWOS:000467313400021","View Full Record in Web of Science")</f>
        <v/>
      </c>
    </row>
    <row r="679">
      <c r="A679" t="inlineStr">
        <is>
          <t>J</t>
        </is>
      </c>
      <c r="B679" t="inlineStr">
        <is>
          <t>Chowdhury, S; Noguchi, M; Doloi, H</t>
        </is>
      </c>
      <c r="F679" t="inlineStr">
        <is>
          <t>Chowdhury, Sajal; Noguchi, Masa; Doloi, Hemanta</t>
        </is>
      </c>
      <c r="J679" t="inlineStr">
        <is>
          <t>SUSTAINABILITY</t>
        </is>
      </c>
      <c r="M679" t="inlineStr">
        <is>
          <t>English</t>
        </is>
      </c>
      <c r="N679" t="inlineStr">
        <is>
          <t>Article</t>
        </is>
      </c>
      <c r="T679" t="inlineStr">
        <is>
          <t>Conceptual Parametric Relationship for Occupants' Domestic Environmental Experience</t>
        </is>
      </c>
      <c r="U679" t="inlineStr">
        <is>
          <t>domestic environment; spatial factors; environmental factors; occupants’ experiences; theoretical relationship</t>
        </is>
      </c>
      <c r="V679" t="inlineStr">
        <is>
          <t>ARCHITECTURAL DESIGN; BUILT ENVIRONMENT; INDOOR ENVIRONMENT; QUALITY; HOME; PERCEPTIONS; PSYCHOLOGY; BUILDINGS; EXPOSURE; BENEFITS</t>
        </is>
      </c>
      <c r="W679" t="inlineStr">
        <is>
          <t>Today's architectural design approaches do not adequately address the relationship between users' spatial, environmental and psychological experiences. Domestic environmental experience generally indicates users' cognitive perceptions and physical responses within dwelling spaces. Therefore, without a clear perception of occupants' experiences, it is difficult to identify proper architectural solutions for a domestic environment. To understand notions of these domestic experiences, the current study explores the theoretical relationship between spatial and environmental design factors within domestic settings which led to the concept of Environmental Experience Design (EXD). Extensive data exploration was conducted using a combination of thirty keywords through different databases (e.g., Scopus, ScienceDirect, PubMed, Google Scholar, Mendeley and Research Gate) to categorise the relevant literature regarding thematic study areas such as human perception and phenomenology, environmental design and psychology, residential environment and design, health-wellbeing and user experiences. This study has identified theoretical associations between spatial and environmental design factors of different domestic spaces that can stimulate occupants' satisfaction and comfort by reviewing eighty-seven studies from the literature. However, occupants' contextual situations significantly impact domestic spaces, where spatial and environmental design attributes may be connected to diverse sociocultural factors. The scope of explanation about user context is limited, to some extent, in environmental design theories. Thus, combining occupants' contexts with spatial and environmental design factors will be a future research direction used to explore the notion of Domestic Environmental Experience Design</t>
        </is>
      </c>
      <c r="X679" t="inlineStr">
        <is>
          <t>[Chowdhury, Sajal; Noguchi, Masa] Univ Melbourne, Fac Architecture Bldg &amp; Planning, ZEMCH EXD Lab, Melbourne, Vic 3010, Australia; [Doloi, Hemanta] Univ Melbourne, Fac Architecture Bldg &amp; Planning, Smart Villages Lab, Melbourne, Vic 3010, Australia</t>
        </is>
      </c>
      <c r="Y679" t="inlineStr">
        <is>
          <t>University of Melbourne; University of Melbourne</t>
        </is>
      </c>
      <c r="Z679" t="inlineStr">
        <is>
          <t>Chowdhury, S (corresponding author), Univ Melbourne, Fac Architecture Bldg &amp; Planning, ZEMCH EXD Lab, Melbourne, Vic 3010, Australia.</t>
        </is>
      </c>
      <c r="AA679" t="inlineStr">
        <is>
          <t>sajal.chowdhury@unimelb.edu.au; masa.noguchi@unimelb.edu.au; hdoloi@unimelb.edu.au</t>
        </is>
      </c>
      <c r="AB679" t="inlineStr">
        <is>
          <t>Doloi, Hemanta/AAY-9372-2021; Noguchi, Masa/V-4471-2019</t>
        </is>
      </c>
      <c r="AC679" t="inlineStr">
        <is>
          <t>Noguchi, Masa/0000-0003-1437-5455; Chowdhury, Sajal/0000-0001-5795-0363</t>
        </is>
      </c>
      <c r="AD679" t="inlineStr">
        <is>
          <t>Melbourne School of Design, Faculty of Architecture, Building and Planning, The University of Melbourne</t>
        </is>
      </c>
      <c r="AE679" t="inlineStr">
        <is>
          <t>Melbourne School of Design, Faculty of Architecture, Building and Planning, The University of Melbourne</t>
        </is>
      </c>
      <c r="AF679" t="inlineStr">
        <is>
          <t>The authors would like to express their sincere gratitude to Melbourne School of Design, Faculty of Architecture, Building and Planning, The University of Melbourne for providing access to the facilities required for this research activity as well as a full PhD scholarship given to the first author of this paper.</t>
        </is>
      </c>
      <c r="AH679" t="n">
        <v>87</v>
      </c>
      <c r="AI679" t="n">
        <v>3</v>
      </c>
      <c r="AJ679" t="n">
        <v>3</v>
      </c>
      <c r="AK679" t="n">
        <v>6</v>
      </c>
      <c r="AL679" t="n">
        <v>15</v>
      </c>
      <c r="AM679" t="inlineStr">
        <is>
          <t>MDPI</t>
        </is>
      </c>
      <c r="AN679" t="inlineStr">
        <is>
          <t>BASEL</t>
        </is>
      </c>
      <c r="AO679" t="inlineStr">
        <is>
          <t>ST ALBAN-ANLAGE 66, CH-4052 BASEL, SWITZERLAND</t>
        </is>
      </c>
      <c r="AQ679" t="inlineStr">
        <is>
          <t>2071-1050</t>
        </is>
      </c>
      <c r="AS679" t="inlineStr">
        <is>
          <t>SUSTAINABILITY-BASEL</t>
        </is>
      </c>
      <c r="AT679" t="inlineStr">
        <is>
          <t>Sustainability</t>
        </is>
      </c>
      <c r="AU679" t="inlineStr">
        <is>
          <t>MAR</t>
        </is>
      </c>
      <c r="AV679" t="n">
        <v>2021</v>
      </c>
      <c r="AW679" t="n">
        <v>13</v>
      </c>
      <c r="AX679" t="n">
        <v>5</v>
      </c>
      <c r="BE679" t="n">
        <v>2982</v>
      </c>
      <c r="BF679" t="inlineStr">
        <is>
          <t>10.3390/su13052982</t>
        </is>
      </c>
      <c r="BG679">
        <f>HYPERLINK("http://dx.doi.org/10.3390/su13052982","http://dx.doi.org/10.3390/su13052982")</f>
        <v/>
      </c>
      <c r="BJ679" t="n">
        <v>28</v>
      </c>
      <c r="BK679" t="inlineStr">
        <is>
          <t>Green &amp; Sustainable Science &amp; Technology; Environmental Sciences; Environmental Studies</t>
        </is>
      </c>
      <c r="BL679" t="inlineStr">
        <is>
          <t>Science Citation Index Expanded (SCI-EXPANDED); Social Science Citation Index (SSCI)</t>
        </is>
      </c>
      <c r="BM679" t="inlineStr">
        <is>
          <t>Science &amp; Technology - Other Topics; Environmental Sciences &amp; Ecology</t>
        </is>
      </c>
      <c r="BN679" t="inlineStr">
        <is>
          <t>QW3PP</t>
        </is>
      </c>
      <c r="BP679" t="inlineStr">
        <is>
          <t>Green Published, gold</t>
        </is>
      </c>
      <c r="BS679" t="inlineStr">
        <is>
          <t>2023-10-26</t>
        </is>
      </c>
      <c r="BT679" t="inlineStr">
        <is>
          <t>WOS:000628566100001</t>
        </is>
      </c>
      <c r="BU679">
        <f>HYPERLINK("https%3A%2F%2Fwww.webofscience.com%2Fwos%2Fwoscc%2Ffull-record%2FWOS:000628566100001","View Full Record in Web of Science")</f>
        <v/>
      </c>
    </row>
    <row r="680">
      <c r="A680" t="inlineStr">
        <is>
          <t>J</t>
        </is>
      </c>
      <c r="B680" t="inlineStr">
        <is>
          <t>Gallagher, J; Baldauf, R; Fuller, CH; Kumar, P; Gill, LW; McNabola, A</t>
        </is>
      </c>
      <c r="F680" t="inlineStr">
        <is>
          <t>Gallagher, John; Baldauf, Richard; Fuller, Christina H.; Kumar, Prashant; Gill, Laurence W.; McNabola, Aonghus</t>
        </is>
      </c>
      <c r="J680" t="inlineStr">
        <is>
          <t>ATMOSPHERIC ENVIRONMENT</t>
        </is>
      </c>
      <c r="M680" t="inlineStr">
        <is>
          <t>English</t>
        </is>
      </c>
      <c r="N680" t="inlineStr">
        <is>
          <t>Review</t>
        </is>
      </c>
      <c r="T680" t="inlineStr">
        <is>
          <t>Passive methods for improving air quality in the built environment: A review of porous and solid barriers</t>
        </is>
      </c>
      <c r="U680" t="inlineStr">
        <is>
          <t>Passive methods; Pollutant dispersion; Barriers; Air quality; Urban planning; Policy</t>
        </is>
      </c>
      <c r="V680" t="inlineStr">
        <is>
          <t>PARTICLE-SIZE DISTRIBUTIONS; PEDESTRIAN EXPOSURE; ULTRAFINE PARTICLES; ROADSIDE VEGETATION; POLLUTION EXPOSURE; URBAN VEGETATION; NOISE BARRIERS; STREET CANYON; WIND-TUNNEL; DISPERSION</t>
        </is>
      </c>
      <c r="W680" t="inlineStr">
        <is>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 (C) 2015 Elsevier Ltd. All rights reserved.</t>
        </is>
      </c>
      <c r="X680" t="inlineStr">
        <is>
          <t>[Gallagher, John] Bangor Univ, Sch Environm Nat Resources &amp; Geog, Bangor, Gwynedd, Wales; [Baldauf, Richard] US EPA, Off Res &amp; Dev, Natl Risk Management Res Lab, Res Triangle Pk, NC 27711 USA; [Fuller, Christina H.] Georgia State Univ, Sch Publ Hlth, Atlanta, GA 30302 USA; [Kumar, Prashant] Univ Surrey, Dept Civil &amp; Environm Engn, Fac Engn &amp; Phys Sci FEPS, Guildford GU2 7XH, Surrey, England; [Kumar, Prashant] Univ Surrey, FEPS, Environm Flow Res Ctr, Guildford GU2 7XH, Surrey, England; [Gill, Laurence W.; McNabola, Aonghus] Trinity Coll Dublin, Dept Civil Struct &amp; Environm Engn, Dublin, Ireland</t>
        </is>
      </c>
      <c r="Y680" t="inlineStr">
        <is>
          <t>Bangor University; United States Environmental Protection Agency; University System of Georgia; Georgia State University; University of Surrey; University of Surrey; Trinity College Dublin</t>
        </is>
      </c>
      <c r="Z680" t="inlineStr">
        <is>
          <t>Gallagher, J (corresponding author), Bangor Univ, Sch Environm Nat Resources &amp; Geog, Bangor, Gwynedd, Wales.</t>
        </is>
      </c>
      <c r="AA680" t="inlineStr">
        <is>
          <t>j.gallagher@bangor.ac.uk</t>
        </is>
      </c>
      <c r="AB680" t="inlineStr">
        <is>
          <t>Fuller, Christina/W-6346-2019; Gill, Laurence W/D-2592-2014; Gallagher, John/J-1373-2014; Kumar, Prashant/C-6357-2011</t>
        </is>
      </c>
      <c r="AC680" t="inlineStr">
        <is>
          <t>Fuller, Christina/0000-0003-0197-8142; Gill, Laurence W/0000-0002-1599-1105; Gallagher, John/0000-0002-0848-6151; Kumar, Prashant/0000-0002-2462-4411; McNabola, Aonghus/0000-0002-8715-1180</t>
        </is>
      </c>
      <c r="AH680" t="n">
        <v>58</v>
      </c>
      <c r="AI680" t="n">
        <v>127</v>
      </c>
      <c r="AJ680" t="n">
        <v>134</v>
      </c>
      <c r="AK680" t="n">
        <v>6</v>
      </c>
      <c r="AL680" t="n">
        <v>127</v>
      </c>
      <c r="AM680" t="inlineStr">
        <is>
          <t>PERGAMON-ELSEVIER SCIENCE LTD</t>
        </is>
      </c>
      <c r="AN680" t="inlineStr">
        <is>
          <t>OXFORD</t>
        </is>
      </c>
      <c r="AO680" t="inlineStr">
        <is>
          <t>THE BOULEVARD, LANGFORD LANE, KIDLINGTON, OXFORD OX5 1GB, ENGLAND</t>
        </is>
      </c>
      <c r="AP680" t="inlineStr">
        <is>
          <t>1352-2310</t>
        </is>
      </c>
      <c r="AQ680" t="inlineStr">
        <is>
          <t>1873-2844</t>
        </is>
      </c>
      <c r="AS680" t="inlineStr">
        <is>
          <t>ATMOS ENVIRON</t>
        </is>
      </c>
      <c r="AT680" t="inlineStr">
        <is>
          <t>Atmos. Environ.</t>
        </is>
      </c>
      <c r="AU680" t="inlineStr">
        <is>
          <t>NOV</t>
        </is>
      </c>
      <c r="AV680" t="n">
        <v>2015</v>
      </c>
      <c r="AW680" t="n">
        <v>120</v>
      </c>
      <c r="BC680" t="n">
        <v>61</v>
      </c>
      <c r="BD680" t="n">
        <v>70</v>
      </c>
      <c r="BF680" t="inlineStr">
        <is>
          <t>10.1016/j.atmosenv.2015.08.075</t>
        </is>
      </c>
      <c r="BG680">
        <f>HYPERLINK("http://dx.doi.org/10.1016/j.atmosenv.2015.08.075","http://dx.doi.org/10.1016/j.atmosenv.2015.08.075")</f>
        <v/>
      </c>
      <c r="BJ680" t="n">
        <v>10</v>
      </c>
      <c r="BK680" t="inlineStr">
        <is>
          <t>Environmental Sciences; Meteorology &amp; Atmospheric Sciences</t>
        </is>
      </c>
      <c r="BL680" t="inlineStr">
        <is>
          <t>Science Citation Index Expanded (SCI-EXPANDED)</t>
        </is>
      </c>
      <c r="BM680" t="inlineStr">
        <is>
          <t>Environmental Sciences &amp; Ecology; Meteorology &amp; Atmospheric Sciences</t>
        </is>
      </c>
      <c r="BN680" t="inlineStr">
        <is>
          <t>CV4SB</t>
        </is>
      </c>
      <c r="BS680" t="inlineStr">
        <is>
          <t>2023-10-26</t>
        </is>
      </c>
      <c r="BT680" t="inlineStr">
        <is>
          <t>WOS:000364255700006</t>
        </is>
      </c>
      <c r="BU680">
        <f>HYPERLINK("https%3A%2F%2Fwww.webofscience.com%2Fwos%2Fwoscc%2Ffull-record%2FWOS:000364255700006","View Full Record in Web of Science")</f>
        <v/>
      </c>
    </row>
    <row r="681">
      <c r="A681" t="inlineStr">
        <is>
          <t>J</t>
        </is>
      </c>
      <c r="B681" t="inlineStr">
        <is>
          <t>Wang, X; Lei, H; Han, ZL; Zhou, D; Shen, ZM; Zhang, HB; Zhu, HB; Bao, Y</t>
        </is>
      </c>
      <c r="F681" t="inlineStr">
        <is>
          <t>Wang, Xun; Lei, Hang; Han, Zhaolong; Zhou, Dai; Shen, Zhemin; Zhang, Huibo; Zhu, Hongbo; Bao, Yan</t>
        </is>
      </c>
      <c r="J681" t="inlineStr">
        <is>
          <t>ATMOSPHERIC ENVIRONMENT</t>
        </is>
      </c>
      <c r="M681" t="inlineStr">
        <is>
          <t>English</t>
        </is>
      </c>
      <c r="N681" t="inlineStr">
        <is>
          <t>Article</t>
        </is>
      </c>
      <c r="T681" t="inlineStr">
        <is>
          <t>Three-dimensional delayed detached-eddy simulation of wind flow and particle dispersion in the urban environment</t>
        </is>
      </c>
      <c r="U681" t="inlineStr">
        <is>
          <t>Three-dimensional delayed detached-eddy simulation; Discrete phase model; Wind flow; Particle dispersion; Urban environment</t>
        </is>
      </c>
      <c r="V681" t="inlineStr">
        <is>
          <t>AIR-QUALITY; SEVERE HAZE; CFD; POLLUTANTS; DEPOSITION; TRANSPORT; POLLUTION; JANUARY; AEROSOL; MODEL</t>
        </is>
      </c>
      <c r="W681" t="inlineStr">
        <is>
          <t>Recently, Haze-fog as an atmospheric phenomenon associated with high level of air pollutant has negative impacts on human health and environment, which arises the society attention. This paper is aimed at investigating the haze-fog dispersion in the urban environment from the physical view. The wind flow and particle dispersion in the urban environment are simulated by using the Delayed Detached-eddy Simulation (DDES) turbulence model and the Discrete Phase Model (DPM) under the atmospheric boundary layer flow. The results show that the particle dispersion is dominated by the wind flow including the velocity and vortex distribution and the gravity can slightly influence the particle deposition. The particle-empty areas around the buildings are identified during the dispersion and then they disappear gradually mainly through the recirculation function. When the wind direction changes, the blockage cross-section area derived from the building group becomes larger resulting in the larger low wind velocity area. Furthermore, the different reference inlet velocities directly affect the vorticity magnitude and the particle dispersion periods. It Is concluded that the DDES model is a promising approach to simulate the haze-fog physical development in the urban environment.</t>
        </is>
      </c>
      <c r="X681" t="inlineStr">
        <is>
          <t>[Wang, Xun; Lei, Hang; Han, Zhaolong; Zhou, Dai; Zhu, Hongbo; Bao, Yan] Shanghai Jiao Tong Univ, Sch Naval Architecture Ocean &amp; Civil Engn, Shanghai 200240, Peoples R China; [Han, Zhaolong; Zhou, Dai] Shanghai Jiao Tong Univ, State Key Lab Ocean Engn, Shanghai 200240, Peoples R China; [Zhou, Dai] Collaborat Innovat Ctr Adv Ship &amp; Deep Sea Explor, Shanghai 200240, Peoples R China; [Zhou, Dai] Minist Educ, Key Lab Hydrodynam, Shanghai 200240, Peoples R China; [Shen, Zhemin] Shanghai Jiao Tong Univ, Sch Environm Sci &amp; Engn, Shanghai 200240, Peoples R China; [Zhang, Huibo] Shanghai Jiao Tong Univ, Sch Design, Dept Architecture, Shanghai 200240, Peoples R China</t>
        </is>
      </c>
      <c r="Y681" t="inlineStr">
        <is>
          <t>Shanghai Jiao Tong University; Shanghai Jiao Tong University; Collaborative Innovation Center for Advanced Ship &amp; Deep Sea Exploration; Shanghai Jiao Tong University; Shanghai Jiao Tong University</t>
        </is>
      </c>
      <c r="Z681" t="inlineStr">
        <is>
          <t>Han, ZL; Zhou, D (corresponding author), Shanghai Jiao Tong Univ, Sch Naval Architecture Ocean &amp; Civil Engn, Shanghai 200240, Peoples R China.</t>
        </is>
      </c>
      <c r="AA681" t="inlineStr">
        <is>
          <t>han.arkey@sjtu.edu.cn; zhoudai@sjtu.edu.cn</t>
        </is>
      </c>
      <c r="AB681" t="inlineStr">
        <is>
          <t>Zhang, Huibo/E-7659-2011</t>
        </is>
      </c>
      <c r="AD681" t="inlineStr">
        <is>
          <t>National Natural Science Foundation of China [51879160, 11772193, 51679139]; Innovation Program of Shanghai Municipal Education Commission; Shanghai Pujiang Program [17PJ1404300]; Shanghai Natural Science Foundation [17ZR1415100, 18ZR1418000]; Project of Thousand Youth Talents [BE0100002]; Program for Professor of Special Appointment (Eastern Scholar) at Shanghai Institutions of Higher Learning [ZXDF010037]; Program for Intergovernmental International S&amp;T Cooperation Projects of Shanghai Municipality [18290710600]; Program for International Cooperation of Shanghai Science and Technology [18160744000]; New Enrolment Support of Shanghai Jiao Tong University [WF220401005]</t>
        </is>
      </c>
      <c r="AE681" t="inlineStr">
        <is>
          <t>National Natural Science Foundation of China(National Natural Science Foundation of China (NSFC)); Innovation Program of Shanghai Municipal Education Commission(Innovation Program of Shanghai Municipal Education Commission); Shanghai Pujiang Program(Shanghai Pujiang Program); Shanghai Natural Science Foundation(Natural Science Foundation of Shanghai); Project of Thousand Youth Talents; Program for Professor of Special Appointment (Eastern Scholar) at Shanghai Institutions of Higher Learning; Program for Intergovernmental International S&amp;T Cooperation Projects of Shanghai Municipality; Program for International Cooperation of Shanghai Science and Technology; New Enrolment Support of Shanghai Jiao Tong University</t>
        </is>
      </c>
      <c r="AF681" t="inlineStr">
        <is>
          <t>The financial supports from the National Natural Science Foundation of China (Nos. 51879160, 11772193and 51679139), Innovation Program of Shanghai Municipal Education Commission, the Shanghai Pujiang Program (No. 17PJ1404300), Shanghai Natural Science Foundation (Nos. 17ZR1415100 and 18ZR1418000), Project of Thousand Youth Talents (No. BE0100002) are gratefully acknowledged. This research is also sponsored in part by Program for Professor of Special Appointment (Eastern Scholar) at Shanghai Institutions of Higher Learning (No. ZXDF010037), Program for Intergovernmental International S&amp;T Cooperation Projects of Shanghai Municipality (No. 18290710600), Program for International Cooperation of Shanghai Science and Technology (No.18160744000) and New Enrolment Support of Shanghai Jiao Tong University (No. WF220401005).</t>
        </is>
      </c>
      <c r="AH681" t="n">
        <v>43</v>
      </c>
      <c r="AI681" t="n">
        <v>11</v>
      </c>
      <c r="AJ681" t="n">
        <v>12</v>
      </c>
      <c r="AK681" t="n">
        <v>2</v>
      </c>
      <c r="AL681" t="n">
        <v>33</v>
      </c>
      <c r="AM681" t="inlineStr">
        <is>
          <t>PERGAMON-ELSEVIER SCIENCE LTD</t>
        </is>
      </c>
      <c r="AN681" t="inlineStr">
        <is>
          <t>OXFORD</t>
        </is>
      </c>
      <c r="AO681" t="inlineStr">
        <is>
          <t>THE BOULEVARD, LANGFORD LANE, KIDLINGTON, OXFORD OX5 1GB, ENGLAND</t>
        </is>
      </c>
      <c r="AP681" t="inlineStr">
        <is>
          <t>1352-2310</t>
        </is>
      </c>
      <c r="AQ681" t="inlineStr">
        <is>
          <t>1873-2844</t>
        </is>
      </c>
      <c r="AS681" t="inlineStr">
        <is>
          <t>ATMOS ENVIRON</t>
        </is>
      </c>
      <c r="AT681" t="inlineStr">
        <is>
          <t>Atmos. Environ.</t>
        </is>
      </c>
      <c r="AU681" t="inlineStr">
        <is>
          <t>MAR 1</t>
        </is>
      </c>
      <c r="AV681" t="n">
        <v>2019</v>
      </c>
      <c r="AW681" t="n">
        <v>201</v>
      </c>
      <c r="BC681" t="n">
        <v>173</v>
      </c>
      <c r="BD681" t="n">
        <v>189</v>
      </c>
      <c r="BF681" t="inlineStr">
        <is>
          <t>10.1016/j.atmosenv.2019.01.004</t>
        </is>
      </c>
      <c r="BG681">
        <f>HYPERLINK("http://dx.doi.org/10.1016/j.atmosenv.2019.01.004","http://dx.doi.org/10.1016/j.atmosenv.2019.01.004")</f>
        <v/>
      </c>
      <c r="BJ681" t="n">
        <v>17</v>
      </c>
      <c r="BK681" t="inlineStr">
        <is>
          <t>Environmental Sciences; Meteorology &amp; Atmospheric Sciences</t>
        </is>
      </c>
      <c r="BL681" t="inlineStr">
        <is>
          <t>Science Citation Index Expanded (SCI-EXPANDED)</t>
        </is>
      </c>
      <c r="BM681" t="inlineStr">
        <is>
          <t>Environmental Sciences &amp; Ecology; Meteorology &amp; Atmospheric Sciences</t>
        </is>
      </c>
      <c r="BN681" t="inlineStr">
        <is>
          <t>HM9XI</t>
        </is>
      </c>
      <c r="BS681" t="inlineStr">
        <is>
          <t>2023-10-26</t>
        </is>
      </c>
      <c r="BT681" t="inlineStr">
        <is>
          <t>WOS:000459837900018</t>
        </is>
      </c>
      <c r="BU681">
        <f>HYPERLINK("https%3A%2F%2Fwww.webofscience.com%2Fwos%2Fwoscc%2Ffull-record%2FWOS:000459837900018","View Full Record in Web of Science")</f>
        <v/>
      </c>
    </row>
    <row r="682">
      <c r="A682" t="inlineStr">
        <is>
          <t>J</t>
        </is>
      </c>
      <c r="B682" t="inlineStr">
        <is>
          <t>Zhang, GF</t>
        </is>
      </c>
      <c r="F682" t="inlineStr">
        <is>
          <t>Zhang, Gaofeng</t>
        </is>
      </c>
      <c r="J682" t="inlineStr">
        <is>
          <t>JOURNAL OF ENVIRONMENTAL PROTECTION AND ECOLOGY</t>
        </is>
      </c>
      <c r="M682" t="inlineStr">
        <is>
          <t>English</t>
        </is>
      </c>
      <c r="N682" t="inlineStr">
        <is>
          <t>Article</t>
        </is>
      </c>
      <c r="T682" t="inlineStr">
        <is>
          <t>ANALYSIS OF EXTERNAL AND INTERNAL FACTORS AFFECTING THE DEVELOPMENT OF SPORTS ECOLOGICAL ENVIRONMENT</t>
        </is>
      </c>
      <c r="U682" t="inlineStr">
        <is>
          <t>ecological environment; sports ecological awareness; sports ecological education; sustainable development</t>
        </is>
      </c>
      <c r="W682" t="inlineStr">
        <is>
          <t>In order to promote the sustainable development of sports ecological environment, this study analyses and discusses the external factors such as the natural environment and social environment of sports ecological environment development from the concept of sports ecological environment to the explaining the ways of cultivating the consciousness of sports ecology. To standardise the internal factors affecting the construction of people sports ecological awareness, it is necessary to build a sports ecological education system and a sports ecological optimisation system. At the same time, it is necessary to establish the principles of mutual development of adaptation and development, unity of balance and imbalance, and coordination of symbiosis and competition. Through research and discussion, it is concluded that the maintenance and development of the sports ecological environment is not only limited to the strengthening of the external physical level, but also to establish a human-centered concept of the balance of sports culture and ecology, and thus promote the balance of the internal and external environment of sports ecology and promote the harmonious coexistence between people and sports and nature.</t>
        </is>
      </c>
      <c r="X682" t="inlineStr">
        <is>
          <t>[Zhang, Gaofeng] Yangtze Univ, Phys Educ, Jingzhou City 434023, Hubei, Peoples R China</t>
        </is>
      </c>
      <c r="Y682" t="inlineStr">
        <is>
          <t>Yangtze University</t>
        </is>
      </c>
      <c r="Z682" t="inlineStr">
        <is>
          <t>Zhang, GF (corresponding author), Yangtze Univ, Phys Educ, Jingzhou City 434023, Hubei, Peoples R China.</t>
        </is>
      </c>
      <c r="AA682" t="inlineStr">
        <is>
          <t>33820147@qq.com</t>
        </is>
      </c>
      <c r="AH682" t="n">
        <v>10</v>
      </c>
      <c r="AI682" t="n">
        <v>0</v>
      </c>
      <c r="AJ682" t="n">
        <v>0</v>
      </c>
      <c r="AK682" t="n">
        <v>1</v>
      </c>
      <c r="AL682" t="n">
        <v>16</v>
      </c>
      <c r="AM682" t="inlineStr">
        <is>
          <t>SCIBULCOM LTD</t>
        </is>
      </c>
      <c r="AN682" t="inlineStr">
        <is>
          <t>SOFIA</t>
        </is>
      </c>
      <c r="AO682" t="inlineStr">
        <is>
          <t>PO BOX 249, 1113 SOFIA, BULGARIA</t>
        </is>
      </c>
      <c r="AP682" t="inlineStr">
        <is>
          <t>1311-5065</t>
        </is>
      </c>
      <c r="AS682" t="inlineStr">
        <is>
          <t>J ENVIRON PROT ECOL</t>
        </is>
      </c>
      <c r="AT682" t="inlineStr">
        <is>
          <t>J. Environ. Prot. Ecol.</t>
        </is>
      </c>
      <c r="AV682" t="n">
        <v>2019</v>
      </c>
      <c r="AW682" t="n">
        <v>20</v>
      </c>
      <c r="BA682" t="inlineStr">
        <is>
          <t>B</t>
        </is>
      </c>
      <c r="BC682" t="inlineStr">
        <is>
          <t>S459</t>
        </is>
      </c>
      <c r="BD682" t="inlineStr">
        <is>
          <t>S464</t>
        </is>
      </c>
      <c r="BJ682" t="n">
        <v>6</v>
      </c>
      <c r="BK682" t="inlineStr">
        <is>
          <t>Environmental Sciences</t>
        </is>
      </c>
      <c r="BL682" t="inlineStr">
        <is>
          <t>Science Citation Index Expanded (SCI-EXPANDED)</t>
        </is>
      </c>
      <c r="BM682" t="inlineStr">
        <is>
          <t>Environmental Sciences &amp; Ecology</t>
        </is>
      </c>
      <c r="BN682" t="inlineStr">
        <is>
          <t>LL9OQ</t>
        </is>
      </c>
      <c r="BS682" t="inlineStr">
        <is>
          <t>2023-10-26</t>
        </is>
      </c>
      <c r="BT682" t="inlineStr">
        <is>
          <t>WOS:000531884900010</t>
        </is>
      </c>
      <c r="BU682">
        <f>HYPERLINK("https%3A%2F%2Fwww.webofscience.com%2Fwos%2Fwoscc%2Ffull-record%2FWOS:000531884900010","View Full Record in Web of Science")</f>
        <v/>
      </c>
    </row>
    <row r="683">
      <c r="A683" t="inlineStr">
        <is>
          <t>J</t>
        </is>
      </c>
      <c r="B683" t="inlineStr">
        <is>
          <t>Pomponi, F; Moncaster, A</t>
        </is>
      </c>
      <c r="F683" t="inlineStr">
        <is>
          <t>Pomponi, Francesco; Moncaster, Alice</t>
        </is>
      </c>
      <c r="J683" t="inlineStr">
        <is>
          <t>JOURNAL OF CLEANER PRODUCTION</t>
        </is>
      </c>
      <c r="M683" t="inlineStr">
        <is>
          <t>English</t>
        </is>
      </c>
      <c r="N683" t="inlineStr">
        <is>
          <t>Article</t>
        </is>
      </c>
      <c r="T683" t="inlineStr">
        <is>
          <t>Circular economy for the built environment: A research framework</t>
        </is>
      </c>
      <c r="U683" t="inlineStr">
        <is>
          <t>Circular economy; Built environment; Buildings; Building design; Interdisciplinary research</t>
        </is>
      </c>
      <c r="V683" t="inlineStr">
        <is>
          <t>CHINA; CONSUMPTION; EMISSIONS; PRODUCTS; INDUSTRY; DESIGN</t>
        </is>
      </c>
      <c r="W683" t="inlineStr">
        <is>
          <t>The built environment puts major pressure on the natural environment; its role in transitioning to a circular economy (CE) is therefore fundamental. However, current CE research tends to focus either on the macro-scale, such a seco-parks, or the micro-scale, such as manufactured products, with the risk of ignoring the additional impacts and potentials at the meso-scale of individual buildings. This article sets out to unpack the fundamental defining dimensions of a CE and frame them for CE studies for the built environment. A critical literature review forms the basis for identifying and framing such fundamental dimensions. Our contribution highlights the key roles of interdisciplinary research and of both bottom up and top-down initiatives in facilitating the transition to 'circular buildings'. The frame for reference has been used to capture current discourse on the sustainability of the built environment and has proved to be a valuable tool to cluster existing initiatives and highlight missing links for interdisciplinary endeavours. The article represents a contribution to the theoretical foundations of CE research in the built environment and a stepping stone to shape future research initiatives. Crown Copyright (C) 2016 Published by Elsevier Ltd. All rights reserved.</t>
        </is>
      </c>
      <c r="X683" t="inlineStr">
        <is>
          <t>[Pomponi, Francesco; Moncaster, Alice] Univ Cambridge, Dept Engn, Ctr Sustainable Dev, Trumpington St, Cambridge CB2 1PZ, England</t>
        </is>
      </c>
      <c r="Y683" t="inlineStr">
        <is>
          <t>University of Cambridge</t>
        </is>
      </c>
      <c r="Z683" t="inlineStr">
        <is>
          <t>Pomponi, F (corresponding author), Univ Cambridge, Dept Engn, Ctr Sustainable Dev, Trumpington St, Cambridge CB2 1PZ, England.</t>
        </is>
      </c>
      <c r="AA683" t="inlineStr">
        <is>
          <t>fp327@cam.ac.uk</t>
        </is>
      </c>
      <c r="AB683" t="inlineStr">
        <is>
          <t>Moncaster, Alice/AAL-7615-2020; Pomponi, Francesco/J-6106-2019</t>
        </is>
      </c>
      <c r="AC683" t="inlineStr">
        <is>
          <t>Moncaster, Alice/0000-0002-6092-2686; Pomponi, Francesco/0000-0003-3132-2523</t>
        </is>
      </c>
      <c r="AD683" t="inlineStr">
        <is>
          <t>Isaac Newton Trust [RG74916]</t>
        </is>
      </c>
      <c r="AE683" t="inlineStr">
        <is>
          <t>Isaac Newton Trust</t>
        </is>
      </c>
      <c r="AF683" t="inlineStr">
        <is>
          <t>The authors would like to thank and acknowledge the Isaac Newton Trust (Research Grant RG74916) for funding this research as well as the valuable inputs received by the anonymous reviewers.</t>
        </is>
      </c>
      <c r="AH683" t="n">
        <v>91</v>
      </c>
      <c r="AI683" t="n">
        <v>380</v>
      </c>
      <c r="AJ683" t="n">
        <v>383</v>
      </c>
      <c r="AK683" t="n">
        <v>11</v>
      </c>
      <c r="AL683" t="n">
        <v>210</v>
      </c>
      <c r="AM683" t="inlineStr">
        <is>
          <t>ELSEVIER SCI LTD</t>
        </is>
      </c>
      <c r="AN683" t="inlineStr">
        <is>
          <t>OXFORD</t>
        </is>
      </c>
      <c r="AO683" t="inlineStr">
        <is>
          <t>THE BOULEVARD, LANGFORD LANE, KIDLINGTON, OXFORD OX5 1GB, OXON, ENGLAND</t>
        </is>
      </c>
      <c r="AP683" t="inlineStr">
        <is>
          <t>0959-6526</t>
        </is>
      </c>
      <c r="AQ683" t="inlineStr">
        <is>
          <t>1879-1786</t>
        </is>
      </c>
      <c r="AS683" t="inlineStr">
        <is>
          <t>J CLEAN PROD</t>
        </is>
      </c>
      <c r="AT683" t="inlineStr">
        <is>
          <t>J. Clean Prod.</t>
        </is>
      </c>
      <c r="AU683" t="inlineStr">
        <is>
          <t>FEB 1</t>
        </is>
      </c>
      <c r="AV683" t="n">
        <v>2017</v>
      </c>
      <c r="AW683" t="n">
        <v>143</v>
      </c>
      <c r="BC683" t="n">
        <v>710</v>
      </c>
      <c r="BD683" t="n">
        <v>718</v>
      </c>
      <c r="BF683" t="inlineStr">
        <is>
          <t>10.1016/j.jclepro.2016.12.055</t>
        </is>
      </c>
      <c r="BG683">
        <f>HYPERLINK("http://dx.doi.org/10.1016/j.jclepro.2016.12.055","http://dx.doi.org/10.1016/j.jclepro.2016.12.055")</f>
        <v/>
      </c>
      <c r="BJ683" t="n">
        <v>9</v>
      </c>
      <c r="BK683" t="inlineStr">
        <is>
          <t>Green &amp; Sustainable Science &amp; Technology; Engineering, Environmental; Environmental Sciences</t>
        </is>
      </c>
      <c r="BL683" t="inlineStr">
        <is>
          <t>Science Citation Index Expanded (SCI-EXPANDED); Social Science Citation Index (SSCI)</t>
        </is>
      </c>
      <c r="BM683" t="inlineStr">
        <is>
          <t>Science &amp; Technology - Other Topics; Engineering; Environmental Sciences &amp; Ecology</t>
        </is>
      </c>
      <c r="BN683" t="inlineStr">
        <is>
          <t>EI8WN</t>
        </is>
      </c>
      <c r="BP683" t="inlineStr">
        <is>
          <t>Green Accepted, Green Submitted</t>
        </is>
      </c>
      <c r="BS683" t="inlineStr">
        <is>
          <t>2023-10-26</t>
        </is>
      </c>
      <c r="BT683" t="inlineStr">
        <is>
          <t>WOS:000392789000063</t>
        </is>
      </c>
      <c r="BU683">
        <f>HYPERLINK("https%3A%2F%2Fwww.webofscience.com%2Fwos%2Fwoscc%2Ffull-record%2FWOS:000392789000063","View Full Record in Web of Science")</f>
        <v/>
      </c>
    </row>
    <row r="684">
      <c r="A684" t="inlineStr">
        <is>
          <t>J</t>
        </is>
      </c>
      <c r="B684" t="inlineStr">
        <is>
          <t>Orellano-Colón, EM; Mountain, GA; Rosario, M; Colón, ZM; Acevedo, S; Tirado, J</t>
        </is>
      </c>
      <c r="F684" t="inlineStr">
        <is>
          <t>Orellano-Colon, Elsa M.; Mountain, Gail A.; Rosario, Marlene; Colon, Zahira M.; Acevedo, Sujeil; Tirado, Janiliz</t>
        </is>
      </c>
      <c r="J684" t="inlineStr">
        <is>
          <t>INTERNATIONAL JOURNAL OF ENVIRONMENTAL RESEARCH AND PUBLIC HEALTH</t>
        </is>
      </c>
      <c r="M684" t="inlineStr">
        <is>
          <t>English</t>
        </is>
      </c>
      <c r="N684" t="inlineStr">
        <is>
          <t>Article</t>
        </is>
      </c>
      <c r="T684" t="inlineStr">
        <is>
          <t>Environmental Restrictors to Occupational Participation in Old Age: Exploring Differences across Gender in Puerto Rico</t>
        </is>
      </c>
      <c r="U684" t="inlineStr">
        <is>
          <t>engagement in occupation; participation; environment; older adults; gender differences</t>
        </is>
      </c>
      <c r="V684" t="inlineStr">
        <is>
          <t>HEALTH; ADULTS; STRATEGIES</t>
        </is>
      </c>
      <c r="W684" t="inlineStr">
        <is>
          <t>Many older adults face challenges that prevent them from accomplishing common daily activities such as moving around, home maintenance, and leisure activities. There is still a need to examine and understand how environmental factors impact daily participation across gender. This study sought to make a qualitative comparison of gender differences regarding environmental barriers to participation in daily occupations from the perspectives of older adults who live alone in Puerto Rico. Twenty-six Hispanic older adults, 70 years or older participated in this study. We used a descriptive qualitative research design in which researchers administered an in-depth interview to each participant. The results elucidated that women were more likely than men to experience restricted participation due to lack of accessibility of the built environment and transportation systems. The findings could help with the development of tailored, occupation-based, preventive interventions that address gender specific environmental barriers and promote greater participation among both women and men. Further research is required to explore whether these environmental barriers to occupational participation remain consistent across living situations, socioeconomic status and ethnicity.</t>
        </is>
      </c>
      <c r="X684" t="inlineStr">
        <is>
          <t>[Orellano-Colon, Elsa M.; Rosario, Marlene; Colon, Zahira M.; Acevedo, Sujeil; Tirado, Janiliz] Univ Puerto Rico, Occupat Therapy Program, Sch Hlth Profess, San Juan, PR 00936 USA; [Mountain, Gail A.] Univ Sheffield, Hlth Serv Res, Sheffield S10 2TN, S Yorkshire, England</t>
        </is>
      </c>
      <c r="Y684" t="inlineStr">
        <is>
          <t>University of Puerto Rico; University of Puerto Rico Medical Sciences Campus; University of Sheffield</t>
        </is>
      </c>
      <c r="Z684" t="inlineStr">
        <is>
          <t>Orellano-Colón, EM (corresponding author), Univ Puerto Rico, Occupat Therapy Program, Sch Hlth Profess, Med Sci Campus,POB 365067, San Juan, PR 00936 USA.</t>
        </is>
      </c>
      <c r="AA684" t="inlineStr">
        <is>
          <t>elsa.orellano@upr.edu; g.a.mountain@sheffield.ac.uk; marlene.rosarioabreu@upr.edu; zahira.colon2@upr.edu; sujeil.acevedo@upr.edu; janiliz.tirado@upr.edu</t>
        </is>
      </c>
      <c r="AC684" t="inlineStr">
        <is>
          <t>Mountain, Gail/0000-0002-5417-7691</t>
        </is>
      </c>
      <c r="AD684" t="inlineStr">
        <is>
          <t>National Institute of Health (NIH), National Institute of Minority Health and Health Disparities (NIMHD), Clinical Research Education and Career Development (CRECD) [R25MD007607]; Puerto Rico Clinical and Translational Research Consortium (PRCTRC) [8U54 MD 007587-03]</t>
        </is>
      </c>
      <c r="AE684" t="inlineStr">
        <is>
          <t>National Institute of Health (NIH), National Institute of Minority Health and Health Disparities (NIMHD), Clinical Research Education and Career Development (CRECD); Puerto Rico Clinical and Translational Research Consortium (PRCTRC)</t>
        </is>
      </c>
      <c r="AF684" t="inlineStr">
        <is>
          <t>We are indebted to all participants without whom this study would not be possible. Research reported in this publication was supported by the National Institute of Health (NIH), National Institute of Minority Health and Health Disparities (NIMHD), Clinical Research Education and Career Development (CRECD) [R25MD007607] in collaboration with Puerto Rico Clinical and Translational Research Consortium (PRCTRC) [8U54 MD 007587-03]. Its content are solely the responsibility of the authors and do not necessarily represent the official views of the NIH, NIMHD, or CRECD.</t>
        </is>
      </c>
      <c r="AH684" t="n">
        <v>30</v>
      </c>
      <c r="AI684" t="n">
        <v>6</v>
      </c>
      <c r="AJ684" t="n">
        <v>6</v>
      </c>
      <c r="AK684" t="n">
        <v>1</v>
      </c>
      <c r="AL684" t="n">
        <v>6</v>
      </c>
      <c r="AM684" t="inlineStr">
        <is>
          <t>MDPI</t>
        </is>
      </c>
      <c r="AN684" t="inlineStr">
        <is>
          <t>BASEL</t>
        </is>
      </c>
      <c r="AO684" t="inlineStr">
        <is>
          <t>ST ALBAN-ANLAGE 66, CH-4052 BASEL, SWITZERLAND</t>
        </is>
      </c>
      <c r="AQ684" t="inlineStr">
        <is>
          <t>1660-4601</t>
        </is>
      </c>
      <c r="AS684" t="inlineStr">
        <is>
          <t>INT J ENV RES PUB HE</t>
        </is>
      </c>
      <c r="AT684" t="inlineStr">
        <is>
          <t>Int. J. Environ. Res. Public Health</t>
        </is>
      </c>
      <c r="AU684" t="inlineStr">
        <is>
          <t>SEP</t>
        </is>
      </c>
      <c r="AV684" t="n">
        <v>2015</v>
      </c>
      <c r="AW684" t="n">
        <v>12</v>
      </c>
      <c r="AX684" t="n">
        <v>9</v>
      </c>
      <c r="BC684" t="n">
        <v>11288</v>
      </c>
      <c r="BD684" t="n">
        <v>11303</v>
      </c>
      <c r="BF684" t="inlineStr">
        <is>
          <t>10.3390/ijerph120911288</t>
        </is>
      </c>
      <c r="BG684">
        <f>HYPERLINK("http://dx.doi.org/10.3390/ijerph120911288","http://dx.doi.org/10.3390/ijerph120911288")</f>
        <v/>
      </c>
      <c r="BJ684" t="n">
        <v>16</v>
      </c>
      <c r="BK684" t="inlineStr">
        <is>
          <t>Environmental Sciences; Public, Environmental &amp; Occupational Health</t>
        </is>
      </c>
      <c r="BL684" t="inlineStr">
        <is>
          <t>Science Citation Index Expanded (SCI-EXPANDED); Social Science Citation Index (SSCI)</t>
        </is>
      </c>
      <c r="BM684" t="inlineStr">
        <is>
          <t>Environmental Sciences &amp; Ecology; Public, Environmental &amp; Occupational Health</t>
        </is>
      </c>
      <c r="BN684" t="inlineStr">
        <is>
          <t>CS2HF</t>
        </is>
      </c>
      <c r="BO684" t="n">
        <v>26378554</v>
      </c>
      <c r="BP684" t="inlineStr">
        <is>
          <t>Green Published, gold, Green Accepted</t>
        </is>
      </c>
      <c r="BS684" t="inlineStr">
        <is>
          <t>2023-10-26</t>
        </is>
      </c>
      <c r="BT684" t="inlineStr">
        <is>
          <t>WOS:000361889100052</t>
        </is>
      </c>
      <c r="BU684">
        <f>HYPERLINK("https%3A%2F%2Fwww.webofscience.com%2Fwos%2Fwoscc%2Ffull-record%2FWOS:000361889100052","View Full Record in Web of Science")</f>
        <v/>
      </c>
    </row>
    <row r="685">
      <c r="A685" t="inlineStr">
        <is>
          <t>J</t>
        </is>
      </c>
      <c r="B685" t="inlineStr">
        <is>
          <t>Chithra, VS; Nagendra, SMS</t>
        </is>
      </c>
      <c r="F685" t="inlineStr">
        <is>
          <t>Chithra, V. S.; Nagendra, Shiva S. M.</t>
        </is>
      </c>
      <c r="J685" t="inlineStr">
        <is>
          <t>ASIAN JOURNAL OF ATMOSPHERIC ENVIRONMENT</t>
        </is>
      </c>
      <c r="M685" t="inlineStr">
        <is>
          <t>English</t>
        </is>
      </c>
      <c r="N685" t="inlineStr">
        <is>
          <t>Review</t>
        </is>
      </c>
      <c r="T685" t="inlineStr">
        <is>
          <t>A Review of Scientific Evidence on Indoor Air of School Building: Pollutants, Sources, Health Effects and Management</t>
        </is>
      </c>
      <c r="U685" t="inlineStr">
        <is>
          <t>Indoor Air Quality; Schools; Health effects; Pollutants; Children</t>
        </is>
      </c>
      <c r="V685" t="inlineStr">
        <is>
          <t>NATURALLY VENTILATED SCHOOLS; VOLATILE ORGANIC-COMPOUNDS; PARTICULATE MATTER PM10; LONG-TERM EXPOSURE; SOURCE APPORTIONMENT; OUTDOOR AIR; ELEMENTARY-SCHOOLS; PARTICLE CONCENTRATIONS; ENVIRONMENTAL-QUALITY; RESPIRATORY SYMPTOMS</t>
        </is>
      </c>
      <c r="W685" t="inlineStr">
        <is>
          <t>Schools are one of the critical social infrastructures in a society, the first place for social activity and the most important indoor environment for children besides the home. Poor IAQ in classrooms can increase the chance of long-term and short-term health problems for students and staffs; affects productivity of teachers; and degrade the student learning environment and comfort levels. The primary objective of this paper is to review and summarize available scientific evidence on indoor air quality of schools and related health effects in children. It was found that the indoor air pollutant levels in school buildings varied over a wide range in different parts of the world depending on site characteristics, climatic conditions, outdoor pollution levels, occupant activities, ventilation type and building practices. Among the indoor air pollutants, particulate matter concentrations were found to be very high in many schools. Outdoor pollutant sources also play a major role in affecting the IAQ of the school building. Hence, scientific knowledge on sources of indoor pollutants, quantification of emissions, temporal and spatial dispersion of pollutants, toxicological properties, chemical and morphological characteristics of the pollutants and associated health risk among children in the school buildings are essential to evaluate the adequacy and cost effectiveness of control strategies for mitigating the IAQ issues.</t>
        </is>
      </c>
      <c r="X685" t="inlineStr">
        <is>
          <t>[Chithra, V. S.; Nagendra, Shiva S. M.] Indian Inst Technol Madras, Dept Civil Engn, Environm &amp; Water Resources Engn Div, Madras 600036, Tamil Nadu, India</t>
        </is>
      </c>
      <c r="Y685" t="inlineStr">
        <is>
          <t>Indian Institute of Technology System (IIT System); Indian Institute of Technology (IIT) - Madras</t>
        </is>
      </c>
      <c r="Z685" t="inlineStr">
        <is>
          <t>Chithra, VS (corresponding author), Indian Inst Technol Madras, Dept Civil Engn, Environm &amp; Water Resources Engn Div, Madras 600036, Tamil Nadu, India.</t>
        </is>
      </c>
      <c r="AA685" t="inlineStr">
        <is>
          <t>vschithra@gmail.com</t>
        </is>
      </c>
      <c r="AB685" t="inlineStr">
        <is>
          <t>VS, Chithra/R-3313-2017</t>
        </is>
      </c>
      <c r="AC685" t="inlineStr">
        <is>
          <t>VS, Chithra/0000-0001-9005-9943</t>
        </is>
      </c>
      <c r="AH685" t="n">
        <v>159</v>
      </c>
      <c r="AI685" t="n">
        <v>31</v>
      </c>
      <c r="AJ685" t="n">
        <v>31</v>
      </c>
      <c r="AK685" t="n">
        <v>1</v>
      </c>
      <c r="AL685" t="n">
        <v>66</v>
      </c>
      <c r="AM685" t="inlineStr">
        <is>
          <t>ASIAN ASSOC ATMOSPHERIC ENVIRONMENT</t>
        </is>
      </c>
      <c r="AN685" t="inlineStr">
        <is>
          <t>SEOUL</t>
        </is>
      </c>
      <c r="AO685" t="inlineStr">
        <is>
          <t>102 SAJIK-RO, JONGNO-GU, SEOUL, 03169, SOUTH KOREA</t>
        </is>
      </c>
      <c r="AP685" t="inlineStr">
        <is>
          <t>1976-6912</t>
        </is>
      </c>
      <c r="AQ685" t="inlineStr">
        <is>
          <t>2287-1160</t>
        </is>
      </c>
      <c r="AS685" t="inlineStr">
        <is>
          <t>ASIAN J ATMOS ENVIRO</t>
        </is>
      </c>
      <c r="AT685" t="inlineStr">
        <is>
          <t>Asian J. Atmos. Environ.</t>
        </is>
      </c>
      <c r="AU685" t="inlineStr">
        <is>
          <t>JUN</t>
        </is>
      </c>
      <c r="AV685" t="n">
        <v>2018</v>
      </c>
      <c r="AW685" t="n">
        <v>12</v>
      </c>
      <c r="AX685" t="n">
        <v>2</v>
      </c>
      <c r="BC685" t="n">
        <v>87</v>
      </c>
      <c r="BD685" t="n">
        <v>108</v>
      </c>
      <c r="BF685" t="inlineStr">
        <is>
          <t>10.5572/ajae.2018.12.2.87</t>
        </is>
      </c>
      <c r="BG685">
        <f>HYPERLINK("http://dx.doi.org/10.5572/ajae.2018.12.2.87","http://dx.doi.org/10.5572/ajae.2018.12.2.87")</f>
        <v/>
      </c>
      <c r="BJ685" t="n">
        <v>22</v>
      </c>
      <c r="BK685" t="inlineStr">
        <is>
          <t>Environmental Sciences; Public, Environmental &amp; Occupational Health; Meteorology &amp; Atmospheric Sciences</t>
        </is>
      </c>
      <c r="BL685" t="inlineStr">
        <is>
          <t>Emerging Sources Citation Index (ESCI)</t>
        </is>
      </c>
      <c r="BM685" t="inlineStr">
        <is>
          <t>Environmental Sciences &amp; Ecology; Public, Environmental &amp; Occupational Health; Meteorology &amp; Atmospheric Sciences</t>
        </is>
      </c>
      <c r="BN685" t="inlineStr">
        <is>
          <t>GL9DZ</t>
        </is>
      </c>
      <c r="BP685" t="inlineStr">
        <is>
          <t>gold</t>
        </is>
      </c>
      <c r="BS685" t="inlineStr">
        <is>
          <t>2023-10-26</t>
        </is>
      </c>
      <c r="BT685" t="inlineStr">
        <is>
          <t>WOS:000437532300001</t>
        </is>
      </c>
      <c r="BU685">
        <f>HYPERLINK("https%3A%2F%2Fwww.webofscience.com%2Fwos%2Fwoscc%2Ffull-record%2FWOS:000437532300001","View Full Record in Web of Science")</f>
        <v/>
      </c>
    </row>
    <row r="686">
      <c r="A686" t="inlineStr">
        <is>
          <t>J</t>
        </is>
      </c>
      <c r="B686" t="inlineStr">
        <is>
          <t>Bringolf-Isler, B; de Hoogh, K; Schindler, C; Kayser, B; Suggs, LS; Dössegger, A; Probst-Hensch, N</t>
        </is>
      </c>
      <c r="F686" t="inlineStr">
        <is>
          <t>Bringolf-Isler, Bettina; de Hoogh, Kees; Schindler, Christian; Kayser, Bengt; Suggs, L. Suzanne; Dossegger, Alain; Probst-Hensch, Nicole</t>
        </is>
      </c>
      <c r="H686" t="inlineStr">
        <is>
          <t>SOPHYA Study Grp</t>
        </is>
      </c>
      <c r="J686" t="inlineStr">
        <is>
          <t>INTERNATIONAL JOURNAL OF ENVIRONMENTAL RESEARCH AND PUBLIC HEALTH</t>
        </is>
      </c>
      <c r="M686" t="inlineStr">
        <is>
          <t>English</t>
        </is>
      </c>
      <c r="N686" t="inlineStr">
        <is>
          <t>Article</t>
        </is>
      </c>
      <c r="T686" t="inlineStr">
        <is>
          <t>Sedentary Behaviour in Swiss Children and Adolescents: Disentangling Associations with the Perceived and Objectively Measured Environment</t>
        </is>
      </c>
      <c r="U686" t="inlineStr">
        <is>
          <t>sedentary behaviour; accelerometer; home environment; perceived environment; GIS; objective environment; children; adolescents; neighbourhood; social environment; urbanicity; walkability; public health</t>
        </is>
      </c>
      <c r="V686" t="inlineStr">
        <is>
          <t>PHYSICAL-ACTIVITY; BUILT ENVIRONMENT; ENERGY-PROJECT; NEIGHBORHOOD; TIME; YOUTH; PERCEPTION; ADULTS; DETERMINANTS; HEALTH</t>
        </is>
      </c>
      <c r="W686" t="inlineStr">
        <is>
          <t>Identifying correlates of sedentary behaviour across all levels of the ecological model and understanding their interrelations is a promising method to plan effective interventions. The present study examined whether the objectively assessed and the perceived neighbourhood are associated with children's sedentary behaviour time (SBT). A comprehensive set of factors at different levels of influence across the ecological model were taken into account and analysed for mediating and modifying effects. Analyses were based on 1306 children and adolescents (6-16 years) participating in the population-based SOPHYA-study. Accelerometers were used to assess SBT, the perceived environment was examined by a validated parental questionnaire, and objective environmental data were allocated using GIS (ArcMap 10.2, Esri, Redlands, CA, USA) for each family's residential address. A high perceived safety was associated with less SBT. Boys, those whose residential neighbourhood was characterized by dead ends in urban areas, a low main street density in the neighbourhood of children and greenness were less likely to exhibit SBT. The association of the objective environment with the respective parental perceptions was low and no significant mediating effect was found for the perceived environment. We conclude for land-use planning to reduce sedentary behaviour objective environments should be complemented with efforts to increase parental sense of security.</t>
        </is>
      </c>
      <c r="X686" t="inlineStr">
        <is>
          <t>[Bringolf-Isler, Bettina; de Hoogh, Kees; Schindler, Christian; Probst-Hensch, Nicole] Swiss Trop &amp; Publ Hlth Inst, Socinstr 57, CH-4051 Basel, Switzerland; [Bringolf-Isler, Bettina; de Hoogh, Kees; Schindler, Christian; Probst-Hensch, Nicole] Univ Basel, Peterspl 1, CH-4051 Basel, Switzerland; [Kayser, Bengt] Univ Lausanne, Inst Sport Sci, CH-1015 Lausanne, Switzerland; [Suggs, L. Suzanne] Univ Svizzera Italiana, Inst Publ Commun, Via G Buffi 13, CH-6900 Lugano, Switzerland; [Dossegger, Alain] Swiss Fed Inst Sport Magglingen SFISM, CH-2532 Magglingen, Switzerland</t>
        </is>
      </c>
      <c r="Y686" t="inlineStr">
        <is>
          <t>University of Basel; Swiss Tropical &amp; Public Health Institute; University of Basel; University of Lausanne; Universita della Svizzera Italiana</t>
        </is>
      </c>
      <c r="Z686" t="inlineStr">
        <is>
          <t>Bringolf-Isler, B (corresponding author), Swiss Trop &amp; Publ Hlth Inst, Socinstr 57, CH-4051 Basel, Switzerland.;Bringolf-Isler, B (corresponding author), Univ Basel, Peterspl 1, CH-4051 Basel, Switzerland.</t>
        </is>
      </c>
      <c r="AA686" t="inlineStr">
        <is>
          <t>bettina.bringolf@swisstph.ch; c.dehoogh@swisstph.ch; christian.schindler@swisstph.ch; bengt.kayser@unil.ch; suzanne.suggs@usi.ch; alain.doessegger@baspo.admin.ch; nicole.probst@swisstph.ch</t>
        </is>
      </c>
      <c r="AB686" t="inlineStr">
        <is>
          <t>Kayser, Bengt/M-8643-2013; de Hoogh, Kees/ABE-1274-2021; Suggs, L. Suzanne/E-5752-2012</t>
        </is>
      </c>
      <c r="AC686" t="inlineStr">
        <is>
          <t>Kayser, Bengt/0000-0002-9776-7501; Dossegger, Alain/0000-0003-3528-8860; Bringolf-Isler, Bettina/0000-0003-2893-2320</t>
        </is>
      </c>
      <c r="AD686" t="inlineStr">
        <is>
          <t>Federal Office of Sport FOSPO; Federal Office of Public Health FOPH; Health Promotion Switzerland; SOPHYA Study Group</t>
        </is>
      </c>
      <c r="AE686" t="inlineStr">
        <is>
          <t>Federal Office of Sport FOSPO; Federal Office of Public Health FOPH; Health Promotion Switzerland; SOPHYA Study Group</t>
        </is>
      </c>
      <c r="AF686" t="inlineStr">
        <is>
          <t>This study was funded by the Federal Office of Sport FOSPO, the Federal Office of Public Health FOPH, and by Health Promotion Switzerland. We thank the SOPHYA Study Group for their support, Markus Lamprecht for the collaboration, the fieldworkers for the data collection and all the children, adolescents and parents participating in the SOPHYA study. The SOPHYA Study Group: Nadja Mahler (FOSPO), Urs Mader (FOSPO), Thomas Wyss (FOSPO), Nadine Stoffel-Kurth (FOPH), Kathrin Favero (FOPH), Andrea Poffet (FOPH), Jvo Schneider (Health Promotion Switzerland), Lisa Guggenbuhl (Health Promotion Switzerland) Charlotte Braun-Fahrlander (Swiss TPH), Simone Isler (Swiss TPH).</t>
        </is>
      </c>
      <c r="AH686" t="n">
        <v>61</v>
      </c>
      <c r="AI686" t="n">
        <v>10</v>
      </c>
      <c r="AJ686" t="n">
        <v>10</v>
      </c>
      <c r="AK686" t="n">
        <v>1</v>
      </c>
      <c r="AL686" t="n">
        <v>21</v>
      </c>
      <c r="AM686" t="inlineStr">
        <is>
          <t>MDPI</t>
        </is>
      </c>
      <c r="AN686" t="inlineStr">
        <is>
          <t>BASEL</t>
        </is>
      </c>
      <c r="AO686" t="inlineStr">
        <is>
          <t>ST ALBAN-ANLAGE 66, CH-4052 BASEL, SWITZERLAND</t>
        </is>
      </c>
      <c r="AQ686" t="inlineStr">
        <is>
          <t>1660-4601</t>
        </is>
      </c>
      <c r="AS686" t="inlineStr">
        <is>
          <t>INT J ENV RES PUB HE</t>
        </is>
      </c>
      <c r="AT686" t="inlineStr">
        <is>
          <t>Int. J. Environ. Res. Public Health</t>
        </is>
      </c>
      <c r="AU686" t="inlineStr">
        <is>
          <t>MAY</t>
        </is>
      </c>
      <c r="AV686" t="n">
        <v>2018</v>
      </c>
      <c r="AW686" t="n">
        <v>15</v>
      </c>
      <c r="AX686" t="n">
        <v>5</v>
      </c>
      <c r="BE686" t="n">
        <v>918</v>
      </c>
      <c r="BF686" t="inlineStr">
        <is>
          <t>10.3390/ijerph15050918</t>
        </is>
      </c>
      <c r="BG686">
        <f>HYPERLINK("http://dx.doi.org/10.3390/ijerph15050918","http://dx.doi.org/10.3390/ijerph15050918")</f>
        <v/>
      </c>
      <c r="BJ686" t="n">
        <v>16</v>
      </c>
      <c r="BK686" t="inlineStr">
        <is>
          <t>Environmental Sciences; Public, Environmental &amp; Occupational Health</t>
        </is>
      </c>
      <c r="BL686" t="inlineStr">
        <is>
          <t>Science Citation Index Expanded (SCI-EXPANDED); Social Science Citation Index (SSCI)</t>
        </is>
      </c>
      <c r="BM686" t="inlineStr">
        <is>
          <t>Environmental Sciences &amp; Ecology; Public, Environmental &amp; Occupational Health</t>
        </is>
      </c>
      <c r="BN686" t="inlineStr">
        <is>
          <t>GJ3LS</t>
        </is>
      </c>
      <c r="BO686" t="n">
        <v>29734712</v>
      </c>
      <c r="BP686" t="inlineStr">
        <is>
          <t>Green Published, gold, Green Submitted, Green Accepted</t>
        </is>
      </c>
      <c r="BS686" t="inlineStr">
        <is>
          <t>2023-10-26</t>
        </is>
      </c>
      <c r="BT686" t="inlineStr">
        <is>
          <t>WOS:000435197300086</t>
        </is>
      </c>
      <c r="BU686">
        <f>HYPERLINK("https%3A%2F%2Fwww.webofscience.com%2Fwos%2Fwoscc%2Ffull-record%2FWOS:000435197300086","View Full Record in Web of Science")</f>
        <v/>
      </c>
    </row>
    <row r="687">
      <c r="A687" t="inlineStr">
        <is>
          <t>J</t>
        </is>
      </c>
      <c r="B687" t="inlineStr">
        <is>
          <t>Prithviraj, D; Sundaram, L</t>
        </is>
      </c>
      <c r="F687" t="inlineStr">
        <is>
          <t>Prithviraj, Dharmambigai; Sundaram, Lakshmi</t>
        </is>
      </c>
      <c r="J687" t="inlineStr">
        <is>
          <t>SUSTAINABILITY</t>
        </is>
      </c>
      <c r="M687" t="inlineStr">
        <is>
          <t>English</t>
        </is>
      </c>
      <c r="N687" t="inlineStr">
        <is>
          <t>Article</t>
        </is>
      </c>
      <c r="T687" t="inlineStr">
        <is>
          <t>Exploring the Walkability of Senior Citizens in a Densely Populated Neighborhood of Chennai, India-A Structural Equation Modeling Approach</t>
        </is>
      </c>
      <c r="U687" t="inlineStr">
        <is>
          <t>walking; senior citizens; built environment; structural equation modeling</t>
        </is>
      </c>
      <c r="V687" t="inlineStr">
        <is>
          <t>OLDER-ADULTS; BUILT ENVIRONMENT; PHYSICAL-ACTIVITY; WALKING; ASSOCIATIONS; EXERCISE; IMPACT; SPACE; RISK</t>
        </is>
      </c>
      <c r="W687" t="inlineStr">
        <is>
          <t>Walking is the most sustainable, safe, and active mode of transportation among the elderly. There is growing evidence that the built environment influences walkability. However, little research has been conducted to assess the perceived built environment correlates for senior citizens walking in low- and middle-income countries. This paper explores the relationship between built environment characteristics and the walkability of senior citizens in Triplicane, Chennai, India. Seniors aged 60 years and above, both men and women, living in Triplicane, Chennai, were interviewed (n = 221). Personal characteristics and perceived built environment factors were assessed using the Neighborhood Environment Walkability Scale for India (NEWS India). Data were analyzed using SPSS 26 and AMOS 21 software. Structural equation modeling (SEM) was conducted to examine the association between the built environment characteristics and the walkability of senior citizens. The results show that built environment attributes, namely pedestrian safety infrastructure, physical barriers of the neighborhood, and aesthetics, have a high impact on walkability among senior citizens.</t>
        </is>
      </c>
      <c r="X687" t="inlineStr">
        <is>
          <t>[Prithviraj, Dharmambigai] Anna Univ, Fac Architecture &amp; Planning, Chennai 600025, India; [Sundaram, Lakshmi] Anna Univ, Dept Civil Engn, Div Transportat Engn, Chennai 600025, India</t>
        </is>
      </c>
      <c r="Y687" t="inlineStr">
        <is>
          <t>Anna University; Anna University Chennai; Anna University; Anna University Chennai</t>
        </is>
      </c>
      <c r="Z687" t="inlineStr">
        <is>
          <t>Prithviraj, D (corresponding author), Anna Univ, Fac Architecture &amp; Planning, Chennai 600025, India.</t>
        </is>
      </c>
      <c r="AA687" t="inlineStr">
        <is>
          <t>dharmambigaik@gmail.com; lakshmi_sundaram@yahoo.com</t>
        </is>
      </c>
      <c r="AH687" t="n">
        <v>79</v>
      </c>
      <c r="AI687" t="n">
        <v>0</v>
      </c>
      <c r="AJ687" t="n">
        <v>0</v>
      </c>
      <c r="AK687" t="n">
        <v>0</v>
      </c>
      <c r="AL687" t="n">
        <v>0</v>
      </c>
      <c r="AM687" t="inlineStr">
        <is>
          <t>MDPI</t>
        </is>
      </c>
      <c r="AN687" t="inlineStr">
        <is>
          <t>BASEL</t>
        </is>
      </c>
      <c r="AO687" t="inlineStr">
        <is>
          <t>ST ALBAN-ANLAGE 66, CH-4052 BASEL, SWITZERLAND</t>
        </is>
      </c>
      <c r="AQ687" t="inlineStr">
        <is>
          <t>2071-1050</t>
        </is>
      </c>
      <c r="AS687" t="inlineStr">
        <is>
          <t>SUSTAINABILITY-BASEL</t>
        </is>
      </c>
      <c r="AT687" t="inlineStr">
        <is>
          <t>Sustainability</t>
        </is>
      </c>
      <c r="AU687" t="inlineStr">
        <is>
          <t>SEP</t>
        </is>
      </c>
      <c r="AV687" t="n">
        <v>2023</v>
      </c>
      <c r="AW687" t="n">
        <v>15</v>
      </c>
      <c r="AX687" t="n">
        <v>18</v>
      </c>
      <c r="BE687" t="n">
        <v>13868</v>
      </c>
      <c r="BF687" t="inlineStr">
        <is>
          <t>10.3390/su151813868</t>
        </is>
      </c>
      <c r="BG687">
        <f>HYPERLINK("http://dx.doi.org/10.3390/su151813868","http://dx.doi.org/10.3390/su151813868")</f>
        <v/>
      </c>
      <c r="BJ687" t="n">
        <v>17</v>
      </c>
      <c r="BK687" t="inlineStr">
        <is>
          <t>Green &amp; Sustainable Science &amp; Technology; Environmental Sciences; Environmental Studies</t>
        </is>
      </c>
      <c r="BL687" t="inlineStr">
        <is>
          <t>Science Citation Index Expanded (SCI-EXPANDED); Social Science Citation Index (SSCI)</t>
        </is>
      </c>
      <c r="BM687" t="inlineStr">
        <is>
          <t>Science &amp; Technology - Other Topics; Environmental Sciences &amp; Ecology</t>
        </is>
      </c>
      <c r="BN687" t="inlineStr">
        <is>
          <t>S9UO7</t>
        </is>
      </c>
      <c r="BP687" t="inlineStr">
        <is>
          <t>gold</t>
        </is>
      </c>
      <c r="BS687" t="inlineStr">
        <is>
          <t>2023-10-26</t>
        </is>
      </c>
      <c r="BT687" t="inlineStr">
        <is>
          <t>WOS:001074546500001</t>
        </is>
      </c>
      <c r="BU687">
        <f>HYPERLINK("https%3A%2F%2Fwww.webofscience.com%2Fwos%2Fwoscc%2Ffull-record%2FWOS:001074546500001","View Full Record in Web of Science")</f>
        <v/>
      </c>
    </row>
    <row r="688">
      <c r="A688" t="inlineStr">
        <is>
          <t>J</t>
        </is>
      </c>
      <c r="B688" t="inlineStr">
        <is>
          <t>Hino, K; Usui, H; Hanazato, M</t>
        </is>
      </c>
      <c r="F688" t="inlineStr">
        <is>
          <t>Hino, Kimihiro; Usui, Hiroyuki; Hanazato, Masamichi</t>
        </is>
      </c>
      <c r="J688" t="inlineStr">
        <is>
          <t>INTERNATIONAL JOURNAL OF ENVIRONMENTAL RESEARCH AND PUBLIC HEALTH</t>
        </is>
      </c>
      <c r="M688" t="inlineStr">
        <is>
          <t>English</t>
        </is>
      </c>
      <c r="N688" t="inlineStr">
        <is>
          <t>Article</t>
        </is>
      </c>
      <c r="T688" t="inlineStr">
        <is>
          <t>Three-Year Longitudinal Association Between Built Environmental Factors and Decline in Older Adults' Step Count: Gaining insights for Age-Friendly Urban Planning and Design</t>
        </is>
      </c>
      <c r="U688" t="inlineStr">
        <is>
          <t>physical activity; neighborhood; multilevel analysis; walkability; compact city</t>
        </is>
      </c>
      <c r="V688" t="inlineStr">
        <is>
          <t>NEIGHBORHOOD WALKING ACTIVITY; PHYSICAL-ACTIVITY; MULTILEVEL ANALYSIS; POPULATION HEALTH; CITY; WALKABILITY; MAINTENANCE; LIFE</t>
        </is>
      </c>
      <c r="W688" t="inlineStr">
        <is>
          <t>This study examined the longitudinal association between the change in the step count of older adults and the neighborhood-built environment (BE) in Yokohama, Japan. We analyzed pedometer data in March 2016 and March 2019 that were acquired from 21,557 older adults aged 65-79 years at baseline, who lived in 758 neighborhoods in Yokohama City and participated in the Yokohama Walking Point Program (YWPP). Six BE variables were computed, for each of which neighborhoods were classified into quartiles. Using multilevel regression analysis, we examined the association between the BE variables, baseline step count, and change in step count. Higher population density, lower intersection density, and the second shortest quartile of the average distance to the nearest railway station were associated with a higher baseline step count. A lower intersection density and shorter average distance to the nearest railway station were associated with a smaller decline. The lowest quartile of population density was inversely associated with step-count decline. In conclusion, the neighborhood BEs were not only associated with their step count at baseline, but also widened the disparity of the step count over the three years. These findings would contribute to creating age-friendly cities where older adults can maintain and promote their health.</t>
        </is>
      </c>
      <c r="X688" t="inlineStr">
        <is>
          <t>[Hino, Kimihiro; Usui, Hiroyuki] Univ Tokyo, Grad Sch Engn, Dept Urban Engn, Tokyo 1138656, Japan; [Hanazato, Masamichi] Chiba Univ, Ctr Prevent Med Sci, Chiba 2638522, Japan</t>
        </is>
      </c>
      <c r="Y688" t="inlineStr">
        <is>
          <t>University of Tokyo; Chiba University</t>
        </is>
      </c>
      <c r="Z688" t="inlineStr">
        <is>
          <t>Hino, K (corresponding author), Univ Tokyo, Grad Sch Engn, Dept Urban Engn, Tokyo 1138656, Japan.</t>
        </is>
      </c>
      <c r="AA688" t="inlineStr">
        <is>
          <t>hino@ua.t.u-tokyo.ac.jp; usui@ua.t.u-tokyo.ac.jp; hanazato@chiba-u.jp</t>
        </is>
      </c>
      <c r="AB688" t="inlineStr">
        <is>
          <t>hanazato, masamichi/L-6267-2019; Usui, Hiroyuki/K-9136-2019</t>
        </is>
      </c>
      <c r="AC688" t="inlineStr">
        <is>
          <t>hanazato, masamichi/0000-0002-0317-7616; Usui, Hiroyuki/0000-0002-2447-5372</t>
        </is>
      </c>
      <c r="AD688" t="inlineStr">
        <is>
          <t>JSPS KAKENHI [18H01602]; Grants-in-Aid for Scientific Research [18H01602] Funding Source: KAKEN</t>
        </is>
      </c>
      <c r="AE688" t="inlineStr">
        <is>
          <t>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is>
      </c>
      <c r="AF688" t="inlineStr">
        <is>
          <t>This research was supported by JSPS KAKENHI, grant number 18H01602.</t>
        </is>
      </c>
      <c r="AH688" t="n">
        <v>53</v>
      </c>
      <c r="AI688" t="n">
        <v>16</v>
      </c>
      <c r="AJ688" t="n">
        <v>16</v>
      </c>
      <c r="AK688" t="n">
        <v>0</v>
      </c>
      <c r="AL688" t="n">
        <v>16</v>
      </c>
      <c r="AM688" t="inlineStr">
        <is>
          <t>MDPI</t>
        </is>
      </c>
      <c r="AN688" t="inlineStr">
        <is>
          <t>BASEL</t>
        </is>
      </c>
      <c r="AO688" t="inlineStr">
        <is>
          <t>ST ALBAN-ANLAGE 66, CH-4052 BASEL, SWITZERLAND</t>
        </is>
      </c>
      <c r="AQ688" t="inlineStr">
        <is>
          <t>1660-4601</t>
        </is>
      </c>
      <c r="AS688" t="inlineStr">
        <is>
          <t>INT J ENV RES PUB HE</t>
        </is>
      </c>
      <c r="AT688" t="inlineStr">
        <is>
          <t>Int. J. Environ. Res. Public Health</t>
        </is>
      </c>
      <c r="AU688" t="inlineStr">
        <is>
          <t>JUN</t>
        </is>
      </c>
      <c r="AV688" t="n">
        <v>2020</v>
      </c>
      <c r="AW688" t="n">
        <v>17</v>
      </c>
      <c r="AX688" t="n">
        <v>12</v>
      </c>
      <c r="BE688" t="n">
        <v>4247</v>
      </c>
      <c r="BF688" t="inlineStr">
        <is>
          <t>10.3390/ijerph17124247</t>
        </is>
      </c>
      <c r="BG688">
        <f>HYPERLINK("http://dx.doi.org/10.3390/ijerph17124247","http://dx.doi.org/10.3390/ijerph17124247")</f>
        <v/>
      </c>
      <c r="BJ688" t="n">
        <v>11</v>
      </c>
      <c r="BK688" t="inlineStr">
        <is>
          <t>Environmental Sciences; Public, Environmental &amp; Occupational Health</t>
        </is>
      </c>
      <c r="BL688" t="inlineStr">
        <is>
          <t>Science Citation Index Expanded (SCI-EXPANDED); Social Science Citation Index (SSCI)</t>
        </is>
      </c>
      <c r="BM688" t="inlineStr">
        <is>
          <t>Environmental Sciences &amp; Ecology; Public, Environmental &amp; Occupational Health</t>
        </is>
      </c>
      <c r="BN688" t="inlineStr">
        <is>
          <t>MR3MS</t>
        </is>
      </c>
      <c r="BO688" t="n">
        <v>32545896</v>
      </c>
      <c r="BP688" t="inlineStr">
        <is>
          <t>Green Published, gold</t>
        </is>
      </c>
      <c r="BS688" t="inlineStr">
        <is>
          <t>2023-10-26</t>
        </is>
      </c>
      <c r="BT688" t="inlineStr">
        <is>
          <t>WOS:000553495200001</t>
        </is>
      </c>
      <c r="BU688">
        <f>HYPERLINK("https%3A%2F%2Fwww.webofscience.com%2Fwos%2Fwoscc%2Ffull-record%2FWOS:000553495200001","View Full Record in Web of Science")</f>
        <v/>
      </c>
    </row>
    <row r="689">
      <c r="A689" t="inlineStr">
        <is>
          <t>J</t>
        </is>
      </c>
      <c r="B689" t="inlineStr">
        <is>
          <t>Eimontas, J; Gegieckaite, G; Zamalijeva, O; Pakalniskiene, V</t>
        </is>
      </c>
      <c r="F689" t="inlineStr">
        <is>
          <t>Eimontas, Jonas; Gegieckaite, Goda; Zamalijeva, Olga; Pakalniskiene, Vilmante</t>
        </is>
      </c>
      <c r="J689" t="inlineStr">
        <is>
          <t>INTERNATIONAL JOURNAL OF ENVIRONMENTAL RESEARCH AND PUBLIC HEALTH</t>
        </is>
      </c>
      <c r="M689" t="inlineStr">
        <is>
          <t>English</t>
        </is>
      </c>
      <c r="N689" t="inlineStr">
        <is>
          <t>Article</t>
        </is>
      </c>
      <c r="T689" t="inlineStr">
        <is>
          <t>Unmet Healthcare Needs Predict Depression Symptoms among Older Adults</t>
        </is>
      </c>
      <c r="U689" t="inlineStr">
        <is>
          <t>older adults; depression; unmet healthcare needs; SHARE</t>
        </is>
      </c>
      <c r="V689" t="inlineStr">
        <is>
          <t>SOCIOECONOMIC-STATUS; ASSOCIATION; LIFE; MULTIMORBIDITY; PREVALENCE; DURATION; EUROPE; FIT</t>
        </is>
      </c>
      <c r="W689" t="inlineStr">
        <is>
          <t>Risk factors for depression in older adults include significant interpersonal losses, increasing social isolation, and deteriorating physical abilities and health that require healthcare. The effects of unmet healthcare needs on depression in older adults are understudied. This study aimed to analyze the association between unmet healthcare needs and symptoms of depression, sleep, and antidepressant medication while controlling for other significant factors among older adults. For this study, we used a multinational database from The Survey of Health, Ageing and Retirement in Europe (SHARE), containing data of individuals aged 50 and older. The final sample used in this research consisted of 39,484 individuals from 50 to 100 years (mean - 71.15, SD +/- 9.19), 42.0 percent of whom were male. Three path models exploring relationships between symptoms of depression at an older age and unmet healthcare needs were produced and had a good model fit. We found that unmet healthcare needs were directly related to depression, activity limitations were related to depression directly and through unmet healthcare needs, whereas financial situation mostly indirectly through unmet healthcare needs. We discuss how depression itself could increase unmet healthcare needs.</t>
        </is>
      </c>
      <c r="X689" t="inlineStr">
        <is>
          <t>[Eimontas, Jonas; Gegieckaite, Goda; Zamalijeva, Olga; Pakalniskiene, Vilmante] Vilnius Univ, Inst Psychol, Univ Str 9-1, LT-01513 Vilnius, Lithuania</t>
        </is>
      </c>
      <c r="Y689" t="inlineStr">
        <is>
          <t>Vilnius University</t>
        </is>
      </c>
      <c r="Z689" t="inlineStr">
        <is>
          <t>Eimontas, J (corresponding author), Vilnius Univ, Inst Psychol, Univ Str 9-1, LT-01513 Vilnius, Lithuania.</t>
        </is>
      </c>
      <c r="AA689" t="inlineStr">
        <is>
          <t>jonas.eimontas@fsf.vu.lt; goda.gegieckaite@fsf.vu.lt; olga.zamalijeva@fsf.vu.lt; vilmante.pakalniskiene@fsf.vu.lt</t>
        </is>
      </c>
      <c r="AB689" t="inlineStr">
        <is>
          <t>Zamalijeva, Olga/GQZ-6272-2022</t>
        </is>
      </c>
      <c r="AC689" t="inlineStr">
        <is>
          <t>Zamalijeva, Olga/0000-0002-9186-8440; Eimontas, Jonas/0000-0003-2638-0235; Gegieckaite, Goda/0000-0001-6577-9885</t>
        </is>
      </c>
      <c r="AD689" t="inlineStr">
        <is>
          <t>European Social Fund [09.3.3-LMT-K712-19-0192]; Research Council of Lithuania (LMTLT)</t>
        </is>
      </c>
      <c r="AE689" t="inlineStr">
        <is>
          <t>European Social Fund(European Social Fund (ESF)); Research Council of Lithuania (LMTLT)(Research Council of Lithuania (LMTLT))</t>
        </is>
      </c>
      <c r="AF689" t="inlineStr">
        <is>
          <t>This project has received funding from European Social Fund (project No. 09.3.3-LMT-K712-19-0192) under grant agreement with the Research Council of Lithuania (LMTLT).</t>
        </is>
      </c>
      <c r="AH689" t="n">
        <v>58</v>
      </c>
      <c r="AI689" t="n">
        <v>4</v>
      </c>
      <c r="AJ689" t="n">
        <v>4</v>
      </c>
      <c r="AK689" t="n">
        <v>3</v>
      </c>
      <c r="AL689" t="n">
        <v>12</v>
      </c>
      <c r="AM689" t="inlineStr">
        <is>
          <t>MDPI</t>
        </is>
      </c>
      <c r="AN689" t="inlineStr">
        <is>
          <t>BASEL</t>
        </is>
      </c>
      <c r="AO689" t="inlineStr">
        <is>
          <t>ST ALBAN-ANLAGE 66, CH-4052 BASEL, SWITZERLAND</t>
        </is>
      </c>
      <c r="AQ689" t="inlineStr">
        <is>
          <t>1660-4601</t>
        </is>
      </c>
      <c r="AS689" t="inlineStr">
        <is>
          <t>INT J ENV RES PUB HE</t>
        </is>
      </c>
      <c r="AT689" t="inlineStr">
        <is>
          <t>Int. J. Environ. Res. Public Health</t>
        </is>
      </c>
      <c r="AU689" t="inlineStr">
        <is>
          <t>AUG</t>
        </is>
      </c>
      <c r="AV689" t="n">
        <v>2022</v>
      </c>
      <c r="AW689" t="n">
        <v>19</v>
      </c>
      <c r="AX689" t="n">
        <v>15</v>
      </c>
      <c r="BE689" t="n">
        <v>8892</v>
      </c>
      <c r="BF689" t="inlineStr">
        <is>
          <t>10.3390/ijerph19158892</t>
        </is>
      </c>
      <c r="BG689">
        <f>HYPERLINK("http://dx.doi.org/10.3390/ijerph19158892","http://dx.doi.org/10.3390/ijerph19158892")</f>
        <v/>
      </c>
      <c r="BJ689" t="n">
        <v>13</v>
      </c>
      <c r="BK689" t="inlineStr">
        <is>
          <t>Environmental Sciences; Public, Environmental &amp; Occupational Health</t>
        </is>
      </c>
      <c r="BL689" t="inlineStr">
        <is>
          <t>Science Citation Index Expanded (SCI-EXPANDED); Social Science Citation Index (SSCI)</t>
        </is>
      </c>
      <c r="BM689" t="inlineStr">
        <is>
          <t>Environmental Sciences &amp; Ecology; Public, Environmental &amp; Occupational Health</t>
        </is>
      </c>
      <c r="BN689" t="inlineStr">
        <is>
          <t>3T3RA</t>
        </is>
      </c>
      <c r="BO689" t="n">
        <v>35897261</v>
      </c>
      <c r="BP689" t="inlineStr">
        <is>
          <t>gold, Green Published</t>
        </is>
      </c>
      <c r="BS689" t="inlineStr">
        <is>
          <t>2023-10-26</t>
        </is>
      </c>
      <c r="BT689" t="inlineStr">
        <is>
          <t>WOS:000840194600001</t>
        </is>
      </c>
      <c r="BU689">
        <f>HYPERLINK("https%3A%2F%2Fwww.webofscience.com%2Fwos%2Fwoscc%2Ffull-record%2FWOS:000840194600001","View Full Record in Web of Science")</f>
        <v/>
      </c>
    </row>
    <row r="690">
      <c r="A690" t="inlineStr">
        <is>
          <t>J</t>
        </is>
      </c>
      <c r="B690" t="inlineStr">
        <is>
          <t>Mele, A; Vitiello, A; Bonano, M; Miano, A; Lanari, R; Acampora, G; Prota, A</t>
        </is>
      </c>
      <c r="F690" t="inlineStr">
        <is>
          <t>Mele, Annalisa; Vitiello, Autilia; Bonano, Manuela; Miano, Andrea; Lanari, Riccardo; Acampora, Giovanni; Prota, Andrea</t>
        </is>
      </c>
      <c r="J690" t="inlineStr">
        <is>
          <t>REMOTE SENSING</t>
        </is>
      </c>
      <c r="M690" t="inlineStr">
        <is>
          <t>English</t>
        </is>
      </c>
      <c r="N690" t="inlineStr">
        <is>
          <t>Article</t>
        </is>
      </c>
      <c r="T690" t="inlineStr">
        <is>
          <t>On the Joint Exploitation of Satellite DInSAR Measurements and DBSCAN-Based Techniques for Preliminary Identification and Ranking of Critical Constructions in a Built Environment</t>
        </is>
      </c>
      <c r="U690" t="inlineStr">
        <is>
          <t>remote sensing; artificial intelligence; DInSAR; deformation time series; DBSCAN; structural monitoring; built-up environment</t>
        </is>
      </c>
      <c r="V690" t="inlineStr">
        <is>
          <t>TIME-SERIES GENERATION; RADAR INTERFEROMETRY; ALGORITHM; ROME; RESOLUTION; RETRIEVAL; AREAS; CITY</t>
        </is>
      </c>
      <c r="W690" t="inlineStr">
        <is>
          <t>The need for widespread structural safety checks represents a stimulus for the research of advanced techniques for structural monitoring at the scale of single constructions or wide areas. In this work, a strategy to preliminarily identify and rank possible critical constructions in a built environment is presented, based on the joint exploitation of satellite radar remote sensing measurements and artificial intelligence (AI) techniques. The satellite measurements are represented by the displacement time series obtained through the Differential Synthetic Aperture Radar Interferometry (DInSAR) technique known as full resolution Small BAseline Subset (SBAS) approach, while the exploited AI technique is represented by the Density-Based Spatial Clustering of Applications with Noise (DBSCAN) methodology. The DBSCAN technique is applied to the SBAS-DInSAR products relevant to the achieved Persistent Scatterers (PSs), to identify clusters of pixels corresponding to buildings within the investigated area. The analysis of the deformation evolution of each building cluster is performed in terms of velocity rates and statistics on the DInSAR measurements. Synthetic deformation maps of the areas are then retrieved to identify critical buildings. The proposed methodology is applied to three areas within the city of Rome (Italy), imaged by the COSMO-SkyMed SAR satellite constellation from ascending and descending orbits (in the time interval 2011-2019). Starting from the DInSAR measurements, the DBSCAN algorithm provides the automatic clustering of buildings within the three selected areas. Exploiting the derived deformation maps of each study area, a preliminary identification and ranking of critical buildings is achieved, thus confirming the validity of the proposed approach.</t>
        </is>
      </c>
      <c r="X690" t="inlineStr">
        <is>
          <t>[Mele, Annalisa; Miano, Andrea; Prota, Andrea] Univ Naples Federico II, Dept Struct Engn &amp; Architecture, Via Claudio 21, I-80125 Naples, Italy; [Vitiello, Autilia; Acampora, Giovanni] Univ Naples Federico II, Dept Phys Ettore Pancini, Via Cinthia 21, I-80126 Naples, Italy; [Bonano, Manuela; Lanari, Riccardo] Italian Natl Res Council, Inst Elect Sensing Environm CNR IREA, Via Diocleziano 328, I-80124 Naples, Italy</t>
        </is>
      </c>
      <c r="Y690" t="inlineStr">
        <is>
          <t>University of Naples Federico II; University of Naples Federico II; Consiglio Nazionale delle Ricerche (CNR)</t>
        </is>
      </c>
      <c r="Z690" t="inlineStr">
        <is>
          <t>Lanari, R (corresponding author), Italian Natl Res Council, Inst Elect Sensing Environm CNR IREA, Via Diocleziano 328, I-80124 Naples, Italy.</t>
        </is>
      </c>
      <c r="AA690" t="inlineStr">
        <is>
          <t>annalisa.mele@unina.it; autilia.vitiello@unina.it; bonano.m@irea.cnr.it; andrea.miano@unina.it; lanari.r@irea.cnr.it; giovanni.acampora@unina.it; aprota@unina.it</t>
        </is>
      </c>
      <c r="AB690" t="inlineStr">
        <is>
          <t>Prota, Andrea/C-6039-2008; Acampora, Giovanni/K-6875-2012; Miano, Andrea/AAA-7646-2020</t>
        </is>
      </c>
      <c r="AC690" t="inlineStr">
        <is>
          <t>Miano, Andrea/0000-0001-6638-1983; Acampora, Giovanni/0000-0003-4082-5616; Bonano, Manuela/0000-0001-8240-7629; Mele, Annalisa/0000-0002-7304-0391; LANARI, RICCARDO/0000-0002-7296-2749</t>
        </is>
      </c>
      <c r="AD690" t="inlineStr">
        <is>
          <t>Italian Civil Protection Department (DPC); I-AMICA [PONa3_00363]; [DCP-ReLUIS 2019-2021]</t>
        </is>
      </c>
      <c r="AE690" t="inlineStr">
        <is>
          <t>Italian Civil Protection Department (DPC); I-AMICA;</t>
        </is>
      </c>
      <c r="AF690" t="inlineStr">
        <is>
          <t>The research project was conducted thanks to the financial support from DCP-ReLUIS 2019-2021. This work was supported by the Italian Civil Protection Department (DPC) and the I-AMICA (PONa3_00363) project.</t>
        </is>
      </c>
      <c r="AH690" t="n">
        <v>50</v>
      </c>
      <c r="AI690" t="n">
        <v>6</v>
      </c>
      <c r="AJ690" t="n">
        <v>6</v>
      </c>
      <c r="AK690" t="n">
        <v>1</v>
      </c>
      <c r="AL690" t="n">
        <v>10</v>
      </c>
      <c r="AM690" t="inlineStr">
        <is>
          <t>MDPI</t>
        </is>
      </c>
      <c r="AN690" t="inlineStr">
        <is>
          <t>BASEL</t>
        </is>
      </c>
      <c r="AO690" t="inlineStr">
        <is>
          <t>ST ALBAN-ANLAGE 66, CH-4052 BASEL, SWITZERLAND</t>
        </is>
      </c>
      <c r="AQ690" t="inlineStr">
        <is>
          <t>2072-4292</t>
        </is>
      </c>
      <c r="AS690" t="inlineStr">
        <is>
          <t>REMOTE SENS-BASEL</t>
        </is>
      </c>
      <c r="AT690" t="inlineStr">
        <is>
          <t>Remote Sens.</t>
        </is>
      </c>
      <c r="AU690" t="inlineStr">
        <is>
          <t>APR</t>
        </is>
      </c>
      <c r="AV690" t="n">
        <v>2022</v>
      </c>
      <c r="AW690" t="n">
        <v>14</v>
      </c>
      <c r="AX690" t="n">
        <v>8</v>
      </c>
      <c r="BE690" t="n">
        <v>1872</v>
      </c>
      <c r="BF690" t="inlineStr">
        <is>
          <t>10.3390/rs14081872</t>
        </is>
      </c>
      <c r="BG690">
        <f>HYPERLINK("http://dx.doi.org/10.3390/rs14081872","http://dx.doi.org/10.3390/rs14081872")</f>
        <v/>
      </c>
      <c r="BJ690" t="n">
        <v>23</v>
      </c>
      <c r="BK690" t="inlineStr">
        <is>
          <t>Environmental Sciences; Geosciences, Multidisciplinary; Remote Sensing; Imaging Science &amp; Photographic Technology</t>
        </is>
      </c>
      <c r="BL690" t="inlineStr">
        <is>
          <t>Science Citation Index Expanded (SCI-EXPANDED)</t>
        </is>
      </c>
      <c r="BM690" t="inlineStr">
        <is>
          <t>Environmental Sciences &amp; Ecology; Geology; Remote Sensing; Imaging Science &amp; Photographic Technology</t>
        </is>
      </c>
      <c r="BN690" t="inlineStr">
        <is>
          <t>0U1CK</t>
        </is>
      </c>
      <c r="BP690" t="inlineStr">
        <is>
          <t>gold</t>
        </is>
      </c>
      <c r="BS690" t="inlineStr">
        <is>
          <t>2023-10-26</t>
        </is>
      </c>
      <c r="BT690" t="inlineStr">
        <is>
          <t>WOS:000787395100001</t>
        </is>
      </c>
      <c r="BU690">
        <f>HYPERLINK("https%3A%2F%2Fwww.webofscience.com%2Fwos%2Fwoscc%2Ffull-record%2FWOS:000787395100001","View Full Record in Web of Science")</f>
        <v/>
      </c>
    </row>
    <row r="691">
      <c r="A691" t="inlineStr">
        <is>
          <t>J</t>
        </is>
      </c>
      <c r="B691" t="inlineStr">
        <is>
          <t>Melymuk, L; Demirtepe, H; Jílková, SR</t>
        </is>
      </c>
      <c r="F691" t="inlineStr">
        <is>
          <t>Melymuk, Lisa; Demirtepe, Hale; Jilkova, Simona Rozarka</t>
        </is>
      </c>
      <c r="J691" t="inlineStr">
        <is>
          <t>CURRENT OPINION IN ENVIRONMENTAL SCIENCE &amp; HEALTH</t>
        </is>
      </c>
      <c r="M691" t="inlineStr">
        <is>
          <t>English</t>
        </is>
      </c>
      <c r="N691" t="inlineStr">
        <is>
          <t>Article</t>
        </is>
      </c>
      <c r="T691" t="inlineStr">
        <is>
          <t>Indoor dust and associated chemical exposures</t>
        </is>
      </c>
      <c r="U691" t="inlineStr">
        <is>
          <t>Indoor dust; Built environment; Chemical exposures; Semivolatile organic compounds; Dust exposure</t>
        </is>
      </c>
      <c r="W691" t="inlineStr">
        <is>
          <t>Given that more than 90% of time in industrialized countries is typically spent indoors, the indoor environment is a key source of environmental exposures contributing to the overall human exposome. Indoor settled dust is of particular interest because of its ubiquitous presence and human exposure across indoor environments; it serves as a sink for many indoor chemicals of concern, particularly plastic additives, personal care product components, pesticides and industrial chemicals, combustion by-products and heavy metals. Nondietary dust ingestion and dermal contact with dust are important routes of human exposure to these chemicals. This review will summarize the properties and composition of typical indoor dust and relate these to the importance of indoor dust as a part of the human exposome.</t>
        </is>
      </c>
      <c r="X691" t="inlineStr">
        <is>
          <t>[Melymuk, Lisa; Demirtepe, Hale; Jilkova, Simona Rozarka] Masaryk Univ, Fac Sci, RECETOX, Brno, Czech Republic</t>
        </is>
      </c>
      <c r="Y691" t="inlineStr">
        <is>
          <t>Masaryk University Brno</t>
        </is>
      </c>
      <c r="Z691" t="inlineStr">
        <is>
          <t>Melymuk, L (corresponding author), Masaryk Univ, Fac Sci, RECETOX, Brno, Czech Republic.</t>
        </is>
      </c>
      <c r="AA691" t="inlineStr">
        <is>
          <t>lisa.melymuk@recetox.muni.cz</t>
        </is>
      </c>
      <c r="AC691" t="inlineStr">
        <is>
          <t>DEMIRTEPE, HALE/0000-0003-4711-2467</t>
        </is>
      </c>
      <c r="AD691" t="inlineStr">
        <is>
          <t>Czech Science Foundation [GACR 1920479S]; RECETOX Research Infrastructure (Czech Ministry of Education, Youth and Sports) [LM2018121]</t>
        </is>
      </c>
      <c r="AE691" t="inlineStr">
        <is>
          <t>Czech Science Foundation(Grant Agency of the Czech Republic); RECETOX Research Infrastructure (Czech Ministry of Education, Youth and Sports)</t>
        </is>
      </c>
      <c r="AF691" t="inlineStr">
        <is>
          <t>This work was supported by the Czech Science Foundation (GACR 1920479S) and the RECETOX Research Infrastructure (Czech Ministry of Education, Youth and Sports: LM2018121).</t>
        </is>
      </c>
      <c r="AH691" t="n">
        <v>64</v>
      </c>
      <c r="AI691" t="n">
        <v>25</v>
      </c>
      <c r="AJ691" t="n">
        <v>25</v>
      </c>
      <c r="AK691" t="n">
        <v>3</v>
      </c>
      <c r="AL691" t="n">
        <v>6</v>
      </c>
      <c r="AM691" t="inlineStr">
        <is>
          <t>ELSEVIER</t>
        </is>
      </c>
      <c r="AN691" t="inlineStr">
        <is>
          <t>AMSTERDAM</t>
        </is>
      </c>
      <c r="AO691" t="inlineStr">
        <is>
          <t>RADARWEG 29, 1043 NX AMSTERDAM, NETHERLANDS</t>
        </is>
      </c>
      <c r="AP691" t="inlineStr">
        <is>
          <t>2468-5844</t>
        </is>
      </c>
      <c r="AS691" t="inlineStr">
        <is>
          <t>CURR OPIN ENV SCI HL</t>
        </is>
      </c>
      <c r="AT691" t="inlineStr">
        <is>
          <t>Curr. Opin. Environ. Sci. Health</t>
        </is>
      </c>
      <c r="AU691" t="inlineStr">
        <is>
          <t>JUN</t>
        </is>
      </c>
      <c r="AV691" t="n">
        <v>2020</v>
      </c>
      <c r="AW691" t="n">
        <v>15</v>
      </c>
      <c r="BC691" t="n">
        <v>1</v>
      </c>
      <c r="BD691" t="n">
        <v>6</v>
      </c>
      <c r="BF691" t="inlineStr">
        <is>
          <t>10.1016/j.coesh.2020.01.005</t>
        </is>
      </c>
      <c r="BG691">
        <f>HYPERLINK("http://dx.doi.org/10.1016/j.coesh.2020.01.005","http://dx.doi.org/10.1016/j.coesh.2020.01.005")</f>
        <v/>
      </c>
      <c r="BJ691" t="n">
        <v>6</v>
      </c>
      <c r="BK691" t="inlineStr">
        <is>
          <t>Environmental Sciences; Public, Environmental &amp; Occupational Health</t>
        </is>
      </c>
      <c r="BL691" t="inlineStr">
        <is>
          <t>Emerging Sources Citation Index (ESCI)</t>
        </is>
      </c>
      <c r="BM691" t="inlineStr">
        <is>
          <t>Environmental Sciences &amp; Ecology; Public, Environmental &amp; Occupational Health</t>
        </is>
      </c>
      <c r="BN691" t="inlineStr">
        <is>
          <t>NG4QA</t>
        </is>
      </c>
      <c r="BS691" t="inlineStr">
        <is>
          <t>2023-10-26</t>
        </is>
      </c>
      <c r="BT691" t="inlineStr">
        <is>
          <t>WOS:000563967300002</t>
        </is>
      </c>
      <c r="BU691">
        <f>HYPERLINK("https%3A%2F%2Fwww.webofscience.com%2Fwos%2Fwoscc%2Ffull-record%2FWOS:000563967300002","View Full Record in Web of Science")</f>
        <v/>
      </c>
    </row>
    <row r="692">
      <c r="A692" t="inlineStr">
        <is>
          <t>J</t>
        </is>
      </c>
      <c r="B692" t="inlineStr">
        <is>
          <t>Nkoulou, JEN II; Manga, A; Saïdou; German, O; Sainz-Fernandez, C; Njock, MGK</t>
        </is>
      </c>
      <c r="F692" t="inlineStr">
        <is>
          <t>Nkoulou, Joseph Emmanuel Ndjana, II; Manga, Andre; Saidou; German, Olga; Sainz-Fernandez, Carlos; Njock, Moise Godfroy Kwato</t>
        </is>
      </c>
      <c r="J692" t="inlineStr">
        <is>
          <t>ENVIRONMENTAL SCIENCE AND POLLUTION RESEARCH</t>
        </is>
      </c>
      <c r="M692" t="inlineStr">
        <is>
          <t>English</t>
        </is>
      </c>
      <c r="N692" t="inlineStr">
        <is>
          <t>Article</t>
        </is>
      </c>
      <c r="T692" t="inlineStr">
        <is>
          <t>Natural radioactivity in building materials, indoor radon measurements, and assessment of the associated risk indicators in some localities of the Centre Region, Cameroon</t>
        </is>
      </c>
      <c r="U692" t="inlineStr">
        <is>
          <t>Natural radioactivity; Building materials; RESRAD-BUILD; Indoor radon; Inhalation dose; Risk indicators</t>
        </is>
      </c>
      <c r="V692" t="inlineStr">
        <is>
          <t>YAOUNDE GNEISSES</t>
        </is>
      </c>
      <c r="W692" t="inlineStr">
        <is>
          <t>The objective of the current study is to investigate the natural radioactivity of some building materials, the resulting long-term external and internal effective dose equivalents (EEDE and IEDE) analysis followed by indoor radon measurements, and the assessment of some radiological risk indicators associated with radon exposure. A total of 37 samples of building materials were analyzed with a sodium iodide detector (NaI (Tl)), and the computer code RESRAD-BUILD was used for the analysis of the EEDE and IEDE of the structural elements of the houses (walls and floor). For indoor radon measurements, 140 houses were selected, and in each of them was placed 01 RADTRAK dosimeter. Inhalation dose, total dose, and some radiological risk indicators were calculated. The specific activities of Ra-226, Th-232, and K-40 for the overall sampled building materials were found to vary between 10 +/- 2-52 +/- 7, 10 +/- 1-95 +/- 10, and 31 +/- 1-673 +/- 20 Bq kg(-1), respectively. The dwelling types with bare brick walls, cement mortar plastered walls, and concrete floors show EEDE and IEDE values well below the recommended limits. The corresponding dwelling type contributions to the measured average indoor radon concentration (42 +/- 12 Bq m(-3)) are 22%, 13%, and 16%, respectively. Inhalation dose resulting from the measured indoor radon concentrations varies from 0.35 to 3.24 mSv y(-1) with a mean value of 0.96 +/- 0.55 mSv y(-1), which represents about 65% of the total dose simulated (1.49 +/- 0.88 mSv y(-1)) by the RESRAD-BUILD code. The overall analysis of indoor radon-related radiological risk indicators shows low levels of risk relative to permissible limits.</t>
        </is>
      </c>
      <c r="X692" t="inlineStr">
        <is>
          <t>[Nkoulou, Joseph Emmanuel Ndjana, II; Njock, Moise Godfroy Kwato] Univ Douala, Ctr Atom Mol Phys &amp; Quantum Opt, POB 8580, Douala, Cameroon; [Nkoulou, Joseph Emmanuel Ndjana, II; Manga, Andre; Saidou] Res Ctr Nucl Sci &amp; Technol, Inst Geol &amp; Min Res, POB 4110, Yaounde, Cameroon; [Saidou] Univ Yaounde I, Fac Sci, POB 812, Yaounde, Cameroon; [German, Olga] IAEA, Div Radiat Transport &amp; Waste Safety, Dept Nucl Safety &amp; Secur, POB 100,1400 Wagramerstr, A-1020 Vienna, Austria; [Sainz-Fernandez, Carlos] Univ Cantabria, Environm Radioact Lab Univ Cantabria LaRUC, Santander 39011, Cantabria, Spain</t>
        </is>
      </c>
      <c r="Y692" t="inlineStr">
        <is>
          <t>University of Yaounde I; International Atomic Energy Agency; Universidad de Cantabria</t>
        </is>
      </c>
      <c r="Z692" t="inlineStr">
        <is>
          <t>Saïdou (corresponding author), Res Ctr Nucl Sci &amp; Technol, Inst Geol &amp; Min Res, POB 4110, Yaounde, Cameroon.;Saïdou (corresponding author), Univ Yaounde I, Fac Sci, POB 812, Yaounde, Cameroon.</t>
        </is>
      </c>
      <c r="AA692" t="inlineStr">
        <is>
          <t>saidous2002@yahoo.fr</t>
        </is>
      </c>
      <c r="AB692" t="inlineStr">
        <is>
          <t>-, Saïdou/AAJ-8167-2021</t>
        </is>
      </c>
      <c r="AC692" t="inlineStr">
        <is>
          <t>-, Saïdou/0000-0001-7427-0239; Sainz Fernandez, Carlos/0000-0003-2029-4512</t>
        </is>
      </c>
      <c r="AD692" t="inlineStr">
        <is>
          <t>Abdus Salam ICTP [OEA-AF-12]</t>
        </is>
      </c>
      <c r="AE692" t="inlineStr">
        <is>
          <t>Abdus Salam ICTP</t>
        </is>
      </c>
      <c r="AF692" t="inlineStr">
        <is>
          <t>The authors are grateful to the Abdus Salam ICTP for its support through the OEA-AF-12 project at CEPAMOQ. The Government of Cameroon through the Public Investment Budget 2019 of the Ministry of Scientific Research and Innovation is acknowledged.</t>
        </is>
      </c>
      <c r="AH692" t="n">
        <v>54</v>
      </c>
      <c r="AI692" t="n">
        <v>2</v>
      </c>
      <c r="AJ692" t="n">
        <v>2</v>
      </c>
      <c r="AK692" t="n">
        <v>3</v>
      </c>
      <c r="AL692" t="n">
        <v>6</v>
      </c>
      <c r="AM692" t="inlineStr">
        <is>
          <t>SPRINGER HEIDELBERG</t>
        </is>
      </c>
      <c r="AN692" t="inlineStr">
        <is>
          <t>HEIDELBERG</t>
        </is>
      </c>
      <c r="AO692" t="inlineStr">
        <is>
          <t>TIERGARTENSTRASSE 17, D-69121 HEIDELBERG, GERMANY</t>
        </is>
      </c>
      <c r="AP692" t="inlineStr">
        <is>
          <t>0944-1344</t>
        </is>
      </c>
      <c r="AQ692" t="inlineStr">
        <is>
          <t>1614-7499</t>
        </is>
      </c>
      <c r="AS692" t="inlineStr">
        <is>
          <t>ENVIRON SCI POLLUT R</t>
        </is>
      </c>
      <c r="AT692" t="inlineStr">
        <is>
          <t>Environ. Sci. Pollut. Res.</t>
        </is>
      </c>
      <c r="AU692" t="inlineStr">
        <is>
          <t>AUG</t>
        </is>
      </c>
      <c r="AV692" t="n">
        <v>2022</v>
      </c>
      <c r="AW692" t="n">
        <v>29</v>
      </c>
      <c r="AX692" t="n">
        <v>36</v>
      </c>
      <c r="BC692" t="n">
        <v>54842</v>
      </c>
      <c r="BD692" t="n">
        <v>54854</v>
      </c>
      <c r="BF692" t="inlineStr">
        <is>
          <t>10.1007/s11356-022-19781-z</t>
        </is>
      </c>
      <c r="BG692">
        <f>HYPERLINK("http://dx.doi.org/10.1007/s11356-022-19781-z","http://dx.doi.org/10.1007/s11356-022-19781-z")</f>
        <v/>
      </c>
      <c r="BI692" t="inlineStr">
        <is>
          <t>MAR 2022</t>
        </is>
      </c>
      <c r="BJ692" t="n">
        <v>13</v>
      </c>
      <c r="BK692" t="inlineStr">
        <is>
          <t>Environmental Sciences</t>
        </is>
      </c>
      <c r="BL692" t="inlineStr">
        <is>
          <t>Science Citation Index Expanded (SCI-EXPANDED)</t>
        </is>
      </c>
      <c r="BM692" t="inlineStr">
        <is>
          <t>Environmental Sciences &amp; Ecology</t>
        </is>
      </c>
      <c r="BN692" t="inlineStr">
        <is>
          <t>3O4UX</t>
        </is>
      </c>
      <c r="BO692" t="n">
        <v>35314929</v>
      </c>
      <c r="BS692" t="inlineStr">
        <is>
          <t>2023-10-26</t>
        </is>
      </c>
      <c r="BT692" t="inlineStr">
        <is>
          <t>WOS:000771353900017</t>
        </is>
      </c>
      <c r="BU692">
        <f>HYPERLINK("https%3A%2F%2Fwww.webofscience.com%2Fwos%2Fwoscc%2Ffull-record%2FWOS:000771353900017","View Full Record in Web of Science")</f>
        <v/>
      </c>
    </row>
    <row r="693">
      <c r="A693" t="inlineStr">
        <is>
          <t>J</t>
        </is>
      </c>
      <c r="B693" t="inlineStr">
        <is>
          <t>Huang, SD; Wei, WJ; Weschler, LB; Salthammer, T; Kan, HD; Bu, ZM; Zhang, YP</t>
        </is>
      </c>
      <c r="F693" t="inlineStr">
        <is>
          <t>Huang, Shaodan; Wei, Wenjuan; Weschler, Louise B.; Salthammer, Tunga; Kan, Haidong; Bu, Zhongming; Zhang, Yinping</t>
        </is>
      </c>
      <c r="J693" t="inlineStr">
        <is>
          <t>SCIENCE OF THE TOTAL ENVIRONMENT</t>
        </is>
      </c>
      <c r="M693" t="inlineStr">
        <is>
          <t>English</t>
        </is>
      </c>
      <c r="N693" t="inlineStr">
        <is>
          <t>Article</t>
        </is>
      </c>
      <c r="T693" t="inlineStr">
        <is>
          <t>Indoor formaldehyde concentrations in urban China: Preliminary study of some important influencing factors</t>
        </is>
      </c>
      <c r="U693" t="inlineStr">
        <is>
          <t>Indoor air quality; Indoor formaldehyde exposure; Building energy efficiency; Ventilation</t>
        </is>
      </c>
      <c r="V693" t="inlineStr">
        <is>
          <t>INITIAL EMITTABLE CONCENTRATION; VOLATILE ORGANIC-COMPOUNDS; BUILDING-MATERIALS; VOC EMISSIONS; ENVIRONMENTAL-QUALITY; PARTITION-COEFFICIENTS; AIR-POLLUTION; TEMPERATURE; IMPACT; EXPOSURE</t>
        </is>
      </c>
      <c r="W693" t="inlineStr">
        <is>
          <t>The Huai River and Qingling Mountain divide (H-Q) divide China into north and south with respect to public policies for building construction and operation practises. China's building energy efficiency standard mandates that air exchange rates be 0.5 h(-1) north of the H-Qdivide and 1 h(-1) south of the divide. China's heating policy allows space heating systems only north of the H-Q divide. Consequently, indoor temperature and humidity differ considerably between north and south. A theoretical model using indoor temperature, humidity, and air change rate was developed to predict indoor formaldehyde concentrations. Data for 39 cities were obtained from 42 studies. There was good agreement between the literature and modelling in a theoretical reference room. The United States Environmental Protection Agency (U.S.EPA) model was applied to estimate cancer risk from formaldehyde exposure indoors. The median indoor formaldehyde concentration for renovation ever from 2002 to 2015 in Chinese cities was 125 mu g/m(3), which is higher than the WHO threshold, 100 mu g/m(3). The median indoor formaldehyde concentrations in the north were higher than in the south (0.5 times higher for dwellings renovated within the past year and 0.2 times higher for renovation ever), driven by the much higher northern winter concentrations (40-1320%). The U.S.EPA model predicts that the lifetime formaldehyde related cancer risk for people living north of the H-Q divide is 12 times greater than for people living south. This can be partly explained by greater indoor exposure to formaldehyde for Chinese living north of the H-Q divide. (C) 2017 Elsevier B.V. All rights reserved.</t>
        </is>
      </c>
      <c r="X693" t="inlineStr">
        <is>
          <t>[Huang, Shaodan; Wei, Wenjuan; Weschler, Louise B.; Zhang, Yinping] Tsinghua Univ, Dept Bldg Sci, Beijing 100084, Peoples R China; [Huang, Shaodan; Zhang, Yinping] Beijing Key Lab Indoor Air Qual Evaluat &amp; Control, Beijing 100084, Peoples R China; [Huang, Shaodan] Harvard TH Chan Sch Publ Hlth, Dept Environm Sci, Boston, MA 02115 USA; [Wei, Wenjuan] Univ Paris Est, Sci &amp; Tech Ctr Bldg CSTB, Hlth &amp; Comfort Dept, French Indoor Air Qual Observ OQAI, 84 Ave Jean Jaures, F-77447 Champs Sur Marne, Marne La Vallee, France; [Weschler, Louise B.] 161 Richdale Rd, Colts Neck, NJ 07722 USA; [Salthammer, Tunga] Fraunhofer WKI, Dept Mat Anal &amp; Indoor Chem, D-38108 Braunschweig, Germany; [Kan, Haidong] Fudan Univ, Sch Publ Hlth, Shanghai 200032, Peoples R China; [Bu, Zhongming] Chongqing Univ, Key Lab Three Gorges Reservoir Reg Ecoenvironm, Minist Educ, Chongqing 400045, Peoples R China</t>
        </is>
      </c>
      <c r="Y693" t="inlineStr">
        <is>
          <t>Tsinghua University; Harvard University; Harvard T.H. Chan School of Public Health; Universite Gustave-Eiffel; Fudan University; Chongqing University</t>
        </is>
      </c>
      <c r="Z693" t="inlineStr">
        <is>
          <t>Zhang, YP (corresponding author), Tsinghua Univ, Dept Bldg Sci, Beijing 100084, Peoples R China.</t>
        </is>
      </c>
      <c r="AA693" t="inlineStr">
        <is>
          <t>zhangyp@tsinghua.edu.cn</t>
        </is>
      </c>
      <c r="AB693" t="inlineStr">
        <is>
          <t>Bu, Zhongming/HOA-6273-2023; Kan, Haidong/ABA-7625-2022; Kan, Haidong/AGU-0328-2022; Salthammer, Tunga/F-6638-2013; Weschler, Louise B/E-3937-2013; Zhang, Yinping/B-5187-2012; Wei, Wenjuan/AAE-2569-2022</t>
        </is>
      </c>
      <c r="AC693" t="inlineStr">
        <is>
          <t>Salthammer, Tunga/0000-0002-2370-8664; Zhang, Yinping/0000-0001-9175-7890; Wei, Wenjuan/0000-0002-8232-8186; , Zhongming/0000-0002-3393-0285</t>
        </is>
      </c>
      <c r="AD693" t="inlineStr">
        <is>
          <t>National Natural Science Foundation of China [51476013, 51521005]; 58th China Postdoctoral Science Foundation [2015M580104]; Australia-China Centre for Air Quality Science and Management (ACC-AQSM)</t>
        </is>
      </c>
      <c r="AE693" t="inlineStr">
        <is>
          <t>National Natural Science Foundation of China(National Natural Science Foundation of China (NSFC)); 58th China Postdoctoral Science Foundation; Australia-China Centre for Air Quality Science and Management (ACC-AQSM)</t>
        </is>
      </c>
      <c r="AF693" t="inlineStr">
        <is>
          <t>This research was supported by the National Natural Science Foundation of China (No. 51476013, No. 51521005) and 58th China Postdoctoral Science Foundation (2015M580104). This work was also supported by Australia-China Centre for Air Quality Science and Management (ACC-AQSM).</t>
        </is>
      </c>
      <c r="AH693" t="n">
        <v>101</v>
      </c>
      <c r="AI693" t="n">
        <v>88</v>
      </c>
      <c r="AJ693" t="n">
        <v>102</v>
      </c>
      <c r="AK693" t="n">
        <v>13</v>
      </c>
      <c r="AL693" t="n">
        <v>197</v>
      </c>
      <c r="AM693" t="inlineStr">
        <is>
          <t>ELSEVIER</t>
        </is>
      </c>
      <c r="AN693" t="inlineStr">
        <is>
          <t>AMSTERDAM</t>
        </is>
      </c>
      <c r="AO693" t="inlineStr">
        <is>
          <t>RADARWEG 29, 1043 NX AMSTERDAM, NETHERLANDS</t>
        </is>
      </c>
      <c r="AP693" t="inlineStr">
        <is>
          <t>0048-9697</t>
        </is>
      </c>
      <c r="AQ693" t="inlineStr">
        <is>
          <t>1879-1026</t>
        </is>
      </c>
      <c r="AS693" t="inlineStr">
        <is>
          <t>SCI TOTAL ENVIRON</t>
        </is>
      </c>
      <c r="AT693" t="inlineStr">
        <is>
          <t>Sci. Total Environ.</t>
        </is>
      </c>
      <c r="AU693" t="inlineStr">
        <is>
          <t>JUL 15</t>
        </is>
      </c>
      <c r="AV693" t="n">
        <v>2017</v>
      </c>
      <c r="AW693" t="n">
        <v>590</v>
      </c>
      <c r="BC693" t="n">
        <v>394</v>
      </c>
      <c r="BD693" t="n">
        <v>405</v>
      </c>
      <c r="BF693" t="inlineStr">
        <is>
          <t>10.1016/j.scitotenv.2017.02.187</t>
        </is>
      </c>
      <c r="BG693">
        <f>HYPERLINK("http://dx.doi.org/10.1016/j.scitotenv.2017.02.187","http://dx.doi.org/10.1016/j.scitotenv.2017.02.187")</f>
        <v/>
      </c>
      <c r="BJ693" t="n">
        <v>12</v>
      </c>
      <c r="BK693" t="inlineStr">
        <is>
          <t>Environmental Sciences</t>
        </is>
      </c>
      <c r="BL693" t="inlineStr">
        <is>
          <t>Science Citation Index Expanded (SCI-EXPANDED)</t>
        </is>
      </c>
      <c r="BM693" t="inlineStr">
        <is>
          <t>Environmental Sciences &amp; Ecology</t>
        </is>
      </c>
      <c r="BN693" t="inlineStr">
        <is>
          <t>ES4NK</t>
        </is>
      </c>
      <c r="BO693" t="n">
        <v>28291616</v>
      </c>
      <c r="BS693" t="inlineStr">
        <is>
          <t>2023-10-26</t>
        </is>
      </c>
      <c r="BT693" t="inlineStr">
        <is>
          <t>WOS:000399511800041</t>
        </is>
      </c>
      <c r="BU693">
        <f>HYPERLINK("https%3A%2F%2Fwww.webofscience.com%2Fwos%2Fwoscc%2Ffull-record%2FWOS:000399511800041","View Full Record in Web of Science")</f>
        <v/>
      </c>
    </row>
    <row r="694">
      <c r="A694" t="inlineStr">
        <is>
          <t>J</t>
        </is>
      </c>
      <c r="B694" t="inlineStr">
        <is>
          <t>Pearlmutter, D; Pucher, B; Calheiros, CSC; Hoffmann, KA; Aicher, A; Pinho, P; Stracqualursi, A; Korolova, A; Pobric, A; Galvao, A; Tokuç, A; Bas, B; Theochari, D; Milosevic, D; Giancola, E; Bertino, G; Castellar, JAC; Flaszynska, J; Onur, M; Mateo, MCG; Andreucci, MB; Milousi, M; Fonseca, M; Lonardo, S; Gezik, V; Pitha, U; Nehls, T</t>
        </is>
      </c>
      <c r="F694" t="inlineStr">
        <is>
          <t>Pearlmutter, David; Pucher, Bernhard; Calheiros, Cristina S. C.; Hoffmann, Karin A.; Aicher, Andreas; Pinho, Pedro; Stracqualursi, Alessandro; Korolova, Alisa; Pobric, Alma; Galvao, Ana; Tokuc, Ayca; Bas, Bilge; Theochari, Dimitra; Milosevic, Dragan; Giancola, Emanuela; Bertino, Gaetano; Castellar, Joana A. C.; Flaszynska, Julia; Onur, Makbulenur; Mateo, Mari Carmen Garcia; Andreucci, Maria Beatrice; Milousi, Maria; Fonseca, Mariana; Di Lonardo, Sara; Gezik, Veronika; Pitha, Ulrike; Nehls, Thomas</t>
        </is>
      </c>
      <c r="J694" t="inlineStr">
        <is>
          <t>WATER</t>
        </is>
      </c>
      <c r="M694" t="inlineStr">
        <is>
          <t>English</t>
        </is>
      </c>
      <c r="N694" t="inlineStr">
        <is>
          <t>Article</t>
        </is>
      </c>
      <c r="T694" t="inlineStr">
        <is>
          <t>Closing Water Cycles in the Built Environment through Nature-Based Solutions: The Contribution of Vertical Greening Systems and Green Roofs</t>
        </is>
      </c>
      <c r="U694" t="inlineStr">
        <is>
          <t>water reuse; water management; water cycle; nature-based solutions; green roofs; vertical greening systems; life-cycle assessment; circular cities; built environment; building greening</t>
        </is>
      </c>
      <c r="V694" t="inlineStr">
        <is>
          <t>LIFE-CYCLE; GREYWATER TREATMENT; ECOSYSTEM SERVICES; PLANT-GROWTH; LIVING WALLS; URBAN; ENERGY; PERFORMANCE; BUILDINGS; QUALITY</t>
        </is>
      </c>
      <c r="W694" t="inlineStr">
        <is>
          <t>Water in the city is typically exploited in a linear process, in which most of it is polluted, treated, and discharged; during this process, valuable nutrients are lost in the treatment process instead of being cycled back and used in urban agriculture or green space. The purpose of this paper is to advance a new paradigm to close water cycles in cities via the implementation of nature-based solutions units (NBS_u), with a particular focus on building greening elements, such as green roofs (GRs) and vertical greening systems (VGS). The hypothesis is that such circular systems can provide substantial ecosystem services and minimize environmental degradation. Our method is twofold: we first examine these systems from a life-cycle point of view, assessing not only the inputs of conventional and alternative materials, but the ongoing input of water that is required for irrigation. Secondly, the evapotranspiration performance of VGS in Copenhagen, Berlin, Lisbon, Rome, Istanbul, and Tel Aviv, cities with different climatic, architectural, and sociocultural contexts have been simulated using a verticalized ET0 approach, assessing rainwater runoff and greywater as irrigation resources. The water cycling performance of VGS in the mentioned cities would be sufficient at recycling 44% (Lisbon) to 100% (Berlin, Istanbul) of all accruing rainwater roof-runoff, if water shortages in dry months are bridged by greywater. Then, 27-53% of the greywater accruing in a building could be managed on its greened surface. In conclusion, we address the gaps in the current knowledge and policies identified in the different stages of analyses, such as the lack of comprehensive life cycle assessment studies that quantify the complete water footprint of building greening systems.</t>
        </is>
      </c>
      <c r="X694" t="inlineStr">
        <is>
          <t>[Pearlmutter, David] Ben Gurion Univ Negev, Dept Geog &amp; Environm Dev, Sede Boqer Campus, IL-84990 Beer Sheva, Israel; [Pucher, Bernhard] Univ Nat Resources &amp; Life Sci BOKU, Inst Sanit Engn &amp; Water Pollut Control, Muthgasse 18, A-1190 Vienna, Austria; [Calheiros, Cristina S. C.] Univ Porto, Interdisciplinary Ctr Marine &amp; Environm Res CIIMA, Novo Edificio Terminal Cruzeiros Porto Leixoes, Ave Gen Norton Matos S-N, P-4450208 Matosinhos, Portugal; [Hoffmann, Karin A.; Nehls, Thomas] Tech Univ Berlin, Inst Ecol, Chair Ecohydrol &amp; Landscape Evaluat, Ernst Reuter Pl 1, D-10587 Berlin, Germany; [Aicher, Andreas] Bauhaus Univ Weimar, Bauhaus Inst Infrastruct Solut, Goethe Pl 7-8, D-99423 Weimar, Germany; [Pinho, Pedro] Edificio C2, FCUL, CE3c Ctr Ecol Evolut &amp; Environm Changes FCUL, P-1749016 Lisbon, Portugal; [Stracqualursi, Alessandro; Milousi, Maria] Sapienza Univ Rome, Dept Planning Design Technol Architecture, Via Flaminia 72, I-00196 Rome, Italy; [Korolova, Alisa] Riga Tech Univ, Fac Architecture, Kipsalas Str 6, LV-1048 Riga, Latvia; [Pobric, Alma] Univ Sarajevo, Dept Geog, Fac Sci, Add Zmaja Bosne 33-35, Sarajevo 71000, Bosnia &amp; Herceg; [Galvao, Ana] CERIS, Inst Super Tecn, Av Rovisco Pais, P-1049001 Lisbon, Portugal; [Tokuc, Ayca] Dokuz Eylul Univ, Dept Architecture, Campus Tinaztepe, TR-35160 Buca Izmir, Turkey; [Bas, Bilge] Istanbul Bilgi Univ, Dept Civil Engn, Santralistanbul,Kazim Karabekir Cd 13, TR-34060 Istanbul, Turkey; [Theochari, Dimitra] MERA Landschaftsarchitekten mbB, Griegstr 75,Haus 24b, D-22763 Hamburg, Germany; [Milosevic, Dragan] Univ Novi Sad, Climatol &amp; Hydrol Res Ctr, Fac Sci, Trg Dositeja Obradovi 3, Novi Sad 21000, Serbia; [Giancola, Emanuela] CIEMAT, Dept Energy, Energy Efficiency Buildings Unit, Madrid 28040, Spain; [Bertino, Gaetano] Alchemia Nova GmbH, Inst Innovat Phytochem Closed Loop Proc, A-1140 Vienna, Austria; [Castellar, Joana A. C.] Catalan Inst Water Res ICRA, Carrer Emili Grahit 101, Girona 17003, Spain; [Castellar, Joana A. C.] Univ Girona, Placa Sant Domenec 3, Girona 17004, Spain; [Flaszynska, Julia] Vienna Univ Technol, Fac Architecture &amp; Planning, Karlspl 13, A-1040 Vienna, Austria; [Onur, Makbulenur] Karadeniz Tech Univ, Dept Landscape Architecture, TR-61080 Trabzon, Turkey; [Mateo, Mari Carmen Garcia] MCG Res &amp; Innovat Sustainabil Architecture Urban, Murcia 30004, Spain; [Milousi, Maria] Univ Western Macedonia, Dept Chem Engn, Koila 50100, Kozani, Greece; [Fonseca, Mariana] Associacao CECOLAB, Collaborat Lab Circular Econ, P-3405155 Oliveira Do Hosp, Portugal; [Di Lonardo, Sara] Res Inst Terr Ecosyst Natl Res Council IRET CNR, Via Madonna Piano 10, I-50019 Sesto Fiorentino, Italy; [Gezik, Veronika] Comenius Univ, Fac Management, Odbojarov 10,POB 95, Bratislava 82005 25, Slovakia; [Pitha, Ulrike] Univ Nat Resources &amp; Life Sci, Inst Soil Bioengn &amp; Landscape Construct, Dept Civil Engn &amp; Nat Hazards, Peter Jordan Str 82, A-1190 Vienna, Austria</t>
        </is>
      </c>
      <c r="Y694" t="inlineStr">
        <is>
          <t>Ben Gurion University; University of Natural Resources &amp; Life Sciences, Vienna; Universidade do Porto; Technical University of Berlin; Bauhaus-Universitat Weimar; Universidade de Lisboa; Sapienza University Rome; Riga Technical University; University of Sarajevo; Universidade de Lisboa; Instituto Superior Tecnico; Dokuz Eylul University; Istanbul Bilgi University; University of Novi Sad; Centro de Investigaciones Energeticas, Medioambientales Tecnologicas; Institut Catala de Recerca de l'Aigua (ICRA); Universitat de Girona; Technische Universitat Wien; Karadeniz Technical University; Comenius University Bratislava; University of Natural Resources &amp; Life Sciences, Vienna</t>
        </is>
      </c>
      <c r="Z694" t="inlineStr">
        <is>
          <t>Calheiros, CSC (corresponding author), Univ Porto, Interdisciplinary Ctr Marine &amp; Environm Res CIIMA, Novo Edificio Terminal Cruzeiros Porto Leixoes, Ave Gen Norton Matos S-N, P-4450208 Matosinhos, Portugal.</t>
        </is>
      </c>
      <c r="AA694" t="inlineStr">
        <is>
          <t>davidp@bgu.ac.il; bernhard.pucher@boku.ac.at; cristina@calheiros.org; karin.hoffmann@tu-berlin.de; andreas.aicher@uni-weimar.de; ppinho@fc.ul.pt; alessandro.stracqualursi@uniroma1.it; alisakorolova@gmail.com; a.pobric@gmail.com; ana.galvao@tecnico.ulisboa.pt; ayca.tokuc@deu.edu.tr; bilge.bas@bilgi.edu.tr; dimitra.theochari@gmail.com; dragan.milosevic@dgt.uns.ac.rs; emanuela.giancola@ciemat.es; gaetano.bertino@alchemia-nova.net; jcastellar@icra.cat; julia.flaszynska@hotmail.com; mnurbekar@gmail.com; maricarmengarcia.archt@gmail.com; mbeatrice.andreucci@uniroma1.it; mmilousi@isc.tuc.gr; mariana.fonseca@cecolab.pt; sara.dilonardo@cnr.it; veronika.gezik@uniba.sk; ulrike.pitha@boku.ac.at; thomas.nehls@tu-berlin.de</t>
        </is>
      </c>
      <c r="AB694" t="inlineStr">
        <is>
          <t>onur, makbulenur/AAJ-6010-2021; Milošević, Dragan/S-5510-2016; Bas, Bilge/AAH-2190-2021; Tokuç, Ayça/L-1388-2019; Pucher, Bernhard/GMW-5829-2022; Galvão, Ana/M-6997-2013; Gezik, Veronika Chobotova/AGK-5463-2022; Fonseca, Mariana/AAB-3220-2022; Pearlmutter, David/F-1379-2012; Giancola, Emanuela/I-6468-2015; Bertino, Gaetano/HKN-6905-2023; gezik, veronika/D-6013-2017; Di Lonardo, Sara/A-6306-2013; Calheiros, Cristina/A-1151-2011; Pinho, Pedro/D-1232-2010; ONUR, MAKBULENUR/V-5628-2017</t>
        </is>
      </c>
      <c r="AC694" t="inlineStr">
        <is>
          <t>Milošević, Dragan/0000-0001-5050-0052; Tokuç, Ayça/0000-0002-4988-3233; Galvão, Ana/0000-0003-1513-4522; Gezik, Veronika Chobotova/0000-0003-1428-5791; Fonseca, Mariana/0000-0002-2455-9859; Giancola, Emanuela/0000-0003-2450-1494; Bertino, Gaetano/0000-0001-5623-0700; Di Lonardo, Sara/0000-0002-6251-4328; Calheiros, Cristina/0000-0003-3159-3497; Hoffmann, Karin/0000-0001-9420-5696; Andreucci, Maria Beatrice/0000-0002-3411-1572; BAS, Bilge/0000-0002-6273-9527; Nehls, Thomas/0000-0001-6658-9952; Garcia Mateo, Maria Carmen/0000-0002-7807-8380; Castellar da Cunha, Joana America/0000-0003-2362-4417; Stracqualursi, Alessandro/0000-0001-5969-2011; Pinho, Pedro/0000-0001-5571-9619; ONUR, MAKBULENUR/0000-0003-4511-1284; Pitha, Ulrike/0000-0003-3363-6649; Pucher, Bernhard/0000-0002-1666-0906</t>
        </is>
      </c>
      <c r="AD694" t="inlineStr">
        <is>
          <t>COST Action [CA17133]; Fundação para a Ciência e a Tecnologia [UIDB/00329/2020, UIDB/04423/2020, UIDP/04423/2020] Funding Source: FCT</t>
        </is>
      </c>
      <c r="AE694" t="inlineStr">
        <is>
          <t>COST Action(European Cooperation in Science and Technology (COST)); Fundação para a Ciência e a Tecnologia(Fundacao para a Ciencia e a Tecnologia (FCT))</t>
        </is>
      </c>
      <c r="AF694" t="inlineStr">
        <is>
          <t>The APC was funded by the COST Action CA17133.</t>
        </is>
      </c>
      <c r="AH694" t="n">
        <v>157</v>
      </c>
      <c r="AI694" t="n">
        <v>20</v>
      </c>
      <c r="AJ694" t="n">
        <v>21</v>
      </c>
      <c r="AK694" t="n">
        <v>11</v>
      </c>
      <c r="AL694" t="n">
        <v>91</v>
      </c>
      <c r="AM694" t="inlineStr">
        <is>
          <t>MDPI</t>
        </is>
      </c>
      <c r="AN694" t="inlineStr">
        <is>
          <t>BASEL</t>
        </is>
      </c>
      <c r="AO694" t="inlineStr">
        <is>
          <t>ST ALBAN-ANLAGE 66, CH-4052 BASEL, SWITZERLAND</t>
        </is>
      </c>
      <c r="AQ694" t="inlineStr">
        <is>
          <t>2073-4441</t>
        </is>
      </c>
      <c r="AS694" t="inlineStr">
        <is>
          <t>WATER-SUI</t>
        </is>
      </c>
      <c r="AT694" t="inlineStr">
        <is>
          <t>Water</t>
        </is>
      </c>
      <c r="AU694" t="inlineStr">
        <is>
          <t>AUG</t>
        </is>
      </c>
      <c r="AV694" t="n">
        <v>2021</v>
      </c>
      <c r="AW694" t="n">
        <v>13</v>
      </c>
      <c r="AX694" t="n">
        <v>16</v>
      </c>
      <c r="BE694" t="n">
        <v>2165</v>
      </c>
      <c r="BF694" t="inlineStr">
        <is>
          <t>10.3390/w13162165</t>
        </is>
      </c>
      <c r="BG694">
        <f>HYPERLINK("http://dx.doi.org/10.3390/w13162165","http://dx.doi.org/10.3390/w13162165")</f>
        <v/>
      </c>
      <c r="BJ694" t="n">
        <v>33</v>
      </c>
      <c r="BK694" t="inlineStr">
        <is>
          <t>Environmental Sciences; Water Resources</t>
        </is>
      </c>
      <c r="BL694" t="inlineStr">
        <is>
          <t>Science Citation Index Expanded (SCI-EXPANDED)</t>
        </is>
      </c>
      <c r="BM694" t="inlineStr">
        <is>
          <t>Environmental Sciences &amp; Ecology; Water Resources</t>
        </is>
      </c>
      <c r="BN694" t="inlineStr">
        <is>
          <t>UH9OK</t>
        </is>
      </c>
      <c r="BP694" t="inlineStr">
        <is>
          <t>Green Published, gold</t>
        </is>
      </c>
      <c r="BS694" t="inlineStr">
        <is>
          <t>2023-10-26</t>
        </is>
      </c>
      <c r="BT694" t="inlineStr">
        <is>
          <t>WOS:000690250200001</t>
        </is>
      </c>
      <c r="BU694">
        <f>HYPERLINK("https%3A%2F%2Fwww.webofscience.com%2Fwos%2Fwoscc%2Ffull-record%2FWOS:000690250200001","View Full Record in Web of Science")</f>
        <v/>
      </c>
    </row>
    <row r="695">
      <c r="A695" t="inlineStr">
        <is>
          <t>J</t>
        </is>
      </c>
      <c r="B695" t="inlineStr">
        <is>
          <t>See, L; Rasiah, RL; Laing, R; Thompson, SC</t>
        </is>
      </c>
      <c r="F695" t="inlineStr">
        <is>
          <t>See, Lydia; Rasiah, Rohan L.; Laing, Rachael; Thompson, Sandra C.</t>
        </is>
      </c>
      <c r="J695" t="inlineStr">
        <is>
          <t>INTERNATIONAL JOURNAL OF ENVIRONMENTAL RESEARCH AND PUBLIC HEALTH</t>
        </is>
      </c>
      <c r="M695" t="inlineStr">
        <is>
          <t>English</t>
        </is>
      </c>
      <c r="N695" t="inlineStr">
        <is>
          <t>Review</t>
        </is>
      </c>
      <c r="T695" t="inlineStr">
        <is>
          <t>Considerations in Planning Physical Activity for Older Adults in Hot Climates: A Narrative Review</t>
        </is>
      </c>
      <c r="U695" t="inlineStr">
        <is>
          <t>exercise; ageing; heat; ambient environment; temperature; elderly; thermoregulation; fitness intervention</t>
        </is>
      </c>
      <c r="V695" t="inlineStr">
        <is>
          <t>HEAT-STRESS; EXERCISE; PEOPLE; PREVENTION; BARRIERS; PROGRAM; AGE; REHABILITATION; OSTEOARTHRITIS; PARTICIPATION</t>
        </is>
      </c>
      <c r="W695" t="inlineStr">
        <is>
          <t>Regular physical activity has multiple health benefits for both the prevention and management of disease, including for older adults. However, additional precautions are needed with ageing given physiological changes and the increasing prevalence of comorbidities. Hot ambient temperatures increase the risks of exercise at any age, but are particularly important given thermoregulatory changes in older people. This narrative review informs planning of physical activity programs for older people living in rural areas with very hot climates for a period of the year. A multi-database search of peer-reviewed literature was undertaken with attention to its relevance to Australia, starting with definitions and standard advice in relation to physical activity programming and the incremental limitations imposed by age, rurality, and extreme heat. The enablers of and barriers to increasing physical activities in older adults and how they can be modified for those living in extreme hot climates is described. We describe multiple considerations in program design to improve safety, adherence and sustaining physical activity, including supervision, simple instructions, provision of reminders, social support, encouraging self-efficacy. Group-based activities may be preferred by some and can accommodate special populations, cultural considerations. Risk management is an important consideration and recommendations are provided to assist program planning.</t>
        </is>
      </c>
      <c r="X695" t="inlineStr">
        <is>
          <t>[See, Lydia; Rasiah, Rohan L.; Laing, Rachael; Thompson, Sandra C.] Univ Western Australia, Western Australian Ctr Rural Hlth, Sch Populat &amp; Global Hlth, Crawley 6009, Australia; [See, Lydia] Univ Western Australia, Oral Hlth Ctr Western Australia, Sch Dent, Nedlands, WA 6009, Australia</t>
        </is>
      </c>
      <c r="Y695" t="inlineStr">
        <is>
          <t>University of Western Australia; University of Western Australia</t>
        </is>
      </c>
      <c r="Z695" t="inlineStr">
        <is>
          <t>See, L (corresponding author), Univ Western Australia, Western Australian Ctr Rural Hlth, Sch Populat &amp; Global Hlth, Crawley 6009, Australia.;See, L (corresponding author), Univ Western Australia, Oral Hlth Ctr Western Australia, Sch Dent, Nedlands, WA 6009, Australia.</t>
        </is>
      </c>
      <c r="AA695" t="inlineStr">
        <is>
          <t>lydia.see@uwa.edu.au; rohan.rasiah@uwa.edu.au; rachaellaing96@gmail.com; sandra.thompson@uwa.edu.au</t>
        </is>
      </c>
      <c r="AB695" t="inlineStr">
        <is>
          <t>Thompson, Sandra/H-5955-2014</t>
        </is>
      </c>
      <c r="AC695" t="inlineStr">
        <is>
          <t>Thompson, Sandra/0000-0003-0327-7155; Rasiah, Rohan/0000-0003-3798-822X</t>
        </is>
      </c>
      <c r="AD695" t="inlineStr">
        <is>
          <t>Australian Government Department of Health and Ageing under the Rural Health Multidisciplinary Training Program; Healthway</t>
        </is>
      </c>
      <c r="AE695" t="inlineStr">
        <is>
          <t>Australian Government Department of Health and Ageing under the Rural Health Multidisciplinary Training Program; Healthway</t>
        </is>
      </c>
      <c r="AF695" t="inlineStr">
        <is>
          <t>TheWestern Australian Centre for Rural Health receives funding support from the Australian Government Department of Health and Ageing under the Rural Health Multidisciplinary Training Program. Rachael Laing was supported by a graduate scholarship administered by the Western Australian Branch of the Australian Health Promotion Association and funded by Healthway.</t>
        </is>
      </c>
      <c r="AH695" t="n">
        <v>99</v>
      </c>
      <c r="AI695" t="n">
        <v>3</v>
      </c>
      <c r="AJ695" t="n">
        <v>3</v>
      </c>
      <c r="AK695" t="n">
        <v>4</v>
      </c>
      <c r="AL695" t="n">
        <v>28</v>
      </c>
      <c r="AM695" t="inlineStr">
        <is>
          <t>MDPI</t>
        </is>
      </c>
      <c r="AN695" t="inlineStr">
        <is>
          <t>BASEL</t>
        </is>
      </c>
      <c r="AO695" t="inlineStr">
        <is>
          <t>ST ALBAN-ANLAGE 66, CH-4052 BASEL, SWITZERLAND</t>
        </is>
      </c>
      <c r="AQ695" t="inlineStr">
        <is>
          <t>1660-4601</t>
        </is>
      </c>
      <c r="AS695" t="inlineStr">
        <is>
          <t>INT J ENV RES PUB HE</t>
        </is>
      </c>
      <c r="AT695" t="inlineStr">
        <is>
          <t>Int. J. Environ. Res. Public Health</t>
        </is>
      </c>
      <c r="AU695" t="inlineStr">
        <is>
          <t>FEB</t>
        </is>
      </c>
      <c r="AV695" t="n">
        <v>2021</v>
      </c>
      <c r="AW695" t="n">
        <v>18</v>
      </c>
      <c r="AX695" t="n">
        <v>3</v>
      </c>
      <c r="BE695" t="n">
        <v>1331</v>
      </c>
      <c r="BF695" t="inlineStr">
        <is>
          <t>10.3390/ijerph18031331</t>
        </is>
      </c>
      <c r="BG695">
        <f>HYPERLINK("http://dx.doi.org/10.3390/ijerph18031331","http://dx.doi.org/10.3390/ijerph18031331")</f>
        <v/>
      </c>
      <c r="BJ695" t="n">
        <v>18</v>
      </c>
      <c r="BK695" t="inlineStr">
        <is>
          <t>Environmental Sciences; Public, Environmental &amp; Occupational Health</t>
        </is>
      </c>
      <c r="BL695" t="inlineStr">
        <is>
          <t>Science Citation Index Expanded (SCI-EXPANDED); Social Science Citation Index (SSCI)</t>
        </is>
      </c>
      <c r="BM695" t="inlineStr">
        <is>
          <t>Environmental Sciences &amp; Ecology; Public, Environmental &amp; Occupational Health</t>
        </is>
      </c>
      <c r="BN695" t="inlineStr">
        <is>
          <t>QC9UF</t>
        </is>
      </c>
      <c r="BO695" t="n">
        <v>33540584</v>
      </c>
      <c r="BP695" t="inlineStr">
        <is>
          <t>Green Published, gold</t>
        </is>
      </c>
      <c r="BS695" t="inlineStr">
        <is>
          <t>2023-10-26</t>
        </is>
      </c>
      <c r="BT695" t="inlineStr">
        <is>
          <t>WOS:000615174700001</t>
        </is>
      </c>
      <c r="BU695">
        <f>HYPERLINK("https%3A%2F%2Fwww.webofscience.com%2Fwos%2Fwoscc%2Ffull-record%2FWOS:000615174700001","View Full Record in Web of Science")</f>
        <v/>
      </c>
    </row>
    <row r="696">
      <c r="A696" t="inlineStr">
        <is>
          <t>J</t>
        </is>
      </c>
      <c r="B696" t="inlineStr">
        <is>
          <t>Minghetti, A; Donath, L; Hanssen, H; Roth, R; Lichtenstein, E; Zahner, L; Faude, O</t>
        </is>
      </c>
      <c r="F696" t="inlineStr">
        <is>
          <t>Minghetti, Alice; Donath, Lars; Hanssen, Henner; Roth, Ralf; Lichtenstein, Eric; Zahner, Lukas; Faude, Oliver</t>
        </is>
      </c>
      <c r="J696" t="inlineStr">
        <is>
          <t>INTERNATIONAL JOURNAL OF ENVIRONMENTAL RESEARCH AND PUBLIC HEALTH</t>
        </is>
      </c>
      <c r="M696" t="inlineStr">
        <is>
          <t>English</t>
        </is>
      </c>
      <c r="N696" t="inlineStr">
        <is>
          <t>Article</t>
        </is>
      </c>
      <c r="T696" t="inlineStr">
        <is>
          <t>Physical Performance, Cardiovascular Health and Psychosocial Wellbeing in Older Adults Compared to Oldest-Old Residential Seniors</t>
        </is>
      </c>
      <c r="U696" t="inlineStr">
        <is>
          <t>aging; older adults; nursing homes; quality of life; strength</t>
        </is>
      </c>
      <c r="V696" t="inlineStr">
        <is>
          <t>PULSE-WAVE VELOCITY; ARTERIAL STIFFNESS; RISK-FACTORS; EXERCISE; PEOPLE; DISABILITY; VALUES; FALLS; POWER</t>
        </is>
      </c>
      <c r="W696" t="inlineStr">
        <is>
          <t>Background: This study analyzed physical, cardiovascular, and psychosocial health in different age groups at the far end of the lifespan. Methods: Sixty-two residential seniors participated in this cross-sectional study and were assigned according to age to either the older adults (n = 27; age: 74.8 (3.6); f: 23) or the oldest-old group (n = 35; age: 87.2 (5.0); f: 28). Gait speed, functional mobility, handgrip strength, and pulse wave velocity (PWV) were measured. Additionally, questionnaires to assess quality of life were applied. Mean between-group differences (Delta) and Hedge's g with 95 % confidence intervals were calculated. Results: Oldest-old had moderately lower handgrip strength (Delta = -31.3 N, 95% CI [-66.30; -1.65], Hedge's g = 0.49 [-0.97; 0.03]) and relevant lower gait speed than the older adults (Delta = -0.11 m/s [-0.28; 0.05], g = 0.34 [-0.89; 0.20]). All other physical parameters showed trivial differences. Very large effects were found in PWV in favor of the older adults (Delta = -2.65 m/s [-3.26; -2.04], g = -2.14 [-2.81; -1.36]). The questionnaires showed trivial to small differences. Conclusion: We found small differences in physical as well as psychosocial health between age groups with large inter-individual variance. Large differences were found in arterial stiffness, which increases with age. Exercise programs in nursing homes should consider physical, psychosocial, and cardiovascular variables more than age.</t>
        </is>
      </c>
      <c r="X696" t="inlineStr">
        <is>
          <t>[Minghetti, Alice; Hanssen, Henner; Roth, Ralf; Lichtenstein, Eric; Zahner, Lukas; Faude, Oliver] Univ Basel, Dept Sport Exercise &amp; Hlth, CH-4052 Basel, Switzerland; [Donath, Lars] German Sport Univ Cologne, Dept Intervent Res Exercise Training, D-50933 Cologne, Germany</t>
        </is>
      </c>
      <c r="Y696" t="inlineStr">
        <is>
          <t>University of Basel; German Sport University Cologne</t>
        </is>
      </c>
      <c r="Z696" t="inlineStr">
        <is>
          <t>Minghetti, A (corresponding author), Univ Basel, Dept Sport Exercise &amp; Hlth, CH-4052 Basel, Switzerland.</t>
        </is>
      </c>
      <c r="AA696" t="inlineStr">
        <is>
          <t>alice.minghetti@unibas.ch; l.donath@dshs-koeln.de; henner.hanssen@unibas.ch; ralf.roth@unibas.ch; ralf.roth@unibas.ch; lukas.zahner@unibas.ch; oliver.faude@unibas.ch</t>
        </is>
      </c>
      <c r="AB696" t="inlineStr">
        <is>
          <t>Lichtenstein, Eric/IAO-1211-2023; Lichtenstein, Eric/AAF-5570-2019; Hanssen, Henner/AEU-2514-2022</t>
        </is>
      </c>
      <c r="AC696" t="inlineStr">
        <is>
          <t>Lichtenstein, Eric/0000-0002-5860-9068; Faude, Oliver/0000-0002-2832-7780; Minghetti, Alice/0000-0001-7913-5861; Hanssen, Henner/0000-0001-5501-4205; Donath, Lars/0000-0001-6039-0141</t>
        </is>
      </c>
      <c r="AH696" t="n">
        <v>52</v>
      </c>
      <c r="AI696" t="n">
        <v>1</v>
      </c>
      <c r="AJ696" t="n">
        <v>1</v>
      </c>
      <c r="AK696" t="n">
        <v>1</v>
      </c>
      <c r="AL696" t="n">
        <v>3</v>
      </c>
      <c r="AM696" t="inlineStr">
        <is>
          <t>MDPI</t>
        </is>
      </c>
      <c r="AN696" t="inlineStr">
        <is>
          <t>BASEL</t>
        </is>
      </c>
      <c r="AO696" t="inlineStr">
        <is>
          <t>ST ALBAN-ANLAGE 66, CH-4052 BASEL, SWITZERLAND</t>
        </is>
      </c>
      <c r="AQ696" t="inlineStr">
        <is>
          <t>1660-4601</t>
        </is>
      </c>
      <c r="AS696" t="inlineStr">
        <is>
          <t>INT J ENV RES PUB HE</t>
        </is>
      </c>
      <c r="AT696" t="inlineStr">
        <is>
          <t>Int. J. Environ. Res. Public Health</t>
        </is>
      </c>
      <c r="AU696" t="inlineStr">
        <is>
          <t>FEB</t>
        </is>
      </c>
      <c r="AV696" t="n">
        <v>2022</v>
      </c>
      <c r="AW696" t="n">
        <v>19</v>
      </c>
      <c r="AX696" t="n">
        <v>3</v>
      </c>
      <c r="BE696" t="n">
        <v>1451</v>
      </c>
      <c r="BF696" t="inlineStr">
        <is>
          <t>10.3390/ijerph19031451</t>
        </is>
      </c>
      <c r="BG696">
        <f>HYPERLINK("http://dx.doi.org/10.3390/ijerph19031451","http://dx.doi.org/10.3390/ijerph19031451")</f>
        <v/>
      </c>
      <c r="BJ696" t="n">
        <v>15</v>
      </c>
      <c r="BK696" t="inlineStr">
        <is>
          <t>Environmental Sciences; Public, Environmental &amp; Occupational Health</t>
        </is>
      </c>
      <c r="BL696" t="inlineStr">
        <is>
          <t>Science Citation Index Expanded (SCI-EXPANDED); Social Science Citation Index (SSCI)</t>
        </is>
      </c>
      <c r="BM696" t="inlineStr">
        <is>
          <t>Environmental Sciences &amp; Ecology; Public, Environmental &amp; Occupational Health</t>
        </is>
      </c>
      <c r="BN696" t="inlineStr">
        <is>
          <t>YY7ZN</t>
        </is>
      </c>
      <c r="BO696" t="n">
        <v>35162467</v>
      </c>
      <c r="BP696" t="inlineStr">
        <is>
          <t>gold, Green Published</t>
        </is>
      </c>
      <c r="BS696" t="inlineStr">
        <is>
          <t>2023-10-26</t>
        </is>
      </c>
      <c r="BT696" t="inlineStr">
        <is>
          <t>WOS:000755005500001</t>
        </is>
      </c>
      <c r="BU696">
        <f>HYPERLINK("https%3A%2F%2Fwww.webofscience.com%2Fwos%2Fwoscc%2Ffull-record%2FWOS:000755005500001","View Full Record in Web of Science")</f>
        <v/>
      </c>
    </row>
    <row r="697">
      <c r="A697" t="inlineStr">
        <is>
          <t>J</t>
        </is>
      </c>
      <c r="B697" t="inlineStr">
        <is>
          <t>Zaman, A; Ruiz, AMC; Shooshtarian, S; Ryley, T; Caldera, S; Maqsood, T</t>
        </is>
      </c>
      <c r="F697" t="inlineStr">
        <is>
          <t>Zaman, Atiq; Caceres Ruiz, Ana Maria; Shooshtarian, Salman; Ryley, Tim; Caldera, Savindi; Maqsood, Tayyab</t>
        </is>
      </c>
      <c r="J697" t="inlineStr">
        <is>
          <t>SUSTAINABILITY</t>
        </is>
      </c>
      <c r="M697" t="inlineStr">
        <is>
          <t>English</t>
        </is>
      </c>
      <c r="N697" t="inlineStr">
        <is>
          <t>Review</t>
        </is>
      </c>
      <c r="T697" t="inlineStr">
        <is>
          <t>Development of the Circular Economy Design Guidelines for the Australian Built Environment Sector</t>
        </is>
      </c>
      <c r="U697" t="inlineStr">
        <is>
          <t>circular economy; construction industry; built environment; guidelines; resource management; products with recycled content; design for zero waste; design for recycling</t>
        </is>
      </c>
      <c r="V697" t="inlineStr">
        <is>
          <t>IMPROVING WASTE MANAGEMENT; LIFE-CYCLE ENERGY; CONSTRUCTION PROJECTS; BENEFITS</t>
        </is>
      </c>
      <c r="W697" t="inlineStr">
        <is>
          <t>The construction and demolition (C&amp;D) waste stream is the main source of solid waste in Australia. While there is a strong circularity drive in Australia's and state/territory governments' waste regulatory framework, clear guidelines for C&amp;D waste management are yet to be developed for the built environment sector in Australia. This study proposes a suite of construction industry-specific guidelines for achieving circular economy (CE) goals by reviewing issues related to Design for Zero Waste (DfZW) and Design for Recycling (DfR). To do so, this study explores the current CE practices in construction and infrastructure projects in both global and Australian contexts through a systematic literature review. In addition, barriers and enablers of CE in the built environment were identified. This study provides a list of guidelines that can help industry practitioners achieve CE in the construction sector in Australia. These guidelines draw on the main themes identified through the literature review: circularity practices, resource management, innovation, and optimisation. Thus, this study bridges the gap between theory and practice by offering clear, circular guidelines for designing out C&amp;D waste in Australia. The proposed guidelines enable industry practitioners to keep products and materials in use for a longer period and develop strategies to regenerate natural systems. Future research should focus on several aspects, including measuring emissions reductions linked to the strategies shown in the proposed guidelines.</t>
        </is>
      </c>
      <c r="X697" t="inlineStr">
        <is>
          <t>[Zaman, Atiq; Caceres Ruiz, Ana Maria] Curtin Univ, Sustainabil Policy Inst, Sch Design &amp; Built Environm, Perth 6102, Australia; [Shooshtarian, Salman; Maqsood, Tayyab] RMIT Univ, Sch Property Construction &amp; Project Management, Melbourne 3001, Australia; [Ryley, Tim; Caldera, Savindi] Griffith Univ, Cities Res Inst, Brisbane 4111, Australia</t>
        </is>
      </c>
      <c r="Y697" t="inlineStr">
        <is>
          <t>Curtin University; Royal Melbourne Institute of Technology (RMIT); Griffith University</t>
        </is>
      </c>
      <c r="Z697" t="inlineStr">
        <is>
          <t>Ruiz, AMC (corresponding author), Curtin Univ, Sustainabil Policy Inst, Sch Design &amp; Built Environm, Perth 6102, Australia.</t>
        </is>
      </c>
      <c r="AA697" t="inlineStr">
        <is>
          <t>anamaria.caceresruiz@curtin.edu.au</t>
        </is>
      </c>
      <c r="AB697" t="inlineStr">
        <is>
          <t>Shooshtarian, Salman/B-5709-2016; Ryley, Tim/A-2784-2010</t>
        </is>
      </c>
      <c r="AC697" t="inlineStr">
        <is>
          <t>Shooshtarian, Salman/0000-0002-6991-8931; Caldera, Helessage Tharanga Savindi/0000-0002-1263-2924; Zaman, Atiq/0000-0001-8985-0383; Ryley, Tim/0000-0003-0878-5546</t>
        </is>
      </c>
      <c r="AD697" t="inlineStr">
        <is>
          <t>Australia's Sustainable Built Environment National Research Centre (SBEnrc)</t>
        </is>
      </c>
      <c r="AE697" t="inlineStr">
        <is>
          <t>Australia's Sustainable Built Environment National Research Centre (SBEnrc)</t>
        </is>
      </c>
      <c r="AF697" t="inlineStr">
        <is>
          <t>This research has been developed with support provided by Australia's Sustainable Built Environment National Research Centre (SBEnrc). SBEnrc develops projects informed by industry partner needs, secures national funding, project manages collaborative research, and oversees research into practice initiatives. Core Members of SBEnrc include ATCO Australia, BGC Australia, Government of Western Australia, Queensland Government, Curtin University, Griffith University, RMIT University, and Western Sydney University. This research would not have been possible without the valuable support of our core industry, government, and research partners.</t>
        </is>
      </c>
      <c r="AH697" t="n">
        <v>72</v>
      </c>
      <c r="AI697" t="n">
        <v>1</v>
      </c>
      <c r="AJ697" t="n">
        <v>1</v>
      </c>
      <c r="AK697" t="n">
        <v>10</v>
      </c>
      <c r="AL697" t="n">
        <v>14</v>
      </c>
      <c r="AM697" t="inlineStr">
        <is>
          <t>MDPI</t>
        </is>
      </c>
      <c r="AN697" t="inlineStr">
        <is>
          <t>BASEL</t>
        </is>
      </c>
      <c r="AO697" t="inlineStr">
        <is>
          <t>ST ALBAN-ANLAGE 66, CH-4052 BASEL, SWITZERLAND</t>
        </is>
      </c>
      <c r="AQ697" t="inlineStr">
        <is>
          <t>2071-1050</t>
        </is>
      </c>
      <c r="AS697" t="inlineStr">
        <is>
          <t>SUSTAINABILITY-BASEL</t>
        </is>
      </c>
      <c r="AT697" t="inlineStr">
        <is>
          <t>Sustainability</t>
        </is>
      </c>
      <c r="AU697" t="inlineStr">
        <is>
          <t>FEB</t>
        </is>
      </c>
      <c r="AV697" t="n">
        <v>2023</v>
      </c>
      <c r="AW697" t="n">
        <v>15</v>
      </c>
      <c r="AX697" t="n">
        <v>3</v>
      </c>
      <c r="BE697" t="n">
        <v>2500</v>
      </c>
      <c r="BF697" t="inlineStr">
        <is>
          <t>10.3390/su15032500</t>
        </is>
      </c>
      <c r="BG697">
        <f>HYPERLINK("http://dx.doi.org/10.3390/su15032500","http://dx.doi.org/10.3390/su15032500")</f>
        <v/>
      </c>
      <c r="BJ697" t="n">
        <v>26</v>
      </c>
      <c r="BK697" t="inlineStr">
        <is>
          <t>Green &amp; Sustainable Science &amp; Technology; Environmental Sciences; Environmental Studies</t>
        </is>
      </c>
      <c r="BL697" t="inlineStr">
        <is>
          <t>Science Citation Index Expanded (SCI-EXPANDED); Social Science Citation Index (SSCI)</t>
        </is>
      </c>
      <c r="BM697" t="inlineStr">
        <is>
          <t>Science &amp; Technology - Other Topics; Environmental Sciences &amp; Ecology</t>
        </is>
      </c>
      <c r="BN697" t="inlineStr">
        <is>
          <t>8U0DL</t>
        </is>
      </c>
      <c r="BP697" t="inlineStr">
        <is>
          <t>gold</t>
        </is>
      </c>
      <c r="BS697" t="inlineStr">
        <is>
          <t>2023-10-26</t>
        </is>
      </c>
      <c r="BT697" t="inlineStr">
        <is>
          <t>WOS:000929621300001</t>
        </is>
      </c>
      <c r="BU697">
        <f>HYPERLINK("https%3A%2F%2Fwww.webofscience.com%2Fwos%2Fwoscc%2Ffull-record%2FWOS:000929621300001","View Full Record in Web of Science")</f>
        <v/>
      </c>
    </row>
    <row r="698">
      <c r="A698" t="inlineStr">
        <is>
          <t>J</t>
        </is>
      </c>
      <c r="B698" t="inlineStr">
        <is>
          <t>Park, K; Song, Y</t>
        </is>
      </c>
      <c r="F698" t="inlineStr">
        <is>
          <t>Park, Keumok; Song, Youngshin</t>
        </is>
      </c>
      <c r="J698" t="inlineStr">
        <is>
          <t>INTERNATIONAL JOURNAL OF ENVIRONMENTAL RESEARCH AND PUBLIC HEALTH</t>
        </is>
      </c>
      <c r="M698" t="inlineStr">
        <is>
          <t>English</t>
        </is>
      </c>
      <c r="N698" t="inlineStr">
        <is>
          <t>Article</t>
        </is>
      </c>
      <c r="T698" t="inlineStr">
        <is>
          <t>Multimodal Diabetes Empowerment for Older Adults with Diabetes</t>
        </is>
      </c>
      <c r="U698" t="inlineStr">
        <is>
          <t>diabetes mellitus; older adults; empowerment; self-care; physical function</t>
        </is>
      </c>
      <c r="V698" t="inlineStr">
        <is>
          <t>SELF-MANAGEMENT; PATIENT EDUCATION; PROGRAM; EXERCISE; MELLITUS; ESTEEM; SCALE</t>
        </is>
      </c>
      <c r="W698" t="inlineStr">
        <is>
          <t>Systematically improving empowerment is not easy when operating a diabetes program for older adults. This study aimed to develop and test the feasibility of the diabetes empowerment (Dia-Empower) program for older adults with type 2 diabetes. A non-randomized controlled study with a matched sampling design was conducted. Community-dwelling older adults with diabetes were allocated to either the Dia-Empower program group or a control group. Changes in the primary (diabetes self-care and empowerment) and secondary outcomes (body composition and physical function) were compared between the groups. The scores for diabetes self-care and empowerment were significantly higher in the experimental group than in the control group. Changes in skeletal muscle mass and body fat ratio were significantly different between the groups. Handgrip strength and shoulder flexibility positively changed in the experimental group. The Dia-Empower program was feasible for older adults with diabetes in the community. In the future, it is necessary to study the long-term effects of the program and its effects on blood sugar control.</t>
        </is>
      </c>
      <c r="X698" t="inlineStr">
        <is>
          <t>[Park, Keumok] Woosong Univ, Coll Hlth &amp; Welf, Dept Nursing, Daejeon 34606, South Korea; [Song, Youngshin] Chungnam Natl Univ, Coll Nursing, Dept Nursing, Daejeon 35015, South Korea</t>
        </is>
      </c>
      <c r="Y698" t="inlineStr">
        <is>
          <t>Woosong University; Chungnam National University</t>
        </is>
      </c>
      <c r="Z698" t="inlineStr">
        <is>
          <t>Song, Y (corresponding author), Chungnam Natl Univ, Coll Nursing, Dept Nursing, Daejeon 35015, South Korea.</t>
        </is>
      </c>
      <c r="AA698" t="inlineStr">
        <is>
          <t>yssong87@cnu.ac.kr</t>
        </is>
      </c>
      <c r="AC698" t="inlineStr">
        <is>
          <t>Park, Keumok/0000-0001-6833-8188; Song, Youngshin/0000-0002-2203-5840</t>
        </is>
      </c>
      <c r="AD698" t="inlineStr">
        <is>
          <t>National Research Foundation of Korea [2019R1A2C1006016]; National Research Foundation of Korea [2019R1A2C1006016] Funding Source: Korea Institute of Science &amp; Technology Information (KISTI), National Science &amp; Technology Information Service (NTIS)</t>
        </is>
      </c>
      <c r="AE698" t="inlineStr">
        <is>
          <t>National Research Foundation of Korea(National Research Foundation of Korea); National Research Foundation of Korea(National Research Foundation of Korea)</t>
        </is>
      </c>
      <c r="AF698" t="inlineStr">
        <is>
          <t>This work was supported by the National Research Foundation of Korea [Y Song; grant number 2019R1A2C1006016].</t>
        </is>
      </c>
      <c r="AH698" t="n">
        <v>40</v>
      </c>
      <c r="AI698" t="n">
        <v>0</v>
      </c>
      <c r="AJ698" t="n">
        <v>0</v>
      </c>
      <c r="AK698" t="n">
        <v>3</v>
      </c>
      <c r="AL698" t="n">
        <v>4</v>
      </c>
      <c r="AM698" t="inlineStr">
        <is>
          <t>MDPI</t>
        </is>
      </c>
      <c r="AN698" t="inlineStr">
        <is>
          <t>BASEL</t>
        </is>
      </c>
      <c r="AO698" t="inlineStr">
        <is>
          <t>ST ALBAN-ANLAGE 66, CH-4052 BASEL, SWITZERLAND</t>
        </is>
      </c>
      <c r="AQ698" t="inlineStr">
        <is>
          <t>1660-4601</t>
        </is>
      </c>
      <c r="AS698" t="inlineStr">
        <is>
          <t>INT J ENV RES PUB HE</t>
        </is>
      </c>
      <c r="AT698" t="inlineStr">
        <is>
          <t>Int. J. Environ. Res. Public Health</t>
        </is>
      </c>
      <c r="AU698" t="inlineStr">
        <is>
          <t>SEP</t>
        </is>
      </c>
      <c r="AV698" t="n">
        <v>2022</v>
      </c>
      <c r="AW698" t="n">
        <v>19</v>
      </c>
      <c r="AX698" t="n">
        <v>18</v>
      </c>
      <c r="BE698" t="n">
        <v>11299</v>
      </c>
      <c r="BF698" t="inlineStr">
        <is>
          <t>10.3390/ijerph191811299</t>
        </is>
      </c>
      <c r="BG698">
        <f>HYPERLINK("http://dx.doi.org/10.3390/ijerph191811299","http://dx.doi.org/10.3390/ijerph191811299")</f>
        <v/>
      </c>
      <c r="BJ698" t="n">
        <v>12</v>
      </c>
      <c r="BK698" t="inlineStr">
        <is>
          <t>Environmental Sciences; Public, Environmental &amp; Occupational Health</t>
        </is>
      </c>
      <c r="BL698" t="inlineStr">
        <is>
          <t>Science Citation Index Expanded (SCI-EXPANDED); Social Science Citation Index (SSCI)</t>
        </is>
      </c>
      <c r="BM698" t="inlineStr">
        <is>
          <t>Environmental Sciences &amp; Ecology; Public, Environmental &amp; Occupational Health</t>
        </is>
      </c>
      <c r="BN698" t="inlineStr">
        <is>
          <t>4S7SK</t>
        </is>
      </c>
      <c r="BO698" t="n">
        <v>36141578</v>
      </c>
      <c r="BP698" t="inlineStr">
        <is>
          <t>Green Published, gold</t>
        </is>
      </c>
      <c r="BS698" t="inlineStr">
        <is>
          <t>2023-10-26</t>
        </is>
      </c>
      <c r="BT698" t="inlineStr">
        <is>
          <t>WOS:000857635700001</t>
        </is>
      </c>
      <c r="BU698">
        <f>HYPERLINK("https%3A%2F%2Fwww.webofscience.com%2Fwos%2Fwoscc%2Ffull-record%2FWOS:000857635700001","View Full Record in Web of Science")</f>
        <v/>
      </c>
    </row>
    <row r="699">
      <c r="A699" t="inlineStr">
        <is>
          <t>J</t>
        </is>
      </c>
      <c r="B699" t="inlineStr">
        <is>
          <t>Wang, JY; Pei, YL; Zhong, RY; Wu, B</t>
        </is>
      </c>
      <c r="F699" t="inlineStr">
        <is>
          <t>Wang, Jianyun; Pei, Yaolin; Zhong, Renyao; Wu, Bei</t>
        </is>
      </c>
      <c r="J699" t="inlineStr">
        <is>
          <t>INTERNATIONAL JOURNAL OF ENVIRONMENTAL RESEARCH AND PUBLIC HEALTH</t>
        </is>
      </c>
      <c r="M699" t="inlineStr">
        <is>
          <t>English</t>
        </is>
      </c>
      <c r="N699" t="inlineStr">
        <is>
          <t>Article</t>
        </is>
      </c>
      <c r="T699" t="inlineStr">
        <is>
          <t>Outpatient Visits among Older Adults Living Alone in China: Does Health Insurance and City of Residence Matter?</t>
        </is>
      </c>
      <c r="U699" t="inlineStr">
        <is>
          <t>outpatient visits; older adults living alone; health insurance; cities of residence; inequalities</t>
        </is>
      </c>
      <c r="V699" t="inlineStr">
        <is>
          <t>LONG-TERM-CARE; MEDICAL-CARE; PEOPLE; SERVICES; COVERAGE; INCOME; APPRAISAL; COMMUNITY; ACCESS; IMPACT</t>
        </is>
      </c>
      <c r="W699" t="inlineStr">
        <is>
          <t>This study aimed to examine the association between health insurance, city of residence, and outpatient visits among older adults living alone in China. A sample of 3173 individuals was derived from Survey on Older Adults Aged 70 and Above Living Alone in Urban China in five different cities. Logistic regression models indicated that older adults living alone who had urban employee basic medical insurance, urban resident basic medical insurance, and public medical insurance were more likely to have outpatient visits than those without any health insurance. After controlling the number of chronic diseases, only those with public medical insurance were more likely to have outpatient visits than uninsured older adults. Additionally, older adults who resided in Shanghai and Guangzhou were more likely to have outpatient visits than those in Chengdu, whereas older adults who were in Dalian and Hohhot were less likely to have outpatient visits. To improve the equity of outpatient visits among older adults living alone in China, policy efforts should be made to reduce fragmentation of different health insurance plans, expand the health insurance coverage for older adults, provide programs that consider the needs of this special group of older adults, and reduce the inequality in health resources and health insurance policies across cities.</t>
        </is>
      </c>
      <c r="X699" t="inlineStr">
        <is>
          <t>[Wang, Jianyun; Zhong, Renyao] East China Normal Univ, Sch Publ Adm, 3663 North Zhongshan Rd, Shanghai 200062, Peoples R China; [Wang, Jianyun; Pei, Yaolin; Wu, Bei] NYU, Rory Meyers Coll Nursing, 433 First Ave, New York, NY 10010 USA; [Wu, Bei] NYU, Aging Incubator, 433 First Ave, New York, NY 10010 USA</t>
        </is>
      </c>
      <c r="Y699" t="inlineStr">
        <is>
          <t>East China Normal University; New York University; New York University</t>
        </is>
      </c>
      <c r="Z699" t="inlineStr">
        <is>
          <t>Zhong, RY (corresponding author), East China Normal Univ, Sch Publ Adm, 3663 North Zhongshan Rd, Shanghai 200062, Peoples R China.;Wu, B (corresponding author), NYU, Rory Meyers Coll Nursing, 433 First Ave, New York, NY 10010 USA.;Wu, B (corresponding author), NYU, Aging Incubator, 433 First Ave, New York, NY 10010 USA.</t>
        </is>
      </c>
      <c r="AA699" t="inlineStr">
        <is>
          <t>wangjianyunaaa@126.com; yp22@nyu.edu; ryzhong297@hotmail.com; bei.wu@nyu.edu</t>
        </is>
      </c>
      <c r="AC699" t="inlineStr">
        <is>
          <t>Wang, Jianyun/0000-0002-8469-3136; Wu, Bei/0000-0002-6891-244X</t>
        </is>
      </c>
      <c r="AD699" t="inlineStr">
        <is>
          <t>China Scholarship Council Foundation [201906140040]</t>
        </is>
      </c>
      <c r="AE699" t="inlineStr">
        <is>
          <t>China Scholarship Council Foundation(China Scholarship Council)</t>
        </is>
      </c>
      <c r="AF699" t="inlineStr">
        <is>
          <t>This thesis is supported by the China Scholarship Council Foundation (No. 201906140040). We thank Shixun Gui of East China Normal University for the The Survey on Older Adults Aged 70 and Above Living Alone in Urban China. We thank the data collectors for their assistance in data collection and the older adults for participating in this study.</t>
        </is>
      </c>
      <c r="AH699" t="n">
        <v>48</v>
      </c>
      <c r="AI699" t="n">
        <v>4</v>
      </c>
      <c r="AJ699" t="n">
        <v>4</v>
      </c>
      <c r="AK699" t="n">
        <v>5</v>
      </c>
      <c r="AL699" t="n">
        <v>24</v>
      </c>
      <c r="AM699" t="inlineStr">
        <is>
          <t>MDPI</t>
        </is>
      </c>
      <c r="AN699" t="inlineStr">
        <is>
          <t>BASEL</t>
        </is>
      </c>
      <c r="AO699" t="inlineStr">
        <is>
          <t>ST ALBAN-ANLAGE 66, CH-4052 BASEL, SWITZERLAND</t>
        </is>
      </c>
      <c r="AQ699" t="inlineStr">
        <is>
          <t>1660-4601</t>
        </is>
      </c>
      <c r="AS699" t="inlineStr">
        <is>
          <t>INT J ENV RES PUB HE</t>
        </is>
      </c>
      <c r="AT699" t="inlineStr">
        <is>
          <t>Int. J. Environ. Res. Public Health</t>
        </is>
      </c>
      <c r="AU699" t="inlineStr">
        <is>
          <t>JUN</t>
        </is>
      </c>
      <c r="AV699" t="n">
        <v>2020</v>
      </c>
      <c r="AW699" t="n">
        <v>17</v>
      </c>
      <c r="AX699" t="n">
        <v>12</v>
      </c>
      <c r="BE699" t="n">
        <v>4256</v>
      </c>
      <c r="BF699" t="inlineStr">
        <is>
          <t>10.3390/ijerph17124256</t>
        </is>
      </c>
      <c r="BG699">
        <f>HYPERLINK("http://dx.doi.org/10.3390/ijerph17124256","http://dx.doi.org/10.3390/ijerph17124256")</f>
        <v/>
      </c>
      <c r="BJ699" t="n">
        <v>12</v>
      </c>
      <c r="BK699" t="inlineStr">
        <is>
          <t>Environmental Sciences; Public, Environmental &amp; Occupational Health</t>
        </is>
      </c>
      <c r="BL699" t="inlineStr">
        <is>
          <t>Science Citation Index Expanded (SCI-EXPANDED); Social Science Citation Index (SSCI)</t>
        </is>
      </c>
      <c r="BM699" t="inlineStr">
        <is>
          <t>Environmental Sciences &amp; Ecology; Public, Environmental &amp; Occupational Health</t>
        </is>
      </c>
      <c r="BN699" t="inlineStr">
        <is>
          <t>ML6IR</t>
        </is>
      </c>
      <c r="BO699" t="n">
        <v>32549227</v>
      </c>
      <c r="BP699" t="inlineStr">
        <is>
          <t>Green Published, gold</t>
        </is>
      </c>
      <c r="BS699" t="inlineStr">
        <is>
          <t>2023-10-26</t>
        </is>
      </c>
      <c r="BT699" t="inlineStr">
        <is>
          <t>WOS:000549567800001</t>
        </is>
      </c>
      <c r="BU699">
        <f>HYPERLINK("https%3A%2F%2Fwww.webofscience.com%2Fwos%2Fwoscc%2Ffull-record%2FWOS:000549567800001","View Full Record in Web of Science")</f>
        <v/>
      </c>
    </row>
    <row r="700">
      <c r="A700" t="inlineStr">
        <is>
          <t>J</t>
        </is>
      </c>
      <c r="B700" t="inlineStr">
        <is>
          <t>Koeva, M; Nikoohemat, S; Elberink, SO; Morales, J; Lemmen, C; Zevenbergen, J</t>
        </is>
      </c>
      <c r="F700" t="inlineStr">
        <is>
          <t>Koeva, Mila; Nikoohemat, Shayan; Elberink, Sander Oude; Morales, Javier; Lemmen, Christiaan; Zevenbergen, Jaap</t>
        </is>
      </c>
      <c r="J700" t="inlineStr">
        <is>
          <t>REMOTE SENSING</t>
        </is>
      </c>
      <c r="M700" t="inlineStr">
        <is>
          <t>English</t>
        </is>
      </c>
      <c r="N700" t="inlineStr">
        <is>
          <t>Article</t>
        </is>
      </c>
      <c r="T700" t="inlineStr">
        <is>
          <t>Towards 3D Indoor Cadastre Based on Change Detection from Point Clouds</t>
        </is>
      </c>
      <c r="U700" t="inlineStr">
        <is>
          <t>point clouds; indoor change detection; laser scanning; 3D indoor modelling; Cadastre</t>
        </is>
      </c>
      <c r="V700" t="inlineStr">
        <is>
          <t>BUILDING MODELS; RECONSTRUCTION; IDENTIFICATION; REGISTRATION</t>
        </is>
      </c>
      <c r="W700" t="inlineStr">
        <is>
          <t>3D Cadastre models capture both the complex interrelations between physical objects and their corresponding legal rights, restrictions, and responsibilities. Most of the ongoing research on 3D Cadastre worldwide is focused on interrelations at the level of buildings and infrastructures. So far, the analysis of such interrelations in terms of indoor spaces, considering the time aspect, has not been explored yet. In The Netherlands, there are many examples of changes in the functionality of buildings over time. Tracking these changes is challenging, especially when the geometry of the spaces changes as well; for example, a change in functionality, from administrative to residential use of the space or a change in the geometry when merging two spaces in a building without modifying the functionality. To record the changes, a common practice is to use 2D plans for subdivisions and assign new rights, restrictions, and responsibilities to the changed spaces in a building. In the meantime, with the advances of 3D data collection techniques, the benefits of 3D models in various forms are increasingly being researched. This work explores the opportunities for using 3D point clouds to establish a platform for 3D Cadastre studies in indoor environments. We investigate the changes in time of the geometry of the building that can be automatically detected from point clouds, and how they can be linked with a Land Administration Model (LADM) and included in a 3D spatial database, to update the 3D indoor Cadastre. The results we have obtained are promising. The permanent changes (e.g., walls, rooms) are automatically distinguished from dynamic changes (e.g., human, furniture) and are linked to the space subdivisions.</t>
        </is>
      </c>
      <c r="X700" t="inlineStr">
        <is>
          <t>[Koeva, Mila; Nikoohemat, Shayan; Elberink, Sander Oude; Morales, Javier; Lemmen, Christiaan; Zevenbergen, Jaap] Univ Twente, Fac Geoinformat Sci &amp; Earth Observat ITC, NL-7514 AE Enschede, Netherlands</t>
        </is>
      </c>
      <c r="Y700" t="inlineStr">
        <is>
          <t>University of Twente</t>
        </is>
      </c>
      <c r="Z700" t="inlineStr">
        <is>
          <t>Koeva, M (corresponding author), Univ Twente, Fac Geoinformat Sci &amp; Earth Observat ITC, NL-7514 AE Enschede, Netherlands.</t>
        </is>
      </c>
      <c r="AA700" t="inlineStr">
        <is>
          <t>m.n.koeva@utwente.nl</t>
        </is>
      </c>
      <c r="AB700" t="inlineStr">
        <is>
          <t>Lemmen, Christiaan/L-4660-2013; Elberink, Sander Oude/D-3829-2009</t>
        </is>
      </c>
      <c r="AC700" t="inlineStr">
        <is>
          <t>Lemmen, Christiaan/0000-0003-1514-8385; Elberink, Sander Oude/0000-0002-4511-2095; NIKOOHEMAT, SHAYAN/0000-0001-7102-4446</t>
        </is>
      </c>
      <c r="AD700" t="inlineStr">
        <is>
          <t>Netherlands Organization for Scientific Research (NWO) [13742]</t>
        </is>
      </c>
      <c r="AE700" t="inlineStr">
        <is>
          <t>Netherlands Organization for Scientific Research (NWO)(Netherlands Organization for Scientific Research (NWO))</t>
        </is>
      </c>
      <c r="AF700" t="inlineStr">
        <is>
          <t>The work of Shayan Nikoohemat is part of the TTW Maps4Society project Smart 3D indoor models to support crisis management in large public buildings (13742), which are (partly) financed by the Netherlands Organization for Scientific Research (NWO).</t>
        </is>
      </c>
      <c r="AH700" t="n">
        <v>54</v>
      </c>
      <c r="AI700" t="n">
        <v>13</v>
      </c>
      <c r="AJ700" t="n">
        <v>13</v>
      </c>
      <c r="AK700" t="n">
        <v>1</v>
      </c>
      <c r="AL700" t="n">
        <v>9</v>
      </c>
      <c r="AM700" t="inlineStr">
        <is>
          <t>MDPI</t>
        </is>
      </c>
      <c r="AN700" t="inlineStr">
        <is>
          <t>BASEL</t>
        </is>
      </c>
      <c r="AO700" t="inlineStr">
        <is>
          <t>ST ALBAN-ANLAGE 66, CH-4052 BASEL, SWITZERLAND</t>
        </is>
      </c>
      <c r="AQ700" t="inlineStr">
        <is>
          <t>2072-4292</t>
        </is>
      </c>
      <c r="AS700" t="inlineStr">
        <is>
          <t>REMOTE SENS-BASEL</t>
        </is>
      </c>
      <c r="AT700" t="inlineStr">
        <is>
          <t>Remote Sens.</t>
        </is>
      </c>
      <c r="AU700" t="inlineStr">
        <is>
          <t>SEP 1</t>
        </is>
      </c>
      <c r="AV700" t="n">
        <v>2019</v>
      </c>
      <c r="AW700" t="n">
        <v>11</v>
      </c>
      <c r="AX700" t="n">
        <v>17</v>
      </c>
      <c r="BE700" t="n">
        <v>1972</v>
      </c>
      <c r="BF700" t="inlineStr">
        <is>
          <t>10.3390/rs11171972</t>
        </is>
      </c>
      <c r="BG700">
        <f>HYPERLINK("http://dx.doi.org/10.3390/rs11171972","http://dx.doi.org/10.3390/rs11171972")</f>
        <v/>
      </c>
      <c r="BJ700" t="n">
        <v>21</v>
      </c>
      <c r="BK700" t="inlineStr">
        <is>
          <t>Environmental Sciences; Geosciences, Multidisciplinary; Remote Sensing; Imaging Science &amp; Photographic Technology</t>
        </is>
      </c>
      <c r="BL700" t="inlineStr">
        <is>
          <t>Science Citation Index Expanded (SCI-EXPANDED)</t>
        </is>
      </c>
      <c r="BM700" t="inlineStr">
        <is>
          <t>Environmental Sciences &amp; Ecology; Geology; Remote Sensing; Imaging Science &amp; Photographic Technology</t>
        </is>
      </c>
      <c r="BN700" t="inlineStr">
        <is>
          <t>IZ1UU</t>
        </is>
      </c>
      <c r="BP700" t="inlineStr">
        <is>
          <t>Green Published, gold</t>
        </is>
      </c>
      <c r="BS700" t="inlineStr">
        <is>
          <t>2023-10-26</t>
        </is>
      </c>
      <c r="BT700" t="inlineStr">
        <is>
          <t>WOS:000486874300016</t>
        </is>
      </c>
      <c r="BU700">
        <f>HYPERLINK("https%3A%2F%2Fwww.webofscience.com%2Fwos%2Fwoscc%2Ffull-record%2FWOS:000486874300016","View Full Record in Web of Science")</f>
        <v/>
      </c>
    </row>
    <row r="701">
      <c r="A701" t="inlineStr">
        <is>
          <t>J</t>
        </is>
      </c>
      <c r="B701" t="inlineStr">
        <is>
          <t>Monteiro, LZ; de Farias, JM; de Lima, TR; Schäfer, AA; Meller, FO; Silva, DAS</t>
        </is>
      </c>
      <c r="F701" t="inlineStr">
        <is>
          <t>Monteiro, Luciana Zaranza; de Farias, Joni Marcio; de Lima, Tiago Rodrigues; Schafer, Antonio Augusto; Meller, Fernanda Oliveira; Silva, Diego Augusto Santos</t>
        </is>
      </c>
      <c r="J701" t="inlineStr">
        <is>
          <t>INTERNATIONAL JOURNAL OF ENVIRONMENTAL RESEARCH AND PUBLIC HEALTH</t>
        </is>
      </c>
      <c r="M701" t="inlineStr">
        <is>
          <t>English</t>
        </is>
      </c>
      <c r="N701" t="inlineStr">
        <is>
          <t>Article</t>
        </is>
      </c>
      <c r="T701" t="inlineStr">
        <is>
          <t>Physical Activity and Sleep in Adults and Older Adults in Southern Brazil</t>
        </is>
      </c>
      <c r="U701" t="inlineStr">
        <is>
          <t>physical activity; sleep quality; adults; older adult; epidemiology</t>
        </is>
      </c>
      <c r="V701" t="inlineStr">
        <is>
          <t>EXERCISE; HEALTH; QUALITY; TRANSPORTATION; GUIDELINES; IMPACT</t>
        </is>
      </c>
      <c r="W701" t="inlineStr">
        <is>
          <t>Good sleep quality is a well-known indicator of physical and mental health, well-being, and overall vitality. This study aimed to verify the association between the practice of physical activity and sleep duration and quality in adults and older adults in southern Brazil. A cross-sectional population-based study was carried out with 820 individuals of both sexes aged 18 years or more, where sociodemographic variables were collected and also health-related variables. This study included 523 (63.8%) women and 297 (36.2%) men, and the prevalence of adequate sleep hours was 41.5% (95%CI: 39.1; 44.9). People who performed leisure walking were 34% more likely to present adequate sleep duration (PR: 1.34; 95%CI: 1.10; 1.64) compared to those who did not perform leisure walking. Individuals who met the recommendations for moderate or vigorous physical activity were more likely to have good sleep quality (PR: 1.16; 95%CI: 1.01; 1.34). Future health behavior modification strategies to improve sleep quality at the population level should consider encouraging lifestyle improvements, thus increasing the practice of physical activities.</t>
        </is>
      </c>
      <c r="X701" t="inlineStr">
        <is>
          <t>[Monteiro, Luciana Zaranza; de Lima, Tiago Rodrigues; Silva, Diego Augusto Santos] Fed Univ Santa Catarina UFSC, Phys Educ Dept, BR-88040900 Florianopolis, SC, Brazil; [Monteiro, Luciana Zaranza] Fed Dist Univ Ctr UDF, Phys Educ Dept, BR-70390045 Brasilia, DF, Brazil; [de Farias, Joni Marcio; Schafer, Antonio Augusto; Meller, Fernanda Oliveira] Univ Southern Santa Catarina, Postgrad Program Publ Hlth, BR-88806000 Criciuma, SC, Brazil; [Silva, Diego Augusto Santos] Univ Autonoma Chile, Fac Hlth Sci, Providencia 7500912, Chile</t>
        </is>
      </c>
      <c r="Y701" t="inlineStr">
        <is>
          <t>Universidade do Sul de Santa Catarina; Universidad Autonoma de Chile</t>
        </is>
      </c>
      <c r="Z701" t="inlineStr">
        <is>
          <t>Silva, DAS (corresponding author), Fed Univ Santa Catarina UFSC, Phys Educ Dept, BR-88040900 Florianopolis, SC, Brazil.;Silva, DAS (corresponding author), Univ Autonoma Chile, Fac Hlth Sci, Providencia 7500912, Chile.</t>
        </is>
      </c>
      <c r="AA701" t="inlineStr">
        <is>
          <t>diegoaugustoss@yahoo.com.br</t>
        </is>
      </c>
      <c r="AB701" t="inlineStr">
        <is>
          <t>Silva, Diego Augusto Santos/AAB-9249-2020</t>
        </is>
      </c>
      <c r="AC701" t="inlineStr">
        <is>
          <t>Silva, Diego Augusto Santos/0000-0002-0489-7906; Meller, Fernanda/0000-0002-1174-4721; Monteiro, Luciana/0000-0001-7484-1185</t>
        </is>
      </c>
      <c r="AD701" t="inlineStr">
        <is>
          <t>Coordenacao de Aperfeicoamento de Pessoal de Nivel Superior-Brazil (CAPES) [001]; National Council for Scientific and Technological-CNPq, Brazil [309589/2021-5]</t>
        </is>
      </c>
      <c r="AE701" t="inlineStr">
        <is>
          <t>Coordenacao de Aperfeicoamento de Pessoal de Nivel Superior-Brazil (CAPES)(Coordenacao de Aperfeicoamento de Pessoal de Nivel Superior (CAPES)); National Council for Scientific and Technological-CNPq, Brazil(Conselho Nacional de Desenvolvimento Cientifico e Tecnologico (CNPQ))</t>
        </is>
      </c>
      <c r="AF701" t="inlineStr">
        <is>
          <t>DASS was financed in part by the Coordenacao de Aperfeicoamento de Pessoal de Nivel Superior-Brazil (CAPES)-Finance Code 001 and he is supported in part by National Council for Scientific and Technological-CNPq, Brazil (309589/2021-5).</t>
        </is>
      </c>
      <c r="AH701" t="n">
        <v>39</v>
      </c>
      <c r="AI701" t="n">
        <v>0</v>
      </c>
      <c r="AJ701" t="n">
        <v>0</v>
      </c>
      <c r="AK701" t="n">
        <v>4</v>
      </c>
      <c r="AL701" t="n">
        <v>7</v>
      </c>
      <c r="AM701" t="inlineStr">
        <is>
          <t>MDPI</t>
        </is>
      </c>
      <c r="AN701" t="inlineStr">
        <is>
          <t>BASEL</t>
        </is>
      </c>
      <c r="AO701" t="inlineStr">
        <is>
          <t>ST ALBAN-ANLAGE 66, CH-4052 BASEL, SWITZERLAND</t>
        </is>
      </c>
      <c r="AQ701" t="inlineStr">
        <is>
          <t>1660-4601</t>
        </is>
      </c>
      <c r="AS701" t="inlineStr">
        <is>
          <t>INT J ENV RES PUB HE</t>
        </is>
      </c>
      <c r="AT701" t="inlineStr">
        <is>
          <t>Int. J. Environ. Res. Public Health</t>
        </is>
      </c>
      <c r="AU701" t="inlineStr">
        <is>
          <t>JAN</t>
        </is>
      </c>
      <c r="AV701" t="n">
        <v>2023</v>
      </c>
      <c r="AW701" t="n">
        <v>20</v>
      </c>
      <c r="AX701" t="n">
        <v>2</v>
      </c>
      <c r="BE701" t="n">
        <v>1461</v>
      </c>
      <c r="BF701" t="inlineStr">
        <is>
          <t>10.3390/ijerph20021461</t>
        </is>
      </c>
      <c r="BG701">
        <f>HYPERLINK("http://dx.doi.org/10.3390/ijerph20021461","http://dx.doi.org/10.3390/ijerph20021461")</f>
        <v/>
      </c>
      <c r="BJ701" t="n">
        <v>9</v>
      </c>
      <c r="BK701" t="inlineStr">
        <is>
          <t>Environmental Sciences; Public, Environmental &amp; Occupational Health</t>
        </is>
      </c>
      <c r="BL701" t="inlineStr">
        <is>
          <t>Science Citation Index Expanded (SCI-EXPANDED); Social Science Citation Index (SSCI)</t>
        </is>
      </c>
      <c r="BM701" t="inlineStr">
        <is>
          <t>Environmental Sciences &amp; Ecology; Public, Environmental &amp; Occupational Health</t>
        </is>
      </c>
      <c r="BN701" t="inlineStr">
        <is>
          <t>8C1CC</t>
        </is>
      </c>
      <c r="BO701" t="n">
        <v>36674217</v>
      </c>
      <c r="BP701" t="inlineStr">
        <is>
          <t>Green Published, gold</t>
        </is>
      </c>
      <c r="BS701" t="inlineStr">
        <is>
          <t>2023-10-26</t>
        </is>
      </c>
      <c r="BT701" t="inlineStr">
        <is>
          <t>WOS:000917353000001</t>
        </is>
      </c>
      <c r="BU701">
        <f>HYPERLINK("https%3A%2F%2Fwww.webofscience.com%2Fwos%2Fwoscc%2Ffull-record%2FWOS:000917353000001","View Full Record in Web of Science")</f>
        <v/>
      </c>
    </row>
    <row r="702">
      <c r="A702" t="inlineStr">
        <is>
          <t>J</t>
        </is>
      </c>
      <c r="B702" t="inlineStr">
        <is>
          <t>Yu, L; Kang, N; Wang, WK; Guo, HY; Ji, J</t>
        </is>
      </c>
      <c r="F702" t="inlineStr">
        <is>
          <t>Yu, Liang; Kang, Ning; Wang, Weikuan; Guo, Huiyu; Ji, Jia</t>
        </is>
      </c>
      <c r="J702" t="inlineStr">
        <is>
          <t>SUSTAINABILITY</t>
        </is>
      </c>
      <c r="M702" t="inlineStr">
        <is>
          <t>English</t>
        </is>
      </c>
      <c r="N702" t="inlineStr">
        <is>
          <t>Article</t>
        </is>
      </c>
      <c r="T702" t="inlineStr">
        <is>
          <t>Study on the Influence of Air Tightness of the Building Envelope on Indoor Particle Concentration</t>
        </is>
      </c>
      <c r="U702" t="inlineStr">
        <is>
          <t>atmospheric particulate matter pollutant; office buildings; air tightness of building envelope; indoor air quality; fluent</t>
        </is>
      </c>
      <c r="W702" t="inlineStr">
        <is>
          <t>In order to grasp the building palisade structure tightness of indoor particulate matter mass concentration based on the particle penetration mechanism and settlement characteristics, this article analyzes the measurements of two different types of building air tightness of a Shenyang university office building in terms of indoor and outdoor particulate matter mass concentration levels from 2016-1-09 to 1-22, 2016-7-18 to 8-03, and 2017-2-28 to 3-13. The building outside the closed window that had no indoor source condition, the indoor office building and outdoor particle mass concentration, and the aperture size and shape of the envelope were analyzed to carry on the numerical simulation research by Fluent software, which was then analyzed; the results reveal that the measuring point of the I/O ratio is less than point B of the I/O ratio, measurement points of A linear regression fitting degree is lower than the fit of the measuring point B, and the causes for the measuring point A tightness (level 8) is superior to the measuring point B (level 4). When the gap height h is greater than 0.5 mm, the penetration rate of particles within the range of 0.25-2.5 mu m particle size is close to 1. In different gap depths, the penetration rate of particles within the range of 0.1-1 mu m particle size was close to 1. In diverse pressure difference, the 0.25-2.5 mu m particles within the scope of penetration rate P is close to 1, the gap on both sides of the differential value Delta P; the greater the particle, the higher penetration rate. The larger the right-angle number of gap n, the lower the penetration rate of particles. The L-shaped gap and U-shaped gap have significantly better barrier effects in larger and smaller particles than the rectangular gap. The research results in this paper can help people understand and effectively control the influence of outdoor particles on the indoor air quality and provide reference data for the prediction of indoor particle mass concentration in buildings, which has theoretical basis and practical significance.</t>
        </is>
      </c>
      <c r="X702" t="inlineStr">
        <is>
          <t>[Yu, Liang; Kang, Ning; Guo, Huiyu] Shenyang Jianzhu Univ, Sch Municipal &amp; Environm Engn, Shenyang 110168, Peoples R China; [Wang, Weikuan] Shenyang Acad Environm Sci, Shenyang 110179, Peoples R China; [Ji, Jia] Zhejiang Shilang Longshan Engn Design Co LTD, Shaoxing 310000, Zhejiang, Peoples R China</t>
        </is>
      </c>
      <c r="Y702" t="inlineStr">
        <is>
          <t>Shenyang Jianzhu University</t>
        </is>
      </c>
      <c r="Z702" t="inlineStr">
        <is>
          <t>Yu, L (corresponding author), Shenyang Jianzhu Univ, Sch Municipal &amp; Environm Engn, Shenyang 110168, Peoples R China.</t>
        </is>
      </c>
      <c r="AA702" t="inlineStr">
        <is>
          <t>hj_yuliang@sjzu.edu.cn; kn1500347262@163.com; wangweikuan@syhky.com; hj_ghy@sjzu.edu.cn; SLA@SLA-CN.COM</t>
        </is>
      </c>
      <c r="AD702" t="inlineStr">
        <is>
          <t>National Key R&amp;D Program of China [2016YFC0700100]; Key projects of Shenyang Academy of Environmental Sciences [15-10-154]</t>
        </is>
      </c>
      <c r="AE702" t="inlineStr">
        <is>
          <t>National Key R&amp;D Program of China; Key projects of Shenyang Academy of Environmental Sciences</t>
        </is>
      </c>
      <c r="AF702" t="inlineStr">
        <is>
          <t>The research work is supported by National Key R&amp;D Program of China: 2016YFC0700100 and Key projects of Shenyang Academy of Environmental Sciences: 15-10-154.</t>
        </is>
      </c>
      <c r="AH702" t="n">
        <v>21</v>
      </c>
      <c r="AI702" t="n">
        <v>3</v>
      </c>
      <c r="AJ702" t="n">
        <v>3</v>
      </c>
      <c r="AK702" t="n">
        <v>3</v>
      </c>
      <c r="AL702" t="n">
        <v>13</v>
      </c>
      <c r="AM702" t="inlineStr">
        <is>
          <t>MDPI</t>
        </is>
      </c>
      <c r="AN702" t="inlineStr">
        <is>
          <t>BASEL</t>
        </is>
      </c>
      <c r="AO702" t="inlineStr">
        <is>
          <t>ST ALBAN-ANLAGE 66, CH-4052 BASEL, SWITZERLAND</t>
        </is>
      </c>
      <c r="AQ702" t="inlineStr">
        <is>
          <t>2071-1050</t>
        </is>
      </c>
      <c r="AS702" t="inlineStr">
        <is>
          <t>SUSTAINABILITY-BASEL</t>
        </is>
      </c>
      <c r="AT702" t="inlineStr">
        <is>
          <t>Sustainability</t>
        </is>
      </c>
      <c r="AU702" t="inlineStr">
        <is>
          <t>MAR 1</t>
        </is>
      </c>
      <c r="AV702" t="n">
        <v>2020</v>
      </c>
      <c r="AW702" t="n">
        <v>12</v>
      </c>
      <c r="AX702" t="n">
        <v>5</v>
      </c>
      <c r="BE702" t="n">
        <v>1708</v>
      </c>
      <c r="BF702" t="inlineStr">
        <is>
          <t>10.3390/su12051708</t>
        </is>
      </c>
      <c r="BG702">
        <f>HYPERLINK("http://dx.doi.org/10.3390/su12051708","http://dx.doi.org/10.3390/su12051708")</f>
        <v/>
      </c>
      <c r="BJ702" t="n">
        <v>20</v>
      </c>
      <c r="BK702" t="inlineStr">
        <is>
          <t>Green &amp; Sustainable Science &amp; Technology; Environmental Sciences; Environmental Studies</t>
        </is>
      </c>
      <c r="BL702" t="inlineStr">
        <is>
          <t>Science Citation Index Expanded (SCI-EXPANDED); Social Science Citation Index (SSCI)</t>
        </is>
      </c>
      <c r="BM702" t="inlineStr">
        <is>
          <t>Science &amp; Technology - Other Topics; Environmental Sciences &amp; Ecology</t>
        </is>
      </c>
      <c r="BN702" t="inlineStr">
        <is>
          <t>KY3KU</t>
        </is>
      </c>
      <c r="BP702" t="inlineStr">
        <is>
          <t>Green Published, gold</t>
        </is>
      </c>
      <c r="BS702" t="inlineStr">
        <is>
          <t>2023-10-26</t>
        </is>
      </c>
      <c r="BT702" t="inlineStr">
        <is>
          <t>WOS:000522470900009</t>
        </is>
      </c>
      <c r="BU702">
        <f>HYPERLINK("https%3A%2F%2Fwww.webofscience.com%2Fwos%2Fwoscc%2Ffull-record%2FWOS:000522470900009","View Full Record in Web of Science")</f>
        <v/>
      </c>
    </row>
    <row r="703">
      <c r="A703" t="inlineStr">
        <is>
          <t>J</t>
        </is>
      </c>
      <c r="B703" t="inlineStr">
        <is>
          <t>Ramos, CA; Reis, JF; Almeida, T; Alves, F; Wolterbeek, HT; Almeida, SM</t>
        </is>
      </c>
      <c r="F703" t="inlineStr">
        <is>
          <t>Ramos, C. A.; Reis, J. F.; Almeida, T.; Alves, F.; Wolterbeek, H. T.; Almeida, S. M.</t>
        </is>
      </c>
      <c r="J703" t="inlineStr">
        <is>
          <t>SCIENCE OF THE TOTAL ENVIRONMENT</t>
        </is>
      </c>
      <c r="M703" t="inlineStr">
        <is>
          <t>English</t>
        </is>
      </c>
      <c r="N703" t="inlineStr">
        <is>
          <t>Article</t>
        </is>
      </c>
      <c r="T703" t="inlineStr">
        <is>
          <t>Estimating the inhaled dose of pollutants during indoor physical activity</t>
        </is>
      </c>
      <c r="U703" t="inlineStr">
        <is>
          <t>Dose; Inhalation; Indoor air; Physical activity; Fitness centers; Pollutants</t>
        </is>
      </c>
      <c r="V703" t="inlineStr">
        <is>
          <t>PARTICULATE MATTER; AIR-QUALITY; PRIMARY-SCHOOLS; HEART-RATE; EXERCISE; EXPOSURE; CANCER; CYCLISTS; LISBON; RISK</t>
        </is>
      </c>
      <c r="W703" t="inlineStr">
        <is>
          <t>Background: It is undeniable that many benefits come from physical activity. People exercise in fitness centers to improve their health and well-being, prevent disease and to increase physical attractiveness. However, these facilities join conditions that cause poor indoor air quality. Moreover, increased inhalation rates during exercise have influence on inhaled doses of air pollution. Objectives: This study aims to calculate the inhaled dose of air pollutants during exercise, by estimating minute ventilation of participants and measuring air pollutant concentrations in fitness centers. Methods: Firstly, the 20 participants performed an incremental test on a treadmill, where heart rate and minute ventilation were measured simultaneously to develop individual exponential regression equations. Secondly, heart rate was measured during fitness classes and minute ventilation was estimated based on the calculated regression coefficients. Finally, the inhaled dose of air pollutants was calculated using the estimated minute ventilation and the concentrations of the pollutants measured in a monitoring program performed in 63 fitness classes. Results: Estimated inhaled doses were higher in aerobic classes than in holistic classes. The main difference was registered for PM10 inhaled dose that presented an average ratio between aerobic and holistic classes greater than four. Minute ventilation and PM10 concentrations in aerobic classes were, on average, 2.0 times higher than in holistic classes. Results showed that inhalation of pollutants is increased during heavy exercise, demonstrating the need to maintain high indoor air quality in fitness centers. Conclusions: This study illustrates the importance of inclusion minute ventilation data when comparing inhaled doses of air pollution between different population groups. This work has estimated for the first time the minute ventilation for different fitness classes. Also constitutes an important contribution for the assessment of inhaled dose in future studies to be performed in fitness centers. (C) 2015 Elsevier B.V. All rights reserved.</t>
        </is>
      </c>
      <c r="X703" t="inlineStr">
        <is>
          <t>[Ramos, C. A.; Almeida, S. M.] Univ Lisbon, Inst Super Tecn, Ctr Ciencias &amp; Tecnol Nucl, Estr Nacl 10,Km 139-7, P-2695066 Bobadela Lrs, Portugal; [Reis, J. F.; Almeida, T.; Alves, F.] Univ Lisbon, Fac Motricidade Humana, CIPER, P-1699 Lisbon, Portugal; [Ramos, C. A.; Wolterbeek, H. T.] Delft Univ Technol, Fac Sci Appl, Dept Radiat Radionuclides &amp; Reactors, Delft, Netherlands</t>
        </is>
      </c>
      <c r="Y703" t="inlineStr">
        <is>
          <t>Universidade de Lisboa; Instituto Superior Tecnico; Universidade de Lisboa; Delft University of Technology</t>
        </is>
      </c>
      <c r="Z703" t="inlineStr">
        <is>
          <t>Ramos, CA (corresponding author), Univ Lisbon, Inst Super Tecn, Ctr Ciencias &amp; Tecnol Nucl, Estr Nacl 10,Km 139-7, P-2695066 Bobadela Lrs, Portugal.</t>
        </is>
      </c>
      <c r="AA703" t="inlineStr">
        <is>
          <t>carla.ramos@ctn.ist.utl.pt</t>
        </is>
      </c>
      <c r="AB703" t="inlineStr">
        <is>
          <t>Almeida, Tiago AF/P-5118-2017; Alves, Francisco B/H-7266-2013; Almeida, Susana Marta Marta/B-5089-2012; Reis, Joana Filipa/G-5871-2016</t>
        </is>
      </c>
      <c r="AC703" t="inlineStr">
        <is>
          <t>Almeida, Tiago AF/0000-0001-8558-8509; Alves, Francisco B/0000-0002-1317-155X; Almeida, Susana Marta Marta/0000-0002-8506-6679; Reis, Joana Filipa/0000-0003-2906-3665</t>
        </is>
      </c>
      <c r="AD703" t="inlineStr">
        <is>
          <t>FCT [SFRH/BD/79277/2011, SFRH/BD/73022/2010, SFRH/BPD/84315/2012, UID/Multi/04349/2013]; Fundação para a Ciência e a Tecnologia [SFRH/BPD/84315/2012, SFRH/BD/73022/2010, SFRH/BD/79277/2011] Funding Source: FCT</t>
        </is>
      </c>
      <c r="AE703" t="inlineStr">
        <is>
          <t>FCT(Fundacao para a Ciencia e a Tecnologia (FCT)); Fundação para a Ciência e a Tecnologia(Fundacao para a Ciencia e a Tecnologia (FCT))</t>
        </is>
      </c>
      <c r="AF703" t="inlineStr">
        <is>
          <t>The authors would like to acknowledge the FCT for their PhD grants SFRH/BD/79277/2011 (C.A. Ramos), SFRH/BD/73022/2010 (T. Almeida) and post PhD grant SFRH/BPD/84315/2012 (J.F. Reis) and to all the participants in this study.r C2TN/IST authors gratefully acknowledge the FCT support through the UID/Multi/04349/2013 project.</t>
        </is>
      </c>
      <c r="AH703" t="n">
        <v>47</v>
      </c>
      <c r="AI703" t="n">
        <v>56</v>
      </c>
      <c r="AJ703" t="n">
        <v>58</v>
      </c>
      <c r="AK703" t="n">
        <v>2</v>
      </c>
      <c r="AL703" t="n">
        <v>106</v>
      </c>
      <c r="AM703" t="inlineStr">
        <is>
          <t>ELSEVIER SCIENCE BV</t>
        </is>
      </c>
      <c r="AN703" t="inlineStr">
        <is>
          <t>AMSTERDAM</t>
        </is>
      </c>
      <c r="AO703" t="inlineStr">
        <is>
          <t>PO BOX 211, 1000 AE AMSTERDAM, NETHERLANDS</t>
        </is>
      </c>
      <c r="AP703" t="inlineStr">
        <is>
          <t>0048-9697</t>
        </is>
      </c>
      <c r="AQ703" t="inlineStr">
        <is>
          <t>1879-1026</t>
        </is>
      </c>
      <c r="AS703" t="inlineStr">
        <is>
          <t>SCI TOTAL ENVIRON</t>
        </is>
      </c>
      <c r="AT703" t="inlineStr">
        <is>
          <t>Sci. Total Environ.</t>
        </is>
      </c>
      <c r="AU703" t="inlineStr">
        <is>
          <t>SEP 15</t>
        </is>
      </c>
      <c r="AV703" t="n">
        <v>2015</v>
      </c>
      <c r="AW703" t="n">
        <v>527</v>
      </c>
      <c r="BC703" t="n">
        <v>111</v>
      </c>
      <c r="BD703" t="n">
        <v>118</v>
      </c>
      <c r="BF703" t="inlineStr">
        <is>
          <t>10.1016/j.scitotenv.2015.04.120</t>
        </is>
      </c>
      <c r="BG703">
        <f>HYPERLINK("http://dx.doi.org/10.1016/j.scitotenv.2015.04.120","http://dx.doi.org/10.1016/j.scitotenv.2015.04.120")</f>
        <v/>
      </c>
      <c r="BJ703" t="n">
        <v>8</v>
      </c>
      <c r="BK703" t="inlineStr">
        <is>
          <t>Environmental Sciences</t>
        </is>
      </c>
      <c r="BL703" t="inlineStr">
        <is>
          <t>Science Citation Index Expanded (SCI-EXPANDED)</t>
        </is>
      </c>
      <c r="BM703" t="inlineStr">
        <is>
          <t>Environmental Sciences &amp; Ecology</t>
        </is>
      </c>
      <c r="BN703" t="inlineStr">
        <is>
          <t>CK4WY</t>
        </is>
      </c>
      <c r="BO703" t="n">
        <v>25958360</v>
      </c>
      <c r="BP703" t="inlineStr">
        <is>
          <t>hybrid</t>
        </is>
      </c>
      <c r="BS703" t="inlineStr">
        <is>
          <t>2023-10-26</t>
        </is>
      </c>
      <c r="BT703" t="inlineStr">
        <is>
          <t>WOS:000356225300012</t>
        </is>
      </c>
      <c r="BU703">
        <f>HYPERLINK("https%3A%2F%2Fwww.webofscience.com%2Fwos%2Fwoscc%2Ffull-record%2FWOS:000356225300012","View Full Record in Web of Science")</f>
        <v/>
      </c>
    </row>
    <row r="704">
      <c r="A704" t="inlineStr">
        <is>
          <t>J</t>
        </is>
      </c>
      <c r="B704" t="inlineStr">
        <is>
          <t>Kwon, CW; Lee, KJ; Cho, S</t>
        </is>
      </c>
      <c r="F704" t="inlineStr">
        <is>
          <t>Kwon, Choul Woong; Lee, Kang Jun; Cho, Soolyeon</t>
        </is>
      </c>
      <c r="J704" t="inlineStr">
        <is>
          <t>SUSTAINABILITY</t>
        </is>
      </c>
      <c r="M704" t="inlineStr">
        <is>
          <t>English</t>
        </is>
      </c>
      <c r="N704" t="inlineStr">
        <is>
          <t>Article</t>
        </is>
      </c>
      <c r="T704" t="inlineStr">
        <is>
          <t>Numerical Study of Balancing between Indoor Building Energy and Outdoor Thermal Comfort with a Flexible Building Element</t>
        </is>
      </c>
      <c r="U704" t="inlineStr">
        <is>
          <t>flexible canopy; outdoor thermal comfort; daylighting; heating energy demand; balancing energy; coupling method</t>
        </is>
      </c>
      <c r="V704" t="inlineStr">
        <is>
          <t>URBAN; MICROCLIMATE; ENVIRONMENTS; TEMPERATURE; PERFORMANCE; PARAMETERS</t>
        </is>
      </c>
      <c r="W704" t="inlineStr">
        <is>
          <t>This study analyzed the environmental role of a flexible canopy as a microclimate modifier in balancing indoor energy demands and outdoor thermal comfort. Flexible building elements are often installed in traditional buildings, depending on the local climate in southern Europe. The architectural performance of a canopy was analyzed using several environmental software packages (Ecotect, Rayman, WinAir, DaySim, and EDSL TAS). Coupling methods were applied to determine the environmental influence of the attached building element, a canopy with fixed and operable panes in different orientations and locations. The results showed that the flexible canopy played a crucial role in reducing indoor energy demands (heating and electricity for lighting) and increasing outdoor thermal comfort under the canopy area. Outdoor thermally comfortable conditions ranging between 13 and 29 degrees C in the canopy space could be enhanced by 56.3% over the entire year by manipulating a flexible canopy, compared with a fixed canopy with 90% transparency in London. The flexible canopy with higher transparency helped increase outdoor thermal comfort in Glasgow, while one with lower transparency showed better performance during summer in London. The findings of this research will help broaden the range of architectural elements used in buildings.</t>
        </is>
      </c>
      <c r="X704" t="inlineStr">
        <is>
          <t>[Kwon, Choul Woong] Hanyang Univ, SUSB Ctr, Ansan 15588, Gyeonggi Do, South Korea; [Lee, Kang Jun] Hanyang Univ, Sch Architecture, Ansan 15588, Gyeonggi Do, South Korea; [Cho, Soolyeon] NC State Univ, Sch Architecture, Coll Design, Raleigh, NC 27695 USA</t>
        </is>
      </c>
      <c r="Y704" t="inlineStr">
        <is>
          <t>Hanyang University; Hanyang University; North Carolina State University</t>
        </is>
      </c>
      <c r="Z704" t="inlineStr">
        <is>
          <t>Lee, KJ (corresponding author), Hanyang Univ, Sch Architecture, Ansan 15588, Gyeonggi Do, South Korea.</t>
        </is>
      </c>
      <c r="AA704" t="inlineStr">
        <is>
          <t>hottrinity@gmail.com; leekangjun@gmail.com; soolyeon_cho@ncsu.edu</t>
        </is>
      </c>
      <c r="AD704" t="inlineStr">
        <is>
          <t>research fund of Hanyang University, South Korea (HY-2013)</t>
        </is>
      </c>
      <c r="AE704" t="inlineStr">
        <is>
          <t>research fund of Hanyang University, South Korea (HY-2013)</t>
        </is>
      </c>
      <c r="AF704" t="inlineStr">
        <is>
          <t>This research was funded by the research fund of Hanyang University, South Korea (HY-2013).</t>
        </is>
      </c>
      <c r="AH704" t="n">
        <v>42</v>
      </c>
      <c r="AI704" t="n">
        <v>10</v>
      </c>
      <c r="AJ704" t="n">
        <v>10</v>
      </c>
      <c r="AK704" t="n">
        <v>3</v>
      </c>
      <c r="AL704" t="n">
        <v>13</v>
      </c>
      <c r="AM704" t="inlineStr">
        <is>
          <t>MDPI</t>
        </is>
      </c>
      <c r="AN704" t="inlineStr">
        <is>
          <t>BASEL</t>
        </is>
      </c>
      <c r="AO704" t="inlineStr">
        <is>
          <t>ST ALBAN-ANLAGE 66, CH-4052 BASEL, SWITZERLAND</t>
        </is>
      </c>
      <c r="AQ704" t="inlineStr">
        <is>
          <t>2071-1050</t>
        </is>
      </c>
      <c r="AS704" t="inlineStr">
        <is>
          <t>SUSTAINABILITY-BASEL</t>
        </is>
      </c>
      <c r="AT704" t="inlineStr">
        <is>
          <t>Sustainability</t>
        </is>
      </c>
      <c r="AU704" t="inlineStr">
        <is>
          <t>DEC</t>
        </is>
      </c>
      <c r="AV704" t="n">
        <v>2019</v>
      </c>
      <c r="AW704" t="n">
        <v>11</v>
      </c>
      <c r="AX704" t="n">
        <v>23</v>
      </c>
      <c r="BE704" t="n">
        <v>6654</v>
      </c>
      <c r="BF704" t="inlineStr">
        <is>
          <t>10.3390/su11236654</t>
        </is>
      </c>
      <c r="BG704">
        <f>HYPERLINK("http://dx.doi.org/10.3390/su11236654","http://dx.doi.org/10.3390/su11236654")</f>
        <v/>
      </c>
      <c r="BJ704" t="n">
        <v>19</v>
      </c>
      <c r="BK704" t="inlineStr">
        <is>
          <t>Green &amp; Sustainable Science &amp; Technology; Environmental Sciences; Environmental Studies</t>
        </is>
      </c>
      <c r="BL704" t="inlineStr">
        <is>
          <t>Science Citation Index Expanded (SCI-EXPANDED); Social Science Citation Index (SSCI)</t>
        </is>
      </c>
      <c r="BM704" t="inlineStr">
        <is>
          <t>Science &amp; Technology - Other Topics; Environmental Sciences &amp; Ecology</t>
        </is>
      </c>
      <c r="BN704" t="inlineStr">
        <is>
          <t>KD9MV</t>
        </is>
      </c>
      <c r="BP704" t="inlineStr">
        <is>
          <t>gold, Green Published</t>
        </is>
      </c>
      <c r="BS704" t="inlineStr">
        <is>
          <t>2023-10-26</t>
        </is>
      </c>
      <c r="BT704" t="inlineStr">
        <is>
          <t>WOS:000508186400126</t>
        </is>
      </c>
      <c r="BU704">
        <f>HYPERLINK("https%3A%2F%2Fwww.webofscience.com%2Fwos%2Fwoscc%2Ffull-record%2FWOS:000508186400126","View Full Record in Web of Science")</f>
        <v/>
      </c>
    </row>
    <row r="705">
      <c r="A705" t="inlineStr">
        <is>
          <t>J</t>
        </is>
      </c>
      <c r="B705" t="inlineStr">
        <is>
          <t>Surawattanasakul, V; Sirikul, W; Sapbamrer, R; Wangsan, K; Panumasvivat, J; Assavanopakun, P; Muangkaew, S</t>
        </is>
      </c>
      <c r="F705" t="inlineStr">
        <is>
          <t>Surawattanasakul, Vithawat; Sirikul, Wachiranun; Sapbamrer, Ratana; Wangsan, Kampanat; Panumasvivat, Jinjuta; Assavanopakun, Pheerasak; Muangkaew, Supang</t>
        </is>
      </c>
      <c r="J705" t="inlineStr">
        <is>
          <t>INTERNATIONAL JOURNAL OF ENVIRONMENTAL RESEARCH AND PUBLIC HEALTH</t>
        </is>
      </c>
      <c r="M705" t="inlineStr">
        <is>
          <t>English</t>
        </is>
      </c>
      <c r="N705" t="inlineStr">
        <is>
          <t>Article</t>
        </is>
      </c>
      <c r="T705" t="inlineStr">
        <is>
          <t>Respiratory Symptoms and Skin Sick Building Syndrome among Office Workers at University Hospital, Chiang Mai, Thailand: Associations with Indoor Air Quality, AIRMED Project</t>
        </is>
      </c>
      <c r="U705" t="inlineStr">
        <is>
          <t>indoor air quality; office workers; sick building syndrome</t>
        </is>
      </c>
      <c r="V705" t="inlineStr">
        <is>
          <t>ORGANIC-COMPOUNDS VOC; RISK-FACTORS; CARBON-DIOXIDE; CO2 CONCENTRATIONS; NITROGEN-DIOXIDE; EPIDEMIOLOGY; FORMALDEHYDE; EXPOSURE; SCHOOLS; TEMPERATURE</t>
        </is>
      </c>
      <c r="W705" t="inlineStr">
        <is>
          <t>Sick building syndrome (SBS) is the term used to describe the medical condition in which people in a building suffer from symptoms of illnesses for no apparent reason. SBS was found to be associated with indoor air quality (IAQ) but there are a variety of determinants (buildings, in particular). Identifying and controlling factors related to SBS is crucial for improving worker health and efficiency. A cross-sectional study was conducted to investigate (1) the prevalence of respiratory symptoms and skin SBS and (2) their associations with IAQ among office workers in administrative offices in an academic medical institute. A self-reporting questionnaire assessing the worker's characteristics, working conditions, and perception of working environments was used. The building assessment was via a walk-through survey and IAQ measurement. Of 290 office workers, 261 (90%) in 25 offices of 11 buildings took part in the survey. The highest prevalence of SBS was nasal symptoms (25.3%). We found that to reduce the risk of SBS, optimal air temperature levels in air-conditioned offices should be lower than 23 degrees C, with relative humidity between 60% and 70%. Lowering indoor CO2 levels below 700 ppm may be indicative of adequate ventilation to prevent SBS by reducing worker discomfort and indoor contaminants (e.g., formaldehyde).</t>
        </is>
      </c>
      <c r="X705" t="inlineStr">
        <is>
          <t>[Surawattanasakul, Vithawat; Sirikul, Wachiranun; Sapbamrer, Ratana; Wangsan, Kampanat; Panumasvivat, Jinjuta; Assavanopakun, Pheerasak] Chiang Mai Univ, Fac Med, Dept Community Med, Chiang Mai 50200, Thailand; [Sirikul, Wachiranun] Chiang Mai Univ, Ctr Data Analyt &amp; Knowledge Synth Hlth Care, Chiang Mai 50200, Thailand; [Muangkaew, Supang] Chiang Mai Univ, Fac Med, Chiang Mai 50200, Thailand</t>
        </is>
      </c>
      <c r="Y705" t="inlineStr">
        <is>
          <t>Chiang Mai University; Chiang Mai University; Chiang Mai University</t>
        </is>
      </c>
      <c r="Z705" t="inlineStr">
        <is>
          <t>Sirikul, W (corresponding author), Chiang Mai Univ, Fac Med, Dept Community Med, Chiang Mai 50200, Thailand.;Sirikul, W (corresponding author), Chiang Mai Univ, Ctr Data Analyt &amp; Knowledge Synth Hlth Care, Chiang Mai 50200, Thailand.</t>
        </is>
      </c>
      <c r="AA705" t="inlineStr">
        <is>
          <t>wachiranun.sir@cmu.ac.th</t>
        </is>
      </c>
      <c r="AB705" t="inlineStr">
        <is>
          <t>Sirikul, Wachiranun/HCI-3341-2022</t>
        </is>
      </c>
      <c r="AC705" t="inlineStr">
        <is>
          <t>wangsan, kampanat/0000-0002-4657-4515; Panumasvivat, Jinjuta/0000-0002-0479-4923; Sapbamrer, Ratana/0000-0003-0379-2798; Assavanopakun, Pheerasak/0000-0002-3929-5585; Surawattanasakul, Vithawat/0000-0001-9756-2162; sirikul, wachiranun/0000-0002-9183-4582</t>
        </is>
      </c>
      <c r="AD705" t="inlineStr">
        <is>
          <t>Faculty of Medicine, Chiang Mai University, Thailand [058-2565]</t>
        </is>
      </c>
      <c r="AE705" t="inlineStr">
        <is>
          <t>Faculty of Medicine, Chiang Mai University, Thailand</t>
        </is>
      </c>
      <c r="AF705" t="inlineStr">
        <is>
          <t>This work was supported by the Faculty of Medicine, Chiang Mai University, Thailand (grant number: 058-2565).</t>
        </is>
      </c>
      <c r="AH705" t="n">
        <v>55</v>
      </c>
      <c r="AI705" t="n">
        <v>4</v>
      </c>
      <c r="AJ705" t="n">
        <v>4</v>
      </c>
      <c r="AK705" t="n">
        <v>2</v>
      </c>
      <c r="AL705" t="n">
        <v>17</v>
      </c>
      <c r="AM705" t="inlineStr">
        <is>
          <t>MDPI</t>
        </is>
      </c>
      <c r="AN705" t="inlineStr">
        <is>
          <t>BASEL</t>
        </is>
      </c>
      <c r="AO705" t="inlineStr">
        <is>
          <t>ST ALBAN-ANLAGE 66, CH-4052 BASEL, SWITZERLAND</t>
        </is>
      </c>
      <c r="AQ705" t="inlineStr">
        <is>
          <t>1660-4601</t>
        </is>
      </c>
      <c r="AS705" t="inlineStr">
        <is>
          <t>INT J ENV RES PUB HE</t>
        </is>
      </c>
      <c r="AT705" t="inlineStr">
        <is>
          <t>Int. J. Environ. Res. Public Health</t>
        </is>
      </c>
      <c r="AU705" t="inlineStr">
        <is>
          <t>SEP</t>
        </is>
      </c>
      <c r="AV705" t="n">
        <v>2022</v>
      </c>
      <c r="AW705" t="n">
        <v>19</v>
      </c>
      <c r="AX705" t="n">
        <v>17</v>
      </c>
      <c r="BE705" t="n">
        <v>10850</v>
      </c>
      <c r="BF705" t="inlineStr">
        <is>
          <t>10.3390/ijerph191710850</t>
        </is>
      </c>
      <c r="BG705">
        <f>HYPERLINK("http://dx.doi.org/10.3390/ijerph191710850","http://dx.doi.org/10.3390/ijerph191710850")</f>
        <v/>
      </c>
      <c r="BJ705" t="n">
        <v>14</v>
      </c>
      <c r="BK705" t="inlineStr">
        <is>
          <t>Environmental Sciences; Public, Environmental &amp; Occupational Health</t>
        </is>
      </c>
      <c r="BL705" t="inlineStr">
        <is>
          <t>Science Citation Index Expanded (SCI-EXPANDED); Social Science Citation Index (SSCI)</t>
        </is>
      </c>
      <c r="BM705" t="inlineStr">
        <is>
          <t>Environmental Sciences &amp; Ecology; Public, Environmental &amp; Occupational Health</t>
        </is>
      </c>
      <c r="BN705" t="inlineStr">
        <is>
          <t>4J2FI</t>
        </is>
      </c>
      <c r="BO705" t="n">
        <v>36078565</v>
      </c>
      <c r="BP705" t="inlineStr">
        <is>
          <t>gold, Green Published</t>
        </is>
      </c>
      <c r="BS705" t="inlineStr">
        <is>
          <t>2023-10-26</t>
        </is>
      </c>
      <c r="BT705" t="inlineStr">
        <is>
          <t>WOS:000851084100001</t>
        </is>
      </c>
      <c r="BU705">
        <f>HYPERLINK("https%3A%2F%2Fwww.webofscience.com%2Fwos%2Fwoscc%2Ffull-record%2FWOS:000851084100001","View Full Record in Web of Science")</f>
        <v/>
      </c>
    </row>
    <row r="706">
      <c r="A706" t="inlineStr">
        <is>
          <t>J</t>
        </is>
      </c>
      <c r="B706" t="inlineStr">
        <is>
          <t>Seong, M; Lim, C; Lim, J; Park, J</t>
        </is>
      </c>
      <c r="F706" t="inlineStr">
        <is>
          <t>Seong, Miae; Lim, Cheolsoo; Lim, Jaehyun; Park, Jaewan</t>
        </is>
      </c>
      <c r="J706" t="inlineStr">
        <is>
          <t>SUSTAINABILITY</t>
        </is>
      </c>
      <c r="M706" t="inlineStr">
        <is>
          <t>English</t>
        </is>
      </c>
      <c r="N706" t="inlineStr">
        <is>
          <t>Article</t>
        </is>
      </c>
      <c r="T706" t="inlineStr">
        <is>
          <t>A Study on the Status and Thermal Environment Improvement of Ceiling-Embedded Indoor Cooling and Heating Unit</t>
        </is>
      </c>
      <c r="U706" t="inlineStr">
        <is>
          <t>indoor unit; temperature stratification; predicted mean vote; heating and computational fluid dynamics</t>
        </is>
      </c>
      <c r="V706" t="inlineStr">
        <is>
          <t>AIR-QUALITY; VENTILATION; COMFORT; OFFICE; PANEL; CFD</t>
        </is>
      </c>
      <c r="W706" t="inlineStr">
        <is>
          <t>In this study, a basic study was performed to analyze the seasonal temperature status of a research room in the Global Environment Research Building, where ceiling-embedded indoor units are installed to study the room temperature status of the building, as well as to improve its thermal environment. In addition, a direction for improvement of the indoor thermal environment in the winter was proposed through a CFD (computational fluid dynamics) simulation and was proven by an additional experiment. Through the results of this study, it appeared that if the ceiling-embedded indoor unit was installed in the small indoor space without considering the thermal vulnerability of its perimeter boundary, the air temperature of the upper part was greatly different from that of the bottom part in the winter. Based on the PMV measurement result, the case that used both FCUs and convectors showed 1.33, the biggest maximum and minimum difference, and the case that used all FCUs, convectors and circulating fans showed 0.68, the smallest maximum and minimum difference. Therefore, it was considered that the operating method suggested in the room used in this study would improve not only the temperature stratification but also the thermal comfort. Hence, in this study, as a means to improve the stratification, convectors were installed to minimize the effect of the external thermal environment, and angle-controllable air flowing fans were installed to mitigate the stratification distribution. With such a result, it was intended to present essential data for the improvement of the thermal environment, as well as the conservation of heating energy in the winter, by reviewing the use of the ceiling-embedded indoor units in the future.</t>
        </is>
      </c>
      <c r="X706" t="inlineStr">
        <is>
          <t>[Seong, Miae; Lim, Cheolsoo; Lim, Jaehyun] Natl Inst Environm Res, Climate &amp; Air Qual Res Dept, Incheon 22689, South Korea; [Park, Jaewan] TES Eng, Res &amp; Dev Off, Daejeon 35245, South Korea</t>
        </is>
      </c>
      <c r="Y706" t="inlineStr">
        <is>
          <t>National Institute of Environmental Research (NIER), Republic of Korea</t>
        </is>
      </c>
      <c r="Z706" t="inlineStr">
        <is>
          <t>Lim, J (corresponding author), Natl Inst Environm Res, Climate &amp; Air Qual Res Dept, Incheon 22689, South Korea.</t>
        </is>
      </c>
      <c r="AA706" t="inlineStr">
        <is>
          <t>smatina@korea.kr; lcs6713@korea.kr; dr4earth@korea.kr; mil0516@hanmail.net</t>
        </is>
      </c>
      <c r="AD706" t="inlineStr">
        <is>
          <t>National Institute of Environmental Research (NIER) - Ministry of Environment (MOE) of the Republic of Korea [NIER-2015-01-01-093]; Korea Environmental Industry &amp; Technology Institute (KEITI) [NIER-2015-01-01-093] Funding Source: Korea Institute of Science &amp; Technology Information (KISTI), National Science &amp; Technology Information Service (NTIS)</t>
        </is>
      </c>
      <c r="AE706" t="inlineStr">
        <is>
          <t>National Institute of Environmental Research (NIER) - Ministry of Environment (MOE) of the Republic of Korea(Ministry of Environment (ME), Republic of KoreaNational Institute of Environmental Research (NIER), Republic of Korea); Korea Environmental Industry &amp; Technology Institute (KEITI)(Korea Environmental Industry &amp; Technology Institute (KEITI))</t>
        </is>
      </c>
      <c r="AF706" t="inlineStr">
        <is>
          <t>FundingThis work was supported by a grant from National Institute of Environmental Research (NIER) funded by the Ministry of Environment (MOE) of the Republic of Korea (NIER-2015-01-01-093).</t>
        </is>
      </c>
      <c r="AH706" t="n">
        <v>15</v>
      </c>
      <c r="AI706" t="n">
        <v>2</v>
      </c>
      <c r="AJ706" t="n">
        <v>2</v>
      </c>
      <c r="AK706" t="n">
        <v>1</v>
      </c>
      <c r="AL706" t="n">
        <v>4</v>
      </c>
      <c r="AM706" t="inlineStr">
        <is>
          <t>MDPI</t>
        </is>
      </c>
      <c r="AN706" t="inlineStr">
        <is>
          <t>BASEL</t>
        </is>
      </c>
      <c r="AO706" t="inlineStr">
        <is>
          <t>ST ALBAN-ANLAGE 66, CH-4052 BASEL, SWITZERLAND</t>
        </is>
      </c>
      <c r="AQ706" t="inlineStr">
        <is>
          <t>2071-1050</t>
        </is>
      </c>
      <c r="AS706" t="inlineStr">
        <is>
          <t>SUSTAINABILITY-BASEL</t>
        </is>
      </c>
      <c r="AT706" t="inlineStr">
        <is>
          <t>Sustainability</t>
        </is>
      </c>
      <c r="AU706" t="inlineStr">
        <is>
          <t>OCT</t>
        </is>
      </c>
      <c r="AV706" t="n">
        <v>2021</v>
      </c>
      <c r="AW706" t="n">
        <v>13</v>
      </c>
      <c r="AX706" t="n">
        <v>19</v>
      </c>
      <c r="BE706" t="n">
        <v>10651</v>
      </c>
      <c r="BF706" t="inlineStr">
        <is>
          <t>10.3390/su131910651</t>
        </is>
      </c>
      <c r="BG706">
        <f>HYPERLINK("http://dx.doi.org/10.3390/su131910651","http://dx.doi.org/10.3390/su131910651")</f>
        <v/>
      </c>
      <c r="BJ706" t="n">
        <v>21</v>
      </c>
      <c r="BK706" t="inlineStr">
        <is>
          <t>Green &amp; Sustainable Science &amp; Technology; Environmental Sciences; Environmental Studies</t>
        </is>
      </c>
      <c r="BL706" t="inlineStr">
        <is>
          <t>Science Citation Index Expanded (SCI-EXPANDED); Social Science Citation Index (SSCI)</t>
        </is>
      </c>
      <c r="BM706" t="inlineStr">
        <is>
          <t>Science &amp; Technology - Other Topics; Environmental Sciences &amp; Ecology</t>
        </is>
      </c>
      <c r="BN706" t="inlineStr">
        <is>
          <t>XJ5IF</t>
        </is>
      </c>
      <c r="BP706" t="inlineStr">
        <is>
          <t>gold</t>
        </is>
      </c>
      <c r="BS706" t="inlineStr">
        <is>
          <t>2023-10-26</t>
        </is>
      </c>
      <c r="BT706" t="inlineStr">
        <is>
          <t>WOS:000726820700001</t>
        </is>
      </c>
      <c r="BU706">
        <f>HYPERLINK("https%3A%2F%2Fwww.webofscience.com%2Fwos%2Fwoscc%2Ffull-record%2FWOS:000726820700001","View Full Record in Web of Science")</f>
        <v/>
      </c>
    </row>
    <row r="707">
      <c r="A707" t="inlineStr">
        <is>
          <t>J</t>
        </is>
      </c>
      <c r="B707" t="inlineStr">
        <is>
          <t>Li, L; Su, F; Yang, F; Zhu, HH; Li, DL; Zuo, XK; Li, F; Liu, Y; Ying, S</t>
        </is>
      </c>
      <c r="F707" t="inlineStr">
        <is>
          <t>Li, Lin; Su, Fei; Yang, Fan; Zhu, Haihong; Li, Dalin; Zuo, Xinkai; Li, Feng; Liu, Yu; Ying, Shen</t>
        </is>
      </c>
      <c r="J707" t="inlineStr">
        <is>
          <t>REMOTE SENSING</t>
        </is>
      </c>
      <c r="M707" t="inlineStr">
        <is>
          <t>English</t>
        </is>
      </c>
      <c r="N707" t="inlineStr">
        <is>
          <t>Article</t>
        </is>
      </c>
      <c r="T707" t="inlineStr">
        <is>
          <t>Reconstruction of Three-Dimensional (3D) Indoor Interiors with Multiple Stories via Comprehensive Segmentation</t>
        </is>
      </c>
      <c r="U707" t="inlineStr">
        <is>
          <t>point cloud; room segmentation; 3D indoor modeling; reconstruction of multistory building</t>
        </is>
      </c>
      <c r="V707" t="inlineStr">
        <is>
          <t>BUILDING MODELS; EXTRACTION; ENVIRONMENTS; GENERATION; FACADE</t>
        </is>
      </c>
      <c r="W707" t="inlineStr">
        <is>
          <t>The fast and stable reconstruction of building interiors from scanned point clouds has recently attracted considerable research interest. However, reconstructing long corridors and connected areas across multiple floors has emerged as a substantial challenge. This paper presents a comprehensive segmentation method for reconstructing a three-dimensional (3D) indoor structure with multiple stories. With this method, the over-segmentation that usually occurs in the reconstruction of long corridors in a complex indoor environment is overcome by morphologically eroding the floor space to segment rooms and by overlapping the segmented room-space with partitioned cells via extracted wall lines. Such segmentation ensures both the integrity of the room-space partitions and the geometric regularity of the rooms. For spaces across floors in a multistory building, a peak-nadir-peak strategy in the distribution of points along the z-axis is proposed in order to extract connected areas across multiple floors. A series of experimental tests while using seven real-world 3D scans and eight synthetic models of indoor environments show the effectiveness and feasibility of the proposed method.</t>
        </is>
      </c>
      <c r="X707" t="inlineStr">
        <is>
          <t>[Li, Lin; Su, Fei; Yang, Fan; Zhu, Haihong; Li, Dalin; Zuo, Xinkai; Li, Feng; Liu, Yu; Ying, Shen] Wuhan Univ, Sch Resource &amp; Environm Sci, 129 Luoyu Rd, Wuhan 430079, Hubei, Peoples R China; [Li, Lin] Wuhan Univ, Collaborat Innovat Ctr Geospatial Technol, 129 Luoyu Rd, Wuhan 430079, Hubei, Peoples R China</t>
        </is>
      </c>
      <c r="Y707" t="inlineStr">
        <is>
          <t>Wuhan University; Wuhan University</t>
        </is>
      </c>
      <c r="Z707" t="inlineStr">
        <is>
          <t>Li, L; Ying, S (corresponding author), Wuhan Univ, Sch Resource &amp; Environm Sci, 129 Luoyu Rd, Wuhan 430079, Hubei, Peoples R China.;Li, L (corresponding author), Wuhan Univ, Collaborat Innovat Ctr Geospatial Technol, 129 Luoyu Rd, Wuhan 430079, Hubei, Peoples R China.</t>
        </is>
      </c>
      <c r="AA707" t="inlineStr">
        <is>
          <t>lilin@whu.edu.cn; sftx016@whu.edu.cn; yhlx125@whu.edu.cn; hhzhu@whu.edu.cn; lidalin@whu.edu.cn; zuoxinkai2012@whu.edu.cn; liwind@whu.edu.cn; liuyu0201@whu.edu.cn; shy@whu.edu.cn</t>
        </is>
      </c>
      <c r="AB707" t="inlineStr">
        <is>
          <t>Li, Dalin/F-4266-2011; shen, ying/AAS-9990-2020</t>
        </is>
      </c>
      <c r="AC707" t="inlineStr">
        <is>
          <t>Li, Feng/0000-0002-6306-922X; ying, shen/0000-0001-8066-9203; Yang, Fan/0000-0001-6155-5139; Li, Lin/0000-0002-2034-982X</t>
        </is>
      </c>
      <c r="AD707" t="inlineStr">
        <is>
          <t>National Natural Science Fund of China [41471325, 41671381, 41531177]; Scientific and Technological Leading Talent Fund of National Administration of Surveying, Mapping and Geo-information; National Key R&amp;D Program of China [2016YFF0201300, 2017YFB0503500]; Hubei Provincial Natural Science Fund [2017CFA050]; Wuhan 'Yellow Crane Excellence' (Science and Technology) program</t>
        </is>
      </c>
      <c r="AE707" t="inlineStr">
        <is>
          <t>National Natural Science Fund of China(National Natural Science Foundation of China (NSFC)); Scientific and Technological Leading Talent Fund of National Administration of Surveying, Mapping and Geo-information; National Key R&amp;D Program of China; Hubei Provincial Natural Science Fund; Wuhan 'Yellow Crane Excellence' (Science and Technology) program</t>
        </is>
      </c>
      <c r="AF707" t="inlineStr">
        <is>
          <t>This research was funded by the National Natural Science Fund of China (41471325, 41671381, 41531177), Scientific and Technological Leading Talent Fund of National Administration of Surveying, Mapping and Geo-information (2014), The National Key R&amp;D Program of China (2016YFF0201300, 2017YFB0503500), Hubei Provincial Natural Science Fund (2017CFA050) and Wuhan 'Yellow Crane Excellence' (Science and Technology) program (2014).</t>
        </is>
      </c>
      <c r="AH707" t="n">
        <v>61</v>
      </c>
      <c r="AI707" t="n">
        <v>23</v>
      </c>
      <c r="AJ707" t="n">
        <v>24</v>
      </c>
      <c r="AK707" t="n">
        <v>4</v>
      </c>
      <c r="AL707" t="n">
        <v>25</v>
      </c>
      <c r="AM707" t="inlineStr">
        <is>
          <t>MDPI</t>
        </is>
      </c>
      <c r="AN707" t="inlineStr">
        <is>
          <t>BASEL</t>
        </is>
      </c>
      <c r="AO707" t="inlineStr">
        <is>
          <t>ST ALBAN-ANLAGE 66, CH-4052 BASEL, SWITZERLAND</t>
        </is>
      </c>
      <c r="AQ707" t="inlineStr">
        <is>
          <t>2072-4292</t>
        </is>
      </c>
      <c r="AS707" t="inlineStr">
        <is>
          <t>REMOTE SENS-BASEL</t>
        </is>
      </c>
      <c r="AT707" t="inlineStr">
        <is>
          <t>Remote Sens.</t>
        </is>
      </c>
      <c r="AU707" t="inlineStr">
        <is>
          <t>AUG</t>
        </is>
      </c>
      <c r="AV707" t="n">
        <v>2018</v>
      </c>
      <c r="AW707" t="n">
        <v>10</v>
      </c>
      <c r="AX707" t="n">
        <v>8</v>
      </c>
      <c r="BE707" t="n">
        <v>1281</v>
      </c>
      <c r="BF707" t="inlineStr">
        <is>
          <t>10.3390/rs10081281</t>
        </is>
      </c>
      <c r="BG707">
        <f>HYPERLINK("http://dx.doi.org/10.3390/rs10081281","http://dx.doi.org/10.3390/rs10081281")</f>
        <v/>
      </c>
      <c r="BJ707" t="n">
        <v>30</v>
      </c>
      <c r="BK707" t="inlineStr">
        <is>
          <t>Environmental Sciences; Geosciences, Multidisciplinary; Remote Sensing; Imaging Science &amp; Photographic Technology</t>
        </is>
      </c>
      <c r="BL707" t="inlineStr">
        <is>
          <t>Science Citation Index Expanded (SCI-EXPANDED)</t>
        </is>
      </c>
      <c r="BM707" t="inlineStr">
        <is>
          <t>Environmental Sciences &amp; Ecology; Geology; Remote Sensing; Imaging Science &amp; Photographic Technology</t>
        </is>
      </c>
      <c r="BN707" t="inlineStr">
        <is>
          <t>GS4MF</t>
        </is>
      </c>
      <c r="BP707" t="inlineStr">
        <is>
          <t>gold, Green Submitted</t>
        </is>
      </c>
      <c r="BS707" t="inlineStr">
        <is>
          <t>2023-10-26</t>
        </is>
      </c>
      <c r="BT707" t="inlineStr">
        <is>
          <t>WOS:000443618100117</t>
        </is>
      </c>
      <c r="BU707">
        <f>HYPERLINK("https%3A%2F%2Fwww.webofscience.com%2Fwos%2Fwoscc%2Ffull-record%2FWOS:000443618100117","View Full Record in Web of Science")</f>
        <v/>
      </c>
    </row>
    <row r="708">
      <c r="A708" t="inlineStr">
        <is>
          <t>J</t>
        </is>
      </c>
      <c r="B708" t="inlineStr">
        <is>
          <t>Li, HS</t>
        </is>
      </c>
      <c r="F708" t="inlineStr">
        <is>
          <t>Li, Hongsong</t>
        </is>
      </c>
      <c r="J708" t="inlineStr">
        <is>
          <t>FRESENIUS ENVIRONMENTAL BULLETIN</t>
        </is>
      </c>
      <c r="M708" t="inlineStr">
        <is>
          <t>English</t>
        </is>
      </c>
      <c r="N708" t="inlineStr">
        <is>
          <t>Article</t>
        </is>
      </c>
      <c r="T708" t="inlineStr">
        <is>
          <t>ANALYSIS OF APPLICATION ADVANTAGES IN INTERIOR DESIGN BASED ON TRADITIONAL BUILDING INFORMATION MODELING TECHNOLOGY</t>
        </is>
      </c>
      <c r="U708" t="inlineStr">
        <is>
          <t>BIM technology; interior design; application; advantage</t>
        </is>
      </c>
      <c r="W708" t="inlineStr">
        <is>
          <t>With the rapid development of information technology, the traditional building information model technology (BIM technology) has been applied in different life cycles of maintenance, construction and design, and can bring considerable benefits. BIM technology, mainly based on computer technology, including building a three-dimensional model of building information used for collective design and construction, can effectively solve the problems existing in the design of traditional design drawings, and realize statistics, monitoring and virtual demonstration of materials and the integrated design of indoor parameterization, and effectively reduces the risk of errors and increases the efficiency of design.</t>
        </is>
      </c>
      <c r="X708" t="inlineStr">
        <is>
          <t>[Li, Hongsong] Hunan Int Econ Univ, Sch Art &amp; Design, Changsha 410205, Peoples R China</t>
        </is>
      </c>
      <c r="Z708" t="inlineStr">
        <is>
          <t>Li, HS (corresponding author), Hunan Int Econ Univ, Sch Art &amp; Design, Changsha 410205, Peoples R China.</t>
        </is>
      </c>
      <c r="AA708" t="inlineStr">
        <is>
          <t>lihongsong8889@sina.com</t>
        </is>
      </c>
      <c r="AH708" t="n">
        <v>6</v>
      </c>
      <c r="AI708" t="n">
        <v>3</v>
      </c>
      <c r="AJ708" t="n">
        <v>3</v>
      </c>
      <c r="AK708" t="n">
        <v>1</v>
      </c>
      <c r="AL708" t="n">
        <v>11</v>
      </c>
      <c r="AM708" t="inlineStr">
        <is>
          <t>PARLAR SCIENTIFIC PUBLICATIONS (P S P)</t>
        </is>
      </c>
      <c r="AN708" t="inlineStr">
        <is>
          <t>FREISING</t>
        </is>
      </c>
      <c r="AO708" t="inlineStr">
        <is>
          <t>ANGERSTR. 12, 85354 FREISING, GERMANY</t>
        </is>
      </c>
      <c r="AP708" t="inlineStr">
        <is>
          <t>1018-4619</t>
        </is>
      </c>
      <c r="AQ708" t="inlineStr">
        <is>
          <t>1610-2304</t>
        </is>
      </c>
      <c r="AS708" t="inlineStr">
        <is>
          <t>FRESEN ENVIRON BULL</t>
        </is>
      </c>
      <c r="AT708" t="inlineStr">
        <is>
          <t>Fresenius Environ. Bull.</t>
        </is>
      </c>
      <c r="AV708" t="n">
        <v>2020</v>
      </c>
      <c r="AW708" t="n">
        <v>29</v>
      </c>
      <c r="AX708" t="n">
        <v>7</v>
      </c>
      <c r="BC708" t="n">
        <v>5564</v>
      </c>
      <c r="BD708" t="n">
        <v>5569</v>
      </c>
      <c r="BJ708" t="n">
        <v>6</v>
      </c>
      <c r="BK708" t="inlineStr">
        <is>
          <t>Environmental Sciences</t>
        </is>
      </c>
      <c r="BL708" t="inlineStr">
        <is>
          <t>Science Citation Index Expanded (SCI-EXPANDED)</t>
        </is>
      </c>
      <c r="BM708" t="inlineStr">
        <is>
          <t>Environmental Sciences &amp; Ecology</t>
        </is>
      </c>
      <c r="BN708" t="inlineStr">
        <is>
          <t>MN4OR</t>
        </is>
      </c>
      <c r="BS708" t="inlineStr">
        <is>
          <t>2023-10-26</t>
        </is>
      </c>
      <c r="BT708" t="inlineStr">
        <is>
          <t>WOS:000550823500081</t>
        </is>
      </c>
      <c r="BU708">
        <f>HYPERLINK("https%3A%2F%2Fwww.webofscience.com%2Fwos%2Fwoscc%2Ffull-record%2FWOS:000550823500081","View Full Record in Web of Science")</f>
        <v/>
      </c>
    </row>
    <row r="709">
      <c r="A709" t="inlineStr">
        <is>
          <t>J</t>
        </is>
      </c>
      <c r="B709" t="inlineStr">
        <is>
          <t>Niu, Q; Wu, WX; Shen, J; Huang, JX; Zhou, QL</t>
        </is>
      </c>
      <c r="F709" t="inlineStr">
        <is>
          <t>Niu, Qiang; Wu, Wanxian; Shen, Jie; Huang, Jiaxin; Zhou, Qiling</t>
        </is>
      </c>
      <c r="J709" t="inlineStr">
        <is>
          <t>INTERNATIONAL JOURNAL OF ENVIRONMENTAL RESEARCH AND PUBLIC HEALTH</t>
        </is>
      </c>
      <c r="M709" t="inlineStr">
        <is>
          <t>English</t>
        </is>
      </c>
      <c r="N709" t="inlineStr">
        <is>
          <t>Article</t>
        </is>
      </c>
      <c r="T709" t="inlineStr">
        <is>
          <t>Relationship between Built Environment and COVID-19 Dispersal Based on Age Stratification: A Case Study of Wuhan</t>
        </is>
      </c>
      <c r="U709" t="inlineStr">
        <is>
          <t>COVID-19; built environment; young and middle-aged; elderly; Wuhan</t>
        </is>
      </c>
      <c r="W709" t="inlineStr">
        <is>
          <t>The outbreak of COVID-19 (coronavirus disease 2019) has become the focus of attention in the field of urban geography. Built environment, such as the layout of public spaces like transportation hubs and urban open spaces, is an important factor affecting the spread of the epidemic. However, due to the different behavior patterns of different age groups, the intensity and frequency of their use of various built environment spaces may vary. Based on this, we selected patients that were infected, with a non-manipulated time period, and the classification of human behavior patterns; we then conducted a regression analysis study on the spatial distribution and building environment of these COVID-19 patients. The results showed that the spatial distribution of young and middle-aged patients (18-59 years old) was more homogeneous, while the spatial distribution of elderly patients (60 years old and above) had a strong clustering characteristic. Moreover, the significant built environment factors exhibited in the two populations were extremely different. More diverse urban facilities and public spaces exhibited influential properties for older patients, while middle-aged and young adults were more influenced by commuting facilities. It can be said that the built environment shows different influences and mechanisms on the transmission of respiratory infectious diseases in different populations. Therefore, the results of this paper can inform decision makers who expect to reduce the occurrence of urban respiratory infectious diseases by improving the urban built environment.</t>
        </is>
      </c>
      <c r="X709" t="inlineStr">
        <is>
          <t>[Niu, Qiang; Wu, Wanxian] Wuhan Univ, Sch Urban Design, Wuhan 430072, Peoples R China; [Shen, Jie; Huang, Jiaxin] Wuhan Univ Sci &amp; Technol, Sch Urban Construct, Wuhan 430072, Peoples R China; [Zhou, Qiling] Chongqing Univ, Sch Foreign Languages &amp; Cultures, Chongqing 400044, Peoples R China</t>
        </is>
      </c>
      <c r="Y709" t="inlineStr">
        <is>
          <t>Wuhan University; Wuhan University of Science &amp; Technology; Chongqing University</t>
        </is>
      </c>
      <c r="Z709" t="inlineStr">
        <is>
          <t>Shen, J (corresponding author), Wuhan Univ Sci &amp; Technol, Sch Urban Construct, Wuhan 430072, Peoples R China.</t>
        </is>
      </c>
      <c r="AA709" t="inlineStr">
        <is>
          <t>niuqiang@whu.edu.cn; 2020282090084@whu.edu.cn; shenjie@wust.edu.cn; huangjiaxin@wust.edu.cn; 20190755@cqu.edu.cn</t>
        </is>
      </c>
      <c r="AC709" t="inlineStr">
        <is>
          <t>Shen, Jie/0000-0003-3442-8913; huang, jiaxin/0000-0002-5890-4710</t>
        </is>
      </c>
      <c r="AD709" t="inlineStr">
        <is>
          <t>National Natural Science Foundation of China [51308422, 51778503]</t>
        </is>
      </c>
      <c r="AE709" t="inlineStr">
        <is>
          <t>National Natural Science Foundation of China(National Natural Science Foundation of China (NSFC))</t>
        </is>
      </c>
      <c r="AF709" t="inlineStr">
        <is>
          <t>This research was funded by National Natural Science Foundation of China, grant number 51308422 and 51778503.</t>
        </is>
      </c>
      <c r="AH709" t="n">
        <v>40</v>
      </c>
      <c r="AI709" t="n">
        <v>7</v>
      </c>
      <c r="AJ709" t="n">
        <v>7</v>
      </c>
      <c r="AK709" t="n">
        <v>4</v>
      </c>
      <c r="AL709" t="n">
        <v>60</v>
      </c>
      <c r="AM709" t="inlineStr">
        <is>
          <t>MDPI</t>
        </is>
      </c>
      <c r="AN709" t="inlineStr">
        <is>
          <t>BASEL</t>
        </is>
      </c>
      <c r="AO709" t="inlineStr">
        <is>
          <t>ST ALBAN-ANLAGE 66, CH-4052 BASEL, SWITZERLAND</t>
        </is>
      </c>
      <c r="AQ709" t="inlineStr">
        <is>
          <t>1660-4601</t>
        </is>
      </c>
      <c r="AS709" t="inlineStr">
        <is>
          <t>INT J ENV RES PUB HE</t>
        </is>
      </c>
      <c r="AT709" t="inlineStr">
        <is>
          <t>Int. J. Environ. Res. Public Health</t>
        </is>
      </c>
      <c r="AU709" t="inlineStr">
        <is>
          <t>JUL</t>
        </is>
      </c>
      <c r="AV709" t="n">
        <v>2021</v>
      </c>
      <c r="AW709" t="n">
        <v>18</v>
      </c>
      <c r="AX709" t="n">
        <v>14</v>
      </c>
      <c r="BE709" t="n">
        <v>7563</v>
      </c>
      <c r="BF709" t="inlineStr">
        <is>
          <t>10.3390/ijerph18147563</t>
        </is>
      </c>
      <c r="BG709">
        <f>HYPERLINK("http://dx.doi.org/10.3390/ijerph18147563","http://dx.doi.org/10.3390/ijerph18147563")</f>
        <v/>
      </c>
      <c r="BJ709" t="n">
        <v>17</v>
      </c>
      <c r="BK709" t="inlineStr">
        <is>
          <t>Environmental Sciences; Public, Environmental &amp; Occupational Health</t>
        </is>
      </c>
      <c r="BL709" t="inlineStr">
        <is>
          <t>Science Citation Index Expanded (SCI-EXPANDED); Social Science Citation Index (SSCI)</t>
        </is>
      </c>
      <c r="BM709" t="inlineStr">
        <is>
          <t>Environmental Sciences &amp; Ecology; Public, Environmental &amp; Occupational Health</t>
        </is>
      </c>
      <c r="BN709" t="inlineStr">
        <is>
          <t>TN5GC</t>
        </is>
      </c>
      <c r="BO709" t="n">
        <v>34300014</v>
      </c>
      <c r="BP709" t="inlineStr">
        <is>
          <t>Green Published, gold</t>
        </is>
      </c>
      <c r="BS709" t="inlineStr">
        <is>
          <t>2023-10-26</t>
        </is>
      </c>
      <c r="BT709" t="inlineStr">
        <is>
          <t>WOS:000676261800001</t>
        </is>
      </c>
      <c r="BU709">
        <f>HYPERLINK("https%3A%2F%2Fwww.webofscience.com%2Fwos%2Fwoscc%2Ffull-record%2FWOS:000676261800001","View Full Record in Web of Science")</f>
        <v/>
      </c>
    </row>
    <row r="710">
      <c r="A710" t="inlineStr">
        <is>
          <t>J</t>
        </is>
      </c>
      <c r="B710" t="inlineStr">
        <is>
          <t>Murphy, M; Badland, H; Jordan, H; Koohsari, MJ; Giles-Corti, B</t>
        </is>
      </c>
      <c r="F710" t="inlineStr">
        <is>
          <t>Murphy, Maureen; Badland, Hannah; Jordan, Helen; Koohsari, Mohammad Javad; Giles-Corti, Billie</t>
        </is>
      </c>
      <c r="J710" t="inlineStr">
        <is>
          <t>INTERNATIONAL JOURNAL OF ENVIRONMENTAL RESEARCH AND PUBLIC HEALTH</t>
        </is>
      </c>
      <c r="M710" t="inlineStr">
        <is>
          <t>English</t>
        </is>
      </c>
      <c r="N710" t="inlineStr">
        <is>
          <t>Article</t>
        </is>
      </c>
      <c r="T710" t="inlineStr">
        <is>
          <t>Local Food Environments, Suburban Development, and BMI: A Mixed Methods Study</t>
        </is>
      </c>
      <c r="U710" t="inlineStr">
        <is>
          <t>food environment; urban planning policy; obesity; mixed methods; cities; urban health</t>
        </is>
      </c>
      <c r="V710" t="inlineStr">
        <is>
          <t>BODY-MASS INDEX; UNITED-STATES; NEIGHBORHOOD CHARACTERISTICS; OBESOGENIC ENVIRONMENTS; BUILT ENVIRONMENT; POPULATION HEALTH; PHYSICAL-ACTIVITY; TAKEAWAY FOOD; URBAN DESIGN; OBESITY</t>
        </is>
      </c>
      <c r="W710" t="inlineStr">
        <is>
          <t>More than half the world's population now live in urban settlements. Worldwide, cities are expanding at their fringe to accommodate population growth. Low-density residential development, urban sprawl, and car dependency are common, contributing to physical inactivity and obesity. However, urban design and planning can modify urban form and enhance health by improving access to healthy food, public transport, and services. This study used a sequential mixed methods approach to investigate associations between food outlet access and body mass index (BMI) across urban-growth and established areas of Melbourne, Australia, and identify factors that influence local food environments. Population survey data for 3141 adults were analyzed to examine associations, and 27 interviews with government, non-government, and private sector stakeholders were conducted to contextualize results. Fast food density was positively associated with BMI in established areas and negatively associated in urban-growth areas. Interrelated challenges of car dependency, poor public transport, and low-density development hampered healthy food access. This study showed how patterns of suburban development influence local food environments and health outcomes in an urbanized city context and provides insights for other rapidly growing cities. More nuanced understandings of the differential effect of food environments within cities have potential to guide intra-city planning for improving health and reducing inequities.</t>
        </is>
      </c>
      <c r="X710" t="inlineStr">
        <is>
          <t>[Murphy, Maureen] Univ Melbourne, Ctr Hlth Equ, Melbourne, Vic 3010, Australia; [Badland, Hannah; Giles-Corti, Billie] RMIT Univ, Ctr Urban Res, Melbourne, Vic 3000, Australia; [Jordan, Helen] Univ Melbourne, Ctr Hlth Policy, Melbourne, Vic 3010, Australia; [Koohsari, Mohammad Javad] Waseda Univ, Fac Sport Sci, Saitama 3591192, Japan; [Koohsari, Mohammad Javad] Baker Heart &amp; Diabet Inst, Behav Epidemiol Lab, Melbourne, Vic 3004, Australia; [Koohsari, Mohammad Javad] Australian Catholic Univ, Mary MacKillop Inst Hlth Res, Melbourne, Vic 3000, Australia</t>
        </is>
      </c>
      <c r="Y710" t="inlineStr">
        <is>
          <t>University of Melbourne; Royal Melbourne Institute of Technology (RMIT); University of Melbourne; Waseda University; Australian Catholic University</t>
        </is>
      </c>
      <c r="Z710" t="inlineStr">
        <is>
          <t>Murphy, M (corresponding author), Univ Melbourne, Ctr Hlth Equ, Melbourne, Vic 3010, Australia.</t>
        </is>
      </c>
      <c r="AA710" t="inlineStr">
        <is>
          <t>maureenml@student.unimelb.edu.au; hannah.badland@rmit.edu.au; h.jordan@unimelb.edu.au; javad.koohsari@baker.edu.au; billie.giles-corti@rmit.edu.au</t>
        </is>
      </c>
      <c r="AB710" t="inlineStr">
        <is>
          <t>Giles-Corti, Billie/Y-3203-2019; Murphy, Maureen/K-5525-2016; Koohsari, Javad/A-4613-2009; Badland, Hannah/AAY-3329-2021</t>
        </is>
      </c>
      <c r="AC710" t="inlineStr">
        <is>
          <t>Murphy, Maureen/0000-0002-9978-2406; Koohsari, Javad/0000-0001-9384-5456; Badland, Hannah/0000-0002-8936-2715; Giles-Corti, Billie/0000-0003-0102-0225</t>
        </is>
      </c>
      <c r="AD710" t="inlineStr">
        <is>
          <t>National Health and Medical Research Council (NHMRC) Centre for Excellence in Healthy Liveable Communities [1061404]; Australian Government Research Training Program Scholarship; RMIT University; JSPS Postdoctoral Fellowship for Research in Japan [17716]; NHMRC Senior Principal Research Fellowship [1107672]</t>
        </is>
      </c>
      <c r="AE710" t="inlineStr">
        <is>
          <t>National Health and Medical Research Council (NHMRC) Centre for Excellence in Healthy Liveable Communities(National Health and Medical Research Council (NHMRC) of Australia); Australian Government Research Training Program Scholarship(Australian GovernmentDepartment of Industry, Innovation and Science); RMIT University; JSPS Postdoctoral Fellowship for Research in Japan; NHMRC Senior Principal Research Fellowship(National Health and Medical Research Council (NHMRC) of Australia)</t>
        </is>
      </c>
      <c r="AF710" t="inlineStr">
        <is>
          <t>This work was supported by the National Health and Medical Research Council (NHMRC) Centre for Excellence in Healthy Liveable Communities (grant number 1061404). M.M. is supported by the Australian Government Research Training Program Scholarship; H.B. is supported by an RMIT University Vice Chancellor's Senior Research Fellowship; M.J.K. is supported by a JSPS Postdoctoral Fellowship for Research in Japan (grant number 17716); and B.G.-C. is supported by NHMRC Senior Principal Research Fellowship (grant number 1107672). The NHMRC had no role in the design, analysis, or writing of this article.</t>
        </is>
      </c>
      <c r="AH710" t="n">
        <v>81</v>
      </c>
      <c r="AI710" t="n">
        <v>18</v>
      </c>
      <c r="AJ710" t="n">
        <v>18</v>
      </c>
      <c r="AK710" t="n">
        <v>3</v>
      </c>
      <c r="AL710" t="n">
        <v>21</v>
      </c>
      <c r="AM710" t="inlineStr">
        <is>
          <t>MDPI</t>
        </is>
      </c>
      <c r="AN710" t="inlineStr">
        <is>
          <t>BASEL</t>
        </is>
      </c>
      <c r="AO710" t="inlineStr">
        <is>
          <t>ST ALBAN-ANLAGE 66, CH-4052 BASEL, SWITZERLAND</t>
        </is>
      </c>
      <c r="AQ710" t="inlineStr">
        <is>
          <t>1660-4601</t>
        </is>
      </c>
      <c r="AS710" t="inlineStr">
        <is>
          <t>INT J ENV RES PUB HE</t>
        </is>
      </c>
      <c r="AT710" t="inlineStr">
        <is>
          <t>Int. J. Environ. Res. Public Health</t>
        </is>
      </c>
      <c r="AU710" t="inlineStr">
        <is>
          <t>JUL</t>
        </is>
      </c>
      <c r="AV710" t="n">
        <v>2018</v>
      </c>
      <c r="AW710" t="n">
        <v>15</v>
      </c>
      <c r="AX710" t="n">
        <v>7</v>
      </c>
      <c r="BE710" t="n">
        <v>1392</v>
      </c>
      <c r="BF710" t="inlineStr">
        <is>
          <t>10.3390/ijerph15071392</t>
        </is>
      </c>
      <c r="BG710">
        <f>HYPERLINK("http://dx.doi.org/10.3390/ijerph15071392","http://dx.doi.org/10.3390/ijerph15071392")</f>
        <v/>
      </c>
      <c r="BJ710" t="n">
        <v>19</v>
      </c>
      <c r="BK710" t="inlineStr">
        <is>
          <t>Environmental Sciences; Public, Environmental &amp; Occupational Health</t>
        </is>
      </c>
      <c r="BL710" t="inlineStr">
        <is>
          <t>Science Citation Index Expanded (SCI-EXPANDED); Social Science Citation Index (SSCI)</t>
        </is>
      </c>
      <c r="BM710" t="inlineStr">
        <is>
          <t>Environmental Sciences &amp; Ecology; Public, Environmental &amp; Occupational Health</t>
        </is>
      </c>
      <c r="BN710" t="inlineStr">
        <is>
          <t>GU7XC</t>
        </is>
      </c>
      <c r="BO710" t="n">
        <v>30004462</v>
      </c>
      <c r="BP710" t="inlineStr">
        <is>
          <t>Green Submitted, gold, Green Published</t>
        </is>
      </c>
      <c r="BS710" t="inlineStr">
        <is>
          <t>2023-10-26</t>
        </is>
      </c>
      <c r="BT710" t="inlineStr">
        <is>
          <t>WOS:000445543500098</t>
        </is>
      </c>
      <c r="BU710">
        <f>HYPERLINK("https%3A%2F%2Fwww.webofscience.com%2Fwos%2Fwoscc%2Ffull-record%2FWOS:000445543500098","View Full Record in Web of Science")</f>
        <v/>
      </c>
    </row>
    <row r="711">
      <c r="A711" t="inlineStr">
        <is>
          <t>J</t>
        </is>
      </c>
      <c r="B711" t="inlineStr">
        <is>
          <t>Mann, N; Kumar, A; Kumar, S; Chauhan, RP</t>
        </is>
      </c>
      <c r="F711" t="inlineStr">
        <is>
          <t>Mann, Nisha; Kumar, Amit; Kumar, Sushil; Chauhan, R. P.</t>
        </is>
      </c>
      <c r="J711" t="inlineStr">
        <is>
          <t>RADIATION PROTECTION DOSIMETRY</t>
        </is>
      </c>
      <c r="M711" t="inlineStr">
        <is>
          <t>English</t>
        </is>
      </c>
      <c r="N711" t="inlineStr">
        <is>
          <t>Article; Proceedings Paper</t>
        </is>
      </c>
      <c r="O711" t="inlineStr">
        <is>
          <t>1st National Conference on Radiation Awareness and Detection in Natural Environment</t>
        </is>
      </c>
      <c r="P711" t="inlineStr">
        <is>
          <t>JUN 15-17, 2015</t>
        </is>
      </c>
      <c r="Q711" t="inlineStr">
        <is>
          <t>Tehri Garhwal, INDIA</t>
        </is>
      </c>
      <c r="T711" t="inlineStr">
        <is>
          <t>MEASUREMENT OF INDOOR RADON-THORON IN AIR AND EXHALATION FROM SOIL IN THE ENVIRONMENT OF WESTERN HARYANA, INDIA</t>
        </is>
      </c>
      <c r="V711" t="inlineStr">
        <is>
          <t>BUILDING-MATERIALS; EXPOSURE</t>
        </is>
      </c>
      <c r="W711" t="inlineStr">
        <is>
          <t>Measurement of indoor radon and thoron is important because the inhalation of radon-thoron and their daughters contributes more than 50 % of the total dose from natural sources. One of the important parameters to find out the contribution of soil and building materials towards indoor radon is radon exhalation rates, which can be used for estimation of indoor radon levels. The indoor radon and thoron levels from the air and radon exhalation rates from soil samples collected from two districts (Hisar and Fatehabad) of Western Haryana are measured using pin-hole-based radon-thoron dosimeter and LR-115 solid-state nuclear track detector by canister technique. The results show that the indoor radon and thoron levels from Hisar district varied from 11 to 112 and 11 to 80 Bq m(-3), while for Fatehabad district from 5 to 24 and 59 to 105 Bq m(-3), respectively, in summer season. In winter season, indoor radon and thoron levels from Hisar district varied from 15 to 43 and 32 to 102 Bq m(-3), while for Fatehabad district from 18 to 31 and 11 to 80 Bq m(-3), respectively. The indoor radon levels of 95 % locations lie well below the limit recommended by International Commission of Radiation Protection, 2011. The radon mass exhalation rate varied from 6 to 56 mBq kg(-1) h(-1). The radon mass exhalation rates from the soil samples were lower than the worldwide average, i.e. 56 mBq kg(-1) h(-1). There exists a poor correlation between indoor radon and exhalation rates. More investigations of measurement of radionuclide contents from rock and stone of study area can improve the understanding.</t>
        </is>
      </c>
      <c r="X711" t="inlineStr">
        <is>
          <t>[Mann, Nisha; Kumar, Sushil] Chaudhary Devilal Univ, Dept Phys, Sirsa, India; [Kumar, Amit; Chauhan, R. P.] Natl Inst Technol, Dept Phys, Kurukshetra, Haryana, India</t>
        </is>
      </c>
      <c r="Y711" t="inlineStr">
        <is>
          <t>Chaudhary Devi Lal University; National Institute of Technology (NIT System); National Institute of Technology Kurukshetra</t>
        </is>
      </c>
      <c r="Z711" t="inlineStr">
        <is>
          <t>Chauhan, RP (corresponding author), Natl Inst Technol, Dept Phys, Kurukshetra, Haryana, India.</t>
        </is>
      </c>
      <c r="AA711" t="inlineStr">
        <is>
          <t>chauhanrpc@gmail.com</t>
        </is>
      </c>
      <c r="AH711" t="n">
        <v>14</v>
      </c>
      <c r="AI711" t="n">
        <v>8</v>
      </c>
      <c r="AJ711" t="n">
        <v>9</v>
      </c>
      <c r="AK711" t="n">
        <v>0</v>
      </c>
      <c r="AL711" t="n">
        <v>5</v>
      </c>
      <c r="AM711" t="inlineStr">
        <is>
          <t>OXFORD UNIV PRESS</t>
        </is>
      </c>
      <c r="AN711" t="inlineStr">
        <is>
          <t>OXFORD</t>
        </is>
      </c>
      <c r="AO711" t="inlineStr">
        <is>
          <t>GREAT CLARENDON ST, OXFORD OX2 6DP, ENGLAND</t>
        </is>
      </c>
      <c r="AP711" t="inlineStr">
        <is>
          <t>0144-8420</t>
        </is>
      </c>
      <c r="AQ711" t="inlineStr">
        <is>
          <t>1742-3406</t>
        </is>
      </c>
      <c r="AS711" t="inlineStr">
        <is>
          <t>RADIAT PROT DOSIM</t>
        </is>
      </c>
      <c r="AT711" t="inlineStr">
        <is>
          <t>Radiat. Prot. Dosim.</t>
        </is>
      </c>
      <c r="AU711" t="inlineStr">
        <is>
          <t>OCT</t>
        </is>
      </c>
      <c r="AV711" t="n">
        <v>2016</v>
      </c>
      <c r="AW711" t="n">
        <v>171</v>
      </c>
      <c r="AX711" t="n">
        <v>2</v>
      </c>
      <c r="BC711" t="n">
        <v>248</v>
      </c>
      <c r="BD711" t="n">
        <v>253</v>
      </c>
      <c r="BF711" t="inlineStr">
        <is>
          <t>10.1093/rpd/ncw068</t>
        </is>
      </c>
      <c r="BG711">
        <f>HYPERLINK("http://dx.doi.org/10.1093/rpd/ncw068","http://dx.doi.org/10.1093/rpd/ncw068")</f>
        <v/>
      </c>
      <c r="BJ711" t="n">
        <v>6</v>
      </c>
      <c r="BK711" t="inlineStr">
        <is>
          <t>Environmental Sciences; Public, Environmental &amp; Occupational Health; Nuclear Science &amp; Technology; Radiology, Nuclear Medicine &amp; Medical Imaging</t>
        </is>
      </c>
      <c r="BL711" t="inlineStr">
        <is>
          <t>Science Citation Index Expanded (SCI-EXPANDED); Conference Proceedings Citation Index - Science (CPCI-S)</t>
        </is>
      </c>
      <c r="BM711" t="inlineStr">
        <is>
          <t>Environmental Sciences &amp; Ecology; Public, Environmental &amp; Occupational Health; Nuclear Science &amp; Technology; Radiology, Nuclear Medicine &amp; Medical Imaging</t>
        </is>
      </c>
      <c r="BN711" t="inlineStr">
        <is>
          <t>EC3LN</t>
        </is>
      </c>
      <c r="BO711" t="n">
        <v>27044247</v>
      </c>
      <c r="BS711" t="inlineStr">
        <is>
          <t>2023-10-26</t>
        </is>
      </c>
      <c r="BT711" t="inlineStr">
        <is>
          <t>WOS:000388027700018</t>
        </is>
      </c>
      <c r="BU711">
        <f>HYPERLINK("https%3A%2F%2Fwww.webofscience.com%2Fwos%2Fwoscc%2Ffull-record%2FWOS:000388027700018","View Full Record in Web of Science")</f>
        <v/>
      </c>
    </row>
    <row r="712">
      <c r="A712" t="inlineStr">
        <is>
          <t>J</t>
        </is>
      </c>
      <c r="B712" t="inlineStr">
        <is>
          <t>Wang, SQ; Qian, H; Sun, ZK; Cao, GQ; Ding, P; Zheng, XH</t>
        </is>
      </c>
      <c r="F712" t="inlineStr">
        <is>
          <t>Wang, Shengqi; Qian, Hua; Sun, Zongke; Cao, Guoqing; Ding, Pei; Zheng, Xiaohong</t>
        </is>
      </c>
      <c r="J712" t="inlineStr">
        <is>
          <t>SCIENCE OF THE TOTAL ENVIRONMENT</t>
        </is>
      </c>
      <c r="M712" t="inlineStr">
        <is>
          <t>English</t>
        </is>
      </c>
      <c r="N712" t="inlineStr">
        <is>
          <t>Article</t>
        </is>
      </c>
      <c r="T712" t="inlineStr">
        <is>
          <t>Comparison of airborne bacteria and fungi in different built environments in selected cities in five climate zones of China</t>
        </is>
      </c>
      <c r="U712" t="inlineStr">
        <is>
          <t>Bioaerosol; Building type; Human activity; Air exchange rate</t>
        </is>
      </c>
      <c r="V712" t="inlineStr">
        <is>
          <t>INDOOR AIR-QUALITY; BIOAEROSOLS; HEALTH; EXPOSURE</t>
        </is>
      </c>
      <c r="W712" t="inlineStr">
        <is>
          <t>Bioaerosols in different built environments and climate zones have unique effects on occupant health, which demands comparisons of their characteristics to make targeted control measures. This study investigated bioaerosol distribution in five different climate zones across China with four building types (n = 686 rooms). The results showed significant disparities in bioaerosol concentrations among various buildings and climate zones. The bacterial concentrations in residences (536 +/- 647 CFU/m3) were significantly higher than in schools, offices, and hospitals owing to different built environments and human activities. The highest mean value of fungal concentration was found in schools (826 +/- 955 CFU/m3) due to their greater landscaping area. The bacterial concentrations in the cold zone (307 +/- 506 CFU/m3) and the hot summer and cold winter zone (214 +/- 180 CFU/m3) were significantly lower than in the other three climate zones. The fungal concentrations in the severe cold zone (709 +/- 900 CFU/m3) and the hot summer and warm winter zone (1094 +/- 832 CFU/m3) were significantly higher than in the other three climate zones; the lower the indoor temperature (T) and the higher the air exchange rate, the lower the indoor airborne bacterial concen-tration; the lower the relative humidity (RH), the lower the indoor airborne fungi. In addition, a higher air exchange rate could also reduce the effect of occupant density on indoor bacterial concentration. The results of this study provide valuable data on bioaerosol profiles in various built environments and climate zones and highlight the significance of T, RH, and air exchange rate on indoor bioaerosol concentrations.</t>
        </is>
      </c>
      <c r="X712" t="inlineStr">
        <is>
          <t>[Wang, Shengqi; Qian, Hua; Zheng, Xiaohong] Southeast Univ, Sch Energy &amp; Environm, Nanjing 210096, Peoples R China; [Sun, Zongke; Ding, Pei] Chinese Ctr Dis Control &amp; Prevent, Natl Inst Environm Hlth, Dept Environm Microbiol, Beijing 100021, Peoples R China; [Cao, Guoqing] China Acad Bldg Res, Inst Bldg Environm &amp; Energy Efficiency, Beijing, Peoples R China</t>
        </is>
      </c>
      <c r="Y712" t="inlineStr">
        <is>
          <t>Southeast University - China; Chinese Center for Disease Control &amp; Prevention; National Institute of Environmental Health, Chinese Center for Disease Control &amp; Prevention</t>
        </is>
      </c>
      <c r="Z712" t="inlineStr">
        <is>
          <t>Qian, H (corresponding author), Southeast Univ, Sch Energy &amp; Environm, Nanjing 210096, Peoples R China.</t>
        </is>
      </c>
      <c r="AA712" t="inlineStr">
        <is>
          <t>qianh@seu.edu.cn</t>
        </is>
      </c>
      <c r="AB712" t="inlineStr">
        <is>
          <t>QIAN, Hua/A-1410-2009</t>
        </is>
      </c>
      <c r="AC712" t="inlineStr">
        <is>
          <t>QIAN, Hua/0000-0002-7237-7806</t>
        </is>
      </c>
      <c r="AD712" t="inlineStr">
        <is>
          <t>Jiangsu Province Green Building Devel-opment Project [2021ZD24]; National Key Research and Develop-ment Program of China [2017YFC0702800]</t>
        </is>
      </c>
      <c r="AE712" t="inlineStr">
        <is>
          <t>Jiangsu Province Green Building Devel-opment Project; National Key Research and Develop-ment Program of China</t>
        </is>
      </c>
      <c r="AF712" t="inlineStr">
        <is>
          <t>Funding This work was supported by the Jiangsu Province Green Building Devel-opment Project (2021ZD24) and the National Key Research and Develop-ment Program of China (2017YFC0702800) .</t>
        </is>
      </c>
      <c r="AH712" t="n">
        <v>49</v>
      </c>
      <c r="AI712" t="n">
        <v>2</v>
      </c>
      <c r="AJ712" t="n">
        <v>2</v>
      </c>
      <c r="AK712" t="n">
        <v>15</v>
      </c>
      <c r="AL712" t="n">
        <v>60</v>
      </c>
      <c r="AM712" t="inlineStr">
        <is>
          <t>ELSEVIER</t>
        </is>
      </c>
      <c r="AN712" t="inlineStr">
        <is>
          <t>AMSTERDAM</t>
        </is>
      </c>
      <c r="AO712" t="inlineStr">
        <is>
          <t>RADARWEG 29, 1043 NX AMSTERDAM, NETHERLANDS</t>
        </is>
      </c>
      <c r="AP712" t="inlineStr">
        <is>
          <t>0048-9697</t>
        </is>
      </c>
      <c r="AQ712" t="inlineStr">
        <is>
          <t>1879-1026</t>
        </is>
      </c>
      <c r="AS712" t="inlineStr">
        <is>
          <t>SCI TOTAL ENVIRON</t>
        </is>
      </c>
      <c r="AT712" t="inlineStr">
        <is>
          <t>Sci. Total Environ.</t>
        </is>
      </c>
      <c r="AU712" t="inlineStr">
        <is>
          <t>FEB 20</t>
        </is>
      </c>
      <c r="AV712" t="n">
        <v>2023</v>
      </c>
      <c r="AW712" t="n">
        <v>860</v>
      </c>
      <c r="BE712" t="n">
        <v>160445</v>
      </c>
      <c r="BF712" t="inlineStr">
        <is>
          <t>10.1016/j.scitotenv.2022.160445</t>
        </is>
      </c>
      <c r="BG712">
        <f>HYPERLINK("http://dx.doi.org/10.1016/j.scitotenv.2022.160445","http://dx.doi.org/10.1016/j.scitotenv.2022.160445")</f>
        <v/>
      </c>
      <c r="BI712" t="inlineStr">
        <is>
          <t>JAN 2023</t>
        </is>
      </c>
      <c r="BJ712" t="n">
        <v>9</v>
      </c>
      <c r="BK712" t="inlineStr">
        <is>
          <t>Environmental Sciences</t>
        </is>
      </c>
      <c r="BL712" t="inlineStr">
        <is>
          <t>Science Citation Index Expanded (SCI-EXPANDED)</t>
        </is>
      </c>
      <c r="BM712" t="inlineStr">
        <is>
          <t>Environmental Sciences &amp; Ecology</t>
        </is>
      </c>
      <c r="BN712" t="inlineStr">
        <is>
          <t>8F1LE</t>
        </is>
      </c>
      <c r="BO712" t="n">
        <v>36436636</v>
      </c>
      <c r="BS712" t="inlineStr">
        <is>
          <t>2023-10-26</t>
        </is>
      </c>
      <c r="BT712" t="inlineStr">
        <is>
          <t>WOS:000919429100001</t>
        </is>
      </c>
      <c r="BU712">
        <f>HYPERLINK("https%3A%2F%2Fwww.webofscience.com%2Fwos%2Fwoscc%2Ffull-record%2FWOS:000919429100001","View Full Record in Web of Science")</f>
        <v/>
      </c>
    </row>
    <row r="713">
      <c r="A713" t="inlineStr">
        <is>
          <t>J</t>
        </is>
      </c>
      <c r="B713" t="inlineStr">
        <is>
          <t>Radha, CH</t>
        </is>
      </c>
      <c r="F713" t="inlineStr">
        <is>
          <t>Radha, Chro Hama</t>
        </is>
      </c>
      <c r="J713" t="inlineStr">
        <is>
          <t>SUSTAINABILITY</t>
        </is>
      </c>
      <c r="M713" t="inlineStr">
        <is>
          <t>English</t>
        </is>
      </c>
      <c r="N713" t="inlineStr">
        <is>
          <t>Review</t>
        </is>
      </c>
      <c r="T713" t="inlineStr">
        <is>
          <t>Retrofitting for Improving Indoor Air Quality and Energy Efficiency in the Hospital Building</t>
        </is>
      </c>
      <c r="U713" t="inlineStr">
        <is>
          <t>green retrofitting; energy demand; healthcare buildings; indoor air quality; energy efficiency; hospital ventilation; retrofit strategies; hospital indoor environment</t>
        </is>
      </c>
      <c r="V713" t="inlineStr">
        <is>
          <t>HEALTH-CARE FACILITIES; QUANTITATIVE-ANALYSIS; SYSTEMS; DISINFECTION; OPTIMIZATION; TECHNOLOGIES; COMMUNICATION; TRANSMISSION; VENTILATION; PERFORMANCE</t>
        </is>
      </c>
      <c r="W713" t="inlineStr">
        <is>
          <t>A growing body of research shows that retrofitting practices can potentially reduce energy demand in hospital buildings and enhance indoor air quality. Yet, there is a lack of comprehensive reviews associated with green retrofitting practices in hospital buildings. This study aimed to undertake a systematic review of the past literature on retrofitting techniques used to improve indoor air quality and energy efficiency in hospital buildings, to identify barriers to its uptake, and to recommend solutions to identified challenges. For this reason, a systematic review was conducted for the published research from various academic databases. Findings showed a growing uptake of various retrofitting strategies for indoor air quality in hospital buildings. As a result, hospital management or building owners might consider addressing these challenges to facilitate the uptake and implementation of retrofitting practices in their facilities.</t>
        </is>
      </c>
      <c r="X713" t="inlineStr">
        <is>
          <t>[Radha, Chro Hama] Koya Univ, Fac Engn, Dept Architecture, Koya KOY45, Kurdistan Regio, Iraq</t>
        </is>
      </c>
      <c r="Y713" t="inlineStr">
        <is>
          <t>Koya University</t>
        </is>
      </c>
      <c r="Z713" t="inlineStr">
        <is>
          <t>Radha, CH (corresponding author), Koya Univ, Fac Engn, Dept Architecture, Koya KOY45, Kurdistan Regio, Iraq.</t>
        </is>
      </c>
      <c r="AA713" t="inlineStr">
        <is>
          <t>chro.ali@koyauniversity.org</t>
        </is>
      </c>
      <c r="AC713" t="inlineStr">
        <is>
          <t>Hama Radha, Chro Ali/0000-0002-2230-6233</t>
        </is>
      </c>
      <c r="AH713" t="n">
        <v>123</v>
      </c>
      <c r="AI713" t="n">
        <v>2</v>
      </c>
      <c r="AJ713" t="n">
        <v>2</v>
      </c>
      <c r="AK713" t="n">
        <v>19</v>
      </c>
      <c r="AL713" t="n">
        <v>24</v>
      </c>
      <c r="AM713" t="inlineStr">
        <is>
          <t>MDPI</t>
        </is>
      </c>
      <c r="AN713" t="inlineStr">
        <is>
          <t>BASEL</t>
        </is>
      </c>
      <c r="AO713" t="inlineStr">
        <is>
          <t>ST ALBAN-ANLAGE 66, CH-4052 BASEL, SWITZERLAND</t>
        </is>
      </c>
      <c r="AQ713" t="inlineStr">
        <is>
          <t>2071-1050</t>
        </is>
      </c>
      <c r="AS713" t="inlineStr">
        <is>
          <t>SUSTAINABILITY-BASEL</t>
        </is>
      </c>
      <c r="AT713" t="inlineStr">
        <is>
          <t>Sustainability</t>
        </is>
      </c>
      <c r="AU713" t="inlineStr">
        <is>
          <t>FEB</t>
        </is>
      </c>
      <c r="AV713" t="n">
        <v>2023</v>
      </c>
      <c r="AW713" t="n">
        <v>15</v>
      </c>
      <c r="AX713" t="n">
        <v>4</v>
      </c>
      <c r="BE713" t="n">
        <v>3464</v>
      </c>
      <c r="BF713" t="inlineStr">
        <is>
          <t>10.3390/su15043464</t>
        </is>
      </c>
      <c r="BG713">
        <f>HYPERLINK("http://dx.doi.org/10.3390/su15043464","http://dx.doi.org/10.3390/su15043464")</f>
        <v/>
      </c>
      <c r="BJ713" t="n">
        <v>20</v>
      </c>
      <c r="BK713" t="inlineStr">
        <is>
          <t>Green &amp; Sustainable Science &amp; Technology; Environmental Sciences; Environmental Studies</t>
        </is>
      </c>
      <c r="BL713" t="inlineStr">
        <is>
          <t>Science Citation Index Expanded (SCI-EXPANDED); Social Science Citation Index (SSCI)</t>
        </is>
      </c>
      <c r="BM713" t="inlineStr">
        <is>
          <t>Science &amp; Technology - Other Topics; Environmental Sciences &amp; Ecology</t>
        </is>
      </c>
      <c r="BN713" t="inlineStr">
        <is>
          <t>9L3NV</t>
        </is>
      </c>
      <c r="BP713" t="inlineStr">
        <is>
          <t>Green Published, gold</t>
        </is>
      </c>
      <c r="BS713" t="inlineStr">
        <is>
          <t>2023-10-26</t>
        </is>
      </c>
      <c r="BT713" t="inlineStr">
        <is>
          <t>WOS:000941460000001</t>
        </is>
      </c>
      <c r="BU713">
        <f>HYPERLINK("https%3A%2F%2Fwww.webofscience.com%2Fwos%2Fwoscc%2Ffull-record%2FWOS:000941460000001","View Full Record in Web of Science")</f>
        <v/>
      </c>
    </row>
    <row r="714">
      <c r="A714" t="inlineStr">
        <is>
          <t>J</t>
        </is>
      </c>
      <c r="B714" t="inlineStr">
        <is>
          <t>Escobedo, LE; Champion, WM; Li, N; Montoya, LD</t>
        </is>
      </c>
      <c r="F714" t="inlineStr">
        <is>
          <t>Escobedo, Luis E.; Champion, Wyatt M.; Li, Ning; Montoya, Lupita D.</t>
        </is>
      </c>
      <c r="J714" t="inlineStr">
        <is>
          <t>ATMOSPHERIC ENVIRONMENT</t>
        </is>
      </c>
      <c r="M714" t="inlineStr">
        <is>
          <t>English</t>
        </is>
      </c>
      <c r="N714" t="inlineStr">
        <is>
          <t>Article</t>
        </is>
      </c>
      <c r="T714" t="inlineStr">
        <is>
          <t>Indoor air quality in Latino homes in Boulder, Colorado</t>
        </is>
      </c>
      <c r="U714" t="inlineStr">
        <is>
          <t>Organic carbon; Indoor air quality; Latino; Endotoxin; Fine particulates; Residential</t>
        </is>
      </c>
      <c r="V714" t="inlineStr">
        <is>
          <t>PARTICULATE MATTER; FINE PARTICLES; POLLUTION; EXPOSURE; PM2.5; COOKING; DISPARITIES; ENDOTOXIN; OUTDOOR; ASTHMA</t>
        </is>
      </c>
      <c r="W714" t="inlineStr">
        <is>
          <t>Indoor concentrations of airborne pollutants can be several times higher than those found outdoors, often due to poor ventilation, overcrowding, and the contribution of indoor sources within a home. Americans spend most of their time indoors where exposure to poor indoor air quality (IAQ) can result in diminished respiratory and cardiovascular health. This study measured the indoor air quality in 30 homes of a low-income Latino community in Boulder, Colorado during the summer of 2012. Participants were administered a survey, which included questions on their health conditions and indoor air pollution sources like cigarette smoke, heating fuel, and building materials. Twenty-four hour samples of fine particulate matter (PM2.5) from the indoor air were collected in each home; ambient PM2.5 samples were collected each day as well. Concurrent air samples were collected onto 47 mm Teflo and Tissuquartz filter at each location. Teflo filters were analyzed gravimetrically to measure PM2.5 and their extracts were used to determine levels of proteins and endotoxins in the fine fraction. The Tissuquartz filters were analyzed for elemental and organic carbon content (EC/OC). Results indicated that the indoor air contained higher concentrations of PM2.5 than the ambient air, and that the levels of OC were much higher than EC in both indoor and outdoor samples. This community showed no smoking in their homes and kept furry pets indoors at very low rates; therefore, cooking is likely the primary source of indoor PM. For responders with significant exposure to PM, it appeared to be primarily from occupational environments or childhood exposure abroad. Our findings indicate that for immigrant communities such as this, it is important to consider not only their housing conditions but also the relevant prior exposures when conducting health assessments. (C) 2014 Elsevier Ltd. All rights reserved.</t>
        </is>
      </c>
      <c r="X714" t="inlineStr">
        <is>
          <t>[Escobedo, Luis E.] Baylor Univ, Dept Mech Engn, Waco, TX 76798 USA; [Champion, Wyatt M.; Montoya, Lupita D.] Univ Colorado, Civil Environm &amp; Architectural Engn Dept, Boulder, CO 80309 USA; [Li, Ning] Michigan State Univ, Dept Pathobiol &amp; Diagnost Invest, Lansing, MI USA</t>
        </is>
      </c>
      <c r="Y714" t="inlineStr">
        <is>
          <t>Baylor University; University of Colorado System; University of Colorado Boulder; Michigan State University</t>
        </is>
      </c>
      <c r="Z714" t="inlineStr">
        <is>
          <t>Montoya, LD (corresponding author), Univ Colorado, Civil Environm &amp; Architectural Engn Dept, Boulder, CO 80309 USA.</t>
        </is>
      </c>
      <c r="AA714" t="inlineStr">
        <is>
          <t>lupita.montoya@colorado.edu</t>
        </is>
      </c>
      <c r="AC714" t="inlineStr">
        <is>
          <t>Champion, Wyatt/0000-0003-3968-1811; MONTOYA, LUPITA/0000-0001-5867-4436</t>
        </is>
      </c>
      <c r="AD714" t="inlineStr">
        <is>
          <t>National Science Foundation; University of Colorado Boulder; Directorate For Engineering; Div Of Engineering Education and Centers [1263385] Funding Source: National Science Foundation</t>
        </is>
      </c>
      <c r="AE714" t="inlineStr">
        <is>
          <t>National Science Foundation(National Science Foundation (NSF)); University of Colorado Boulder; Directorate For Engineering; Div Of Engineering Education and Centers(National Science Foundation (NSF)NSF - Directorate for Engineering (ENG))</t>
        </is>
      </c>
      <c r="AF714" t="inlineStr">
        <is>
          <t>This work was supported by the National Science Foundation and the University of Colorado Boulder. Thanks to Francisco Barraza from Pontificia Universidad Catolica de Chile for his fieldwork support.</t>
        </is>
      </c>
      <c r="AH714" t="n">
        <v>43</v>
      </c>
      <c r="AI714" t="n">
        <v>18</v>
      </c>
      <c r="AJ714" t="n">
        <v>18</v>
      </c>
      <c r="AK714" t="n">
        <v>0</v>
      </c>
      <c r="AL714" t="n">
        <v>50</v>
      </c>
      <c r="AM714" t="inlineStr">
        <is>
          <t>PERGAMON-ELSEVIER SCIENCE LTD</t>
        </is>
      </c>
      <c r="AN714" t="inlineStr">
        <is>
          <t>OXFORD</t>
        </is>
      </c>
      <c r="AO714" t="inlineStr">
        <is>
          <t>THE BOULEVARD, LANGFORD LANE, KIDLINGTON, OXFORD OX5 1GB, ENGLAND</t>
        </is>
      </c>
      <c r="AP714" t="inlineStr">
        <is>
          <t>1352-2310</t>
        </is>
      </c>
      <c r="AQ714" t="inlineStr">
        <is>
          <t>1873-2844</t>
        </is>
      </c>
      <c r="AS714" t="inlineStr">
        <is>
          <t>ATMOS ENVIRON</t>
        </is>
      </c>
      <c r="AT714" t="inlineStr">
        <is>
          <t>Atmos. Environ.</t>
        </is>
      </c>
      <c r="AU714" t="inlineStr">
        <is>
          <t>AUG</t>
        </is>
      </c>
      <c r="AV714" t="n">
        <v>2014</v>
      </c>
      <c r="AW714" t="n">
        <v>92</v>
      </c>
      <c r="BC714" t="n">
        <v>69</v>
      </c>
      <c r="BD714" t="n">
        <v>75</v>
      </c>
      <c r="BF714" t="inlineStr">
        <is>
          <t>10.1016/j.atmosenv.2014.03.043</t>
        </is>
      </c>
      <c r="BG714">
        <f>HYPERLINK("http://dx.doi.org/10.1016/j.atmosenv.2014.03.043","http://dx.doi.org/10.1016/j.atmosenv.2014.03.043")</f>
        <v/>
      </c>
      <c r="BJ714" t="n">
        <v>7</v>
      </c>
      <c r="BK714" t="inlineStr">
        <is>
          <t>Environmental Sciences; Meteorology &amp; Atmospheric Sciences</t>
        </is>
      </c>
      <c r="BL714" t="inlineStr">
        <is>
          <t>Science Citation Index Expanded (SCI-EXPANDED)</t>
        </is>
      </c>
      <c r="BM714" t="inlineStr">
        <is>
          <t>Environmental Sciences &amp; Ecology; Meteorology &amp; Atmospheric Sciences</t>
        </is>
      </c>
      <c r="BN714" t="inlineStr">
        <is>
          <t>AL0IO</t>
        </is>
      </c>
      <c r="BS714" t="inlineStr">
        <is>
          <t>2023-10-26</t>
        </is>
      </c>
      <c r="BT714" t="inlineStr">
        <is>
          <t>WOS:000338810800008</t>
        </is>
      </c>
      <c r="BU714">
        <f>HYPERLINK("https%3A%2F%2Fwww.webofscience.com%2Fwos%2Fwoscc%2Ffull-record%2FWOS:000338810800008","View Full Record in Web of Science")</f>
        <v/>
      </c>
    </row>
    <row r="715">
      <c r="A715" t="inlineStr">
        <is>
          <t>J</t>
        </is>
      </c>
      <c r="B715" t="inlineStr">
        <is>
          <t>Van Holle, V; McNaughton, SA; Teychenne, M; Timperio, A; Van Dyck, D; De Bourdeaudhuij, I; Salmon, J</t>
        </is>
      </c>
      <c r="F715" t="inlineStr">
        <is>
          <t>Van Holle, Veerle; McNaughton, Sarah A.; Teychenne, Megan; Timperio, Anna; Van Dyck, Delfien; De Bourdeaudhuij, Ilse; Salmon, Jo</t>
        </is>
      </c>
      <c r="J715" t="inlineStr">
        <is>
          <t>INTERNATIONAL JOURNAL OF ENVIRONMENTAL RESEARCH AND PUBLIC HEALTH</t>
        </is>
      </c>
      <c r="M715" t="inlineStr">
        <is>
          <t>English</t>
        </is>
      </c>
      <c r="N715" t="inlineStr">
        <is>
          <t>Article</t>
        </is>
      </c>
      <c r="T715" t="inlineStr">
        <is>
          <t>Social and Physical Environmental Correlates of Adults' Weekend Sitting Time and Moderating Effects of Retirement Status and Physical Health</t>
        </is>
      </c>
      <c r="U715" t="inlineStr">
        <is>
          <t>sedentary behaviour; proximal social factors; social environment; physical environment; neighbourhood; retirement; health; ageing</t>
        </is>
      </c>
      <c r="V715" t="inlineStr">
        <is>
          <t>TELEVISION VIEWING TIME; SEDENTARY BEHAVIOR; NEIGHBORHOOD WALKABILITY; ACTIVITY QUESTIONNAIRE; METABOLIC SYNDROME; DETERMINANTS; ASSOCIATIONS; MORTALITY; OBESITY; WOMEN</t>
        </is>
      </c>
      <c r="W715" t="inlineStr">
        <is>
          <t>Emerging research suggests that prolonged sedentary behaviour (SB) is detrimental to health. Changes in SB patterns are likely to occur during particular life stages, for example at retirement age (55-65-year-old). Evidence on socio-ecological SB correlates is scarce and inconsistent in this age group. Moreover, the influence of socio-ecological correlates may vary depending on health and retirement status. This study examined social and environment correlates of overall weekend day sitting among adults at or approaching retirement age, and moderating effects of perceived physical health and retirement status. Baseline data from the Wellbeing, Eating and Exercise for a Long Life study in 2839 Australian adults (55-65-year-old) were analysed. Participants self-reported proximal social factors, neighbourhood social and physical environment, physical health and retirement status. MLwiN multilevel regression analyses were conducted. In the multivariable model, only social support from friends/colleagues to discourage sitting (B = -0.891; p = 0.036) was associated with overall weekend day sitting. No moderation of retirement status, nor physical health were found in the multivariable results. Results from this study suggest the importance of social factors in relation to weekend day sitting among 55-65-year-old adults. Health promotion initiatives in this age group should pay special attention to enhancing social interaction opportunities. Moreover, findings suggest that SB-specific correlates may need to be examined in future research.</t>
        </is>
      </c>
      <c r="X715" t="inlineStr">
        <is>
          <t>[Van Holle, Veerle; Van Dyck, Delfien; De Bourdeaudhuij, Ilse] Univ Ghent, Fac Med &amp; Hlth Sci, Dept Movement &amp; Sport Sci, B-9000 Ghent, Belgium; [Van Holle, Veerle; Van Dyck, Delfien] Res Fdn Flanders FWO, B-1000 Brussels, Belgium; [McNaughton, Sarah A.; Teychenne, Megan; Timperio, Anna; Salmon, Jo] Deakin Univ, Ctr Phys Act &amp; Nutr Res, Sch Exercise &amp; Nutr Sci, Burwood, Vic 3125, Australia</t>
        </is>
      </c>
      <c r="Y715" t="inlineStr">
        <is>
          <t>Ghent University; Deakin University</t>
        </is>
      </c>
      <c r="Z715" t="inlineStr">
        <is>
          <t>Van Holle, V (corresponding author), Univ Ghent, Fac Med &amp; Hlth Sci, Dept Movement &amp; Sport Sci, Watersportlaan 2, B-9000 Ghent, Belgium.</t>
        </is>
      </c>
      <c r="AA715" t="inlineStr">
        <is>
          <t>veerle.vanholle@ugent.be; sarah.mcnaughton@deakin.edu.au; megan.teychenne@deakin.edu.au; anna.timperio@deakin.edu.au; delfien.vandyck@ugent.be; ilse.debourdeaudhuij@ugent.be; jo.salmon@deakin.edu.au</t>
        </is>
      </c>
      <c r="AB715" t="inlineStr">
        <is>
          <t>Salmon, Jo/X-2630-2019; Timperio, Anna F/A-3086-2013; Salmon, Jo/C-1226-2009; McNaughton, Sarah A/B-2075-2012; Van Dyck, Delfien/AAO-8981-2020; De+Bourdeaudhuij, Ilse/AAC-5528-2019</t>
        </is>
      </c>
      <c r="AC715" t="inlineStr">
        <is>
          <t>Salmon, Jo/0000-0002-4734-6354; Timperio, Anna F/0000-0002-8773-5012; Salmon, Jo/0000-0002-4734-6354; McNaughton, Sarah A/0000-0001-5936-9820; Van Dyck, Delfien/0000-0003-1783-9075; De+Bourdeaudhuij, Ilse/0000-0001-9969-7597; Teychenne, Megan/0000-0002-7293-8255</t>
        </is>
      </c>
      <c r="AD715" t="inlineStr">
        <is>
          <t>Australian Research Council [DP1095595, FT100100581]; Diabetes Australia Research Trust; Marie Curie Actions [FP7-PEOPLE-2009-IRSES-247630]; Fund for Scientific Research Flanders; Australian Research Council Future Fellowship [FT100100581]; National Heart Foundation of Australia Future Leader Fellowship; National Health and Medical Research Council Principal Research Fellowship; Australian Research Council [DP1095595] Funding Source: Australian Research Council</t>
        </is>
      </c>
      <c r="AE715" t="inlineStr">
        <is>
          <t>Australian Research Council(Australian Research Council); Diabetes Australia Research Trust; Marie Curie Actions(European Union (EU)Marie Curie Actions); Fund for Scientific Research Flanders(FWO); Australian Research Council Future Fellowship(Australian Research Council); National Heart Foundation of Australia Future Leader Fellowship(National Heart Foundation of Australia); National Health and Medical Research Council Principal Research Fellowship(National Health and Medical Research Council (NHMRC) of Australia); Australian Research Council(Australian Research Council)</t>
        </is>
      </c>
      <c r="AF715" t="inlineStr">
        <is>
          <t>This research was supported by the Australian Research Council (DP1095595, FT100100581) and the Diabetes Australia Research Trust. Analyses for the current paper were part of the MeMo International Exchange programme funded under Marie Curie Actions (FP7-PEOPLE-2009-IRSES-247630). The authors were supported by: Fund for Scientific Research Flanders (Veerle Van Holle and Delfien Van Dyck), Australian Research Council Future Fellowship (Sarah A. McNaughton; FT100100581), National Heart Foundation of Australia Future Leader Fellowship (Anna Timperio), National Health and Medical Research Council Principal Research Fellowship (JoSalmon).</t>
        </is>
      </c>
      <c r="AH715" t="n">
        <v>55</v>
      </c>
      <c r="AI715" t="n">
        <v>13</v>
      </c>
      <c r="AJ715" t="n">
        <v>13</v>
      </c>
      <c r="AK715" t="n">
        <v>0</v>
      </c>
      <c r="AL715" t="n">
        <v>25</v>
      </c>
      <c r="AM715" t="inlineStr">
        <is>
          <t>MDPI</t>
        </is>
      </c>
      <c r="AN715" t="inlineStr">
        <is>
          <t>BASEL</t>
        </is>
      </c>
      <c r="AO715" t="inlineStr">
        <is>
          <t>ST ALBAN-ANLAGE 66, CH-4052 BASEL, SWITZERLAND</t>
        </is>
      </c>
      <c r="AQ715" t="inlineStr">
        <is>
          <t>1660-4601</t>
        </is>
      </c>
      <c r="AS715" t="inlineStr">
        <is>
          <t>INT J ENV RES PUB HE</t>
        </is>
      </c>
      <c r="AT715" t="inlineStr">
        <is>
          <t>Int. J. Environ. Res. Public Health</t>
        </is>
      </c>
      <c r="AU715" t="inlineStr">
        <is>
          <t>SEP</t>
        </is>
      </c>
      <c r="AV715" t="n">
        <v>2014</v>
      </c>
      <c r="AW715" t="n">
        <v>11</v>
      </c>
      <c r="AX715" t="n">
        <v>9</v>
      </c>
      <c r="BC715" t="n">
        <v>9790</v>
      </c>
      <c r="BD715" t="n">
        <v>9810</v>
      </c>
      <c r="BF715" t="inlineStr">
        <is>
          <t>10.3390/ijerph110909790</t>
        </is>
      </c>
      <c r="BG715">
        <f>HYPERLINK("http://dx.doi.org/10.3390/ijerph110909790","http://dx.doi.org/10.3390/ijerph110909790")</f>
        <v/>
      </c>
      <c r="BJ715" t="n">
        <v>21</v>
      </c>
      <c r="BK715" t="inlineStr">
        <is>
          <t>Environmental Sciences; Public, Environmental &amp; Occupational Health</t>
        </is>
      </c>
      <c r="BL715" t="inlineStr">
        <is>
          <t>Science Citation Index Expanded (SCI-EXPANDED); Social Science Citation Index (SSCI)</t>
        </is>
      </c>
      <c r="BM715" t="inlineStr">
        <is>
          <t>Environmental Sciences &amp; Ecology; Public, Environmental &amp; Occupational Health</t>
        </is>
      </c>
      <c r="BN715" t="inlineStr">
        <is>
          <t>AP4DN</t>
        </is>
      </c>
      <c r="BO715" t="n">
        <v>25243886</v>
      </c>
      <c r="BP715" t="inlineStr">
        <is>
          <t>Green Published, Green Submitted, gold</t>
        </is>
      </c>
      <c r="BS715" t="inlineStr">
        <is>
          <t>2023-10-26</t>
        </is>
      </c>
      <c r="BT715" t="inlineStr">
        <is>
          <t>WOS:000342027500071</t>
        </is>
      </c>
      <c r="BU715">
        <f>HYPERLINK("https%3A%2F%2Fwww.webofscience.com%2Fwos%2Fwoscc%2Ffull-record%2FWOS:000342027500071","View Full Record in Web of Science")</f>
        <v/>
      </c>
    </row>
    <row r="716">
      <c r="A716" t="inlineStr">
        <is>
          <t>J</t>
        </is>
      </c>
      <c r="B716" t="inlineStr">
        <is>
          <t>Clennin, MN; Lian, M; Colabianchi, N; Kaczynski, A; Dowda, M; Pate, RR</t>
        </is>
      </c>
      <c r="F716" t="inlineStr">
        <is>
          <t>Clennin, Morgan N.; Lian, Min; Colabianchi, Natalie; Kaczynski, Andrew; Dowda, Marsha; Pate, Russell R.</t>
        </is>
      </c>
      <c r="J716" t="inlineStr">
        <is>
          <t>INTERNATIONAL JOURNAL OF ENVIRONMENTAL RESEARCH AND PUBLIC HEALTH</t>
        </is>
      </c>
      <c r="M716" t="inlineStr">
        <is>
          <t>English</t>
        </is>
      </c>
      <c r="N716" t="inlineStr">
        <is>
          <t>Article</t>
        </is>
      </c>
      <c r="T716" t="inlineStr">
        <is>
          <t>Associations among Neighborhood Socioeconomic Deprivation, Physical Activity Facilities, and Physical Activity in Youth during the Transition from Childhood to Adolescence</t>
        </is>
      </c>
      <c r="U716" t="inlineStr">
        <is>
          <t>neighborhood environment; physical activity; youth; physical activity facilities</t>
        </is>
      </c>
      <c r="V716" t="inlineStr">
        <is>
          <t>CSA ACTIVITY MONITOR; BODY-MASS INDEX; UNITED-STATES; CHILDREN; ENVIRONMENT; OBESITY; SCHOOL; INACTIVITY; HEALTH; DISADVANTAGE</t>
        </is>
      </c>
      <c r="W716" t="inlineStr">
        <is>
          <t>Background: This study aims to examine the longitudinal association of neighborhood socioeconomic deprivation (SED) with physical activity in youth during the transition from elementary to middle school, and to determine if access to physical activity facilities moderates this relationship. Methods: Data were obtained from the Transitions and Activity Changes in Kids (TRACK) study, which was a multilevel, longitudinal study designed to identify the factors that influence changes in physical activity as youth transition from elementary to middle school. The analytic sample for the current study included 660 youth with complete data in grades 5 (baseline) and 7 (follow-up). A repeated measures multilevel framework was employed to examine the relationship between SED and physical activity over time and the potential moderating role of elements of the built environment. Results: Decreases in physical activity varied by the degree of neighborhood SED with youth residing in the most deprived neighborhoods experiencing the greatest declines in physical activity. Access to supportive physical activity facilities did not moderate this relationship. Conclusion: Future research studies are needed to better understand how neighborhood SED influences youth physical activity over time.</t>
        </is>
      </c>
      <c r="X716" t="inlineStr">
        <is>
          <t>[Clennin, Morgan N.; Dowda, Marsha; Pate, Russell R.] Univ South Carolina, Dept Exercise Sci, Columbia, SC 29208 USA; [Clennin, Morgan N.] Kaiser Permanente Colorado, Inst Hlth Res, Aurora, CO 80014 USA; [Lian, Min] Washington Univ, Dept Med, St Louis, MO 63110 USA; [Colabianchi, Natalie] Univ Michigan, Dept Kinesiol, Ann Arbor, MI 48109 USA; [Kaczynski, Andrew] Univ South Carolina, Dept Hlth Promot Educ &amp; Behav, Columbia, SC 29208 USA</t>
        </is>
      </c>
      <c r="Y716" t="inlineStr">
        <is>
          <t>University of South Carolina System; University of South Carolina Columbia; Kaiser Permanente; Washington University (WUSTL); University of Michigan System; University of Michigan; University of South Carolina System; University of South Carolina Columbia</t>
        </is>
      </c>
      <c r="Z716" t="inlineStr">
        <is>
          <t>Clennin, MN (corresponding author), Univ South Carolina, Dept Exercise Sci, Columbia, SC 29208 USA.;Clennin, MN (corresponding author), Kaiser Permanente Colorado, Inst Hlth Res, Aurora, CO 80014 USA.</t>
        </is>
      </c>
      <c r="AA716" t="inlineStr">
        <is>
          <t>clennin@email.sc.edu; mlian@wustl.edu; colabian@umich.edu; atkaczyn@mailbox.sc.edu; mdowda@mailbox.sc.edu; rpate@mailbox.sc.edu</t>
        </is>
      </c>
      <c r="AB716" t="inlineStr">
        <is>
          <t>Colabianchi, Natalie/AAX-4395-2020</t>
        </is>
      </c>
      <c r="AC716" t="inlineStr">
        <is>
          <t>Clennin, Morgan/0000-0001-7855-6277</t>
        </is>
      </c>
      <c r="AD716" t="inlineStr">
        <is>
          <t>National Heart, Lung, and Blood Institute [R01HL091002-01A1]</t>
        </is>
      </c>
      <c r="AE716" t="inlineStr">
        <is>
          <t>National Heart, Lung, and Blood Institute(United States Department of Health &amp; Human ServicesNational Institutes of Health (NIH) - USANIH National Heart Lung &amp; Blood Institute (NHLBI))</t>
        </is>
      </c>
      <c r="AF716" t="inlineStr">
        <is>
          <t>This research was funded by the National Heart, Lung, and Blood Institute (R01HL091002-01A1; PI: R.R.P.).</t>
        </is>
      </c>
      <c r="AH716" t="n">
        <v>45</v>
      </c>
      <c r="AI716" t="n">
        <v>4</v>
      </c>
      <c r="AJ716" t="n">
        <v>4</v>
      </c>
      <c r="AK716" t="n">
        <v>1</v>
      </c>
      <c r="AL716" t="n">
        <v>7</v>
      </c>
      <c r="AM716" t="inlineStr">
        <is>
          <t>MDPI</t>
        </is>
      </c>
      <c r="AN716" t="inlineStr">
        <is>
          <t>BASEL</t>
        </is>
      </c>
      <c r="AO716" t="inlineStr">
        <is>
          <t>ST ALBAN-ANLAGE 66, CH-4052 BASEL, SWITZERLAND</t>
        </is>
      </c>
      <c r="AQ716" t="inlineStr">
        <is>
          <t>1660-4601</t>
        </is>
      </c>
      <c r="AS716" t="inlineStr">
        <is>
          <t>INT J ENV RES PUB HE</t>
        </is>
      </c>
      <c r="AT716" t="inlineStr">
        <is>
          <t>Int. J. Environ. Res. Public Health</t>
        </is>
      </c>
      <c r="AU716" t="inlineStr">
        <is>
          <t>OCT</t>
        </is>
      </c>
      <c r="AV716" t="n">
        <v>2019</v>
      </c>
      <c r="AW716" t="n">
        <v>16</v>
      </c>
      <c r="AX716" t="n">
        <v>19</v>
      </c>
      <c r="BE716" t="n">
        <v>3703</v>
      </c>
      <c r="BF716" t="inlineStr">
        <is>
          <t>10.3390/ijerph16193703</t>
        </is>
      </c>
      <c r="BG716">
        <f>HYPERLINK("http://dx.doi.org/10.3390/ijerph16193703","http://dx.doi.org/10.3390/ijerph16193703")</f>
        <v/>
      </c>
      <c r="BJ716" t="n">
        <v>13</v>
      </c>
      <c r="BK716" t="inlineStr">
        <is>
          <t>Environmental Sciences; Public, Environmental &amp; Occupational Health</t>
        </is>
      </c>
      <c r="BL716" t="inlineStr">
        <is>
          <t>Science Citation Index Expanded (SCI-EXPANDED); Social Science Citation Index (SSCI)</t>
        </is>
      </c>
      <c r="BM716" t="inlineStr">
        <is>
          <t>Environmental Sciences &amp; Ecology; Public, Environmental &amp; Occupational Health</t>
        </is>
      </c>
      <c r="BN716" t="inlineStr">
        <is>
          <t>JK3MF</t>
        </is>
      </c>
      <c r="BO716" t="n">
        <v>31581456</v>
      </c>
      <c r="BP716" t="inlineStr">
        <is>
          <t>gold, Green Published</t>
        </is>
      </c>
      <c r="BS716" t="inlineStr">
        <is>
          <t>2023-10-26</t>
        </is>
      </c>
      <c r="BT716" t="inlineStr">
        <is>
          <t>WOS:000494748600199</t>
        </is>
      </c>
      <c r="BU716">
        <f>HYPERLINK("https%3A%2F%2Fwww.webofscience.com%2Fwos%2Fwoscc%2Ffull-record%2FWOS:000494748600199","View Full Record in Web of Science")</f>
        <v/>
      </c>
    </row>
    <row r="717">
      <c r="A717" t="inlineStr">
        <is>
          <t>J</t>
        </is>
      </c>
      <c r="B717" t="inlineStr">
        <is>
          <t>Shach-Pinsly, D; Capeluto, IG</t>
        </is>
      </c>
      <c r="F717" t="inlineStr">
        <is>
          <t>Shach-Pinsly, Dalit; Capeluto, Isaac Guedi</t>
        </is>
      </c>
      <c r="J717" t="inlineStr">
        <is>
          <t>SUSTAINABILITY</t>
        </is>
      </c>
      <c r="M717" t="inlineStr">
        <is>
          <t>English</t>
        </is>
      </c>
      <c r="N717" t="inlineStr">
        <is>
          <t>Article</t>
        </is>
      </c>
      <c r="T717" t="inlineStr">
        <is>
          <t>From Form-Based to Performance-Based Codes</t>
        </is>
      </c>
      <c r="U717" t="inlineStr">
        <is>
          <t>performance; planning process; architectural design; built environment; urban evaluation; building assessment</t>
        </is>
      </c>
      <c r="V717" t="inlineStr">
        <is>
          <t>URBAN DESIGN; ARCHITECTURAL DESIGN; ENVIRONMENT; OPTIMIZATION; GENERATION; BUILDINGS; FRAMEWORK; CRITERIA; HEALTH</t>
        </is>
      </c>
      <c r="W717" t="inlineStr">
        <is>
          <t>The performance of the built environment is an important concern affecting the quality of life and plays a critical role in every urban milieu. However, it generally disappears in the drawing plans. Current planning regulations do not always include performance requirements as part of the planning demands. Additionally, decision-makers lack the methodology and tools to demonstrate the expected performance of the built environment. Therefore, an examination of the performance of the designed area is sometimes neglected in the planning process. Current urban plans focus mainly on technical issues, counting the number of residential units, density measures, etc. The trend of progressive planning regulations, such as Form-Based Code (FBC), aims to coordinate these separated quantitative parameters into one comprehensive 3D plan where the urban form plays as a main integrator. However, these plans still lack the demand for understanding the quality and performance of the built environment through the visualization. This article addresses this gap, the lack of understanding of the performance of the built environment in urban plans and proposes the concept of Performance-Based Codes (PBC). The transition from form-based code to performance-based-design will be demonstrated through the presentation of two performance-based models, the Solar Envelope and Security Rating Index, and the possibility of integrating them into the planning process.</t>
        </is>
      </c>
      <c r="X717" t="inlineStr">
        <is>
          <t>[Shach-Pinsly, Dalit; Capeluto, Isaac Guedi] Technion Israel Inst Technol, Fac Architecture &amp; Town Planning, IL-3200003 Haifa, Israel</t>
        </is>
      </c>
      <c r="Y717" t="inlineStr">
        <is>
          <t>Technion Israel Institute of Technology</t>
        </is>
      </c>
      <c r="Z717" t="inlineStr">
        <is>
          <t>Shach-Pinsly, D (corresponding author), Technion Israel Inst Technol, Fac Architecture &amp; Town Planning, IL-3200003 Haifa, Israel.</t>
        </is>
      </c>
      <c r="AA717" t="inlineStr">
        <is>
          <t>dalitsp@technion.ac.il; arrguedi@technion.ac.il</t>
        </is>
      </c>
      <c r="AC717" t="inlineStr">
        <is>
          <t>Capeluto, Guedi/0000-0003-2523-093X; Shach-Pinsly, Dalit/0000-0002-5934-4516</t>
        </is>
      </c>
      <c r="AH717" t="n">
        <v>77</v>
      </c>
      <c r="AI717" t="n">
        <v>8</v>
      </c>
      <c r="AJ717" t="n">
        <v>8</v>
      </c>
      <c r="AK717" t="n">
        <v>1</v>
      </c>
      <c r="AL717" t="n">
        <v>7</v>
      </c>
      <c r="AM717" t="inlineStr">
        <is>
          <t>MDPI</t>
        </is>
      </c>
      <c r="AN717" t="inlineStr">
        <is>
          <t>BASEL</t>
        </is>
      </c>
      <c r="AO717" t="inlineStr">
        <is>
          <t>ST ALBAN-ANLAGE 66, CH-4052 BASEL, SWITZERLAND</t>
        </is>
      </c>
      <c r="AQ717" t="inlineStr">
        <is>
          <t>2071-1050</t>
        </is>
      </c>
      <c r="AS717" t="inlineStr">
        <is>
          <t>SUSTAINABILITY-BASEL</t>
        </is>
      </c>
      <c r="AT717" t="inlineStr">
        <is>
          <t>Sustainability</t>
        </is>
      </c>
      <c r="AU717" t="inlineStr">
        <is>
          <t>JUL</t>
        </is>
      </c>
      <c r="AV717" t="n">
        <v>2020</v>
      </c>
      <c r="AW717" t="n">
        <v>12</v>
      </c>
      <c r="AX717" t="n">
        <v>14</v>
      </c>
      <c r="BE717" t="n">
        <v>5657</v>
      </c>
      <c r="BF717" t="inlineStr">
        <is>
          <t>10.3390/su12145657</t>
        </is>
      </c>
      <c r="BG717">
        <f>HYPERLINK("http://dx.doi.org/10.3390/su12145657","http://dx.doi.org/10.3390/su12145657")</f>
        <v/>
      </c>
      <c r="BJ717" t="n">
        <v>20</v>
      </c>
      <c r="BK717" t="inlineStr">
        <is>
          <t>Green &amp; Sustainable Science &amp; Technology; Environmental Sciences; Environmental Studies</t>
        </is>
      </c>
      <c r="BL717" t="inlineStr">
        <is>
          <t>Science Citation Index Expanded (SCI-EXPANDED); Social Science Citation Index (SSCI)</t>
        </is>
      </c>
      <c r="BM717" t="inlineStr">
        <is>
          <t>Science &amp; Technology - Other Topics; Environmental Sciences &amp; Ecology</t>
        </is>
      </c>
      <c r="BN717" t="inlineStr">
        <is>
          <t>MS2BS</t>
        </is>
      </c>
      <c r="BP717" t="inlineStr">
        <is>
          <t>Green Published, gold</t>
        </is>
      </c>
      <c r="BS717" t="inlineStr">
        <is>
          <t>2023-10-26</t>
        </is>
      </c>
      <c r="BT717" t="inlineStr">
        <is>
          <t>WOS:000554089100001</t>
        </is>
      </c>
      <c r="BU717">
        <f>HYPERLINK("https%3A%2F%2Fwww.webofscience.com%2Fwos%2Fwoscc%2Ffull-record%2FWOS:000554089100001","View Full Record in Web of Science")</f>
        <v/>
      </c>
    </row>
    <row r="718">
      <c r="A718" t="inlineStr">
        <is>
          <t>J</t>
        </is>
      </c>
      <c r="B718" t="inlineStr">
        <is>
          <t>Zhang, T; Huang, B; Wong, H; Wong, SYS; Chung, RYN</t>
        </is>
      </c>
      <c r="F718" t="inlineStr">
        <is>
          <t>Zhang, Ting; Huang, Bo; Wong, Hung; Wong, Samuel Yeung-shan; Chung, Roger Yat-Nork</t>
        </is>
      </c>
      <c r="J718" t="inlineStr">
        <is>
          <t>INTERNATIONAL JOURNAL OF ENVIRONMENTAL RESEARCH AND PUBLIC HEALTH</t>
        </is>
      </c>
      <c r="M718" t="inlineStr">
        <is>
          <t>English</t>
        </is>
      </c>
      <c r="N718" t="inlineStr">
        <is>
          <t>Article</t>
        </is>
      </c>
      <c r="T718" t="inlineStr">
        <is>
          <t>Public Rental Housing and Obesogenic Behaviors among Adults in Hong Kong: Mediator Role of Food and Physical Activity Environment</t>
        </is>
      </c>
      <c r="U718" t="inlineStr">
        <is>
          <t>physical inactivity; prolonged sitting; unhealthy diet; sports facilities; street greenery</t>
        </is>
      </c>
      <c r="V718" t="inlineStr">
        <is>
          <t>RESIDENTIAL SATISFACTION; BUILT ENVIRONMENT; SOCIOECONOMIC-STATUS; SOCIAL ENVIRONMENTS; HEALTH; OBESITY; DETERMINANTS; LIFE</t>
        </is>
      </c>
      <c r="W718" t="inlineStr">
        <is>
          <t>Public rental housing (PRH) for low-income families has been shown in several studies to be associated with poor health status and obesity. However, the causes of this health disparity are controversial, and the associations and pathways between PRH and obesogenic behaviors remain unknown. Using cross-sectional survey data of 1977 adults living in Hong Kong (aged or over 18) together with multi-source GIS-based environmental data, we examined the associations between PRH and obesogenic behaviors and the extent to which those associations can be explained by neighborhood food and physical environment. The unhealthy food environment, which relates with infrequent fruit and vegetables consumption, was calculated based on the relative density of fast food restaurants and convenience stores to grocery stores. The physical activity environment, which relates to physical inactivity and prolonged sitting, was assessed in terms of density of sports facilities and street greenery, separately. Regressions and mediation analyses show that PRH was negatively associated with physical inactivity directly and also indirectly via higher sports facilities density; however, PRH was positively associated with unhealthy diet largely directly and positively associated with prolonged sitting indirectly via less street greenery. We advanced the international literature of PRH health impact assessment and its environmental health pathways by providing evidence from the least housing-affordable city in the world. The findings provide planning implications in formulating a healthier PRH community for these low-income PRH households and mitigating health disparities induced by housing type.</t>
        </is>
      </c>
      <c r="X718" t="inlineStr">
        <is>
          <t>[Zhang, Ting] Shanghai Jiao Tong Univ, Sch Int &amp; Publ Affairs, Shanghai 200030, Peoples R China; [Zhang, Ting; Huang, Bo] Chinese Univ Hong Kong, Inst Space &amp; Earth Informat Sci, Hong Kong 999077, Peoples R China; [Huang, Bo] Chinese Univ Hong Kong, Dept Geog &amp; Resource Management, Hong Kong 999077, Peoples R China; [Huang, Bo] Chinese Univ Hong Kong, Shenzhen Res Inst, Shenzhen 518057, Peoples R China; [Wong, Hung] Chinese Univ Hong Kong, Dept Social Work, Hong Kong 999077, Peoples R China; [Wong, Hung; Wong, Samuel Yeung-shan; Chung, Roger Yat-Nork] Chinese Univ Hong Kong, CUHK Inst Hlth Equity, Hong Kong 999077, Peoples R China; [Wong, Samuel Yeung-shan; Chung, Roger Yat-Nork] Chinese Univ Hong Kong, Jockey Club Sch Publ Hlth &amp; Primary Care, Hong Kong 999077, Peoples R China</t>
        </is>
      </c>
      <c r="Y718" t="inlineStr">
        <is>
          <t>Shanghai Jiao Tong University; Chinese University of Hong Kong; Chinese University of Hong Kong; Chinese University of Hong Kong, Shenzhen; CUHK Shenzhen Research Institute; Chinese University of Hong Kong; Chinese University of Hong Kong; Chinese University of Hong Kong</t>
        </is>
      </c>
      <c r="Z718" t="inlineStr">
        <is>
          <t>Huang, B (corresponding author), Chinese Univ Hong Kong, Inst Space &amp; Earth Informat Sci, Hong Kong 999077, Peoples R China.;Huang, B (corresponding author), Chinese Univ Hong Kong, Dept Geog &amp; Resource Management, Hong Kong 999077, Peoples R China.;Huang, B (corresponding author), Chinese Univ Hong Kong, Shenzhen Res Inst, Shenzhen 518057, Peoples R China.</t>
        </is>
      </c>
      <c r="AA718" t="inlineStr">
        <is>
          <t>tingzhang@sjtu.edu.cn; bohuang@cuhk.edu.hk; hwong@cuhk.edu.hk; yeungshanwong@cuhk.edu.hk; rychung@cuhk.edu.hk</t>
        </is>
      </c>
      <c r="AB718" t="inlineStr">
        <is>
          <t>Huang, Bo/H-9874-2014; Wong, Hung/G-3073-2012; Zhang, Ting/HLX-6343-2023; WONG, Samuel Yeung Shan/D-7311-2013</t>
        </is>
      </c>
      <c r="AC718" t="inlineStr">
        <is>
          <t>Huang, Bo/0000-0002-5063-3522; Wong, Hung/0000-0001-8326-9766; WONG, Samuel Yeung Shan/0000-0003-0934-6385; ZHANG, TING/0000-0002-2806-8416</t>
        </is>
      </c>
      <c r="AD718" t="inlineStr">
        <is>
          <t>Central Policy Unit of the Government of the Hong Kong Special Administrative Region; Research Grants Council of the Hong Kong Special Administrative Region, China [4003-SPPR-11]</t>
        </is>
      </c>
      <c r="AE718" t="inlineStr">
        <is>
          <t>Central Policy Unit of the Government of the Hong Kong Special Administrative Region; Research Grants Council of the Hong Kong Special Administrative Region, China(Hong Kong Research Grants Council)</t>
        </is>
      </c>
      <c r="AF718" t="inlineStr">
        <is>
          <t>FundingThe work described in this article was fully supported by a grant from the Central Policy Unit of the Government of the Hong Kong Special Administrative Region and the Research Grants Council of the Hong Kong Special Administrative Region, China (Project 4003-SPPR-11).</t>
        </is>
      </c>
      <c r="AH718" t="n">
        <v>42</v>
      </c>
      <c r="AI718" t="n">
        <v>2</v>
      </c>
      <c r="AJ718" t="n">
        <v>2</v>
      </c>
      <c r="AK718" t="n">
        <v>0</v>
      </c>
      <c r="AL718" t="n">
        <v>17</v>
      </c>
      <c r="AM718" t="inlineStr">
        <is>
          <t>MDPI</t>
        </is>
      </c>
      <c r="AN718" t="inlineStr">
        <is>
          <t>BASEL</t>
        </is>
      </c>
      <c r="AO718" t="inlineStr">
        <is>
          <t>ST ALBAN-ANLAGE 66, CH-4052 BASEL, SWITZERLAND</t>
        </is>
      </c>
      <c r="AQ718" t="inlineStr">
        <is>
          <t>1660-4601</t>
        </is>
      </c>
      <c r="AS718" t="inlineStr">
        <is>
          <t>INT J ENV RES PUB HE</t>
        </is>
      </c>
      <c r="AT718" t="inlineStr">
        <is>
          <t>Int. J. Environ. Res. Public Health</t>
        </is>
      </c>
      <c r="AU718" t="inlineStr">
        <is>
          <t>MAR</t>
        </is>
      </c>
      <c r="AV718" t="n">
        <v>2022</v>
      </c>
      <c r="AW718" t="n">
        <v>19</v>
      </c>
      <c r="AX718" t="n">
        <v>5</v>
      </c>
      <c r="BE718" t="n">
        <v>2960</v>
      </c>
      <c r="BF718" t="inlineStr">
        <is>
          <t>10.3390/ijerph19052960</t>
        </is>
      </c>
      <c r="BG718">
        <f>HYPERLINK("http://dx.doi.org/10.3390/ijerph19052960","http://dx.doi.org/10.3390/ijerph19052960")</f>
        <v/>
      </c>
      <c r="BJ718" t="n">
        <v>14</v>
      </c>
      <c r="BK718" t="inlineStr">
        <is>
          <t>Environmental Sciences; Public, Environmental &amp; Occupational Health</t>
        </is>
      </c>
      <c r="BL718" t="inlineStr">
        <is>
          <t>Science Citation Index Expanded (SCI-EXPANDED); Social Science Citation Index (SSCI)</t>
        </is>
      </c>
      <c r="BM718" t="inlineStr">
        <is>
          <t>Environmental Sciences &amp; Ecology; Public, Environmental &amp; Occupational Health</t>
        </is>
      </c>
      <c r="BN718" t="inlineStr">
        <is>
          <t>ZS1VH</t>
        </is>
      </c>
      <c r="BO718" t="n">
        <v>35270652</v>
      </c>
      <c r="BP718" t="inlineStr">
        <is>
          <t>Green Published, gold</t>
        </is>
      </c>
      <c r="BS718" t="inlineStr">
        <is>
          <t>2023-10-26</t>
        </is>
      </c>
      <c r="BT718" t="inlineStr">
        <is>
          <t>WOS:000768259000001</t>
        </is>
      </c>
      <c r="BU718">
        <f>HYPERLINK("https%3A%2F%2Fwww.webofscience.com%2Fwos%2Fwoscc%2Ffull-record%2FWOS:000768259000001","View Full Record in Web of Science")</f>
        <v/>
      </c>
    </row>
    <row r="719">
      <c r="A719" t="inlineStr">
        <is>
          <t>J</t>
        </is>
      </c>
      <c r="B719" t="inlineStr">
        <is>
          <t>Meciarová, L; Vilceková, S; Burdová, EK; Kiselák, J</t>
        </is>
      </c>
      <c r="F719" t="inlineStr">
        <is>
          <t>Meciarova, L'udmila; Vilcekova, Silvia; Burdova, Eva Kridlova; Kiselak, Jozef</t>
        </is>
      </c>
      <c r="J719" t="inlineStr">
        <is>
          <t>INTERNATIONAL JOURNAL OF ENVIRONMENTAL RESEARCH AND PUBLIC HEALTH</t>
        </is>
      </c>
      <c r="M719" t="inlineStr">
        <is>
          <t>English</t>
        </is>
      </c>
      <c r="N719" t="inlineStr">
        <is>
          <t>Article</t>
        </is>
      </c>
      <c r="T719" t="inlineStr">
        <is>
          <t>Factors Effecting the Total Volatile Organic Compound (TVOC) Concentrations in Slovak Households</t>
        </is>
      </c>
      <c r="U719" t="inlineStr">
        <is>
          <t>TVOC; household; indoor environment; characteristics; dependence</t>
        </is>
      </c>
      <c r="V719" t="inlineStr">
        <is>
          <t>INDOOR AIR-QUALITY; HONG-KONG HOMES; SOURCE APPORTIONMENT; ATTACHED GARAGE; VOC CONCENTRATIONS; PERSONAL EXPOSURE; CLEANING PRODUCTS; RESIDENTIAL HOMES; RISK-ASSESSMENT; EMISSIONS</t>
        </is>
      </c>
      <c r="W719" t="inlineStr">
        <is>
          <t>Thirty five Slovak households were selected for an investigation of indoor environmental quality. Measuring of indoor air physical and chemical factors and a questionnaire survey was performed during May 2017. The range of permissible operative temperature was not met in 11% of objects. Relative humidity met the legislative requirements in all monitored homes. Concentrations of total volatile organic compounds (TVOCs) were significantly higher in the apartments than in the family houses. The average TVOC levels in the apartments and family houses were 519.7 mu g/m(3) and 330.2 mu g/m(3), respectively. Statistical analysis confirmed the effect of indoor air temperature, relative humidity and particulate matter (PM0.5 and PM1) on the levels of TVOCs. Higher TVOC levels were observed also in homes where it is not a common practice to open windows during cleaning activities. Other factors that had a statistically significant effect on concentrations of volatile organic compounds were heating type, attached garage, location of the apartment within residential building (the floor), as well as number of occupants. Higher TVOC concentrations were observed in indoor than outdoor environment, while further analysis showed the significant impact of indoor emission sources on the level of these compounds in buildings. The questionnaire study showed a discrepancy between objective measurement and subjective assessment in the household environment, and pointed to insufficient public awareness about volatile organic compounds (VOCs).</t>
        </is>
      </c>
      <c r="X719" t="inlineStr">
        <is>
          <t>[Meciarova, L'udmila; Vilcekova, Silvia; Burdova, Eva Kridlova] Tech Univ Kosice, Fac Civil Engn, Inst Environm Engn, Vysokoskolska 4, Kosice 04200, Slovakia; [Kiselak, Jozef] Pavol Jozef Safarik Univ Kosice, Fac Sci, Inst Math, Jesenna 5, Kosice 04001, Slovakia</t>
        </is>
      </c>
      <c r="Y719" t="inlineStr">
        <is>
          <t>Technical University Kosice; University of Pavol Jozef Safarik Kosice</t>
        </is>
      </c>
      <c r="Z719" t="inlineStr">
        <is>
          <t>Meciarová, L (corresponding author), Tech Univ Kosice, Fac Civil Engn, Inst Environm Engn, Vysokoskolska 4, Kosice 04200, Slovakia.</t>
        </is>
      </c>
      <c r="AA719" t="inlineStr">
        <is>
          <t>ludmila.meciarova@gmail.com; silvia.vilcekova@tuke.sk; eva.burdova@tuke.sk; jozef.kiselak@upjs.sk</t>
        </is>
      </c>
      <c r="AB719" t="inlineStr">
        <is>
          <t>Kiselak, Jozef/AAN-4840-2020; Vilcekova, Silvia/K-1565-2014; Burdová, Eva Krídlová/AAA-6293-2019</t>
        </is>
      </c>
      <c r="AC719" t="inlineStr">
        <is>
          <t>Kiselak, Jozef/0000-0001-6450-4601; Vilcekova, Silvia/0000-0002-1953-1253; Burdová, Eva Krídlová/0000-0001-6496-865X; Vaculova Meciarova, Ludmila/0000-0002-6438-9049</t>
        </is>
      </c>
      <c r="AD719" t="inlineStr">
        <is>
          <t>Grant Agency of Slovak Republic [1/0307/16]</t>
        </is>
      </c>
      <c r="AE719" t="inlineStr">
        <is>
          <t>Grant Agency of Slovak Republic(Grant Agency of the Czech Republic)</t>
        </is>
      </c>
      <c r="AF719" t="inlineStr">
        <is>
          <t>This study financially supported by Grant Agency of Slovak Republic to support of projects No. 1/0307/16.</t>
        </is>
      </c>
      <c r="AH719" t="n">
        <v>52</v>
      </c>
      <c r="AI719" t="n">
        <v>25</v>
      </c>
      <c r="AJ719" t="n">
        <v>25</v>
      </c>
      <c r="AK719" t="n">
        <v>1</v>
      </c>
      <c r="AL719" t="n">
        <v>18</v>
      </c>
      <c r="AM719" t="inlineStr">
        <is>
          <t>MDPI AG</t>
        </is>
      </c>
      <c r="AN719" t="inlineStr">
        <is>
          <t>BASEL</t>
        </is>
      </c>
      <c r="AO719" t="inlineStr">
        <is>
          <t>ST ALBAN-ANLAGE 66, CH-4052 BASEL, SWITZERLAND</t>
        </is>
      </c>
      <c r="AP719" t="inlineStr">
        <is>
          <t>1660-4601</t>
        </is>
      </c>
      <c r="AS719" t="inlineStr">
        <is>
          <t>INT J ENV RES PUB HE</t>
        </is>
      </c>
      <c r="AT719" t="inlineStr">
        <is>
          <t>Int. J. Environ. Res. Public Health</t>
        </is>
      </c>
      <c r="AU719" t="inlineStr">
        <is>
          <t>DEC</t>
        </is>
      </c>
      <c r="AV719" t="n">
        <v>2017</v>
      </c>
      <c r="AW719" t="n">
        <v>14</v>
      </c>
      <c r="AX719" t="n">
        <v>12</v>
      </c>
      <c r="BE719" t="n">
        <v>1443</v>
      </c>
      <c r="BF719" t="inlineStr">
        <is>
          <t>10.3390/ijerph14121443</t>
        </is>
      </c>
      <c r="BG719">
        <f>HYPERLINK("http://dx.doi.org/10.3390/ijerph14121443","http://dx.doi.org/10.3390/ijerph14121443")</f>
        <v/>
      </c>
      <c r="BJ719" t="n">
        <v>26</v>
      </c>
      <c r="BK719" t="inlineStr">
        <is>
          <t>Environmental Sciences; Public, Environmental &amp; Occupational Health</t>
        </is>
      </c>
      <c r="BL719" t="inlineStr">
        <is>
          <t>Science Citation Index Expanded (SCI-EXPANDED); Social Science Citation Index (SSCI)</t>
        </is>
      </c>
      <c r="BM719" t="inlineStr">
        <is>
          <t>Environmental Sciences &amp; Ecology; Public, Environmental &amp; Occupational Health</t>
        </is>
      </c>
      <c r="BN719" t="inlineStr">
        <is>
          <t>FU2SD</t>
        </is>
      </c>
      <c r="BO719" t="n">
        <v>29168779</v>
      </c>
      <c r="BP719" t="inlineStr">
        <is>
          <t>Green Submitted, Green Published, gold</t>
        </is>
      </c>
      <c r="BS719" t="inlineStr">
        <is>
          <t>2023-10-26</t>
        </is>
      </c>
      <c r="BT719" t="inlineStr">
        <is>
          <t>WOS:000423699400007</t>
        </is>
      </c>
      <c r="BU719">
        <f>HYPERLINK("https%3A%2F%2Fwww.webofscience.com%2Fwos%2Fwoscc%2Ffull-record%2FWOS:000423699400007","View Full Record in Web of Science")</f>
        <v/>
      </c>
    </row>
    <row r="720">
      <c r="A720" t="inlineStr">
        <is>
          <t>J</t>
        </is>
      </c>
      <c r="B720" t="inlineStr">
        <is>
          <t>He, MF; Shi, SL; He, MY; Leng, YP; Wang, SY</t>
        </is>
      </c>
      <c r="F720" t="inlineStr">
        <is>
          <t>He, Mu-Fei; Shi, Shu-Lin; He, Ming-Yi; Leng, Yan-Peng; Wang, Shao-Yi</t>
        </is>
      </c>
      <c r="J720" t="inlineStr">
        <is>
          <t>INTERNATIONAL JOURNAL OF ENVIRONMENTAL RESEARCH AND PUBLIC HEALTH</t>
        </is>
      </c>
      <c r="M720" t="inlineStr">
        <is>
          <t>English</t>
        </is>
      </c>
      <c r="N720" t="inlineStr">
        <is>
          <t>Article</t>
        </is>
      </c>
      <c r="T720" t="inlineStr">
        <is>
          <t>What Affects Older Adults' Viewing Behaviors in Neighborhood Open Space: A Study in Hong Kong</t>
        </is>
      </c>
      <c r="U720" t="inlineStr">
        <is>
          <t>older adults; neighborhood open space (NOS); viewing behavior; spatio-temporal analysis; quality of life</t>
        </is>
      </c>
      <c r="V720" t="inlineStr">
        <is>
          <t>QUALITY-OF-LIFE; PHYSICAL-ACTIVITY; ATTENTION; PEOPLE; ENVIRONMENTS; ASSOCIATIONS; DEPRESSION; EXPOSURE; RECOVERY</t>
        </is>
      </c>
      <c r="W720" t="inlineStr">
        <is>
          <t>Research on older adults' behaviors, living environments, and their quality of life (QoL) has grown rapidly. Viewing behaviors, although broadly acknowledged as critical for older adults' QoL, have not been systematically examined in situ. What affects the viewing behaviors of older adults in neighborhood open space (NOS) is still unclear. This study conducted unobtrusive continuous observations in NOS of two residential estates in Hong Kong. With spatio-temporal analyses with ArcGIS Pro and statistical analyses with SPSS, principal influential factors to viewing behaviors of older adults in NOS were identified, including distances for viewing, landscape attractiveness, body supporting elements, as well as moving and interactive behaviors. How these factors would affect older adults' well-being and QoL is discussed from the perspectives of supportive landscape design, sense of control, prospect and refuge, and social support, etc. Corresponding design implications are proposed to enrich existing NOS design knowledge for older adults' quality of life.</t>
        </is>
      </c>
      <c r="X720" t="inlineStr">
        <is>
          <t>[He, Mu-Fei; Shi, Shu-Lin; He, Ming-Yi; Leng, Yan-Peng; Wang, Shao-Yi] Tsinghua Univ, Sch Architecture, Dept Landscape Architecture, Beijing 100084, Peoples R China</t>
        </is>
      </c>
      <c r="Y720" t="inlineStr">
        <is>
          <t>Tsinghua University</t>
        </is>
      </c>
      <c r="Z720" t="inlineStr">
        <is>
          <t>Shi, SL (corresponding author), Tsinghua Univ, Sch Architecture, Dept Landscape Architecture, Beijing 100084, Peoples R China.</t>
        </is>
      </c>
      <c r="AA720" t="inlineStr">
        <is>
          <t>hmf18@mails.tsinghua.edu.cn; shishulin@tsinghua.edu.cn; hemy17@mails.tsinghua.edu.cn; lengyp18@mails.tsinghua.edu.cn; wangshao17@mails.tsinghua.edu.cn</t>
        </is>
      </c>
      <c r="AD720" t="inlineStr">
        <is>
          <t>Hong Kong S.A.R. Research Grants Council (RGC) [UGC/FDS25/H05/18]</t>
        </is>
      </c>
      <c r="AE720" t="inlineStr">
        <is>
          <t>Hong Kong S.A.R. Research Grants Council (RGC)(Hong Kong Research Grants Council)</t>
        </is>
      </c>
      <c r="AF720" t="inlineStr">
        <is>
          <t>This research was funded by Hong Kong S.A.R. Research Grants Council (RGC), UGC/FDS25/H05/18.</t>
        </is>
      </c>
      <c r="AH720" t="n">
        <v>60</v>
      </c>
      <c r="AI720" t="n">
        <v>3</v>
      </c>
      <c r="AJ720" t="n">
        <v>3</v>
      </c>
      <c r="AK720" t="n">
        <v>6</v>
      </c>
      <c r="AL720" t="n">
        <v>33</v>
      </c>
      <c r="AM720" t="inlineStr">
        <is>
          <t>MDPI</t>
        </is>
      </c>
      <c r="AN720" t="inlineStr">
        <is>
          <t>BASEL</t>
        </is>
      </c>
      <c r="AO720" t="inlineStr">
        <is>
          <t>ST ALBAN-ANLAGE 66, CH-4052 BASEL, SWITZERLAND</t>
        </is>
      </c>
      <c r="AQ720" t="inlineStr">
        <is>
          <t>1660-4601</t>
        </is>
      </c>
      <c r="AS720" t="inlineStr">
        <is>
          <t>INT J ENV RES PUB HE</t>
        </is>
      </c>
      <c r="AT720" t="inlineStr">
        <is>
          <t>Int. J. Environ. Res. Public Health</t>
        </is>
      </c>
      <c r="AU720" t="inlineStr">
        <is>
          <t>MAR</t>
        </is>
      </c>
      <c r="AV720" t="n">
        <v>2021</v>
      </c>
      <c r="AW720" t="n">
        <v>18</v>
      </c>
      <c r="AX720" t="n">
        <v>5</v>
      </c>
      <c r="BE720" t="n">
        <v>2430</v>
      </c>
      <c r="BF720" t="inlineStr">
        <is>
          <t>10.3390/ijerph18052430</t>
        </is>
      </c>
      <c r="BG720">
        <f>HYPERLINK("http://dx.doi.org/10.3390/ijerph18052430","http://dx.doi.org/10.3390/ijerph18052430")</f>
        <v/>
      </c>
      <c r="BJ720" t="n">
        <v>16</v>
      </c>
      <c r="BK720" t="inlineStr">
        <is>
          <t>Environmental Sciences; Public, Environmental &amp; Occupational Health</t>
        </is>
      </c>
      <c r="BL720" t="inlineStr">
        <is>
          <t>Science Citation Index Expanded (SCI-EXPANDED); Social Science Citation Index (SSCI)</t>
        </is>
      </c>
      <c r="BM720" t="inlineStr">
        <is>
          <t>Environmental Sciences &amp; Ecology; Public, Environmental &amp; Occupational Health</t>
        </is>
      </c>
      <c r="BN720" t="inlineStr">
        <is>
          <t>QV6VV</t>
        </is>
      </c>
      <c r="BO720" t="n">
        <v>33801332</v>
      </c>
      <c r="BP720" t="inlineStr">
        <is>
          <t>gold, Green Published</t>
        </is>
      </c>
      <c r="BS720" t="inlineStr">
        <is>
          <t>2023-10-26</t>
        </is>
      </c>
      <c r="BT720" t="inlineStr">
        <is>
          <t>WOS:000628107400001</t>
        </is>
      </c>
      <c r="BU720">
        <f>HYPERLINK("https%3A%2F%2Fwww.webofscience.com%2Fwos%2Fwoscc%2Ffull-record%2FWOS:000628107400001","View Full Record in Web of Science")</f>
        <v/>
      </c>
    </row>
    <row r="721">
      <c r="A721" t="inlineStr">
        <is>
          <t>J</t>
        </is>
      </c>
      <c r="B721" t="inlineStr">
        <is>
          <t>Muramatsu, N; Yin, LJ; Lin, TT</t>
        </is>
      </c>
      <c r="F721" t="inlineStr">
        <is>
          <t>Muramatsu, Naoko; Yin, Lijuan; Lin, Ting-Ti</t>
        </is>
      </c>
      <c r="J721" t="inlineStr">
        <is>
          <t>INTERNATIONAL JOURNAL OF ENVIRONMENTAL RESEARCH AND PUBLIC HEALTH</t>
        </is>
      </c>
      <c r="M721" t="inlineStr">
        <is>
          <t>English</t>
        </is>
      </c>
      <c r="N721" t="inlineStr">
        <is>
          <t>Article</t>
        </is>
      </c>
      <c r="T721" t="inlineStr">
        <is>
          <t>Building Health Promotion into the Job of Home Care Aides: Transformation of the Workplace Health Environment</t>
        </is>
      </c>
      <c r="U721" t="inlineStr">
        <is>
          <t>workplace health; physical activity; health promotion; direct service workers; long-term services and supports; caregivers</t>
        </is>
      </c>
      <c r="V721" t="inlineStr">
        <is>
          <t>WORKERS; INTERVENTION; FITNESS; PROFILE</t>
        </is>
      </c>
      <c r="W721" t="inlineStr">
        <is>
          <t>Home care aides (HCAs), predominantly women, constitute one of the fastest growing occupations in the United States. HCAs work in clients' homes that lack typical workplace resources and benefits. This mixed-methods study examined how HCAs' work environment was transformed by a pilot workplace health promotion program that targeted clients as well as workers. The intervention started with training HCAs to deliver a gentle physical activity program to their older clients in a Medicaid-funded home care program. Older HCAs aged 50+ reported increased time doing the types of physical activity that they delivered to their clients (stretching or strengthening exercise) (p = 0.027). Almost all (98%) HCAs were satisfied with the program. These quantitative results were corroborated by qualitative data from open-ended survey questions and focus groups. HCAs described how they exercised with clients and how the psychosocial work environment changed with the program. Building physical activity into HCAs' job is feasible and can effectively promote HCAs' health, especially among older HCAs.</t>
        </is>
      </c>
      <c r="X721" t="inlineStr">
        <is>
          <t>[Muramatsu, Naoko; Yin, Lijuan] Univ Illinois, Sch Publ Hlth, Chicago, IL 60612 USA; [Muramatsu, Naoko; Yin, Lijuan] Univ Illinois, Inst Hlth Res &amp; Policy, Chicago, IL 60612 USA; [Lin, Ting-Ti] Univ Illinois, Coll Nursing, Chicago, IL 60612 USA; [Lin, Ting-Ti] Univ Illinois, Inst Hlth Res &amp; Policy, Chicago, IL 60612 USA</t>
        </is>
      </c>
      <c r="Y721" t="inlineStr">
        <is>
          <t>University of Illinois System; University of Illinois Chicago; University of Illinois Chicago Hospital; University of Illinois System; University of Illinois Chicago; University of Illinois Chicago Hospital; University of Illinois System; University of Illinois Chicago; University of Illinois Chicago Hospital; University of Illinois System; University of Illinois Chicago; University of Illinois Chicago Hospital</t>
        </is>
      </c>
      <c r="Z721" t="inlineStr">
        <is>
          <t>Muramatsu, N (corresponding author), Univ Illinois, Sch Publ Hlth, Chicago, IL 60612 USA.;Muramatsu, N (corresponding author), Univ Illinois, Inst Hlth Res &amp; Policy, Chicago, IL 60612 USA.</t>
        </is>
      </c>
      <c r="AA721" t="inlineStr">
        <is>
          <t>naoko@uic.edu; lyin4@uic.edu; tlin41@uic.edu</t>
        </is>
      </c>
      <c r="AC721" t="inlineStr">
        <is>
          <t>Yin, Lijuan/0000-0002-3345-8179; , Naoko/0000-0002-9317-2199; Lin, Ting-Ti/0000-0003-2682-5273</t>
        </is>
      </c>
      <c r="AD721" t="inlineStr">
        <is>
          <t>Workplace Health Research Network Collaborating Center for Underserved Workers - Centers for Disease Control and Prevention [U48DP005010 SIP 14-031]; National Institute on Aging of the National Institutes of Health [R21AG042801]</t>
        </is>
      </c>
      <c r="AE721" t="inlineStr">
        <is>
          <t>Workplace Health Research Network Collaborating Center for Underserved Workers - Centers for Disease Control and Prevention; National Institute on Aging of the National Institutes of Health(United States Department of Health &amp; Human ServicesNational Institutes of Health (NIH) - USANIH National Institute on Aging (NIA))</t>
        </is>
      </c>
      <c r="AF721" t="inlineStr">
        <is>
          <t>This publication was supported by the Grant or Cooperative Agreement Number U48DP005010 SIP 14-031: Workplace Health Research Network Collaborating Center for Underserved Workers, funded by the Centers for Disease Control and Prevention; and the National Institute on Aging of the National Institutes of Health under Award Number R21AG042801. Its contents are solely the responsibility of the authors and do not necessarily represent the official views of the Centers for Disease Control and Prevention, the National Institute on Aging, or the Department of Health and Human Services. The authors thank the members of the five Collaborating Centers of Workplace Health Research Network for their input for the development of this research. The authors also thank home care aides and their clients who participated in this study, the project's community-based partner organizations, Partners in Care Foundation, the Expert Panel members, the previous and current research team members, including Michael L. Berbaum, Donald A. Jurivich, Joseph P. Zanoni, David X. Marquez, Katya Cruz Madrid, Surrey Walton, Jessica Madrigal, Vida A. Henderson, Neelam Patel, Marsha Love, and Barbara Gottesman.</t>
        </is>
      </c>
      <c r="AH721" t="n">
        <v>26</v>
      </c>
      <c r="AI721" t="n">
        <v>19</v>
      </c>
      <c r="AJ721" t="n">
        <v>19</v>
      </c>
      <c r="AK721" t="n">
        <v>1</v>
      </c>
      <c r="AL721" t="n">
        <v>11</v>
      </c>
      <c r="AM721" t="inlineStr">
        <is>
          <t>MDPI AG</t>
        </is>
      </c>
      <c r="AN721" t="inlineStr">
        <is>
          <t>BASEL</t>
        </is>
      </c>
      <c r="AO721" t="inlineStr">
        <is>
          <t>ST ALBAN-ANLAGE 66, CH-4052 BASEL, SWITZERLAND</t>
        </is>
      </c>
      <c r="AP721" t="inlineStr">
        <is>
          <t>1660-4601</t>
        </is>
      </c>
      <c r="AS721" t="inlineStr">
        <is>
          <t>INT J ENV RES PUB HE</t>
        </is>
      </c>
      <c r="AT721" t="inlineStr">
        <is>
          <t>Int. J. Environ. Res. Public Health</t>
        </is>
      </c>
      <c r="AU721" t="inlineStr">
        <is>
          <t>APR</t>
        </is>
      </c>
      <c r="AV721" t="n">
        <v>2017</v>
      </c>
      <c r="AW721" t="n">
        <v>14</v>
      </c>
      <c r="AX721" t="n">
        <v>4</v>
      </c>
      <c r="BE721" t="n">
        <v>384</v>
      </c>
      <c r="BF721" t="inlineStr">
        <is>
          <t>10.3390/ijerph14040384</t>
        </is>
      </c>
      <c r="BG721">
        <f>HYPERLINK("http://dx.doi.org/10.3390/ijerph14040384","http://dx.doi.org/10.3390/ijerph14040384")</f>
        <v/>
      </c>
      <c r="BJ721" t="n">
        <v>12</v>
      </c>
      <c r="BK721" t="inlineStr">
        <is>
          <t>Environmental Sciences; Public, Environmental &amp; Occupational Health</t>
        </is>
      </c>
      <c r="BL721" t="inlineStr">
        <is>
          <t>Science Citation Index Expanded (SCI-EXPANDED); Social Science Citation Index (SSCI)</t>
        </is>
      </c>
      <c r="BM721" t="inlineStr">
        <is>
          <t>Environmental Sciences &amp; Ecology; Public, Environmental &amp; Occupational Health</t>
        </is>
      </c>
      <c r="BN721" t="inlineStr">
        <is>
          <t>EY6PG</t>
        </is>
      </c>
      <c r="BO721" t="n">
        <v>28379207</v>
      </c>
      <c r="BP721" t="inlineStr">
        <is>
          <t>Green Published, gold, Green Submitted</t>
        </is>
      </c>
      <c r="BS721" t="inlineStr">
        <is>
          <t>2023-10-26</t>
        </is>
      </c>
      <c r="BT721" t="inlineStr">
        <is>
          <t>WOS:000404105100048</t>
        </is>
      </c>
      <c r="BU721">
        <f>HYPERLINK("https%3A%2F%2Fwww.webofscience.com%2Fwos%2Fwoscc%2Ffull-record%2FWOS:000404105100048","View Full Record in Web of Science")</f>
        <v/>
      </c>
    </row>
    <row r="722">
      <c r="A722" t="inlineStr">
        <is>
          <t>J</t>
        </is>
      </c>
      <c r="B722" t="inlineStr">
        <is>
          <t>Nitmetawong, T; Boonvisut, S; Kallawicha, K; Chao, HJ</t>
        </is>
      </c>
      <c r="F722" t="inlineStr">
        <is>
          <t>Nitmetawong, Tanachai; Boonvisut, Supichaya; Kallawicha, Kraiwuth; Chao, H. Jasmine</t>
        </is>
      </c>
      <c r="J722" t="inlineStr">
        <is>
          <t>HUMAN AND ECOLOGICAL RISK ASSESSMENT</t>
        </is>
      </c>
      <c r="M722" t="inlineStr">
        <is>
          <t>English</t>
        </is>
      </c>
      <c r="N722" t="inlineStr">
        <is>
          <t>Article</t>
        </is>
      </c>
      <c r="T722" t="inlineStr">
        <is>
          <t>Effect of indoor environmental quality on building-related symptoms among the residents of apartment-type buildings in Bangkok area</t>
        </is>
      </c>
      <c r="U722" t="inlineStr">
        <is>
          <t>apartment-type building; building-related symptoms; fungi; indoor air quality; indoor environmental quality; mold; residential characteristics</t>
        </is>
      </c>
      <c r="V722" t="inlineStr">
        <is>
          <t>AIR-QUALITY; SYNDROME SBS; PARTICULATE MATTER; AIRBORNE ENDOTOXIN; JOHOR BAHRU; HONG-KONG; EXPOSURE; ASSOCIATIONS; PM2.5; POLLUTION</t>
        </is>
      </c>
      <c r="W722" t="inlineStr">
        <is>
          <t>This study investigated the associations between residential characteristics and building-related symptoms (BRSs). Individuals who resided in an apartment-type building in the Bangkok area were recruited. Residential characteristics, activities, and BRSs were assessed using questionnaires. Airborne fungi were collected using an electrostatic dust collector. In total, 93 questionnaires and dust samples were returned to the laboratory. The most prevalent BRSs that the participants reported were sneezing, followed by fatigue and headache. The results of multiple logistic regression analyses showed the participants who seldom used hairstyling products had more general symptoms than those who never used them (OR?=?4.35; 95% CI?=?1.00, 18.96). Moreover, the operating hours of an air conditioner or a fan was negatively associated with mucosal (OR?=?0.83; 95% CI?=?0.79, 0.99) and dermal (OR?=?0.87; 95% CI?=?0.76, 1.00) symptoms. Airborne fungi (i.e., nonsporulating fungi, Cladosporium spp., and Curvularia spp.) were also significantly associated with general (OR?=?1.42; 95% CI?=?1.00, 2.02), mucosal (OR?=?1.47; 95% CI?=?1.00, 2.18), and dermal (OR?=?2.23; 95% CI?=?1.03, 4.83) symptoms. Proper indoor environmental management can reduce indoor air pollution and consequently promote the health of occupants.</t>
        </is>
      </c>
      <c r="X722" t="inlineStr">
        <is>
          <t>[Nitmetawong, Tanachai; Boonvisut, Supichaya] Chulabhorn Royal Acad, Chulabhorn Grad Inst, Environm Toxicol Program, 906 Kampangphet 6 Rd, Bangkok 10210, Thailand; [Boonvisut, Supichaya] Minist Educ, Off Higher Educ Commiss, Ctr Excellence Environm Hlth &amp; Toxicol EHT, Bangkok, Thailand; [Kallawicha, Kraiwuth] Chulalongkorn Univ, Coll Publ Hlth Sci, 11th Floor,Room 1110,Inst Bldg 3, Bangkok 10330, Thailand; [Chao, H. Jasmine] Taipei Med Univ, Sch Publ Hlth, Taipei, Taiwan</t>
        </is>
      </c>
      <c r="Y722" t="inlineStr">
        <is>
          <t>Chulabhorn Royal Academy; Chulabhorn Graduate Institute; Chulalongkorn University; Taipei Medical University</t>
        </is>
      </c>
      <c r="Z722" t="inlineStr">
        <is>
          <t>Boonvisut, S (corresponding author), Chulabhorn Royal Acad, Chulabhorn Grad Inst, Environm Toxicol Program, 906 Kampangphet 6 Rd, Bangkok 10210, Thailand.;Kallawicha, K (corresponding author), Chulalongkorn Univ, Coll Publ Hlth Sci, 11th Floor,Room 1110,Inst Bldg 3, Bangkok 10330, Thailand.</t>
        </is>
      </c>
      <c r="AA722" t="inlineStr">
        <is>
          <t>supichaya@cgi.ac.th; kraiwuthk@gmail.com</t>
        </is>
      </c>
      <c r="AB722" t="inlineStr">
        <is>
          <t>Kallawicha, Kraiwuth/T-8722-2019; Chao, Hsing Jasmine/AAR-1390-2021</t>
        </is>
      </c>
      <c r="AC722" t="inlineStr">
        <is>
          <t>Kallawicha, Kraiwuth/0000-0001-9252-372X;</t>
        </is>
      </c>
      <c r="AD722" t="inlineStr">
        <is>
          <t>Chulabhorn Graduate Institute [61-ET-06]</t>
        </is>
      </c>
      <c r="AE722" t="inlineStr">
        <is>
          <t>Chulabhorn Graduate Institute</t>
        </is>
      </c>
      <c r="AF722" t="inlineStr">
        <is>
          <t>This study was partially supported by a grant from Chulabhorn Graduate Institute (No. 61-ET-06).</t>
        </is>
      </c>
      <c r="AH722" t="n">
        <v>60</v>
      </c>
      <c r="AI722" t="n">
        <v>5</v>
      </c>
      <c r="AJ722" t="n">
        <v>5</v>
      </c>
      <c r="AK722" t="n">
        <v>1</v>
      </c>
      <c r="AL722" t="n">
        <v>27</v>
      </c>
      <c r="AM722" t="inlineStr">
        <is>
          <t>TAYLOR &amp; FRANCIS INC</t>
        </is>
      </c>
      <c r="AN722" t="inlineStr">
        <is>
          <t>PHILADELPHIA</t>
        </is>
      </c>
      <c r="AO722" t="inlineStr">
        <is>
          <t>530 WALNUT STREET, STE 850, PHILADELPHIA, PA 19106 USA</t>
        </is>
      </c>
      <c r="AP722" t="inlineStr">
        <is>
          <t>1080-7039</t>
        </is>
      </c>
      <c r="AQ722" t="inlineStr">
        <is>
          <t>1549-7860</t>
        </is>
      </c>
      <c r="AS722" t="inlineStr">
        <is>
          <t>HUM ECOL RISK ASSESS</t>
        </is>
      </c>
      <c r="AT722" t="inlineStr">
        <is>
          <t>Hum. Ecol. Risk Assess.</t>
        </is>
      </c>
      <c r="AU722" t="inlineStr">
        <is>
          <t>NOV 25</t>
        </is>
      </c>
      <c r="AV722" t="n">
        <v>2020</v>
      </c>
      <c r="AW722" t="n">
        <v>26</v>
      </c>
      <c r="AX722" t="n">
        <v>10</v>
      </c>
      <c r="BC722" t="n">
        <v>2663</v>
      </c>
      <c r="BD722" t="n">
        <v>2677</v>
      </c>
      <c r="BF722" t="inlineStr">
        <is>
          <t>10.1080/10807039.2019.1676636</t>
        </is>
      </c>
      <c r="BG722">
        <f>HYPERLINK("http://dx.doi.org/10.1080/10807039.2019.1676636","http://dx.doi.org/10.1080/10807039.2019.1676636")</f>
        <v/>
      </c>
      <c r="BI722" t="inlineStr">
        <is>
          <t>OCT 2019</t>
        </is>
      </c>
      <c r="BJ722" t="n">
        <v>15</v>
      </c>
      <c r="BK722" t="inlineStr">
        <is>
          <t>Biodiversity Conservation; Environmental Sciences</t>
        </is>
      </c>
      <c r="BL722" t="inlineStr">
        <is>
          <t>Science Citation Index Expanded (SCI-EXPANDED)</t>
        </is>
      </c>
      <c r="BM722" t="inlineStr">
        <is>
          <t>Biodiversity &amp; Conservation; Environmental Sciences &amp; Ecology</t>
        </is>
      </c>
      <c r="BN722" t="inlineStr">
        <is>
          <t>OZ3RK</t>
        </is>
      </c>
      <c r="BS722" t="inlineStr">
        <is>
          <t>2023-10-26</t>
        </is>
      </c>
      <c r="BT722" t="inlineStr">
        <is>
          <t>WOS:000490914500001</t>
        </is>
      </c>
      <c r="BU722">
        <f>HYPERLINK("https%3A%2F%2Fwww.webofscience.com%2Fwos%2Fwoscc%2Ffull-record%2FWOS:000490914500001","View Full Record in Web of Science")</f>
        <v/>
      </c>
    </row>
    <row r="723">
      <c r="A723" t="inlineStr">
        <is>
          <t>J</t>
        </is>
      </c>
      <c r="B723" t="inlineStr">
        <is>
          <t>Ostertag, S; Bosic-Reiniger, J; Migliaccio, C; Zins, R</t>
        </is>
      </c>
      <c r="F723" t="inlineStr">
        <is>
          <t>Ostertag, Susan; Bosic-Reiniger, Jade; Migliaccio, Chris; Zins, Rachael</t>
        </is>
      </c>
      <c r="J723" t="inlineStr">
        <is>
          <t>INTERNATIONAL JOURNAL OF ENVIRONMENTAL RESEARCH AND PUBLIC HEALTH</t>
        </is>
      </c>
      <c r="M723" t="inlineStr">
        <is>
          <t>English</t>
        </is>
      </c>
      <c r="N723" t="inlineStr">
        <is>
          <t>Article</t>
        </is>
      </c>
      <c r="T723" t="inlineStr">
        <is>
          <t>Promoting Older Adult Health with Interprofessional Education through Community Based Health Screening</t>
        </is>
      </c>
      <c r="U723" t="inlineStr">
        <is>
          <t>interprofessional; teamwork; geriatrics; older adult; health screen</t>
        </is>
      </c>
      <c r="W723" t="inlineStr">
        <is>
          <t>IPHARM (ImProving Health Among Rural Montanans) is a university-based community health screening program that provides valuable interprofessional teamwork and clinical skills training for health care students while addressing the health of older adults. Students perform a variety of health care screenings dependent on the health care professions present and the requests of the community group served. Education, counseling, and recommendations for participants are provided by the interprofessional student teams under supervision and guidance from faculty and clinicians. Supported in part by federal grants such as the Health Service and Resource Administration Geriatric Workforce Enhancement Program (HRSA GWEP), IPHARM has provided interprofessional training for over 2100 students and conducted over 30,000 health screenings at 814 different community events. Surveys from students indicate that the experience promotes effective interprofessional team skills related to communication, an increased understanding of the roles and responsibilities of the health care team, and how to positively impact the health of older adults. These interprofessional screening events for older adults, conducted in the community by health professions students and faculty, help prepare the future workforce for collaborative and effective health care delivery. The purpose of this article is to describe the IPHARM objectives, methods, and impact this program has had on the health of older adults and the training of our future health care workforce.</t>
        </is>
      </c>
      <c r="X723" t="inlineStr">
        <is>
          <t>[Ostertag, Susan] Univ Montana, Sch Phys Therapy, Missoula, MT 59812 USA; [Bosic-Reiniger, Jade; Zins, Rachael] Univ Montana, Skaggs Sch Pharm, Missoula, MT 59812 USA; [Migliaccio, Chris] Univ Montana, Ctr Environm Hlth Sci, Missoula, MT 59812 USA</t>
        </is>
      </c>
      <c r="Y723" t="inlineStr">
        <is>
          <t>University of Montana System; University of Montana; University of Montana System; University of Montana; University of Montana System; University of Montana</t>
        </is>
      </c>
      <c r="Z723" t="inlineStr">
        <is>
          <t>Ostertag, S (corresponding author), Univ Montana, Sch Phys Therapy, Missoula, MT 59812 USA.</t>
        </is>
      </c>
      <c r="AA723" t="inlineStr">
        <is>
          <t>susan.ostertag@umontana.edu; jade.bosic-reiniger@mso.umt.edu; chris.migliaccio@mso.umt.edu; rachael.zins@umontana.edu</t>
        </is>
      </c>
      <c r="AC723" t="inlineStr">
        <is>
          <t>Ostertag, Susan/0000-0002-4076-8861</t>
        </is>
      </c>
      <c r="AD723" t="inlineStr">
        <is>
          <t>Montana Geriatric Workforce Enhancement Program - Health Resources and Services Administration (HRSA) of the US Dept of Health and Human Services [U1QHP28733]; Centers for Disease Control and Prevention [DP18-1817]</t>
        </is>
      </c>
      <c r="AE723" t="inlineStr">
        <is>
          <t>Montana Geriatric Workforce Enhancement Program - Health Resources and Services Administration (HRSA) of the US Dept of Health and Human Services; Centers for Disease Control and Prevention(United States Department of Health &amp; Human ServicesCenters for Disease Control &amp; Prevention - USA)</t>
        </is>
      </c>
      <c r="AF723" t="inlineStr">
        <is>
          <t>This program is primarily funded by the Montana Geriatric Workforce Enhancement Program, supported by the Health Resources and Services Administration (HRSA) of the US Dept of Health and Human Services. Current HRSA grant number U1QHP28733. Additional grant support provided through the Centers for Disease Control and Prevention grant DP18-1817.</t>
        </is>
      </c>
      <c r="AH723" t="n">
        <v>17</v>
      </c>
      <c r="AI723" t="n">
        <v>1</v>
      </c>
      <c r="AJ723" t="n">
        <v>1</v>
      </c>
      <c r="AK723" t="n">
        <v>2</v>
      </c>
      <c r="AL723" t="n">
        <v>4</v>
      </c>
      <c r="AM723" t="inlineStr">
        <is>
          <t>MDPI</t>
        </is>
      </c>
      <c r="AN723" t="inlineStr">
        <is>
          <t>BASEL</t>
        </is>
      </c>
      <c r="AO723" t="inlineStr">
        <is>
          <t>ST ALBAN-ANLAGE 66, CH-4052 BASEL, SWITZERLAND</t>
        </is>
      </c>
      <c r="AQ723" t="inlineStr">
        <is>
          <t>1660-4601</t>
        </is>
      </c>
      <c r="AS723" t="inlineStr">
        <is>
          <t>INT J ENV RES PUB HE</t>
        </is>
      </c>
      <c r="AT723" t="inlineStr">
        <is>
          <t>Int. J. Environ. Res. Public Health</t>
        </is>
      </c>
      <c r="AU723" t="inlineStr">
        <is>
          <t>JUN</t>
        </is>
      </c>
      <c r="AV723" t="n">
        <v>2022</v>
      </c>
      <c r="AW723" t="n">
        <v>19</v>
      </c>
      <c r="AX723" t="n">
        <v>11</v>
      </c>
      <c r="BE723" t="n">
        <v>6513</v>
      </c>
      <c r="BF723" t="inlineStr">
        <is>
          <t>10.3390/ijerph19116513</t>
        </is>
      </c>
      <c r="BG723">
        <f>HYPERLINK("http://dx.doi.org/10.3390/ijerph19116513","http://dx.doi.org/10.3390/ijerph19116513")</f>
        <v/>
      </c>
      <c r="BJ723" t="n">
        <v>10</v>
      </c>
      <c r="BK723" t="inlineStr">
        <is>
          <t>Environmental Sciences; Public, Environmental &amp; Occupational Health</t>
        </is>
      </c>
      <c r="BL723" t="inlineStr">
        <is>
          <t>Science Citation Index Expanded (SCI-EXPANDED); Social Science Citation Index (SSCI)</t>
        </is>
      </c>
      <c r="BM723" t="inlineStr">
        <is>
          <t>Environmental Sciences &amp; Ecology; Public, Environmental &amp; Occupational Health</t>
        </is>
      </c>
      <c r="BN723" t="inlineStr">
        <is>
          <t>1Z5UJ</t>
        </is>
      </c>
      <c r="BO723" t="n">
        <v>35682097</v>
      </c>
      <c r="BP723" t="inlineStr">
        <is>
          <t>Green Published, gold</t>
        </is>
      </c>
      <c r="BS723" t="inlineStr">
        <is>
          <t>2023-10-26</t>
        </is>
      </c>
      <c r="BT723" t="inlineStr">
        <is>
          <t>WOS:000808889000001</t>
        </is>
      </c>
      <c r="BU723">
        <f>HYPERLINK("https%3A%2F%2Fwww.webofscience.com%2Fwos%2Fwoscc%2Ffull-record%2FWOS:000808889000001","View Full Record in Web of Science")</f>
        <v/>
      </c>
    </row>
    <row r="724">
      <c r="A724" t="inlineStr">
        <is>
          <t>J</t>
        </is>
      </c>
      <c r="B724" t="inlineStr">
        <is>
          <t>Kujundzic, K; Vuckovic, SS; Radivojevic, A</t>
        </is>
      </c>
      <c r="F724" t="inlineStr">
        <is>
          <t>Kujundzic, Kosara; Vuckovic, Slavica Stamatovic; Radivojevic, Ana</t>
        </is>
      </c>
      <c r="J724" t="inlineStr">
        <is>
          <t>SUSTAINABILITY</t>
        </is>
      </c>
      <c r="M724" t="inlineStr">
        <is>
          <t>English</t>
        </is>
      </c>
      <c r="N724" t="inlineStr">
        <is>
          <t>Article</t>
        </is>
      </c>
      <c r="T724" t="inlineStr">
        <is>
          <t>Toward Regenerative Sustainability: A Passive Design Comfort Assessment Method of Indoor Environment</t>
        </is>
      </c>
      <c r="U724" t="inlineStr">
        <is>
          <t>regenerative sustainability; sustainable architecture; passive design; humane design; biophilic design; comfort; indoor environment; international sustainability certification systems</t>
        </is>
      </c>
      <c r="V724" t="inlineStr">
        <is>
          <t>THERMAL COMFORT; ARCHITECTURE; HEALTH; IMPACT</t>
        </is>
      </c>
      <c r="W724" t="inlineStr">
        <is>
          <t>The fact that people spend a major part of their lifetime indoors, together with the lethal COVID-19 pandemic which caused people to spend even more time inside buildings, has drawn attention to the significance of achieving Agenda 2030 SD goal number three: good health and well-being, in reference to the indoor environment. The research subject is the health and well-being of building users explored through the sustainable (passive) design principles having an impact on the comfort and quality of the indoor environment. It is set within a regenerative sustainability framework encompassing the physiological, biophilic, psychological and social aspects of comfort. The Comfort Assessment Model's categories, to some extent, rely on the first author's doctoral thesis, with further modifications regarding the passive design criteria and indicators. A comparative analysis of the model with international sustainability certification (rating) systems has been performed, proving the significance of introducing more passive design comfort (health) related criteria into sustainability assessment models. In addition, a focus group of expert architects contributed to the research conclusions by responding to a questionnaire addressing the issues of sustainability, comfort and passive design, in terms of the health and well-being of building users, which confirmed the relevance of applied passive design measures for providing comfort indoors and fulfilling sustainable development goals.</t>
        </is>
      </c>
      <c r="X724" t="inlineStr">
        <is>
          <t>[Kujundzic, Kosara] TEAM Ltd, Kotor 85330, Montenegro; [Vuckovic, Slavica Stamatovic] Univ Podgorica, Fac Architecture, Podgorica 81000, Montenegro; [Radivojevic, Ana] Univ Belgrade, Fac Architecture, Belgrade 11000, Serbia</t>
        </is>
      </c>
      <c r="Y724" t="inlineStr">
        <is>
          <t>University of Belgrade</t>
        </is>
      </c>
      <c r="Z724" t="inlineStr">
        <is>
          <t>Kujundzic, K (corresponding author), TEAM Ltd, Kotor 85330, Montenegro.</t>
        </is>
      </c>
      <c r="AA724" t="inlineStr">
        <is>
          <t>kosarak@gmail.com</t>
        </is>
      </c>
      <c r="AC724" t="inlineStr">
        <is>
          <t>Radivojevic, Ana/0000-0002-8145-4623; Kujundzic, Kosara/0000-0003-0031-4571</t>
        </is>
      </c>
      <c r="AH724" t="n">
        <v>79</v>
      </c>
      <c r="AI724" t="n">
        <v>1</v>
      </c>
      <c r="AJ724" t="n">
        <v>1</v>
      </c>
      <c r="AK724" t="n">
        <v>5</v>
      </c>
      <c r="AL724" t="n">
        <v>10</v>
      </c>
      <c r="AM724" t="inlineStr">
        <is>
          <t>MDPI</t>
        </is>
      </c>
      <c r="AN724" t="inlineStr">
        <is>
          <t>BASEL</t>
        </is>
      </c>
      <c r="AO724" t="inlineStr">
        <is>
          <t>ST ALBAN-ANLAGE 66, CH-4052 BASEL, SWITZERLAND</t>
        </is>
      </c>
      <c r="AQ724" t="inlineStr">
        <is>
          <t>2071-1050</t>
        </is>
      </c>
      <c r="AS724" t="inlineStr">
        <is>
          <t>SUSTAINABILITY-BASEL</t>
        </is>
      </c>
      <c r="AT724" t="inlineStr">
        <is>
          <t>Sustainability</t>
        </is>
      </c>
      <c r="AU724" t="inlineStr">
        <is>
          <t>JAN</t>
        </is>
      </c>
      <c r="AV724" t="n">
        <v>2023</v>
      </c>
      <c r="AW724" t="n">
        <v>15</v>
      </c>
      <c r="AX724" t="n">
        <v>1</v>
      </c>
      <c r="BE724" t="n">
        <v>840</v>
      </c>
      <c r="BF724" t="inlineStr">
        <is>
          <t>10.3390/su15010840</t>
        </is>
      </c>
      <c r="BG724">
        <f>HYPERLINK("http://dx.doi.org/10.3390/su15010840","http://dx.doi.org/10.3390/su15010840")</f>
        <v/>
      </c>
      <c r="BJ724" t="n">
        <v>33</v>
      </c>
      <c r="BK724" t="inlineStr">
        <is>
          <t>Green &amp; Sustainable Science &amp; Technology; Environmental Sciences; Environmental Studies</t>
        </is>
      </c>
      <c r="BL724" t="inlineStr">
        <is>
          <t>Science Citation Index Expanded (SCI-EXPANDED); Social Science Citation Index (SSCI)</t>
        </is>
      </c>
      <c r="BM724" t="inlineStr">
        <is>
          <t>Science &amp; Technology - Other Topics; Environmental Sciences &amp; Ecology</t>
        </is>
      </c>
      <c r="BN724" t="inlineStr">
        <is>
          <t>7Q4BI</t>
        </is>
      </c>
      <c r="BP724" t="inlineStr">
        <is>
          <t>gold</t>
        </is>
      </c>
      <c r="BS724" t="inlineStr">
        <is>
          <t>2023-10-26</t>
        </is>
      </c>
      <c r="BT724" t="inlineStr">
        <is>
          <t>WOS:000909337900001</t>
        </is>
      </c>
      <c r="BU724">
        <f>HYPERLINK("https%3A%2F%2Fwww.webofscience.com%2Fwos%2Fwoscc%2Ffull-record%2FWOS:000909337900001","View Full Record in Web of Science")</f>
        <v/>
      </c>
    </row>
    <row r="725">
      <c r="A725" t="inlineStr">
        <is>
          <t>J</t>
        </is>
      </c>
      <c r="B725" t="inlineStr">
        <is>
          <t>Baniassadi, A; Manor, B; Yu, WT; Travison, T; Lipsitz, L</t>
        </is>
      </c>
      <c r="F725" t="inlineStr">
        <is>
          <t>Baniassadi, Amir; Manor, Brad; Yu, Wanting; Travison, Thomas; Lipsitz, Lewis</t>
        </is>
      </c>
      <c r="J725" t="inlineStr">
        <is>
          <t>SCIENCE OF THE TOTAL ENVIRONMENT</t>
        </is>
      </c>
      <c r="M725" t="inlineStr">
        <is>
          <t>English</t>
        </is>
      </c>
      <c r="N725" t="inlineStr">
        <is>
          <t>Article</t>
        </is>
      </c>
      <c r="T725" t="inlineStr">
        <is>
          <t>Nighttime ambient temperature and sleep in community-dwelling older adults</t>
        </is>
      </c>
      <c r="U725" t="inlineStr">
        <is>
          <t>Sleep; Older adults; Temperature; Wearable; Environment</t>
        </is>
      </c>
      <c r="V725" t="inlineStr">
        <is>
          <t>THERMAL COMFORT; EXTREME HEAT; COGNITIVE PERFORMANCE; ENERGY EFFICIENCY; CLIMATE-CHANGE; PEOPLE; MEMORY; ADAPTATION; RESILIENCY; VALIDITY</t>
        </is>
      </c>
      <c r="W725" t="inlineStr">
        <is>
          <t>This longitudinal study examines the association between bedroom nighttime temperature and sleep quality in a sample of community dwelling older adults. Using wearable sleep monitors and environmental sensors, we assessed sleep duration, efficiency, and restlessness over an extended period within participants' homes while controlling for potential confounders and covariates. Our findings demonstrated that sleep was most efficient and restful when nighttime ambient temperature ranged between 20 and 25 degrees C, with a clinically relevant 5-10 % drop in sleep efficiency when the temperature increased from 25 degrees C to 30 degrees C. The associations were primarily nonlinear, and substantial between-subject variations were observed. These results highlight the potential to enhance sleep quality in older adults by optimizing home thermal environments and emphasize the importance of personalized temperature adjustments based on individual needs and circumstances. Additionally, our study underscores the potential impact of climate change on sleep quality in older adults, particularly those with lower socioeconomic status, and supports increasing their adaptive capacity in the face of a changing climate.</t>
        </is>
      </c>
      <c r="X725" t="inlineStr">
        <is>
          <t>[Baniassadi, Amir; Manor, Brad; Yu, Wanting; Travison, Thomas; Lipsitz, Lewis] Marcus Inst Aging Res, Boston, MA USA; [Baniassadi, Amir; Manor, Brad; Travison, Thomas; Lipsitz, Lewis] Harvard Med Sch, Boston, MA 02115 USA</t>
        </is>
      </c>
      <c r="Y725" t="inlineStr">
        <is>
          <t>Harvard University; Harvard Medical School</t>
        </is>
      </c>
      <c r="Z725" t="inlineStr">
        <is>
          <t>Baniassadi, A (corresponding author), Harvard Med Sch, Boston, MA 02115 USA.</t>
        </is>
      </c>
      <c r="AA725" t="inlineStr">
        <is>
          <t>amirbaniassadi@hsl.harvard.edu</t>
        </is>
      </c>
      <c r="AD725" t="inlineStr">
        <is>
          <t>TMCITY foundation; U.S. National Institute on Aging; [T32AG023480]</t>
        </is>
      </c>
      <c r="AE725" t="inlineStr">
        <is>
          <t>TMCITY foundation; U.S. National Institute on Aging(United States Department of Health &amp; Human ServicesNational Institutes of Health (NIH) - USANIH National Institute on Aging (NIA));</t>
        </is>
      </c>
      <c r="AF725" t="inlineStr">
        <is>
          <t>This study was supported by TMCITY foundation. Additionally, AB acknowledges support by a T32 fellowship through U.S. National Institute on Aging (T32AG023480) .</t>
        </is>
      </c>
      <c r="AH725" t="n">
        <v>63</v>
      </c>
      <c r="AI725" t="n">
        <v>0</v>
      </c>
      <c r="AJ725" t="n">
        <v>0</v>
      </c>
      <c r="AK725" t="n">
        <v>10</v>
      </c>
      <c r="AL725" t="n">
        <v>10</v>
      </c>
      <c r="AM725" t="inlineStr">
        <is>
          <t>ELSEVIER</t>
        </is>
      </c>
      <c r="AN725" t="inlineStr">
        <is>
          <t>AMSTERDAM</t>
        </is>
      </c>
      <c r="AO725" t="inlineStr">
        <is>
          <t>RADARWEG 29, 1043 NX AMSTERDAM, NETHERLANDS</t>
        </is>
      </c>
      <c r="AP725" t="inlineStr">
        <is>
          <t>0048-9697</t>
        </is>
      </c>
      <c r="AQ725" t="inlineStr">
        <is>
          <t>1879-1026</t>
        </is>
      </c>
      <c r="AS725" t="inlineStr">
        <is>
          <t>SCI TOTAL ENVIRON</t>
        </is>
      </c>
      <c r="AT725" t="inlineStr">
        <is>
          <t>Sci. Total Environ.</t>
        </is>
      </c>
      <c r="AU725" t="inlineStr">
        <is>
          <t>NOV 15</t>
        </is>
      </c>
      <c r="AV725" t="n">
        <v>2023</v>
      </c>
      <c r="AW725" t="n">
        <v>899</v>
      </c>
      <c r="BE725" t="n">
        <v>165623</v>
      </c>
      <c r="BF725" t="inlineStr">
        <is>
          <t>10.1016/j.scitotenv.2023.165623</t>
        </is>
      </c>
      <c r="BG725">
        <f>HYPERLINK("http://dx.doi.org/10.1016/j.scitotenv.2023.165623","http://dx.doi.org/10.1016/j.scitotenv.2023.165623")</f>
        <v/>
      </c>
      <c r="BJ725" t="n">
        <v>9</v>
      </c>
      <c r="BK725" t="inlineStr">
        <is>
          <t>Environmental Sciences</t>
        </is>
      </c>
      <c r="BL725" t="inlineStr">
        <is>
          <t>Science Citation Index Expanded (SCI-EXPANDED)</t>
        </is>
      </c>
      <c r="BM725" t="inlineStr">
        <is>
          <t>Environmental Sciences &amp; Ecology</t>
        </is>
      </c>
      <c r="BN725" t="inlineStr">
        <is>
          <t>Q1GG0</t>
        </is>
      </c>
      <c r="BO725" t="n">
        <v>37474050</v>
      </c>
      <c r="BS725" t="inlineStr">
        <is>
          <t>2023-10-26</t>
        </is>
      </c>
      <c r="BT725" t="inlineStr">
        <is>
          <t>WOS:001055063800001</t>
        </is>
      </c>
      <c r="BU725">
        <f>HYPERLINK("https%3A%2F%2Fwww.webofscience.com%2Fwos%2Fwoscc%2Ffull-record%2FWOS:001055063800001","View Full Record in Web of Science")</f>
        <v/>
      </c>
    </row>
    <row r="726">
      <c r="A726" t="inlineStr">
        <is>
          <t>J</t>
        </is>
      </c>
      <c r="B726" t="inlineStr">
        <is>
          <t>Falvey, JR; Ye, JZ; Parker, EA; Beamer, BA; Addison, O</t>
        </is>
      </c>
      <c r="F726" t="inlineStr">
        <is>
          <t>Falvey, Jason R.; Ye, Joanna Z.; Parker, Elizabeth A.; Beamer, Brock A.; Addison, Odessa</t>
        </is>
      </c>
      <c r="J726" t="inlineStr">
        <is>
          <t>INTERNATIONAL JOURNAL OF ENVIRONMENTAL RESEARCH AND PUBLIC HEALTH</t>
        </is>
      </c>
      <c r="M726" t="inlineStr">
        <is>
          <t>English</t>
        </is>
      </c>
      <c r="N726" t="inlineStr">
        <is>
          <t>Article</t>
        </is>
      </c>
      <c r="T726" t="inlineStr">
        <is>
          <t>Rehabilitation Outcomes among Frail Older Adults in the United States</t>
        </is>
      </c>
      <c r="U726" t="inlineStr">
        <is>
          <t>frailty; older adults; rehabilitation; physical therapy</t>
        </is>
      </c>
      <c r="V726" t="inlineStr">
        <is>
          <t>DISABILITY</t>
        </is>
      </c>
      <c r="W726" t="inlineStr">
        <is>
          <t>Background: Current rehabilitation care paradigms are not well aligned with the needs of frail older adults, but the resultant impact on rehabilitation outcomes is unclear. Understanding how frailty may impact rehabilitation outcomes, and understanding some of the underlying mechanisms, may help inform payment policy changes. Design: This study was a cross-sectional analysis of data from Round 5 of the National Health and Aging and Trends Study (NHATS). We identified older adults who had completed one or more episodes of rehabilitation care and used a validated 5-item NHATS Fried Frailty scale to categorize patients as frail (3/5 or more) or non-frail (&lt;= 2/5). We then evaluated the association between frailty status and three key patient outcomes: (1) achievement of rehabilitation goals, (2) functional improvement during rehabilitation episodes, and (3) discontinuation of therapy after exhausting insurance benefits. Lastly, we used multivariable, survey-weighted logistic regression models to estimate adjusted relationships between frailty and rehabilitation outcomes. Results: An estimated 5.6 million survey-weighted older adults in the United States (95% CI 5.1 to 6.0 million) completed an episode of rehabilitation in the past year, an estimated 1,271,290 (95% CI 921,758 to 1,620,822; weighted: 22.8%) of whom were frail. Frail rehabilitation recipients were generally older, had a greater comorbidity burden, and had a higher prevalence of dementia. In adjusted models, frailty was associated with poorer functional outcomes, a lower probability of meeting rehabilitation goals and a greater likelihood of exhausting rehabilitation insurance benefits. Conclusions: Exercise is a well-supported intervention for the management of frailty, but our results suggest that frail older adults are not getting the volume or intensity of rehabilitation treatment needed to maximally improve outcomes-in part due to limited payer coverage of rehabilitation services in the United States.</t>
        </is>
      </c>
      <c r="X726" t="inlineStr">
        <is>
          <t>[Falvey, Jason R.; Ye, Joanna Z.; Parker, Elizabeth A.; Addison, Odessa] Univ Maryland, Sch Med, Dept Phys Therapy &amp; Rehabil Sci, Baltimore, MD 21201 USA; [Falvey, Jason R.] Univ Maryland, Sch Med, Dept Epidemiol &amp; Publ Hlth, Baltimore, MD 21201 USA; [Beamer, Brock A.; Addison, Odessa] Geriatr Res Educ &amp; Clin Ctr, Dept Vet Affairs, Baltimore, MD 21201 USA; [Beamer, Brock A.; Addison, Odessa] Geriatr Res Educ &amp; Clin Ctr, Vet Affairs Med Ctr Baltimore, Baltimore, MD 21201 USA</t>
        </is>
      </c>
      <c r="Y726" t="inlineStr">
        <is>
          <t>University System of Maryland; University of Maryland Baltimore; University System of Maryland; University of Maryland Baltimore; Geriatric Research Education &amp; Clinical Center; Geriatric Research Education &amp; Clinical Center</t>
        </is>
      </c>
      <c r="Z726" t="inlineStr">
        <is>
          <t>Falvey, JR (corresponding author), Univ Maryland, Sch Med, Dept Phys Therapy &amp; Rehabil Sci, Baltimore, MD 21201 USA.;Falvey, JR (corresponding author), Univ Maryland, Sch Med, Dept Epidemiol &amp; Publ Hlth, Baltimore, MD 21201 USA.</t>
        </is>
      </c>
      <c r="AA726" t="inlineStr">
        <is>
          <t>jfalvey@som.umaryland.edu</t>
        </is>
      </c>
      <c r="AB726" t="inlineStr">
        <is>
          <t>Falvey, Jason/GRR-9440-2022</t>
        </is>
      </c>
      <c r="AC726" t="inlineStr">
        <is>
          <t>Addison, Odessa/0000-0002-8801-7231; Parker, Elizabeth/0000-0001-7403-3217</t>
        </is>
      </c>
      <c r="AD726" t="inlineStr">
        <is>
          <t>National Institute on Aging; Maryland Claude D. Pepper Center [K76AG074926, P30AG028747]; Career Development Award from the American Heart Association [19CDA34660015/Elizabeth Parker/2019]; University of Maryland Health Sciences and Human Services Library's Open Access Fund</t>
        </is>
      </c>
      <c r="AE726" t="inlineStr">
        <is>
          <t>National Institute on Aging(United States Department of Health &amp; Human ServicesNational Institutes of Health (NIH) - USANIH National Institute on Aging (NIA)); Maryland Claude D. Pepper Center; Career Development Award from the American Heart Association; University of Maryland Health Sciences and Human Services Library's Open Access Fund</t>
        </is>
      </c>
      <c r="AF726" t="inlineStr">
        <is>
          <t>Falvey was supported during the work by a career development award from the National Institute on Aging and a Scholar Career Development Award from the Maryland Claude D. Pepper Center (grant numbers K76AG074926 and P30AG028747). Parker was supported during the work by a Career Development Award from the American Heart Association (E.A.P., 19CDA34660015/Elizabeth Parker/2019) and salary support from the Baltimore Veterans Affairs Medical Center Geriatric Research, Education, and Clinical Center (GRECC). Partial funding for open access was also provided by the University of Maryland Health Sciences and Human Services Library's Open Access Fund.</t>
        </is>
      </c>
      <c r="AH726" t="n">
        <v>16</v>
      </c>
      <c r="AI726" t="n">
        <v>1</v>
      </c>
      <c r="AJ726" t="n">
        <v>1</v>
      </c>
      <c r="AK726" t="n">
        <v>2</v>
      </c>
      <c r="AL726" t="n">
        <v>2</v>
      </c>
      <c r="AM726" t="inlineStr">
        <is>
          <t>MDPI</t>
        </is>
      </c>
      <c r="AN726" t="inlineStr">
        <is>
          <t>BASEL</t>
        </is>
      </c>
      <c r="AO726" t="inlineStr">
        <is>
          <t>ST ALBAN-ANLAGE 66, CH-4052 BASEL, SWITZERLAND</t>
        </is>
      </c>
      <c r="AQ726" t="inlineStr">
        <is>
          <t>1660-4601</t>
        </is>
      </c>
      <c r="AS726" t="inlineStr">
        <is>
          <t>INT J ENV RES PUB HE</t>
        </is>
      </c>
      <c r="AT726" t="inlineStr">
        <is>
          <t>Int. J. Environ. Res. Public Health</t>
        </is>
      </c>
      <c r="AU726" t="inlineStr">
        <is>
          <t>SEP</t>
        </is>
      </c>
      <c r="AV726" t="n">
        <v>2022</v>
      </c>
      <c r="AW726" t="n">
        <v>19</v>
      </c>
      <c r="AX726" t="n">
        <v>17</v>
      </c>
      <c r="BE726" t="n">
        <v>11021</v>
      </c>
      <c r="BF726" t="inlineStr">
        <is>
          <t>10.3390/ijerph191711021</t>
        </is>
      </c>
      <c r="BG726">
        <f>HYPERLINK("http://dx.doi.org/10.3390/ijerph191711021","http://dx.doi.org/10.3390/ijerph191711021")</f>
        <v/>
      </c>
      <c r="BJ726" t="n">
        <v>10</v>
      </c>
      <c r="BK726" t="inlineStr">
        <is>
          <t>Environmental Sciences; Public, Environmental &amp; Occupational Health</t>
        </is>
      </c>
      <c r="BL726" t="inlineStr">
        <is>
          <t>Science Citation Index Expanded (SCI-EXPANDED); Social Science Citation Index (SSCI)</t>
        </is>
      </c>
      <c r="BM726" t="inlineStr">
        <is>
          <t>Environmental Sciences &amp; Ecology; Public, Environmental &amp; Occupational Health</t>
        </is>
      </c>
      <c r="BN726" t="inlineStr">
        <is>
          <t>4L3BY</t>
        </is>
      </c>
      <c r="BO726" t="n">
        <v>36078737</v>
      </c>
      <c r="BP726" t="inlineStr">
        <is>
          <t>Green Published, gold</t>
        </is>
      </c>
      <c r="BS726" t="inlineStr">
        <is>
          <t>2023-10-26</t>
        </is>
      </c>
      <c r="BT726" t="inlineStr">
        <is>
          <t>WOS:000852507800001</t>
        </is>
      </c>
      <c r="BU726">
        <f>HYPERLINK("https%3A%2F%2Fwww.webofscience.com%2Fwos%2Fwoscc%2Ffull-record%2FWOS:000852507800001","View Full Record in Web of Science")</f>
        <v/>
      </c>
    </row>
    <row r="727">
      <c r="A727" t="inlineStr">
        <is>
          <t>J</t>
        </is>
      </c>
      <c r="B727" t="inlineStr">
        <is>
          <t>Yang, CC; Yang, SY; Chang, YC</t>
        </is>
      </c>
      <c r="F727" t="inlineStr">
        <is>
          <t>Yang, Cheng-Chia; Yang, Shang-Yu; Chang, Yu-Chia</t>
        </is>
      </c>
      <c r="J727" t="inlineStr">
        <is>
          <t>INTERNATIONAL JOURNAL OF ENVIRONMENTAL RESEARCH AND PUBLIC HEALTH</t>
        </is>
      </c>
      <c r="M727" t="inlineStr">
        <is>
          <t>English</t>
        </is>
      </c>
      <c r="N727" t="inlineStr">
        <is>
          <t>Article</t>
        </is>
      </c>
      <c r="T727" t="inlineStr">
        <is>
          <t>Predicting Older Adults' Mobile Payment Adoption: An Extended TAM Model</t>
        </is>
      </c>
      <c r="U727" t="inlineStr">
        <is>
          <t>mobile payment; older adults; behavioral intention; influence factor</t>
        </is>
      </c>
      <c r="V727" t="inlineStr">
        <is>
          <t>TECHNOLOGY ACCEPTANCE MODEL; PERCEIVED RISK; INFORMATION-TECHNOLOGY; CONSUMER ACCEPTANCE; ELECTRONIC COMMERCE; INTEGRATING TRUST; SOCIAL-INFLUENCE; USER ACCEPTANCE; ELDERLY-PEOPLE; ONLINE</t>
        </is>
      </c>
      <c r="W727" t="inlineStr">
        <is>
          <t>This study adopted an advanced model, combining the technology acceptance model, the theory of reasoned action, the diffusion of innovations, trust, and five aspects of perceived risk, to measure the factors that influence the behavioral intentions of older adults to use mobile payments. A total of 365 questionnaires were collected from older adults aged 55 years or older from 20 community care sites in central Taiwan. Partial least-squares structural equation modeling was used to test our research model. The results showed that attitude was the main determinant of M-payment in older adults. Moreover, increasing the usefulness, ease of use, and observability of M-payment helped older adults improve their attitudes toward M-payment, thereby increasing their intention to use it. Trust had a significant effect on the usefulness and ease of use of M-payment, while the main factors affecting trust were only performance and financial risks.</t>
        </is>
      </c>
      <c r="X727" t="inlineStr">
        <is>
          <t>[Yang, Cheng-Chia; Yang, Shang-Yu; Chang, Yu-Chia] Asia Univ, Dept Hlthcare Adm, Taichung 41354, Taiwan; [Chang, Yu-Chia] Natl Quemoy Univ, Dept Long Term Care, Jinning 892009, Taiwan</t>
        </is>
      </c>
      <c r="Y727" t="inlineStr">
        <is>
          <t>Asia University Taiwan</t>
        </is>
      </c>
      <c r="Z727" t="inlineStr">
        <is>
          <t>Chang, YC (corresponding author), Asia Univ, Dept Hlthcare Adm, Taichung 41354, Taiwan.;Chang, YC (corresponding author), Natl Quemoy Univ, Dept Long Term Care, Jinning 892009, Taiwan.</t>
        </is>
      </c>
      <c r="AA727" t="inlineStr">
        <is>
          <t>ycchang@email.nqu.edu.tw</t>
        </is>
      </c>
      <c r="AB727" t="inlineStr">
        <is>
          <t>Yang, Cheng-Chia/ACO-1467-2022; Chang, Yu-Chia/IUP-6563-2023</t>
        </is>
      </c>
      <c r="AC727" t="inlineStr">
        <is>
          <t>Yang, Cheng-Chia/0000-0003-0579-7015; Yang, Shang-Yu/0000-0001-6690-7420; Chang, Yu-Chia/0000-0002-7347-0615</t>
        </is>
      </c>
      <c r="AH727" t="n">
        <v>89</v>
      </c>
      <c r="AI727" t="n">
        <v>2</v>
      </c>
      <c r="AJ727" t="n">
        <v>2</v>
      </c>
      <c r="AK727" t="n">
        <v>22</v>
      </c>
      <c r="AL727" t="n">
        <v>38</v>
      </c>
      <c r="AM727" t="inlineStr">
        <is>
          <t>MDPI</t>
        </is>
      </c>
      <c r="AN727" t="inlineStr">
        <is>
          <t>BASEL</t>
        </is>
      </c>
      <c r="AO727" t="inlineStr">
        <is>
          <t>ST ALBAN-ANLAGE 66, CH-4052 BASEL, SWITZERLAND</t>
        </is>
      </c>
      <c r="AQ727" t="inlineStr">
        <is>
          <t>1660-4601</t>
        </is>
      </c>
      <c r="AS727" t="inlineStr">
        <is>
          <t>INT J ENV RES PUB HE</t>
        </is>
      </c>
      <c r="AT727" t="inlineStr">
        <is>
          <t>Int. J. Environ. Res. Public Health</t>
        </is>
      </c>
      <c r="AU727" t="inlineStr">
        <is>
          <t>JAN</t>
        </is>
      </c>
      <c r="AV727" t="n">
        <v>2023</v>
      </c>
      <c r="AW727" t="n">
        <v>20</v>
      </c>
      <c r="AX727" t="n">
        <v>2</v>
      </c>
      <c r="BE727" t="n">
        <v>1391</v>
      </c>
      <c r="BF727" t="inlineStr">
        <is>
          <t>10.3390/ijerph20021391</t>
        </is>
      </c>
      <c r="BG727">
        <f>HYPERLINK("http://dx.doi.org/10.3390/ijerph20021391","http://dx.doi.org/10.3390/ijerph20021391")</f>
        <v/>
      </c>
      <c r="BJ727" t="n">
        <v>17</v>
      </c>
      <c r="BK727" t="inlineStr">
        <is>
          <t>Environmental Sciences; Public, Environmental &amp; Occupational Health</t>
        </is>
      </c>
      <c r="BL727" t="inlineStr">
        <is>
          <t>Science Citation Index Expanded (SCI-EXPANDED); Social Science Citation Index (SSCI)</t>
        </is>
      </c>
      <c r="BM727" t="inlineStr">
        <is>
          <t>Environmental Sciences &amp; Ecology; Public, Environmental &amp; Occupational Health</t>
        </is>
      </c>
      <c r="BN727" t="inlineStr">
        <is>
          <t>7Y0MF</t>
        </is>
      </c>
      <c r="BO727" t="n">
        <v>36674145</v>
      </c>
      <c r="BP727" t="inlineStr">
        <is>
          <t>Green Published, gold</t>
        </is>
      </c>
      <c r="BS727" t="inlineStr">
        <is>
          <t>2023-10-26</t>
        </is>
      </c>
      <c r="BT727" t="inlineStr">
        <is>
          <t>WOS:000914584000001</t>
        </is>
      </c>
      <c r="BU727">
        <f>HYPERLINK("https%3A%2F%2Fwww.webofscience.com%2Fwos%2Fwoscc%2Ffull-record%2FWOS:000914584000001","View Full Record in Web of Science")</f>
        <v/>
      </c>
    </row>
    <row r="728">
      <c r="A728" t="inlineStr">
        <is>
          <t>J</t>
        </is>
      </c>
      <c r="B728" t="inlineStr">
        <is>
          <t>Chang, HKY; Do, Y; Ahn, J</t>
        </is>
      </c>
      <c r="F728" t="inlineStr">
        <is>
          <t>Chang, HeeKyung; Do, YoungJoo; Ahn, JinYeong</t>
        </is>
      </c>
      <c r="J728" t="inlineStr">
        <is>
          <t>INTERNATIONAL JOURNAL OF ENVIRONMENTAL RESEARCH AND PUBLIC HEALTH</t>
        </is>
      </c>
      <c r="M728" t="inlineStr">
        <is>
          <t>English</t>
        </is>
      </c>
      <c r="N728" t="inlineStr">
        <is>
          <t>Review</t>
        </is>
      </c>
      <c r="T728" t="inlineStr">
        <is>
          <t>Digital Storytelling as an Intervention for Older Adults: A Scoping Review</t>
        </is>
      </c>
      <c r="U728" t="inlineStr">
        <is>
          <t>digital; storytelling; intergeneration; older adults; review</t>
        </is>
      </c>
      <c r="V728" t="inlineStr">
        <is>
          <t>PEOPLE; DEMENTIA; STORIES; CONVERSATIONS; WORKSHOP</t>
        </is>
      </c>
      <c r="W728" t="inlineStr">
        <is>
          <t>The population of older adults is rapidly increasing worldwide. Owing to fewer interactions between generations, older adults experience ageism and various psychological issues, such as depression and loneliness. Digital storytelling (DST) has the potential to share vivid lived experiences, support the forming of social relationships, and lead to improved well-being. This scoping review examines the potential psychosocial benefits of individual DST interventions for older adults and people with dementia. We adopted the methodological framework for scoping reviews outlined in the Joanna Briggs Institute's (JBI) manual. A scoping review was performed using the following bibliographic databases: Web of Science, PubMed, Cochrane Library, CINAHL, Research Information Sharing Service, and National Assembly Library. There were 395 references retrieved, of which 19 articles were selected after applying inclusion and exclusion criteria. Our findings revealed that the most common effects of DST on older adults included the promotion of mental health, an increased amount of meaningful community connections, greater digital literacy, the mitigation of negative ageism, and enhanced intellectual ability. We suggest randomized controlled trials are conducted to confirm the efficacy of intergenerational DST intervention and the effects of DST interventions at multilevel outcomes, including the community level.</t>
        </is>
      </c>
      <c r="X728" t="inlineStr">
        <is>
          <t>[Chang, HeeKyung] Gyeongsang Natl Univ, Gerontol Hlth Res Ctr, Inst Hlth Sci, Coll Nursing, Jinju Si 52727, Gyeongsangnam D, South Korea; [Do, YoungJoo] Gyeongsang Natl Univ, Coll Nursing, Jinju Si 52727, Gyeongsangnam D, South Korea; [Ahn, JinYeong] Gyeongsang Natl Univ, Gerontol Hlth Res Ctr, Inst Hlth Sci, Jinju Si 52727, Gyeongsangnam D, South Korea</t>
        </is>
      </c>
      <c r="Y728" t="inlineStr">
        <is>
          <t>Gyeongsang National University; Gyeongsang National University; Gyeongsang National University</t>
        </is>
      </c>
      <c r="Z728" t="inlineStr">
        <is>
          <t>Ahn, J (corresponding author), Gyeongsang Natl Univ, Gerontol Hlth Res Ctr, Inst Hlth Sci, Jinju Si 52727, Gyeongsangnam D, South Korea.</t>
        </is>
      </c>
      <c r="AA728" t="inlineStr">
        <is>
          <t>rucretia@gnu.ac.kr</t>
        </is>
      </c>
      <c r="AC728" t="inlineStr">
        <is>
          <t>Do, Youngjoo/0000-0003-4429-4306; Ahn, jinyeong/0000-0003-2282-7650; Chang, Hee Kyung/0000-0003-3581-9430</t>
        </is>
      </c>
      <c r="AD728" t="inlineStr">
        <is>
          <t>National Research Foundation of Korea (NRF) - Ministry of Science and ICT, Government of Korea (MSIT) [2021R1F1A105647911]</t>
        </is>
      </c>
      <c r="AE728" t="inlineStr">
        <is>
          <t>National Research Foundation of Korea (NRF) - Ministry of Science and ICT, Government of Korea (MSIT)</t>
        </is>
      </c>
      <c r="AF728" t="inlineStr">
        <is>
          <t>This work was supported by a National Research Foundation of Korea (NRF) and grant funded by the Ministry of Science and ICT, Government of Korea (MSIT) (No. 2021R1F1A105647911).</t>
        </is>
      </c>
      <c r="AH728" t="n">
        <v>36</v>
      </c>
      <c r="AI728" t="n">
        <v>0</v>
      </c>
      <c r="AJ728" t="n">
        <v>0</v>
      </c>
      <c r="AK728" t="n">
        <v>18</v>
      </c>
      <c r="AL728" t="n">
        <v>29</v>
      </c>
      <c r="AM728" t="inlineStr">
        <is>
          <t>MDPI</t>
        </is>
      </c>
      <c r="AN728" t="inlineStr">
        <is>
          <t>BASEL</t>
        </is>
      </c>
      <c r="AO728" t="inlineStr">
        <is>
          <t>ST ALBAN-ANLAGE 66, CH-4052 BASEL, SWITZERLAND</t>
        </is>
      </c>
      <c r="AQ728" t="inlineStr">
        <is>
          <t>1660-4601</t>
        </is>
      </c>
      <c r="AS728" t="inlineStr">
        <is>
          <t>INT J ENV RES PUB HE</t>
        </is>
      </c>
      <c r="AT728" t="inlineStr">
        <is>
          <t>Int. J. Environ. Res. Public Health</t>
        </is>
      </c>
      <c r="AU728" t="inlineStr">
        <is>
          <t>JAN</t>
        </is>
      </c>
      <c r="AV728" t="n">
        <v>2023</v>
      </c>
      <c r="AW728" t="n">
        <v>20</v>
      </c>
      <c r="AX728" t="n">
        <v>2</v>
      </c>
      <c r="BE728" t="n">
        <v>1344</v>
      </c>
      <c r="BF728" t="inlineStr">
        <is>
          <t>10.3390/ijerph20021344</t>
        </is>
      </c>
      <c r="BG728">
        <f>HYPERLINK("http://dx.doi.org/10.3390/ijerph20021344","http://dx.doi.org/10.3390/ijerph20021344")</f>
        <v/>
      </c>
      <c r="BJ728" t="n">
        <v>17</v>
      </c>
      <c r="BK728" t="inlineStr">
        <is>
          <t>Environmental Sciences; Public, Environmental &amp; Occupational Health</t>
        </is>
      </c>
      <c r="BL728" t="inlineStr">
        <is>
          <t>Science Citation Index Expanded (SCI-EXPANDED); Social Science Citation Index (SSCI)</t>
        </is>
      </c>
      <c r="BM728" t="inlineStr">
        <is>
          <t>Environmental Sciences &amp; Ecology; Public, Environmental &amp; Occupational Health</t>
        </is>
      </c>
      <c r="BN728" t="inlineStr">
        <is>
          <t>7Z0CS</t>
        </is>
      </c>
      <c r="BO728" t="n">
        <v>36674100</v>
      </c>
      <c r="BP728" t="inlineStr">
        <is>
          <t>gold, Green Published</t>
        </is>
      </c>
      <c r="BS728" t="inlineStr">
        <is>
          <t>2023-10-26</t>
        </is>
      </c>
      <c r="BT728" t="inlineStr">
        <is>
          <t>WOS:000915235900001</t>
        </is>
      </c>
      <c r="BU728">
        <f>HYPERLINK("https%3A%2F%2Fwww.webofscience.com%2Fwos%2Fwoscc%2Ffull-record%2FWOS:000915235900001","View Full Record in Web of Science")</f>
        <v/>
      </c>
    </row>
    <row r="729">
      <c r="A729" t="inlineStr">
        <is>
          <t>J</t>
        </is>
      </c>
      <c r="B729" t="inlineStr">
        <is>
          <t>Battisti, A; Calcagni, L; Calenzo, A; Angelozzi, A; Errigo, M; Marceca, M; Iorio, S</t>
        </is>
      </c>
      <c r="F729" t="inlineStr">
        <is>
          <t>Battisti, Alessandra; Calcagni, Livia; Calenzo, Alberto; Angelozzi, Aurora; Errigo, Miriam; Marceca, Maurizio; Iorio, Silvia</t>
        </is>
      </c>
      <c r="J729" t="inlineStr">
        <is>
          <t>SUSTAINABILITY</t>
        </is>
      </c>
      <c r="M729" t="inlineStr">
        <is>
          <t>English</t>
        </is>
      </c>
      <c r="N729" t="inlineStr">
        <is>
          <t>Article</t>
        </is>
      </c>
      <c r="T729" t="inlineStr">
        <is>
          <t>Urban Health: Assessment of Indoor Environment Spillovers on Health in a Distressed Urban Area of Rome</t>
        </is>
      </c>
      <c r="U729" t="inlineStr">
        <is>
          <t>indoor environmental quality (IEQ); indoor health; social determinants; multidisciplinary approach; regeneration strategies; spatial segregation</t>
        </is>
      </c>
      <c r="V729" t="inlineStr">
        <is>
          <t>SOCIAL DETERMINANTS; INEQUALITIES; TIME; PERFORMANCE</t>
        </is>
      </c>
      <c r="W729" t="inlineStr">
        <is>
          <t>It is notable that indoor environment quality plays a crucial role in guaranteeing health, especially if we consider that people spend more than 90% of their time indoors, a percentage that increases for people on low income. This role assumes even further significance when dealing with distressed urban areas, vulnerable areas within cities that suffer from multiple deprivations. The community-based interdisciplinary research-action group of the University La Sapienza focused on a complex in the outskirts of Rome. The aim was to assess the correlations between architectural aspects of the indoor environment, socio-economic conditions, such as lifestyles and housing conditions, and eventually health outcomes. The intent of providing a comparative methodology in a context where official data is hard to find, led to the integration of social, health, and housing questionnaires with various environmental software simulations. What emerged is that underprivileged housing conditions, characterized by mold, humidity, unhealthiness, thermohygrometric discomfort, architectural barriers, and overcrowding, are often associated with recurrent pathologies linked to arthritis, respiratory diseases, and domestic accidents.</t>
        </is>
      </c>
      <c r="X729" t="inlineStr">
        <is>
          <t>[Battisti, Alessandra; Calcagni, Livia; Calenzo, Alberto] Sapienza Univ Rome, Dept Planning Design &amp; Technol Architecture, I-00196 Rome, Italy; [Angelozzi, Aurora; Marceca, Maurizio] Sapienza Univ Rome, Dept Publ Hlth &amp; Infect Dis, I-00185 Rome, Italy; [Errigo, Miriam] Sapienza Univ Rome, Dept Social Sci &amp; Econ, I-00185 Rome, Italy; [Iorio, Silvia] Sapienza Univ Rome, Dept Med Surg Sci &amp; Biotechnol, Unit Hist Med &amp; Bioeth, I-00185 Rome, Italy</t>
        </is>
      </c>
      <c r="Y729" t="inlineStr">
        <is>
          <t>Sapienza University Rome; Sapienza University Rome; Sapienza University Rome; Sapienza University Rome</t>
        </is>
      </c>
      <c r="Z729" t="inlineStr">
        <is>
          <t>Battisti, A (corresponding author), Sapienza Univ Rome, Dept Planning Design &amp; Technol Architecture, I-00196 Rome, Italy.</t>
        </is>
      </c>
      <c r="AA729" t="inlineStr">
        <is>
          <t>alessandra.battisti@uniroma1.it; liviacalcagni@gmail.com; alberto.calenzo@gmail.com; aurora.angelozzi@uniroma1.it; m.errigo93@gmail.com; maurizio.marceca@uniroma1.it; silvia.iorio@uniroma1.it</t>
        </is>
      </c>
      <c r="AB729" t="inlineStr">
        <is>
          <t>Calcagni, Livia/AAT-2080-2021</t>
        </is>
      </c>
      <c r="AC729" t="inlineStr">
        <is>
          <t>Calcagni, Livia/0000-0002-8020-6054; BATTISTI, Alessandra/0000-0002-3288-9321; Calenzo, Alberto/0000-0002-7522-1882</t>
        </is>
      </c>
      <c r="AD729" t="inlineStr">
        <is>
          <t>MIUR (Ministry of University and Research) 20 delle attivita di base di ricerca della Prof. Alessandra Battisti [RM120172B3B15DB9]; Sapienza University of Rome</t>
        </is>
      </c>
      <c r="AE729" t="inlineStr">
        <is>
          <t>MIUR (Ministry of University and Research) 20 delle attivita di base di ricerca della Prof. Alessandra Battisti; Sapienza University of Rome</t>
        </is>
      </c>
      <c r="AF729" t="inlineStr">
        <is>
          <t>This research was funded by MIUR (Ministry of University and Research) 20 delle attivita di base di ricerca della Prof. Alessandra Battisti, grant number RM120172B3B15DB9and The APC was funded by Sapienza University of Rome.</t>
        </is>
      </c>
      <c r="AH729" t="n">
        <v>43</v>
      </c>
      <c r="AI729" t="n">
        <v>3</v>
      </c>
      <c r="AJ729" t="n">
        <v>3</v>
      </c>
      <c r="AK729" t="n">
        <v>0</v>
      </c>
      <c r="AL729" t="n">
        <v>7</v>
      </c>
      <c r="AM729" t="inlineStr">
        <is>
          <t>MDPI</t>
        </is>
      </c>
      <c r="AN729" t="inlineStr">
        <is>
          <t>BASEL</t>
        </is>
      </c>
      <c r="AO729" t="inlineStr">
        <is>
          <t>ST ALBAN-ANLAGE 66, CH-4052 BASEL, SWITZERLAND</t>
        </is>
      </c>
      <c r="AQ729" t="inlineStr">
        <is>
          <t>2071-1050</t>
        </is>
      </c>
      <c r="AS729" t="inlineStr">
        <is>
          <t>SUSTAINABILITY-BASEL</t>
        </is>
      </c>
      <c r="AT729" t="inlineStr">
        <is>
          <t>Sustainability</t>
        </is>
      </c>
      <c r="AU729" t="inlineStr">
        <is>
          <t>MAY</t>
        </is>
      </c>
      <c r="AV729" t="n">
        <v>2021</v>
      </c>
      <c r="AW729" t="n">
        <v>13</v>
      </c>
      <c r="AX729" t="n">
        <v>10</v>
      </c>
      <c r="BE729" t="n">
        <v>5760</v>
      </c>
      <c r="BF729" t="inlineStr">
        <is>
          <t>10.3390/su13105760</t>
        </is>
      </c>
      <c r="BG729">
        <f>HYPERLINK("http://dx.doi.org/10.3390/su13105760","http://dx.doi.org/10.3390/su13105760")</f>
        <v/>
      </c>
      <c r="BJ729" t="n">
        <v>20</v>
      </c>
      <c r="BK729" t="inlineStr">
        <is>
          <t>Green &amp; Sustainable Science &amp; Technology; Environmental Sciences; Environmental Studies</t>
        </is>
      </c>
      <c r="BL729" t="inlineStr">
        <is>
          <t>Science Citation Index Expanded (SCI-EXPANDED); Social Science Citation Index (SSCI)</t>
        </is>
      </c>
      <c r="BM729" t="inlineStr">
        <is>
          <t>Science &amp; Technology - Other Topics; Environmental Sciences &amp; Ecology</t>
        </is>
      </c>
      <c r="BN729" t="inlineStr">
        <is>
          <t>ST6OH</t>
        </is>
      </c>
      <c r="BP729" t="inlineStr">
        <is>
          <t>Green Published, gold</t>
        </is>
      </c>
      <c r="BS729" t="inlineStr">
        <is>
          <t>2023-10-26</t>
        </is>
      </c>
      <c r="BT729" t="inlineStr">
        <is>
          <t>WOS:000662560400001</t>
        </is>
      </c>
      <c r="BU729">
        <f>HYPERLINK("https%3A%2F%2Fwww.webofscience.com%2Fwos%2Fwoscc%2Ffull-record%2FWOS:000662560400001","View Full Record in Web of Science")</f>
        <v/>
      </c>
    </row>
    <row r="730">
      <c r="A730" t="inlineStr">
        <is>
          <t>J</t>
        </is>
      </c>
      <c r="B730" t="inlineStr">
        <is>
          <t>Marmureanu, G; Marmureanu, A; Cioflan, CO; Ionescu, C</t>
        </is>
      </c>
      <c r="F730" t="inlineStr">
        <is>
          <t>Marmureanu, Gheorghe; Marmureanu, Alexandru; Cioflan, Carmen Ortanza; Ionescu, Constantin</t>
        </is>
      </c>
      <c r="J730" t="inlineStr">
        <is>
          <t>ENVIRONMENTAL ENGINEERING AND MANAGEMENT JOURNAL</t>
        </is>
      </c>
      <c r="M730" t="inlineStr">
        <is>
          <t>English</t>
        </is>
      </c>
      <c r="N730" t="inlineStr">
        <is>
          <t>Article</t>
        </is>
      </c>
      <c r="T730" t="inlineStr">
        <is>
          <t>ESSENTIAL TOOLS TO MITIGATE VRANCEA STRONG EARTHQUAKES EFFECTS ON MOLDAVIAN URBAN ENVIRONMENT</t>
        </is>
      </c>
      <c r="U730" t="inlineStr">
        <is>
          <t>early warning system; earthquake; urban environment</t>
        </is>
      </c>
      <c r="V730" t="inlineStr">
        <is>
          <t>LOSSES</t>
        </is>
      </c>
      <c r="W730" t="inlineStr">
        <is>
          <t>In a world of uncertainty, the only constant is change and rapid change produces a multitude of diverse facts. Risk is an integral part of life. While no country in the world is entirely safe, the lack of capacity to limit the impact of hazards remains a major burden for all countries and while the world has witnessed an exponential increase in human and material losses due to natural disasters, there is a need to reverse trends in vulnerability to earthquakes. Available data prove that natural disasters from earthquakes can cause considerable damages, with potentially severe effects to urban environment. Earthquakes cascade as chaotic chain reactions through the natural and built environments; therefore, seismic hazard and risk are time-dependent quantities. On the other hand, environmental degradation increases the intensity of natural disasters, and is often the factor that transforms natural hazards, into a disaster. In World, earthquakes are responsible for 15% of total number of events, and 30% of the total damages (Freeman, 2000). Last strong Vrancea earthquake on March 4, 1977 (Mw=7.4, h=95 km): 1578 dead and 11,321 injured, 36 ruined/destroyed blocks in Bucharest, 32,900 houses collapsed or severely damaged; 35,000 families homeless, tens of thousands (64,000) of buildings damaged from Iasi and Bacau to Craiova, many other damages and destructions in the industry and economy; the downtown of Bacau was completely damaged etc. The goal of the paper is to enhance our capability to decrease the effects of strong and deep Vrancea earthquakes on urban and built environment, especially in Moldavian area. The practical goal is to enable new geo-technologies for reducing risk and improving community resilience. Specific fundamental and applied researches were developed last years by National Institute for Earth Physics sustained by national legislation and regulations as well as European Programs: FP-7, Cross-Border etc. The priority of protecting the environment is emphasized. This knowledge can be very fruitfully used by civil engineers in the design of new seismic resistant constructions and in the reinforcement of the existing built environment, and, therefore, supply a particularly powerful tool for the prevention aspects of Civil Defense.</t>
        </is>
      </c>
      <c r="X730" t="inlineStr">
        <is>
          <t>[Marmureanu, Gheorghe] Natl Inst Earth Phys, Bucharest, Romania</t>
        </is>
      </c>
      <c r="Y730" t="inlineStr">
        <is>
          <t>National Institute for Earth Physics (NIEP)</t>
        </is>
      </c>
      <c r="Z730" t="inlineStr">
        <is>
          <t>Marmureanu, G (corresponding author), Natl Inst Earth Phys, Bucharest, Romania.</t>
        </is>
      </c>
      <c r="AA730" t="inlineStr">
        <is>
          <t>marmur@infp.ro</t>
        </is>
      </c>
      <c r="AB730" t="inlineStr">
        <is>
          <t>Marmureanu, Alexandru/C-5731-2012; Cioflan, Carmen/GZB-2757-2022</t>
        </is>
      </c>
      <c r="AC730" t="inlineStr">
        <is>
          <t>Marmureanu, Alexandru/0000-0002-2181-4471; Ionescu, Constantin/0000-0001-9327-2483; Carmen Ortanza, Cioflan/0000-0001-8430-0075</t>
        </is>
      </c>
      <c r="AD730" t="inlineStr">
        <is>
          <t>seismicity of Romania towards refined implementation of seismic action of European Norm EN 1998-1 in earthquake resistant design of buildings (BIGSEES) [72/2012-2015]; CNCSIS-UEFISCDI PNII-Human resources [PD.187, 128/29.07.2010-2012]</t>
        </is>
      </c>
      <c r="AE730" t="inlineStr">
        <is>
          <t>seismicity of Romania towards refined implementation of seismic action of European Norm EN 1998-1 in earthquake resistant design of buildings (BIGSEES); CNCSIS-UEFISCDI PNII-Human resources</t>
        </is>
      </c>
      <c r="AF730" t="inlineStr">
        <is>
          <t>This work is performed in the frame of the National Plan for Research, Development and Innovation, NIT, Partnership Program; Project Bridging the gap between seismology and earthquake engineering. From the seismicity of Romania towards refined implementation of seismic action of European Norm EN 1998-1 in earthquake resistant design of buildings (BIGSEES), Contract nr.72/2012-2015. The work was supported partially by CNCSIS-UEFISCDI PNII-Human resources, project code PD.187, contract No. 128/29.07.2010-2012.</t>
        </is>
      </c>
      <c r="AH730" t="n">
        <v>30</v>
      </c>
      <c r="AI730" t="n">
        <v>5</v>
      </c>
      <c r="AJ730" t="n">
        <v>5</v>
      </c>
      <c r="AK730" t="n">
        <v>0</v>
      </c>
      <c r="AL730" t="n">
        <v>21</v>
      </c>
      <c r="AM730" t="inlineStr">
        <is>
          <t>GH ASACHI TECHNICAL UNIV IASI</t>
        </is>
      </c>
      <c r="AN730" t="inlineStr">
        <is>
          <t>IASI</t>
        </is>
      </c>
      <c r="AO730" t="inlineStr">
        <is>
          <t>71 MANGERON BLVD, IASI, 700050, ROMANIA</t>
        </is>
      </c>
      <c r="AP730" t="inlineStr">
        <is>
          <t>1582-9596</t>
        </is>
      </c>
      <c r="AQ730" t="inlineStr">
        <is>
          <t>1843-3707</t>
        </is>
      </c>
      <c r="AS730" t="inlineStr">
        <is>
          <t>ENVIRON ENG MANAG J</t>
        </is>
      </c>
      <c r="AT730" t="inlineStr">
        <is>
          <t>Environ. Eng. Manag. J.</t>
        </is>
      </c>
      <c r="AU730" t="inlineStr">
        <is>
          <t>JAN</t>
        </is>
      </c>
      <c r="AV730" t="n">
        <v>2013</v>
      </c>
      <c r="AW730" t="n">
        <v>12</v>
      </c>
      <c r="AX730" t="n">
        <v>1</v>
      </c>
      <c r="BC730" t="n">
        <v>65</v>
      </c>
      <c r="BD730" t="n">
        <v>78</v>
      </c>
      <c r="BF730" t="inlineStr">
        <is>
          <t>10.30638/eemj.2013.009</t>
        </is>
      </c>
      <c r="BG730">
        <f>HYPERLINK("http://dx.doi.org/10.30638/eemj.2013.009","http://dx.doi.org/10.30638/eemj.2013.009")</f>
        <v/>
      </c>
      <c r="BJ730" t="n">
        <v>14</v>
      </c>
      <c r="BK730" t="inlineStr">
        <is>
          <t>Environmental Sciences</t>
        </is>
      </c>
      <c r="BL730" t="inlineStr">
        <is>
          <t>Science Citation Index Expanded (SCI-EXPANDED)</t>
        </is>
      </c>
      <c r="BM730" t="inlineStr">
        <is>
          <t>Environmental Sciences &amp; Ecology</t>
        </is>
      </c>
      <c r="BN730" t="inlineStr">
        <is>
          <t>128XP</t>
        </is>
      </c>
      <c r="BS730" t="inlineStr">
        <is>
          <t>2023-10-26</t>
        </is>
      </c>
      <c r="BT730" t="inlineStr">
        <is>
          <t>WOS:000317803300009</t>
        </is>
      </c>
      <c r="BU730">
        <f>HYPERLINK("https%3A%2F%2Fwww.webofscience.com%2Fwos%2Fwoscc%2Ffull-record%2FWOS:000317803300009","View Full Record in Web of Science")</f>
        <v/>
      </c>
    </row>
    <row r="731">
      <c r="A731" t="inlineStr">
        <is>
          <t>J</t>
        </is>
      </c>
      <c r="B731" t="inlineStr">
        <is>
          <t>McCallum, P; Jenkins, DP; Peacock, AD; Patidar, S; Andoni, M; Flynn, D; Robu, V</t>
        </is>
      </c>
      <c r="F731" t="inlineStr">
        <is>
          <t>McCallum, Peter; Jenkins, David P.; Peacock, Andrew D.; Patidar, Sandhya; Andoni, Merlinda; Flynn, David; Robu, Valentin</t>
        </is>
      </c>
      <c r="J731" t="inlineStr">
        <is>
          <t>ENERGY POLICY</t>
        </is>
      </c>
      <c r="M731" t="inlineStr">
        <is>
          <t>English</t>
        </is>
      </c>
      <c r="N731" t="inlineStr">
        <is>
          <t>Article</t>
        </is>
      </c>
      <c r="T731" t="inlineStr">
        <is>
          <t>A multi-sectoral approach to modelling community energy demand of the built environment</t>
        </is>
      </c>
      <c r="U731" t="inlineStr">
        <is>
          <t>Energy system model; Stock model; Dynamic building model; Energy policy; Household behaviour</t>
        </is>
      </c>
      <c r="V731" t="inlineStr">
        <is>
          <t>UK; UNCERTAINTY; PROFILES; ENGLISH; MARKAL; STOCK; POWER</t>
        </is>
      </c>
      <c r="W731" t="inlineStr">
        <is>
          <t>This paper examines the major challenges associated with evaluating energy demand in the residential building sector in an integrated energy system modelling environment. Three established modelling fields are examined to generate a framework for assessing the impact of energy policy: energy system models, building stock models and dynamic building simulation. A set of profound challenges emerge when attempting to integrate such models, due to distinct differences in their intended applications, operational scales, formulations and computational implementations. Detailed discussions are provided on the integration of temporally refined energy demand, based on thermodynamic processes and socio-technical effects which may stem from new policy. A detailed framework is discussed for generating aggregate residential demands, in terms of space heating demand, domestic hot water demand, and lighting, appliance and consumer electronics demand. The framework incorporates a pathway for interpreting the effects of changes in household behaviour resulting from prospective policy measures. When long-term planning exercises are carried out using this framework, the cyclic effects between behavioural change and policy implementation are also considered. This work focused specifically on the United Kingdom energy system, however parallels can be drawn with other countries, in particular those with a mature privatised system, dominated by space heating concerns.</t>
        </is>
      </c>
      <c r="X731" t="inlineStr">
        <is>
          <t>[McCallum, Peter; Jenkins, David P.; Peacock, Andrew D.; Patidar, Sandhya] Heriot Watt Univ, Sch Energy Geosci Infrastruct &amp; Soc, Edinburgh, Midlothian, Scotland; [Andoni, Merlinda; Flynn, David; Robu, Valentin] Heriot Watt Univ, Inst Sensors Signals &amp; Syst, Edinburgh, Midlothian, Scotland</t>
        </is>
      </c>
      <c r="Y731" t="inlineStr">
        <is>
          <t>Heriot Watt University; Heriot Watt University</t>
        </is>
      </c>
      <c r="Z731" t="inlineStr">
        <is>
          <t>McCallum, P (corresponding author), Heriot Watt Univ, Sch Energy Geosci Infrastruct &amp; Soc, Edinburgh, Midlothian, Scotland.</t>
        </is>
      </c>
      <c r="AA731" t="inlineStr">
        <is>
          <t>p.mccallum@hw.ac.uk</t>
        </is>
      </c>
      <c r="AB731" t="inlineStr">
        <is>
          <t>McCallum, Peter/ABI-2479-2020; Robu, Valentin/AAS-6994-2020; Patidar, Sandhya/B-7233-2013</t>
        </is>
      </c>
      <c r="AC731" t="inlineStr">
        <is>
          <t>McCallum, Peter/0000-0002-4546-0452; Robu, Valentin/0000-0002-9280-2072; Patidar, Sandhya/0000-0001-7029-7557; Andoni, Merlinda/0000-0002-6909-8179; Patidar, Sandhya/0000-0001-9562-6986; Jenkins, David/0000-0002-2272-1322; Flynn, David/0000-0002-1024-3618</t>
        </is>
      </c>
      <c r="AD731" t="inlineStr">
        <is>
          <t>EPSRC [EP/P001173/1]; EPSRC [EP/P001173/1] Funding Source: UKRI</t>
        </is>
      </c>
      <c r="AE731" t="inlineStr">
        <is>
          <t>EPSRC(UK Research &amp; Innovation (UKRI)Engineering &amp; Physical Sciences Research Council (EPSRC)); EPSRC(UK Research &amp; Innovation (UKRI)Engineering &amp; Physical Sciences Research Council (EPSRC))</t>
        </is>
      </c>
      <c r="AF731" t="inlineStr">
        <is>
          <t>This work was supported by EPSRC [grant number EP/P001173/1].</t>
        </is>
      </c>
      <c r="AH731" t="n">
        <v>55</v>
      </c>
      <c r="AI731" t="n">
        <v>15</v>
      </c>
      <c r="AJ731" t="n">
        <v>15</v>
      </c>
      <c r="AK731" t="n">
        <v>0</v>
      </c>
      <c r="AL731" t="n">
        <v>8</v>
      </c>
      <c r="AM731" t="inlineStr">
        <is>
          <t>ELSEVIER SCI LTD</t>
        </is>
      </c>
      <c r="AN731" t="inlineStr">
        <is>
          <t>OXFORD</t>
        </is>
      </c>
      <c r="AO731" t="inlineStr">
        <is>
          <t>THE BOULEVARD, LANGFORD LANE, KIDLINGTON, OXFORD OX5 1GB, OXON, ENGLAND</t>
        </is>
      </c>
      <c r="AP731" t="inlineStr">
        <is>
          <t>0301-4215</t>
        </is>
      </c>
      <c r="AQ731" t="inlineStr">
        <is>
          <t>1873-6777</t>
        </is>
      </c>
      <c r="AS731" t="inlineStr">
        <is>
          <t>ENERG POLICY</t>
        </is>
      </c>
      <c r="AT731" t="inlineStr">
        <is>
          <t>Energy Policy</t>
        </is>
      </c>
      <c r="AU731" t="inlineStr">
        <is>
          <t>SEP</t>
        </is>
      </c>
      <c r="AV731" t="n">
        <v>2019</v>
      </c>
      <c r="AW731" t="n">
        <v>132</v>
      </c>
      <c r="BC731" t="n">
        <v>865</v>
      </c>
      <c r="BD731" t="n">
        <v>875</v>
      </c>
      <c r="BF731" t="inlineStr">
        <is>
          <t>10.1016/j.enpol.2019.06.041</t>
        </is>
      </c>
      <c r="BG731">
        <f>HYPERLINK("http://dx.doi.org/10.1016/j.enpol.2019.06.041","http://dx.doi.org/10.1016/j.enpol.2019.06.041")</f>
        <v/>
      </c>
      <c r="BJ731" t="n">
        <v>11</v>
      </c>
      <c r="BK731" t="inlineStr">
        <is>
          <t>Economics; Energy &amp; Fuels; Environmental Sciences; Environmental Studies</t>
        </is>
      </c>
      <c r="BL731" t="inlineStr">
        <is>
          <t>Science Citation Index Expanded (SCI-EXPANDED); Social Science Citation Index (SSCI)</t>
        </is>
      </c>
      <c r="BM731" t="inlineStr">
        <is>
          <t>Business &amp; Economics; Energy &amp; Fuels; Environmental Sciences &amp; Ecology</t>
        </is>
      </c>
      <c r="BN731" t="inlineStr">
        <is>
          <t>IU2QV</t>
        </is>
      </c>
      <c r="BP731" t="inlineStr">
        <is>
          <t>Green Published, hybrid</t>
        </is>
      </c>
      <c r="BS731" t="inlineStr">
        <is>
          <t>2023-10-26</t>
        </is>
      </c>
      <c r="BT731" t="inlineStr">
        <is>
          <t>WOS:000483425800081</t>
        </is>
      </c>
      <c r="BU731">
        <f>HYPERLINK("https%3A%2F%2Fwww.webofscience.com%2Fwos%2Fwoscc%2Ffull-record%2FWOS:000483425800081","View Full Record in Web of Science")</f>
        <v/>
      </c>
    </row>
    <row r="732">
      <c r="A732" t="inlineStr">
        <is>
          <t>J</t>
        </is>
      </c>
      <c r="B732" t="inlineStr">
        <is>
          <t>Nishigaki, M; Hanazato, M; Koga, C; Kondo, K</t>
        </is>
      </c>
      <c r="F732" t="inlineStr">
        <is>
          <t>Nishigaki, Miho; Hanazato, Masamichi; Koga, Chie; Kondo, Katsunori</t>
        </is>
      </c>
      <c r="J732" t="inlineStr">
        <is>
          <t>INTERNATIONAL JOURNAL OF ENVIRONMENTAL RESEARCH AND PUBLIC HEALTH</t>
        </is>
      </c>
      <c r="M732" t="inlineStr">
        <is>
          <t>English</t>
        </is>
      </c>
      <c r="N732" t="inlineStr">
        <is>
          <t>Article</t>
        </is>
      </c>
      <c r="T732" t="inlineStr">
        <is>
          <t>What Types of Greenspaces Are Associated with Depression in Urban and Rural Older Adults? A Multilevel Cross-Sectional Study from JAGES</t>
        </is>
      </c>
      <c r="U732" t="inlineStr">
        <is>
          <t>older adults; depression; mental health; greenspace; trees; grasslands; fields; built environment; urban; rural</t>
        </is>
      </c>
      <c r="V732" t="inlineStr">
        <is>
          <t>GERIATRIC DEPRESSION; BLUE SPACES; TREE COVER; GREEN; HEALTH; WALKING; JAPAN</t>
        </is>
      </c>
      <c r="W732" t="inlineStr">
        <is>
          <t>Depression in older adults is a public health challenge. We aimed to clarify the relationship between depression in older adults and three types of neighborhood greenspaces: trees, grasslands, and fields. We utilized data from the Japan Gerontological Evaluation Study (JAGES) performed in 2016. Multilevel logistic regression analysis was used for non-stratified and stratified analyses for the urban-rural regions. The target population comprised 126,878 older adults (age &gt;= 65 years) who responded to the depression questions and were living in 881 neighborhoods in Japan. Depression was diagnosed based on a Geriatric Depression Scale score &gt;= 5, and 20.4% of the study population had depression. In the pre-stratification analysis, areas with more greenspaces revealed lower odds of depression (odds ratio (OR) 0.95, 95% confidence interval (CI) 0.85-0.95). In urban areas, more trees correlated with lower odds of depression (OR 0.94, 95% CI 0.89-1.00). In rural areas, moderate amounts of grassland were associated with lower odds of depression compared to areas with fewer grasslands (OR 0.91, 95% CI 0.83-1.00). We found that urban areas with higher tree density and rural areas with moderate amounts of grassland were associated with lower odds of depression.</t>
        </is>
      </c>
      <c r="X732" t="inlineStr">
        <is>
          <t>[Nishigaki, Miho] Chiba Univ, Grad Sch Med &amp; Pharmaceut Sci, Chuo Ku, 1-8-1 Inohana, Chiba, Chiba 2608672, Japan; [Hanazato, Masamichi; Koga, Chie; Kondo, Katsunori] Chiba Univ, Ctr Prevent Med Sci, Inage Ku, 1-33 Yayoi Cyo, Chiba, Chiba 2638522, Japan; [Kondo, Katsunori] Natl Ctr Geriatr &amp; Gerontol, Ctr Gerontol &amp; Social Sci, 7-430 Morikoka Cho, Obu, Aichi 4748511, Japan</t>
        </is>
      </c>
      <c r="Y732" t="inlineStr">
        <is>
          <t>Chiba University; Chiba University; National Center for Geriatrics &amp; Gerontology</t>
        </is>
      </c>
      <c r="Z732" t="inlineStr">
        <is>
          <t>Nishigaki, M (corresponding author), Chiba Univ, Grad Sch Med &amp; Pharmaceut Sci, Chuo Ku, 1-8-1 Inohana, Chiba, Chiba 2608672, Japan.</t>
        </is>
      </c>
      <c r="AA732" t="inlineStr">
        <is>
          <t>miho-nishigaki@chiba-u.jp; hanazato@chiba-u.jp; chiekoga@chiba-u.jp; kkondo@kkondo.net</t>
        </is>
      </c>
      <c r="AB732" t="inlineStr">
        <is>
          <t>hanazato, masamichi/L-6267-2019; Miho, Nishigaki/AAD-4045-2021</t>
        </is>
      </c>
      <c r="AC732" t="inlineStr">
        <is>
          <t>hanazato, masamichi/0000-0002-0317-7616; Koga, Chie/0000-0002-1971-4308; Nishigaki, Miho/0000-0002-6955-9561</t>
        </is>
      </c>
      <c r="AD732" t="inlineStr">
        <is>
          <t>JSPS (Japan Society for the Promotion of Science) KAKENHI [JP15H01972, JP15H04781, JP15H05059, JP15K03417, JP15K03982, JP15K16181, JP15K17232, JP15K18174, JP15K19241, JP15K21266, JP15KT0007, JP15KT0097, JP16H05556, JP16K09122, JP16K00913, JP16K02025]; Health Labor Sciences Research Grants from the Ministry of Health, Labor, and Welfare [H26-Choju-Ippan-006, H27-Ninchisyou-Ippan-001, H28- Choju-Ippan-002, H28- Ninchisyou-Ippan-002, 19FA1012, 19FA2001]; AMED (Japan Agency for Medical Research and development) [16dk0110017h0002, 16ls0110002h0001]; National Center for Geriatrics and Gerontology [24-23, 24-17]; JST-OPERA program [JPMJOP1831]; The JSPS (Japan Society for the Promotion of Science) KAKENHI [JP16K12964, JP16K13443, JP16K16295, JP16K16595, JP16K16633, JP16K17256, JP16K19247, JP16K19267, JP16K21461, JP16K21465, JP16KT0014, 19K04785, 20H00557, JP25253052, JP25713027, JP26285138, JP26460828, JP26780328, 20K13721]; Grants-in-Aid for Scientific Research [20H00557, 20K13721, 19K04785] Funding Source: KAKEN</t>
        </is>
      </c>
      <c r="AE732" t="inlineStr">
        <is>
          <t>JSPS (Japan Society for the Promotion of Science) KAKENHI(Ministry of Education, Culture, Sports, Science and Technology, Japan (MEXT)Japan Society for the Promotion of ScienceGrants-in-Aid for Scientific Research (KAKENHI)); Health Labor Sciences Research Grants from the Ministry of Health, Labor, and Welfare; AMED (Japan Agency for Medical Research and development)(Japan Agency for Medical Research and Development (AMED)); National Center for Geriatrics and Gerontology; JST-OPERA program; The JSPS (Japan Society for the Promotion of Science) KAKENHI; Grants-in-Aid for Scientific Research(Ministry of Education, Culture, Sports, Science and Technology, Japan (MEXT)Japan Society for the Promotion of ScienceGrants-in-Aid for Scientific Research (KAKENHI))</t>
        </is>
      </c>
      <c r="AF732" t="inlineStr">
        <is>
          <t>This study used data from JAGES (the Japan Gerontological Evaluation Study), JSPS (Japan Society for the Promotion of Science) KAKENHI grant numbers (JP15H01972, JP15H04781, JP15H05059, JP15K03417, JP15K03982, JP15K16181, JP15K17232, JP15K18174, JP15K19241, JP15K21266, JP15KT0007, JP15KT0097, JP16H05556, JP16K09122, JP16K00913, JP16K02025, JP16K12964, JP16K13443, JP16K16295, JP16K16595, JP16K16633, JP16K17256, JP16K19247, JP16K19267, JP16K21461, JP16K21465, JP16KT0014, 19K04785, 20H00557, JP25253052, JP25713027, JP26285138, JP26460828, JP26780328 and 20K13721), Health Labor Sciences Research Grants (H26-Choju-Ippan-006, H27-Ninchisyou-Ippan-001 H28- Choju-Ippan-002, H28- Ninchisyou-Ippan-002, 19FA1012, 19FA2001) from the Ministry of Health, Labor, and Welfare, the Research and Development Grants for Longevity Science from AMED (Japan Agency for Medical Research and development) (16dk0110017h0002, 16ls0110002h0001), the Research Funding for Longevity Sciences from the National Center for Geriatrics and Gerontology (24-17, 24-23), the Japan Foundation For Aging And Health, and a JST-OPERA program grant (JPMJOP1831).</t>
        </is>
      </c>
      <c r="AH732" t="n">
        <v>38</v>
      </c>
      <c r="AI732" t="n">
        <v>17</v>
      </c>
      <c r="AJ732" t="n">
        <v>17</v>
      </c>
      <c r="AK732" t="n">
        <v>3</v>
      </c>
      <c r="AL732" t="n">
        <v>31</v>
      </c>
      <c r="AM732" t="inlineStr">
        <is>
          <t>MDPI</t>
        </is>
      </c>
      <c r="AN732" t="inlineStr">
        <is>
          <t>BASEL</t>
        </is>
      </c>
      <c r="AO732" t="inlineStr">
        <is>
          <t>ST ALBAN-ANLAGE 66, CH-4052 BASEL, SWITZERLAND</t>
        </is>
      </c>
      <c r="AQ732" t="inlineStr">
        <is>
          <t>1660-4601</t>
        </is>
      </c>
      <c r="AS732" t="inlineStr">
        <is>
          <t>INT J ENV RES PUB HE</t>
        </is>
      </c>
      <c r="AT732" t="inlineStr">
        <is>
          <t>Int. J. Environ. Res. Public Health</t>
        </is>
      </c>
      <c r="AU732" t="inlineStr">
        <is>
          <t>DEC</t>
        </is>
      </c>
      <c r="AV732" t="n">
        <v>2020</v>
      </c>
      <c r="AW732" t="n">
        <v>17</v>
      </c>
      <c r="AX732" t="n">
        <v>24</v>
      </c>
      <c r="BE732" t="n">
        <v>9276</v>
      </c>
      <c r="BF732" t="inlineStr">
        <is>
          <t>10.3390/ijerph17249276</t>
        </is>
      </c>
      <c r="BG732">
        <f>HYPERLINK("http://dx.doi.org/10.3390/ijerph17249276","http://dx.doi.org/10.3390/ijerph17249276")</f>
        <v/>
      </c>
      <c r="BJ732" t="n">
        <v>16</v>
      </c>
      <c r="BK732" t="inlineStr">
        <is>
          <t>Environmental Sciences; Public, Environmental &amp; Occupational Health</t>
        </is>
      </c>
      <c r="BL732" t="inlineStr">
        <is>
          <t>Science Citation Index Expanded (SCI-EXPANDED); Social Science Citation Index (SSCI)</t>
        </is>
      </c>
      <c r="BM732" t="inlineStr">
        <is>
          <t>Environmental Sciences &amp; Ecology; Public, Environmental &amp; Occupational Health</t>
        </is>
      </c>
      <c r="BN732" t="inlineStr">
        <is>
          <t>PL1EX</t>
        </is>
      </c>
      <c r="BO732" t="n">
        <v>33322467</v>
      </c>
      <c r="BP732" t="inlineStr">
        <is>
          <t>Green Published, gold</t>
        </is>
      </c>
      <c r="BS732" t="inlineStr">
        <is>
          <t>2023-10-26</t>
        </is>
      </c>
      <c r="BT732" t="inlineStr">
        <is>
          <t>WOS:000602875200001</t>
        </is>
      </c>
      <c r="BU732">
        <f>HYPERLINK("https%3A%2F%2Fwww.webofscience.com%2Fwos%2Fwoscc%2Ffull-record%2FWOS:000602875200001","View Full Record in Web of Science")</f>
        <v/>
      </c>
    </row>
    <row r="733">
      <c r="A733" t="inlineStr">
        <is>
          <t>J</t>
        </is>
      </c>
      <c r="B733" t="inlineStr">
        <is>
          <t>Cai, ZC; Guan, CH; Trinh, A; Zhang, B; Chen, ZB; Srinivasan, S; Nielsen, C</t>
        </is>
      </c>
      <c r="F733" t="inlineStr">
        <is>
          <t>Cai, Zhichang; Guan, Chenghe; Trinh, An; Zhang, Bo; Chen, Zhibin; Srinivasan, Sumeeta; Nielsen, Chris</t>
        </is>
      </c>
      <c r="J733" t="inlineStr">
        <is>
          <t>SUSTAINABILITY</t>
        </is>
      </c>
      <c r="M733" t="inlineStr">
        <is>
          <t>English</t>
        </is>
      </c>
      <c r="N733" t="inlineStr">
        <is>
          <t>Article</t>
        </is>
      </c>
      <c r="T733" t="inlineStr">
        <is>
          <t>Satisfactions on Self-Perceived Health of Urban Residents in Chengdu, China: Gender, Age and the Built Environment</t>
        </is>
      </c>
      <c r="U733" t="inlineStr">
        <is>
          <t>self-perceived health; satisfaction of urban residents; gender and age; neighborhood type; Chengdu</t>
        </is>
      </c>
      <c r="V733" t="inlineStr">
        <is>
          <t>RATED HEALTH; GATED COMMUNITIES; PHYSICAL-ACTIVITY; RELOCATION; SHANGHAI; LIFE; EXPERIENCES; INEQUALITY; OUTCOMES; IMPACT</t>
        </is>
      </c>
      <c r="W733" t="inlineStr">
        <is>
          <t>Self-perceived health is an important factor for assessing urban residents' satisfaction and quality of life. However, few have comprehensively investigated the impact of demographics, lifestyle and health awareness, indoor environment characteristics, and neighborhood features on self-perceived health. To fill this gap, we designed a framework using multivariable regressions to derive odd rations and to analyze the determinants of self-rated health, stratified into different sub-groups divided by gender, age, and neighborhood types. The study area is Chengdu, one of the most populous cities in western China. The results show that: (1) female respondents reported worse health, with household income level and marital status significantly affecting self-rated health; (2) elderly people reported the worst health, while unique factors affected only younger people (18-29 years old), such as gender, smoking, and indoor environment characteristics; and (3) different types of neighborhoods influence their residents' perception of health differently due to historical establishment, current population composition, and housing conditions. Our study provides new observations on neighborhood types, while agreeing with previous studies on the influences of gender and age. We contribute to the field by providing a more complex understanding of the mechanism by which people rate their own health, which is important for understanding the satisfaction of urban residents and the built environment in which they live.</t>
        </is>
      </c>
      <c r="X733" t="inlineStr">
        <is>
          <t>[Cai, Zhichang] Nanjing Tech Univ, Sch Architecture, Nanjing 211899, Peoples R China; [Cai, Zhichang] Royal Inst Technol KTH, Dept Ind Ecol, S-10044 Stockholm, Sweden; [Guan, Chenghe; Chen, Zhibin] NYU Shanghai, Shanghai Key Lab Urban Design &amp; Urban Sci, Shanghai 200122, Peoples R China; [Guan, Chenghe] NYU Shanghai, Div Arts &amp; Sci, Shanghai 200122, Peoples R China; [Trinh, An] Univ Chicago, Environm &amp; Urban Studies, Chicago, IL 60637 USA; [Zhang, Bo] Xiamen Univ, Sch Management, Xiamen 361005, Fujian, Peoples R China; [Srinivasan, Sumeeta] Tufts Univ, Dept Urban &amp; Environm Policy &amp; Planning, Medford, MA 02155 USA; [Nielsen, Chris] Harvard Univ, Sch Engn &amp; Appl Sci, Cambridge, MA 02138 USA</t>
        </is>
      </c>
      <c r="Y733" t="inlineStr">
        <is>
          <t>Nanjing Tech University; Royal Institute of Technology; NYU Shanghai; NYU Shanghai; University of Chicago; Xiamen University; Tufts University; Harvard University</t>
        </is>
      </c>
      <c r="Z733" t="inlineStr">
        <is>
          <t>Guan, CH (corresponding author), NYU Shanghai, Shanghai Key Lab Urban Design &amp; Urban Sci, Shanghai 200122, Peoples R China.;Guan, CH (corresponding author), NYU Shanghai, Div Arts &amp; Sci, Shanghai 200122, Peoples R China.;Zhang, B (corresponding author), Xiamen Univ, Sch Management, Xiamen 361005, Fujian, Peoples R China.</t>
        </is>
      </c>
      <c r="AA733" t="inlineStr">
        <is>
          <t>chenghe.guan@nyu.edu; zhangbo@xmu.edu.cn</t>
        </is>
      </c>
      <c r="AB733" t="inlineStr">
        <is>
          <t>Guan, ChengHe/AAM-9581-2020</t>
        </is>
      </c>
      <c r="AC733" t="inlineStr">
        <is>
          <t>Guan, ChengHe/0000-0002-5997-418X</t>
        </is>
      </c>
      <c r="AD733" t="inlineStr">
        <is>
          <t>NYU Shanghai Major-Grants Seed Fund [2022CHGuan_MGSF]; Preparation Fund of Shanghai Key Laboratory of Urban Design and Urban Science [10407_Key Lab_Preparation]; Spring 2022 Climate Change Initiative Seed Grants, New York University; PEAK Urban Programme at University of Oxford; UKRI's Global Challenge Research Fund [ES/P011055/1]</t>
        </is>
      </c>
      <c r="AE733" t="inlineStr">
        <is>
          <t>NYU Shanghai Major-Grants Seed Fund; Preparation Fund of Shanghai Key Laboratory of Urban Design and Urban Science; Spring 2022 Climate Change Initiative Seed Grants, New York University; PEAK Urban Programme at University of Oxford; UKRI's Global Challenge Research Fund(UK Research &amp; Innovation (UKRI))</t>
        </is>
      </c>
      <c r="AF733" t="inlineStr">
        <is>
          <t>This paper is funded by the NYU Shanghai Major-Grants Seed Fund (Grant No. 2022CHGuan_MGSF); the Preparation Fund of Shanghai Key Laboratory of Urban Design and Urban Science (Grant No. 10407_Key Lab_Preparation Fund); the Spring 2022 Climate Change Initiative Seed Grants, New York University. We received support from the PEAK Urban Programme at University of Oxford, which is funded by UKRI's Global Challenge Research Fund (Grant Ref: ES/P011055/1). Harvard-China Project of Harvard University provided the Chengdu Health Survey data.</t>
        </is>
      </c>
      <c r="AH733" t="n">
        <v>67</v>
      </c>
      <c r="AI733" t="n">
        <v>0</v>
      </c>
      <c r="AJ733" t="n">
        <v>0</v>
      </c>
      <c r="AK733" t="n">
        <v>9</v>
      </c>
      <c r="AL733" t="n">
        <v>16</v>
      </c>
      <c r="AM733" t="inlineStr">
        <is>
          <t>MDPI</t>
        </is>
      </c>
      <c r="AN733" t="inlineStr">
        <is>
          <t>BASEL</t>
        </is>
      </c>
      <c r="AO733" t="inlineStr">
        <is>
          <t>ST ALBAN-ANLAGE 66, CH-4052 BASEL, SWITZERLAND</t>
        </is>
      </c>
      <c r="AQ733" t="inlineStr">
        <is>
          <t>2071-1050</t>
        </is>
      </c>
      <c r="AS733" t="inlineStr">
        <is>
          <t>SUSTAINABILITY-BASEL</t>
        </is>
      </c>
      <c r="AT733" t="inlineStr">
        <is>
          <t>Sustainability</t>
        </is>
      </c>
      <c r="AU733" t="inlineStr">
        <is>
          <t>OCT</t>
        </is>
      </c>
      <c r="AV733" t="n">
        <v>2022</v>
      </c>
      <c r="AW733" t="n">
        <v>14</v>
      </c>
      <c r="AX733" t="n">
        <v>20</v>
      </c>
      <c r="BE733" t="n">
        <v>13389</v>
      </c>
      <c r="BF733" t="inlineStr">
        <is>
          <t>10.3390/su142013389</t>
        </is>
      </c>
      <c r="BG733">
        <f>HYPERLINK("http://dx.doi.org/10.3390/su142013389","http://dx.doi.org/10.3390/su142013389")</f>
        <v/>
      </c>
      <c r="BJ733" t="n">
        <v>17</v>
      </c>
      <c r="BK733" t="inlineStr">
        <is>
          <t>Green &amp; Sustainable Science &amp; Technology; Environmental Sciences; Environmental Studies</t>
        </is>
      </c>
      <c r="BL733" t="inlineStr">
        <is>
          <t>Science Citation Index Expanded (SCI-EXPANDED); Social Science Citation Index (SSCI)</t>
        </is>
      </c>
      <c r="BM733" t="inlineStr">
        <is>
          <t>Science &amp; Technology - Other Topics; Environmental Sciences &amp; Ecology</t>
        </is>
      </c>
      <c r="BN733" t="inlineStr">
        <is>
          <t>5S4UH</t>
        </is>
      </c>
      <c r="BP733" t="inlineStr">
        <is>
          <t>gold</t>
        </is>
      </c>
      <c r="BS733" t="inlineStr">
        <is>
          <t>2023-10-26</t>
        </is>
      </c>
      <c r="BT733" t="inlineStr">
        <is>
          <t>WOS:000875186400001</t>
        </is>
      </c>
      <c r="BU733">
        <f>HYPERLINK("https%3A%2F%2Fwww.webofscience.com%2Fwos%2Fwoscc%2Ffull-record%2FWOS:000875186400001","View Full Record in Web of Science")</f>
        <v/>
      </c>
    </row>
    <row r="734">
      <c r="A734" t="inlineStr">
        <is>
          <t>J</t>
        </is>
      </c>
      <c r="B734" t="inlineStr">
        <is>
          <t>Tähtinen, K; Lappalainen, S; Karvala, K; Remes, J; Salonen, H</t>
        </is>
      </c>
      <c r="F734" t="inlineStr">
        <is>
          <t>Tahtinen, Katja; Lappalainen, Sanna; Karvala, Kirsi; Remes, Jouko; Salonen, Heidi</t>
        </is>
      </c>
      <c r="J734" t="inlineStr">
        <is>
          <t>INTERNATIONAL JOURNAL OF ENVIRONMENTAL RESEARCH AND PUBLIC HEALTH</t>
        </is>
      </c>
      <c r="M734" t="inlineStr">
        <is>
          <t>English</t>
        </is>
      </c>
      <c r="N734" t="inlineStr">
        <is>
          <t>Article</t>
        </is>
      </c>
      <c r="T734" t="inlineStr">
        <is>
          <t>Association between Four-Level Categorisation of Indoor Exposure and Perceived Indoor Air Quality</t>
        </is>
      </c>
      <c r="U734" t="inlineStr">
        <is>
          <t>indoor air; impurity sources; categorisation; building investigation; repair urgency; indoor air questionnaire</t>
        </is>
      </c>
      <c r="V734" t="inlineStr">
        <is>
          <t>SICK-BUILDING SYNDROME; ENVIRONMENTAL-QUALITY; REPORTED SYMPTOMS; SCHOOL BUILDINGS; OFFICE BUILDINGS; MOISTURE DAMAGE; HEALTH-HAZARDS; MOLD; RISK; PERFORMANCE</t>
        </is>
      </c>
      <c r="W734" t="inlineStr">
        <is>
          <t>The aim of this study was to develop and test a tool for assessing urgency of indoor air quality (IAQ) measures. The condition of the 27 buildings were investigated and results were categorized. Statistical test studied the differences between the categories and the employees' complaints about their work environment. To study the employees' experiences of the work premises, a validated indoor air (IA) questionnaire was used. This study reveals a multifaceted problem: many factors affecting IAQ may also affect perceived IAQ, making it difficult to separate the impurity sources and ventilation system deficiencies affecting to employee experiences. An examination of the relationship between the categories and perceived IAQ revealed an association between the mould odour perceived by employees and mould detected by the researcher. A weak link was also found between the assessed categories and environmental complaints. However, we cannot make far-reaching conclusions regarding the assessed probability of abnormal IA exposure in the building on the basis of employee experiences. According to the results, categorising tool can partly support the assessment of the urgency for repairs when several factors that affect IAQ are taken into account.</t>
        </is>
      </c>
      <c r="X734" t="inlineStr">
        <is>
          <t>[Tahtinen, Katja; Salonen, Heidi] Aalto Univ, Dept Civil Engn, Espoo 02150, Finland; [Tahtinen, Katja; Lappalainen, Sanna; Karvala, Kirsi; Remes, Jouko] Hlth Workspaces, Finnish Inst Occupat Hlth, POB 40, Tyoterveyslaitos 00032, Finland</t>
        </is>
      </c>
      <c r="Y734" t="inlineStr">
        <is>
          <t>Aalto University; Finnish Institute of Occupational Health</t>
        </is>
      </c>
      <c r="Z734" t="inlineStr">
        <is>
          <t>Tähtinen, K (corresponding author), Aalto Univ, Dept Civil Engn, Espoo 02150, Finland.;Tähtinen, K (corresponding author), Hlth Workspaces, Finnish Inst Occupat Hlth, POB 40, Tyoterveyslaitos 00032, Finland.</t>
        </is>
      </c>
      <c r="AA734" t="inlineStr">
        <is>
          <t>katja-leena.tahtinen@aalto.fi; sanna.lappalainen@ttl.fi; kirsi.karvala@ttl.fi; jouko.remes@ttl.fi; heidi.salonen@aalto.fi</t>
        </is>
      </c>
      <c r="AB734" t="inlineStr">
        <is>
          <t>Salonen, Heidi/G-4685-2016</t>
        </is>
      </c>
      <c r="AC734" t="inlineStr">
        <is>
          <t>Lappalainen, Sanna/0000-0002-6062-5403; Salonen, Heidi/0000-0002-3807-4895</t>
        </is>
      </c>
      <c r="AD734" t="inlineStr">
        <is>
          <t>Research Foundation of Pulmonary Diseases; Confederation of Finnish Construction Industries RT (CFCI); Tekes-the Finnish Funding Agency for Innovation [4093/31/2015, 4098/31/2015]</t>
        </is>
      </c>
      <c r="AE734" t="inlineStr">
        <is>
          <t>Research Foundation of Pulmonary Diseases; Confederation of Finnish Construction Industries RT (CFCI); Tekes-the Finnish Funding Agency for Innovation(Finnish Funding Agency for Technology &amp; Innovation (TEKES))</t>
        </is>
      </c>
      <c r="AF734" t="inlineStr">
        <is>
          <t>This research was supported by The Research Foundation of Pulmonary Diseases and The Confederation of Finnish Construction Industries RT (CFCI). The authors warmly acknowledge the Tekes-the Finnish Funding Agency for Innovation (grants 4093/31/2015 and 4098/31/2015) for supporting Heidi Salonen's part in this work. The authors thank the Finnish Institute of Occupational Health for the research material. The authors acknowledge the contribution of Leena Aalto, Veli-Matti Pietarinen; Ulla-Maija Hellgren and Pauliina Toivio.</t>
        </is>
      </c>
      <c r="AH734" t="n">
        <v>71</v>
      </c>
      <c r="AI734" t="n">
        <v>15</v>
      </c>
      <c r="AJ734" t="n">
        <v>15</v>
      </c>
      <c r="AK734" t="n">
        <v>0</v>
      </c>
      <c r="AL734" t="n">
        <v>10</v>
      </c>
      <c r="AM734" t="inlineStr">
        <is>
          <t>MDPI</t>
        </is>
      </c>
      <c r="AN734" t="inlineStr">
        <is>
          <t>BASEL</t>
        </is>
      </c>
      <c r="AO734" t="inlineStr">
        <is>
          <t>ST ALBAN-ANLAGE 66, CH-4052 BASEL, SWITZERLAND</t>
        </is>
      </c>
      <c r="AP734" t="inlineStr">
        <is>
          <t>1660-4601</t>
        </is>
      </c>
      <c r="AS734" t="inlineStr">
        <is>
          <t>INT J ENV RES PUB HE</t>
        </is>
      </c>
      <c r="AT734" t="inlineStr">
        <is>
          <t>Int. J. Environ. Res. Public Health</t>
        </is>
      </c>
      <c r="AU734" t="inlineStr">
        <is>
          <t>APR</t>
        </is>
      </c>
      <c r="AV734" t="n">
        <v>2018</v>
      </c>
      <c r="AW734" t="n">
        <v>15</v>
      </c>
      <c r="AX734" t="n">
        <v>4</v>
      </c>
      <c r="BE734" t="n">
        <v>679</v>
      </c>
      <c r="BF734" t="inlineStr">
        <is>
          <t>10.3390/ijerph15040679</t>
        </is>
      </c>
      <c r="BG734">
        <f>HYPERLINK("http://dx.doi.org/10.3390/ijerph15040679","http://dx.doi.org/10.3390/ijerph15040679")</f>
        <v/>
      </c>
      <c r="BJ734" t="n">
        <v>15</v>
      </c>
      <c r="BK734" t="inlineStr">
        <is>
          <t>Environmental Sciences; Public, Environmental &amp; Occupational Health</t>
        </is>
      </c>
      <c r="BL734" t="inlineStr">
        <is>
          <t>Science Citation Index Expanded (SCI-EXPANDED); Social Science Citation Index (SSCI)</t>
        </is>
      </c>
      <c r="BM734" t="inlineStr">
        <is>
          <t>Environmental Sciences &amp; Ecology; Public, Environmental &amp; Occupational Health</t>
        </is>
      </c>
      <c r="BN734" t="inlineStr">
        <is>
          <t>GI9TK</t>
        </is>
      </c>
      <c r="BO734" t="n">
        <v>29617335</v>
      </c>
      <c r="BP734" t="inlineStr">
        <is>
          <t>Green Published, Green Submitted, gold</t>
        </is>
      </c>
      <c r="BS734" t="inlineStr">
        <is>
          <t>2023-10-26</t>
        </is>
      </c>
      <c r="BT734" t="inlineStr">
        <is>
          <t>WOS:000434868800118</t>
        </is>
      </c>
      <c r="BU734">
        <f>HYPERLINK("https%3A%2F%2Fwww.webofscience.com%2Fwos%2Fwoscc%2Ffull-record%2FWOS:000434868800118","View Full Record in Web of Science")</f>
        <v/>
      </c>
    </row>
    <row r="735">
      <c r="A735" t="inlineStr">
        <is>
          <t>J</t>
        </is>
      </c>
      <c r="B735" t="inlineStr">
        <is>
          <t>Mikaelsson, LÅ; Jonasson, J</t>
        </is>
      </c>
      <c r="F735" t="inlineStr">
        <is>
          <t>Mikaelsson, Lars-Ake; Jonasson, Jonas</t>
        </is>
      </c>
      <c r="J735" t="inlineStr">
        <is>
          <t>AIMS ENVIRONMENTAL SCIENCE</t>
        </is>
      </c>
      <c r="M735" t="inlineStr">
        <is>
          <t>English</t>
        </is>
      </c>
      <c r="N735" t="inlineStr">
        <is>
          <t>Article</t>
        </is>
      </c>
      <c r="T735" t="inlineStr">
        <is>
          <t>Sustainable Built Environment in Mid Sweden: Case study based models for sustainable building and construction processes</t>
        </is>
      </c>
      <c r="U735" t="inlineStr">
        <is>
          <t>sustainable built environment; sustainable building; construction processes; health and safety; leadership; work environment</t>
        </is>
      </c>
      <c r="W735" t="inlineStr">
        <is>
          <t>A large proportion of the earth's resource turnover is caused by building and construction activities. There are also many health and safety problems related to the built environment. All these effects are contained in the concept of sustainability. In order to reduce the impact of the built environment it is important to plan for higher ecological, social, economic and cultural sustainability in all stages of the building and construction planning process. A problem is that these processes are complex with many actors involved in different stages. The complexity can be handled with an integrated planning model that is based on continuous dialogue during the process between the actors involved. Case studies of construction projects show that such models for continuous experience feedback can work in practice. The purpose of this paper is to study and analyze sustainable construction processes with regard to clear goal formulation and continuous follow-up of the sustainability parameters. It is also to develop a general model for managing sustainable construction and housing processes regarding ecological, economic, social and cultural dimensions. The model is the result of action research-oriented case studies carried out within the framework of the EU-project Sustainable Built Environment in Mid Sweden (SBEMS).</t>
        </is>
      </c>
      <c r="X735" t="inlineStr">
        <is>
          <t>[Mikaelsson, Lars-Ake; Jonasson, Jonas] Mid Sweden Univ, Dept Ecotechnol &amp; Sustainable Bldg, S-83125 Ostersund, Sweden</t>
        </is>
      </c>
      <c r="Y735" t="inlineStr">
        <is>
          <t>Mid-Sweden University</t>
        </is>
      </c>
      <c r="Z735" t="inlineStr">
        <is>
          <t>Mikaelsson, LÅ (corresponding author), Mid Sweden Univ, Dept Ecotechnol &amp; Sustainable Bldg, S-83125 Ostersund, Sweden.</t>
        </is>
      </c>
      <c r="AA735" t="inlineStr">
        <is>
          <t>Lars-Ake.Mikaelsson@miun.se</t>
        </is>
      </c>
      <c r="AH735" t="n">
        <v>20</v>
      </c>
      <c r="AI735" t="n">
        <v>0</v>
      </c>
      <c r="AJ735" t="n">
        <v>0</v>
      </c>
      <c r="AK735" t="n">
        <v>6</v>
      </c>
      <c r="AL735" t="n">
        <v>22</v>
      </c>
      <c r="AM735" t="inlineStr">
        <is>
          <t>AMER INST MATHEMATICAL SCIENCES-AIMS</t>
        </is>
      </c>
      <c r="AN735" t="inlineStr">
        <is>
          <t>SPRINGFIELD</t>
        </is>
      </c>
      <c r="AO735" t="inlineStr">
        <is>
          <t>PO BOX 2604, SPRINGFIELD, MO 65801-2604, UNITED STATES</t>
        </is>
      </c>
      <c r="AP735" t="inlineStr">
        <is>
          <t>2372-0344</t>
        </is>
      </c>
      <c r="AQ735" t="inlineStr">
        <is>
          <t>2372-0352</t>
        </is>
      </c>
      <c r="AS735" t="inlineStr">
        <is>
          <t>AIMS ENVIRON SCI</t>
        </is>
      </c>
      <c r="AT735" t="inlineStr">
        <is>
          <t>AIMS Environ. Sci.</t>
        </is>
      </c>
      <c r="AV735" t="n">
        <v>2021</v>
      </c>
      <c r="AW735" t="n">
        <v>8</v>
      </c>
      <c r="AX735" t="n">
        <v>1</v>
      </c>
      <c r="BC735" t="n">
        <v>47</v>
      </c>
      <c r="BD735" t="n">
        <v>59</v>
      </c>
      <c r="BF735" t="inlineStr">
        <is>
          <t>10.3934/environsci.2021004</t>
        </is>
      </c>
      <c r="BG735">
        <f>HYPERLINK("http://dx.doi.org/10.3934/environsci.2021004","http://dx.doi.org/10.3934/environsci.2021004")</f>
        <v/>
      </c>
      <c r="BJ735" t="n">
        <v>13</v>
      </c>
      <c r="BK735" t="inlineStr">
        <is>
          <t>Environmental Sciences</t>
        </is>
      </c>
      <c r="BL735" t="inlineStr">
        <is>
          <t>Emerging Sources Citation Index (ESCI)</t>
        </is>
      </c>
      <c r="BM735" t="inlineStr">
        <is>
          <t>Environmental Sciences &amp; Ecology</t>
        </is>
      </c>
      <c r="BN735" t="inlineStr">
        <is>
          <t>QX2HX</t>
        </is>
      </c>
      <c r="BP735" t="inlineStr">
        <is>
          <t>gold, Green Published</t>
        </is>
      </c>
      <c r="BS735" t="inlineStr">
        <is>
          <t>2023-10-26</t>
        </is>
      </c>
      <c r="BT735" t="inlineStr">
        <is>
          <t>WOS:000629169800003</t>
        </is>
      </c>
      <c r="BU735">
        <f>HYPERLINK("https%3A%2F%2Fwww.webofscience.com%2Fwos%2Fwoscc%2Ffull-record%2FWOS:000629169800003","View Full Record in Web of Science")</f>
        <v/>
      </c>
    </row>
    <row r="736">
      <c r="A736" t="inlineStr">
        <is>
          <t>J</t>
        </is>
      </c>
      <c r="B736" t="inlineStr">
        <is>
          <t>Adepoju, OE; Herrera, L; Chae, M; Han, DK</t>
        </is>
      </c>
      <c r="F736" t="inlineStr">
        <is>
          <t>Adepoju, Omolola E.; Herrera, Luz; Chae, Minji; Han, Daikwon</t>
        </is>
      </c>
      <c r="J736" t="inlineStr">
        <is>
          <t>INTERNATIONAL JOURNAL OF ENVIRONMENTAL RESEARCH AND PUBLIC HEALTH</t>
        </is>
      </c>
      <c r="M736" t="inlineStr">
        <is>
          <t>English</t>
        </is>
      </c>
      <c r="N736" t="inlineStr">
        <is>
          <t>Article</t>
        </is>
      </c>
      <c r="T736" t="inlineStr">
        <is>
          <t>Optimizing Disaster Preparedness Planning for Minority Older Adults: One Size Does Not Fit All</t>
        </is>
      </c>
      <c r="U736" t="inlineStr">
        <is>
          <t>minority; older adults; disaster preparedness</t>
        </is>
      </c>
      <c r="V736" t="inlineStr">
        <is>
          <t>NATURAL DISASTERS</t>
        </is>
      </c>
      <c r="W736" t="inlineStr">
        <is>
          <t>By 2050, one in five Americans will be 65 years and older. The growing proportion of older adults in the U.S. population has implications for many aspects of health including disaster preparedness. This study assessed correlates of disaster preparedness among community-dwelling minority older adults and explored unique differences for African American and Hispanic older adults. An electronic survey was disseminated to older minority adults 55+, between November 2020 and January 2021 (n = 522). An empirical framework was used to contextualize 12 disaster-related activities into survival an0000000d planning actions. Multivariate logistic regression models were stratified by race/ethnicity to examine the correlates of survival and planning actions in African American and Hispanic older adults, separately. We found that approximately 6 in 10 older minority adults did not perceive themselves to be disaster prepared. Medicare coverage was positively associated with survival and planning actions. Income level and prior experience with disaster were related to survival actions in the African American population. In conclusion, recognizing the gaps in disaster-preparedness in elderly minority communities can inform culturally sensitive interventions to improve disaster preparedness and recovery.</t>
        </is>
      </c>
      <c r="X736" t="inlineStr">
        <is>
          <t>[Adepoju, Omolola E.] Univ Houston, Tilman J Fertitta Family Coll Med, Dept Hlth Syst &amp; Populat Hlth Sci, Houston, TX 77204 USA; [Herrera, Luz] Texas A&amp;M Univ, Sch Law, Ft Worth, TX 76102 USA; [Chae, Minji] Univ Houston, Humana Integrated Hlth Syst Sci Inst, Houston, TX 77004 USA; [Han, Daikwon] Texas A&amp;M Univ, Dept Epidemiol &amp; Biostat, Sch Publ Hlth, College Stn, TX 77843 USA</t>
        </is>
      </c>
      <c r="Y736" t="inlineStr">
        <is>
          <t>University of Houston System; University of Houston; Texas A&amp;M University System; University of Houston System; University of Houston; Texas A&amp;M University System; Texas A&amp;M University College Station; Texas A&amp;M Health Science Center</t>
        </is>
      </c>
      <c r="Z736" t="inlineStr">
        <is>
          <t>Adepoju, OE (corresponding author), Univ Houston, Tilman J Fertitta Family Coll Med, Dept Hlth Syst &amp; Populat Hlth Sci, Houston, TX 77204 USA.</t>
        </is>
      </c>
      <c r="AA736" t="inlineStr">
        <is>
          <t>oadepoju@uh.edu</t>
        </is>
      </c>
      <c r="AB736" t="inlineStr">
        <is>
          <t>Han, Daikwon/D-2950-2016</t>
        </is>
      </c>
      <c r="AC736" t="inlineStr">
        <is>
          <t>Han, Daikwon/0000-0001-7509-015X; Adepoju, Omolola/0000-0002-5585-7146</t>
        </is>
      </c>
      <c r="AD736" t="inlineStr">
        <is>
          <t>Walmart Foundation; [62322251]</t>
        </is>
      </c>
      <c r="AE736" t="inlineStr">
        <is>
          <t>Walmart Foundation;</t>
        </is>
      </c>
      <c r="AF736" t="inlineStr">
        <is>
          <t>This research was funded by Walmart Foundation, grant number 62322251 (PI: Adepoju). The APC was funded by the lead author.</t>
        </is>
      </c>
      <c r="AH736" t="n">
        <v>22</v>
      </c>
      <c r="AI736" t="n">
        <v>0</v>
      </c>
      <c r="AJ736" t="n">
        <v>0</v>
      </c>
      <c r="AK736" t="n">
        <v>1</v>
      </c>
      <c r="AL736" t="n">
        <v>5</v>
      </c>
      <c r="AM736" t="inlineStr">
        <is>
          <t>MDPI</t>
        </is>
      </c>
      <c r="AN736" t="inlineStr">
        <is>
          <t>BASEL</t>
        </is>
      </c>
      <c r="AO736" t="inlineStr">
        <is>
          <t>ST ALBAN-ANLAGE 66, CH-4052 BASEL, SWITZERLAND</t>
        </is>
      </c>
      <c r="AQ736" t="inlineStr">
        <is>
          <t>1660-4601</t>
        </is>
      </c>
      <c r="AS736" t="inlineStr">
        <is>
          <t>INT J ENV RES PUB HE</t>
        </is>
      </c>
      <c r="AT736" t="inlineStr">
        <is>
          <t>Int. J. Environ. Res. Public Health</t>
        </is>
      </c>
      <c r="AU736" t="inlineStr">
        <is>
          <t>JAN</t>
        </is>
      </c>
      <c r="AV736" t="n">
        <v>2023</v>
      </c>
      <c r="AW736" t="n">
        <v>20</v>
      </c>
      <c r="AX736" t="n">
        <v>1</v>
      </c>
      <c r="BE736" t="n">
        <v>401</v>
      </c>
      <c r="BF736" t="inlineStr">
        <is>
          <t>10.3390/ijerph20010401</t>
        </is>
      </c>
      <c r="BG736">
        <f>HYPERLINK("http://dx.doi.org/10.3390/ijerph20010401","http://dx.doi.org/10.3390/ijerph20010401")</f>
        <v/>
      </c>
      <c r="BJ736" t="n">
        <v>13</v>
      </c>
      <c r="BK736" t="inlineStr">
        <is>
          <t>Environmental Sciences; Public, Environmental &amp; Occupational Health</t>
        </is>
      </c>
      <c r="BL736" t="inlineStr">
        <is>
          <t>Science Citation Index Expanded (SCI-EXPANDED); Social Science Citation Index (SSCI)</t>
        </is>
      </c>
      <c r="BM736" t="inlineStr">
        <is>
          <t>Environmental Sciences &amp; Ecology; Public, Environmental &amp; Occupational Health</t>
        </is>
      </c>
      <c r="BN736" t="inlineStr">
        <is>
          <t>7P6SF</t>
        </is>
      </c>
      <c r="BO736" t="n">
        <v>36612723</v>
      </c>
      <c r="BP736" t="inlineStr">
        <is>
          <t>gold, Green Published</t>
        </is>
      </c>
      <c r="BS736" t="inlineStr">
        <is>
          <t>2023-10-26</t>
        </is>
      </c>
      <c r="BT736" t="inlineStr">
        <is>
          <t>WOS:000908832000001</t>
        </is>
      </c>
      <c r="BU736">
        <f>HYPERLINK("https%3A%2F%2Fwww.webofscience.com%2Fwos%2Fwoscc%2Ffull-record%2FWOS:000908832000001","View Full Record in Web of Science")</f>
        <v/>
      </c>
    </row>
    <row r="737">
      <c r="A737" t="inlineStr">
        <is>
          <t>J</t>
        </is>
      </c>
      <c r="B737" t="inlineStr">
        <is>
          <t>Buckley, TD</t>
        </is>
      </c>
      <c r="F737" t="inlineStr">
        <is>
          <t>Buckley, Thomas D.</t>
        </is>
      </c>
      <c r="J737" t="inlineStr">
        <is>
          <t>INTERNATIONAL JOURNAL OF ENVIRONMENTAL RESEARCH AND PUBLIC HEALTH</t>
        </is>
      </c>
      <c r="M737" t="inlineStr">
        <is>
          <t>English</t>
        </is>
      </c>
      <c r="N737" t="inlineStr">
        <is>
          <t>Review</t>
        </is>
      </c>
      <c r="T737" t="inlineStr">
        <is>
          <t>A Scoping Review of Psychological Sense of Community among Community-Dwelling Older Adults</t>
        </is>
      </c>
      <c r="U737" t="inlineStr">
        <is>
          <t>psychological sense of community; older adults; age-friendly; ecological theory of aging; neighborhoods</t>
        </is>
      </c>
      <c r="V737" t="inlineStr">
        <is>
          <t>WELL; PARTICIPATION; NEIGHBORHOOD; SATISFACTION; ADJUSTMENT; ROLES; WOMEN</t>
        </is>
      </c>
      <c r="W737" t="inlineStr">
        <is>
          <t>Psychological sense of community (PSOC) is an important construct for health and well-being outcomes for community-dwelling older adults. Drawing on the Ecological Theory of Aging and the Age-Friendly Cities (AFC) framework, this scoping review explored how PSOC has been used in research with community-dwelling older adults. This study examined antecedents, correlates, and outcomes of PSOC, with a focus on relevance to theory and practice. Databases were searched between 1986 and 2021 for peer-reviewed journal articles. Searches identified 582 unique articles, and 28 were included in the final sample. Three primary themes emerged in the synthesis: relevance to the AFC framework, PSOC as a predictor of health and well-being outcomes, and the role of PSOC in relocation. Findings from this review show that PSOC serves as a mechanism that links the social and physical AFC environments with health and well-being outcomes. This review also presents mechanisms for how features of the environment relate to PSOC. These findings demonstrate the role of PSOC as a resource to improve person-environment fit. Results from this review can be used to guide future research and inform theory, policy, and practice.</t>
        </is>
      </c>
      <c r="X737" t="inlineStr">
        <is>
          <t>[Buckley, Thomas D.] Univ Pittsburgh, Sch Social Work, Dept Psychiat, Pittsburgh, PA 15260 USA</t>
        </is>
      </c>
      <c r="Y737" t="inlineStr">
        <is>
          <t>Pennsylvania Commonwealth System of Higher Education (PCSHE); University of Pittsburgh</t>
        </is>
      </c>
      <c r="Z737" t="inlineStr">
        <is>
          <t>Buckley, TD (corresponding author), Univ Pittsburgh, Sch Social Work, Dept Psychiat, Pittsburgh, PA 15260 USA.</t>
        </is>
      </c>
      <c r="AA737" t="inlineStr">
        <is>
          <t>tdb47@pitt.edu</t>
        </is>
      </c>
      <c r="AC737" t="inlineStr">
        <is>
          <t>Buckley, Thomas/0000-0002-0080-7838</t>
        </is>
      </c>
      <c r="AH737" t="n">
        <v>41</v>
      </c>
      <c r="AI737" t="n">
        <v>4</v>
      </c>
      <c r="AJ737" t="n">
        <v>4</v>
      </c>
      <c r="AK737" t="n">
        <v>10</v>
      </c>
      <c r="AL737" t="n">
        <v>20</v>
      </c>
      <c r="AM737" t="inlineStr">
        <is>
          <t>MDPI</t>
        </is>
      </c>
      <c r="AN737" t="inlineStr">
        <is>
          <t>BASEL</t>
        </is>
      </c>
      <c r="AO737" t="inlineStr">
        <is>
          <t>ST ALBAN-ANLAGE 66, CH-4052 BASEL, SWITZERLAND</t>
        </is>
      </c>
      <c r="AQ737" t="inlineStr">
        <is>
          <t>1660-4601</t>
        </is>
      </c>
      <c r="AS737" t="inlineStr">
        <is>
          <t>INT J ENV RES PUB HE</t>
        </is>
      </c>
      <c r="AT737" t="inlineStr">
        <is>
          <t>Int. J. Environ. Res. Public Health</t>
        </is>
      </c>
      <c r="AU737" t="inlineStr">
        <is>
          <t>JUL</t>
        </is>
      </c>
      <c r="AV737" t="n">
        <v>2022</v>
      </c>
      <c r="AW737" t="n">
        <v>19</v>
      </c>
      <c r="AX737" t="n">
        <v>14</v>
      </c>
      <c r="BE737" t="n">
        <v>8395</v>
      </c>
      <c r="BF737" t="inlineStr">
        <is>
          <t>10.3390/ijerph19148395</t>
        </is>
      </c>
      <c r="BG737">
        <f>HYPERLINK("http://dx.doi.org/10.3390/ijerph19148395","http://dx.doi.org/10.3390/ijerph19148395")</f>
        <v/>
      </c>
      <c r="BJ737" t="n">
        <v>17</v>
      </c>
      <c r="BK737" t="inlineStr">
        <is>
          <t>Environmental Sciences; Public, Environmental &amp; Occupational Health</t>
        </is>
      </c>
      <c r="BL737" t="inlineStr">
        <is>
          <t>Science Citation Index Expanded (SCI-EXPANDED); Social Science Citation Index (SSCI)</t>
        </is>
      </c>
      <c r="BM737" t="inlineStr">
        <is>
          <t>Environmental Sciences &amp; Ecology; Public, Environmental &amp; Occupational Health</t>
        </is>
      </c>
      <c r="BN737" t="inlineStr">
        <is>
          <t>3J0ZF</t>
        </is>
      </c>
      <c r="BO737" t="n">
        <v>35886245</v>
      </c>
      <c r="BP737" t="inlineStr">
        <is>
          <t>Green Published, gold</t>
        </is>
      </c>
      <c r="BS737" t="inlineStr">
        <is>
          <t>2023-10-26</t>
        </is>
      </c>
      <c r="BT737" t="inlineStr">
        <is>
          <t>WOS:000833132400001</t>
        </is>
      </c>
      <c r="BU737">
        <f>HYPERLINK("https%3A%2F%2Fwww.webofscience.com%2Fwos%2Fwoscc%2Ffull-record%2FWOS:000833132400001","View Full Record in Web of Science")</f>
        <v/>
      </c>
    </row>
    <row r="738">
      <c r="A738" t="inlineStr">
        <is>
          <t>J</t>
        </is>
      </c>
      <c r="B738" t="inlineStr">
        <is>
          <t>Grazuleviciene, R; Andrusaityte, S; Dedele, A; Grazulevicius, T; Valius, L; Rapalavicius, A; Kapustinskiene, V; Bendokiene, I</t>
        </is>
      </c>
      <c r="F738" t="inlineStr">
        <is>
          <t>Grazuleviciene, Regina; Andrusaityte, Sandra; Dedele, Audrius; Grazulevicius, Tomas; Valius, Leonas; Rapalavicius, Aurimas; Kapustinskiene, Violeta; Bendokiene, Inga</t>
        </is>
      </c>
      <c r="J738" t="inlineStr">
        <is>
          <t>INTERNATIONAL JOURNAL OF ENVIRONMENTAL RESEARCH AND PUBLIC HEALTH</t>
        </is>
      </c>
      <c r="M738" t="inlineStr">
        <is>
          <t>English</t>
        </is>
      </c>
      <c r="N738" t="inlineStr">
        <is>
          <t>Article</t>
        </is>
      </c>
      <c r="T738" t="inlineStr">
        <is>
          <t>Urban Environment and Health: A Cross-Sectional Study of the Influence of Environmental Quality and Physical Activity on Blood Pressure</t>
        </is>
      </c>
      <c r="U738" t="inlineStr">
        <is>
          <t>urban infrastructure; environmental quality; citizen science; neighborhood perceptions; hypertension; physical activity</t>
        </is>
      </c>
      <c r="V738" t="inlineStr">
        <is>
          <t>LONG-TERM EXPOSURE; SOCIOECONOMIC-STATUS; PSYCHOSOCIAL STRESS; AIR-POLLUTION; RISK-FACTOR; HYPERTENSION; KAUNAS; GREEN; EXERCISE; DISEASE</t>
        </is>
      </c>
      <c r="W738" t="inlineStr">
        <is>
          <t>Few studies have examined the relation between urban built environment and the prevalence of hypertension. This cross-sectional study aimed at assessing the relationship between the environmental quality, physical activity, and stress on hypertension among citizens of Kaunas city, Lithuania. We conducted a survey of 1086 citizens residing in 11 districts to determine their perceptions of environmental quality, health behavior, and health indices. The independent variables included residential traffic flows, access to public transportation and green spaces. Dependent variables included physician-diagnosed hypertension, systolic and diastolic blood pressure, and stress level. We used multivariable logistic regression to assess the associations as odds ratios (OR). The environmental factors beneficially associated with meeting the physical activity recommendations were opportunities for walking to reach the city's green spaces and available relaxation areas. Residents of high noise level districts aged 45-64 years had a significantly higher OR of stress and a higher prevalence of hypertension when age, sex, education status, family status, and smoking were accounted for. However, meeting the physical activity recommendations had a beneficial effect on the risk of hypertension. This study provided evidence that improvement of the district-level built environment supporting citizens' physical activity might reduce the risk of hypertension.</t>
        </is>
      </c>
      <c r="X738" t="inlineStr">
        <is>
          <t>[Grazuleviciene, Regina; Andrusaityte, Sandra; Dedele, Audrius; Grazulevicius, Tomas] Vytautas Magnus Univ, Dept Environm Sci, LT-44248 Kaunas, Lithuania; [Valius, Leonas; Rapalavicius, Aurimas; Kapustinskiene, Violeta] Lithuanian Univ Hlth Sci, Dept Family Med, Eiveniu Str 2, LT-50161 Kaunas, Lithuania; [Bendokiene, Inga] Kaunas City Municipal, Div City Planning &amp; Architecture, Laisves Al 96, LT-44251 Kaunas, Lithuania</t>
        </is>
      </c>
      <c r="Y738" t="inlineStr">
        <is>
          <t>Vytautas Magnus University; Lithuanian University of Health Sciences</t>
        </is>
      </c>
      <c r="Z738" t="inlineStr">
        <is>
          <t>Grazuleviciene, R (corresponding author), Vytautas Magnus Univ, Dept Environm Sci, LT-44248 Kaunas, Lithuania.</t>
        </is>
      </c>
      <c r="AA738" t="inlineStr">
        <is>
          <t>regina.grazuleviciene@vdu.lt; sandra.andrusaityte@vdu.lt; audrius.dedele@vdu.lt; t.grazulevicius@gmail.com; Leonas.Valius@lsmuni.lt; Aurimas.Rapalavicius@lsmuni.lt; Violeta.Kapustinskiene@lsmuni.lt; inga.bendokiene@kaunas.lt</t>
        </is>
      </c>
      <c r="AB738" t="inlineStr">
        <is>
          <t>Grazuleviciene, Regina/AAR-4539-2021</t>
        </is>
      </c>
      <c r="AC738" t="inlineStr">
        <is>
          <t>Grazuleviciene, Regina/0000-0002-0210-8053; Grazulevicius, Tomas/0009-0005-4418-3915; Andrusaityte, Sandra/0000-0002-4309-0208</t>
        </is>
      </c>
      <c r="AD738" t="inlineStr">
        <is>
          <t>European Union [824484]</t>
        </is>
      </c>
      <c r="AE738" t="inlineStr">
        <is>
          <t>European Union(European Union (EU))</t>
        </is>
      </c>
      <c r="AF738" t="inlineStr">
        <is>
          <t>This project has received funding from the European Union's Horizon 2020 research and innovation programme under grant agreement No 824484.</t>
        </is>
      </c>
      <c r="AH738" t="n">
        <v>60</v>
      </c>
      <c r="AI738" t="n">
        <v>5</v>
      </c>
      <c r="AJ738" t="n">
        <v>5</v>
      </c>
      <c r="AK738" t="n">
        <v>8</v>
      </c>
      <c r="AL738" t="n">
        <v>29</v>
      </c>
      <c r="AM738" t="inlineStr">
        <is>
          <t>MDPI</t>
        </is>
      </c>
      <c r="AN738" t="inlineStr">
        <is>
          <t>BASEL</t>
        </is>
      </c>
      <c r="AO738" t="inlineStr">
        <is>
          <t>ST ALBAN-ANLAGE 66, CH-4052 BASEL, SWITZERLAND</t>
        </is>
      </c>
      <c r="AQ738" t="inlineStr">
        <is>
          <t>1660-4601</t>
        </is>
      </c>
      <c r="AS738" t="inlineStr">
        <is>
          <t>INT J ENV RES PUB HE</t>
        </is>
      </c>
      <c r="AT738" t="inlineStr">
        <is>
          <t>Int. J. Environ. Res. Public Health</t>
        </is>
      </c>
      <c r="AU738" t="inlineStr">
        <is>
          <t>JUN</t>
        </is>
      </c>
      <c r="AV738" t="n">
        <v>2021</v>
      </c>
      <c r="AW738" t="n">
        <v>18</v>
      </c>
      <c r="AX738" t="n">
        <v>11</v>
      </c>
      <c r="BE738" t="n">
        <v>6126</v>
      </c>
      <c r="BF738" t="inlineStr">
        <is>
          <t>10.3390/ijerph18116126</t>
        </is>
      </c>
      <c r="BG738">
        <f>HYPERLINK("http://dx.doi.org/10.3390/ijerph18116126","http://dx.doi.org/10.3390/ijerph18116126")</f>
        <v/>
      </c>
      <c r="BJ738" t="n">
        <v>15</v>
      </c>
      <c r="BK738" t="inlineStr">
        <is>
          <t>Environmental Sciences; Public, Environmental &amp; Occupational Health</t>
        </is>
      </c>
      <c r="BL738" t="inlineStr">
        <is>
          <t>Science Citation Index Expanded (SCI-EXPANDED); Social Science Citation Index (SSCI)</t>
        </is>
      </c>
      <c r="BM738" t="inlineStr">
        <is>
          <t>Environmental Sciences &amp; Ecology; Public, Environmental &amp; Occupational Health</t>
        </is>
      </c>
      <c r="BN738" t="inlineStr">
        <is>
          <t>SP8XL</t>
        </is>
      </c>
      <c r="BO738" t="n">
        <v>34204097</v>
      </c>
      <c r="BP738" t="inlineStr">
        <is>
          <t>Green Published, gold</t>
        </is>
      </c>
      <c r="BS738" t="inlineStr">
        <is>
          <t>2023-10-26</t>
        </is>
      </c>
      <c r="BT738" t="inlineStr">
        <is>
          <t>WOS:000659946700001</t>
        </is>
      </c>
      <c r="BU738">
        <f>HYPERLINK("https%3A%2F%2Fwww.webofscience.com%2Fwos%2Fwoscc%2Ffull-record%2FWOS:000659946700001","View Full Record in Web of Science")</f>
        <v/>
      </c>
    </row>
    <row r="739">
      <c r="A739" t="inlineStr">
        <is>
          <t>J</t>
        </is>
      </c>
      <c r="B739" t="inlineStr">
        <is>
          <t>Cakyova, K; Vertal, M; Vystrcil, J; Nespesny, O; Beckovsky, D; Rubina, A; Pencik, J; Vranayova, Z</t>
        </is>
      </c>
      <c r="F739" t="inlineStr">
        <is>
          <t>Cakyova, Katarina; Vertal, Marian; Vystrcil, Jan; Nespesny, Ondrej; Beckovsky, David; Rubina, Ales; Pencik, Jan; Vranayova, Zuzana</t>
        </is>
      </c>
      <c r="J739" t="inlineStr">
        <is>
          <t>SUSTAINABILITY</t>
        </is>
      </c>
      <c r="M739" t="inlineStr">
        <is>
          <t>English</t>
        </is>
      </c>
      <c r="N739" t="inlineStr">
        <is>
          <t>Article</t>
        </is>
      </c>
      <c r="T739" t="inlineStr">
        <is>
          <t>The Synergy of Living and Water Wall in Indoor Environment-Case Study in City of Brno, Czech Republic</t>
        </is>
      </c>
      <c r="U739" t="inlineStr">
        <is>
          <t>living wall; water wall; thermal comfort; water consumption; experimental measurement; heating season</t>
        </is>
      </c>
      <c r="V739" t="inlineStr">
        <is>
          <t>GREEN SPACES; RESIDENTIAL GREEN; HUMAN HEALTH; BLUE SPACES; TEMPERATURE; PERFORMANCE; RESPONSES; HUMIDITY; EXPOSURE; BENEFITS</t>
        </is>
      </c>
      <c r="W739" t="inlineStr">
        <is>
          <t>The indoor environment that surrounds us and the elements in it affect not only our mood but also the air quality. Vegetation elements are currently more popular, especially for their aesthetic value but also because of the fact that they affect the physical parameters of the indoor environment such as temperature and humidity. Water elements are a similar example. The presented paper combines these two elements to achieve the best possible level of thermal comfort. Experimental verification of the influence of the living wall on air temperature and humidity took place during the heating season in the city of Brno in the space of the university, while three scenarios were created: the effect of the living wall in a semi-open space, an enclosed space, and a space with a water wall with regulated water temperature. The potential of the water wall is determined based on experimental verification in laboratory conditions. The results show that the synergy of the living and water wall in the indoor space may eliminate the risk of too-low humidity during the heating season.</t>
        </is>
      </c>
      <c r="X739" t="inlineStr">
        <is>
          <t>[Cakyova, Katarina] Tech Univ Kosice, Fac Civil Engn, Ctr Res &amp; Innovat Construct, Vysokoskolska 4, Kosice 04200, Slovakia; [Cakyova, Katarina; Vystrcil, Jan; Nespesny, Ondrej; Beckovsky, David; Pencik, Jan] Brno Univ Technol, Fac Civil Engn, Inst Bldg Struct, Veveri 331-95, Brno 60200, Czech Republic; [Vertal, Marian; Vranayova, Zuzana] Tech Univ Kosice, Fac Civil Engn, Inst Architectural Engn, Kosice 04200, Slovakia; [Rubina, Ales] Brno Univ Technol, Fac Civil Engn, Inst Bldg Serv, Veveri 331-95, Brno 60200, Czech Republic</t>
        </is>
      </c>
      <c r="Y739" t="inlineStr">
        <is>
          <t>Technical University Kosice; Brno University of Technology; Technical University Kosice; Brno University of Technology</t>
        </is>
      </c>
      <c r="Z739" t="inlineStr">
        <is>
          <t>Cakyova, K (corresponding author), Tech Univ Kosice, Fac Civil Engn, Ctr Res &amp; Innovat Construct, Vysokoskolska 4, Kosice 04200, Slovakia.;Cakyova, K (corresponding author), Brno Univ Technol, Fac Civil Engn, Inst Bldg Struct, Veveri 331-95, Brno 60200, Czech Republic.</t>
        </is>
      </c>
      <c r="AA739" t="inlineStr">
        <is>
          <t>katarina.cakyova@tuke.sk; marian.vertal@tuke.sk; vystrcil.j@fce.vutbr.cz; nespesny.o@fce.vutbr.cz; beckovsky.d@fce.vutbr.cz; rubina.a@fce.vutbr.cz; pencik.j@vutbr.cz; zuzana.vranayova@tuke.sk</t>
        </is>
      </c>
      <c r="AB739" t="inlineStr">
        <is>
          <t>Pěnčík, Jan/AAD-6995-2019; Čákyová, Katarína/AAA-6099-2020; Vertal, Marian/IUQ-1911-2023; Nespěšný, Ondřej/ABB-1671-2021; Rubina, Aleš/HSH-4162-2023; Vertal, Marian/AAA-5925-2020</t>
        </is>
      </c>
      <c r="AC739" t="inlineStr">
        <is>
          <t>Pěnčík, Jan/0000-0002-2295-0088; Nespěšný, Ondřej/0000-0002-8505-9575; Rubina, Aleš/0000-0002-3018-2189; Vystrcil, Jan/0000-0001-5704-3923; Cakyova, Katarina/0000-0003-1377-5000; Beckovsky, David/0000-0002-5816-0766; Vertal, Marian/0000-0003-2702-5868; Vranayova, Zuzana/0000-0003-1172-6248</t>
        </is>
      </c>
      <c r="AD739" t="inlineStr">
        <is>
          <t>Technology Agency of the Czech Republic [FV40357]; Slovak Research and Development Agency [APVV-18-0360]</t>
        </is>
      </c>
      <c r="AE739" t="inlineStr">
        <is>
          <t>Technology Agency of the Czech Republic; Slovak Research and Development Agency(Slovak Research and Development Agency)</t>
        </is>
      </c>
      <c r="AF739" t="inlineStr">
        <is>
          <t>The authors are extremely grateful for the support of the Technology Agency of the Czech Republic FV40357 Research and development of newbuildingmaterial consisting of a composite sandwich plate for vegetative vertical constructions at TOPWET company and the Slovak Research and Development Agency APVV-18-0360 Active hybrid infrastructure closer to a sponge city.</t>
        </is>
      </c>
      <c r="AH739" t="n">
        <v>67</v>
      </c>
      <c r="AI739" t="n">
        <v>0</v>
      </c>
      <c r="AJ739" t="n">
        <v>0</v>
      </c>
      <c r="AK739" t="n">
        <v>3</v>
      </c>
      <c r="AL739" t="n">
        <v>12</v>
      </c>
      <c r="AM739" t="inlineStr">
        <is>
          <t>MDPI</t>
        </is>
      </c>
      <c r="AN739" t="inlineStr">
        <is>
          <t>BASEL</t>
        </is>
      </c>
      <c r="AO739" t="inlineStr">
        <is>
          <t>ST ALBAN-ANLAGE 66, CH-4052 BASEL, SWITZERLAND</t>
        </is>
      </c>
      <c r="AQ739" t="inlineStr">
        <is>
          <t>2071-1050</t>
        </is>
      </c>
      <c r="AS739" t="inlineStr">
        <is>
          <t>SUSTAINABILITY-BASEL</t>
        </is>
      </c>
      <c r="AT739" t="inlineStr">
        <is>
          <t>Sustainability</t>
        </is>
      </c>
      <c r="AU739" t="inlineStr">
        <is>
          <t>NOV</t>
        </is>
      </c>
      <c r="AV739" t="n">
        <v>2021</v>
      </c>
      <c r="AW739" t="n">
        <v>13</v>
      </c>
      <c r="AX739" t="n">
        <v>21</v>
      </c>
      <c r="BE739" t="n">
        <v>11649</v>
      </c>
      <c r="BF739" t="inlineStr">
        <is>
          <t>10.3390/su132111649</t>
        </is>
      </c>
      <c r="BG739">
        <f>HYPERLINK("http://dx.doi.org/10.3390/su132111649","http://dx.doi.org/10.3390/su132111649")</f>
        <v/>
      </c>
      <c r="BJ739" t="n">
        <v>23</v>
      </c>
      <c r="BK739" t="inlineStr">
        <is>
          <t>Green &amp; Sustainable Science &amp; Technology; Environmental Sciences; Environmental Studies</t>
        </is>
      </c>
      <c r="BL739" t="inlineStr">
        <is>
          <t>Science Citation Index Expanded (SCI-EXPANDED); Social Science Citation Index (SSCI)</t>
        </is>
      </c>
      <c r="BM739" t="inlineStr">
        <is>
          <t>Science &amp; Technology - Other Topics; Environmental Sciences &amp; Ecology</t>
        </is>
      </c>
      <c r="BN739" t="inlineStr">
        <is>
          <t>WX8VC</t>
        </is>
      </c>
      <c r="BP739" t="inlineStr">
        <is>
          <t>gold, Green Published</t>
        </is>
      </c>
      <c r="BS739" t="inlineStr">
        <is>
          <t>2023-10-26</t>
        </is>
      </c>
      <c r="BT739" t="inlineStr">
        <is>
          <t>WOS:000718866200001</t>
        </is>
      </c>
      <c r="BU739">
        <f>HYPERLINK("https%3A%2F%2Fwww.webofscience.com%2Fwos%2Fwoscc%2Ffull-record%2FWOS:000718866200001","View Full Record in Web of Science")</f>
        <v/>
      </c>
    </row>
    <row r="740">
      <c r="A740" t="inlineStr">
        <is>
          <t>J</t>
        </is>
      </c>
      <c r="B740" t="inlineStr">
        <is>
          <t>Heinonen, J; Horvath, A; Junnila, S</t>
        </is>
      </c>
      <c r="F740" t="inlineStr">
        <is>
          <t>Heinonen, Jukka; Horvath, Arpad; Junnila, Seppo</t>
        </is>
      </c>
      <c r="J740" t="inlineStr">
        <is>
          <t>ENVIRONMENTAL RESEARCH LETTERS</t>
        </is>
      </c>
      <c r="M740" t="inlineStr">
        <is>
          <t>English</t>
        </is>
      </c>
      <c r="N740" t="inlineStr">
        <is>
          <t>Article</t>
        </is>
      </c>
      <c r="T740" t="inlineStr">
        <is>
          <t>Environmental assessments in the built environment: crucial yet underdeveloped</t>
        </is>
      </c>
      <c r="U740" t="inlineStr">
        <is>
          <t>environmental assessment; sustainability; built environment</t>
        </is>
      </c>
      <c r="W740" t="inlineStr">
        <is>
          <t>Environmental assessments have been developed with increasing emphasis since the wide-scale emergence of environmental concerns in the 1970s. However, after decades there is still plenty of room left for development. These assessments are also rapidly becoming more and more crucial as we seem to be reaching the boundaries of the carrying capacity of our planet. Assessments of the emissions from the built environment and especially of the interactions between human communities and emissions are in a very central role in the quest to solve the great problem of sustainable living. Policy-makers and professionals in various fields urgently need reliable data on the current conditions and realistic future projections, as well as robust and scientifically defensible models for decision making. This recognition was the main motivation to call for this Focus Issue, and the published contributions truly highlight the same point. This editorial provides brief summaries and discussions on the 16 articles of the Focus Issue, depicting the several interesting perspectives they offer to advance the state of the art. Now we encourage academics, practitioners, government, industry, individual consumers, and other decision makers to utilize the available findings and develop the domain of environmental assessment of the built environment further. Indeed, we hope that this Focus Issue is merely a kernel of a significantly large future body of literature.</t>
        </is>
      </c>
      <c r="X740" t="inlineStr">
        <is>
          <t>[Heinonen, Jukka] Univ Iceland, Fac Civil &amp; Environm Engn, IS-101 Reykjavik, Iceland; [Horvath, Arpad] Univ Calif Berkeley, Dept Civil &amp; Environm Engn, Berkeley, CA 94720 USA; [Junnila, Seppo] Aalto Univ, Dept Real Estate Planning &amp; Geoinformat, Espoo, Finland</t>
        </is>
      </c>
      <c r="Y740" t="inlineStr">
        <is>
          <t>University of Iceland; University of California System; University of California Berkeley; Aalto University</t>
        </is>
      </c>
      <c r="Z740" t="inlineStr">
        <is>
          <t>Heinonen, J (corresponding author), Univ Iceland, Fac Civil &amp; Environm Engn, IS-101 Reykjavik, Iceland.</t>
        </is>
      </c>
      <c r="AA740" t="inlineStr">
        <is>
          <t>heinonen@hi.is</t>
        </is>
      </c>
      <c r="AB740" t="inlineStr">
        <is>
          <t>Heinonen, Jukka/K-6952-2015; Junnila, Seppo/G-2269-2013</t>
        </is>
      </c>
      <c r="AC740" t="inlineStr">
        <is>
          <t>Heinonen, Jukka/0000-0002-7298-4999; Junnila, Seppo/0000-0002-2984-0383</t>
        </is>
      </c>
      <c r="AH740" t="n">
        <v>32</v>
      </c>
      <c r="AI740" t="n">
        <v>2</v>
      </c>
      <c r="AJ740" t="n">
        <v>2</v>
      </c>
      <c r="AK740" t="n">
        <v>0</v>
      </c>
      <c r="AL740" t="n">
        <v>14</v>
      </c>
      <c r="AM740" t="inlineStr">
        <is>
          <t>IOP PUBLISHING LTD</t>
        </is>
      </c>
      <c r="AN740" t="inlineStr">
        <is>
          <t>BRISTOL</t>
        </is>
      </c>
      <c r="AO740" t="inlineStr">
        <is>
          <t>TEMPLE CIRCUS, TEMPLE WAY, BRISTOL BS1 6BE, ENGLAND</t>
        </is>
      </c>
      <c r="AP740" t="inlineStr">
        <is>
          <t>1748-9326</t>
        </is>
      </c>
      <c r="AS740" t="inlineStr">
        <is>
          <t>ENVIRON RES LETT</t>
        </is>
      </c>
      <c r="AT740" t="inlineStr">
        <is>
          <t>Environ. Res. Lett.</t>
        </is>
      </c>
      <c r="AU740" t="inlineStr">
        <is>
          <t>MAR</t>
        </is>
      </c>
      <c r="AV740" t="n">
        <v>2015</v>
      </c>
      <c r="AW740" t="n">
        <v>10</v>
      </c>
      <c r="AX740" t="n">
        <v>3</v>
      </c>
      <c r="BE740" t="n">
        <v>35003</v>
      </c>
      <c r="BF740" t="inlineStr">
        <is>
          <t>10.1088/1748-9326/10/3/035003</t>
        </is>
      </c>
      <c r="BG740">
        <f>HYPERLINK("http://dx.doi.org/10.1088/1748-9326/10/3/035003","http://dx.doi.org/10.1088/1748-9326/10/3/035003")</f>
        <v/>
      </c>
      <c r="BJ740" t="n">
        <v>6</v>
      </c>
      <c r="BK740" t="inlineStr">
        <is>
          <t>Environmental Sciences; Meteorology &amp; Atmospheric Sciences</t>
        </is>
      </c>
      <c r="BL740" t="inlineStr">
        <is>
          <t>Science Citation Index Expanded (SCI-EXPANDED)</t>
        </is>
      </c>
      <c r="BM740" t="inlineStr">
        <is>
          <t>Environmental Sciences &amp; Ecology; Meteorology &amp; Atmospheric Sciences</t>
        </is>
      </c>
      <c r="BN740" t="inlineStr">
        <is>
          <t>CD9KB</t>
        </is>
      </c>
      <c r="BP740" t="inlineStr">
        <is>
          <t>gold, Green Published</t>
        </is>
      </c>
      <c r="BS740" t="inlineStr">
        <is>
          <t>2023-10-26</t>
        </is>
      </c>
      <c r="BT740" t="inlineStr">
        <is>
          <t>WOS:000351416100023</t>
        </is>
      </c>
      <c r="BU740">
        <f>HYPERLINK("https%3A%2F%2Fwww.webofscience.com%2Fwos%2Fwoscc%2Ffull-record%2FWOS:000351416100023","View Full Record in Web of Science")</f>
        <v/>
      </c>
    </row>
    <row r="741">
      <c r="A741" t="inlineStr">
        <is>
          <t>J</t>
        </is>
      </c>
      <c r="B741" t="inlineStr">
        <is>
          <t>Markowicz, P; Larsson, L</t>
        </is>
      </c>
      <c r="F741" t="inlineStr">
        <is>
          <t>Markowicz, Pawel; Larsson, Lennart</t>
        </is>
      </c>
      <c r="J741" t="inlineStr">
        <is>
          <t>ENVIRONMENTAL SCIENCE AND POLLUTION RESEARCH</t>
        </is>
      </c>
      <c r="M741" t="inlineStr">
        <is>
          <t>English</t>
        </is>
      </c>
      <c r="N741" t="inlineStr">
        <is>
          <t>Article</t>
        </is>
      </c>
      <c r="T741" t="inlineStr">
        <is>
          <t>Influence of relative humidity on VOC concentrations in indoor air</t>
        </is>
      </c>
      <c r="U741" t="inlineStr">
        <is>
          <t>Indoor air; Volatile organic compounds; Relative humidity; Building environment; Sink effect</t>
        </is>
      </c>
      <c r="V741" t="inlineStr">
        <is>
          <t>VOLATILE ORGANIC-COMPOUNDS; BUILDING-MATERIALS; EMISSIONS; DIFFUSION; SYMPTOMS; IMPACT; FORMALDEHYDE; TEMPERATURE; EXPOSURES; PRODUCTS</t>
        </is>
      </c>
      <c r="W741" t="inlineStr">
        <is>
          <t>Volatile organic compounds (VOCs) may be emitted from surfaces indoors leading to compromised air quality. This study scrutinized the influence of relative humidity (RH) on VOC concentrations in a building that had been subjected to water damage. While air samplings in a damp room at low RH (21-22 %) only revealed minor amounts of 2-ethylhexanol (3 mu g/m(3)) and 2,2,4-trimethyl-1,3-pentanediol diisobutyrate (TXIB, 8 mu g/m(3)), measurements performed after a rapid increase of RH (to 58-75 %) revealed an increase in VOC concentrations which was 3-fold for 2-ethylhexanol and 2-fold for TXIB. Similar VOC emission patterns were found in laboratory analyses of moisture-affected and laboratory-contaminated building materials. This study demonstrates the importance of monitoring RH when sampling indoor air for VOCs in order to avoid misleading conclusions from the analytical results.</t>
        </is>
      </c>
      <c r="X741" t="inlineStr">
        <is>
          <t>[Markowicz, Pawel; Larsson, Lennart] Lund Univ, Dept Lab Med, Div Med Microbiol, S-22362 Lund, Sweden</t>
        </is>
      </c>
      <c r="Y741" t="inlineStr">
        <is>
          <t>Lund University</t>
        </is>
      </c>
      <c r="Z741" t="inlineStr">
        <is>
          <t>Larsson, L (corresponding author), Lund Univ, Dept Lab Med, Div Med Microbiol, Solvegatan 23, S-22362 Lund, Sweden.</t>
        </is>
      </c>
      <c r="AA741" t="inlineStr">
        <is>
          <t>lennart.larsson@med.lu.se</t>
        </is>
      </c>
      <c r="AD741" t="inlineStr">
        <is>
          <t>Swedish Research Council for Environment, Agricultural Sciences and Spatial Planning (FORMAS project) [242-2008-343]</t>
        </is>
      </c>
      <c r="AE741" t="inlineStr">
        <is>
          <t>Swedish Research Council for Environment, Agricultural Sciences and Spatial Planning (FORMAS project)(Swedish Research Council Formas)</t>
        </is>
      </c>
      <c r="AF741" t="inlineStr">
        <is>
          <t>This research was supported by the Swedish Research Council for Environment, Agricultural Sciences and Spatial Planning (FORMAS project 242-2008-343). We would like to thank Jorgen Granten for assistance in some air measurements and access to a study building.</t>
        </is>
      </c>
      <c r="AH741" t="n">
        <v>26</v>
      </c>
      <c r="AI741" t="n">
        <v>67</v>
      </c>
      <c r="AJ741" t="n">
        <v>68</v>
      </c>
      <c r="AK741" t="n">
        <v>2</v>
      </c>
      <c r="AL741" t="n">
        <v>89</v>
      </c>
      <c r="AM741" t="inlineStr">
        <is>
          <t>SPRINGER HEIDELBERG</t>
        </is>
      </c>
      <c r="AN741" t="inlineStr">
        <is>
          <t>HEIDELBERG</t>
        </is>
      </c>
      <c r="AO741" t="inlineStr">
        <is>
          <t>TIERGARTENSTRASSE 17, D-69121 HEIDELBERG, GERMANY</t>
        </is>
      </c>
      <c r="AP741" t="inlineStr">
        <is>
          <t>0944-1344</t>
        </is>
      </c>
      <c r="AQ741" t="inlineStr">
        <is>
          <t>1614-7499</t>
        </is>
      </c>
      <c r="AS741" t="inlineStr">
        <is>
          <t>ENVIRON SCI POLLUT R</t>
        </is>
      </c>
      <c r="AT741" t="inlineStr">
        <is>
          <t>Environ. Sci. Pollut. Res.</t>
        </is>
      </c>
      <c r="AU741" t="inlineStr">
        <is>
          <t>APR</t>
        </is>
      </c>
      <c r="AV741" t="n">
        <v>2015</v>
      </c>
      <c r="AW741" t="n">
        <v>22</v>
      </c>
      <c r="AX741" t="n">
        <v>8</v>
      </c>
      <c r="BC741" t="n">
        <v>5772</v>
      </c>
      <c r="BD741" t="n">
        <v>5779</v>
      </c>
      <c r="BF741" t="inlineStr">
        <is>
          <t>10.1007/s11356-014-3678-x</t>
        </is>
      </c>
      <c r="BG741">
        <f>HYPERLINK("http://dx.doi.org/10.1007/s11356-014-3678-x","http://dx.doi.org/10.1007/s11356-014-3678-x")</f>
        <v/>
      </c>
      <c r="BJ741" t="n">
        <v>8</v>
      </c>
      <c r="BK741" t="inlineStr">
        <is>
          <t>Environmental Sciences</t>
        </is>
      </c>
      <c r="BL741" t="inlineStr">
        <is>
          <t>Science Citation Index Expanded (SCI-EXPANDED)</t>
        </is>
      </c>
      <c r="BM741" t="inlineStr">
        <is>
          <t>Environmental Sciences &amp; Ecology</t>
        </is>
      </c>
      <c r="BN741" t="inlineStr">
        <is>
          <t>CF0DG</t>
        </is>
      </c>
      <c r="BO741" t="n">
        <v>25345920</v>
      </c>
      <c r="BS741" t="inlineStr">
        <is>
          <t>2023-10-26</t>
        </is>
      </c>
      <c r="BT741" t="inlineStr">
        <is>
          <t>WOS:000352212300016</t>
        </is>
      </c>
      <c r="BU741">
        <f>HYPERLINK("https%3A%2F%2Fwww.webofscience.com%2Fwos%2Fwoscc%2Ffull-record%2FWOS:000352212300016","View Full Record in Web of Science")</f>
        <v/>
      </c>
    </row>
    <row r="742">
      <c r="A742" t="inlineStr">
        <is>
          <t>J</t>
        </is>
      </c>
      <c r="B742" t="inlineStr">
        <is>
          <t>Ahn, H; Kang, JS; Choi, GS; Choi, HJ</t>
        </is>
      </c>
      <c r="F742" t="inlineStr">
        <is>
          <t>Ahn, Hosang; Kang, Jae Sik; Choi, Gyeong-Seok; Choi, Hyun-Jung</t>
        </is>
      </c>
      <c r="J742" t="inlineStr">
        <is>
          <t>SUSTAINABILITY</t>
        </is>
      </c>
      <c r="M742" t="inlineStr">
        <is>
          <t>English</t>
        </is>
      </c>
      <c r="N742" t="inlineStr">
        <is>
          <t>Article</t>
        </is>
      </c>
      <c r="T742" t="inlineStr">
        <is>
          <t>Optical Sensing Approach to the Recognition of Different Types of Particulate Matters for Sustainable Indoor Environment Management</t>
        </is>
      </c>
      <c r="U742" t="inlineStr">
        <is>
          <t>optical sensing; particulate matter; sustainable indoor environment; contaminant control</t>
        </is>
      </c>
      <c r="V742" t="inlineStr">
        <is>
          <t>AIR-POLLUTION; PM2.5; AMBIENT; INDEX; COLOR</t>
        </is>
      </c>
      <c r="W742" t="inlineStr">
        <is>
          <t>The indoor environment is a crucial part of the built environment where our daily time is mostly spent. It is governed not only by indoor activities, but also affected by interconnected activities such as door opening, walking and routine tasks throughout the inside and outside of buildings and houses. Pollutant control is one of the major concerns for maintaining a sustainable indoor environment, and finding the source of pollutants is a relatively hard part of that task. Pollutants are emitted from various sources, transformed by sunlight, react with vapor in ozone and are transported into cities and from country to country. Due to these reasons, there has been high demand to monitor the transportation of particulate matters and improve air quality. The monitoring of pollutants and identification of their type and concentration enables us to track and control their generation and consequently discover reliable suitable mitigation measures to control air quality at regulated levels by contaminant source removal. However, the monitoring of pollutants, especially particulate matter generation and its transportation, is still not fully operated in atmospheric air due to its open nature and meteorological factors. Even though indoor air is relatively easier to monitor and control than outdoor air in the aspect of specific volume and contaminant source, meteorological parameters still need to be considered because indoor air is not fully separated from outdoor air flow and contaminants' transportation. In this study, an optical approach using a spectral sensor was attempted to reveal the feasibility of wavelength and chromaticity values of reflected light from specific particles. From the analysis of reflected light of various particulate matters according to different liquid additives, parameter studies were performed to investigate which experimental conditions can contribute to the enhanced selective sensing of particulate matter. Five different particulate matters such as household dust, soil, talc powder, gypsum powder and yellow pine tree pollen were utilized. White samples were selectively identified by the peak at 720 nm for talc and 433 nm and 690 nm in wavelength for gypsum under chemical additives. Other grey household dust and yellowish soil and pine tree pollen revealed a distinct chromaticity x, y coordinates shift in vector within the maximum range from (0.22, 0.19) to (0.55, 0.48). Applicable approaches to assist current particle matter sensors and improve the selective sensing were suggested.</t>
        </is>
      </c>
      <c r="X742" t="inlineStr">
        <is>
          <t>[Ahn, Hosang; Choi, Gyeong-Seok; Choi, Hyun-Jung] Korea Inst Civil Engn &amp; Bldg Technol, Bldg Informat Res Ctr, 283 Goyangdaero, Goyang 10223, Gyeonggi, South Korea; [Kang, Jae Sik] Korea Inst Civil Engn &amp; Bldg Technol, Living Environm Res Ctr, 283 Goyangdaero, Goyang 10223, Gyeonggi, South Korea</t>
        </is>
      </c>
      <c r="Y742" t="inlineStr">
        <is>
          <t>Korea Institute of Civil Engineering &amp; Building Technology (KICT); Korea Institute of Civil Engineering &amp; Building Technology (KICT)</t>
        </is>
      </c>
      <c r="Z742" t="inlineStr">
        <is>
          <t>Ahn, H (corresponding author), Korea Inst Civil Engn &amp; Bldg Technol, Bldg Informat Res Ctr, 283 Goyangdaero, Goyang 10223, Gyeonggi, South Korea.</t>
        </is>
      </c>
      <c r="AA742" t="inlineStr">
        <is>
          <t>hahn@kict.re.kr; jskang@kict.re.kr; bear717@kict.re.kr; mingineu@kict.re.kr</t>
        </is>
      </c>
      <c r="AB742" t="inlineStr">
        <is>
          <t>Ahn, Hosang/AAA-3638-2022</t>
        </is>
      </c>
      <c r="AC742" t="inlineStr">
        <is>
          <t>Ahn, Hosang/0000-0003-3934-1657</t>
        </is>
      </c>
      <c r="AD742" t="inlineStr">
        <is>
          <t>KAIA Urban Construction Research Program - Ministry of Land, Infrastructure and Transport of Korean government [20AUDP-B151639-02]</t>
        </is>
      </c>
      <c r="AE742" t="inlineStr">
        <is>
          <t>KAIA Urban Construction Research Program - Ministry of Land, Infrastructure and Transport of Korean government</t>
        </is>
      </c>
      <c r="AF742" t="inlineStr">
        <is>
          <t>This research was supported by a grant (20AUDP-B151639-02) from KAIA Urban Construction Research Program funded by Ministry of Land, Infrastructure and Transport of Korean government.</t>
        </is>
      </c>
      <c r="AH742" t="n">
        <v>18</v>
      </c>
      <c r="AI742" t="n">
        <v>1</v>
      </c>
      <c r="AJ742" t="n">
        <v>1</v>
      </c>
      <c r="AK742" t="n">
        <v>3</v>
      </c>
      <c r="AL742" t="n">
        <v>10</v>
      </c>
      <c r="AM742" t="inlineStr">
        <is>
          <t>MDPI</t>
        </is>
      </c>
      <c r="AN742" t="inlineStr">
        <is>
          <t>BASEL</t>
        </is>
      </c>
      <c r="AO742" t="inlineStr">
        <is>
          <t>ST ALBAN-ANLAGE 66, CH-4052 BASEL, SWITZERLAND</t>
        </is>
      </c>
      <c r="AQ742" t="inlineStr">
        <is>
          <t>2071-1050</t>
        </is>
      </c>
      <c r="AS742" t="inlineStr">
        <is>
          <t>SUSTAINABILITY-BASEL</t>
        </is>
      </c>
      <c r="AT742" t="inlineStr">
        <is>
          <t>Sustainability</t>
        </is>
      </c>
      <c r="AU742" t="inlineStr">
        <is>
          <t>DEC</t>
        </is>
      </c>
      <c r="AV742" t="n">
        <v>2020</v>
      </c>
      <c r="AW742" t="n">
        <v>12</v>
      </c>
      <c r="AX742" t="n">
        <v>24</v>
      </c>
      <c r="BE742" t="n">
        <v>10568</v>
      </c>
      <c r="BF742" t="inlineStr">
        <is>
          <t>10.3390/su122410568</t>
        </is>
      </c>
      <c r="BG742">
        <f>HYPERLINK("http://dx.doi.org/10.3390/su122410568","http://dx.doi.org/10.3390/su122410568")</f>
        <v/>
      </c>
      <c r="BJ742" t="n">
        <v>13</v>
      </c>
      <c r="BK742" t="inlineStr">
        <is>
          <t>Green &amp; Sustainable Science &amp; Technology; Environmental Sciences; Environmental Studies</t>
        </is>
      </c>
      <c r="BL742" t="inlineStr">
        <is>
          <t>Science Citation Index Expanded (SCI-EXPANDED); Social Science Citation Index (SSCI)</t>
        </is>
      </c>
      <c r="BM742" t="inlineStr">
        <is>
          <t>Science &amp; Technology - Other Topics; Environmental Sciences &amp; Ecology</t>
        </is>
      </c>
      <c r="BN742" t="inlineStr">
        <is>
          <t>PL7OW</t>
        </is>
      </c>
      <c r="BP742" t="inlineStr">
        <is>
          <t>gold, Green Published</t>
        </is>
      </c>
      <c r="BS742" t="inlineStr">
        <is>
          <t>2023-10-26</t>
        </is>
      </c>
      <c r="BT742" t="inlineStr">
        <is>
          <t>WOS:000603307300001</t>
        </is>
      </c>
      <c r="BU742">
        <f>HYPERLINK("https%3A%2F%2Fwww.webofscience.com%2Fwos%2Fwoscc%2Ffull-record%2FWOS:000603307300001","View Full Record in Web of Science")</f>
        <v/>
      </c>
    </row>
    <row r="743">
      <c r="A743" t="inlineStr">
        <is>
          <t>J</t>
        </is>
      </c>
      <c r="B743" t="inlineStr">
        <is>
          <t>Pannozzo, N; Smedley, RK; Plater, AJ; Carnacina, I; Leonardi, N</t>
        </is>
      </c>
      <c r="F743" t="inlineStr">
        <is>
          <t>Pannozzo, Natascia; Smedley, Rachel K.; Plater, Andrew J.; Carnacina, Iacopo; Leonardi, Nicoletta</t>
        </is>
      </c>
      <c r="J743" t="inlineStr">
        <is>
          <t>SCIENCE OF THE TOTAL ENVIRONMENT</t>
        </is>
      </c>
      <c r="M743" t="inlineStr">
        <is>
          <t>English</t>
        </is>
      </c>
      <c r="N743" t="inlineStr">
        <is>
          <t>Article</t>
        </is>
      </c>
      <c r="T743" t="inlineStr">
        <is>
          <t>Novel luminescence diagnosis of storm deposition across intertidal environments</t>
        </is>
      </c>
      <c r="U743" t="inlineStr">
        <is>
          <t>Salt marshes; Mud flats; Intertidal environments; Storms; Luminescence</t>
        </is>
      </c>
      <c r="V743" t="inlineStr">
        <is>
          <t>SALT-MARSH; SEDIMENT TRANSPORT; K-FELDSPAR; QUARTZ OSL; SEA; SINGLE; PROVENANCE; PATTERNS; ESTUARY; GRAINS</t>
        </is>
      </c>
      <c r="W743" t="inlineStr">
        <is>
          <t>Salt marshes provide valuable nature-based, low-cost defences protecting against coastal flooding and erosion. Storm sedimentation can improve the resilience of salt marshes to accelerating rates of sea-level rise, which poses a threat to salt marsh survival worldwide. It is therefore important to be able to accurately detect the frequency of storm activity in longer-term sediment records to quantify how storms contribute to salt marsh resilience. Luminescence is able to infer how long mineral grains were exposed to sunlight prior to burial (e.g., the presence or absence of sediment processing). This study used sediment cores collected from the Ribble Estuary, North West England, to show that luminescence properties of sand-sized K-feldspar grains can diagnose the differential modes of deposition across intertidal settings (i.e., sandflat, mudflat and salt marsh) in longer-term sediment records by detecting the variability in sediment bleaching potential between settings (i.e., sediment exposure to sunlight), thus establishing a framework for the interpretation of luminescence properties of intertidal sediments. It then used modern sediment samples collected before and after a storm event to show how such properties can diagnose changes in sediment processing (i.e., bleaching potential) of mudflat sediments caused by storm activity, despite no changes in sediment composition being recorded by geochemical and particle size distribution analyses. This new luminescence approach can be applied to longer-term sediment records to reveal (and date) changes in the environment of deposition and/or depositional dynamics where there is no obvious stratigraphic evidence of such.</t>
        </is>
      </c>
      <c r="X743" t="inlineStr">
        <is>
          <t>[Pannozzo, Natascia; Smedley, Rachel K.; Plater, Andrew J.; Leonardi, Nicoletta] Univ Liverpool, Sch Environm Sci, Dept Geog &amp; Planning, Chatham St, Liverpool L69 7ZT, England; [Carnacina, Iacopo] Liverpool John Moores Univ, Sch Civil Engn &amp; Built Environm, Dept Civil Engn, Byrom St, Liverpool L3 3AF, England</t>
        </is>
      </c>
      <c r="Y743" t="inlineStr">
        <is>
          <t>University of Liverpool; Liverpool John Moores University</t>
        </is>
      </c>
      <c r="Z743" t="inlineStr">
        <is>
          <t>Pannozzo, N (corresponding author), Univ Liverpool, Sch Environm Sci, Dept Geog &amp; Planning, Chatham St, Liverpool L69 7ZT, England.</t>
        </is>
      </c>
      <c r="AA743" t="inlineStr">
        <is>
          <t>sgnpanno@liverpool.ac.uk</t>
        </is>
      </c>
      <c r="AB743" t="inlineStr">
        <is>
          <t>carnacina, iacopo/AEX-9987-2022</t>
        </is>
      </c>
      <c r="AC743" t="inlineStr">
        <is>
          <t>carnacina, iacopo/0000-0001-5567-7180; Pannozzo, Natascia/0000-0002-8082-9251</t>
        </is>
      </c>
      <c r="AD743" t="inlineStr">
        <is>
          <t>School of Environmental Sciences, University of Liverpool; EPSRC [EP/V056042/1]; RGS-IBG</t>
        </is>
      </c>
      <c r="AE743" t="inlineStr">
        <is>
          <t>School of Environmental Sciences, University of Liverpool; EPSRC(UK Research &amp; Innovation (UKRI)Engineering &amp; Physical Sciences Research Council (EPSRC)); RGS-IBG</t>
        </is>
      </c>
      <c r="AF743" t="inlineStr">
        <is>
          <t>We acknowledge support from the School of Environmental Sciences, University of Liverpool, which is funding the PhD project of the first author, the EPSRC support to Prof. Nicoletta Leonardi (EP/V056042/1) and the RGS-IBG for funding part of the field campaign (project title: Building coastal resilience one sediment grain at the time: field measurements and community engagement on nature-based solutions for coastal protection, PI Prof. Nicoletta Leonardi) . We also acknowledge the support of the RSPB for allowing the fieldwork campaign in the Ribble Estuary and the Geography and Luminescence laboratories and their technicians and students (Jennifer Bradley, Luke Glascott, Mike O'Connor, Richard Clark, Grace Skirrow and Molly Spater) for their support with equipment, fieldwork and laboratory analyses. The content from Pannozzo et al. (2022) was reproduced under the CC BY 4.0 licence. We ultimately thank two anonymous reviewers for their constructive feedback on the manuscript.</t>
        </is>
      </c>
      <c r="AH743" t="n">
        <v>77</v>
      </c>
      <c r="AI743" t="n">
        <v>1</v>
      </c>
      <c r="AJ743" t="n">
        <v>1</v>
      </c>
      <c r="AK743" t="n">
        <v>3</v>
      </c>
      <c r="AL743" t="n">
        <v>4</v>
      </c>
      <c r="AM743" t="inlineStr">
        <is>
          <t>ELSEVIER</t>
        </is>
      </c>
      <c r="AN743" t="inlineStr">
        <is>
          <t>AMSTERDAM</t>
        </is>
      </c>
      <c r="AO743" t="inlineStr">
        <is>
          <t>RADARWEG 29, 1043 NX AMSTERDAM, NETHERLANDS</t>
        </is>
      </c>
      <c r="AP743" t="inlineStr">
        <is>
          <t>0048-9697</t>
        </is>
      </c>
      <c r="AQ743" t="inlineStr">
        <is>
          <t>1879-1026</t>
        </is>
      </c>
      <c r="AS743" t="inlineStr">
        <is>
          <t>SCI TOTAL ENVIRON</t>
        </is>
      </c>
      <c r="AT743" t="inlineStr">
        <is>
          <t>Sci. Total Environ.</t>
        </is>
      </c>
      <c r="AU743" t="inlineStr">
        <is>
          <t>APR 1</t>
        </is>
      </c>
      <c r="AV743" t="n">
        <v>2023</v>
      </c>
      <c r="AW743" t="n">
        <v>867</v>
      </c>
      <c r="BE743" t="n">
        <v>161461</v>
      </c>
      <c r="BF743" t="inlineStr">
        <is>
          <t>10.1016/j.scitotenv.2023.161461</t>
        </is>
      </c>
      <c r="BG743">
        <f>HYPERLINK("http://dx.doi.org/10.1016/j.scitotenv.2023.161461","http://dx.doi.org/10.1016/j.scitotenv.2023.161461")</f>
        <v/>
      </c>
      <c r="BJ743" t="n">
        <v>10</v>
      </c>
      <c r="BK743" t="inlineStr">
        <is>
          <t>Environmental Sciences</t>
        </is>
      </c>
      <c r="BL743" t="inlineStr">
        <is>
          <t>Science Citation Index Expanded (SCI-EXPANDED)</t>
        </is>
      </c>
      <c r="BM743" t="inlineStr">
        <is>
          <t>Environmental Sciences &amp; Ecology</t>
        </is>
      </c>
      <c r="BN743" t="inlineStr">
        <is>
          <t>H5ZX0</t>
        </is>
      </c>
      <c r="BO743" t="n">
        <v>36627000</v>
      </c>
      <c r="BP743" t="inlineStr">
        <is>
          <t>hybrid, Green Accepted</t>
        </is>
      </c>
      <c r="BS743" t="inlineStr">
        <is>
          <t>2023-10-26</t>
        </is>
      </c>
      <c r="BT743" t="inlineStr">
        <is>
          <t>WOS:000996753500001</t>
        </is>
      </c>
      <c r="BU743">
        <f>HYPERLINK("https%3A%2F%2Fwww.webofscience.com%2Fwos%2Fwoscc%2Ffull-record%2FWOS:000996753500001","View Full Record in Web of Science")</f>
        <v/>
      </c>
    </row>
    <row r="744">
      <c r="A744" t="inlineStr">
        <is>
          <t>J</t>
        </is>
      </c>
      <c r="B744" t="inlineStr">
        <is>
          <t>Gullón, P; Díez, J; Conde, P; Ramos, C; Márquez, V; Badland, H; Escobar, F; Franco, M</t>
        </is>
      </c>
      <c r="F744" t="inlineStr">
        <is>
          <t>Gullon, Pedro; Diez, Julia; Conde, Paloma; Ramos, Carmen; Marquez, Valentin; Badland, Hannah; Escobar, Francisco; Franco, Manuel</t>
        </is>
      </c>
      <c r="J744" t="inlineStr">
        <is>
          <t>INTERNATIONAL JOURNAL OF ENVIRONMENTAL RESEARCH AND PUBLIC HEALTH</t>
        </is>
      </c>
      <c r="M744" t="inlineStr">
        <is>
          <t>English</t>
        </is>
      </c>
      <c r="N744" t="inlineStr">
        <is>
          <t>Article</t>
        </is>
      </c>
      <c r="T744" t="inlineStr">
        <is>
          <t>Using Photovoice to Examine Physical Activity in the Urban Context and Generate Policy Recommendations: The Heart Healthy Hoods Study</t>
        </is>
      </c>
      <c r="U744" t="inlineStr">
        <is>
          <t>physical activity environment; urban health; participatory action research; photovoice</t>
        </is>
      </c>
      <c r="V744" t="inlineStr">
        <is>
          <t>COMMUNITY; ENVIRONMENTS; PERCEPTIONS; DISEASE; OBESITY; ADULTS; DETERMINANTS; PERSPECTIVES; INACTIVITY; BURDEN</t>
        </is>
      </c>
      <c r="W744" t="inlineStr">
        <is>
          <t>A current challenge in physical activity research is engaging citizens with co-creating policies that support physical activity participation. Using Photovoice, a participatory action research method, the objectives of this study were to: 1) Identify community perceptions of urban built, social, and political/economic environment factors associated with physical activity; and 2) generate community-driven policy recommendations to increase physical activity. Two districts in Madrid of varying socio-economic status (SES) were selected. Overall, 24 residents participated in 4 groups stratified by sex and district (6 participants per group). Groups met weekly for 4 weeks to discuss and analyze their photographs. Participants coded photographs into categories, which were then regrouped into broader themes. The categories were transformed into policy recommendations using an adaptation of the logical framework approach. Participants took 161 photos, which were classified into 61 categories and 14 broader themes (e.g., active transportation, sport in the city). After this, participants generated a set of 34 policy recommendations to improve the urban environment to support physical activity (e.g., to redistribute sports facilities). Collaboration between citizens and researchers led to a deeper understanding of the community perceptions of urban built, social, and political/economic environment factors associated with physical activity in two districts of Madrid, while engaging citizens in recommending public policies.</t>
        </is>
      </c>
      <c r="X744" t="inlineStr">
        <is>
          <t>[Gullon, Pedro; Diez, Julia; Conde, Paloma; Escobar, Francisco; Franco, Manuel] Univ Alcala, Sch Med, Social &amp; Cardiovasc Epidemiol Res Grp, Madrid 28871, Spain; [Gullon, Pedro] Drexel Dornsife Sch Publ, Urban Hlth Collaborat, Philadelphia, PA 19104 USA; [Ramos, Carmen] Madrid City Council, Publ Hlth Inst Madrid, Madrid 28007, Spain; [Marquez, Valentin] Madrid City Council, Social Serv Dept Madrid, Madrid 28007, Spain; [Marquez, Valentin] Univ Complutense Madrid, Dept Social Work &amp; Social Serv, E-28040 Madrid, Spain; [Badland, Hannah] RMIT Univ, Ctr Urban Res, Melbourne, Vic 3000, Australia; [Escobar, Francisco] Univ Alcala, Dept Geol Geog &amp; Environm Sci, Madrid 28801, Spain; [Franco, Manuel] Johns Hopkins Bloomberg Sch Publ Hlth, Dept Epidemiol, Baltimore, MD 21205 USA</t>
        </is>
      </c>
      <c r="Y744" t="inlineStr">
        <is>
          <t>Universidad de Alcala; Complutense University of Madrid; Royal Melbourne Institute of Technology (RMIT); Universidad de Alcala; Johns Hopkins University; Johns Hopkins Bloomberg School of Public Health</t>
        </is>
      </c>
      <c r="Z744" t="inlineStr">
        <is>
          <t>Franco, M (corresponding author), Univ Alcala, Sch Med, Social &amp; Cardiovasc Epidemiol Res Grp, Madrid 28871, Spain.;Franco, M (corresponding author), Johns Hopkins Bloomberg Sch Publ Hlth, Dept Epidemiol, Baltimore, MD 21205 USA.</t>
        </is>
      </c>
      <c r="AA744" t="inlineStr">
        <is>
          <t>pedro.gullon@edu.uah.es; julia.diez@uah.es; p.conde@uah.es; ramosmc@madrid.es; vmarquez@ucm.es; hannah.badland@rmit.edu.au; francisco.escobar@uah.es; mfranco@uah.es</t>
        </is>
      </c>
      <c r="AB744" t="inlineStr">
        <is>
          <t>Gullon, Pedro/GVS-3155-2022; Díez, Julia/T-5424-2018; Badland, Hannah/AAY-3329-2021; Franco, Manuel/T-5409-2018; Ramos, Carmem/AAG-3666-2020</t>
        </is>
      </c>
      <c r="AC744" t="inlineStr">
        <is>
          <t>Díez, Julia/0000-0002-5586-1794; Badland, Hannah/0000-0002-8936-2715; Franco, Manuel/0000-0003-1366-9398; Gullon, Pedro/0000-0002-7641-1514; Francisco, Escobar/0000-0001-5688-6654</t>
        </is>
      </c>
      <c r="AD744" t="inlineStr">
        <is>
          <t>European Research Council under the European Union [336893]; 2018 Fundacion Alfonso Martin Escudero Research Grants; RMIT Vice Chancellor's Senior Research Fellowship; European Research Council (ERC) [336893] Funding Source: European Research Council (ERC)</t>
        </is>
      </c>
      <c r="AE744" t="inlineStr">
        <is>
          <t>European Research Council under the European Union(European Research Council (ERC)); 2018 Fundacion Alfonso Martin Escudero Research Grants; RMIT Vice Chancellor's Senior Research Fellowship; European Research Council (ERC)(European Research Council (ERC)Spanish Government)</t>
        </is>
      </c>
      <c r="AF744" t="inlineStr">
        <is>
          <t>P.G., J.D., P.C., and M.F. were funded by the European Research Council under the European Union's Seventh Framework Programme (FP7/2007-2013/ERC Starting Grant Heart Healthy Hoods Agreement no. 336893). P.G. is also supported by 2018 Fundacion Alfonso Martin Escudero Research Grants. H.B. is supported by an RMIT Vice Chancellor's Senior Research Fellowship and is the 2018 Australian Health Promotion Association Thinker in Residence.</t>
        </is>
      </c>
      <c r="AH744" t="n">
        <v>46</v>
      </c>
      <c r="AI744" t="n">
        <v>5</v>
      </c>
      <c r="AJ744" t="n">
        <v>5</v>
      </c>
      <c r="AK744" t="n">
        <v>4</v>
      </c>
      <c r="AL744" t="n">
        <v>17</v>
      </c>
      <c r="AM744" t="inlineStr">
        <is>
          <t>MDPI</t>
        </is>
      </c>
      <c r="AN744" t="inlineStr">
        <is>
          <t>BASEL</t>
        </is>
      </c>
      <c r="AO744" t="inlineStr">
        <is>
          <t>ST ALBAN-ANLAGE 66, CH-4052 BASEL, SWITZERLAND</t>
        </is>
      </c>
      <c r="AQ744" t="inlineStr">
        <is>
          <t>1660-4601</t>
        </is>
      </c>
      <c r="AS744" t="inlineStr">
        <is>
          <t>INT J ENV RES PUB HE</t>
        </is>
      </c>
      <c r="AT744" t="inlineStr">
        <is>
          <t>Int. J. Environ. Res. Public Health</t>
        </is>
      </c>
      <c r="AU744" t="inlineStr">
        <is>
          <t>MAR 1</t>
        </is>
      </c>
      <c r="AV744" t="n">
        <v>2019</v>
      </c>
      <c r="AW744" t="n">
        <v>16</v>
      </c>
      <c r="AX744" t="n">
        <v>5</v>
      </c>
      <c r="BE744" t="n">
        <v>749</v>
      </c>
      <c r="BF744" t="inlineStr">
        <is>
          <t>10.3390/ijerph16050749</t>
        </is>
      </c>
      <c r="BG744">
        <f>HYPERLINK("http://dx.doi.org/10.3390/ijerph16050749","http://dx.doi.org/10.3390/ijerph16050749")</f>
        <v/>
      </c>
      <c r="BJ744" t="n">
        <v>16</v>
      </c>
      <c r="BK744" t="inlineStr">
        <is>
          <t>Environmental Sciences; Public, Environmental &amp; Occupational Health</t>
        </is>
      </c>
      <c r="BL744" t="inlineStr">
        <is>
          <t>Science Citation Index Expanded (SCI-EXPANDED); Social Science Citation Index (SSCI)</t>
        </is>
      </c>
      <c r="BM744" t="inlineStr">
        <is>
          <t>Environmental Sciences &amp; Ecology; Public, Environmental &amp; Occupational Health</t>
        </is>
      </c>
      <c r="BN744" t="inlineStr">
        <is>
          <t>HQ8HD</t>
        </is>
      </c>
      <c r="BO744" t="n">
        <v>30832269</v>
      </c>
      <c r="BP744" t="inlineStr">
        <is>
          <t>Green Published, gold, Green Accepted</t>
        </is>
      </c>
      <c r="BS744" t="inlineStr">
        <is>
          <t>2023-10-26</t>
        </is>
      </c>
      <c r="BT744" t="inlineStr">
        <is>
          <t>WOS:000462664200074</t>
        </is>
      </c>
      <c r="BU744">
        <f>HYPERLINK("https%3A%2F%2Fwww.webofscience.com%2Fwos%2Fwoscc%2Ffull-record%2FWOS:000462664200074","View Full Record in Web of Science")</f>
        <v/>
      </c>
    </row>
    <row r="745">
      <c r="A745" t="inlineStr">
        <is>
          <t>J</t>
        </is>
      </c>
      <c r="B745" t="inlineStr">
        <is>
          <t>Greenblatt-Kimron, L; Kagan, M; Zychlinski, E</t>
        </is>
      </c>
      <c r="F745" t="inlineStr">
        <is>
          <t>Greenblatt-Kimron, Lee; Kagan, Maya; Zychlinski, Ester</t>
        </is>
      </c>
      <c r="J745" t="inlineStr">
        <is>
          <t>INTERNATIONAL JOURNAL OF ENVIRONMENTAL RESEARCH AND PUBLIC HEALTH</t>
        </is>
      </c>
      <c r="M745" t="inlineStr">
        <is>
          <t>English</t>
        </is>
      </c>
      <c r="N745" t="inlineStr">
        <is>
          <t>Article</t>
        </is>
      </c>
      <c r="T745" t="inlineStr">
        <is>
          <t>Meaning in Life among Older Adults: An Integrative Model</t>
        </is>
      </c>
      <c r="U745" t="inlineStr">
        <is>
          <t>integrative model; meaning in life; older adults; personality characteristics; psycho-social factors</t>
        </is>
      </c>
      <c r="V745" t="inlineStr">
        <is>
          <t>PSYCHOLOGICAL DISTRESS; PERSONALITY-TRAITS; HEALTH BEHAVIOR; MEDIATING ROLE; SELF-EFFICACY; LONELINESS; OPTIMISM; PREDICTORS; PURPOSE; PEOPLE</t>
        </is>
      </c>
      <c r="W745" t="inlineStr">
        <is>
          <t>Meaning in life (MIL) among older adults has a significant physical and mental health impact. This study aimed to present an integrative model of factors that contribute to variability in MIL among older adults, including background characteristics (gender, age, employment status, religiosity), personality characteristics (locus of control, self-efficacy, optimism), and psycho-social factors (psychological distress and loneliness). Participants (751 older adults, M-age = 72.27, SD = 6.28; 446 female, 305 male) responded to a questionnaire in-person or online. Measures included: demographic variables, Short Scale for the Assessment of Locus of Control, New General Self-Efficacy Scale, Life Orientation Test-Revised, Kessler Psychological Distress Scale, and Hughes Short Scale for Measuring Loneliness. Hierarchical regression revealed that younger and religious older adults reported higher MIL levels than older and non-religious older adults. Internal locus of control, higher self-efficacy, and higher optimism were linked to higher MIL levels. Higher psychological distress and loneliness were associated with lower MIL levels, with psychological distress contributing the most of all variables in the study model to explain the variance in MIL among older adults. Employed older old adults reported lower MIL levels than those unemployed. The study emphasizes the importance of an integrative approach in the examination of MIL among older adults.</t>
        </is>
      </c>
      <c r="X745" t="inlineStr">
        <is>
          <t>[Greenblatt-Kimron, Lee; Kagan, Maya; Zychlinski, Ester] Ariel Univ, Sch Social Work, IL-40700 Ariel, Israel</t>
        </is>
      </c>
      <c r="Y745" t="inlineStr">
        <is>
          <t>Ariel University</t>
        </is>
      </c>
      <c r="Z745" t="inlineStr">
        <is>
          <t>Greenblatt-Kimron, L (corresponding author), Ariel Univ, Sch Social Work, IL-40700 Ariel, Israel.</t>
        </is>
      </c>
      <c r="AA745" t="inlineStr">
        <is>
          <t>leegr@ariel.ac.il</t>
        </is>
      </c>
      <c r="AC745" t="inlineStr">
        <is>
          <t>/0000-0001-8089-0493</t>
        </is>
      </c>
      <c r="AH745" t="n">
        <v>81</v>
      </c>
      <c r="AI745" t="n">
        <v>0</v>
      </c>
      <c r="AJ745" t="n">
        <v>0</v>
      </c>
      <c r="AK745" t="n">
        <v>11</v>
      </c>
      <c r="AL745" t="n">
        <v>19</v>
      </c>
      <c r="AM745" t="inlineStr">
        <is>
          <t>MDPI</t>
        </is>
      </c>
      <c r="AN745" t="inlineStr">
        <is>
          <t>BASEL</t>
        </is>
      </c>
      <c r="AO745" t="inlineStr">
        <is>
          <t>ST ALBAN-ANLAGE 66, CH-4052 BASEL, SWITZERLAND</t>
        </is>
      </c>
      <c r="AQ745" t="inlineStr">
        <is>
          <t>1660-4601</t>
        </is>
      </c>
      <c r="AS745" t="inlineStr">
        <is>
          <t>INT J ENV RES PUB HE</t>
        </is>
      </c>
      <c r="AT745" t="inlineStr">
        <is>
          <t>Int. J. Environ. Res. Public Health</t>
        </is>
      </c>
      <c r="AU745" t="inlineStr">
        <is>
          <t>DEC</t>
        </is>
      </c>
      <c r="AV745" t="n">
        <v>2022</v>
      </c>
      <c r="AW745" t="n">
        <v>19</v>
      </c>
      <c r="AX745" t="n">
        <v>24</v>
      </c>
      <c r="BE745" t="n">
        <v>16762</v>
      </c>
      <c r="BF745" t="inlineStr">
        <is>
          <t>10.3390/ijerph192416762</t>
        </is>
      </c>
      <c r="BG745">
        <f>HYPERLINK("http://dx.doi.org/10.3390/ijerph192416762","http://dx.doi.org/10.3390/ijerph192416762")</f>
        <v/>
      </c>
      <c r="BJ745" t="n">
        <v>12</v>
      </c>
      <c r="BK745" t="inlineStr">
        <is>
          <t>Environmental Sciences; Public, Environmental &amp; Occupational Health</t>
        </is>
      </c>
      <c r="BL745" t="inlineStr">
        <is>
          <t>Science Citation Index Expanded (SCI-EXPANDED); Social Science Citation Index (SSCI)</t>
        </is>
      </c>
      <c r="BM745" t="inlineStr">
        <is>
          <t>Environmental Sciences &amp; Ecology; Public, Environmental &amp; Occupational Health</t>
        </is>
      </c>
      <c r="BN745" t="inlineStr">
        <is>
          <t>7E1BS</t>
        </is>
      </c>
      <c r="BO745" t="n">
        <v>36554641</v>
      </c>
      <c r="BP745" t="inlineStr">
        <is>
          <t>gold, Green Published</t>
        </is>
      </c>
      <c r="BS745" t="inlineStr">
        <is>
          <t>2023-10-26</t>
        </is>
      </c>
      <c r="BT745" t="inlineStr">
        <is>
          <t>WOS:000900913400001</t>
        </is>
      </c>
      <c r="BU745">
        <f>HYPERLINK("https%3A%2F%2Fwww.webofscience.com%2Fwos%2Fwoscc%2Ffull-record%2FWOS:000900913400001","View Full Record in Web of Science")</f>
        <v/>
      </c>
    </row>
    <row r="746">
      <c r="A746" t="inlineStr">
        <is>
          <t>J</t>
        </is>
      </c>
      <c r="B746" t="inlineStr">
        <is>
          <t>Altaf, B; Bianchi, E; Douglas, IP; Douglas, K; Byers, B; Paredes, PE; Ardoin, NM; Markus, HR; Murnane, EL; Bencharit, LZ; Landay, JA; Billington, SL</t>
        </is>
      </c>
      <c r="F746" t="inlineStr">
        <is>
          <t>Altaf, Basma; Bianchi, Eva; Douglas, Isabella P.; Douglas, Kyle; Byers, Brandon; Paredes, Pablo E.; Ardoin, Nicole M.; Markus, Hazel R.; Murnane, Elizabeth L.; Bencharit, Lucy Z.; Landay, James A.; Billington, Sarah L.</t>
        </is>
      </c>
      <c r="J746" t="inlineStr">
        <is>
          <t>FRONTIERS IN SUSTAINABLE CITIES</t>
        </is>
      </c>
      <c r="M746" t="inlineStr">
        <is>
          <t>English</t>
        </is>
      </c>
      <c r="N746" t="inlineStr">
        <is>
          <t>Article</t>
        </is>
      </c>
      <c r="T746" t="inlineStr">
        <is>
          <t>Use of Crowdsourced Online Surveys to Study the Impact of Architectural and Design Choices on Wellbeing</t>
        </is>
      </c>
      <c r="U746" t="inlineStr">
        <is>
          <t>meta-analysis; natural materials; natural light; sense of belonging; self-efficacy; diversity; environmental efficacy; design interventions</t>
        </is>
      </c>
      <c r="V746" t="inlineStr">
        <is>
          <t>INTERIOR; WOOD; EXPOSURE; TURK</t>
        </is>
      </c>
      <c r="W746" t="inlineStr">
        <is>
          <t>There has been growing interest among scholars regarding the role of the built environment on occupant wellbeing. Across five studies conducted online from January 2018 to July 2021, we investigate the impact of design interventions (materials, light, and decor representing diverse identities) on several constructs indicative of wellbeing (sense of belonging, self-efficacy, and environmental efficacy), using self-reported metrics. We hypothesize that natural materials, natural light and diverse representations lead to higher self-reported scores compared to artificial materials, no natural light and non-diverse representations. We find that, while our results vary across individual experiments, the synthesized effects of materials and light on all three dependent measures hold consistent across studies, supporting our hypothesized outcomes. We also examine the influence of seasonality, survey platform and design, and independent variables' dosage on survey results. We conclude with a discussion on the challenges associated with researching the psychological as well as behavioral impacts of design interventions in indoor spaces.</t>
        </is>
      </c>
      <c r="X746" t="inlineStr">
        <is>
          <t>[Altaf, Basma; Bianchi, Eva; Douglas, Isabella P.; Douglas, Kyle; Byers, Brandon; Billington, Sarah L.] Stanford Univ, Dept Civil &amp; Environm Engn, Stanford, CA 94305 USA; [Paredes, Pablo E.] Stanford Univ, Dept Psychiat &amp; Behav Sci, Stanford, CA USA; [Ardoin, Nicole M.] Stanford Univ, Grad Sch Educ, Stanford, CA USA; [Ardoin, Nicole M.] Stanford Univ, Woods Inst Environm, Stanford, CA USA; [Markus, Hazel R.] Stanford Univ, Dept Psychol, Stanford, CA USA; [Murnane, Elizabeth L.] Dartmouth Coll, Sch Engn, Hanover, NH USA; [Bencharit, Lucy Z.] Calif Polytech State Univ San Luis Obispo, Dept Psychol &amp; Child Dev, San Luis Obispo, CA USA; [Landay, James A.] Stanford Univ, Dept Comp Sci, Stanford, CA USA</t>
        </is>
      </c>
      <c r="Y746" t="inlineStr">
        <is>
          <t>Stanford University; Stanford University; Stanford University; Stanford University; Stanford University; Dartmouth College; California State University System; California Polytechnic State University San Luis Obispo; Stanford University</t>
        </is>
      </c>
      <c r="Z746" t="inlineStr">
        <is>
          <t>Altaf, B; Bianchi, E (corresponding author), Stanford Univ, Dept Civil &amp; Environm Engn, Stanford, CA 94305 USA.</t>
        </is>
      </c>
      <c r="AA746" t="inlineStr">
        <is>
          <t>baltaf@stanford.edu; ebianchi@stanford.edu</t>
        </is>
      </c>
      <c r="AB746" t="inlineStr">
        <is>
          <t>Billington, Sarah/IZD-6657-2023; Murnane, Elizabeth/IQV-8001-2023</t>
        </is>
      </c>
      <c r="AC746" t="inlineStr">
        <is>
          <t>Billington, Sarah/0000-0003-3796-587X; Murnane, Elizabeth/0000-0003-2089-207X; Landay, James/0000-0003-1520-8894; Paredes, Pablo/0000-0003-2431-9190; Altaf, Basma/0000-0003-1434-2071; Bianchi, Eva/0000-0002-7688-6413</t>
        </is>
      </c>
      <c r="AH746" t="n">
        <v>33</v>
      </c>
      <c r="AI746" t="n">
        <v>2</v>
      </c>
      <c r="AJ746" t="n">
        <v>2</v>
      </c>
      <c r="AK746" t="n">
        <v>2</v>
      </c>
      <c r="AL746" t="n">
        <v>3</v>
      </c>
      <c r="AM746" t="inlineStr">
        <is>
          <t>FRONTIERS MEDIA SA</t>
        </is>
      </c>
      <c r="AN746" t="inlineStr">
        <is>
          <t>LAUSANNE</t>
        </is>
      </c>
      <c r="AO746" t="inlineStr">
        <is>
          <t>AVENUE DU TRIBUNAL FEDERAL 34, LAUSANNE, CH-1015, SWITZERLAND</t>
        </is>
      </c>
      <c r="AQ746" t="inlineStr">
        <is>
          <t>2624-9634</t>
        </is>
      </c>
      <c r="AS746" t="inlineStr">
        <is>
          <t>FRONT SUSTAIN CITIES</t>
        </is>
      </c>
      <c r="AT746" t="inlineStr">
        <is>
          <t>Front. Sustain. Cities</t>
        </is>
      </c>
      <c r="AU746" t="inlineStr">
        <is>
          <t>FEB 15</t>
        </is>
      </c>
      <c r="AV746" t="n">
        <v>2022</v>
      </c>
      <c r="AW746" t="n">
        <v>4</v>
      </c>
      <c r="BE746" t="n">
        <v>780376</v>
      </c>
      <c r="BF746" t="inlineStr">
        <is>
          <t>10.3389/frsc.2022.780376</t>
        </is>
      </c>
      <c r="BG746">
        <f>HYPERLINK("http://dx.doi.org/10.3389/frsc.2022.780376","http://dx.doi.org/10.3389/frsc.2022.780376")</f>
        <v/>
      </c>
      <c r="BJ746" t="n">
        <v>19</v>
      </c>
      <c r="BK746" t="inlineStr">
        <is>
          <t>Green &amp; Sustainable Science &amp; Technology; Environmental Sciences; Environmental Studies; Urban Studies</t>
        </is>
      </c>
      <c r="BL746" t="inlineStr">
        <is>
          <t>Emerging Sources Citation Index (ESCI)</t>
        </is>
      </c>
      <c r="BM746" t="inlineStr">
        <is>
          <t>Science &amp; Technology - Other Topics; Environmental Sciences &amp; Ecology; Urban Studies</t>
        </is>
      </c>
      <c r="BN746" t="inlineStr">
        <is>
          <t>7U1IP</t>
        </is>
      </c>
      <c r="BP746" t="inlineStr">
        <is>
          <t>gold</t>
        </is>
      </c>
      <c r="BS746" t="inlineStr">
        <is>
          <t>2023-10-26</t>
        </is>
      </c>
      <c r="BT746" t="inlineStr">
        <is>
          <t>WOS:000911890200001</t>
        </is>
      </c>
      <c r="BU746">
        <f>HYPERLINK("https%3A%2F%2Fwww.webofscience.com%2Fwos%2Fwoscc%2Ffull-record%2FWOS:000911890200001","View Full Record in Web of Science")</f>
        <v/>
      </c>
    </row>
    <row r="747">
      <c r="A747" t="inlineStr">
        <is>
          <t>J</t>
        </is>
      </c>
      <c r="B747" t="inlineStr">
        <is>
          <t>Pons-Valladares, O; Nikolic, J</t>
        </is>
      </c>
      <c r="F747" t="inlineStr">
        <is>
          <t>Pons-Valladares, Oriol; Nikolic, Jelena</t>
        </is>
      </c>
      <c r="J747" t="inlineStr">
        <is>
          <t>SUSTAINABILITY</t>
        </is>
      </c>
      <c r="M747" t="inlineStr">
        <is>
          <t>English</t>
        </is>
      </c>
      <c r="N747" t="inlineStr">
        <is>
          <t>Review</t>
        </is>
      </c>
      <c r="T747" t="inlineStr">
        <is>
          <t>Sustainable Design, Construction, Refurbishment and Restoration of Architecture: A Review</t>
        </is>
      </c>
      <c r="U747" t="inlineStr">
        <is>
          <t>building sustainability assessment systems (BSAS); green buildings; rating tools; life cycle assessment (LCA); multi-criteria decision making (MCDM); life cycle cost (LCC); building environment</t>
        </is>
      </c>
      <c r="V747" t="inlineStr">
        <is>
          <t>LIFE-CYCLE ASSESSMENT; INFORMATION MODELING TOOLS; HERITAGE BUILDINGS; GREEN BUILDINGS; RESIDENTIAL BUILDINGS; BUILT ENVIRONMENT; ENERGY DEMAND; TECHNOLOGIES; RENOVATION; FRAMEWORK</t>
        </is>
      </c>
      <c r="W747" t="inlineStr">
        <is>
          <t>Considering the serious challenges our planet is facing, the building environment and construction sector must minimize their high negative impacts and maximize their contribution to sustainability. Many alternatives could promote this change, but to effectively optimize our architecture, we must take the step of quantifying and qualifying the sustainability of our constructions by choosing the best assessment alternative in each case. Many assessment methodologies and tools exist and there have been numerous reviews of them. The main objective and novelty of this review is to present an updated critical overview of all the sustainability evaluation alternatives developed in research studies in the fields of architectural design, construction, refurbishment and restoration. To achieve this, the analysis follows a specific methodology based on recent similar reviews. The result is a database with 1242 eligible documents analyzed in this review and attached as supplementary material available for future studies. As a main conclusion, rating tools and life cycle methods were found to be the most commonly applied methodologies, while the most recent tendencies use combined methods and probabilistic scenarios. This review could be useful to move towards a more sustainable building environment.</t>
        </is>
      </c>
      <c r="X747" t="inlineStr">
        <is>
          <t>[Pons-Valladares, Oriol] Univ Politecn Cataluna, Dept Architectural Technol, Barcelona 08028, Spain; [Nikolic, Jelena] Univ Politecn Cataluna, Dept Phys, Barcelona 08028, Spain</t>
        </is>
      </c>
      <c r="Y747" t="inlineStr">
        <is>
          <t>Universitat Politecnica de Catalunya; Universitat Politecnica de Catalunya</t>
        </is>
      </c>
      <c r="Z747" t="inlineStr">
        <is>
          <t>Pons-Valladares, O (corresponding author), Univ Politecn Cataluna, Dept Architectural Technol, Barcelona 08028, Spain.</t>
        </is>
      </c>
      <c r="AA747" t="inlineStr">
        <is>
          <t>oriol.pons@upc.edu; jelena.nikolic@upc.edu</t>
        </is>
      </c>
      <c r="AB747" t="inlineStr">
        <is>
          <t>Pons-Valladares, Oriol/AAB-4006-2019</t>
        </is>
      </c>
      <c r="AC747" t="inlineStr">
        <is>
          <t>Pons-Valladares, Oriol/0000-0003-1747-8150; Nikolic, Jelena/0000-0001-5949-2933</t>
        </is>
      </c>
      <c r="AD747" t="inlineStr">
        <is>
          <t>Spanish Ministry of Economy and Competitiveness [BIA2016-78740-R]</t>
        </is>
      </c>
      <c r="AE747" t="inlineStr">
        <is>
          <t>Spanish Ministry of Economy and Competitiveness(Spanish Government)</t>
        </is>
      </c>
      <c r="AF747" t="inlineStr">
        <is>
          <t>This research was funded by the Spanish Ministry of Economy and Competitiveness, which awarded and funded the project BIA2016-78740-R Sprayed lightweight material for the strengthening and restoration of urban patrimony.</t>
        </is>
      </c>
      <c r="AH747" t="n">
        <v>149</v>
      </c>
      <c r="AI747" t="n">
        <v>19</v>
      </c>
      <c r="AJ747" t="n">
        <v>19</v>
      </c>
      <c r="AK747" t="n">
        <v>11</v>
      </c>
      <c r="AL747" t="n">
        <v>60</v>
      </c>
      <c r="AM747" t="inlineStr">
        <is>
          <t>MDPI</t>
        </is>
      </c>
      <c r="AN747" t="inlineStr">
        <is>
          <t>BASEL</t>
        </is>
      </c>
      <c r="AO747" t="inlineStr">
        <is>
          <t>ST ALBAN-ANLAGE 66, CH-4052 BASEL, SWITZERLAND</t>
        </is>
      </c>
      <c r="AQ747" t="inlineStr">
        <is>
          <t>2071-1050</t>
        </is>
      </c>
      <c r="AS747" t="inlineStr">
        <is>
          <t>SUSTAINABILITY-BASEL</t>
        </is>
      </c>
      <c r="AT747" t="inlineStr">
        <is>
          <t>Sustainability</t>
        </is>
      </c>
      <c r="AU747" t="inlineStr">
        <is>
          <t>NOV</t>
        </is>
      </c>
      <c r="AV747" t="n">
        <v>2020</v>
      </c>
      <c r="AW747" t="n">
        <v>12</v>
      </c>
      <c r="AX747" t="n">
        <v>22</v>
      </c>
      <c r="BE747" t="n">
        <v>9741</v>
      </c>
      <c r="BF747" t="inlineStr">
        <is>
          <t>10.3390/su12229741</t>
        </is>
      </c>
      <c r="BG747">
        <f>HYPERLINK("http://dx.doi.org/10.3390/su12229741","http://dx.doi.org/10.3390/su12229741")</f>
        <v/>
      </c>
      <c r="BJ747" t="n">
        <v>18</v>
      </c>
      <c r="BK747" t="inlineStr">
        <is>
          <t>Green &amp; Sustainable Science &amp; Technology; Environmental Sciences; Environmental Studies</t>
        </is>
      </c>
      <c r="BL747" t="inlineStr">
        <is>
          <t>Science Citation Index Expanded (SCI-EXPANDED); Social Science Citation Index (SSCI)</t>
        </is>
      </c>
      <c r="BM747" t="inlineStr">
        <is>
          <t>Science &amp; Technology - Other Topics; Environmental Sciences &amp; Ecology</t>
        </is>
      </c>
      <c r="BN747" t="inlineStr">
        <is>
          <t>OY9UU</t>
        </is>
      </c>
      <c r="BP747" t="inlineStr">
        <is>
          <t>gold, Green Published</t>
        </is>
      </c>
      <c r="BS747" t="inlineStr">
        <is>
          <t>2023-10-26</t>
        </is>
      </c>
      <c r="BT747" t="inlineStr">
        <is>
          <t>WOS:000594584400001</t>
        </is>
      </c>
      <c r="BU747">
        <f>HYPERLINK("https%3A%2F%2Fwww.webofscience.com%2Fwos%2Fwoscc%2Ffull-record%2FWOS:000594584400001","View Full Record in Web of Science")</f>
        <v/>
      </c>
    </row>
    <row r="748">
      <c r="A748" t="inlineStr">
        <is>
          <t>J</t>
        </is>
      </c>
      <c r="B748" t="inlineStr">
        <is>
          <t>Bungau, CC; Prada, IF; Prada, M; Bungau, C</t>
        </is>
      </c>
      <c r="F748" t="inlineStr">
        <is>
          <t>Bungau, Constantin C.; Prada, Ioana Francesca; Prada, Marcela; Bungau, Constantin</t>
        </is>
      </c>
      <c r="J748" t="inlineStr">
        <is>
          <t>SUSTAINABILITY</t>
        </is>
      </c>
      <c r="M748" t="inlineStr">
        <is>
          <t>English</t>
        </is>
      </c>
      <c r="N748" t="inlineStr">
        <is>
          <t>Article</t>
        </is>
      </c>
      <c r="T748" t="inlineStr">
        <is>
          <t>Design and Operation of Constructions: A Healthy Living Environment-Parametric Studies and New Solutions</t>
        </is>
      </c>
      <c r="U748" t="inlineStr">
        <is>
          <t>living environment; dampness; hygienic-sanitary comfort; public health; energy performance certificate</t>
        </is>
      </c>
      <c r="V748" t="inlineStr">
        <is>
          <t>CHILDHOOD ASTHMA; ENERGY; UNIVERSITY; BUILDINGS; EXPOSURE</t>
        </is>
      </c>
      <c r="W748" t="inlineStr">
        <is>
          <t>The problem of the environment in the inhabited area, in particular of the hygienic-sanitary comfort, are current topics of concern for the builders. The interest of the authors meets the requirements of the tenant. In general, it seems that the cause of the hygienic-sanitary discomfort of the inhabited environment would be the faulty execution of the construction or an inconsistent architectural conception; the current paper presents several factors that cause this discomfort, the tenant being just one of them. The result of faulty operation/utilization of living spaces is inadmissible for those who live there, both materially and with repercussions on their health. Additionally, this paper demonstrates the deficiency of the existing energy performance certificate. The results of our research offer real solutions in eliminating, solving, and correcting the hygienic-sanitary discomfort of the environment inside the buildings; this can be achieved by designing, executing and operating spaces correctly, adequately and optimally, ensuring a healthy environment. The authors propose to improve the norms of protection of the built environment, by modifying the related energy performance legislation/certificate; moreover, new and real practical solutions have been suggested by the authors for the prevention and remediation of hygienic-sanitary discomfort.</t>
        </is>
      </c>
      <c r="X748" t="inlineStr">
        <is>
          <t>[Bungau, Constantin C.; Prada, Marcela] Univ Oradea, Fac Civil Engn Cadastre &amp; Architecture, Dept Architecture &amp; Civil Engn, Oradea 410058, Romania; [Bungau, Constantin C.; Prada, Ioana Francesca] Tech Univ Cluj Napoca, Doctoral Sch, Cluj Napoca 400114, Romania; [Bungau, Constantin] Univ Oradea, Fac Management &amp; Technol Engn, Dept Engn &amp; Management, Oradea 410087, Romania</t>
        </is>
      </c>
      <c r="Y748" t="inlineStr">
        <is>
          <t>University of Oradea; Technical University of Cluj Napoca; University of Oradea</t>
        </is>
      </c>
      <c r="Z748" t="inlineStr">
        <is>
          <t>Prada, M (corresponding author), Univ Oradea, Fac Civil Engn Cadastre &amp; Architecture, Dept Architecture &amp; Civil Engn, Oradea 410058, Romania.</t>
        </is>
      </c>
      <c r="AA748" t="inlineStr">
        <is>
          <t>constantin.bungau@csud.uoradea.ro; pradaifrancesca@gmail.com; mfprada29@gmail.com; bungau@uoradea.ro</t>
        </is>
      </c>
      <c r="AB748" t="inlineStr">
        <is>
          <t>BUNGAU, CONSTANTIN/F-9340-2014; Bungau, Constantin/O-2110-2018; Prada, Marcela F/G-4954-2017</t>
        </is>
      </c>
      <c r="AC748" t="inlineStr">
        <is>
          <t>BUNGAU, CONSTANTIN/0000-0003-3793-6905; Bungau, Constantin/0000-0001-9026-594X; Prada, Marcela F/0000-0003-1791-8830</t>
        </is>
      </c>
      <c r="AH748" t="n">
        <v>34</v>
      </c>
      <c r="AI748" t="n">
        <v>30</v>
      </c>
      <c r="AJ748" t="n">
        <v>30</v>
      </c>
      <c r="AK748" t="n">
        <v>4</v>
      </c>
      <c r="AL748" t="n">
        <v>18</v>
      </c>
      <c r="AM748" t="inlineStr">
        <is>
          <t>MDPI</t>
        </is>
      </c>
      <c r="AN748" t="inlineStr">
        <is>
          <t>BASEL</t>
        </is>
      </c>
      <c r="AO748" t="inlineStr">
        <is>
          <t>ST ALBAN-ANLAGE 66, CH-4052 BASEL, SWITZERLAND</t>
        </is>
      </c>
      <c r="AQ748" t="inlineStr">
        <is>
          <t>2071-1050</t>
        </is>
      </c>
      <c r="AS748" t="inlineStr">
        <is>
          <t>SUSTAINABILITY-BASEL</t>
        </is>
      </c>
      <c r="AT748" t="inlineStr">
        <is>
          <t>Sustainability</t>
        </is>
      </c>
      <c r="AU748" t="inlineStr">
        <is>
          <t>DEC</t>
        </is>
      </c>
      <c r="AV748" t="n">
        <v>2019</v>
      </c>
      <c r="AW748" t="n">
        <v>11</v>
      </c>
      <c r="AX748" t="n">
        <v>23</v>
      </c>
      <c r="BE748" t="n">
        <v>6824</v>
      </c>
      <c r="BF748" t="inlineStr">
        <is>
          <t>10.3390/su11236824</t>
        </is>
      </c>
      <c r="BG748">
        <f>HYPERLINK("http://dx.doi.org/10.3390/su11236824","http://dx.doi.org/10.3390/su11236824")</f>
        <v/>
      </c>
      <c r="BJ748" t="n">
        <v>19</v>
      </c>
      <c r="BK748" t="inlineStr">
        <is>
          <t>Green &amp; Sustainable Science &amp; Technology; Environmental Sciences; Environmental Studies</t>
        </is>
      </c>
      <c r="BL748" t="inlineStr">
        <is>
          <t>Science Citation Index Expanded (SCI-EXPANDED); Social Science Citation Index (SSCI)</t>
        </is>
      </c>
      <c r="BM748" t="inlineStr">
        <is>
          <t>Science &amp; Technology - Other Topics; Environmental Sciences &amp; Ecology</t>
        </is>
      </c>
      <c r="BN748" t="inlineStr">
        <is>
          <t>KD9MV</t>
        </is>
      </c>
      <c r="BP748" t="inlineStr">
        <is>
          <t>Green Published, gold</t>
        </is>
      </c>
      <c r="BS748" t="inlineStr">
        <is>
          <t>2023-10-26</t>
        </is>
      </c>
      <c r="BT748" t="inlineStr">
        <is>
          <t>WOS:000508186400296</t>
        </is>
      </c>
      <c r="BU748">
        <f>HYPERLINK("https%3A%2F%2Fwww.webofscience.com%2Fwos%2Fwoscc%2Ffull-record%2FWOS:000508186400296","View Full Record in Web of Science")</f>
        <v/>
      </c>
    </row>
    <row r="749">
      <c r="A749" t="inlineStr">
        <is>
          <t>J</t>
        </is>
      </c>
      <c r="B749" t="inlineStr">
        <is>
          <t>Brielmann, AA; Buras, NH; Salingaros, NA; Taylor, RP</t>
        </is>
      </c>
      <c r="F749" t="inlineStr">
        <is>
          <t>Brielmann, Aenne A.; Buras, Nir H.; Salingaros, Nikos A.; Taylor, Richard P.</t>
        </is>
      </c>
      <c r="J749" t="inlineStr">
        <is>
          <t>URBAN SCIENCE</t>
        </is>
      </c>
      <c r="M749" t="inlineStr">
        <is>
          <t>English</t>
        </is>
      </c>
      <c r="N749" t="inlineStr">
        <is>
          <t>Article</t>
        </is>
      </c>
      <c r="T749" t="inlineStr">
        <is>
          <t>What Happens in Your Brain When You Walk Down the Street? Implications of Architectural Proportions, Biophilia, and Fractal Geometry for Urban Science</t>
        </is>
      </c>
      <c r="U749" t="inlineStr">
        <is>
          <t>biophilic design; design-attention; disengagement; engagement; eye-tracking; facades; fractals; interaction-design; neuroscience; public-space; traditional styles; urban design; Visual Attention Software</t>
        </is>
      </c>
      <c r="V749" t="inlineStr">
        <is>
          <t>VISUAL-ATTENTION; COGNITIVE NEUROSCIENCE; PERCEPTION; BEAUTY; EXPERIENCE; PREFERENCE; RESPONSES; DIMENSION; DESIGN; NEUROAESTHETICS</t>
        </is>
      </c>
      <c r="W749" t="inlineStr">
        <is>
          <t>This article reviews current research in visual urban perception. The temporal sequence of the first few milliseconds of visual stimulus processing sheds light on the historically ambiguous topic of aesthetic experience. Automatic fractal processing triggers initial attraction/avoidance evaluations of an environment's salubriousness, and its potentially positive or negative impacts upon an individual. As repeated cycles of visual perception occur, the attractiveness of urban form affects the user experience much more than had been previously suspected. These perceptual mechanisms promote walkability and intuitive navigation, and so they support the urban and civic interactions for which we establish communities and cities in the first place. Therefore, the use of multiple fractals needs to reintegrate with biophilic and traditional architecture in urban design for their proven positive effects on health and well-being. Such benefits include striking reductions in observers' stress and mental fatigue. Due to their costs to individual well-being, urban performance, environmental quality, and climatic adaptation, this paper recommends that nontraditional styles should be hereafter applied judiciously to the built environment.</t>
        </is>
      </c>
      <c r="X749" t="inlineStr">
        <is>
          <t>[Brielmann, Aenne A.] Max Planck Inst Biol Cybernet, Dept Computat Neurosci, D-72076 Tubingen, Germany; [Buras, Nir H.] Class Planning Inst, Washington, DC 20007 USA; [Salingaros, Nikos A.] Univ Texas San Antonio, Dept Math, One UTSA Circle, San Antonio, TX 78249 USA; [Taylor, Richard P.] Univ Oregon, Phys Dept, Eugene, OR 97405 USA</t>
        </is>
      </c>
      <c r="Y749" t="inlineStr">
        <is>
          <t>Max Planck Society; University of Texas System; University of Texas at San Antonio (UTSA); University of Oregon</t>
        </is>
      </c>
      <c r="Z749" t="inlineStr">
        <is>
          <t>Salingaros, NA (corresponding author), Univ Texas San Antonio, Dept Math, One UTSA Circle, San Antonio, TX 78249 USA.</t>
        </is>
      </c>
      <c r="AA749" t="inlineStr">
        <is>
          <t>aenne.brielmann@tuebingen.mpg.de; nburas@classicplanning.com; salingar@gmail.com; rpt@uoregon.edu</t>
        </is>
      </c>
      <c r="AB749" t="inlineStr">
        <is>
          <t>Buras, Nir/IUP-8002-2023; Santana, Elaine/GNP-2710-2022</t>
        </is>
      </c>
      <c r="AC749" t="inlineStr">
        <is>
          <t>Salingaros, Nikos/0000-0002-8856-9175</t>
        </is>
      </c>
      <c r="AD749" t="inlineStr">
        <is>
          <t>Deutsche Forschungsgemeinschaft (DFG, German Research Foundation) [461354985]</t>
        </is>
      </c>
      <c r="AE749" t="inlineStr">
        <is>
          <t>Deutsche Forschungsgemeinschaft (DFG, German Research Foundation)(German Research Foundation (DFG))</t>
        </is>
      </c>
      <c r="AF749" t="inlineStr">
        <is>
          <t>This research received no external funding A.B. was supported by the Deutsche Forschungsgemeinschaft (DFG, German Research Foundation) #461354985.</t>
        </is>
      </c>
      <c r="AH749" t="n">
        <v>235</v>
      </c>
      <c r="AI749" t="n">
        <v>11</v>
      </c>
      <c r="AJ749" t="n">
        <v>11</v>
      </c>
      <c r="AK749" t="n">
        <v>22</v>
      </c>
      <c r="AL749" t="n">
        <v>59</v>
      </c>
      <c r="AM749" t="inlineStr">
        <is>
          <t>MDPI</t>
        </is>
      </c>
      <c r="AN749" t="inlineStr">
        <is>
          <t>BASEL</t>
        </is>
      </c>
      <c r="AO749" t="inlineStr">
        <is>
          <t>ST ALBAN-ANLAGE 66, CH-4052 BASEL, SWITZERLAND</t>
        </is>
      </c>
      <c r="AQ749" t="inlineStr">
        <is>
          <t>2413-8851</t>
        </is>
      </c>
      <c r="AS749" t="inlineStr">
        <is>
          <t>URBAN SCI</t>
        </is>
      </c>
      <c r="AT749" t="inlineStr">
        <is>
          <t>Urban Sci.</t>
        </is>
      </c>
      <c r="AU749" t="inlineStr">
        <is>
          <t>MAR</t>
        </is>
      </c>
      <c r="AV749" t="n">
        <v>2022</v>
      </c>
      <c r="AW749" t="n">
        <v>6</v>
      </c>
      <c r="AX749" t="n">
        <v>1</v>
      </c>
      <c r="BE749" t="n">
        <v>3</v>
      </c>
      <c r="BF749" t="inlineStr">
        <is>
          <t>10.3390/urbansci6010003</t>
        </is>
      </c>
      <c r="BG749">
        <f>HYPERLINK("http://dx.doi.org/10.3390/urbansci6010003","http://dx.doi.org/10.3390/urbansci6010003")</f>
        <v/>
      </c>
      <c r="BJ749" t="n">
        <v>35</v>
      </c>
      <c r="BK749" t="inlineStr">
        <is>
          <t>Environmental Sciences; Environmental Studies; Geography; Regional &amp; Urban Planning; Urban Studies</t>
        </is>
      </c>
      <c r="BL749" t="inlineStr">
        <is>
          <t>Emerging Sources Citation Index (ESCI)</t>
        </is>
      </c>
      <c r="BM749" t="inlineStr">
        <is>
          <t>Environmental Sciences &amp; Ecology; Geography; Public Administration; Urban Studies</t>
        </is>
      </c>
      <c r="BN749" t="inlineStr">
        <is>
          <t>0B0AZ</t>
        </is>
      </c>
      <c r="BP749" t="inlineStr">
        <is>
          <t>gold</t>
        </is>
      </c>
      <c r="BS749" t="inlineStr">
        <is>
          <t>2023-10-26</t>
        </is>
      </c>
      <c r="BT749" t="inlineStr">
        <is>
          <t>WOS:000774307900001</t>
        </is>
      </c>
      <c r="BU749">
        <f>HYPERLINK("https%3A%2F%2Fwww.webofscience.com%2Fwos%2Fwoscc%2Ffull-record%2FWOS:000774307900001","View Full Record in Web of Science")</f>
        <v/>
      </c>
    </row>
    <row r="750">
      <c r="A750" t="inlineStr">
        <is>
          <t>J</t>
        </is>
      </c>
      <c r="B750" t="inlineStr">
        <is>
          <t>Mannheim, I; Schwartz, E; Xi, WY; Buttigieg, SC; McDonnell-Naughton, M; Wouters, EJM; van Zaalen, Y</t>
        </is>
      </c>
      <c r="F750" t="inlineStr">
        <is>
          <t>Mannheim, Ittay; Schwartz, Ella; Xi, Wanyu; Buttigieg, Sandra C.; McDonnell-Naughton, Mary; Wouters, Eveline J. M.; van Zaalen, Yvonne</t>
        </is>
      </c>
      <c r="J750" t="inlineStr">
        <is>
          <t>INTERNATIONAL JOURNAL OF ENVIRONMENTAL RESEARCH AND PUBLIC HEALTH</t>
        </is>
      </c>
      <c r="M750" t="inlineStr">
        <is>
          <t>English</t>
        </is>
      </c>
      <c r="N750" t="inlineStr">
        <is>
          <t>Article</t>
        </is>
      </c>
      <c r="T750" t="inlineStr">
        <is>
          <t>Inclusion of Older Adults in the Research and Design of Digital Technology</t>
        </is>
      </c>
      <c r="U750" t="inlineStr">
        <is>
          <t>digital technology; older adults; ageism; inclusion; ethics</t>
        </is>
      </c>
      <c r="V750" t="inlineStr">
        <is>
          <t>AGING-IN-PLACE; INFORMED-CONSENT; ELDERLY-PEOPLE; STEREOTYPE ACTIVATION; HEALTH-CARE; EXCLUSION; DEMENTIA; AGE; ACCEPTANCE; DIVIDE</t>
        </is>
      </c>
      <c r="W750" t="inlineStr">
        <is>
          <t>Digital technology holds a promise to improve older adults' well-being and promote ageing in place. However, there seems to be a discrepancy between digital technologies that are developed and what older adults actually want and need. Ageing is stereotypically framed as a problem needed to be fixed, and older adults are considered to be frail and incompetent. Not surprisingly, many of the technologies developed for the use of older adults focus on care. The exclusion of older adults from the research and design of digital technology is often based on such negative stereotypes. In this opinion article, we argue that the inclusion rather than exclusion of older adults in the design process and research of digital technology is essential if technology is to fulfill the promise of improving well-being. We emphasize why this is important while also providing guidelines, evidence from the literature, and examples on how to do so. We unequivocally state that designers and researchers should make every effort to ensure the involvement of older adults in the design process and research of digital technology. Based on this paper, we suggest that ageism in the design process of digital technology might play a role as a possible barrier of adopting technology.</t>
        </is>
      </c>
      <c r="X750" t="inlineStr">
        <is>
          <t>[Mannheim, Ittay; Wouters, Eveline J. M.; van Zaalen, Yvonne] Fontys Univ Appl Sci, Sch Allied Hlth Profess, NL-5631 BN Eindhoven, Netherlands; [Mannheim, Ittay; Wouters, Eveline J. M.] Tilburg Univ, Sch Social &amp; Behav Sci, Tranzo, NL-5037 DB Tilburg, Netherlands; [Schwartz, Ella; Xi, Wanyu] Bar Ilan Univ, Louis &amp; Gabi Weisfeld Sch Social Work, IL-5290002 Ramat Gan, Israel; [Schwartz, Ella] Ben Gurion Univ Negev, Fac Hlth Sci, Dept Publ Hlth, IL-8410501 Beer Sheva, Israel; [Buttigieg, Sandra C.] Univ Malta, Fac Hlth Sci, Hlth Serv Management, MSD-2090 Msida, Malta; [Buttigieg, Sandra C.] Univ Birmingham, Coll Social Sci, Sch Social Policy, Hlth Serv Management Ctr, Birmingham B15 2TT, W Midlands, England; [McDonnell-Naughton, Mary] Athlone Inst Technol, Dept Nursing &amp; Hlth Care, Athlone N37 HD68, Ireland</t>
        </is>
      </c>
      <c r="Y750" t="inlineStr">
        <is>
          <t>Tilburg University; Bar Ilan University; Ben Gurion University; University of Malta; University of Birmingham; Technological University of the Shannon: Midlands Midwest</t>
        </is>
      </c>
      <c r="Z750" t="inlineStr">
        <is>
          <t>Mannheim, I (corresponding author), Fontys Univ Appl Sci, Sch Allied Hlth Profess, NL-5631 BN Eindhoven, Netherlands.;Mannheim, I (corresponding author), Tilburg Univ, Sch Social &amp; Behav Sci, Tranzo, NL-5037 DB Tilburg, Netherlands.</t>
        </is>
      </c>
      <c r="AA750" t="inlineStr">
        <is>
          <t>ittay.mannheim@gmail.com; ella.schwartzl@mail.huji.ac.il; wanyu.xi@biu.ac.il; sandra.buttigieg@um.edu.mt; mmcdonnell@ait.ie; e.wouters@fontys.nl; y.vanzaalen@fontys.nl</t>
        </is>
      </c>
      <c r="AB750" t="inlineStr">
        <is>
          <t>Schwartz, Ella/ABE-5110-2021; Wouters, Eveline/IWV-2232-2023; Xi, Wanyu/GRR-1583-2022; Buttigieg, Sandra C./R-7211-2017</t>
        </is>
      </c>
      <c r="AC750" t="inlineStr">
        <is>
          <t>Schwartz, Ella/0000-0001-9623-1820; Xi, Wanyu/0000-0001-7087-9848; Buttigieg, Sandra C./0000-0002-0572-2462; McDonnell/Naughton, Mary/0000-0002-1909-9640; Mannheim, Ittay/0000-0003-4304-433X</t>
        </is>
      </c>
      <c r="AD750" t="inlineStr">
        <is>
          <t>European Union's Horizon 2020 research and innovation program under the Marie Sklodowska-Curie grant [764632]</t>
        </is>
      </c>
      <c r="AE750" t="inlineStr">
        <is>
          <t>European Union's Horizon 2020 research and innovation program under the Marie Sklodowska-Curie grant(European Union (EU))</t>
        </is>
      </c>
      <c r="AF750" t="inlineStr">
        <is>
          <t>The project leading to this article received funding from the European Union's Horizon 2020 research and innovation program under the Marie Sklodowska-Curie grant agreement No 764632, 'Euroageism.'</t>
        </is>
      </c>
      <c r="AH750" t="n">
        <v>106</v>
      </c>
      <c r="AI750" t="n">
        <v>75</v>
      </c>
      <c r="AJ750" t="n">
        <v>75</v>
      </c>
      <c r="AK750" t="n">
        <v>17</v>
      </c>
      <c r="AL750" t="n">
        <v>101</v>
      </c>
      <c r="AM750" t="inlineStr">
        <is>
          <t>MDPI</t>
        </is>
      </c>
      <c r="AN750" t="inlineStr">
        <is>
          <t>BASEL</t>
        </is>
      </c>
      <c r="AO750" t="inlineStr">
        <is>
          <t>ST ALBAN-ANLAGE 66, CH-4052 BASEL, SWITZERLAND</t>
        </is>
      </c>
      <c r="AQ750" t="inlineStr">
        <is>
          <t>1660-4601</t>
        </is>
      </c>
      <c r="AS750" t="inlineStr">
        <is>
          <t>INT J ENV RES PUB HE</t>
        </is>
      </c>
      <c r="AT750" t="inlineStr">
        <is>
          <t>Int. J. Environ. Res. Public Health</t>
        </is>
      </c>
      <c r="AU750" t="inlineStr">
        <is>
          <t>OCT</t>
        </is>
      </c>
      <c r="AV750" t="n">
        <v>2019</v>
      </c>
      <c r="AW750" t="n">
        <v>16</v>
      </c>
      <c r="AX750" t="n">
        <v>19</v>
      </c>
      <c r="BE750" t="n">
        <v>3718</v>
      </c>
      <c r="BF750" t="inlineStr">
        <is>
          <t>10.3390/ijerph16193718</t>
        </is>
      </c>
      <c r="BG750">
        <f>HYPERLINK("http://dx.doi.org/10.3390/ijerph16193718","http://dx.doi.org/10.3390/ijerph16193718")</f>
        <v/>
      </c>
      <c r="BJ750" t="n">
        <v>17</v>
      </c>
      <c r="BK750" t="inlineStr">
        <is>
          <t>Environmental Sciences; Public, Environmental &amp; Occupational Health</t>
        </is>
      </c>
      <c r="BL750" t="inlineStr">
        <is>
          <t>Science Citation Index Expanded (SCI-EXPANDED); Social Science Citation Index (SSCI)</t>
        </is>
      </c>
      <c r="BM750" t="inlineStr">
        <is>
          <t>Environmental Sciences &amp; Ecology; Public, Environmental &amp; Occupational Health</t>
        </is>
      </c>
      <c r="BN750" t="inlineStr">
        <is>
          <t>JK3MF</t>
        </is>
      </c>
      <c r="BO750" t="n">
        <v>31581632</v>
      </c>
      <c r="BP750" t="inlineStr">
        <is>
          <t>Green Published, gold</t>
        </is>
      </c>
      <c r="BS750" t="inlineStr">
        <is>
          <t>2023-10-26</t>
        </is>
      </c>
      <c r="BT750" t="inlineStr">
        <is>
          <t>WOS:000494748600214</t>
        </is>
      </c>
      <c r="BU750">
        <f>HYPERLINK("https%3A%2F%2Fwww.webofscience.com%2Fwos%2Fwoscc%2Ffull-record%2FWOS:000494748600214","View Full Record in Web of Science")</f>
        <v/>
      </c>
    </row>
    <row r="751">
      <c r="A751" t="inlineStr">
        <is>
          <t>J</t>
        </is>
      </c>
      <c r="B751" t="inlineStr">
        <is>
          <t>Wisniowska-Szurlej, A; Cwirlej-Sozanska, A; Wilmowska-Pietruszynska, A; Sozanski, B</t>
        </is>
      </c>
      <c r="F751" t="inlineStr">
        <is>
          <t>Wisniowska-Szurlej, Agnieszka; Cwirlej-Sozanska, Agnieszka; Wilmowska-Pietruszynska, Anna; Sozanski, Bernard</t>
        </is>
      </c>
      <c r="J751" t="inlineStr">
        <is>
          <t>INTERNATIONAL JOURNAL OF ENVIRONMENTAL RESEARCH AND PUBLIC HEALTH</t>
        </is>
      </c>
      <c r="M751" t="inlineStr">
        <is>
          <t>English</t>
        </is>
      </c>
      <c r="N751" t="inlineStr">
        <is>
          <t>Article</t>
        </is>
      </c>
      <c r="T751" t="inlineStr">
        <is>
          <t>Determinants of Physical Activity in Older Adults in South-Eastern Poland</t>
        </is>
      </c>
      <c r="U751" t="inlineStr">
        <is>
          <t>physical activity; aged; health status; ICF</t>
        </is>
      </c>
      <c r="V751" t="inlineStr">
        <is>
          <t>QUALITY-OF-LIFE; ENVIRONMENT</t>
        </is>
      </c>
      <c r="W751" t="inlineStr">
        <is>
          <t>The aim of our study is to assess factors determining the uptake of physical activity (PA) by older people living in south-eastern Poland. This is a cross-sectional study. The study included 858 older people aged 75 and over living in south-eastern Poland. PA was assessed by asking about the time spent on any at least moderate PA per week and about doing planned strengthening exercises to improve muscle strength and muscular endurance. Functional status, disability and quality of life in older people were also assessed. Logistic regression models were used to identify the factors related to PA. In the study group, only 25.64% performed a minimum of 150 min of moderate-intensity exercise, while strengthening exercises were performed by 22.49%. The most important factors influencing the uptake of PA were age, number of chronic diseases, place of residence, education, social activity, housing conditions, quality of life and health status. In summary, the study population represents a low level of PA uptake, with the majority not meeting the World Health Organization recommendations for PA uptake by older people. Our findings suggest individualized efforts to promote public health and increase PA among older people over 75 years of age.</t>
        </is>
      </c>
      <c r="X751" t="inlineStr">
        <is>
          <t>[Wisniowska-Szurlej, Agnieszka; Cwirlej-Sozanska, Agnieszka; Sozanski, Bernard] Univ Rzeszow, Coll Med Sci, Inst Hlth Sci, PL-35310 Rzeszow, Poland; [Wilmowska-Pietruszynska, Anna] Lazarski Univ, Fac Med, PL-02662 Warsaw, Poland</t>
        </is>
      </c>
      <c r="Y751" t="inlineStr">
        <is>
          <t>University of Rzeszow; Uczelnia Lazarskiego w Warszawie</t>
        </is>
      </c>
      <c r="Z751" t="inlineStr">
        <is>
          <t>Wisniowska-Szurlej, A (corresponding author), Univ Rzeszow, Coll Med Sci, Inst Hlth Sci, PL-35310 Rzeszow, Poland.</t>
        </is>
      </c>
      <c r="AA751" t="inlineStr">
        <is>
          <t>agwisniowska@ur.edu.pl</t>
        </is>
      </c>
      <c r="AB751" t="inlineStr">
        <is>
          <t>Wisniowska-Szurlej, Agnieszka/F-1877-2019</t>
        </is>
      </c>
      <c r="AC751" t="inlineStr">
        <is>
          <t>Wisniowska-Szurlej, Agnieszka/0000-0001-6651-0861</t>
        </is>
      </c>
      <c r="AH751" t="n">
        <v>47</v>
      </c>
      <c r="AI751" t="n">
        <v>1</v>
      </c>
      <c r="AJ751" t="n">
        <v>1</v>
      </c>
      <c r="AK751" t="n">
        <v>0</v>
      </c>
      <c r="AL751" t="n">
        <v>0</v>
      </c>
      <c r="AM751" t="inlineStr">
        <is>
          <t>MDPI</t>
        </is>
      </c>
      <c r="AN751" t="inlineStr">
        <is>
          <t>BASEL</t>
        </is>
      </c>
      <c r="AO751" t="inlineStr">
        <is>
          <t>ST ALBAN-ANLAGE 66, CH-4052 BASEL, SWITZERLAND</t>
        </is>
      </c>
      <c r="AQ751" t="inlineStr">
        <is>
          <t>1660-4601</t>
        </is>
      </c>
      <c r="AS751" t="inlineStr">
        <is>
          <t>INT J ENV RES PUB HE</t>
        </is>
      </c>
      <c r="AT751" t="inlineStr">
        <is>
          <t>Int. J. Environ. Res. Public Health</t>
        </is>
      </c>
      <c r="AU751" t="inlineStr">
        <is>
          <t>DEC</t>
        </is>
      </c>
      <c r="AV751" t="n">
        <v>2022</v>
      </c>
      <c r="AW751" t="n">
        <v>19</v>
      </c>
      <c r="AX751" t="n">
        <v>24</v>
      </c>
      <c r="BE751" t="n">
        <v>16922</v>
      </c>
      <c r="BF751" t="inlineStr">
        <is>
          <t>10.3390/ijerph192416922</t>
        </is>
      </c>
      <c r="BG751">
        <f>HYPERLINK("http://dx.doi.org/10.3390/ijerph192416922","http://dx.doi.org/10.3390/ijerph192416922")</f>
        <v/>
      </c>
      <c r="BJ751" t="n">
        <v>11</v>
      </c>
      <c r="BK751" t="inlineStr">
        <is>
          <t>Environmental Sciences; Public, Environmental &amp; Occupational Health</t>
        </is>
      </c>
      <c r="BL751" t="inlineStr">
        <is>
          <t>Science Citation Index Expanded (SCI-EXPANDED); Social Science Citation Index (SSCI)</t>
        </is>
      </c>
      <c r="BM751" t="inlineStr">
        <is>
          <t>Environmental Sciences &amp; Ecology; Public, Environmental &amp; Occupational Health</t>
        </is>
      </c>
      <c r="BN751" t="inlineStr">
        <is>
          <t>7E3MB</t>
        </is>
      </c>
      <c r="BO751" t="n">
        <v>36554802</v>
      </c>
      <c r="BP751" t="inlineStr">
        <is>
          <t>gold, Green Published</t>
        </is>
      </c>
      <c r="BS751" t="inlineStr">
        <is>
          <t>2023-10-26</t>
        </is>
      </c>
      <c r="BT751" t="inlineStr">
        <is>
          <t>WOS:000901075600001</t>
        </is>
      </c>
      <c r="BU751">
        <f>HYPERLINK("https%3A%2F%2Fwww.webofscience.com%2Fwos%2Fwoscc%2Ffull-record%2FWOS:000901075600001","View Full Record in Web of Science")</f>
        <v/>
      </c>
    </row>
    <row r="752">
      <c r="A752" t="inlineStr">
        <is>
          <t>J</t>
        </is>
      </c>
      <c r="B752" t="inlineStr">
        <is>
          <t>Zaeh, SE; Koehler, K; Eakin, MN; Wohn, C; Diibor, I; Eckmann, T; Wu, TD; Clemons-Erby, D; Gummerson, CE; Green, T; Wood, M; Majd, E; Stein, ML; Rule, A; Davis, MF; McCormack, MC</t>
        </is>
      </c>
      <c r="F752" t="inlineStr">
        <is>
          <t>Zaeh, Sandra E.; Koehler, Kirsten; Eakin, Michelle N.; Wohn, Christopher; Diibor, Ike; Eckmann, Thomas; Wu, Tianshi David; Clemons-Erby, Dorothy; Gummerson, Christine E.; Green, Timothy; Wood, Megan; Majd, Ehsan; Stein, Marc L.; Rule, Ana; Davis, Meghan F.; McCormack, Meredith C.</t>
        </is>
      </c>
      <c r="J752" t="inlineStr">
        <is>
          <t>INTERNATIONAL JOURNAL OF ENVIRONMENTAL RESEARCH AND PUBLIC HEALTH</t>
        </is>
      </c>
      <c r="M752" t="inlineStr">
        <is>
          <t>English</t>
        </is>
      </c>
      <c r="N752" t="inlineStr">
        <is>
          <t>Article</t>
        </is>
      </c>
      <c r="T752" t="inlineStr">
        <is>
          <t>Indoor Air Quality Prior to and Following School Building Renovation in a Mid-Atlantic School District</t>
        </is>
      </c>
      <c r="U752" t="inlineStr">
        <is>
          <t>schools; indoor air quality; renovation</t>
        </is>
      </c>
      <c r="V752" t="inlineStr">
        <is>
          <t>INNER-CITY CHILDREN; HEALTH; ASTHMA; VENTILATION; POLLUTION; ASSOCIATIONS; PERFORMANCE; MORTALITY</t>
        </is>
      </c>
      <c r="W752" t="inlineStr">
        <is>
          <t>Children spend the majority of their time indoors, and a substantial portion of this time in the school environment. Air pollution has been shown to adversely impact lung development and has effects that extend beyond respiratory health. The goal of this study was to evaluate the indoor environment in public schools in the context of an ongoing urban renovation program to investigate the impact of school building renovation and replacement on indoor air quality. Indoor air quality (CO2, PM2.5, CO, and temperature) was assessed for two weeks during fall, winter, and spring seasons in 29 urban public schools between December 2015 and March 2020. Seven schools had pre- and post-renovation data available. Linear mixed models were used to examine changes in air quality outcomes by renovation status in the seven schools with pre- and post-renovation data. Prior to renovation, indoor CO measurements were within World Health Organization (WHO) guidelines, and indoor PM2.5 measurements rarely exceeded them. Within the seven schools with pre- and post-renovation data, over 30% of indoor CO2 measurements and over 50% of indoor temperatures exceeded recommended guidelines from the American Society of Heating, Refrigerating, and Air Conditioning Engineers. Following renovation, 10% of indoor CO2 measurements and 28% of indoor temperatures fell outside of the recommended ranges. Linear mixed models showed significant improvement in CO2, indoor PM2.5, and CO following school renovation. Even among schools that generally met recommendations on key guidelines, school renovation improved the indoor air quality. Our findings suggest that school renovation may benefit communities of children, particularly those in low-income areas with aging school infrastructure, through improvements in the indoor environment.</t>
        </is>
      </c>
      <c r="X752" t="inlineStr">
        <is>
          <t>[Zaeh, Sandra E.] Yale Univ, Sch Med, Div Pulm Crit Care &amp; Sleep Med, 333 Cedar St, New Haven, CT 06510 USA; [Zaeh, Sandra E.; Eakin, Michelle N.; Eckmann, Thomas; McCormack, Meredith C.] Johns Hopkins Sch Med, Div Pulm &amp; Crit Care Med, Baltimore, MD 21287 USA; [Koehler, Kirsten; Clemons-Erby, Dorothy; Green, Timothy; Wood, Megan; Rule, Ana; Davis, Meghan F.] Johns Hopkins Bloomberg Sch Publ Hlth, Dept Environm Hlth &amp; Engn, Baltimore, MD 21287 USA; [Wohn, Christopher; Diibor, Ike] Baltimore City Publ Sch Syst, Baltimore, MD 21287 USA; [Wu, Tianshi David] Baylor Coll Med, Div Pulm Crit Care &amp; Sleep Med, Houston, TX 77030 USA; [Wu, Tianshi David] Michael E DeBakey VA Med Ctr, Ctr Innovat Qual Effectiveness &amp; Safety, Houston, TX 77030 USA; [Gummerson, Christine E.] Yale Univ, Sch Med, Div Neurol, 333 Cedar St, New Haven, CT 06510 USA; [Majd, Ehsan] Calif Air Resources Board, Div Mobile Source Control, Sacramento, CA 95817 USA; [Stein, Marc L.] Johns Hopkins Sch Educ, Baltimore, MD 21287 USA; [Stein, Marc L.] Baltimore Educ Res Consortium, Baltimore, MD 21287 USA; [Davis, Meghan F.] Johns Hopkins Sch Med, Dept Mol &amp; Comparat Pathobiol, Baltimore, MD 21287 USA</t>
        </is>
      </c>
      <c r="Y752" t="inlineStr">
        <is>
          <t>Yale University; Johns Hopkins University; Johns Hopkins Medicine; Johns Hopkins University; Johns Hopkins Bloomberg School of Public Health; Baylor College of Medicine; Baylor College of Medicine; Yale University; Johns Hopkins University; Johns Hopkins University; Johns Hopkins Medicine</t>
        </is>
      </c>
      <c r="Z752" t="inlineStr">
        <is>
          <t>McCormack, MC (corresponding author), Johns Hopkins Sch Med, Div Pulm &amp; Crit Care Med, Baltimore, MD 21287 USA.</t>
        </is>
      </c>
      <c r="AA752" t="inlineStr">
        <is>
          <t>sandra.zaeh@yale.edu; kkoehle1@jhu.edu; meakin1@jhmi.edu; crwohn@bcps.k12.md.us; idiibor@bcps.k12.md.us; teckman1@jhmi.edu; david.wu@bcm.edu; dclemo10@jhu.edu; christine.gummerson@yale.edu; tgreen3@jhmi.edu; mwood39@jhu.edu; ehsan.majd@arb.ca.gov; m.stein@jhu.edu; arule1@jhu.edu; mdavis65@jhu.edu; mmccor16@jhmi.edu</t>
        </is>
      </c>
      <c r="AB752" t="inlineStr">
        <is>
          <t>Stein, Marc L/F-4796-2011</t>
        </is>
      </c>
      <c r="AC752" t="inlineStr">
        <is>
          <t>Stein, Marc L/0000-0003-3689-0642; Davis, Meghan/0000-0002-3475-4578; Koehl, Rachelle/0000-0002-7797-7456; Zaeh, Sandra/0000-0002-5091-1975; Pham, Hewlett/0000-0003-0330-6104</t>
        </is>
      </c>
      <c r="AD752" t="inlineStr">
        <is>
          <t>U.S. Environmental Protection Agency (EPA) [83563901, 83615201]; National Institute of Environmental Health Sciences of the National Institutes of Health (NIH) [P50ES018176]; Johns Hopkins Spark Award from Bloomberg American Health Initiative [Ex-SP-09-19003]; NIH/Office of the Director [K01OD019918]; Department of Veterans Affairs, Veterans Health Administration, Office of Research and Development, Center for Innovations in Quality, Effectiveness, and Safety [CIN 13-413]; NIH [F32HL149195-01, T32HL007534-6]</t>
        </is>
      </c>
      <c r="AE752" t="inlineStr">
        <is>
          <t>U.S. Environmental Protection Agency (EPA)(United States Environmental Protection Agency); National Institute of Environmental Health Sciences of the National Institutes of Health (NIH)(United States Department of Health &amp; Human ServicesNational Institutes of Health (NIH) - USANIH National Institute of Environmental Health Sciences (NIEHS)); Johns Hopkins Spark Award from Bloomberg American Health Initiative; NIH/Office of the Director(United States Department of Health &amp; Human ServicesNational Institutes of Health (NIH) - USA); Department of Veterans Affairs, Veterans Health Administration, Office of Research and Development, Center for Innovations in Quality, Effectiveness, and Safety(US Department of Veterans Affairs); NIH(United States Department of Health &amp; Human ServicesNational Institutes of Health (NIH) - USA)</t>
        </is>
      </c>
      <c r="AF752" t="inlineStr">
        <is>
          <t>This publication was developed under Assistance Agreement No 83563901 and 83615201 awarded by the U.S. Environmental Protection Agency (EPA) to Meredith McCormack. Research reported in this publication was supported by National Institute of Environmental Health Sciences of the National Institutes of Health (NIH) under award number P50ES018176. Portions of this work were supported by a Johns Hopkins Spark Award (Ex-SP-09-19003) from the Bloomberg American Health Initiative. MFD was supported by the NIH/Office of the Director (K01OD019918). TDW is supported by the Department of Veterans Affairs, Veterans Health Administration, Office of Research and Development, Center for Innovations in Quality, Effectiveness, and Safety (CIN 13-413). SZ was supported by NIH F32HL149195-01 and NIH T32HL007534-6. This publication has not been formally reviewed by EPA or the US Department of Veterans Affairs. The views expressed in this document are solely those of the authors and do not necessarily reflect those of the EPA or the US Department of Veterans Affairs. EPA does not endorse any products or commercial services mentioned in this publication.</t>
        </is>
      </c>
      <c r="AH752" t="n">
        <v>38</v>
      </c>
      <c r="AI752" t="n">
        <v>5</v>
      </c>
      <c r="AJ752" t="n">
        <v>5</v>
      </c>
      <c r="AK752" t="n">
        <v>0</v>
      </c>
      <c r="AL752" t="n">
        <v>20</v>
      </c>
      <c r="AM752" t="inlineStr">
        <is>
          <t>MDPI</t>
        </is>
      </c>
      <c r="AN752" t="inlineStr">
        <is>
          <t>BASEL</t>
        </is>
      </c>
      <c r="AO752" t="inlineStr">
        <is>
          <t>ST ALBAN-ANLAGE 66, CH-4052 BASEL, SWITZERLAND</t>
        </is>
      </c>
      <c r="AQ752" t="inlineStr">
        <is>
          <t>1660-4601</t>
        </is>
      </c>
      <c r="AS752" t="inlineStr">
        <is>
          <t>INT J ENV RES PUB HE</t>
        </is>
      </c>
      <c r="AT752" t="inlineStr">
        <is>
          <t>Int. J. Environ. Res. Public Health</t>
        </is>
      </c>
      <c r="AU752" t="inlineStr">
        <is>
          <t>NOV</t>
        </is>
      </c>
      <c r="AV752" t="n">
        <v>2021</v>
      </c>
      <c r="AW752" t="n">
        <v>18</v>
      </c>
      <c r="AX752" t="n">
        <v>22</v>
      </c>
      <c r="BE752" t="n">
        <v>12149</v>
      </c>
      <c r="BF752" t="inlineStr">
        <is>
          <t>10.3390/ijerph182212149</t>
        </is>
      </c>
      <c r="BG752">
        <f>HYPERLINK("http://dx.doi.org/10.3390/ijerph182212149","http://dx.doi.org/10.3390/ijerph182212149")</f>
        <v/>
      </c>
      <c r="BJ752" t="n">
        <v>14</v>
      </c>
      <c r="BK752" t="inlineStr">
        <is>
          <t>Environmental Sciences; Public, Environmental &amp; Occupational Health</t>
        </is>
      </c>
      <c r="BL752" t="inlineStr">
        <is>
          <t>Science Citation Index Expanded (SCI-EXPANDED); Social Science Citation Index (SSCI)</t>
        </is>
      </c>
      <c r="BM752" t="inlineStr">
        <is>
          <t>Environmental Sciences &amp; Ecology; Public, Environmental &amp; Occupational Health</t>
        </is>
      </c>
      <c r="BN752" t="inlineStr">
        <is>
          <t>XL3JL</t>
        </is>
      </c>
      <c r="BO752" t="n">
        <v>34831903</v>
      </c>
      <c r="BP752" t="inlineStr">
        <is>
          <t>Green Published, gold</t>
        </is>
      </c>
      <c r="BS752" t="inlineStr">
        <is>
          <t>2023-10-26</t>
        </is>
      </c>
      <c r="BT752" t="inlineStr">
        <is>
          <t>WOS:000728043200001</t>
        </is>
      </c>
      <c r="BU752">
        <f>HYPERLINK("https%3A%2F%2Fwww.webofscience.com%2Fwos%2Fwoscc%2Ffull-record%2FWOS:000728043200001","View Full Record in Web of Science")</f>
        <v/>
      </c>
    </row>
    <row r="753">
      <c r="A753" t="inlineStr">
        <is>
          <t>J</t>
        </is>
      </c>
      <c r="B753" t="inlineStr">
        <is>
          <t>Chatoutsidou, SE; Serfozo, N; Glytsos, T; Lazaridis, M</t>
        </is>
      </c>
      <c r="F753" t="inlineStr">
        <is>
          <t>Chatoutsidou, Sofia Eirini; Serfozo, Norbert; Glytsos, Thodoros; Lazaridis, Mihalis</t>
        </is>
      </c>
      <c r="J753" t="inlineStr">
        <is>
          <t>AIR QUALITY ATMOSPHERE AND HEALTH</t>
        </is>
      </c>
      <c r="M753" t="inlineStr">
        <is>
          <t>English</t>
        </is>
      </c>
      <c r="N753" t="inlineStr">
        <is>
          <t>Article</t>
        </is>
      </c>
      <c r="T753" t="inlineStr">
        <is>
          <t>Multi-zone measurement of particle concentrations in a HVAC building with massive printer emissions: influence of human occupation and particle transport indoors</t>
        </is>
      </c>
      <c r="U753" t="inlineStr">
        <is>
          <t>Multi-zone building; Printer emissions.; Particulatematter; Indoor sources</t>
        </is>
      </c>
      <c r="V753" t="inlineStr">
        <is>
          <t>VOLATILE ORGANIC-COMPOUNDS; HARD-COPY DEVICES; REAL-TIME INDOOR; PARTICULATE MATTER; LASER PRINTERS; BLACK CARBON; OUTDOOR MEASUREMENTS; ULTRAFINE PARTICLES; AEROSOL-PARTICLES; CLEANING PRODUCTS</t>
        </is>
      </c>
      <c r="W753" t="inlineStr">
        <is>
          <t>Particle number (PN) and mass (PM) concentrations were measured in four offices in a HVAC building, one of them corresponding to a printer room. On-line monitoring of the indoor PM concentrations was accompanied with monitoring of the outdoor concentration. In addition, black carbon was measured in two of the selected offices. PN concentrations were measured with a variety of instruments (SMPS,NanoScan, P-Trak) covering a range between 10 nm and 9 mu m, whereas PM10 mass concentrations were measured with several DustTraks. Cleaning activities and printing were identified as the most significant indoor sources for ultrafine particles with the latter resulting in a substantial increase of indoor PN &lt; 1 concentrations in the printer room during workdays. Moreover, indoor transport of fine particles from the printer room was found to have an important contribution to both indoor PN &lt; 1 and PM10 concentrations in two of the rest three offices. The physical presence of the occupants had an impact on particles &gt; 2.5 mu m during workdays due to particle resuspension. However, when the offices were not occupied (night, weekend) the outdoor environment was a strong contribution to indoor concentrations. Lastly, black carbon preserved low concentrations in both under study offices and was not associated with printer emissions suggesting that black carbon is not an appropriate measure for assessing printer emissions.</t>
        </is>
      </c>
      <c r="X753" t="inlineStr">
        <is>
          <t>[Chatoutsidou, Sofia Eirini] Norwegian Inst Air Res NILU, Instituttveien 18, N-2007 Kjeller, Norway; [Chatoutsidou, Sofia Eirini; Serfozo, Norbert; Glytsos, Thodoros; Lazaridis, Mihalis] Tech Univ Crete, Sch Environm Engn, Khania 73100, Greece</t>
        </is>
      </c>
      <c r="Y753" t="inlineStr">
        <is>
          <t>NILU; Technical University of Crete</t>
        </is>
      </c>
      <c r="Z753" t="inlineStr">
        <is>
          <t>Lazaridis, M (corresponding author), Tech Univ Crete, Sch Environm Engn, Khania 73100, Greece.</t>
        </is>
      </c>
      <c r="AA753" t="inlineStr">
        <is>
          <t>lazaridi@mred.tuc.gr</t>
        </is>
      </c>
      <c r="AC753" t="inlineStr">
        <is>
          <t>Serfozo, Norbert/0000-0003-4750-8330; Lazaridis, Mihalis/0000-0001-5877-4023</t>
        </is>
      </c>
      <c r="AD753" t="inlineStr">
        <is>
          <t>European Union [315760]</t>
        </is>
      </c>
      <c r="AE753" t="inlineStr">
        <is>
          <t>European Union(European Union (EU))</t>
        </is>
      </c>
      <c r="AF753" t="inlineStr">
        <is>
          <t>The present work was supported by the European Union 7th framework program HEXACOMM FP7/2007-2013 under grant agreement No 315760.</t>
        </is>
      </c>
      <c r="AH753" t="n">
        <v>59</v>
      </c>
      <c r="AI753" t="n">
        <v>5</v>
      </c>
      <c r="AJ753" t="n">
        <v>5</v>
      </c>
      <c r="AK753" t="n">
        <v>1</v>
      </c>
      <c r="AL753" t="n">
        <v>22</v>
      </c>
      <c r="AM753" t="inlineStr">
        <is>
          <t>SPRINGER INTERNATIONAL PUBLISHING AG</t>
        </is>
      </c>
      <c r="AN753" t="inlineStr">
        <is>
          <t>CHAM</t>
        </is>
      </c>
      <c r="AO753" t="inlineStr">
        <is>
          <t>GEWERBESTRASSE 11, CHAM, CH-6330, SWITZERLAND</t>
        </is>
      </c>
      <c r="AP753" t="inlineStr">
        <is>
          <t>1873-9318</t>
        </is>
      </c>
      <c r="AQ753" t="inlineStr">
        <is>
          <t>1873-9326</t>
        </is>
      </c>
      <c r="AS753" t="inlineStr">
        <is>
          <t>AIR QUAL ATMOS HLTH</t>
        </is>
      </c>
      <c r="AT753" t="inlineStr">
        <is>
          <t>Air Qual. Atmos. Health</t>
        </is>
      </c>
      <c r="AU753" t="inlineStr">
        <is>
          <t>AUG</t>
        </is>
      </c>
      <c r="AV753" t="n">
        <v>2017</v>
      </c>
      <c r="AW753" t="n">
        <v>10</v>
      </c>
      <c r="AX753" t="n">
        <v>6</v>
      </c>
      <c r="BC753" t="n">
        <v>679</v>
      </c>
      <c r="BD753" t="n">
        <v>693</v>
      </c>
      <c r="BF753" t="inlineStr">
        <is>
          <t>10.1007/s11869-017-0461-4</t>
        </is>
      </c>
      <c r="BG753">
        <f>HYPERLINK("http://dx.doi.org/10.1007/s11869-017-0461-4","http://dx.doi.org/10.1007/s11869-017-0461-4")</f>
        <v/>
      </c>
      <c r="BJ753" t="n">
        <v>15</v>
      </c>
      <c r="BK753" t="inlineStr">
        <is>
          <t>Environmental Sciences</t>
        </is>
      </c>
      <c r="BL753" t="inlineStr">
        <is>
          <t>Science Citation Index Expanded (SCI-EXPANDED)</t>
        </is>
      </c>
      <c r="BM753" t="inlineStr">
        <is>
          <t>Environmental Sciences &amp; Ecology</t>
        </is>
      </c>
      <c r="BN753" t="inlineStr">
        <is>
          <t>FF5MX</t>
        </is>
      </c>
      <c r="BS753" t="inlineStr">
        <is>
          <t>2023-10-26</t>
        </is>
      </c>
      <c r="BT753" t="inlineStr">
        <is>
          <t>WOS:000409036700002</t>
        </is>
      </c>
      <c r="BU753">
        <f>HYPERLINK("https%3A%2F%2Fwww.webofscience.com%2Fwos%2Fwoscc%2Ffull-record%2FWOS:000409036700002","View Full Record in Web of Science")</f>
        <v/>
      </c>
    </row>
    <row r="754">
      <c r="A754" t="inlineStr">
        <is>
          <t>J</t>
        </is>
      </c>
      <c r="B754" t="inlineStr">
        <is>
          <t>Gou, ZH; Xie, XH; Lu, Y; Khoshbakht, M</t>
        </is>
      </c>
      <c r="F754" t="inlineStr">
        <is>
          <t>Gou, Zhonghua; Xie, Xiaohuan; Lu, Yi; Khoshbakht, Maryam</t>
        </is>
      </c>
      <c r="J754" t="inlineStr">
        <is>
          <t>INTERNATIONAL JOURNAL OF ENVIRONMENTAL RESEARCH AND PUBLIC HEALTH</t>
        </is>
      </c>
      <c r="M754" t="inlineStr">
        <is>
          <t>English</t>
        </is>
      </c>
      <c r="N754" t="inlineStr">
        <is>
          <t>Article</t>
        </is>
      </c>
      <c r="T754" t="inlineStr">
        <is>
          <t>Quality of Life (QoL) Survey in Hong Kong: Understanding the Importance of Housing Environment and Needs of Residents from Different Housing Sectors</t>
        </is>
      </c>
      <c r="U754" t="inlineStr">
        <is>
          <t>quality of life; housing environment; liveability; housing satisfaction; housing needs; planning and design; Hong Kong</t>
        </is>
      </c>
      <c r="V754" t="inlineStr">
        <is>
          <t>TRAFFIC NOISE; OLDER-ADULTS; HEALTH; SPACE; SATISFACTION; CHALLENGES; BEHAVIORS; EXPOSURE</t>
        </is>
      </c>
      <c r="W754" t="inlineStr">
        <is>
          <t>This study presents a Quality of Life (QoL) survey to understand the influence of the housing environment and needs of residents from different housing sectors. The research focuses on Hong Kong where living conditions have become the main affect for people's QoL. Through a household survey using a standard instrument Word Health Organisation (WHO) Quality of Life-BREF, the article found that among the four WHO QoL domains (Physical Health, Psychological Health, Social Relations And Environment), Environment, particularly its constitute aspect housing environment was the most influential factor for overall quality of life for the public rental housing sector where low-income people live. This research also found that different groups of people have differing needs of their housing environments: the low-income group needs better location and privacy while the medium and high-income groups need better architectural quality. Based on differentiating their needs and wants, this research argues for prioritizing the low-income group's needs for effectively improving their QoL.</t>
        </is>
      </c>
      <c r="X754" t="inlineStr">
        <is>
          <t>[Gou, Zhonghua; Khoshbakht, Maryam] Griffith Univ, Sch Engn &amp; Built Environm, Gold Coast, Qld 4215, Australia; [Xie, Xiaohuan] Shenzhen Univ, Sch Architecture &amp; Urban Planning, Shenzhen 518060, Peoples R China; [Xie, Xiaohuan] Shenzhen Univ, Shenzhen Key Lab Built Environm Optimizat, Shenzhen 518060, Peoples R China; [Lu, Yi] City Univ Hong Kong, Dept Architecture &amp; Civil Engn, Hong Kong, Hong Kong, Peoples R China</t>
        </is>
      </c>
      <c r="Y754" t="inlineStr">
        <is>
          <t>Griffith University; Shenzhen University; Shenzhen University; City University of Hong Kong</t>
        </is>
      </c>
      <c r="Z754" t="inlineStr">
        <is>
          <t>Xie, XH (corresponding author), Shenzhen Univ, Sch Architecture &amp; Urban Planning, Shenzhen 518060, Peoples R China.;Xie, XH (corresponding author), Shenzhen Univ, Shenzhen Key Lab Built Environm Optimizat, Shenzhen 518060, Peoples R China.</t>
        </is>
      </c>
      <c r="AA754" t="inlineStr">
        <is>
          <t>z.gou@griffith.edu.au; xiexiaohuan@szu.edu.cn; yilu24@cityu.edu.hk; m.kh@griffith.edu.au</t>
        </is>
      </c>
      <c r="AB754" t="inlineStr">
        <is>
          <t>LU, Yi/AAD-7750-2020; Gou, Zhonghua/H-5621-2019</t>
        </is>
      </c>
      <c r="AC754" t="inlineStr">
        <is>
          <t>LU, Yi/0000-0001-7614-6661; Gou, Zhonghua/0000-0001-9627-4724</t>
        </is>
      </c>
      <c r="AH754" t="n">
        <v>43</v>
      </c>
      <c r="AI754" t="n">
        <v>39</v>
      </c>
      <c r="AJ754" t="n">
        <v>39</v>
      </c>
      <c r="AK754" t="n">
        <v>5</v>
      </c>
      <c r="AL754" t="n">
        <v>46</v>
      </c>
      <c r="AM754" t="inlineStr">
        <is>
          <t>MDPI</t>
        </is>
      </c>
      <c r="AN754" t="inlineStr">
        <is>
          <t>BASEL</t>
        </is>
      </c>
      <c r="AO754" t="inlineStr">
        <is>
          <t>ST ALBAN-ANLAGE 66, CH-4052 BASEL, SWITZERLAND</t>
        </is>
      </c>
      <c r="AP754" t="inlineStr">
        <is>
          <t>1660-4601</t>
        </is>
      </c>
      <c r="AS754" t="inlineStr">
        <is>
          <t>INT J ENV RES PUB HE</t>
        </is>
      </c>
      <c r="AT754" t="inlineStr">
        <is>
          <t>Int. J. Environ. Res. Public Health</t>
        </is>
      </c>
      <c r="AU754" t="inlineStr">
        <is>
          <t>FEB</t>
        </is>
      </c>
      <c r="AV754" t="n">
        <v>2018</v>
      </c>
      <c r="AW754" t="n">
        <v>15</v>
      </c>
      <c r="AX754" t="n">
        <v>2</v>
      </c>
      <c r="BE754" t="n">
        <v>219</v>
      </c>
      <c r="BF754" t="inlineStr">
        <is>
          <t>10.3390/ijerph15020219</t>
        </is>
      </c>
      <c r="BG754">
        <f>HYPERLINK("http://dx.doi.org/10.3390/ijerph15020219","http://dx.doi.org/10.3390/ijerph15020219")</f>
        <v/>
      </c>
      <c r="BJ754" t="n">
        <v>16</v>
      </c>
      <c r="BK754" t="inlineStr">
        <is>
          <t>Environmental Sciences; Public, Environmental &amp; Occupational Health</t>
        </is>
      </c>
      <c r="BL754" t="inlineStr">
        <is>
          <t>Science Citation Index Expanded (SCI-EXPANDED); Social Science Citation Index (SSCI)</t>
        </is>
      </c>
      <c r="BM754" t="inlineStr">
        <is>
          <t>Environmental Sciences &amp; Ecology; Public, Environmental &amp; Occupational Health</t>
        </is>
      </c>
      <c r="BN754" t="inlineStr">
        <is>
          <t>FY3LM</t>
        </is>
      </c>
      <c r="BO754" t="n">
        <v>29382071</v>
      </c>
      <c r="BP754" t="inlineStr">
        <is>
          <t>Green Published, gold, Green Submitted</t>
        </is>
      </c>
      <c r="BS754" t="inlineStr">
        <is>
          <t>2023-10-26</t>
        </is>
      </c>
      <c r="BT754" t="inlineStr">
        <is>
          <t>WOS:000426721400044</t>
        </is>
      </c>
      <c r="BU754">
        <f>HYPERLINK("https%3A%2F%2Fwww.webofscience.com%2Fwos%2Fwoscc%2Ffull-record%2FWOS:000426721400044","View Full Record in Web of Science")</f>
        <v/>
      </c>
    </row>
    <row r="755">
      <c r="A755" t="inlineStr">
        <is>
          <t>J</t>
        </is>
      </c>
      <c r="B755" t="inlineStr">
        <is>
          <t>Zhang, PF; Cheng, Z; Xu, JF; Dai, Y; Qi, XL; Chen, RG; Li, X; Zhang, N; Li, ZL</t>
        </is>
      </c>
      <c r="F755" t="inlineStr">
        <is>
          <t>Zhang, Peifeng; Cheng, Zheng; Xu, Jianfeng; Dai, Yun; Qi, Xiaolin; Chen, Ruigang; Li, Xin; Zhang, Neng; Li, Zuolong</t>
        </is>
      </c>
      <c r="J755" t="inlineStr">
        <is>
          <t>POLISH JOURNAL OF ENVIRONMENTAL STUDIES</t>
        </is>
      </c>
      <c r="M755" t="inlineStr">
        <is>
          <t>English</t>
        </is>
      </c>
      <c r="N755" t="inlineStr">
        <is>
          <t>Review</t>
        </is>
      </c>
      <c r="T755" t="inlineStr">
        <is>
          <t>Variation Characteristics of Building Height Types in the Vertical Urban Expansion Process</t>
        </is>
      </c>
      <c r="U755" t="inlineStr">
        <is>
          <t>three-dimensional architectural landscape; variation; building height types; infrastructure; terrain</t>
        </is>
      </c>
      <c r="V755" t="inlineStr">
        <is>
          <t>GROWTH; LANDSCAPE; DYNAMICS; IMPACTS; ROADS</t>
        </is>
      </c>
      <c r="W755" t="inlineStr">
        <is>
          <t>The evolution of building height types in three-dimensional (3D) space is important for urban planning and urban atmospheric environment. This paper used the data of buildings' 3D information which were extracted from high resolution satellite images (QuickBird) in Qingdao city from 2003 to 2012 based on ArcGIS to detect the spatio-temporal variation characteristic of building height types in the urban renewal process in China. The results indicated that mid-rise and mid-high-rise buildings were the main architectural landscape components, the buildings grown in vertical direction. Main roads, business districts and schools had a significant effect on the spatial layout of building height types within 700m, 1800m and 1000m from them, respectively. The closer to these infrastructures, the more mid-high-rise, high-rise and ultra-high-rise buildings were distributed, and this phenomenon was highlighted during the urban renewal process. The dominant topography for all buildings was the area below 60m of elevation and less than 5 degrees of slope. And buildings decreased rapidly with the increasing elevation and slope. These findings are important for understanding the characteristics of architectural landscape, simulating the evolution of urban architectural landscape and researching the urban atmospheric environment.</t>
        </is>
      </c>
      <c r="X755" t="inlineStr">
        <is>
          <t>[Zhang, Peifeng; Cheng, Zheng; Xu, Jianfeng; Dai, Yun; Qi, Xiaolin; Chen, Ruigang; Li, Xin; Zhang, Neng; Li, Zuolong] China Univ Petr, Coll Pipeline &amp; Civil Engn, Qingdao 266580, Shandong, Peoples R China</t>
        </is>
      </c>
      <c r="Y755" t="inlineStr">
        <is>
          <t>China University of Petroleum</t>
        </is>
      </c>
      <c r="Z755" t="inlineStr">
        <is>
          <t>Zhang, PF (corresponding author), China Univ Petr, Coll Pipeline &amp; Civil Engn, Qingdao 266580, Shandong, Peoples R China.</t>
        </is>
      </c>
      <c r="AA755" t="inlineStr">
        <is>
          <t>windzpf@163.com</t>
        </is>
      </c>
      <c r="AD755" t="inlineStr">
        <is>
          <t>Key Project of the Shandong Provincial Natural Science Foundation [ZR2018QD001]; Fundamental Research Funds for the Central Universities [18CX02078A]; National Natural Science Foundation of China [41301198]</t>
        </is>
      </c>
      <c r="AE755" t="inlineStr">
        <is>
          <t>Key Project of the Shandong Provincial Natural Science Foundation; Fundamental Research Funds for the Central Universities(Fundamental Research Funds for the Central Universities); National Natural Science Foundation of China(National Natural Science Foundation of China (NSFC))</t>
        </is>
      </c>
      <c r="AF755" t="inlineStr">
        <is>
          <t>Funding for this project was provided by the Key Project of the Shandong Provincial Natural Science Foundation (No. ZR2018QD001), Fundamental Research Funds for the Central Universities (No. 18CX02078A) and National Natural Science Foundation of China (No. 41301198).</t>
        </is>
      </c>
      <c r="AH755" t="n">
        <v>48</v>
      </c>
      <c r="AI755" t="n">
        <v>0</v>
      </c>
      <c r="AJ755" t="n">
        <v>0</v>
      </c>
      <c r="AK755" t="n">
        <v>12</v>
      </c>
      <c r="AL755" t="n">
        <v>25</v>
      </c>
      <c r="AM755" t="inlineStr">
        <is>
          <t>HARD</t>
        </is>
      </c>
      <c r="AN755" t="inlineStr">
        <is>
          <t>OLSZTYN 5</t>
        </is>
      </c>
      <c r="AO755" t="inlineStr">
        <is>
          <t>POST-OFFICE BOX, 10-718 OLSZTYN 5, POLAND</t>
        </is>
      </c>
      <c r="AP755" t="inlineStr">
        <is>
          <t>1230-1485</t>
        </is>
      </c>
      <c r="AQ755" t="inlineStr">
        <is>
          <t>2083-5906</t>
        </is>
      </c>
      <c r="AS755" t="inlineStr">
        <is>
          <t>POL J ENVIRON STUD</t>
        </is>
      </c>
      <c r="AT755" t="inlineStr">
        <is>
          <t>Pol. J. Environ. Stud.</t>
        </is>
      </c>
      <c r="AV755" t="n">
        <v>2022</v>
      </c>
      <c r="AW755" t="n">
        <v>31</v>
      </c>
      <c r="AX755" t="n">
        <v>1</v>
      </c>
      <c r="BC755" t="n">
        <v>519</v>
      </c>
      <c r="BD755" t="n">
        <v>531</v>
      </c>
      <c r="BF755" t="inlineStr">
        <is>
          <t>10.15244/pjoes/139742</t>
        </is>
      </c>
      <c r="BG755">
        <f>HYPERLINK("http://dx.doi.org/10.15244/pjoes/139742","http://dx.doi.org/10.15244/pjoes/139742")</f>
        <v/>
      </c>
      <c r="BJ755" t="n">
        <v>13</v>
      </c>
      <c r="BK755" t="inlineStr">
        <is>
          <t>Environmental Sciences</t>
        </is>
      </c>
      <c r="BL755" t="inlineStr">
        <is>
          <t>Science Citation Index Expanded (SCI-EXPANDED)</t>
        </is>
      </c>
      <c r="BM755" t="inlineStr">
        <is>
          <t>Environmental Sciences &amp; Ecology</t>
        </is>
      </c>
      <c r="BN755" t="inlineStr">
        <is>
          <t>1M2BK</t>
        </is>
      </c>
      <c r="BP755" t="inlineStr">
        <is>
          <t>gold</t>
        </is>
      </c>
      <c r="BS755" t="inlineStr">
        <is>
          <t>2023-10-26</t>
        </is>
      </c>
      <c r="BT755" t="inlineStr">
        <is>
          <t>WOS:000799779000002</t>
        </is>
      </c>
      <c r="BU755">
        <f>HYPERLINK("https%3A%2F%2Fwww.webofscience.com%2Fwos%2Fwoscc%2Ffull-record%2FWOS:000799779000002","View Full Record in Web of Science")</f>
        <v/>
      </c>
    </row>
    <row r="756">
      <c r="A756" t="inlineStr">
        <is>
          <t>J</t>
        </is>
      </c>
      <c r="B756" t="inlineStr">
        <is>
          <t>Dehghani, MH; Zarei, A; Farhang, M; Kumar, P; Yousefi, M; Kim, KH</t>
        </is>
      </c>
      <c r="F756" t="inlineStr">
        <is>
          <t>Dehghani, Mohammad Hadi; Zarei, Ahmad; Farhang, Mansoureh; Kumar, Prashant; Yousefi, Mahmood; Kim, Ki-Hyun</t>
        </is>
      </c>
      <c r="J756" t="inlineStr">
        <is>
          <t>HUMAN AND ECOLOGICAL RISK ASSESSMENT</t>
        </is>
      </c>
      <c r="M756" t="inlineStr">
        <is>
          <t>English</t>
        </is>
      </c>
      <c r="N756" t="inlineStr">
        <is>
          <t>Article</t>
        </is>
      </c>
      <c r="T756" t="inlineStr">
        <is>
          <t>Levels of formaldehyde in residential indoor air of Gonabad, Iran</t>
        </is>
      </c>
      <c r="U756" t="inlineStr">
        <is>
          <t>formaldehyde; newly built houses; indoor air; Gonabad</t>
        </is>
      </c>
      <c r="V756" t="inlineStr">
        <is>
          <t>VOLATILE ORGANIC-COMPOUNDS; PERSONAL EXPOSURE; NITROGEN-DIOXIDE; VOC; EMISSIONS; QUALITY; URBAN; ACETALDEHYDE; POLLUTANTS; SWEDEN</t>
        </is>
      </c>
      <c r="W756" t="inlineStr">
        <is>
          <t>Human health has been identified to be affected more significantly by indoor air quality. Among numerous pollutants present in indoor air, formaldehyde (FA) is of great concern because of its highly hazardous nature. The concentrations of FA were determined from 20 newly decorated homes in the city of Gonabad, Iran during 2015. It was found that the indoor air levels of FA in all the sampled houses were exceptionally high in the range of 21 to 360 mu g/m(3) (mean of 149.3 mu g/m(3)). If the 24-h average concentrations of FA measured from those sites were concerned, nearly 40% of them were seen to exceed the WHO guideline values (i.e., 100 mu g/m(3)). One of the important reasons for the high concentrations could be low air exchange rates in those houses (e.g., from 0.18 to 0.37 h(-1)), high levels of humidity in the newly decorating houses and stronger sources in the indoor environment. Furthermore, its pollution in homes with natural ventilation was seen to be much higher than those of mechanical ventilation. Due to high levels of indoor FA, more effective control procedures should be developed and employed to reduce the risk associated with formaldehyde exposure.</t>
        </is>
      </c>
      <c r="X756" t="inlineStr">
        <is>
          <t>[Dehghani, Mohammad Hadi; Yousefi, Mahmood] Univ Tehran Med Sci, Sch Publ Hlth, Dept Environm Hlth Engn, Tehran, Iran; [Dehghani, Mohammad Hadi] Univ Tehran Med Sci, Inst Environm Res, Ctr Solid Waste Res, Tehran, Iran; [Zarei, Ahmad; Farhang, Mansoureh] Gonabad Univ Med Sci, Sch Publ Hlth, Dept Environm Hlth Engn, Gonabad, Iran; [Kumar, Prashant] Univ Surrey, Fac Engn &amp; Phys Sci, Dept Civil &amp; Environm Engn, Guildford, Surrey, England; [Kumar, Prashant] Univ Surrey, Fac Engn &amp; Phys Sci, Environm Flow EnFlo Res Ctr, Guildford, Surrey, England; [Kim, Ki-Hyun] Hanyang Univ, Dept Civil &amp; Environm Engn, Seoul, South Korea</t>
        </is>
      </c>
      <c r="Y756" t="inlineStr">
        <is>
          <t>Tehran University of Medical Sciences; Tehran University of Medical Sciences; University of Surrey; University of Surrey; Hanyang University</t>
        </is>
      </c>
      <c r="Z756" t="inlineStr">
        <is>
          <t>Dehghani, MH (corresponding author), Univ Tehran Med Sci, Sch Publ Hlth, Dept Environm Hlth Engn, Tehran, Iran.;Farhang, M (corresponding author), Gonabad Univ Med Sci, Sch Publ Hlth, Dept Environm Hlth Engn, Gonabad, Iran.;Kim, KH (corresponding author), Hanyang Univ, Dept Civil &amp; Environm Engn, Seoul, South Korea.</t>
        </is>
      </c>
      <c r="AA756" t="inlineStr">
        <is>
          <t>hdehghani@tums.ac.ir; m.farhang.tums@gmail.com; kkim61@hanyang.ac.kr</t>
        </is>
      </c>
      <c r="AB756" t="inlineStr">
        <is>
          <t>Kim, Ki-Hyun/I-8499-2018; Kumar, Prashant/C-6357-2011</t>
        </is>
      </c>
      <c r="AC756" t="inlineStr">
        <is>
          <t>Kim, Ki-Hyun/0000-0003-0487-4242; Kumar, Prashant/0000-0002-2462-4411</t>
        </is>
      </c>
      <c r="AD756" t="inlineStr">
        <is>
          <t>Tehran University of Medical Sciences</t>
        </is>
      </c>
      <c r="AE756" t="inlineStr">
        <is>
          <t>Tehran University of Medical Sciences(Tehran University of Medical Sciences)</t>
        </is>
      </c>
      <c r="AF756" t="inlineStr">
        <is>
          <t>This work is financially supported by Tehran University of Medical Sciences. The authors would like to thank Dr. Mehdi Zarrei in the Centre for Applied Genomics, Canada for his useful advice for improving the text. The authors also wish to express their gratitude to the participating people and all of the experts and technicians who assisted in this work.</t>
        </is>
      </c>
      <c r="AH756" t="n">
        <v>53</v>
      </c>
      <c r="AI756" t="n">
        <v>5</v>
      </c>
      <c r="AJ756" t="n">
        <v>5</v>
      </c>
      <c r="AK756" t="n">
        <v>0</v>
      </c>
      <c r="AL756" t="n">
        <v>17</v>
      </c>
      <c r="AM756" t="inlineStr">
        <is>
          <t>TAYLOR &amp; FRANCIS INC</t>
        </is>
      </c>
      <c r="AN756" t="inlineStr">
        <is>
          <t>PHILADELPHIA</t>
        </is>
      </c>
      <c r="AO756" t="inlineStr">
        <is>
          <t>530 WALNUT STREET, STE 850, PHILADELPHIA, PA 19106 USA</t>
        </is>
      </c>
      <c r="AP756" t="inlineStr">
        <is>
          <t>1080-7039</t>
        </is>
      </c>
      <c r="AQ756" t="inlineStr">
        <is>
          <t>1549-7860</t>
        </is>
      </c>
      <c r="AS756" t="inlineStr">
        <is>
          <t>HUM ECOL RISK ASSESS</t>
        </is>
      </c>
      <c r="AT756" t="inlineStr">
        <is>
          <t>Hum. Ecol. Risk Assess.</t>
        </is>
      </c>
      <c r="AU756" t="inlineStr">
        <is>
          <t>FEB 7</t>
        </is>
      </c>
      <c r="AV756" t="n">
        <v>2020</v>
      </c>
      <c r="AW756" t="n">
        <v>26</v>
      </c>
      <c r="AX756" t="n">
        <v>2</v>
      </c>
      <c r="BC756" t="n">
        <v>483</v>
      </c>
      <c r="BD756" t="n">
        <v>494</v>
      </c>
      <c r="BF756" t="inlineStr">
        <is>
          <t>10.1080/10807039.2018.1517020</t>
        </is>
      </c>
      <c r="BG756">
        <f>HYPERLINK("http://dx.doi.org/10.1080/10807039.2018.1517020","http://dx.doi.org/10.1080/10807039.2018.1517020")</f>
        <v/>
      </c>
      <c r="BJ756" t="n">
        <v>12</v>
      </c>
      <c r="BK756" t="inlineStr">
        <is>
          <t>Biodiversity Conservation; Environmental Sciences</t>
        </is>
      </c>
      <c r="BL756" t="inlineStr">
        <is>
          <t>Science Citation Index Expanded (SCI-EXPANDED)</t>
        </is>
      </c>
      <c r="BM756" t="inlineStr">
        <is>
          <t>Biodiversity &amp; Conservation; Environmental Sciences &amp; Ecology</t>
        </is>
      </c>
      <c r="BN756" t="inlineStr">
        <is>
          <t>KW6MW</t>
        </is>
      </c>
      <c r="BP756" t="inlineStr">
        <is>
          <t>Green Submitted</t>
        </is>
      </c>
      <c r="BS756" t="inlineStr">
        <is>
          <t>2023-10-26</t>
        </is>
      </c>
      <c r="BT756" t="inlineStr">
        <is>
          <t>WOS:000521279900013</t>
        </is>
      </c>
      <c r="BU756">
        <f>HYPERLINK("https%3A%2F%2Fwww.webofscience.com%2Fwos%2Fwoscc%2Ffull-record%2FWOS:000521279900013","View Full Record in Web of Science")</f>
        <v/>
      </c>
    </row>
    <row r="757">
      <c r="A757" t="inlineStr">
        <is>
          <t>J</t>
        </is>
      </c>
      <c r="B757" t="inlineStr">
        <is>
          <t>Wey, WM</t>
        </is>
      </c>
      <c r="F757" t="inlineStr">
        <is>
          <t>Wey, Wann-Ming</t>
        </is>
      </c>
      <c r="J757" t="inlineStr">
        <is>
          <t>SUSTAINABILITY</t>
        </is>
      </c>
      <c r="M757" t="inlineStr">
        <is>
          <t>English</t>
        </is>
      </c>
      <c r="N757" t="inlineStr">
        <is>
          <t>Editorial Material</t>
        </is>
      </c>
      <c r="T757" t="inlineStr">
        <is>
          <t>A Commentary on Sustainably Built Environments and Urban Growth Management</t>
        </is>
      </c>
      <c r="U757" t="inlineStr">
        <is>
          <t>urban growth management; sustainable built environment; quality of life (QoL); smart city &amp; big data</t>
        </is>
      </c>
      <c r="V757" t="inlineStr">
        <is>
          <t>SMART GROWTH</t>
        </is>
      </c>
      <c r="W757" t="inlineStr">
        <is>
          <t>The concept of urban growth management first emerged in the United States in the 1950s. Its goal was to solve problems stemming from urban sprawl by applying integrated planning, management, and regulation, and to adjust to different development trends in different spaces and times. From the viewpoint of the studies on the link between sustainably built environments, urban growth management, and their interactions, this special issue includes theoretical and empirical studies on sustainable built environment planning and design, sustainable growth management strategies, and other related emerging topics, such as intelligent use of information and communication technologies (ICT) to sustainably build environments, as well as smart cities research with big data, data mining, cloud computing, and internet of things (IOT) ideas.</t>
        </is>
      </c>
      <c r="X757" t="inlineStr">
        <is>
          <t>[Wey, Wann-Ming] Natl Taipei Univ, Dept Real Estate &amp; Built Environm, 151 Univ Rd, New Taipei 23741, Taiwan</t>
        </is>
      </c>
      <c r="Y757" t="inlineStr">
        <is>
          <t>National Taipei University</t>
        </is>
      </c>
      <c r="Z757" t="inlineStr">
        <is>
          <t>Wey, WM (corresponding author), Natl Taipei Univ, Dept Real Estate &amp; Built Environm, 151 Univ Rd, New Taipei 23741, Taiwan.</t>
        </is>
      </c>
      <c r="AA757" t="inlineStr">
        <is>
          <t>wmwey@mail.ntpu.edu.tw</t>
        </is>
      </c>
      <c r="AH757" t="n">
        <v>17</v>
      </c>
      <c r="AI757" t="n">
        <v>2</v>
      </c>
      <c r="AJ757" t="n">
        <v>2</v>
      </c>
      <c r="AK757" t="n">
        <v>0</v>
      </c>
      <c r="AL757" t="n">
        <v>15</v>
      </c>
      <c r="AM757" t="inlineStr">
        <is>
          <t>MDPI</t>
        </is>
      </c>
      <c r="AN757" t="inlineStr">
        <is>
          <t>BASEL</t>
        </is>
      </c>
      <c r="AO757" t="inlineStr">
        <is>
          <t>ST ALBAN-ANLAGE 66, CH-4052 BASEL, SWITZERLAND</t>
        </is>
      </c>
      <c r="AP757" t="inlineStr">
        <is>
          <t>2071-1050</t>
        </is>
      </c>
      <c r="AS757" t="inlineStr">
        <is>
          <t>SUSTAINABILITY-BASEL</t>
        </is>
      </c>
      <c r="AT757" t="inlineStr">
        <is>
          <t>Sustainability</t>
        </is>
      </c>
      <c r="AU757" t="inlineStr">
        <is>
          <t>NOV</t>
        </is>
      </c>
      <c r="AV757" t="n">
        <v>2018</v>
      </c>
      <c r="AW757" t="n">
        <v>10</v>
      </c>
      <c r="AX757" t="n">
        <v>11</v>
      </c>
      <c r="BE757" t="n">
        <v>3898</v>
      </c>
      <c r="BF757" t="inlineStr">
        <is>
          <t>10.3390/su10113898</t>
        </is>
      </c>
      <c r="BG757">
        <f>HYPERLINK("http://dx.doi.org/10.3390/su10113898","http://dx.doi.org/10.3390/su10113898")</f>
        <v/>
      </c>
      <c r="BJ757" t="n">
        <v>5</v>
      </c>
      <c r="BK757" t="inlineStr">
        <is>
          <t>Green &amp; Sustainable Science &amp; Technology; Environmental Sciences; Environmental Studies</t>
        </is>
      </c>
      <c r="BL757" t="inlineStr">
        <is>
          <t>Science Citation Index Expanded (SCI-EXPANDED); Social Science Citation Index (SSCI)</t>
        </is>
      </c>
      <c r="BM757" t="inlineStr">
        <is>
          <t>Science &amp; Technology - Other Topics; Environmental Sciences &amp; Ecology</t>
        </is>
      </c>
      <c r="BN757" t="inlineStr">
        <is>
          <t>HC1AQ</t>
        </is>
      </c>
      <c r="BP757" t="inlineStr">
        <is>
          <t>gold, Green Submitted</t>
        </is>
      </c>
      <c r="BS757" t="inlineStr">
        <is>
          <t>2023-10-26</t>
        </is>
      </c>
      <c r="BT757" t="inlineStr">
        <is>
          <t>WOS:000451531700072</t>
        </is>
      </c>
      <c r="BU757">
        <f>HYPERLINK("https%3A%2F%2Fwww.webofscience.com%2Fwos%2Fwoscc%2Ffull-record%2FWOS:000451531700072","View Full Record in Web of Science")</f>
        <v/>
      </c>
    </row>
    <row r="758">
      <c r="A758" t="inlineStr">
        <is>
          <t>J</t>
        </is>
      </c>
      <c r="B758" t="inlineStr">
        <is>
          <t>Mackenbach, JD; Randal, E; Zhao, PJ; Howden-Chapman, P</t>
        </is>
      </c>
      <c r="F758" t="inlineStr">
        <is>
          <t>Mackenbach, Joreintje Dingena; Randal, Edward; Zhao, Pengjun; Howden-Chapman, Philippa</t>
        </is>
      </c>
      <c r="J758" t="inlineStr">
        <is>
          <t>SUSTAINABILITY</t>
        </is>
      </c>
      <c r="M758" t="inlineStr">
        <is>
          <t>English</t>
        </is>
      </c>
      <c r="N758" t="inlineStr">
        <is>
          <t>Article; Proceedings Paper</t>
        </is>
      </c>
      <c r="O758" t="inlineStr">
        <is>
          <t>Sustainable Asia Conference (SAC)</t>
        </is>
      </c>
      <c r="P758" t="inlineStr">
        <is>
          <t>SEP 20-21, 2015</t>
        </is>
      </c>
      <c r="Q758" t="inlineStr">
        <is>
          <t>Lanzhou, PEOPLES R CHINA</t>
        </is>
      </c>
      <c r="T758" t="inlineStr">
        <is>
          <t>The Influence of Urban Land-Use and Public Transport Facilities on Active Commuting in Wellington, New Zealand: Active Transport Forecasting Using the WILUTE Model</t>
        </is>
      </c>
      <c r="U758" t="inlineStr">
        <is>
          <t>forecasting; physical activity; built environment; transport policy; active commuting</t>
        </is>
      </c>
      <c r="V758" t="inlineStr">
        <is>
          <t>PHYSICAL-ACTIVITY; BUILT ENVIRONMENT; WALKING; EXPOSURE; OBESITY; HEALTH; TRAVEL; CITY</t>
        </is>
      </c>
      <c r="W758" t="inlineStr">
        <is>
          <t>Physical activity has numerous physical and mental health benefits, and active commuting (walking or cycling to work) can help meet physical activity recommendations. This study investigated socioeconomic differences in active commuting, and assessed the impact of urban land-use and public transport policies on active commuting in the Wellington region in New Zealand. We combined data from the New Zealand Household Travel Survey and GIS data on land-use and public transport facilities with the Wellington Integrated Land-Use, Transportation and Environment (WILUTE) model, and forecasted changes in active commuter trips associated with changes in the built environment. Results indicated high income individuals were more likely to commute actively than individuals on low income. Several land-use and transportation factors were associated with active commuting and results from the modelling showed a potential increase in active commuting following an increase in bus frequency and parking fees. In conclusion, regional level policies stimulating environmental factors that directly or indirectly affect active commuting may be a promising strategy to increase population level physical activity. Access to, and frequency of, public transport in the neighbourhood can act as a facilitator for a more active lifestyle among its residents without negatively affecting disadvantaged groups.</t>
        </is>
      </c>
      <c r="X758" t="inlineStr">
        <is>
          <t>[Mackenbach, Joreintje Dingena] Vrije Univ Amsterdam Med Ctr, EMGO Inst Hlth &amp; Care Res, Dept Epidemiol &amp; Biostat, NL-1081 HV Amsterdam, Netherlands; [Randal, Edward; Howden-Chapman, Philippa] Univ Otago, NZ Ctr Sustainable Cities, Wellington 6242, New Zealand; [Zhao, Pengjun] Peking Univ, Coll Urban &amp; Environm Sci, Dept Urban &amp; Reg Planning, Beijing 100871, Peoples R China</t>
        </is>
      </c>
      <c r="Y758" t="inlineStr">
        <is>
          <t>Vrije Universiteit Amsterdam; VU UNIVERSITY MEDICAL CENTER; University of Otago; Peking University</t>
        </is>
      </c>
      <c r="Z758" t="inlineStr">
        <is>
          <t>Mackenbach, JD (corresponding author), Vrije Univ Amsterdam Med Ctr, EMGO Inst Hlth &amp; Care Res, Dept Epidemiol &amp; Biostat, NL-1081 HV Amsterdam, Netherlands.</t>
        </is>
      </c>
      <c r="AA758" t="inlineStr">
        <is>
          <t>j.mackenbach@vumc.nl; edward.randal@otago.ac.nz; philippa.howden-chapman@otago.ac.nz; pengjun.zhao@pku.edu.cn</t>
        </is>
      </c>
      <c r="AB758" t="inlineStr">
        <is>
          <t>Zhao, Peng/HDO-7507-2022; Mackenbach, Joreintje Dingena/U-9131-2019; Randal, Ed/JEP-8029-2023</t>
        </is>
      </c>
      <c r="AC758" t="inlineStr">
        <is>
          <t>Mackenbach, Joreintje Dingena/0000-0002-2783-721X; Randal, Edward/0000-0001-8406-6303</t>
        </is>
      </c>
      <c r="AD758" t="inlineStr">
        <is>
          <t>EMGO+ Institute of the VU University Medical Center Amsterdam; Ministry of Business, Innovation and Employment</t>
        </is>
      </c>
      <c r="AE758" t="inlineStr">
        <is>
          <t>EMGO+ Institute of the VU University Medical Center Amsterdam; Ministry of Business, Innovation and Employment(New Zealand Ministry of Business, Innovation and Employment (MBIE))</t>
        </is>
      </c>
      <c r="AF758" t="inlineStr">
        <is>
          <t>Joreintje Dingena Mackenbach received a Travel grant from the EMGO+ Institute of the VU University Medical Center Amsterdam. The research of the New Zealand Centre for Sustainable Cities is funded by a grant from the Ministry of Business, Innovation and Employment. Funders had no role in the design, conduct, analysis, interpretation or publication of the manuscript. We thank Helen Viggers, Nevil Pearse, Amber Pearson and Associate professor Michael Keall for their advice on data handling and analysis.</t>
        </is>
      </c>
      <c r="AH758" t="n">
        <v>54</v>
      </c>
      <c r="AI758" t="n">
        <v>18</v>
      </c>
      <c r="AJ758" t="n">
        <v>18</v>
      </c>
      <c r="AK758" t="n">
        <v>2</v>
      </c>
      <c r="AL758" t="n">
        <v>50</v>
      </c>
      <c r="AM758" t="inlineStr">
        <is>
          <t>MDPI</t>
        </is>
      </c>
      <c r="AN758" t="inlineStr">
        <is>
          <t>BASEL</t>
        </is>
      </c>
      <c r="AO758" t="inlineStr">
        <is>
          <t>ST ALBAN-ANLAGE 66, CH-4052 BASEL, SWITZERLAND</t>
        </is>
      </c>
      <c r="AP758" t="inlineStr">
        <is>
          <t>2071-1050</t>
        </is>
      </c>
      <c r="AS758" t="inlineStr">
        <is>
          <t>SUSTAINABILITY-BASEL</t>
        </is>
      </c>
      <c r="AT758" t="inlineStr">
        <is>
          <t>Sustainability</t>
        </is>
      </c>
      <c r="AU758" t="inlineStr">
        <is>
          <t>MAR</t>
        </is>
      </c>
      <c r="AV758" t="n">
        <v>2016</v>
      </c>
      <c r="AW758" t="n">
        <v>8</v>
      </c>
      <c r="AX758" t="n">
        <v>3</v>
      </c>
      <c r="BE758" t="n">
        <v>242</v>
      </c>
      <c r="BF758" t="inlineStr">
        <is>
          <t>10.3390/su8030242</t>
        </is>
      </c>
      <c r="BG758">
        <f>HYPERLINK("http://dx.doi.org/10.3390/su8030242","http://dx.doi.org/10.3390/su8030242")</f>
        <v/>
      </c>
      <c r="BJ758" t="n">
        <v>14</v>
      </c>
      <c r="BK758" t="inlineStr">
        <is>
          <t>Green &amp; Sustainable Science &amp; Technology; Environmental Sciences; Environmental Studies</t>
        </is>
      </c>
      <c r="BL758" t="inlineStr">
        <is>
          <t>Science Citation Index Expanded (SCI-EXPANDED); Social Science Citation Index (SSCI); Conference Proceedings Citation Index - Social Science &amp; Humanities (CPCI-SSH); Conference Proceedings Citation Index - Science (CPCI-S)</t>
        </is>
      </c>
      <c r="BM758" t="inlineStr">
        <is>
          <t>Science &amp; Technology - Other Topics; Environmental Sciences &amp; Ecology</t>
        </is>
      </c>
      <c r="BN758" t="inlineStr">
        <is>
          <t>DI9DC</t>
        </is>
      </c>
      <c r="BP758" t="inlineStr">
        <is>
          <t>Green Published, Green Submitted, gold</t>
        </is>
      </c>
      <c r="BS758" t="inlineStr">
        <is>
          <t>2023-10-26</t>
        </is>
      </c>
      <c r="BT758" t="inlineStr">
        <is>
          <t>WOS:000373800600019</t>
        </is>
      </c>
      <c r="BU758">
        <f>HYPERLINK("https%3A%2F%2Fwww.webofscience.com%2Fwos%2Fwoscc%2Ffull-record%2FWOS:000373800600019","View Full Record in Web of Science")</f>
        <v/>
      </c>
    </row>
    <row r="759">
      <c r="A759" t="inlineStr">
        <is>
          <t>J</t>
        </is>
      </c>
      <c r="B759" t="inlineStr">
        <is>
          <t>Kim, J; Cha, E</t>
        </is>
      </c>
      <c r="F759" t="inlineStr">
        <is>
          <t>Kim, Jinheum; Cha, Eunjeong</t>
        </is>
      </c>
      <c r="J759" t="inlineStr">
        <is>
          <t>INTERNATIONAL JOURNAL OF ENVIRONMENTAL RESEARCH AND PUBLIC HEALTH</t>
        </is>
      </c>
      <c r="M759" t="inlineStr">
        <is>
          <t>English</t>
        </is>
      </c>
      <c r="N759" t="inlineStr">
        <is>
          <t>Article</t>
        </is>
      </c>
      <c r="T759" t="inlineStr">
        <is>
          <t>Predictors of Cognitive Function in Community-Dwelling Older Adults by Age Group: Based on the 2017 National Survey of Older Korean Adults</t>
        </is>
      </c>
      <c r="U759" t="inlineStr">
        <is>
          <t>older adults; cognitive function; age group; electronic device-based activities; IADL</t>
        </is>
      </c>
      <c r="V759" t="inlineStr">
        <is>
          <t>IMPAIRMENT</t>
        </is>
      </c>
      <c r="W759" t="inlineStr">
        <is>
          <t>Owing to a growing older adult population, dementia is emerging as an important health issue. Given that maintaining cognitive functions is crucial for the prevention of dementia, this study aimed to identify the predictors of cognitive function in community-dwelling older adults, through a secondary data analysis of the 2017 National Survey of Older Koreans. A total of 9836 participants were classified into three age groups-young-old (65-74 years), old-old (75-84 years), and oldest-old (&gt;= 85 years)-and were separately analyzed using multiple linear regression models. The final model explained 28.0%, 35.0%, and 37.0% of variance in cognitive function in the three age groups, respectively. The most potent predictors of cognitive function in the young-old were electronic device-based activities, instrumental activities of daily living (IADL), and nutrition management; the predictors for the old-old group were electronic device-based activities, IADL, and dementia screening, and those for the oldest-old group were frequency of contact with acquaintances, traveling, and religion. Thus, age group-specific interventions are needed to effectively promote cognitive function among older adults. Digital literacy education, use of community-based elderly welfare programs, opportunities for social interactions, and physical activities can help older adults in maintaining a functional status and muscle strengthening.</t>
        </is>
      </c>
      <c r="X759" t="inlineStr">
        <is>
          <t>[Kim, Jinheum] Univ Suwon, Dept Appl Stat, Hwaseong Si 18323, South Korea; [Cha, Eunjeong] Univ Suwon, Dept Nursing Sci, Hwaseong Si 18323, South Korea</t>
        </is>
      </c>
      <c r="Y759" t="inlineStr">
        <is>
          <t>Suwon University; Suwon University</t>
        </is>
      </c>
      <c r="Z759" t="inlineStr">
        <is>
          <t>Cha, E (corresponding author), Univ Suwon, Dept Nursing Sci, Hwaseong Si 18323, South Korea.</t>
        </is>
      </c>
      <c r="AA759" t="inlineStr">
        <is>
          <t>jinhkim@suwon.ac.kr; ejcha@suwon.ac.kr</t>
        </is>
      </c>
      <c r="AC759" t="inlineStr">
        <is>
          <t>cha, eunjeong/0000-0002-6702-5451; Kim, Jinheum/0000-0003-3408-900X</t>
        </is>
      </c>
      <c r="AD759" t="inlineStr">
        <is>
          <t>University of Suwon</t>
        </is>
      </c>
      <c r="AE759" t="inlineStr">
        <is>
          <t>University of Suwon</t>
        </is>
      </c>
      <c r="AF759" t="inlineStr">
        <is>
          <t>This study was supported by the research grant of the University of Suwon in 2019.</t>
        </is>
      </c>
      <c r="AH759" t="n">
        <v>40</v>
      </c>
      <c r="AI759" t="n">
        <v>3</v>
      </c>
      <c r="AJ759" t="n">
        <v>3</v>
      </c>
      <c r="AK759" t="n">
        <v>5</v>
      </c>
      <c r="AL759" t="n">
        <v>15</v>
      </c>
      <c r="AM759" t="inlineStr">
        <is>
          <t>MDPI</t>
        </is>
      </c>
      <c r="AN759" t="inlineStr">
        <is>
          <t>BASEL</t>
        </is>
      </c>
      <c r="AO759" t="inlineStr">
        <is>
          <t>ST ALBAN-ANLAGE 66, CH-4052 BASEL, SWITZERLAND</t>
        </is>
      </c>
      <c r="AQ759" t="inlineStr">
        <is>
          <t>1660-4601</t>
        </is>
      </c>
      <c r="AS759" t="inlineStr">
        <is>
          <t>INT J ENV RES PUB HE</t>
        </is>
      </c>
      <c r="AT759" t="inlineStr">
        <is>
          <t>Int. J. Environ. Res. Public Health</t>
        </is>
      </c>
      <c r="AU759" t="inlineStr">
        <is>
          <t>SEP</t>
        </is>
      </c>
      <c r="AV759" t="n">
        <v>2021</v>
      </c>
      <c r="AW759" t="n">
        <v>18</v>
      </c>
      <c r="AX759" t="n">
        <v>18</v>
      </c>
      <c r="BE759" t="n">
        <v>9600</v>
      </c>
      <c r="BF759" t="inlineStr">
        <is>
          <t>10.3390/ijerph18189600</t>
        </is>
      </c>
      <c r="BG759">
        <f>HYPERLINK("http://dx.doi.org/10.3390/ijerph18189600","http://dx.doi.org/10.3390/ijerph18189600")</f>
        <v/>
      </c>
      <c r="BJ759" t="n">
        <v>13</v>
      </c>
      <c r="BK759" t="inlineStr">
        <is>
          <t>Environmental Sciences; Public, Environmental &amp; Occupational Health</t>
        </is>
      </c>
      <c r="BL759" t="inlineStr">
        <is>
          <t>Science Citation Index Expanded (SCI-EXPANDED); Social Science Citation Index (SSCI)</t>
        </is>
      </c>
      <c r="BM759" t="inlineStr">
        <is>
          <t>Environmental Sciences &amp; Ecology; Public, Environmental &amp; Occupational Health</t>
        </is>
      </c>
      <c r="BN759" t="inlineStr">
        <is>
          <t>UV5XG</t>
        </is>
      </c>
      <c r="BO759" t="n">
        <v>34574523</v>
      </c>
      <c r="BP759" t="inlineStr">
        <is>
          <t>Green Published, gold</t>
        </is>
      </c>
      <c r="BS759" t="inlineStr">
        <is>
          <t>2023-10-26</t>
        </is>
      </c>
      <c r="BT759" t="inlineStr">
        <is>
          <t>WOS:000699550300001</t>
        </is>
      </c>
      <c r="BU759">
        <f>HYPERLINK("https%3A%2F%2Fwww.webofscience.com%2Fwos%2Fwoscc%2Ffull-record%2FWOS:000699550300001","View Full Record in Web of Science")</f>
        <v/>
      </c>
    </row>
    <row r="760">
      <c r="A760" t="inlineStr">
        <is>
          <t>J</t>
        </is>
      </c>
      <c r="B760" t="inlineStr">
        <is>
          <t>Zotova, O; Tarasova, L</t>
        </is>
      </c>
      <c r="F760" t="inlineStr">
        <is>
          <t>Zotova, Olga; Tarasova, Lyudmila</t>
        </is>
      </c>
      <c r="J760" t="inlineStr">
        <is>
          <t>URBAN SCIENCE</t>
        </is>
      </c>
      <c r="M760" t="inlineStr">
        <is>
          <t>English</t>
        </is>
      </c>
      <c r="N760" t="inlineStr">
        <is>
          <t>Article</t>
        </is>
      </c>
      <c r="T760" t="inlineStr">
        <is>
          <t>The Courtyard as an Element of the Urban Environment as Perceived by Yekaterinburg Residents</t>
        </is>
      </c>
      <c r="U760" t="inlineStr">
        <is>
          <t>perception; courtyard; city; Yekaterinburg; environment; psychology</t>
        </is>
      </c>
      <c r="V760" t="inlineStr">
        <is>
          <t>CITY; CONSTRUCTION</t>
        </is>
      </c>
      <c r="W760" t="inlineStr">
        <is>
          <t>Social and cultural changes have brought about a new understanding of the space-time continuum within which modern cities are evolving. A comfortable urban environment contributes to the development of a sustainable urban environment, to the psychological health and social well-being of citizens, as shown by the observation of life in public spaces. In our study, the courtyard is treated as a specific human habitat that satisfies a wide range of people's needs due to the unity of physical, social, and existential features of the place. It is the environment that is present throughout a person's life, is biographically tied up with his history and that of his family, and therefore reflects his individuality, expresses identity, and stimulates personal authenticity. To assess Yekaterinburg residents' perception of the yard space as an element of the urban environment, which is the aim of the study, the authors exploited the method of a questionnaire based on two measures, namely architectural semantic differential and incomplete sentences. It was found that the image My Courtyard was the most uncomfortable and frozen of all the urban elements and My City was the most comfortable and dynamic. The respondents perceive the house and the adjacent area as a complete unit. The coincidence of the Ideal Courtyard image in all groups of respondents indicates that this image is universal and does not depend on the place of a person's actual residence. The study can contribute to formulating recommendation to develop the courtyard space and universal models for improving adjacent areas, taking into account the psychological characteristics and needs of the population.</t>
        </is>
      </c>
      <c r="X760" t="inlineStr">
        <is>
          <t>[Zotova, Olga; Tarasova, Lyudmila] Liberal Arts Univ LAU Univ Humanities, Dept Social Psychol, Surikova St 24a, Ekaterinburg 620144, Russia</t>
        </is>
      </c>
      <c r="Z760" t="inlineStr">
        <is>
          <t>Zotova, O (corresponding author), Liberal Arts Univ LAU Univ Humanities, Dept Social Psychol, Surikova St 24a, Ekaterinburg 620144, Russia.</t>
        </is>
      </c>
      <c r="AA760" t="inlineStr">
        <is>
          <t>oiambusheva@mail.ru; tarasovagu@mail.ru</t>
        </is>
      </c>
      <c r="AD760" t="inlineStr">
        <is>
          <t>Russian Science Foundation [23-28-01355]</t>
        </is>
      </c>
      <c r="AE760" t="inlineStr">
        <is>
          <t>Russian Science Foundation(Russian Science Foundation (RSF))</t>
        </is>
      </c>
      <c r="AF760" t="inlineStr">
        <is>
          <t>The article was supported with a grant from the Russian Science Foundation (project No 23-28-01355).</t>
        </is>
      </c>
      <c r="AH760" t="n">
        <v>58</v>
      </c>
      <c r="AI760" t="n">
        <v>0</v>
      </c>
      <c r="AJ760" t="n">
        <v>0</v>
      </c>
      <c r="AK760" t="n">
        <v>0</v>
      </c>
      <c r="AL760" t="n">
        <v>0</v>
      </c>
      <c r="AM760" t="inlineStr">
        <is>
          <t>MDPI</t>
        </is>
      </c>
      <c r="AN760" t="inlineStr">
        <is>
          <t>BASEL</t>
        </is>
      </c>
      <c r="AO760" t="inlineStr">
        <is>
          <t>ST ALBAN-ANLAGE 66, CH-4052 BASEL, SWITZERLAND</t>
        </is>
      </c>
      <c r="AQ760" t="inlineStr">
        <is>
          <t>2413-8851</t>
        </is>
      </c>
      <c r="AS760" t="inlineStr">
        <is>
          <t>URBAN SCI</t>
        </is>
      </c>
      <c r="AT760" t="inlineStr">
        <is>
          <t>Urban Sci.</t>
        </is>
      </c>
      <c r="AU760" t="inlineStr">
        <is>
          <t>SEP</t>
        </is>
      </c>
      <c r="AV760" t="n">
        <v>2023</v>
      </c>
      <c r="AW760" t="n">
        <v>7</v>
      </c>
      <c r="AX760" t="n">
        <v>3</v>
      </c>
      <c r="BE760" t="n">
        <v>77</v>
      </c>
      <c r="BF760" t="inlineStr">
        <is>
          <t>10.3390/urbansci7030077</t>
        </is>
      </c>
      <c r="BG760">
        <f>HYPERLINK("http://dx.doi.org/10.3390/urbansci7030077","http://dx.doi.org/10.3390/urbansci7030077")</f>
        <v/>
      </c>
      <c r="BJ760" t="n">
        <v>24</v>
      </c>
      <c r="BK760" t="inlineStr">
        <is>
          <t>Environmental Sciences; Environmental Studies; Geography; Regional &amp; Urban Planning; Urban Studies</t>
        </is>
      </c>
      <c r="BL760" t="inlineStr">
        <is>
          <t>Emerging Sources Citation Index (ESCI)</t>
        </is>
      </c>
      <c r="BM760" t="inlineStr">
        <is>
          <t>Environmental Sciences &amp; Ecology; Geography; Public Administration; Urban Studies</t>
        </is>
      </c>
      <c r="BN760" t="inlineStr">
        <is>
          <t>S9JI5</t>
        </is>
      </c>
      <c r="BP760" t="inlineStr">
        <is>
          <t>gold</t>
        </is>
      </c>
      <c r="BS760" t="inlineStr">
        <is>
          <t>2023-10-26</t>
        </is>
      </c>
      <c r="BT760" t="inlineStr">
        <is>
          <t>WOS:001074251800001</t>
        </is>
      </c>
      <c r="BU760">
        <f>HYPERLINK("https%3A%2F%2Fwww.webofscience.com%2Fwos%2Fwoscc%2Ffull-record%2FWOS:001074251800001","View Full Record in Web of Science")</f>
        <v/>
      </c>
    </row>
    <row r="761">
      <c r="A761" t="inlineStr">
        <is>
          <t>J</t>
        </is>
      </c>
      <c r="B761" t="inlineStr">
        <is>
          <t>Rondán-Cataluña, FJ; Ramírez-Correa, PE; Arenas-Gaitán, J; Ramírez-Santana, M; Grandón, EE; Alfaro-Pérez, J</t>
        </is>
      </c>
      <c r="F761" t="inlineStr">
        <is>
          <t>Javier Rondan-Cataluna, Francisco; Ramirez-Correa, Patricio E.; Arenas-Gaitan, Jorge; Ramirez-Santana, Muriel; Grandon, Elizabeth E.; Alfaro-Perez, Jorge</t>
        </is>
      </c>
      <c r="J761" t="inlineStr">
        <is>
          <t>INTERNATIONAL JOURNAL OF ENVIRONMENTAL RESEARCH AND PUBLIC HEALTH</t>
        </is>
      </c>
      <c r="M761" t="inlineStr">
        <is>
          <t>English</t>
        </is>
      </c>
      <c r="N761" t="inlineStr">
        <is>
          <t>Article</t>
        </is>
      </c>
      <c r="T761" t="inlineStr">
        <is>
          <t>Social Network Communications in Chilean Older Adults</t>
        </is>
      </c>
      <c r="U761" t="inlineStr">
        <is>
          <t>social networking sites; older adults; decision trees; segmentation; Chile</t>
        </is>
      </c>
      <c r="V761" t="inlineStr">
        <is>
          <t>AGE-DIFFERENCES; TECHNOLOGY; USERS</t>
        </is>
      </c>
      <c r="W761" t="inlineStr">
        <is>
          <t>The growth of older adults in new regions poses challenges for public health. We know that these seniors live increasingly alone, and this impairs their health and general wellbeing. Studies suggest that social networking sites (SNS) can reduce isolation, improve social participation, and increase autonomy. However, there is a lack of knowledge about the characteristics of older adult users of SNS in these new territories. Without this information, it is not possible to improve the adoption of SNS in this population. Based on decision trees, this study analyzes how the elderly users of various SNS in Chile are like. For this purpose, a segmentation of the different groups of elderly users of social networks was constructed, and the most discriminating variables concerning the use of these applications were classified. The results highlight the existence of considerable differences between the various social networks analyzed in their use and characterization. Educational level is the most discriminating variable, and gender influences the types of SNS use. In general, it is observed that the higher the educational level, the more the different social networking sites are used.</t>
        </is>
      </c>
      <c r="X761" t="inlineStr">
        <is>
          <t>[Javier Rondan-Cataluna, Francisco; Arenas-Gaitan, Jorge] Univ Seville, Dept Business Management &amp; Mkt, Seville 41004, Spain; [Ramirez-Correa, Patricio E.; Alfaro-Perez, Jorge] Univ Catolica Norte, Sch Engn, Coquimbo 1780000, Chile; [Ramirez-Santana, Muriel] Univ Catolica Norte, Fac Med, Dept Publ Hlth, Coquimbo 1780000, Chile; [Grandon, Elizabeth E.] Univ Bio Bio, Dept Informat Syst, Concepcion 4030000, Chile</t>
        </is>
      </c>
      <c r="Y761" t="inlineStr">
        <is>
          <t>University of Sevilla; Universidad Catolica del Norte; Universidad Catolica del Norte; Universidad del Bio-Bio</t>
        </is>
      </c>
      <c r="Z761" t="inlineStr">
        <is>
          <t>Ramírez-Correa, PE (corresponding author), Univ Catolica Norte, Sch Engn, Coquimbo 1780000, Chile.</t>
        </is>
      </c>
      <c r="AA761" t="inlineStr">
        <is>
          <t>rondan@us.es; patricio.ramirez@ucn.cl; jarenas@us.es; mramirers@ucn.cl; egrandon@ubiobio.cl; jalfaro@ucn.cl</t>
        </is>
      </c>
      <c r="AB761" t="inlineStr">
        <is>
          <t>, Jorge Alfaro/AAP-2834-2021; Arenas-Gaitán, Jorge/K-2866-2014; ramirez, muriel mrs/L-3644-2013; Ramirez-Correa, Patricio/K-8279-2014; RONDAN-CATALUÑA, F. Javier/E-1775-2013</t>
        </is>
      </c>
      <c r="AC761" t="inlineStr">
        <is>
          <t>Arenas-Gaitán, Jorge/0000-0003-4635-9425; ramirez, muriel mrs/0000-0002-3642-6965; Ramirez-Correa, Patricio/0000-0001-7089-1505; RONDAN-CATALUÑA, F. Javier/0000-0003-0368-5335; ALFARO-PEREZ, JORGE/0000-0002-5035-5198; Grandon, Elizabeth/0000-0002-8639-667X</t>
        </is>
      </c>
      <c r="AD761" t="inlineStr">
        <is>
          <t>Universidad Catolica del Norte (CHILE); CONICYT-Chile, through the MEC program [80180034]</t>
        </is>
      </c>
      <c r="AE761" t="inlineStr">
        <is>
          <t>Universidad Catolica del Norte (CHILE); CONICYT-Chile, through the MEC program</t>
        </is>
      </c>
      <c r="AF761" t="inlineStr">
        <is>
          <t>This research was funded by Universidad Catolica del Norte (CHILE) and supported by CONICYT-Chile, through the MEC program, grant no. 80180034.</t>
        </is>
      </c>
      <c r="AH761" t="n">
        <v>47</v>
      </c>
      <c r="AI761" t="n">
        <v>6</v>
      </c>
      <c r="AJ761" t="n">
        <v>6</v>
      </c>
      <c r="AK761" t="n">
        <v>4</v>
      </c>
      <c r="AL761" t="n">
        <v>27</v>
      </c>
      <c r="AM761" t="inlineStr">
        <is>
          <t>MDPI</t>
        </is>
      </c>
      <c r="AN761" t="inlineStr">
        <is>
          <t>BASEL</t>
        </is>
      </c>
      <c r="AO761" t="inlineStr">
        <is>
          <t>ST ALBAN-ANLAGE 66, CH-4052 BASEL, SWITZERLAND</t>
        </is>
      </c>
      <c r="AQ761" t="inlineStr">
        <is>
          <t>1660-4601</t>
        </is>
      </c>
      <c r="AS761" t="inlineStr">
        <is>
          <t>INT J ENV RES PUB HE</t>
        </is>
      </c>
      <c r="AT761" t="inlineStr">
        <is>
          <t>Int. J. Environ. Res. Public Health</t>
        </is>
      </c>
      <c r="AU761" t="inlineStr">
        <is>
          <t>SEP</t>
        </is>
      </c>
      <c r="AV761" t="n">
        <v>2020</v>
      </c>
      <c r="AW761" t="n">
        <v>17</v>
      </c>
      <c r="AX761" t="n">
        <v>17</v>
      </c>
      <c r="BE761" t="n">
        <v>6078</v>
      </c>
      <c r="BF761" t="inlineStr">
        <is>
          <t>10.3390/ijerph17176078</t>
        </is>
      </c>
      <c r="BG761">
        <f>HYPERLINK("http://dx.doi.org/10.3390/ijerph17176078","http://dx.doi.org/10.3390/ijerph17176078")</f>
        <v/>
      </c>
      <c r="BJ761" t="n">
        <v>17</v>
      </c>
      <c r="BK761" t="inlineStr">
        <is>
          <t>Environmental Sciences; Public, Environmental &amp; Occupational Health</t>
        </is>
      </c>
      <c r="BL761" t="inlineStr">
        <is>
          <t>Science Citation Index Expanded (SCI-EXPANDED); Social Science Citation Index (SSCI)</t>
        </is>
      </c>
      <c r="BM761" t="inlineStr">
        <is>
          <t>Environmental Sciences &amp; Ecology; Public, Environmental &amp; Occupational Health</t>
        </is>
      </c>
      <c r="BN761" t="inlineStr">
        <is>
          <t>NQ9JG</t>
        </is>
      </c>
      <c r="BO761" t="n">
        <v>32825543</v>
      </c>
      <c r="BP761" t="inlineStr">
        <is>
          <t>gold, Green Published</t>
        </is>
      </c>
      <c r="BS761" t="inlineStr">
        <is>
          <t>2023-10-26</t>
        </is>
      </c>
      <c r="BT761" t="inlineStr">
        <is>
          <t>WOS:000571182000001</t>
        </is>
      </c>
      <c r="BU761">
        <f>HYPERLINK("https%3A%2F%2Fwww.webofscience.com%2Fwos%2Fwoscc%2Ffull-record%2FWOS:000571182000001","View Full Record in Web of Science")</f>
        <v/>
      </c>
    </row>
    <row r="762">
      <c r="A762" t="inlineStr">
        <is>
          <t>J</t>
        </is>
      </c>
      <c r="B762" t="inlineStr">
        <is>
          <t>Shan, X; Melina, AN; Yang, EH</t>
        </is>
      </c>
      <c r="F762" t="inlineStr">
        <is>
          <t>Shan, Xin; Melina, Anastasia Nissa; Yang, En-Hua</t>
        </is>
      </c>
      <c r="J762" t="inlineStr">
        <is>
          <t>JOURNAL OF CLEANER PRODUCTION</t>
        </is>
      </c>
      <c r="M762" t="inlineStr">
        <is>
          <t>English</t>
        </is>
      </c>
      <c r="N762" t="inlineStr">
        <is>
          <t>Article</t>
        </is>
      </c>
      <c r="T762" t="inlineStr">
        <is>
          <t>Impact of indoor environmental quality on students' wellbeing and performance in educational building through life cycle costing perspective</t>
        </is>
      </c>
      <c r="U762" t="inlineStr">
        <is>
          <t>Life cycle costing; Indoor environmental quality; Wellbeing; Performance; Energy; Educational building</t>
        </is>
      </c>
      <c r="V762" t="inlineStr">
        <is>
          <t>AIR-QUALITY; SUSTAINABILITY; PRODUCTIVITY; SYMPTOMS; OFFICE; SYSTEM; GRADES; LCA</t>
        </is>
      </c>
      <c r="W762" t="inlineStr">
        <is>
          <t>Effects of indoor environmental quality of office buildings on occupants have been widely studied. However, relatively fewer studies focus on that of educational buildings, through the perspective of building life cycle costing assessment in particular. In this study, effects of indoor thermal condition and air quality on students' wellbeing and performance are investigated with other major building metrics through a life cycle costing case study of two university tutorial rooms. Metrics for students' wellbeing and performance are monetized, and different weighting schemes for the metrics are compared with sensitivity analysis. Results show that consideration of students' wellbeing and performance can lead to significant total net benefits, which highlights that other traditional metrics focusing on building energy and resource efficiency should be balanced with human factors. For more sustainable building design and operation, balanced weighting scheme should be adopted, in contrary to the current practice where weights are mainly given to capital and energy while wellbeing and performance are often ignored. The results underscore the importance of incorporating students' wellbeing and performance into educational building design and operation, as thermal or air quality conditions in school classrooms are often worse than stipulations in standards and building codes. (C) 2018 Elsevier Ltd. All rights reserved.</t>
        </is>
      </c>
      <c r="X762" t="inlineStr">
        <is>
          <t>[Shan, Xin; Melina, Anastasia Nissa; Yang, En-Hua] Nanyang Technol Univ, Sch Civil &amp; Environm Engn, Singapore, Singapore</t>
        </is>
      </c>
      <c r="Y762" t="inlineStr">
        <is>
          <t>Nanyang Technological University &amp; National Institute of Education (NIE) Singapore; Nanyang Technological University</t>
        </is>
      </c>
      <c r="Z762" t="inlineStr">
        <is>
          <t>Yang, EH (corresponding author), N1-01b-56,50 Nanyang Ave, Singapore 639798, Singapore.</t>
        </is>
      </c>
      <c r="AA762" t="inlineStr">
        <is>
          <t>ehyang@ntu.edu.sg</t>
        </is>
      </c>
      <c r="AB762" t="inlineStr">
        <is>
          <t>Yang, En-Hua/A-3780-2011</t>
        </is>
      </c>
      <c r="AC762" t="inlineStr">
        <is>
          <t>Yang, En-Hua/0000-0001-6066-8254</t>
        </is>
      </c>
      <c r="AD762" t="inlineStr">
        <is>
          <t>Republic of Singapore's National Research Foundation</t>
        </is>
      </c>
      <c r="AE762" t="inlineStr">
        <is>
          <t>Republic of Singapore's National Research Foundation(National Research Foundation, Singapore)</t>
        </is>
      </c>
      <c r="AF762" t="inlineStr">
        <is>
          <t>The financial support from the Republic of Singapore's National Research Foundation through a grant to the Berkeley Education Alliance for Research in Singapore (BEARS) for the Singapore Berkeley Building Efficiency and Sustainability in the Tropics (Sin-BerBEST) program is gratefully acknowledged.</t>
        </is>
      </c>
      <c r="AH762" t="n">
        <v>44</v>
      </c>
      <c r="AI762" t="n">
        <v>23</v>
      </c>
      <c r="AJ762" t="n">
        <v>24</v>
      </c>
      <c r="AK762" t="n">
        <v>9</v>
      </c>
      <c r="AL762" t="n">
        <v>51</v>
      </c>
      <c r="AM762" t="inlineStr">
        <is>
          <t>ELSEVIER SCI LTD</t>
        </is>
      </c>
      <c r="AN762" t="inlineStr">
        <is>
          <t>OXFORD</t>
        </is>
      </c>
      <c r="AO762" t="inlineStr">
        <is>
          <t>THE BOULEVARD, LANGFORD LANE, KIDLINGTON, OXFORD OX5 1GB, OXON, ENGLAND</t>
        </is>
      </c>
      <c r="AP762" t="inlineStr">
        <is>
          <t>0959-6526</t>
        </is>
      </c>
      <c r="AQ762" t="inlineStr">
        <is>
          <t>1879-1786</t>
        </is>
      </c>
      <c r="AS762" t="inlineStr">
        <is>
          <t>J CLEAN PROD</t>
        </is>
      </c>
      <c r="AT762" t="inlineStr">
        <is>
          <t>J. Clean Prod.</t>
        </is>
      </c>
      <c r="AU762" t="inlineStr">
        <is>
          <t>DEC 10</t>
        </is>
      </c>
      <c r="AV762" t="n">
        <v>2018</v>
      </c>
      <c r="AW762" t="n">
        <v>204</v>
      </c>
      <c r="BC762" t="n">
        <v>298</v>
      </c>
      <c r="BD762" t="n">
        <v>309</v>
      </c>
      <c r="BF762" t="inlineStr">
        <is>
          <t>10.1016/j.jclepro.2018.09.002</t>
        </is>
      </c>
      <c r="BG762">
        <f>HYPERLINK("http://dx.doi.org/10.1016/j.jclepro.2018.09.002","http://dx.doi.org/10.1016/j.jclepro.2018.09.002")</f>
        <v/>
      </c>
      <c r="BJ762" t="n">
        <v>12</v>
      </c>
      <c r="BK762" t="inlineStr">
        <is>
          <t>Green &amp; Sustainable Science &amp; Technology; Engineering, Environmental; Environmental Sciences</t>
        </is>
      </c>
      <c r="BL762" t="inlineStr">
        <is>
          <t>Science Citation Index Expanded (SCI-EXPANDED); Social Science Citation Index (SSCI)</t>
        </is>
      </c>
      <c r="BM762" t="inlineStr">
        <is>
          <t>Science &amp; Technology - Other Topics; Engineering; Environmental Sciences &amp; Ecology</t>
        </is>
      </c>
      <c r="BN762" t="inlineStr">
        <is>
          <t>GX9BC</t>
        </is>
      </c>
      <c r="BP762" t="inlineStr">
        <is>
          <t>Green Accepted</t>
        </is>
      </c>
      <c r="BS762" t="inlineStr">
        <is>
          <t>2023-10-26</t>
        </is>
      </c>
      <c r="BT762" t="inlineStr">
        <is>
          <t>WOS:000448092500027</t>
        </is>
      </c>
      <c r="BU762">
        <f>HYPERLINK("https%3A%2F%2Fwww.webofscience.com%2Fwos%2Fwoscc%2Ffull-record%2FWOS:000448092500027","View Full Record in Web of Science")</f>
        <v/>
      </c>
    </row>
    <row r="763">
      <c r="A763" t="inlineStr">
        <is>
          <t>J</t>
        </is>
      </c>
      <c r="B763" t="inlineStr">
        <is>
          <t>Xu, YX; Zhou, Y; Huang, Y; Yu, Y; Li, JY; Huang, WJ; Wan, YH; Tao, FB; Sun, Y</t>
        </is>
      </c>
      <c r="F763" t="inlineStr">
        <is>
          <t>Xu, Yu-xiang; Zhou, Yi; Huang, Yan; Yu, Yang; Li, Jing-ya; Huang, Wen-juan; Wan, Yu-hui; Tao, Fang-biao; Sun, Ying</t>
        </is>
      </c>
      <c r="J763" t="inlineStr">
        <is>
          <t>ENVIRONMENTAL POLLUTION</t>
        </is>
      </c>
      <c r="M763" t="inlineStr">
        <is>
          <t>English</t>
        </is>
      </c>
      <c r="N763" t="inlineStr">
        <is>
          <t>Article</t>
        </is>
      </c>
      <c r="T763" t="inlineStr">
        <is>
          <t>Physical activity alleviates negative effects of bedroom light pollution on blood pressure and hypertension in Chinese young adults</t>
        </is>
      </c>
      <c r="U763" t="inlineStr">
        <is>
          <t>Light at night; Bedroom light pollution; Young adults; Blood pressure; Hypertension; Physical activity</t>
        </is>
      </c>
      <c r="V763" t="inlineStr">
        <is>
          <t>OLDER-ADULTS; MELATONIN; NIGHT; EXPOSURE; RISK; ASSOCIATION; COMPONENTS; DISEASE; HEALTH</t>
        </is>
      </c>
      <c r="W763" t="inlineStr">
        <is>
          <t>Excessive exposure to light at night (LAN) has become a serious public health concern. However, little is known about the impact of indoor LAN exposure on blood pressure, particularly among young adults. We aimed to investigate the effects of bedroom individual-level LAN exposure in real-world environment on blood pressure and hypertension among vulnerable young adults, and to evaluate the possible buffering effect of physical activity. In this cross-sectional study, a total of 400 healthy young adults aged 16-22 years were included. Bedroom LAN exposure was recorded at 1-min intervals for two consecutive nights using a TES-1339 R illuminance meter. Blood pressure was measured three times (8-11 a.m. in the physical examination day) in the seated position using an Omron HEM-7121 digital sphygmomanometer. A wrist-worn triaxial accelerometer (ActiGraph GT3X-BT) was used to assess physical activity for seven consecutive days. Each 1 lx increase of bedroom LAN intensity was associated with 0.55 mmHg-increase in SBP (95% CI: 0.15, 0.95), 0.30 mmHg-increase in DBP (95% CI: 0.06, 0.54), and 0.38 mmHg-increase in MAP (95% CI: 0.12, 0.65). Higher levels of LAN exposure were associated with increased risk of hypertension (LAN &gt;= 3lx vs. LAN &lt; 3lx: OR = 3.30, 95%CI = 1.19-9.19; LAN &gt;= 5lx vs. LAN &lt; 5lx: OR = 3.87, 95%CI = 1.37-10.98). However, these detrimental effects of bedroom LAN exposure on blood pressure and hypertension were not observed among young adults with high MVPA (&gt;= 2 h/day) level. MVPA can alleviate negative effects of bedroom LAN exposure on blood pressure and hypertension. Maintaining bedroom settings darkness at night may be an important strategy for reducing the risk of hypertension. Furthermore, for individuals living with high levels of indoor LAN exposure, regular physical activity may be a good option for preventing cardiovascular disease and hypertension.</t>
        </is>
      </c>
      <c r="X763" t="inlineStr">
        <is>
          <t>[Xu, Yu-xiang; Zhou, Yi; Huang, Yan; Yu, Yang; Huang, Wen-juan; Wan, Yu-hui; Tao, Fang-biao; Sun, Ying] Anhui Med Univ, Sch Publ Hlth, Dept Maternal Child &amp; Adolescent Hlth, Hefei, Anhui, Peoples R China; [Li, Jing-ya] Anhui Med Univ, Sch Publ Hlth, Hefei, Anhui, Peoples R China; [Wan, Yu-hui; Tao, Fang-biao; Sun, Ying] Anhui Med Univ, Key Lab Populat Hlth Life Cycle, Minist Educ Peoples Republ China, 81 Meishan Rd, Hefei 230032, Anhui, Peoples R China; [Wan, Yu-hui; Tao, Fang-biao; Sun, Ying] Anhui Med Univ, Anhui Prov Key Lab Populat Hlth &amp; Aristogen, 81 Meishan Rd, Hefei 230032, Anhui, Peoples R China; [Sun, Ying] Anhui Med Univ, Sch Publ Hlth, Dept Maternal Child &amp; Adolescent Hlth, Hefei, Anhui, Peoples R China</t>
        </is>
      </c>
      <c r="Y763" t="inlineStr">
        <is>
          <t>Anhui Medical University; Anhui Medical University; Ministry of Education, China; Anhui Medical University; Anhui Medical University; Anhui Medical University</t>
        </is>
      </c>
      <c r="Z763" t="inlineStr">
        <is>
          <t>Sun, Y (corresponding author), Anhui Med Univ, Sch Publ Hlth, Dept Maternal Child &amp; Adolescent Hlth, Hefei, Anhui, Peoples R China.</t>
        </is>
      </c>
      <c r="AA763" t="inlineStr">
        <is>
          <t>yingsun@ahmu.edu.cn</t>
        </is>
      </c>
      <c r="AB763" t="inlineStr">
        <is>
          <t>Zhang, Lijun/JEZ-7925-2023; Zhang, Yanyan/JFA-9161-2023; Li, Yaqi/JEF-2795-2023; Wang, Tianqi/JJD-7473-2023; qi, li/JFE-7167-2023; peng, yan/JCO-1763-2023</t>
        </is>
      </c>
      <c r="AD763" t="inlineStr">
        <is>
          <t>National Natural Science Founda- tion of China [82173537, 81872638]</t>
        </is>
      </c>
      <c r="AE763" t="inlineStr">
        <is>
          <t>National Natural Science Founda- tion of China(National Natural Science Foundation of China (NSFC))</t>
        </is>
      </c>
      <c r="AF763" t="inlineStr">
        <is>
          <t>This study was supported by the National Natural Science Founda- tion of China (No. 82173537, 81872638) . We thank all the volunteer participants for their patience and participation.</t>
        </is>
      </c>
      <c r="AH763" t="n">
        <v>66</v>
      </c>
      <c r="AI763" t="n">
        <v>1</v>
      </c>
      <c r="AJ763" t="n">
        <v>1</v>
      </c>
      <c r="AK763" t="n">
        <v>9</v>
      </c>
      <c r="AL763" t="n">
        <v>19</v>
      </c>
      <c r="AM763" t="inlineStr">
        <is>
          <t>ELSEVIER SCI LTD</t>
        </is>
      </c>
      <c r="AN763" t="inlineStr">
        <is>
          <t>OXFORD</t>
        </is>
      </c>
      <c r="AO763" t="inlineStr">
        <is>
          <t>THE BOULEVARD, LANGFORD LANE, KIDLINGTON, OXFORD OX5 1GB, OXON, ENGLAND</t>
        </is>
      </c>
      <c r="AP763" t="inlineStr">
        <is>
          <t>0269-7491</t>
        </is>
      </c>
      <c r="AQ763" t="inlineStr">
        <is>
          <t>1873-6424</t>
        </is>
      </c>
      <c r="AS763" t="inlineStr">
        <is>
          <t>ENVIRON POLLUT</t>
        </is>
      </c>
      <c r="AT763" t="inlineStr">
        <is>
          <t>Environ. Pollut.</t>
        </is>
      </c>
      <c r="AU763" t="inlineStr">
        <is>
          <t>NOV 15</t>
        </is>
      </c>
      <c r="AV763" t="n">
        <v>2022</v>
      </c>
      <c r="AW763" t="n">
        <v>313</v>
      </c>
      <c r="BE763" t="n">
        <v>120117</v>
      </c>
      <c r="BF763" t="inlineStr">
        <is>
          <t>10.1016/j.envpol.2022.120117</t>
        </is>
      </c>
      <c r="BG763">
        <f>HYPERLINK("http://dx.doi.org/10.1016/j.envpol.2022.120117","http://dx.doi.org/10.1016/j.envpol.2022.120117")</f>
        <v/>
      </c>
      <c r="BI763" t="inlineStr">
        <is>
          <t>SEP 2022</t>
        </is>
      </c>
      <c r="BJ763" t="n">
        <v>8</v>
      </c>
      <c r="BK763" t="inlineStr">
        <is>
          <t>Environmental Sciences</t>
        </is>
      </c>
      <c r="BL763" t="inlineStr">
        <is>
          <t>Science Citation Index Expanded (SCI-EXPANDED)</t>
        </is>
      </c>
      <c r="BM763" t="inlineStr">
        <is>
          <t>Environmental Sciences &amp; Ecology</t>
        </is>
      </c>
      <c r="BN763" t="inlineStr">
        <is>
          <t>4X1IW</t>
        </is>
      </c>
      <c r="BO763" t="n">
        <v>36087897</v>
      </c>
      <c r="BS763" t="inlineStr">
        <is>
          <t>2023-10-26</t>
        </is>
      </c>
      <c r="BT763" t="inlineStr">
        <is>
          <t>WOS:000860604700008</t>
        </is>
      </c>
      <c r="BU763">
        <f>HYPERLINK("https%3A%2F%2Fwww.webofscience.com%2Fwos%2Fwoscc%2Ffull-record%2FWOS:000860604700008","View Full Record in Web of Science")</f>
        <v/>
      </c>
    </row>
    <row r="764">
      <c r="A764" t="inlineStr">
        <is>
          <t>J</t>
        </is>
      </c>
      <c r="B764" t="inlineStr">
        <is>
          <t>Latif, MT; Na, TS; Baharudin, NH; Srithawirat, T; Mohamad, N; Khan, MF; Sulaiman, FR</t>
        </is>
      </c>
      <c r="F764" t="inlineStr">
        <is>
          <t>Latif, Mohd Talib; Na, Tan Sheh; Baharudin, Nor Hafizah; Srithawirat, Thunwadee; Mohamad, Noorlin; Khan, Md Firoz; Sulaiman, Fazrul Razman</t>
        </is>
      </c>
      <c r="J764" t="inlineStr">
        <is>
          <t>ENVIRONMENTAL ENGINEERING AND MANAGEMENT JOURNAL</t>
        </is>
      </c>
      <c r="M764" t="inlineStr">
        <is>
          <t>English</t>
        </is>
      </c>
      <c r="N764" t="inlineStr">
        <is>
          <t>Article</t>
        </is>
      </c>
      <c r="T764" t="inlineStr">
        <is>
          <t>COMPOSITION OF TRACE METALS IN INDOOR DUST DURING AND AFTER BUILDING RENOVATION</t>
        </is>
      </c>
      <c r="U764" t="inlineStr">
        <is>
          <t>health risk; indoor dust; PM10; renovation; trace metals</t>
        </is>
      </c>
      <c r="V764" t="inlineStr">
        <is>
          <t>PARTICULATE MATTER; AIR-QUALITY; ELEMENTAL COMPOSITION; SOURCE IDENTIFICATION; MASS CONCENTRATION; SEMIURBAN AREAS; HOUSEHOLD DUST; PM10; SCHOOL; UNIVERSITY</t>
        </is>
      </c>
      <c r="W764" t="inlineStr">
        <is>
          <t>A study was conducted to determine the composition and concentration of trace metals in suspended particulate matter (PM10) and indoor dust in two academic buildings of Universiti Kebangsaan Malaysia. One building was in the final phases of renovation (UR) and the other building had just finished renovation (AR). PM10 sampling of air was performed using a low volume sampler (LVS), and samples of indoor dust were obtained using a brush and a small plastic bag. The compositions of trace metals in both samples were determined by inductively coupled plasma mass spectrometry (ICP-MS). PM10 concentrations in the building under renovation (UR) were found to be higher (77.1 +/- 32.4 mu g m(-3) to 355.4 +/- 38.3 mu g m(-3)) than those in the building after renovation (AR) (91.7 +/- 41.2 mu g m(-3) to 147.9 +/- 3.0 mu g m(3)). Higher concentrations of PM10 were found in the open areas (foyer and corridor) than in closed areas (classroom and laboratory). The concentrations of trace metals in PM10 and indoor dust were found to be dominated by Zn, followed by Pb &gt; Cu &gt; Cd. There is no indication of health adverse effect based on the concentration of trace metals recorded in the UR and AR buildings from this study.</t>
        </is>
      </c>
      <c r="X764" t="inlineStr">
        <is>
          <t>[Latif, Mohd Talib; Na, Tan Sheh; Baharudin, Nor Hafizah] Univ Kebangsaan Malaysia, Fac Sci &amp; Technol, Sch Environm &amp; Nat Resource Sci, Bangi 43000, Selangor, Malaysia; [Srithawirat, Thunwadee] Pibulsongkram Rajabhat Univ, Fac Sci &amp; Technol, Dept Environm Sci, Phitsanulok 65000, Thailand; [Mohamad, Noorlin] Univ Malaysia Terengganu, Sch Marine &amp; Environm Sci, Environm Res Grp, Kuala Terengganu 21030, Terengganu, Malaysia; [Khan, Md Firoz] Univ Kebangsaan Malaysia, Ctr Trop Climate Change Syst IKLIM, Inst Climate Change, Bangi 43600, Selangor, Malaysia; [Sulaiman, Fazrul Razman] Univ Teknol MARA Cawangan Pahang, Fac Appl Sci, Bandar Tun Abdul Razak J 26400, Pahang, Malaysia</t>
        </is>
      </c>
      <c r="Y764" t="inlineStr">
        <is>
          <t>Universiti Kebangsaan Malaysia; Pibulsongkram Rajabhat University; Universiti Malaysia Terengganu; Universiti Kebangsaan Malaysia</t>
        </is>
      </c>
      <c r="Z764" t="inlineStr">
        <is>
          <t>Latif, MT (corresponding author), Univ Kebangsaan Malaysia, Fac Sci &amp; Technol, Sch Environm &amp; Nat Resource Sci, Bangi 43000, Selangor, Malaysia.</t>
        </is>
      </c>
      <c r="AA764" t="inlineStr">
        <is>
          <t>talib@ukm.edu.my</t>
        </is>
      </c>
      <c r="AB764" t="inlineStr">
        <is>
          <t>Khan, Md Firoz/I-6065-2013; Sulaiman, Fazrul Razman/A-9815-2011; Srithawirat, Thunwadee/I-1296-2019; Latif, Mohd Talib/E-9560-2010</t>
        </is>
      </c>
      <c r="AC764" t="inlineStr">
        <is>
          <t>Khan, Md Firoz/0000-0003-3567-9634; Sulaiman, Fazrul Razman/0000-0002-5859-6607; Srithawirat, Thunwadee/0000-0002-8319-3033; Latif, Mohd Talib/0000-0003-2339-3321</t>
        </is>
      </c>
      <c r="AD764" t="inlineStr">
        <is>
          <t>Ministry of Education, Malaysia [FRGS/1/2013/STWN01/UKM/02/2]; Universiti Kebangsaan Malysia [DIP-2016-015]</t>
        </is>
      </c>
      <c r="AE764" t="inlineStr">
        <is>
          <t>Ministry of Education, Malaysia(Ministry of Education, Malaysia); Universiti Kebangsaan Malysia</t>
        </is>
      </c>
      <c r="AF764" t="inlineStr">
        <is>
          <t>The authors would like to thank Ministry of Education, Malaysia for Fundamental Research Grant FRGS/1/2013/STWN01/UKM/02/2 and Universiti Kebangsaan Malysia for Research University Grant (DIP-2016-015). Thanks to Mrs Alena Sanusi, Dr Rose Norman and Ms K Alexander for assistance with the proofreading of this manuscript.</t>
        </is>
      </c>
      <c r="AH764" t="n">
        <v>55</v>
      </c>
      <c r="AI764" t="n">
        <v>1</v>
      </c>
      <c r="AJ764" t="n">
        <v>1</v>
      </c>
      <c r="AK764" t="n">
        <v>0</v>
      </c>
      <c r="AL764" t="n">
        <v>6</v>
      </c>
      <c r="AM764" t="inlineStr">
        <is>
          <t>GH ASACHI TECHNICAL UNIV IASI</t>
        </is>
      </c>
      <c r="AN764" t="inlineStr">
        <is>
          <t>IASI</t>
        </is>
      </c>
      <c r="AO764" t="inlineStr">
        <is>
          <t>71 MANGERON BLVD, IASI, 700050, ROMANIA</t>
        </is>
      </c>
      <c r="AP764" t="inlineStr">
        <is>
          <t>1582-9596</t>
        </is>
      </c>
      <c r="AQ764" t="inlineStr">
        <is>
          <t>1843-3707</t>
        </is>
      </c>
      <c r="AS764" t="inlineStr">
        <is>
          <t>ENVIRON ENG MANAG J</t>
        </is>
      </c>
      <c r="AT764" t="inlineStr">
        <is>
          <t>Environ. Eng. Manag. J.</t>
        </is>
      </c>
      <c r="AU764" t="inlineStr">
        <is>
          <t>AUG</t>
        </is>
      </c>
      <c r="AV764" t="n">
        <v>2018</v>
      </c>
      <c r="AW764" t="n">
        <v>17</v>
      </c>
      <c r="AX764" t="n">
        <v>8</v>
      </c>
      <c r="BC764" t="n">
        <v>1781</v>
      </c>
      <c r="BD764" t="n">
        <v>1790</v>
      </c>
      <c r="BF764" t="inlineStr">
        <is>
          <t>10.30638/eemj.2018.177</t>
        </is>
      </c>
      <c r="BG764">
        <f>HYPERLINK("http://dx.doi.org/10.30638/eemj.2018.177","http://dx.doi.org/10.30638/eemj.2018.177")</f>
        <v/>
      </c>
      <c r="BJ764" t="n">
        <v>10</v>
      </c>
      <c r="BK764" t="inlineStr">
        <is>
          <t>Environmental Sciences</t>
        </is>
      </c>
      <c r="BL764" t="inlineStr">
        <is>
          <t>Science Citation Index Expanded (SCI-EXPANDED)</t>
        </is>
      </c>
      <c r="BM764" t="inlineStr">
        <is>
          <t>Environmental Sciences &amp; Ecology</t>
        </is>
      </c>
      <c r="BN764" t="inlineStr">
        <is>
          <t>GY6GD</t>
        </is>
      </c>
      <c r="BS764" t="inlineStr">
        <is>
          <t>2023-10-26</t>
        </is>
      </c>
      <c r="BT764" t="inlineStr">
        <is>
          <t>WOS:000448683900002</t>
        </is>
      </c>
      <c r="BU764">
        <f>HYPERLINK("https%3A%2F%2Fwww.webofscience.com%2Fwos%2Fwoscc%2Ffull-record%2FWOS:000448683900002","View Full Record in Web of Science")</f>
        <v/>
      </c>
    </row>
    <row r="765">
      <c r="A765" t="inlineStr">
        <is>
          <t>J</t>
        </is>
      </c>
      <c r="B765" t="inlineStr">
        <is>
          <t>Georgescu, M; Chow, WTL; Wang, ZH; Brazel, A; Trapido-Lurie, B; Roth, M; Benson-Lira, V</t>
        </is>
      </c>
      <c r="F765" t="inlineStr">
        <is>
          <t>Georgescu, M.; Chow, W. T. L.; Wang, Z. H.; Brazel, A.; Trapido-Lurie, B.; Roth, M.; Benson-Lira, V.</t>
        </is>
      </c>
      <c r="J765" t="inlineStr">
        <is>
          <t>ENVIRONMENTAL RESEARCH LETTERS</t>
        </is>
      </c>
      <c r="M765" t="inlineStr">
        <is>
          <t>English</t>
        </is>
      </c>
      <c r="N765" t="inlineStr">
        <is>
          <t>Article</t>
        </is>
      </c>
      <c r="T765" t="inlineStr">
        <is>
          <t>Prioritizing urban sustainability solutions: coordinated approaches must incorporate scale-dependent built environment induced effects</t>
        </is>
      </c>
      <c r="U765" t="inlineStr">
        <is>
          <t>urban; sustainability; adaptation; mitigation; climate</t>
        </is>
      </c>
      <c r="V765" t="inlineStr">
        <is>
          <t>HEAT-ISLAND; UNITED-STATES; CITIES; ENERGY; ROOFS; TEMPERATURE; IMPACTS; CLIMATE; GREEN</t>
        </is>
      </c>
      <c r="W765" t="inlineStr">
        <is>
          <t>Because of a projected surge of several billion urban inhabitants by mid-century, a rising urgency exists to advance local and strategically deployed measures intended to ameliorate negative consequences on urban climate (e.g., heat stress, poor air quality, energy/water availability). Here we highlight the importance of incorporating scale-dependent built environment induced solutions within the broader umbrella of urban sustainability outcomes, thereby accounting for fundamental physical principles. Contemporary and future design of settlements demands cooperative participation between planners, architects, and relevant stakeholders, with the urban and global climate community, which recognizes the complexity of the physical systems involved and is ideally fit to quantitatively examine the viability of proposed solutions. Such participatory efforts can aid the development of locally sensible approaches by integrating across the socioeconomic and climatic continuum, therefore providing opportunities facilitating comprehensive solutions that maximize benefits and limit unintended consequences.</t>
        </is>
      </c>
      <c r="X765" t="inlineStr">
        <is>
          <t>[Georgescu, M.; Brazel, A.; Trapido-Lurie, B.; Benson-Lira, V.] Arizona State Univ, Sch Geog Sci &amp; Urban Planning, Tempe, AZ 85287 USA; [Chow, W. T. L.; Roth, M.] Natl Univ Singapore, Dept Geog, Singapore 117570, Singapore; [Wang, Z. H.] Arizona State Univ, Sch Sustainable Engn &amp; Built Environm, Tempe, AZ 85287 USA; [Georgescu, M.; Wang, Z. H.; Brazel, A.] Arizona State Univ, Global Inst Sustainabil, Tempe, AZ 85287 USA</t>
        </is>
      </c>
      <c r="Y765" t="inlineStr">
        <is>
          <t>Arizona State University; Arizona State University-Tempe; National University of Singapore; Arizona State University; Arizona State University-Tempe; Arizona State University; Arizona State University-Tempe</t>
        </is>
      </c>
      <c r="Z765" t="inlineStr">
        <is>
          <t>Georgescu, M (corresponding author), Arizona State Univ, Sch Geog Sci &amp; Urban Planning, Tempe, AZ 85287 USA.</t>
        </is>
      </c>
      <c r="AA765" t="inlineStr">
        <is>
          <t>Matei.Georgescu@asu.edu</t>
        </is>
      </c>
      <c r="AB765" t="inlineStr">
        <is>
          <t>Chow, Winston TL/F-1969-2013; Wang, Zhi-Hua/A-3391-2008; Roth, Matthias/F-4963-2017; Georgescu, Matei/G-5442-2011</t>
        </is>
      </c>
      <c r="AC765" t="inlineStr">
        <is>
          <t>Wang, Zhi-Hua/0000-0001-9155-8605; Roth, Matthias/0000-0003-0747-3188; Chow, Winston/0000-0003-1819-597X</t>
        </is>
      </c>
      <c r="AD765" t="inlineStr">
        <is>
          <t>NSF [EAR-1204774, DMS-1419593, CBET-1435881]; National University of Singapore [R-109-000-162-133]; Direct For Mathematical &amp; Physical Scien; Division Of Mathematical Sciences [1419593] Funding Source: National Science Foundation; Directorate For Geosciences; Division Of Earth Sciences [1204774] Funding Source: National Science Foundation; Div Of Chem, Bioeng, Env, &amp; Transp Sys; Directorate For Engineering [1435881] Funding Source: National Science Foundation</t>
        </is>
      </c>
      <c r="AE765" t="inlineStr">
        <is>
          <t>NSF(National Science Foundation (NSF)); National University of Singapore(National University of Singapore); Direct For Mathematical &amp; Physical Scien; Division Of Mathematical Sciences(National Science Foundation (NSF)NSF - Directorate for Mathematical &amp; Physical Sciences (MPS)); Directorate For Geosciences; Division Of Earth Sciences(National Science Foundation (NSF)NSF - Directorate for Geosciences (GEO)); Div Of Chem, Bioeng, Env, &amp; Transp Sys; Directorate For Engineering(National Science Foundation (NSF)NSF - Directorate for Engineering (ENG))</t>
        </is>
      </c>
      <c r="AF765" t="inlineStr">
        <is>
          <t>This work was supported by NSF Grants EAR-1204774, DMS-1419593, CBET-1435881 and by the National University of Singapore Research Grant R-109-000-162-133.</t>
        </is>
      </c>
      <c r="AH765" t="n">
        <v>31</v>
      </c>
      <c r="AI765" t="n">
        <v>40</v>
      </c>
      <c r="AJ765" t="n">
        <v>40</v>
      </c>
      <c r="AK765" t="n">
        <v>2</v>
      </c>
      <c r="AL765" t="n">
        <v>34</v>
      </c>
      <c r="AM765" t="inlineStr">
        <is>
          <t>IOP PUBLISHING LTD</t>
        </is>
      </c>
      <c r="AN765" t="inlineStr">
        <is>
          <t>BRISTOL</t>
        </is>
      </c>
      <c r="AO765" t="inlineStr">
        <is>
          <t>TEMPLE CIRCUS, TEMPLE WAY, BRISTOL BS1 6BE, ENGLAND</t>
        </is>
      </c>
      <c r="AP765" t="inlineStr">
        <is>
          <t>1748-9326</t>
        </is>
      </c>
      <c r="AS765" t="inlineStr">
        <is>
          <t>ENVIRON RES LETT</t>
        </is>
      </c>
      <c r="AT765" t="inlineStr">
        <is>
          <t>Environ. Res. Lett.</t>
        </is>
      </c>
      <c r="AU765" t="inlineStr">
        <is>
          <t>JUN</t>
        </is>
      </c>
      <c r="AV765" t="n">
        <v>2015</v>
      </c>
      <c r="AW765" t="n">
        <v>10</v>
      </c>
      <c r="AX765" t="n">
        <v>6</v>
      </c>
      <c r="BE765" t="n">
        <v>61001</v>
      </c>
      <c r="BF765" t="inlineStr">
        <is>
          <t>10.1088/1748-9326/10/6/061001</t>
        </is>
      </c>
      <c r="BG765">
        <f>HYPERLINK("http://dx.doi.org/10.1088/1748-9326/10/6/061001","http://dx.doi.org/10.1088/1748-9326/10/6/061001")</f>
        <v/>
      </c>
      <c r="BJ765" t="n">
        <v>5</v>
      </c>
      <c r="BK765" t="inlineStr">
        <is>
          <t>Environmental Sciences; Meteorology &amp; Atmospheric Sciences</t>
        </is>
      </c>
      <c r="BL765" t="inlineStr">
        <is>
          <t>Science Citation Index Expanded (SCI-EXPANDED)</t>
        </is>
      </c>
      <c r="BM765" t="inlineStr">
        <is>
          <t>Environmental Sciences &amp; Ecology; Meteorology &amp; Atmospheric Sciences</t>
        </is>
      </c>
      <c r="BN765" t="inlineStr">
        <is>
          <t>CL3FK</t>
        </is>
      </c>
      <c r="BP765" t="inlineStr">
        <is>
          <t>Green Published, gold</t>
        </is>
      </c>
      <c r="BS765" t="inlineStr">
        <is>
          <t>2023-10-26</t>
        </is>
      </c>
      <c r="BT765" t="inlineStr">
        <is>
          <t>WOS:000356835600002</t>
        </is>
      </c>
      <c r="BU765">
        <f>HYPERLINK("https%3A%2F%2Fwww.webofscience.com%2Fwos%2Fwoscc%2Ffull-record%2FWOS:000356835600002","View Full Record in Web of Science")</f>
        <v/>
      </c>
    </row>
    <row r="766">
      <c r="A766" t="inlineStr">
        <is>
          <t>J</t>
        </is>
      </c>
      <c r="B766" t="inlineStr">
        <is>
          <t>Leung, KM; Ou, KL; Chung, PK; Thogersen-Ntoumani, C</t>
        </is>
      </c>
      <c r="F766" t="inlineStr">
        <is>
          <t>Leung, Ka-Man; Ou, Kai-Ling; Chung, Pak-Kwong; Thogersen-Ntoumani, Cecilie</t>
        </is>
      </c>
      <c r="J766" t="inlineStr">
        <is>
          <t>INTERNATIONAL JOURNAL OF ENVIRONMENTAL RESEARCH AND PUBLIC HEALTH</t>
        </is>
      </c>
      <c r="M766" t="inlineStr">
        <is>
          <t>English</t>
        </is>
      </c>
      <c r="N766" t="inlineStr">
        <is>
          <t>Article</t>
        </is>
      </c>
      <c r="T766" t="inlineStr">
        <is>
          <t>Older Adults' Perceptions toward Walking: A Qualitative Study Using a Social-Ecological Model</t>
        </is>
      </c>
      <c r="U766" t="inlineStr">
        <is>
          <t>active aging; physical activity; Hong Kong; walking; thematic coding</t>
        </is>
      </c>
      <c r="V766" t="inlineStr">
        <is>
          <t>PHYSICAL-ACTIVITY INTERVENTIONS; ENVIRONMENTS; PERSPECTIVES; INTERVIEWS</t>
        </is>
      </c>
      <c r="W766" t="inlineStr">
        <is>
          <t>Objectives: In this study, we aimed to investigate older adults' perceptions of their walking experiences, using the social-ecological model as a guiding framework and to propose future walking intervention content. Methods: Thirty-eight participants (19 women; 47% from private elderly centers; mean age = 72.8 (SD = 7.4 years) took part in semi-structured interviews. Qualitative data analysis software QSR-NVivo was used for thematic coding. Results: Thematic deductive analysis revealed pertinent themes at the individual level (health benefits and barriers, fall risk, perseverance, and walking as a suitable activity for older adults), social environment level (social support and social interaction), physical environment level (density, land-use mix, and connectivity; perceived safety, pedestrian facilities (benches, quality of walking paths and sidewalks, and aesthetics), other pedestrian behaviors, and weather, and policy level (lack of walking programs in the community, and supportive culture for an active lifestyle). Discussion: Our findings provide insights for the planning of future multilevel walking intervention programs for older adults in Hong Kong. It is suggested that future walking intervention should include professionals (e.g., physiotherapist or coach) in a group setting, practical walking recommendations such as proper walking posture, and additional fun activities for older adults.</t>
        </is>
      </c>
      <c r="X766" t="inlineStr">
        <is>
          <t>[Leung, Ka-Man] Educ Univ Hong Kong, Dept Hlth &amp; Phys Educ, Hong Kong, Peoples R China; [Ou, Kai-Ling; Chung, Pak-Kwong] Hong Kong Baptist Univ, Dept Sport Phys Educ &amp; Hlth, Hong Kong, Peoples R China; [Thogersen-Ntoumani, Cecilie] Univ Southern Denmark, Dept Sports Sci &amp; Clin Biomech, DK-5000 Odense, Denmark</t>
        </is>
      </c>
      <c r="Y766" t="inlineStr">
        <is>
          <t>Education University of Hong Kong (EdUHK); Hong Kong Baptist University; University of Southern Denmark</t>
        </is>
      </c>
      <c r="Z766" t="inlineStr">
        <is>
          <t>Ou, KL (corresponding author), Hong Kong Baptist Univ, Dept Sport Phys Educ &amp; Hlth, Hong Kong, Peoples R China.</t>
        </is>
      </c>
      <c r="AA766" t="inlineStr">
        <is>
          <t>leungkaman@eduhk.hk; karenaou@hkbu.edu.hk; pkchung@hkbu.edu.hk; cthogersen@health.sdu.dk</t>
        </is>
      </c>
      <c r="AC766" t="inlineStr">
        <is>
          <t>Leung, Ka Man/0000-0003-1409-109X; Thogersen-Ntoumani, Cecilie/0000-0003-0255-1263; Chung, Pak-Kwong/0000-0003-1357-0689; Ou, Kai-ling/0000-0003-2853-5202</t>
        </is>
      </c>
      <c r="AD766" t="inlineStr">
        <is>
          <t>Faculty Research Grant, Hong Kong Baptist University [FRG2/17-18/009]</t>
        </is>
      </c>
      <c r="AE766" t="inlineStr">
        <is>
          <t>Faculty Research Grant, Hong Kong Baptist University</t>
        </is>
      </c>
      <c r="AF766" t="inlineStr">
        <is>
          <t>This research was funded by the Faculty Research Grant, Hong Kong Baptist University, under grant (FRG2/17-18/009). The funding body had no role in the design of the study or collection, analysis, or interpretation of data or in writing the manuscript.</t>
        </is>
      </c>
      <c r="AH766" t="n">
        <v>68</v>
      </c>
      <c r="AI766" t="n">
        <v>6</v>
      </c>
      <c r="AJ766" t="n">
        <v>6</v>
      </c>
      <c r="AK766" t="n">
        <v>20</v>
      </c>
      <c r="AL766" t="n">
        <v>52</v>
      </c>
      <c r="AM766" t="inlineStr">
        <is>
          <t>MDPI</t>
        </is>
      </c>
      <c r="AN766" t="inlineStr">
        <is>
          <t>BASEL</t>
        </is>
      </c>
      <c r="AO766" t="inlineStr">
        <is>
          <t>ST ALBAN-ANLAGE 66, CH-4052 BASEL, SWITZERLAND</t>
        </is>
      </c>
      <c r="AQ766" t="inlineStr">
        <is>
          <t>1660-4601</t>
        </is>
      </c>
      <c r="AS766" t="inlineStr">
        <is>
          <t>INT J ENV RES PUB HE</t>
        </is>
      </c>
      <c r="AT766" t="inlineStr">
        <is>
          <t>Int. J. Environ. Res. Public Health</t>
        </is>
      </c>
      <c r="AU766" t="inlineStr">
        <is>
          <t>JUL</t>
        </is>
      </c>
      <c r="AV766" t="n">
        <v>2021</v>
      </c>
      <c r="AW766" t="n">
        <v>18</v>
      </c>
      <c r="AX766" t="n">
        <v>14</v>
      </c>
      <c r="BE766" t="n">
        <v>7686</v>
      </c>
      <c r="BF766" t="inlineStr">
        <is>
          <t>10.3390/ijerph18147686</t>
        </is>
      </c>
      <c r="BG766">
        <f>HYPERLINK("http://dx.doi.org/10.3390/ijerph18147686","http://dx.doi.org/10.3390/ijerph18147686")</f>
        <v/>
      </c>
      <c r="BJ766" t="n">
        <v>19</v>
      </c>
      <c r="BK766" t="inlineStr">
        <is>
          <t>Environmental Sciences; Public, Environmental &amp; Occupational Health</t>
        </is>
      </c>
      <c r="BL766" t="inlineStr">
        <is>
          <t>Science Citation Index Expanded (SCI-EXPANDED); Social Science Citation Index (SSCI)</t>
        </is>
      </c>
      <c r="BM766" t="inlineStr">
        <is>
          <t>Environmental Sciences &amp; Ecology; Public, Environmental &amp; Occupational Health</t>
        </is>
      </c>
      <c r="BN766" t="inlineStr">
        <is>
          <t>TN7DO</t>
        </is>
      </c>
      <c r="BO766" t="n">
        <v>34300136</v>
      </c>
      <c r="BP766" t="inlineStr">
        <is>
          <t>gold, Green Published</t>
        </is>
      </c>
      <c r="BS766" t="inlineStr">
        <is>
          <t>2023-10-26</t>
        </is>
      </c>
      <c r="BT766" t="inlineStr">
        <is>
          <t>WOS:000676391400001</t>
        </is>
      </c>
      <c r="BU766">
        <f>HYPERLINK("https%3A%2F%2Fwww.webofscience.com%2Fwos%2Fwoscc%2Ffull-record%2FWOS:000676391400001","View Full Record in Web of Science")</f>
        <v/>
      </c>
    </row>
    <row r="767">
      <c r="A767" t="inlineStr">
        <is>
          <t>J</t>
        </is>
      </c>
      <c r="B767" t="inlineStr">
        <is>
          <t>Edvardsson, B; Bergdahl, J; Eriksson, N; Stenberg, B</t>
        </is>
      </c>
      <c r="F767" t="inlineStr">
        <is>
          <t>Edvardsson, B.; Bergdahl, J.; Eriksson, N.; Stenberg, B.</t>
        </is>
      </c>
      <c r="J767" t="inlineStr">
        <is>
          <t>ARCHIVES OF ENVIRONMENTAL &amp; OCCUPATIONAL HEALTH</t>
        </is>
      </c>
      <c r="M767" t="inlineStr">
        <is>
          <t>English</t>
        </is>
      </c>
      <c r="N767" t="inlineStr">
        <is>
          <t>Article</t>
        </is>
      </c>
      <c r="T767" t="inlineStr">
        <is>
          <t>Coping and Self-image in Patients With Symptoms Attributed to Indoor Environment</t>
        </is>
      </c>
      <c r="U767" t="inlineStr">
        <is>
          <t>personality trait; sick building syndrome; stress; work capability</t>
        </is>
      </c>
      <c r="V767" t="inlineStr">
        <is>
          <t>SICK-BUILDING-SYNDROME; PSYCHOSOCIAL FACTORS; STRUCTURAL-ANALYSIS; OFFICE-WORKERS; CASE-REFERENT; PERSONALITY; VENTILATION; PREVALENCE; ASSOCIATIONS; SBS</t>
        </is>
      </c>
      <c r="W767" t="inlineStr">
        <is>
          <t>This study investigated self-image and coping ability in a group of patients with symptoms from indoor environment. A follow-up questionnaire was sent to 239 patients previously referred with nonspecific building-related symptoms at University Hospital in Umea, Sweden. One hundred seventy-four women and 14 men answered and the patient group rated their self-image as more spontaneous, more positive, and less negative than a control group. The patient group rated higher on the cognitive scale in the Coping Resources Inventory (CRI) than the control group. The female patients had an increased risk of not being able to work associated with a low score on negative self-image. The authors conclude that certain personality traits may be potential risk factors that increase the probability of encountering and experiencing stressful work situations. The resulting stress may increase workers' susceptibility to indoor environment exposure.</t>
        </is>
      </c>
      <c r="X767" t="inlineStr">
        <is>
          <t>[Edvardsson, B.] Umea Univ, Dept Publ Hlth &amp; Clin Med, Div Family Med, S-90187 Umea, Sweden; [Bergdahl, J.] Umea Univ, Dept Psychol, S-90187 Umea, Sweden; [Bergdahl, J.] Univ Tromso, Inst Clin Dent, Tromso, Norway; [Bergdahl, J.] Competence Ctr Northern Norway TkNN, Publ Dent Serv, Tromso, Norway; [Eriksson, N.] Umea Univ, Dept Sociol, S-90187 Umea, Sweden; [Stenberg, B.] Umea Univ, Div Dermatol &amp; Venereol, S-90187 Umea, Sweden; [Stenberg, B.] Umea Univ, Dept Publ Hlth &amp; Clin Med, Div Epidemiol, S-90187 Umea, Sweden</t>
        </is>
      </c>
      <c r="Y767" t="inlineStr">
        <is>
          <t>Umea University; Umea University; UiT The Arctic University of Tromso; Umea University; Umea University; Umea University</t>
        </is>
      </c>
      <c r="Z767" t="inlineStr">
        <is>
          <t>Edvardsson, B (corresponding author), Umea Univ, Dept Publ Hlth &amp; Clin Med, Div Family Med, Enheten Epidemiol &amp; Global Halsa, S-90187 Umea, Sweden.</t>
        </is>
      </c>
      <c r="AA767" t="inlineStr">
        <is>
          <t>Berit.Edvardsson@epiph.umu.se</t>
        </is>
      </c>
      <c r="AB767" t="inlineStr">
        <is>
          <t>Stenberg, Berndt/AAF-4150-2019</t>
        </is>
      </c>
      <c r="AH767" t="n">
        <v>36</v>
      </c>
      <c r="AI767" t="n">
        <v>8</v>
      </c>
      <c r="AJ767" t="n">
        <v>8</v>
      </c>
      <c r="AK767" t="n">
        <v>0</v>
      </c>
      <c r="AL767" t="n">
        <v>13</v>
      </c>
      <c r="AM767" t="inlineStr">
        <is>
          <t>ROUTLEDGE JOURNALS, TAYLOR &amp; FRANCIS LTD</t>
        </is>
      </c>
      <c r="AN767" t="inlineStr">
        <is>
          <t>ABINGDON</t>
        </is>
      </c>
      <c r="AO767" t="inlineStr">
        <is>
          <t>2-4 PARK SQUARE, MILTON PARK, ABINGDON OX14 4RN, OXON, ENGLAND</t>
        </is>
      </c>
      <c r="AP767" t="inlineStr">
        <is>
          <t>1933-8244</t>
        </is>
      </c>
      <c r="AQ767" t="inlineStr">
        <is>
          <t>2154-4700</t>
        </is>
      </c>
      <c r="AS767" t="inlineStr">
        <is>
          <t>ARCH ENVIRON OCCUP H</t>
        </is>
      </c>
      <c r="AT767" t="inlineStr">
        <is>
          <t>Arch. Environ. Occup. Health</t>
        </is>
      </c>
      <c r="AU767" t="inlineStr">
        <is>
          <t>AUG 1</t>
        </is>
      </c>
      <c r="AV767" t="n">
        <v>2013</v>
      </c>
      <c r="AW767" t="n">
        <v>68</v>
      </c>
      <c r="AX767" t="n">
        <v>3</v>
      </c>
      <c r="BC767" t="n">
        <v>145</v>
      </c>
      <c r="BD767" t="n">
        <v>152</v>
      </c>
      <c r="BF767" t="inlineStr">
        <is>
          <t>10.1080/19338244.2012.676102</t>
        </is>
      </c>
      <c r="BG767">
        <f>HYPERLINK("http://dx.doi.org/10.1080/19338244.2012.676102","http://dx.doi.org/10.1080/19338244.2012.676102")</f>
        <v/>
      </c>
      <c r="BJ767" t="n">
        <v>8</v>
      </c>
      <c r="BK767" t="inlineStr">
        <is>
          <t>Environmental Sciences; Public, Environmental &amp; Occupational Health</t>
        </is>
      </c>
      <c r="BL767" t="inlineStr">
        <is>
          <t>Science Citation Index Expanded (SCI-EXPANDED); Social Science Citation Index (SSCI)</t>
        </is>
      </c>
      <c r="BM767" t="inlineStr">
        <is>
          <t>Environmental Sciences &amp; Ecology; Public, Environmental &amp; Occupational Health</t>
        </is>
      </c>
      <c r="BN767" t="inlineStr">
        <is>
          <t>122EP</t>
        </is>
      </c>
      <c r="BO767" t="n">
        <v>23566321</v>
      </c>
      <c r="BS767" t="inlineStr">
        <is>
          <t>2023-10-26</t>
        </is>
      </c>
      <c r="BT767" t="inlineStr">
        <is>
          <t>WOS:000317300600003</t>
        </is>
      </c>
      <c r="BU767">
        <f>HYPERLINK("https%3A%2F%2Fwww.webofscience.com%2Fwos%2Fwoscc%2Ffull-record%2FWOS:000317300600003","View Full Record in Web of Science")</f>
        <v/>
      </c>
    </row>
    <row r="768">
      <c r="A768" t="inlineStr">
        <is>
          <t>J</t>
        </is>
      </c>
      <c r="B768" t="inlineStr">
        <is>
          <t>Toosi, HA; Lavagna, M; Leonforte, F; Del Pero, C; Aste, N</t>
        </is>
      </c>
      <c r="F768" t="inlineStr">
        <is>
          <t>Amini Toosi, Hashem; Lavagna, Monica; Leonforte, Fabrizio; Del Pero, Claudio; Aste, Niccolo</t>
        </is>
      </c>
      <c r="J768" t="inlineStr">
        <is>
          <t>SUSTAINABILITY</t>
        </is>
      </c>
      <c r="M768" t="inlineStr">
        <is>
          <t>English</t>
        </is>
      </c>
      <c r="N768" t="inlineStr">
        <is>
          <t>Review</t>
        </is>
      </c>
      <c r="T768" t="inlineStr">
        <is>
          <t>Towards Sustainability Assessment of the Built Environment: A Classification of the Existing Challenges</t>
        </is>
      </c>
      <c r="U768" t="inlineStr">
        <is>
          <t>sustainability assessment; built environment; challenges; methods; policy making</t>
        </is>
      </c>
      <c r="V768" t="inlineStr">
        <is>
          <t>LIFE-CYCLE ASSESSMENT; DEVELOPMENT GOALS; FRAMEWORK; SCIENCE; NEIGHBORHOOD; CONSUMPTION; INNOVATION; KNOWLEDGE; NEED; LCA</t>
        </is>
      </c>
      <c r="W768" t="inlineStr">
        <is>
          <t>The application of sustainability assessment in a decision context is associated with various challenges that explain why the transition to action-oriented knowledge still needs to be fulfilled. Therefore, this paper aims to explore the associated challenges in sustainability assessment in the decision context of the built environment. Several publications are reviewed to provide a systemic understanding of the associated complexities. The challenges in sustainability assessment in the built environment are categorized at different levels, from understanding to measurement and implementation. The challenges are further categorized into definition, context, interpretation, data, measurement methods, uncertainties, indicators and indices, results, coordination, conflicts, and action-oriented knowledge. Moreover, according to the nature of each challenge, they are classified into epistemological, methodological, and procedural challenges. The novelty of this review is that it reviews and reports almost all fragmentedly reported challenges in sustainability assessment of the built environment in the literature within a holistic framework that provides a clear understanding of the state of the art and second discusses them within an integrated framework (the Sustainability Assessment Network) including the position of active-role players to resolve them, including strategists, scientist, and stakeholders.</t>
        </is>
      </c>
      <c r="X768" t="inlineStr">
        <is>
          <t>[Amini Toosi, Hashem; Lavagna, Monica; Leonforte, Fabrizio; Del Pero, Claudio; Aste, Niccolo] Politecn Milan, Architecture Built Environm &amp; Construct Engn Dept, Via Ponzio 31, I-20133 Milan, Italy</t>
        </is>
      </c>
      <c r="Y768" t="inlineStr">
        <is>
          <t>Polytechnic University of Milan</t>
        </is>
      </c>
      <c r="Z768" t="inlineStr">
        <is>
          <t>Toosi, HA (corresponding author), Politecn Milan, Architecture Built Environm &amp; Construct Engn Dept, Via Ponzio 31, I-20133 Milan, Italy.</t>
        </is>
      </c>
      <c r="AA768" t="inlineStr">
        <is>
          <t>hashem.amini@polimi.it</t>
        </is>
      </c>
      <c r="AC768" t="inlineStr">
        <is>
          <t>Leonforte, Fabrizio/0000-0001-9996-8596; Del Pero, Claudio/0000-0003-4205-2805</t>
        </is>
      </c>
      <c r="AH768" t="n">
        <v>81</v>
      </c>
      <c r="AI768" t="n">
        <v>1</v>
      </c>
      <c r="AJ768" t="n">
        <v>1</v>
      </c>
      <c r="AK768" t="n">
        <v>3</v>
      </c>
      <c r="AL768" t="n">
        <v>3</v>
      </c>
      <c r="AM768" t="inlineStr">
        <is>
          <t>MDPI</t>
        </is>
      </c>
      <c r="AN768" t="inlineStr">
        <is>
          <t>BASEL</t>
        </is>
      </c>
      <c r="AO768" t="inlineStr">
        <is>
          <t>ST ALBAN-ANLAGE 66, CH-4052 BASEL, SWITZERLAND</t>
        </is>
      </c>
      <c r="AQ768" t="inlineStr">
        <is>
          <t>2071-1050</t>
        </is>
      </c>
      <c r="AS768" t="inlineStr">
        <is>
          <t>SUSTAINABILITY-BASEL</t>
        </is>
      </c>
      <c r="AT768" t="inlineStr">
        <is>
          <t>Sustainability</t>
        </is>
      </c>
      <c r="AU768" t="inlineStr">
        <is>
          <t>AUG</t>
        </is>
      </c>
      <c r="AV768" t="n">
        <v>2023</v>
      </c>
      <c r="AW768" t="n">
        <v>15</v>
      </c>
      <c r="AX768" t="n">
        <v>15</v>
      </c>
      <c r="BE768" t="n">
        <v>12055</v>
      </c>
      <c r="BF768" t="inlineStr">
        <is>
          <t>10.3390/su151512055</t>
        </is>
      </c>
      <c r="BG768">
        <f>HYPERLINK("http://dx.doi.org/10.3390/su151512055","http://dx.doi.org/10.3390/su151512055")</f>
        <v/>
      </c>
      <c r="BJ768" t="n">
        <v>16</v>
      </c>
      <c r="BK768" t="inlineStr">
        <is>
          <t>Green &amp; Sustainable Science &amp; Technology; Environmental Sciences; Environmental Studies</t>
        </is>
      </c>
      <c r="BL768" t="inlineStr">
        <is>
          <t>Science Citation Index Expanded (SCI-EXPANDED); Social Science Citation Index (SSCI)</t>
        </is>
      </c>
      <c r="BM768" t="inlineStr">
        <is>
          <t>Science &amp; Technology - Other Topics; Environmental Sciences &amp; Ecology</t>
        </is>
      </c>
      <c r="BN768" t="inlineStr">
        <is>
          <t>O7SM6</t>
        </is>
      </c>
      <c r="BP768" t="inlineStr">
        <is>
          <t>gold</t>
        </is>
      </c>
      <c r="BS768" t="inlineStr">
        <is>
          <t>2023-10-26</t>
        </is>
      </c>
      <c r="BT768" t="inlineStr">
        <is>
          <t>WOS:001045765300001</t>
        </is>
      </c>
      <c r="BU768">
        <f>HYPERLINK("https%3A%2F%2Fwww.webofscience.com%2Fwos%2Fwoscc%2Ffull-record%2FWOS:001045765300001","View Full Record in Web of Science")</f>
        <v/>
      </c>
    </row>
    <row r="769">
      <c r="A769" t="inlineStr">
        <is>
          <t>J</t>
        </is>
      </c>
      <c r="B769" t="inlineStr">
        <is>
          <t>Pakravan, S; Keynoush, S; Daneshyar, E</t>
        </is>
      </c>
      <c r="F769" t="inlineStr">
        <is>
          <t>Pakravan, Sarvenaz; Keynoush, Shahin; Daneshyar, Ehsan</t>
        </is>
      </c>
      <c r="J769" t="inlineStr">
        <is>
          <t>SUSTAINABILITY</t>
        </is>
      </c>
      <c r="M769" t="inlineStr">
        <is>
          <t>English</t>
        </is>
      </c>
      <c r="N769" t="inlineStr">
        <is>
          <t>Article</t>
        </is>
      </c>
      <c r="T769" t="inlineStr">
        <is>
          <t>Proposing a Pedagogical Framework for Integrating Urban Agriculture as a Tool to Achieve Social Sustainability within the Interior Design Studio</t>
        </is>
      </c>
      <c r="U769" t="inlineStr">
        <is>
          <t>residential urban agriculture; social sustainability; interior architecture; design studio pedagogy</t>
        </is>
      </c>
      <c r="V769" t="inlineStr">
        <is>
          <t>FOOD-PRODUCTION; ARCHITECTURE; ENVIRONMENT; FUTURE; EXPLORATIONS; POPULATION; KNOWLEDGE; COUNTRIES; SECURITY; GARDENS</t>
        </is>
      </c>
      <c r="W769" t="inlineStr">
        <is>
          <t>Evidently, the global population is increasing. A decline in the stock of agricultural land per capita is becoming a global issue. The future agriculture output may need to grow in order to satisfy the future growing demands. Feeding the global population of 9.1 billion by the year 2050 requires growth in global agriculture output by approximately 60% to 110%. Urban agriculture as an alternative solution can reduce the future burden on agriculture sector. As a response to this issue, the interior architecture design studio-V (INT 401) proposes a futuristic vision which is based on the notion of urban agriculture. This vision requires a pedagogical framework to be defined for the interior design studio-V. The proposed pedagogy consists of the following three notions: (1) residential urban agriculture, (2) context-based and culture-based design approach, and (3) social sustainability. The proposed pedagogy follows a futuristic vision that advocates that future interior spaces and adjacent spaces should be capable of cultivating food. The proposed pedagogy tries to integrate the concept of residential urban agriculture within its core. The context-based and culture-based design approach highlights the importance of considering the local context during the design process. The interior design studio pedagogy should be valued, studied, and reflected in local traditions, practices, and values. The proposed pedagogy is based on the threefold schema of social sustainability that comprises development sustainability, bridge sustainability, and maintenance sustainability. The proposed design studio pedagogy highlights the following three points: (1) defining a vision for the interior design studio; (2) the interior design studio should be responsive to the contemporary and future social, environmental, and economic issues; and (3) the importance of considering the local context and reflecting it within the interior design studio pedagogy.</t>
        </is>
      </c>
      <c r="X769" t="inlineStr">
        <is>
          <t>[Pakravan, Sarvenaz] Girne Amer Univ, Fac Architecture Design &amp; Fine Arts, Dept Interior Design, Mersin 10, TR-9935 Girne, Turkey; [Keynoush, Shahin] Girne Amer Univ, Fac Architecture Design &amp; Fine Arts, Dept Architecture, Mersin 10, TR-9935 Girne, Turkey; [Daneshyar, Ehsan] Arkin Univ Creat Arts &amp; Design, Fac Design, Mersin 10, TR-9935 Girne, Turkey</t>
        </is>
      </c>
      <c r="Y769" t="inlineStr">
        <is>
          <t>Girne American University; Girne American University</t>
        </is>
      </c>
      <c r="Z769" t="inlineStr">
        <is>
          <t>Daneshyar, E (corresponding author), Arkin Univ Creat Arts &amp; Design, Fac Design, Mersin 10, TR-9935 Girne, Turkey.</t>
        </is>
      </c>
      <c r="AA769" t="inlineStr">
        <is>
          <t>sarvenazpakravan@gau.edu.tr; shahinkeynoush@gau.edu.tr; ehsan.daneshyar@mail.mcgill.ca</t>
        </is>
      </c>
      <c r="AC769" t="inlineStr">
        <is>
          <t>Daneshyar, Ehsan/0000-0003-1733-4026</t>
        </is>
      </c>
      <c r="AH769" t="n">
        <v>136</v>
      </c>
      <c r="AI769" t="n">
        <v>0</v>
      </c>
      <c r="AJ769" t="n">
        <v>0</v>
      </c>
      <c r="AK769" t="n">
        <v>5</v>
      </c>
      <c r="AL769" t="n">
        <v>11</v>
      </c>
      <c r="AM769" t="inlineStr">
        <is>
          <t>MDPI</t>
        </is>
      </c>
      <c r="AN769" t="inlineStr">
        <is>
          <t>BASEL</t>
        </is>
      </c>
      <c r="AO769" t="inlineStr">
        <is>
          <t>ST ALBAN-ANLAGE 66, CH-4052 BASEL, SWITZERLAND</t>
        </is>
      </c>
      <c r="AQ769" t="inlineStr">
        <is>
          <t>2071-1050</t>
        </is>
      </c>
      <c r="AS769" t="inlineStr">
        <is>
          <t>SUSTAINABILITY-BASEL</t>
        </is>
      </c>
      <c r="AT769" t="inlineStr">
        <is>
          <t>Sustainability</t>
        </is>
      </c>
      <c r="AU769" t="inlineStr">
        <is>
          <t>JUN</t>
        </is>
      </c>
      <c r="AV769" t="n">
        <v>2022</v>
      </c>
      <c r="AW769" t="n">
        <v>14</v>
      </c>
      <c r="AX769" t="n">
        <v>12</v>
      </c>
      <c r="BE769" t="n">
        <v>7392</v>
      </c>
      <c r="BF769" t="inlineStr">
        <is>
          <t>10.3390/su14127392</t>
        </is>
      </c>
      <c r="BG769">
        <f>HYPERLINK("http://dx.doi.org/10.3390/su14127392","http://dx.doi.org/10.3390/su14127392")</f>
        <v/>
      </c>
      <c r="BJ769" t="n">
        <v>32</v>
      </c>
      <c r="BK769" t="inlineStr">
        <is>
          <t>Green &amp; Sustainable Science &amp; Technology; Environmental Sciences; Environmental Studies</t>
        </is>
      </c>
      <c r="BL769" t="inlineStr">
        <is>
          <t>Science Citation Index Expanded (SCI-EXPANDED); Social Science Citation Index (SSCI)</t>
        </is>
      </c>
      <c r="BM769" t="inlineStr">
        <is>
          <t>Science &amp; Technology - Other Topics; Environmental Sciences &amp; Ecology</t>
        </is>
      </c>
      <c r="BN769" t="inlineStr">
        <is>
          <t>2L1LG</t>
        </is>
      </c>
      <c r="BP769" t="inlineStr">
        <is>
          <t>gold</t>
        </is>
      </c>
      <c r="BS769" t="inlineStr">
        <is>
          <t>2023-10-26</t>
        </is>
      </c>
      <c r="BT769" t="inlineStr">
        <is>
          <t>WOS:000816783100001</t>
        </is>
      </c>
      <c r="BU769">
        <f>HYPERLINK("https%3A%2F%2Fwww.webofscience.com%2Fwos%2Fwoscc%2Ffull-record%2FWOS:000816783100001","View Full Record in Web of Science")</f>
        <v/>
      </c>
    </row>
    <row r="770">
      <c r="A770" t="inlineStr">
        <is>
          <t>J</t>
        </is>
      </c>
      <c r="B770" t="inlineStr">
        <is>
          <t>Ahmed, I; van Esch, M; Van der Hoeven, F</t>
        </is>
      </c>
      <c r="F770" t="inlineStr">
        <is>
          <t>Ahmed, Istiaque; van Esch, Marjolein; Van der Hoeven, Frank</t>
        </is>
      </c>
      <c r="J770" t="inlineStr">
        <is>
          <t>URBAN CLIMATE</t>
        </is>
      </c>
      <c r="M770" t="inlineStr">
        <is>
          <t>English</t>
        </is>
      </c>
      <c r="N770" t="inlineStr">
        <is>
          <t>Article</t>
        </is>
      </c>
      <c r="T770" t="inlineStr">
        <is>
          <t>Heatwave vulnerability across different spatial scales: Insights from the Dutch built environment</t>
        </is>
      </c>
      <c r="U770" t="inlineStr">
        <is>
          <t>Heatwave hazard; Vulnerability; Built environment; The Netherlands</t>
        </is>
      </c>
      <c r="V770" t="inlineStr">
        <is>
          <t>URBAN HEAT; CLIMATE ADAPTATION; THERMAL COMFORT; ISLAND; HEALTH; TEMPERATURE; GREEN; ROTTERDAM; IMPACT; RISK</t>
        </is>
      </c>
      <c r="W770" t="inlineStr">
        <is>
          <t>Heatwaves in urbanized areas, even in temperate regions like the Netherlands, are getting serious attention. The Royal Netherlands Meteorological Institute predicts more frequent and intense heat events in the future. Studies have explored how Dutch cities contribute to heatwaves and suggested design and planning responses to mitigate their effects. However, a review of heatwave research in the Netherlands specifically focusing on the built environment has hardly been reported in the literature. This study aims to provide such a review utilizing the vulnerability framework. Following the PRISMA protocol, 57 articles are analysed based on the components of exposure, sensitivity, and adaptive capacity within the vulnerability framework. Subsequently, findings have been classified into five built environment scales - block, neighbourhood, district, city, and region - to critically reflect upon the extent to which the studies address various vulnerability components and the specific scales they primarily focus on. Results demonstrate that most of the studies concentrate on the hazard itself and its spatial distribution from a macro perspective on a city and regional scale. The review underlines the necessity of micro-level research on the phenomena, incorporating people's everyday experiences and resilience during heat events to find context-specific adaptation and mitigation strategies.</t>
        </is>
      </c>
      <c r="X770" t="inlineStr">
        <is>
          <t>[Ahmed, Istiaque; van Esch, Marjolein; Van der Hoeven, Frank] Delft Univ Technol, Delft, Netherlands; [Ahmed, Istiaque] Delft Univ Technol TU Delft, Fac Architecture &amp; Built Environm, Dept Urbanism, Delft, Netherlands</t>
        </is>
      </c>
      <c r="Y770" t="inlineStr">
        <is>
          <t>Delft University of Technology</t>
        </is>
      </c>
      <c r="Z770" t="inlineStr">
        <is>
          <t>Ahmed, I (corresponding author), Delft Univ Technol TU Delft, Fac Architecture &amp; Built Environm, Dept Urbanism, Delft, Netherlands.</t>
        </is>
      </c>
      <c r="AA770" t="inlineStr">
        <is>
          <t>A.Ahmed-1@tudelft.nl</t>
        </is>
      </c>
      <c r="AB770" t="inlineStr">
        <is>
          <t>Ahmed, Istiaque/JDV-4833-2023</t>
        </is>
      </c>
      <c r="AC770" t="inlineStr">
        <is>
          <t>Ahmed, Istiaque/0000-0003-0928-6351; van der Hoeven, Frank/0000-0001-9308-0828</t>
        </is>
      </c>
      <c r="AH770" t="n">
        <v>105</v>
      </c>
      <c r="AI770" t="n">
        <v>0</v>
      </c>
      <c r="AJ770" t="n">
        <v>0</v>
      </c>
      <c r="AK770" t="n">
        <v>3</v>
      </c>
      <c r="AL770" t="n">
        <v>3</v>
      </c>
      <c r="AM770" t="inlineStr">
        <is>
          <t>ELSEVIER</t>
        </is>
      </c>
      <c r="AN770" t="inlineStr">
        <is>
          <t>AMSTERDAM</t>
        </is>
      </c>
      <c r="AO770" t="inlineStr">
        <is>
          <t>RADARWEG 29, 1043 NX AMSTERDAM, NETHERLANDS</t>
        </is>
      </c>
      <c r="AP770" t="inlineStr">
        <is>
          <t>2212-0955</t>
        </is>
      </c>
      <c r="AS770" t="inlineStr">
        <is>
          <t>URBAN CLIM</t>
        </is>
      </c>
      <c r="AT770" t="inlineStr">
        <is>
          <t>Urban CLim.</t>
        </is>
      </c>
      <c r="AU770" t="inlineStr">
        <is>
          <t>SEP</t>
        </is>
      </c>
      <c r="AV770" t="n">
        <v>2023</v>
      </c>
      <c r="AW770" t="n">
        <v>51</v>
      </c>
      <c r="BE770" t="n">
        <v>101614</v>
      </c>
      <c r="BF770" t="inlineStr">
        <is>
          <t>10.1016/j.uclim.2023.101614</t>
        </is>
      </c>
      <c r="BG770">
        <f>HYPERLINK("http://dx.doi.org/10.1016/j.uclim.2023.101614","http://dx.doi.org/10.1016/j.uclim.2023.101614")</f>
        <v/>
      </c>
      <c r="BJ770" t="n">
        <v>15</v>
      </c>
      <c r="BK770" t="inlineStr">
        <is>
          <t>Environmental Sciences; Meteorology &amp; Atmospheric Sciences</t>
        </is>
      </c>
      <c r="BL770" t="inlineStr">
        <is>
          <t>Science Citation Index Expanded (SCI-EXPANDED)</t>
        </is>
      </c>
      <c r="BM770" t="inlineStr">
        <is>
          <t>Environmental Sciences &amp; Ecology; Meteorology &amp; Atmospheric Sciences</t>
        </is>
      </c>
      <c r="BN770" t="inlineStr">
        <is>
          <t>Q7TB6</t>
        </is>
      </c>
      <c r="BP770" t="inlineStr">
        <is>
          <t>hybrid</t>
        </is>
      </c>
      <c r="BS770" t="inlineStr">
        <is>
          <t>2023-10-26</t>
        </is>
      </c>
      <c r="BT770" t="inlineStr">
        <is>
          <t>WOS:001059500700001</t>
        </is>
      </c>
      <c r="BU770">
        <f>HYPERLINK("https%3A%2F%2Fwww.webofscience.com%2Fwos%2Fwoscc%2Ffull-record%2FWOS:001059500700001","View Full Record in Web of Science")</f>
        <v/>
      </c>
    </row>
    <row r="771">
      <c r="A771" t="inlineStr">
        <is>
          <t>J</t>
        </is>
      </c>
      <c r="B771" t="inlineStr">
        <is>
          <t>Shin, SH; Jo, WK</t>
        </is>
      </c>
      <c r="F771" t="inlineStr">
        <is>
          <t>Shin, Seung-Ho; Jo, Wan-Kuen</t>
        </is>
      </c>
      <c r="J771" t="inlineStr">
        <is>
          <t>ENVIRONMENTAL SCIENCE AND POLLUTION RESEARCH</t>
        </is>
      </c>
      <c r="M771" t="inlineStr">
        <is>
          <t>English</t>
        </is>
      </c>
      <c r="N771" t="inlineStr">
        <is>
          <t>Article</t>
        </is>
      </c>
      <c r="T771" t="inlineStr">
        <is>
          <t>Longitudinal variations in indoor VOC concentrations after moving into new apartments and indoor source characterization</t>
        </is>
      </c>
      <c r="U771" t="inlineStr">
        <is>
          <t>Long-term dependence; Currently built apartment; Building material; Household product; Indoor source</t>
        </is>
      </c>
      <c r="V771" t="inlineStr">
        <is>
          <t>VOLATILE ORGANIC-COMPOUNDS; POLYCYCLIC AROMATIC-HYDROCARBONS; EMISSION RATES; RESIDENTIAL BUILDINGS; REFERENCE VALUES; AIR; EXPOSURE; PRODUCTS; AREA; SITE</t>
        </is>
      </c>
      <c r="W771" t="inlineStr">
        <is>
          <t>This study examined the indoor concentrations of a wide range of volatile organic compounds (VOCs) in currently built new apartments every month over a 24-month period and the source characteristics of indoor VOCs. The indoor total VOC (TVOC) concentrations exhibited a decreasing tendency over the 24-month follow-up period. Similar to TVOCs, the median indoor concentrations of 33 of 40 individual VOCs (all except for naphthalene and six halogenated VOCs) revealed decreasing tendencies. In contrast, the indoor concentrations of the six halogenated VOCs did not reveal any definite trend with time. Moreover, the indoor concentrations of those halogenated VOCs were similar to the outdoor concentrations, suggesting the absence of any notable indoor sources of halogenated VOCs. For naphthalene (NT), the indoor concentrations were significantly higher than the outdoor concentrations, suggesting the presence of indoor NT source(s). The floor/wall coverings (39 %) were the most influential indoor source of indoor VOCs, followed by household cleaning products (32 %), wood paneling/furniture (17 %), paints (7 %), and moth repellents (5 %).</t>
        </is>
      </c>
      <c r="X771" t="inlineStr">
        <is>
          <t>[Shin, Seung-Ho; Jo, Wan-Kuen] Kyungpook Natl Univ, Dept Environm Engn, Taegu 702701, South Korea</t>
        </is>
      </c>
      <c r="Y771" t="inlineStr">
        <is>
          <t>Kyungpook National University</t>
        </is>
      </c>
      <c r="Z771" t="inlineStr">
        <is>
          <t>Jo, WK (corresponding author), Kyungpook Natl Univ, Dept Environm Engn, Taegu 702701, South Korea.</t>
        </is>
      </c>
      <c r="AA771" t="inlineStr">
        <is>
          <t>wkjo@knu.ac.kr</t>
        </is>
      </c>
      <c r="AB771" t="inlineStr">
        <is>
          <t>Jo, Wan/AAO-5329-2020; Jo, Wank-Kuen/AAO-5323-2020</t>
        </is>
      </c>
      <c r="AC771" t="inlineStr">
        <is>
          <t>Jo, Wan/0000-0003-3255-5740; Jo, Wank-Kuen/0000-0003-3255-5740; Shin, Seung-ho/0000-0002-9692-0316</t>
        </is>
      </c>
      <c r="AD771" t="inlineStr">
        <is>
          <t>National Research Foundation of Korea (NRF); Korean government (MEST) [2011-0027916]</t>
        </is>
      </c>
      <c r="AE771" t="inlineStr">
        <is>
          <t>National Research Foundation of Korea (NRF)(National Research Foundation of Korea); Korean government (MEST)(Ministry of Education, Science &amp; Technology (MEST), Republic of KoreaKorean Government)</t>
        </is>
      </c>
      <c r="AF771" t="inlineStr">
        <is>
          <t>This work was supported by the National Research Foundation of Korea (NRF) grant funded by the Korean government (MEST) (2011-0027916).</t>
        </is>
      </c>
      <c r="AH771" t="n">
        <v>46</v>
      </c>
      <c r="AI771" t="n">
        <v>50</v>
      </c>
      <c r="AJ771" t="n">
        <v>51</v>
      </c>
      <c r="AK771" t="n">
        <v>5</v>
      </c>
      <c r="AL771" t="n">
        <v>108</v>
      </c>
      <c r="AM771" t="inlineStr">
        <is>
          <t>SPRINGER HEIDELBERG</t>
        </is>
      </c>
      <c r="AN771" t="inlineStr">
        <is>
          <t>HEIDELBERG</t>
        </is>
      </c>
      <c r="AO771" t="inlineStr">
        <is>
          <t>TIERGARTENSTRASSE 17, D-69121 HEIDELBERG, GERMANY</t>
        </is>
      </c>
      <c r="AP771" t="inlineStr">
        <is>
          <t>0944-1344</t>
        </is>
      </c>
      <c r="AQ771" t="inlineStr">
        <is>
          <t>1614-7499</t>
        </is>
      </c>
      <c r="AS771" t="inlineStr">
        <is>
          <t>ENVIRON SCI POLLUT R</t>
        </is>
      </c>
      <c r="AT771" t="inlineStr">
        <is>
          <t>Environ. Sci. Pollut. Res.</t>
        </is>
      </c>
      <c r="AU771" t="inlineStr">
        <is>
          <t>JUN</t>
        </is>
      </c>
      <c r="AV771" t="n">
        <v>2013</v>
      </c>
      <c r="AW771" t="n">
        <v>20</v>
      </c>
      <c r="AX771" t="n">
        <v>6</v>
      </c>
      <c r="BC771" t="n">
        <v>3696</v>
      </c>
      <c r="BD771" t="n">
        <v>3707</v>
      </c>
      <c r="BF771" t="inlineStr">
        <is>
          <t>10.1007/s11356-012-1296-z</t>
        </is>
      </c>
      <c r="BG771">
        <f>HYPERLINK("http://dx.doi.org/10.1007/s11356-012-1296-z","http://dx.doi.org/10.1007/s11356-012-1296-z")</f>
        <v/>
      </c>
      <c r="BJ771" t="n">
        <v>12</v>
      </c>
      <c r="BK771" t="inlineStr">
        <is>
          <t>Environmental Sciences</t>
        </is>
      </c>
      <c r="BL771" t="inlineStr">
        <is>
          <t>Science Citation Index Expanded (SCI-EXPANDED)</t>
        </is>
      </c>
      <c r="BM771" t="inlineStr">
        <is>
          <t>Environmental Sciences &amp; Ecology</t>
        </is>
      </c>
      <c r="BN771" t="inlineStr">
        <is>
          <t>142EL</t>
        </is>
      </c>
      <c r="BO771" t="n">
        <v>23143824</v>
      </c>
      <c r="BS771" t="inlineStr">
        <is>
          <t>2023-10-26</t>
        </is>
      </c>
      <c r="BT771" t="inlineStr">
        <is>
          <t>WOS:000318779200019</t>
        </is>
      </c>
      <c r="BU771">
        <f>HYPERLINK("https%3A%2F%2Fwww.webofscience.com%2Fwos%2Fwoscc%2Ffull-record%2FWOS:000318779200019","View Full Record in Web of Science")</f>
        <v/>
      </c>
    </row>
    <row r="772">
      <c r="A772" t="inlineStr">
        <is>
          <t>J</t>
        </is>
      </c>
      <c r="B772" t="inlineStr">
        <is>
          <t>Wang, MF</t>
        </is>
      </c>
      <c r="F772" t="inlineStr">
        <is>
          <t>Wang, Mingfei</t>
        </is>
      </c>
      <c r="J772" t="inlineStr">
        <is>
          <t>FRESENIUS ENVIRONMENTAL BULLETIN</t>
        </is>
      </c>
      <c r="M772" t="inlineStr">
        <is>
          <t>English</t>
        </is>
      </c>
      <c r="N772" t="inlineStr">
        <is>
          <t>Article</t>
        </is>
      </c>
      <c r="T772" t="inlineStr">
        <is>
          <t>CAR INTERIOR DESIGN AND MATERIAL POLLUTION IMPACT ANALYSIS ON THE CAR'S INTERIOR ENVIRONMENT</t>
        </is>
      </c>
      <c r="U772" t="inlineStr">
        <is>
          <t>Material pollution; air environment; car interior design; air pollution inside the car</t>
        </is>
      </c>
      <c r="W772" t="inlineStr">
        <is>
          <t>With the familyization of automobiles, the social problems caused by automobile pollution have become more and more serious. In addition to exhaust gas pollution affecting people's daily life, the problem of in-vehicle pollution has also become more and more serious affecting people's health. Inevitably, a lot of materials, including leather, plastic products, are used in the interior design of automobiles. Among the many factors that affect the air quality in the car, car interior materials are an important source of pollution for the air quality in the car. Environmental pollution caused by vehicle interior design materials should be emphasized. In this paper, acetylacetone spectrophotometry and gas chromatography are used to determine the pollutants in the air in the car, and the influence of the car made time, ventilation mode, temperature, driving state, vehicle type, and humidity on the air quality in the car is analyzed. Studies have shown that the main air pollutants in cars are formaldehyde, benzene, toluene, and xylene. With the prolongation of the made time of cars, the concentration of air pollutants in cars decays. The concentration of pollutants in the car under the airtight window will stabilize after about 25 to 30 days. Opening windows for natural ventilation can rapidly reduce the concentration of pollutants in the car, and the highest concentration of pollutants reaches when the internal circulation of the air conditioner is turned on. When the temperature inside the car rises by 10 degrees C, the concentration of pollutants in the car increases by approximately 1-2 times. Compared with the static state, the concentration of air pollutants in the car decreases when the car is running. With the increase of humidity, the concentration of formaldehyde in the car increases, and the concentration of benzene series decreases. The research results of this article provide an important reference for the protection of air pollution in the car.</t>
        </is>
      </c>
      <c r="X772" t="inlineStr">
        <is>
          <t>[Wang, Mingfei] Sejong Univ, Grad Sch, Seoul 05006, South Korea</t>
        </is>
      </c>
      <c r="Y772" t="inlineStr">
        <is>
          <t>Sejong University</t>
        </is>
      </c>
      <c r="Z772" t="inlineStr">
        <is>
          <t>Wang, MF (corresponding author), Sejong Univ, Grad Sch, Seoul 05006, South Korea.</t>
        </is>
      </c>
      <c r="AA772" t="inlineStr">
        <is>
          <t>13298891566@163.com</t>
        </is>
      </c>
      <c r="AB772" t="inlineStr">
        <is>
          <t>wang, mignfei/HKN-2923-2023</t>
        </is>
      </c>
      <c r="AD772" t="inlineStr">
        <is>
          <t>2020 Heilongjiang Provincial Philosophical Social Science Plan [20YSE287]; 2021 Heilongjiang Provincial Educational Science 14th Five-Year Plan [GJB1421413]</t>
        </is>
      </c>
      <c r="AE772" t="inlineStr">
        <is>
          <t>2020 Heilongjiang Provincial Philosophical Social Science Plan; 2021 Heilongjiang Provincial Educational Science 14th Five-Year Plan</t>
        </is>
      </c>
      <c r="AF772" t="inlineStr">
        <is>
          <t>This work was supported by the 2020 Heilongjiang Provincial Philosophical Social Science Plan (20YSE287): and the 2021 Heilongjiang Provincial Educational Science 14th Five-Year Plan (GJB1421413).</t>
        </is>
      </c>
      <c r="AH772" t="n">
        <v>21</v>
      </c>
      <c r="AI772" t="n">
        <v>0</v>
      </c>
      <c r="AJ772" t="n">
        <v>0</v>
      </c>
      <c r="AK772" t="n">
        <v>22</v>
      </c>
      <c r="AL772" t="n">
        <v>26</v>
      </c>
      <c r="AM772" t="inlineStr">
        <is>
          <t>PARLAR SCIENTIFIC PUBLICATIONS (P S P)</t>
        </is>
      </c>
      <c r="AN772" t="inlineStr">
        <is>
          <t>FREISING</t>
        </is>
      </c>
      <c r="AO772" t="inlineStr">
        <is>
          <t>ANGERSTR. 12, 85354 FREISING, GERMANY</t>
        </is>
      </c>
      <c r="AP772" t="inlineStr">
        <is>
          <t>1018-4619</t>
        </is>
      </c>
      <c r="AQ772" t="inlineStr">
        <is>
          <t>1610-2304</t>
        </is>
      </c>
      <c r="AS772" t="inlineStr">
        <is>
          <t>FRESEN ENVIRON BULL</t>
        </is>
      </c>
      <c r="AT772" t="inlineStr">
        <is>
          <t>Fresenius Environ. Bull.</t>
        </is>
      </c>
      <c r="AV772" t="n">
        <v>2022</v>
      </c>
      <c r="AW772" t="n">
        <v>31</v>
      </c>
      <c r="AX772" t="n">
        <v>5</v>
      </c>
      <c r="BC772" t="n">
        <v>4983</v>
      </c>
      <c r="BD772" t="n">
        <v>4994</v>
      </c>
      <c r="BJ772" t="n">
        <v>12</v>
      </c>
      <c r="BK772" t="inlineStr">
        <is>
          <t>Environmental Sciences</t>
        </is>
      </c>
      <c r="BL772" t="inlineStr">
        <is>
          <t>Science Citation Index Expanded (SCI-EXPANDED)</t>
        </is>
      </c>
      <c r="BM772" t="inlineStr">
        <is>
          <t>Environmental Sciences &amp; Ecology</t>
        </is>
      </c>
      <c r="BN772" t="inlineStr">
        <is>
          <t>0Z1CQ</t>
        </is>
      </c>
      <c r="BS772" t="inlineStr">
        <is>
          <t>2023-10-26</t>
        </is>
      </c>
      <c r="BT772" t="inlineStr">
        <is>
          <t>WOS:000790818100037</t>
        </is>
      </c>
      <c r="BU772">
        <f>HYPERLINK("https%3A%2F%2Fwww.webofscience.com%2Fwos%2Fwoscc%2Ffull-record%2FWOS:000790818100037","View Full Record in Web of Science")</f>
        <v/>
      </c>
    </row>
    <row r="773">
      <c r="A773" t="inlineStr">
        <is>
          <t>J</t>
        </is>
      </c>
      <c r="B773" t="inlineStr">
        <is>
          <t>Liu, Y; Chen, DP; Wang, JX; Dai, MF</t>
        </is>
      </c>
      <c r="F773" t="inlineStr">
        <is>
          <t>Liu, Ying; Chen, Depeng; Wang, Jinxian; Dai, Mingfeng</t>
        </is>
      </c>
      <c r="J773" t="inlineStr">
        <is>
          <t>SUSTAINABILITY</t>
        </is>
      </c>
      <c r="M773" t="inlineStr">
        <is>
          <t>English</t>
        </is>
      </c>
      <c r="N773" t="inlineStr">
        <is>
          <t>Article</t>
        </is>
      </c>
      <c r="T773" t="inlineStr">
        <is>
          <t>Energy-Saving and Ecological Renovation of Existing Urban Buildings in Severe Cold Areas: A Case Study</t>
        </is>
      </c>
      <c r="U773" t="inlineStr">
        <is>
          <t>severe cold area; existing buildings; physical environment; renovation; energy-saving; emission reduction</t>
        </is>
      </c>
      <c r="V773" t="inlineStr">
        <is>
          <t>HOT-SUMMER; CONSUMPTION; PERFORMANCE; TRANSFORMATION; TECHNOLOGIES; COMFORT; REGION; WINTER</t>
        </is>
      </c>
      <c r="W773" t="inlineStr">
        <is>
          <t>High-rise buildings in cold regions have a requirement of ecological improvement due to the continuous response to climate change throughout the year. This study evaluates wind environment, light environment, thermal environment, and energy consumption environment using Phoenics, Ecotect, and DesignBuilder tools, utilizing a high-rise residential building in an intensely cold place as an example. With the goal of repairing the buildings, green energy-saving measures are applied from the perspectives of form, structure, system, and equipment strategy. The energy-saving rates and carbon dioxide emission reduction rates of the renovated buildings were predicted. The results reveal that, in the building performance diagnostic, the wind speed clearly rise at the building's corner, particularly on the outdoor level and the top floor; meanwhile, the inside lighting is insufficient, and there is a glare hazard adjacent to the window. The performance of the target building has unquestionably increased following the repair of 12 measures, including the bay windows, exterior walls, and solar energy. The influence of strong winds in winter and tranquil winds in summer greatly decreased in terms of the wind environment. In the light environment, indoor lighting is more uniform; the range of (Universal Design index) UDI100-2000 increased from 9.2% to 32.7%; and UDI2000, which may cause glare, decreased by 28.4%. Energy savings and pollution reduction rates were as high as 19.8% and 38.8%, respectively, due to the installation of solar photovoltaic panels. Based on all the measures, the overall energy saving rate of the target building was 63.8%, and the CO2 emission reduction rate was 90.3%.</t>
        </is>
      </c>
      <c r="X773" t="inlineStr">
        <is>
          <t>[Liu, Ying; Dai, Mingfeng] Wan Jiang Inst Technol, Fac Art &amp; Design, Maanshan 243000, Peoples R China; [Chen, Depeng; Wang, Jinxian] Anhui Univ Technol, Architectural Engn Inst, Maanshan 243032, Peoples R China</t>
        </is>
      </c>
      <c r="Y773" t="inlineStr">
        <is>
          <t>Anhui University of Technology</t>
        </is>
      </c>
      <c r="Z773" t="inlineStr">
        <is>
          <t>Liu, Y (corresponding author), Wan Jiang Inst Technol, Fac Art &amp; Design, Maanshan 243000, Peoples R China.</t>
        </is>
      </c>
      <c r="AA773" t="inlineStr">
        <is>
          <t>wt16024@wjut.edu.cn; 15855503077@163.com; fm1990wjx@ahut.edu.cn; 15755387833@163.com</t>
        </is>
      </c>
      <c r="AD773" t="inlineStr">
        <is>
          <t>Natural Science Research Funding Program for Colleges and Universities in Anhui Province [2022AH052435]</t>
        </is>
      </c>
      <c r="AE773" t="inlineStr">
        <is>
          <t>Natural Science Research Funding Program for Colleges and Universities in Anhui Province</t>
        </is>
      </c>
      <c r="AF773" t="inlineStr">
        <is>
          <t>This study was funded by Natural Science Research Funding Program for Colleges and Universities in Anhui Province (2022AH052435).</t>
        </is>
      </c>
      <c r="AH773" t="n">
        <v>30</v>
      </c>
      <c r="AI773" t="n">
        <v>0</v>
      </c>
      <c r="AJ773" t="n">
        <v>0</v>
      </c>
      <c r="AK773" t="n">
        <v>4</v>
      </c>
      <c r="AL773" t="n">
        <v>4</v>
      </c>
      <c r="AM773" t="inlineStr">
        <is>
          <t>MDPI</t>
        </is>
      </c>
      <c r="AN773" t="inlineStr">
        <is>
          <t>BASEL</t>
        </is>
      </c>
      <c r="AO773" t="inlineStr">
        <is>
          <t>ST ALBAN-ANLAGE 66, CH-4052 BASEL, SWITZERLAND</t>
        </is>
      </c>
      <c r="AQ773" t="inlineStr">
        <is>
          <t>2071-1050</t>
        </is>
      </c>
      <c r="AS773" t="inlineStr">
        <is>
          <t>SUSTAINABILITY-BASEL</t>
        </is>
      </c>
      <c r="AT773" t="inlineStr">
        <is>
          <t>Sustainability</t>
        </is>
      </c>
      <c r="AU773" t="inlineStr">
        <is>
          <t>SEP</t>
        </is>
      </c>
      <c r="AV773" t="n">
        <v>2023</v>
      </c>
      <c r="AW773" t="n">
        <v>15</v>
      </c>
      <c r="AX773" t="n">
        <v>17</v>
      </c>
      <c r="BE773" t="n">
        <v>12985</v>
      </c>
      <c r="BF773" t="inlineStr">
        <is>
          <t>10.3390/su151712985</t>
        </is>
      </c>
      <c r="BG773">
        <f>HYPERLINK("http://dx.doi.org/10.3390/su151712985","http://dx.doi.org/10.3390/su151712985")</f>
        <v/>
      </c>
      <c r="BJ773" t="n">
        <v>13</v>
      </c>
      <c r="BK773" t="inlineStr">
        <is>
          <t>Green &amp; Sustainable Science &amp; Technology; Environmental Sciences; Environmental Studies</t>
        </is>
      </c>
      <c r="BL773" t="inlineStr">
        <is>
          <t>Science Citation Index Expanded (SCI-EXPANDED); Social Science Citation Index (SSCI)</t>
        </is>
      </c>
      <c r="BM773" t="inlineStr">
        <is>
          <t>Science &amp; Technology - Other Topics; Environmental Sciences &amp; Ecology</t>
        </is>
      </c>
      <c r="BN773" t="inlineStr">
        <is>
          <t>R0IJ8</t>
        </is>
      </c>
      <c r="BP773" t="inlineStr">
        <is>
          <t>gold</t>
        </is>
      </c>
      <c r="BS773" t="inlineStr">
        <is>
          <t>2023-10-26</t>
        </is>
      </c>
      <c r="BT773" t="inlineStr">
        <is>
          <t>WOS:001061259700001</t>
        </is>
      </c>
      <c r="BU773">
        <f>HYPERLINK("https%3A%2F%2Fwww.webofscience.com%2Fwos%2Fwoscc%2Ffull-record%2FWOS:001061259700001","View Full Record in Web of Science")</f>
        <v/>
      </c>
    </row>
    <row r="774">
      <c r="A774" t="inlineStr">
        <is>
          <t>J</t>
        </is>
      </c>
      <c r="B774" t="inlineStr">
        <is>
          <t>Miles, R; Wang, YX; Johnson, SB</t>
        </is>
      </c>
      <c r="F774" t="inlineStr">
        <is>
          <t>Miles, Rebecca; Wang, Yuxia; Johnson, Suzanne Bennett</t>
        </is>
      </c>
      <c r="J774" t="inlineStr">
        <is>
          <t>INTERNATIONAL JOURNAL OF ENVIRONMENTAL RESEARCH AND PUBLIC HEALTH</t>
        </is>
      </c>
      <c r="M774" t="inlineStr">
        <is>
          <t>English</t>
        </is>
      </c>
      <c r="N774" t="inlineStr">
        <is>
          <t>Article</t>
        </is>
      </c>
      <c r="T774" t="inlineStr">
        <is>
          <t>Neighborhood Built and Social Environments and Change in Weight Status over the Summer in Low-Income Elementary School Children</t>
        </is>
      </c>
      <c r="U774" t="inlineStr">
        <is>
          <t>childhood obesity; neighborhoods; low-income population; built environment; social environment</t>
        </is>
      </c>
      <c r="V774" t="inlineStr">
        <is>
          <t>BODY-MASS INDEX; PHYSICAL-ACTIVITY; FOOD-PRICES; OBESITY; OVERWEIGHT; CHILDHOOD; ADOLESCENTS; DENSITY; SPACE; HOME</t>
        </is>
      </c>
      <c r="W774" t="inlineStr">
        <is>
          <t>Neighborhoods can provide opportunities for children to maintain a healthy weight or encourage unhealthy weight gain. Which neighborhood characteristics matter most remains poorly understood. We investigated links between neighborhood characteristics and weight change over the summer in children from 12 elementary schools with a high proportion of children from low-income families, in a mid-sized city in the US South. Mixed models and objective measures of height and weight were used. Study participants were 2770 children (average age 8.3, range 5.6-12.6 years). Older and female children and those who were already overweight were more likely to gain weight over the summer compared to younger, male, and normal weight children. Overweight children who lived near 2 or more small grocery stores gained less weight than overweight children who lived near 0 (weight change, p = 0.0468; body mass index (BMI) change, p = 0.0209) or 1 store (weight change, p = 0.0136; BMI change, p = 0.0033). Normal weight children living in neighborhoods with more large multifamily buildings gained more weight over the summer, although this association only approached significance. Additional efforts to understand which neighborhood factors have greater significance for overweight compared to normal weight children are warranted.</t>
        </is>
      </c>
      <c r="X774" t="inlineStr">
        <is>
          <t>[Miles, Rebecca] FSU, Dept Urban &amp; Reg Planning, Coll Social Sci, Tallahassee, FL 32306 USA; [Wang, Yuxia; Johnson, Suzanne Bennett] FSU, Dept Behav Sci &amp; Social Med, Coll Med, Tallahassee, FL 32306 USA</t>
        </is>
      </c>
      <c r="Y774" t="inlineStr">
        <is>
          <t>State University System of Florida; Florida State University; State University System of Florida; Florida State University</t>
        </is>
      </c>
      <c r="Z774" t="inlineStr">
        <is>
          <t>Miles, R (corresponding author), FSU, Dept Urban &amp; Reg Planning, Coll Social Sci, Tallahassee, FL 32306 USA.</t>
        </is>
      </c>
      <c r="AA774" t="inlineStr">
        <is>
          <t>rebecca.miles@fsu.edu; yuxia.wang@med.fsu.edu; suzanne.johnson@med.fsu.edu</t>
        </is>
      </c>
      <c r="AD774" t="inlineStr">
        <is>
          <t>Florida State University (FSU) Small Grants Program; National Institute of Child Health and Human Development [R01 HD 058869]; FSU</t>
        </is>
      </c>
      <c r="AE774" t="inlineStr">
        <is>
          <t>Florida State University (FSU) Small Grants Program; National Institute of Child Health and Human Development(United States Department of Health &amp; Human ServicesNational Institutes of Health (NIH) - USANIH Eunice Kennedy Shriver National Institute of Child Health &amp; Human Development (NICHD)); FSU</t>
        </is>
      </c>
      <c r="AF774" t="inlineStr">
        <is>
          <t>Funded in part by an award to the first author in 2012 from the Florida State University (FSU) Small Grants Program and a grant from the National Institute of Child Health and Human Development awarded to the third author (R01 HD 058869). Funds for covering the costs to publish in open access journals were received, also from FSU.</t>
        </is>
      </c>
      <c r="AH774" t="n">
        <v>32</v>
      </c>
      <c r="AI774" t="n">
        <v>5</v>
      </c>
      <c r="AJ774" t="n">
        <v>5</v>
      </c>
      <c r="AK774" t="n">
        <v>1</v>
      </c>
      <c r="AL774" t="n">
        <v>7</v>
      </c>
      <c r="AM774" t="inlineStr">
        <is>
          <t>MDPI</t>
        </is>
      </c>
      <c r="AN774" t="inlineStr">
        <is>
          <t>BASEL</t>
        </is>
      </c>
      <c r="AO774" t="inlineStr">
        <is>
          <t>ST ALBAN-ANLAGE 66, CH-4052 BASEL, SWITZERLAND</t>
        </is>
      </c>
      <c r="AP774" t="inlineStr">
        <is>
          <t>1660-4601</t>
        </is>
      </c>
      <c r="AS774" t="inlineStr">
        <is>
          <t>INT J ENV RES PUB HE</t>
        </is>
      </c>
      <c r="AT774" t="inlineStr">
        <is>
          <t>Int. J. Environ. Res. Public Health</t>
        </is>
      </c>
      <c r="AU774" t="inlineStr">
        <is>
          <t>JUN</t>
        </is>
      </c>
      <c r="AV774" t="n">
        <v>2018</v>
      </c>
      <c r="AW774" t="n">
        <v>15</v>
      </c>
      <c r="AX774" t="n">
        <v>6</v>
      </c>
      <c r="BE774" t="n">
        <v>1124</v>
      </c>
      <c r="BF774" t="inlineStr">
        <is>
          <t>10.3390/ijerph15061124</t>
        </is>
      </c>
      <c r="BG774">
        <f>HYPERLINK("http://dx.doi.org/10.3390/ijerph15061124","http://dx.doi.org/10.3390/ijerph15061124")</f>
        <v/>
      </c>
      <c r="BJ774" t="n">
        <v>13</v>
      </c>
      <c r="BK774" t="inlineStr">
        <is>
          <t>Environmental Sciences; Public, Environmental &amp; Occupational Health</t>
        </is>
      </c>
      <c r="BL774" t="inlineStr">
        <is>
          <t>Science Citation Index Expanded (SCI-EXPANDED); Social Science Citation Index (SSCI)</t>
        </is>
      </c>
      <c r="BM774" t="inlineStr">
        <is>
          <t>Environmental Sciences &amp; Ecology; Public, Environmental &amp; Occupational Health</t>
        </is>
      </c>
      <c r="BN774" t="inlineStr">
        <is>
          <t>GK8SE</t>
        </is>
      </c>
      <c r="BO774" t="n">
        <v>29857473</v>
      </c>
      <c r="BP774" t="inlineStr">
        <is>
          <t>Green Submitted, gold, Green Published</t>
        </is>
      </c>
      <c r="BS774" t="inlineStr">
        <is>
          <t>2023-10-26</t>
        </is>
      </c>
      <c r="BT774" t="inlineStr">
        <is>
          <t>WOS:000436496900075</t>
        </is>
      </c>
      <c r="BU774">
        <f>HYPERLINK("https%3A%2F%2Fwww.webofscience.com%2Fwos%2Fwoscc%2Ffull-record%2FWOS:000436496900075","View Full Record in Web of Science")</f>
        <v/>
      </c>
    </row>
    <row r="775">
      <c r="A775" t="inlineStr">
        <is>
          <t>J</t>
        </is>
      </c>
      <c r="B775" t="inlineStr">
        <is>
          <t>Nakamura, A; Maruta, M; Makizako, H; Miyata, M; Miyata, H; Han, GH; Ikeda, Y; Shimokihara, S; Tokuda, K; Kubozono, T; Ohishi, M; Tabira, T</t>
        </is>
      </c>
      <c r="F775" t="inlineStr">
        <is>
          <t>Nakamura, Atsushi; Maruta, Michio; Makizako, Hyuma; Miyata, Masaaki; Miyata, Hironori; Han, Gwanghee; Ikeda, Yuriko; Shimokihara, Suguru; Tokuda, Keiichiro; Kubozono, Takuro; Ohishi, Mitsuru; Tabira, Takayuki</t>
        </is>
      </c>
      <c r="J775" t="inlineStr">
        <is>
          <t>INTERNATIONAL JOURNAL OF ENVIRONMENTAL RESEARCH AND PUBLIC HEALTH</t>
        </is>
      </c>
      <c r="M775" t="inlineStr">
        <is>
          <t>English</t>
        </is>
      </c>
      <c r="N775" t="inlineStr">
        <is>
          <t>Article</t>
        </is>
      </c>
      <c r="T775" t="inlineStr">
        <is>
          <t>Meaningful Activities and Psychosomatic Functions in Japanese Older Adults after Driving Cessation</t>
        </is>
      </c>
      <c r="U775" t="inlineStr">
        <is>
          <t>driving cessation; meaningful activities; community-dwelling older adults; psychosomatic functions</t>
        </is>
      </c>
      <c r="V775" t="inlineStr">
        <is>
          <t>DECISION-MAKING; MINI-COG; VALIDITY; HEALTH; RELIABILITY; ENGAGEMENT; IMPACT; TRAJECTORIES; MOBILITY; FRAILTY</t>
        </is>
      </c>
      <c r="W775" t="inlineStr">
        <is>
          <t>The purpose of this cross-sectional study was to analyse the differences in meaningful activities and psychosomatic function depending on the driving status of community-dwelling older adults. Data from 594 older adults were obtained, including activities meaningful to individuals and psychosomatic functions, such as grip strength, depression, cognitive function, and ability of activity. Participants were divided into active driving (n = 549) and after driving cessation (n = 45) groups. In addition, the active driving group was operationally divided into three groups: high-frequency group (n = 387), medium group (n = 119), and infrequent group (n = 42). In the after driving cessation group, grip strength, and Japan Science and Technology Agency Index of Competence scores were significantly lower. Furthermore, the proportion of apathy and physical and social frailty was significantly higher in the after driving cessation group. Regarding meaningful activity, domestic life scores in the after driving cessation group were significantly higher than those of the active driving group. Decreased driving frequency in the active driving group was associated with weak muscle strength, lack of interest, and low activity. This study demonstrated that meaningful activity differed based on the driving status. Hence, we should support the activities of older adults who are considering driving cessation.</t>
        </is>
      </c>
      <c r="X775" t="inlineStr">
        <is>
          <t>[Nakamura, Atsushi] Minist Environm, Natl Inst Minamata Dis, 4058-18 Hama, Minamata, Kumamoto 8670008, Japan; [Nakamura, Atsushi; Miyata, Hironori; Shimokihara, Suguru] Kagoshima Univ, Grad Sch Hlth Sci, Doctoral Program Clin Neuropsychiat, 8-35-1 Sakuragaoka, Kagoshima 8908544, Japan; [Maruta, Michio] Okatsu Hosp, Dept Rehabil, 3-95 Masagohonmachi, Kagoshima 8900067, Japan; [Makizako, Hyuma; Miyata, Masaaki; Ikeda, Yuriko; Tabira, Takayuki] Kagoshima Univ, Grad Sch Hlth Sci, 8-35-1 Sakuragaoka, Kagoshima 8908544, Japan; [Han, Gwanghee] Kumamoto Univ Hosp, Dept Neuropsychiat, Chuo Ku, 1-1-1 Honjo, Kumamoto, Kumamoto 8608556, Japan; [Tokuda, Keiichiro] Kirameki Terrace Healthcare Hosp, Dept Rehabil, 43-30 Kouraicho, Kagoshima 8900051, Japan; [Kubozono, Takuro; Ohishi, Mitsuru] Kagoshima Univ, Grad Sch Med &amp; Dent Sci, Dept Cardiovasc Med &amp; Hypertens, Kagoshima 8900075, Japan</t>
        </is>
      </c>
      <c r="Y775" t="inlineStr">
        <is>
          <t>Kagoshima University; Kagoshima University; Kumamoto University; Kagoshima University</t>
        </is>
      </c>
      <c r="Z775" t="inlineStr">
        <is>
          <t>Nakamura, A (corresponding author), Minist Environm, Natl Inst Minamata Dis, 4058-18 Hama, Minamata, Kumamoto 8670008, Japan.;Nakamura, A (corresponding author), Kagoshima Univ, Grad Sch Hlth Sci, Doctoral Program Clin Neuropsychiat, 8-35-1 Sakuragaoka, Kagoshima 8908544, Japan.</t>
        </is>
      </c>
      <c r="AA775" t="inlineStr">
        <is>
          <t>atsuatsu0323@yahoo.co.jp; m.maru0111@gmail.com; makizako@health.nop.kagoshima-u.ac.jp; miyatam@m3.kufm.kagoshima-u.ac.jp; 814.miya.418@gmail.com; hans11057@gmail.com; yuriko@health.nop.kagoshima-u.ac.jp; k5848730@kadai.jp; gomyway.k.t@icloud.com; kubozono@m.kufm.kagoshima-u.ac.jp; ohishi@m2.kufm.kagoshima-u.ac.jp; tabitaka@health.nop.kagoshima-u.ac.jp</t>
        </is>
      </c>
      <c r="AB775" t="inlineStr">
        <is>
          <t>Maruta, Michio/GQB-2626-2022; Maruta, Michio/ABB-8695-2020; Shimokihara, Suguru/AFV-4554-2022</t>
        </is>
      </c>
      <c r="AC775" t="inlineStr">
        <is>
          <t>Maruta, Michio/0000-0003-0820-7738; Maruta, Michio/0000-0003-0820-7738; Shimokihara, Suguru/0000-0002-7235-4479; Tabira, Takayuki/0000-0003-4174-3217; Makizako, Hyuma/0000-0001-9898-675X; Han, Gwanghee/0000-0001-5581-7753</t>
        </is>
      </c>
      <c r="AH775" t="n">
        <v>52</v>
      </c>
      <c r="AI775" t="n">
        <v>2</v>
      </c>
      <c r="AJ775" t="n">
        <v>2</v>
      </c>
      <c r="AK775" t="n">
        <v>0</v>
      </c>
      <c r="AL775" t="n">
        <v>3</v>
      </c>
      <c r="AM775" t="inlineStr">
        <is>
          <t>MDPI</t>
        </is>
      </c>
      <c r="AN775" t="inlineStr">
        <is>
          <t>BASEL</t>
        </is>
      </c>
      <c r="AO775" t="inlineStr">
        <is>
          <t>ST ALBAN-ANLAGE 66, CH-4052 BASEL, SWITZERLAND</t>
        </is>
      </c>
      <c r="AQ775" t="inlineStr">
        <is>
          <t>1660-4601</t>
        </is>
      </c>
      <c r="AS775" t="inlineStr">
        <is>
          <t>INT J ENV RES PUB HE</t>
        </is>
      </c>
      <c r="AT775" t="inlineStr">
        <is>
          <t>Int. J. Environ. Res. Public Health</t>
        </is>
      </c>
      <c r="AU775" t="inlineStr">
        <is>
          <t>DEC</t>
        </is>
      </c>
      <c r="AV775" t="n">
        <v>2021</v>
      </c>
      <c r="AW775" t="n">
        <v>18</v>
      </c>
      <c r="AX775" t="n">
        <v>24</v>
      </c>
      <c r="BE775" t="n">
        <v>13270</v>
      </c>
      <c r="BF775" t="inlineStr">
        <is>
          <t>10.3390/ijerph182413270</t>
        </is>
      </c>
      <c r="BG775">
        <f>HYPERLINK("http://dx.doi.org/10.3390/ijerph182413270","http://dx.doi.org/10.3390/ijerph182413270")</f>
        <v/>
      </c>
      <c r="BJ775" t="n">
        <v>13</v>
      </c>
      <c r="BK775" t="inlineStr">
        <is>
          <t>Environmental Sciences; Public, Environmental &amp; Occupational Health</t>
        </is>
      </c>
      <c r="BL775" t="inlineStr">
        <is>
          <t>Science Citation Index Expanded (SCI-EXPANDED); Social Science Citation Index (SSCI)</t>
        </is>
      </c>
      <c r="BM775" t="inlineStr">
        <is>
          <t>Environmental Sciences &amp; Ecology; Public, Environmental &amp; Occupational Health</t>
        </is>
      </c>
      <c r="BN775" t="inlineStr">
        <is>
          <t>XZ6OB</t>
        </is>
      </c>
      <c r="BO775" t="n">
        <v>34948879</v>
      </c>
      <c r="BP775" t="inlineStr">
        <is>
          <t>Green Published, gold</t>
        </is>
      </c>
      <c r="BS775" t="inlineStr">
        <is>
          <t>2023-10-26</t>
        </is>
      </c>
      <c r="BT775" t="inlineStr">
        <is>
          <t>WOS:000737768100001</t>
        </is>
      </c>
      <c r="BU775">
        <f>HYPERLINK("https%3A%2F%2Fwww.webofscience.com%2Fwos%2Fwoscc%2Ffull-record%2FWOS:000737768100001","View Full Record in Web of Science")</f>
        <v/>
      </c>
    </row>
    <row r="776">
      <c r="A776" t="inlineStr">
        <is>
          <t>J</t>
        </is>
      </c>
      <c r="B776" t="inlineStr">
        <is>
          <t>López, LR; Dessì, P; Cabrera-Codony, A; Rocha-Melogno, L; Kraakman, B; Naddeo, V; Balaguer, MD; Puig, S</t>
        </is>
      </c>
      <c r="F776" t="inlineStr">
        <is>
          <t>Lopez, L. R.; Dessi, P.; Cabrera-Codony, A.; Rocha-Melogno, L.; Kraakman, B.; Naddeo, V; Balaguer, M. D.; Puig, S.</t>
        </is>
      </c>
      <c r="J776" t="inlineStr">
        <is>
          <t>SCIENCE OF THE TOTAL ENVIRONMENT</t>
        </is>
      </c>
      <c r="M776" t="inlineStr">
        <is>
          <t>English</t>
        </is>
      </c>
      <c r="N776" t="inlineStr">
        <is>
          <t>Review</t>
        </is>
      </c>
      <c r="T776" t="inlineStr">
        <is>
          <t>CO2 in indoor environments: From environmental and health risk to potential renewable carbon source</t>
        </is>
      </c>
      <c r="U776" t="inlineStr">
        <is>
          <t>Climate change; Indoor air quality; Health risk; CO2 capture; Renewable energy; Biofuels; Microbial electrochemical technologies</t>
        </is>
      </c>
      <c r="V776" t="inlineStr">
        <is>
          <t>VOLATILE ORGANIC-COMPOUNDS; PARTICULATE MATTER CONCENTRATIONS; DIRECT AIR CAPTURE; AIRBORNE TRANSMISSION; DIOXIDE CAPTURE; OFFICE BUILDINGS; AMBIENT AIR; NATURAL VENTILATION; MINERAL CARBONATION; EXPOSURE ASSESSMENT</t>
        </is>
      </c>
      <c r="W776" t="inlineStr">
        <is>
          <t>In the developed world, individuals spend most of their time indoors. Poor Indoor Air Quality (IAQ) has a wide range of effects on human health. The burden of disease associated with indoor air accounts for millions of premature deaths related to exposure to Indoor Air Pollutants (IAPs). Among them, CO2 is the most common one, and is commonly used as a metric of IAQ. Indoor CO2 concentrations can be significantly higher than outdoors due to human metabolism and activities. Even in presence of ventilation, controlling the CO2 concentration below the Indoor Air Guideline Values (IAGVs) is a challenge, and many indoor environments including schools, offices and transportation exceed the recommended value of 1000 ppmv. This is often accompanied by high concentration of other pollutants, including bio-effluents such as viruses, and the importance of mitigating the transmission of airborne diseases has been highlighted by the COVID-19 pandemic. On the other hand, the relatively high CO2 concentration of indoor environments presents a thermodynamic advantage for direct air capture (DAC) in comparison to atmospheric CO2 concentration. This review aims to describe the issues associated with poor IAQ, and to demonstrate the potential of indoor CO2 DAC to purify indoor air while generating a renewable carbon stream that can replace conventional carbon sources as a building block for chemical production, contributing to the circular economy.</t>
        </is>
      </c>
      <c r="X776" t="inlineStr">
        <is>
          <t>[Lopez, L. R.; Dessi, P.; Cabrera-Codony, A.; Balaguer, M. D.; Puig, S.] Univ Girona, Inst Environm, LEQUiA, Campus Montilivi,Carrer Maria Aurelia Capmany 69, Girona, Spain; [Rocha-Melogno, L.] ICF, 2635 Meridian Pkwy,Suite 200, Durham, NC 27713 USA; [Kraakman, B.] Jacobs Engn, Templey Quay 1, Bristol BAS1 6DG, Avon, England; [Kraakman, B.] Univ Valladolid, Inst Sustainable Proc, Dr Mergelina S-N, Valladolid 47011, Spain; [Naddeo, V] Univ Salerno, Sanit Environm Engn Div, Dept Civil Engn, I-84084 Fisciano, SA, Italy</t>
        </is>
      </c>
      <c r="Y776" t="inlineStr">
        <is>
          <t>Universitat de Girona; Universidad de Valladolid; University of Salerno</t>
        </is>
      </c>
      <c r="Z776" t="inlineStr">
        <is>
          <t>López, LR (corresponding author), Univ Girona, Inst Environm, LEQUiA, Campus Montilivi,Carrer Maria Aurelia Capmany 69, Girona, Spain.</t>
        </is>
      </c>
      <c r="AA776" t="inlineStr">
        <is>
          <t>luisrafael.lopez@udg.edu</t>
        </is>
      </c>
      <c r="AB776" t="inlineStr">
        <is>
          <t>Puig, Sebastià/L-8562-2014; de leon, luis rafael lopez/AAA-8263-2021; Cabrera-Codony, Alba/B-3253-2018; Naddeo, Vincenzo/C-4057-2008; Condom, M. Dolors Balaguer/L-3025-2014</t>
        </is>
      </c>
      <c r="AC776" t="inlineStr">
        <is>
          <t>Puig, Sebastià/0000-0003-2995-1443; Cabrera-Codony, Alba/0000-0002-4057-8697; Naddeo, Vincenzo/0000-0002-3395-3276; Condom, M. Dolors Balaguer/0000-0001-6231-2163; Lopez de Leon, Luis R/0000-0003-0795-2357</t>
        </is>
      </c>
      <c r="AD776" t="inlineStr">
        <is>
          <t>European Union's Horizon 2020 research and innovation programme under the Marie Sklodowska-Curie grant [101018274, 101029266]; Programa Juan de la Cierva-Incorporacion [IJC2020-045964-I]; Spanish Ministry of Science and Innovation [PID2020-112615RA-100, PIFD2021-126240OB-100]; ICREA Academia award; Catalan Government [2017-SGR-1552]; Marie Curie Actions (MSCA) [101018274, 101029266] Funding Source: Marie Curie Actions (MSCA)</t>
        </is>
      </c>
      <c r="AE776" t="inlineStr">
        <is>
          <t>European Union's Horizon 2020 research and innovation programme under the Marie Sklodowska-Curie grant(Marie Curie Actions); Programa Juan de la Cierva-Incorporacion; Spanish Ministry of Science and Innovation(Spanish Government); ICREA Academia award(ICREA); Catalan Government; Marie Curie Actions (MSCA)(Marie Curie Actions)</t>
        </is>
      </c>
      <c r="AF776" t="inlineStr">
        <is>
          <t>This project has received funding from the European Union's Horizon 2020 research and innovation programme under the Marie Sklodowska-Curie grant agreements No 101018274 (L.R. Lopez) and No 101029266 (P. Dessi). A. Cabrera-Codony acknowledges Programa Juan de la CiervaIncorporacion (IJC2020-045964-I) and funding from the Spanish Ministry of Science and Innovation (PID2020-112615RA-100). S. Puig is a Serra Hunter Fellow (UdG-AG-575) and acknowledges the funding from the ICREA Academia award, funding from the Spanish Ministry of Science and Innovation (PIFD2021-126240OB-100). LEQUIA has been recognized as consolidated research group by the Catalan Government (2017-SGR-1552).</t>
        </is>
      </c>
      <c r="AH776" t="n">
        <v>415</v>
      </c>
      <c r="AI776" t="n">
        <v>13</v>
      </c>
      <c r="AJ776" t="n">
        <v>13</v>
      </c>
      <c r="AK776" t="n">
        <v>26</v>
      </c>
      <c r="AL776" t="n">
        <v>62</v>
      </c>
      <c r="AM776" t="inlineStr">
        <is>
          <t>ELSEVIER</t>
        </is>
      </c>
      <c r="AN776" t="inlineStr">
        <is>
          <t>AMSTERDAM</t>
        </is>
      </c>
      <c r="AO776" t="inlineStr">
        <is>
          <t>RADARWEG 29, 1043 NX AMSTERDAM, NETHERLANDS</t>
        </is>
      </c>
      <c r="AP776" t="inlineStr">
        <is>
          <t>0048-9697</t>
        </is>
      </c>
      <c r="AQ776" t="inlineStr">
        <is>
          <t>1879-1026</t>
        </is>
      </c>
      <c r="AS776" t="inlineStr">
        <is>
          <t>SCI TOTAL ENVIRON</t>
        </is>
      </c>
      <c r="AT776" t="inlineStr">
        <is>
          <t>Sci. Total Environ.</t>
        </is>
      </c>
      <c r="AU776" t="inlineStr">
        <is>
          <t>JAN 15</t>
        </is>
      </c>
      <c r="AV776" t="n">
        <v>2023</v>
      </c>
      <c r="AW776" t="n">
        <v>856</v>
      </c>
      <c r="AY776" t="n">
        <v>2</v>
      </c>
      <c r="BE776" t="n">
        <v>159088</v>
      </c>
      <c r="BF776" t="inlineStr">
        <is>
          <t>10.1016/j.scitotenv.2022.159088</t>
        </is>
      </c>
      <c r="BG776">
        <f>HYPERLINK("http://dx.doi.org/10.1016/j.scitotenv.2022.159088","http://dx.doi.org/10.1016/j.scitotenv.2022.159088")</f>
        <v/>
      </c>
      <c r="BI776" t="inlineStr">
        <is>
          <t>OCT 2022</t>
        </is>
      </c>
      <c r="BJ776" t="n">
        <v>21</v>
      </c>
      <c r="BK776" t="inlineStr">
        <is>
          <t>Environmental Sciences</t>
        </is>
      </c>
      <c r="BL776" t="inlineStr">
        <is>
          <t>Science Citation Index Expanded (SCI-EXPANDED)</t>
        </is>
      </c>
      <c r="BM776" t="inlineStr">
        <is>
          <t>Environmental Sciences &amp; Ecology</t>
        </is>
      </c>
      <c r="BN776" t="inlineStr">
        <is>
          <t>6O8XW</t>
        </is>
      </c>
      <c r="BO776" t="n">
        <v>36181799</v>
      </c>
      <c r="BS776" t="inlineStr">
        <is>
          <t>2023-10-26</t>
        </is>
      </c>
      <c r="BT776" t="inlineStr">
        <is>
          <t>WOS:000890522900003</t>
        </is>
      </c>
      <c r="BU776">
        <f>HYPERLINK("https%3A%2F%2Fwww.webofscience.com%2Fwos%2Fwoscc%2Ffull-record%2FWOS:000890522900003","View Full Record in Web of Science")</f>
        <v/>
      </c>
    </row>
    <row r="777">
      <c r="A777" t="inlineStr">
        <is>
          <t>J</t>
        </is>
      </c>
      <c r="B777" t="inlineStr">
        <is>
          <t>Yang, W; Moon, HJ; Jeon, JY</t>
        </is>
      </c>
      <c r="F777" t="inlineStr">
        <is>
          <t>Yang, Wonyoung; Moon, Hyeun Jun; Jeon, Jin Yong</t>
        </is>
      </c>
      <c r="J777" t="inlineStr">
        <is>
          <t>SUSTAINABILITY</t>
        </is>
      </c>
      <c r="M777" t="inlineStr">
        <is>
          <t>English</t>
        </is>
      </c>
      <c r="N777" t="inlineStr">
        <is>
          <t>Article</t>
        </is>
      </c>
      <c r="T777" t="inlineStr">
        <is>
          <t>Comparison of Response Scales as Measures of Indoor Environmental Perception in Combined Thermal and Acoustic Conditions</t>
        </is>
      </c>
      <c r="U777" t="inlineStr">
        <is>
          <t>response scales; visual analogue scale; seven-point scale; 11-point scale; respondent preference; thermal comfort; acoustic comfort; indoor environmental comfort; sensation; perception</t>
        </is>
      </c>
      <c r="V777" t="inlineStr">
        <is>
          <t>VISUAL ANALOG SCALES; GREEN OFFICE BUILDINGS; RATING-SCALES; OCCUPANT COMFORT; PAIN INTENSITY; GLOBAL COMFORT; QUALITY IEQ; SATISFACTION; MODEL; TEMPERATURE</t>
        </is>
      </c>
      <c r="W777" t="inlineStr">
        <is>
          <t>Response scales are widely used to assess the personal experience of sensation and perception in built environments, and have a great impact on the quality of the responses. The purpose of this study was to investigate the effects of response scales on human sensation and perception in moderate indoor environments. Four different response scales were compared under three room temperatures (19.0 degrees C, 24.5 degrees C, and 30.0 degrees C) and five acoustic stimuli (ambient noise, 42 and 61 dBA x water sounds and traffic noise): a bipolar seven-point scale according to ISO 10551:1995, a unipolar 11-point scale according to ISO/TS 15666:2003, these two scales combined for each sensory comfort assessment, and a bipolar visual analogue scale. The degree of relative differentiation based on indoor physical factors made no significant difference across the four response scales. Therefore, the effects of physical factors on human response could be assessed by using any of the four scales tested in this study, with a statistical significance at p &lt; 0.05 in moderate environments. The choice of response scale would depend not only on the type of physical stimulus but also on the question of sensation or perception. The reliability of each response scale was different according to the subjective attributes. The bipolar visual analogue scale was subjectively preferred by the respondents.</t>
        </is>
      </c>
      <c r="X777" t="inlineStr">
        <is>
          <t>[Yang, Wonyoung; Jeon, Jin Yong] Hanyang Univ, Dept Architectural Engn, Seoul 04763, South Korea; [Moon, Hyeun Jun] Dankook Univ, Dept Architectural Engn, Yongin 16890, South Korea</t>
        </is>
      </c>
      <c r="Y777" t="inlineStr">
        <is>
          <t>Hanyang University; Dankook University</t>
        </is>
      </c>
      <c r="Z777" t="inlineStr">
        <is>
          <t>Jeon, JY (corresponding author), Hanyang Univ, Dept Architectural Engn, Seoul 04763, South Korea.</t>
        </is>
      </c>
      <c r="AA777" t="inlineStr">
        <is>
          <t>jyjeon@hanyang.ac.kr</t>
        </is>
      </c>
      <c r="AC777" t="inlineStr">
        <is>
          <t>Yang, Wonyoung/0000-0002-2995-4639</t>
        </is>
      </c>
      <c r="AD777" t="inlineStr">
        <is>
          <t>Basic Science Research Program of the National Research Foundation (NRF) [2018R1D1A1B07048157]; Ministry of Education, Republic of Korea; Korea Institute of Energy Technology Evaluation and Planning (KETEP); Ministry of Trade, Industry &amp; Energy (MOTIE) of the Republic of Korea [20172010000580]; Korea Evaluation Institute of Industrial Technology (KEIT) [20172010000580] Funding Source: Korea Institute of Science &amp; Technology Information (KISTI), National Science &amp; Technology Information Service (NTIS); National Research Foundation of Korea [2018R1D1A1B07048157] Funding Source: Korea Institute of Science &amp; Technology Information (KISTI), National Science &amp; Technology Information Service (NTIS)</t>
        </is>
      </c>
      <c r="AE777" t="inlineStr">
        <is>
          <t>Basic Science Research Program of the National Research Foundation (NRF); Ministry of Education, Republic of Korea(Ministry of Education, Science &amp; Technology (MEST), Republic of KoreaMinistry of Education (MOE), Republic of Korea); Korea Institute of Energy Technology Evaluation and Planning (KETEP); Ministry of Trade, Industry &amp; Energy (MOTIE) of the Republic of Korea(Ministry of Trade, Industry &amp; Energy (MOTIE), Republic of Korea); Korea Evaluation Institute of Industrial Technology (KEIT); National Research Foundation of Korea(National Research Foundation of Korea)</t>
        </is>
      </c>
      <c r="AF777" t="inlineStr">
        <is>
          <t>This work was supported by the Basic Science Research Program of the National Research Foundation (NRF) (grant number 2018R1D1A1B07048157) funded by the Ministry of Education, Republic of Korea. This work was also supported by the Korea Institute of Energy Technology Evaluation and Planning (KETEP) and the Ministry of Trade, Industry &amp; Energy (MOTIE) of the Republic of Korea (No. 20172010000580).</t>
        </is>
      </c>
      <c r="AH777" t="n">
        <v>70</v>
      </c>
      <c r="AI777" t="n">
        <v>9</v>
      </c>
      <c r="AJ777" t="n">
        <v>9</v>
      </c>
      <c r="AK777" t="n">
        <v>2</v>
      </c>
      <c r="AL777" t="n">
        <v>12</v>
      </c>
      <c r="AM777" t="inlineStr">
        <is>
          <t>MDPI</t>
        </is>
      </c>
      <c r="AN777" t="inlineStr">
        <is>
          <t>BASEL</t>
        </is>
      </c>
      <c r="AO777" t="inlineStr">
        <is>
          <t>ST ALBAN-ANLAGE 66, CH-4052 BASEL, SWITZERLAND</t>
        </is>
      </c>
      <c r="AQ777" t="inlineStr">
        <is>
          <t>2071-1050</t>
        </is>
      </c>
      <c r="AS777" t="inlineStr">
        <is>
          <t>SUSTAINABILITY-BASEL</t>
        </is>
      </c>
      <c r="AT777" t="inlineStr">
        <is>
          <t>Sustainability</t>
        </is>
      </c>
      <c r="AU777" t="inlineStr">
        <is>
          <t>JUL 2</t>
        </is>
      </c>
      <c r="AV777" t="n">
        <v>2019</v>
      </c>
      <c r="AW777" t="n">
        <v>11</v>
      </c>
      <c r="AX777" t="n">
        <v>14</v>
      </c>
      <c r="BE777" t="n">
        <v>3975</v>
      </c>
      <c r="BF777" t="inlineStr">
        <is>
          <t>10.3390/su11143975</t>
        </is>
      </c>
      <c r="BG777">
        <f>HYPERLINK("http://dx.doi.org/10.3390/su11143975","http://dx.doi.org/10.3390/su11143975")</f>
        <v/>
      </c>
      <c r="BJ777" t="n">
        <v>26</v>
      </c>
      <c r="BK777" t="inlineStr">
        <is>
          <t>Green &amp; Sustainable Science &amp; Technology; Environmental Sciences; Environmental Studies</t>
        </is>
      </c>
      <c r="BL777" t="inlineStr">
        <is>
          <t>Science Citation Index Expanded (SCI-EXPANDED); Social Science Citation Index (SSCI)</t>
        </is>
      </c>
      <c r="BM777" t="inlineStr">
        <is>
          <t>Science &amp; Technology - Other Topics; Environmental Sciences &amp; Ecology</t>
        </is>
      </c>
      <c r="BN777" t="inlineStr">
        <is>
          <t>IS6KX</t>
        </is>
      </c>
      <c r="BP777" t="inlineStr">
        <is>
          <t>gold, Green Submitted</t>
        </is>
      </c>
      <c r="BS777" t="inlineStr">
        <is>
          <t>2023-10-26</t>
        </is>
      </c>
      <c r="BT777" t="inlineStr">
        <is>
          <t>WOS:000482261800219</t>
        </is>
      </c>
      <c r="BU777">
        <f>HYPERLINK("https%3A%2F%2Fwww.webofscience.com%2Fwos%2Fwoscc%2Ffull-record%2FWOS:000482261800219","View Full Record in Web of Science")</f>
        <v/>
      </c>
    </row>
    <row r="778">
      <c r="A778" t="inlineStr">
        <is>
          <t>J</t>
        </is>
      </c>
      <c r="B778" t="inlineStr">
        <is>
          <t>Mazzoli, C; Iannantuono, M; Giannakopoulos, V; Fotopoulou, A; Ferrante, A; Garagnani, S</t>
        </is>
      </c>
      <c r="F778" t="inlineStr">
        <is>
          <t>Mazzoli, Cecilia; Iannantuono, Marco; Giannakopoulos, Vieri; Fotopoulou, Anastasia; Ferrante, Annarita; Garagnani, Simone</t>
        </is>
      </c>
      <c r="J778" t="inlineStr">
        <is>
          <t>SUSTAINABILITY</t>
        </is>
      </c>
      <c r="M778" t="inlineStr">
        <is>
          <t>English</t>
        </is>
      </c>
      <c r="N778" t="inlineStr">
        <is>
          <t>Article</t>
        </is>
      </c>
      <c r="T778" t="inlineStr">
        <is>
          <t>Building Information Modeling as an Effective Process for the Sustainable Re-Shaping of the Built Environment</t>
        </is>
      </c>
      <c r="U778" t="inlineStr">
        <is>
          <t>Building Information Modeling; Industry Foundation Classes; sustainable design; Energy Efficient Buildings; Integrated Project Delivery; interoperability</t>
        </is>
      </c>
      <c r="V778" t="inlineStr">
        <is>
          <t>PROJECT DELIVERY; BIM; INTEROPERABILITY</t>
        </is>
      </c>
      <c r="W778" t="inlineStr">
        <is>
          <t>This paper focuses on the definition of a method supported by digital processes for a sustainable and user-orientated re-design of the existing building stock. Based on the analysis of the methodological and procedural aspects of the computational approach to architectural design in relation to different performance conditions, the research addresses the adoption of Building Information Modeling (BIM), intended as a powerful method for coordinating the complexity of the multiple, interdisciplinary and conflicting aspects involved in the rehabilitation of buildings. In addition to the advantages in terms of control and management, the BIM process has proven its effectiveness in tackling the issue of sustainability, allowing all actors involved in the research to share information and pro-actively control various outcomes of a building's performance, such as energy and environmental quality. To show the opportunities and limitations of the digital management in information-based processes, the activities carried out in the framework of the European Horizon 2020 project Pro-GET-onE-Proactive synergy of inteGrated Efficient Technologies on buildings' Envelopes are reported. The research, based on a case study method, which is applied to a student residence in Athens, demonstrates that BIM possesses great potentialities for developing effective and efficient construction and renovation processes toward buildings with high quality standards.</t>
        </is>
      </c>
      <c r="X778" t="inlineStr">
        <is>
          <t>[Mazzoli, Cecilia; Iannantuono, Marco; Giannakopoulos, Vieri; Fotopoulou, Anastasia; Ferrante, Annarita; Garagnani, Simone] Univ Bologna, DA Dept Architecture, I-40136 Bologna, Italy</t>
        </is>
      </c>
      <c r="Y778" t="inlineStr">
        <is>
          <t>University of Bologna</t>
        </is>
      </c>
      <c r="Z778" t="inlineStr">
        <is>
          <t>Mazzoli, C (corresponding author), Univ Bologna, DA Dept Architecture, I-40136 Bologna, Italy.</t>
        </is>
      </c>
      <c r="AA778" t="inlineStr">
        <is>
          <t>cecilia.mazzoli2@unibo.it; marco.iannantuono2@unibo.it; vieri.giannakopoulo2@unibo.it; anastasia.fotopoulo2@unibo.it; annarita.ferrante@unibo.it; simone.garagnani@unibo.it</t>
        </is>
      </c>
      <c r="AB778" t="inlineStr">
        <is>
          <t>Garagnani, Simone/AGM-8904-2022; MAZZOLI, CECILIA/GXM-6707-2022</t>
        </is>
      </c>
      <c r="AC778" t="inlineStr">
        <is>
          <t>Iannantuono, Marco/0000-0003-2027-3893; FOTOPOULOU, ANASTASIA/0000-0001-5619-0681; GARAGNANI, SIMONE/0000-0002-9509-6564; MAZZOLI, CECILIA/0000-0002-5866-2061</t>
        </is>
      </c>
      <c r="AD778" t="inlineStr">
        <is>
          <t>European Union's Horizon 2020 Innovation action [723747]; H2020 Societal Challenges Programme [723747] Funding Source: H2020 Societal Challenges Programme</t>
        </is>
      </c>
      <c r="AE778" t="inlineStr">
        <is>
          <t>European Union's Horizon 2020 Innovation action(Horizon 2020); H2020 Societal Challenges Programme(Horizon 2020)</t>
        </is>
      </c>
      <c r="AF778" t="inlineStr">
        <is>
          <t>The research project received funding from the European Union's Horizon 2020 Innovation action under grant agreement No 723747.</t>
        </is>
      </c>
      <c r="AH778" t="n">
        <v>47</v>
      </c>
      <c r="AI778" t="n">
        <v>7</v>
      </c>
      <c r="AJ778" t="n">
        <v>7</v>
      </c>
      <c r="AK778" t="n">
        <v>4</v>
      </c>
      <c r="AL778" t="n">
        <v>17</v>
      </c>
      <c r="AM778" t="inlineStr">
        <is>
          <t>MDPI</t>
        </is>
      </c>
      <c r="AN778" t="inlineStr">
        <is>
          <t>BASEL</t>
        </is>
      </c>
      <c r="AO778" t="inlineStr">
        <is>
          <t>ST ALBAN-ANLAGE 66, CH-4052 BASEL, SWITZERLAND</t>
        </is>
      </c>
      <c r="AQ778" t="inlineStr">
        <is>
          <t>2071-1050</t>
        </is>
      </c>
      <c r="AS778" t="inlineStr">
        <is>
          <t>SUSTAINABILITY-BASEL</t>
        </is>
      </c>
      <c r="AT778" t="inlineStr">
        <is>
          <t>Sustainability</t>
        </is>
      </c>
      <c r="AU778" t="inlineStr">
        <is>
          <t>MAY</t>
        </is>
      </c>
      <c r="AV778" t="n">
        <v>2021</v>
      </c>
      <c r="AW778" t="n">
        <v>13</v>
      </c>
      <c r="AX778" t="n">
        <v>9</v>
      </c>
      <c r="BE778" t="n">
        <v>4658</v>
      </c>
      <c r="BF778" t="inlineStr">
        <is>
          <t>10.3390/su13094658</t>
        </is>
      </c>
      <c r="BG778">
        <f>HYPERLINK("http://dx.doi.org/10.3390/su13094658","http://dx.doi.org/10.3390/su13094658")</f>
        <v/>
      </c>
      <c r="BJ778" t="n">
        <v>24</v>
      </c>
      <c r="BK778" t="inlineStr">
        <is>
          <t>Green &amp; Sustainable Science &amp; Technology; Environmental Sciences; Environmental Studies</t>
        </is>
      </c>
      <c r="BL778" t="inlineStr">
        <is>
          <t>Science Citation Index Expanded (SCI-EXPANDED); Social Science Citation Index (SSCI)</t>
        </is>
      </c>
      <c r="BM778" t="inlineStr">
        <is>
          <t>Science &amp; Technology - Other Topics; Environmental Sciences &amp; Ecology</t>
        </is>
      </c>
      <c r="BN778" t="inlineStr">
        <is>
          <t>SC7VV</t>
        </is>
      </c>
      <c r="BP778" t="inlineStr">
        <is>
          <t>Green Published, gold</t>
        </is>
      </c>
      <c r="BS778" t="inlineStr">
        <is>
          <t>2023-10-26</t>
        </is>
      </c>
      <c r="BT778" t="inlineStr">
        <is>
          <t>WOS:000650874500001</t>
        </is>
      </c>
      <c r="BU778">
        <f>HYPERLINK("https%3A%2F%2Fwww.webofscience.com%2Fwos%2Fwoscc%2Ffull-record%2FWOS:000650874500001","View Full Record in Web of Science")</f>
        <v/>
      </c>
    </row>
    <row r="779">
      <c r="A779" t="inlineStr">
        <is>
          <t>J</t>
        </is>
      </c>
      <c r="B779" t="inlineStr">
        <is>
          <t>Sabbarese, C; Ambrosino, F; D'Onofrio, A</t>
        </is>
      </c>
      <c r="F779" t="inlineStr">
        <is>
          <t>Sabbarese, C.; Ambrosino, F.; D'Onofrio, A.</t>
        </is>
      </c>
      <c r="J779" t="inlineStr">
        <is>
          <t>JOURNAL OF ENVIRONMENTAL RADIOACTIVITY</t>
        </is>
      </c>
      <c r="M779" t="inlineStr">
        <is>
          <t>English</t>
        </is>
      </c>
      <c r="N779" t="inlineStr">
        <is>
          <t>Article</t>
        </is>
      </c>
      <c r="T779" t="inlineStr">
        <is>
          <t>Development of radon transport model in different types of dwellings to assess indoor activity concentration</t>
        </is>
      </c>
      <c r="U779" t="inlineStr">
        <is>
          <t>Radon indoor; Dwelling; Radon transport equation; Finite difference method; Building materials; Radon in soils</t>
        </is>
      </c>
      <c r="V779" t="inlineStr">
        <is>
          <t>BUILDING-MATERIALS; NATURAL RADIOACTIVITY; RADIUM DISTRIBUTION; DIFFUSION; SOIL; EMANATION; EXHALATION; EQUATION; FLUX; FLOW</t>
        </is>
      </c>
      <c r="W779" t="inlineStr">
        <is>
          <t>The influence of different building types on the activity concentration of Radon indoor is studied through transport models in soil and building materials. The numerical solutions of the relevant transport equations are solved by the finite differences method (FDM) and used to evaluate the indoor Radon activity concentration. Several boundary conditions are introduced to simulate the Radon entry into the buildings from soils and to assess the Radon activity concentration at the different floors. The types of dwelling investigated differ in the position of the lower floor respect to the ground. Comparisons are made to modeling assessments obtained considering different soil characteristics underneath the building and building materials to simulate indoor Radon activity concentration. These investigations lead to the conclusion that, in addition to the nature of the soil and building materials, the position of lower floor of dwellings plays a significant role in determining the amount of radon entry into residential buildings. This work is effective to assess the health hazards coming from the Radon accumulation in living environments.</t>
        </is>
      </c>
      <c r="X779" t="inlineStr">
        <is>
          <t>[Sabbarese, C.; Ambrosino, F.; D'Onofrio, A.] Univ Campania Luigi Vanvitelli, Dept Math &amp; Phys, Viale Lincoln 5, I-81100 Caserta, Italy</t>
        </is>
      </c>
      <c r="Y779" t="inlineStr">
        <is>
          <t>Universita della Campania Vanvitelli</t>
        </is>
      </c>
      <c r="Z779" t="inlineStr">
        <is>
          <t>Sabbarese, C (corresponding author), Univ Campania Luigi Vanvitelli, Dept Math &amp; Phys, Viale Lincoln 5, I-81100 Caserta, Italy.</t>
        </is>
      </c>
      <c r="AA779" t="inlineStr">
        <is>
          <t>carlo.sabbarese@unicampania.it</t>
        </is>
      </c>
      <c r="AB779" t="inlineStr">
        <is>
          <t>cao, xiaoxiang/AAR-9291-2021</t>
        </is>
      </c>
      <c r="AD779" t="inlineStr">
        <is>
          <t>University of Campania Luigi Vanvitelli through the VALERE PLUS 2018 PROGRAM</t>
        </is>
      </c>
      <c r="AE779" t="inlineStr">
        <is>
          <t>University of Campania Luigi Vanvitelli through the VALERE PLUS 2018 PROGRAM</t>
        </is>
      </c>
      <c r="AF779" t="inlineStr">
        <is>
          <t>The authors are grateful to the University of Campania Luigi Vanvitelli for the financial support provided through the VALERE PLUS 2018 PROGRAM.</t>
        </is>
      </c>
      <c r="AH779" t="n">
        <v>66</v>
      </c>
      <c r="AI779" t="n">
        <v>24</v>
      </c>
      <c r="AJ779" t="n">
        <v>24</v>
      </c>
      <c r="AK779" t="n">
        <v>1</v>
      </c>
      <c r="AL779" t="n">
        <v>12</v>
      </c>
      <c r="AM779" t="inlineStr">
        <is>
          <t>ELSEVIER SCI LTD</t>
        </is>
      </c>
      <c r="AN779" t="inlineStr">
        <is>
          <t>OXFORD</t>
        </is>
      </c>
      <c r="AO779" t="inlineStr">
        <is>
          <t>THE BOULEVARD, LANGFORD LANE, KIDLINGTON, OXFORD OX5 1GB, OXON, ENGLAND</t>
        </is>
      </c>
      <c r="AP779" t="inlineStr">
        <is>
          <t>0265-931X</t>
        </is>
      </c>
      <c r="AQ779" t="inlineStr">
        <is>
          <t>1879-1700</t>
        </is>
      </c>
      <c r="AS779" t="inlineStr">
        <is>
          <t>J ENVIRON RADIOACTIV</t>
        </is>
      </c>
      <c r="AT779" t="inlineStr">
        <is>
          <t>J. Environ. Radioact.</t>
        </is>
      </c>
      <c r="AU779" t="inlineStr">
        <is>
          <t>FEB</t>
        </is>
      </c>
      <c r="AV779" t="n">
        <v>2021</v>
      </c>
      <c r="AW779" t="n">
        <v>227</v>
      </c>
      <c r="BE779" t="n">
        <v>106501</v>
      </c>
      <c r="BF779" t="inlineStr">
        <is>
          <t>10.1016/j.jenvrad.2020.106501</t>
        </is>
      </c>
      <c r="BG779">
        <f>HYPERLINK("http://dx.doi.org/10.1016/j.jenvrad.2020.106501","http://dx.doi.org/10.1016/j.jenvrad.2020.106501")</f>
        <v/>
      </c>
      <c r="BJ779" t="n">
        <v>7</v>
      </c>
      <c r="BK779" t="inlineStr">
        <is>
          <t>Environmental Sciences</t>
        </is>
      </c>
      <c r="BL779" t="inlineStr">
        <is>
          <t>Science Citation Index Expanded (SCI-EXPANDED)</t>
        </is>
      </c>
      <c r="BM779" t="inlineStr">
        <is>
          <t>Environmental Sciences &amp; Ecology</t>
        </is>
      </c>
      <c r="BN779" t="inlineStr">
        <is>
          <t>PL8FH</t>
        </is>
      </c>
      <c r="BO779" t="n">
        <v>33310392</v>
      </c>
      <c r="BS779" t="inlineStr">
        <is>
          <t>2023-10-26</t>
        </is>
      </c>
      <c r="BT779" t="inlineStr">
        <is>
          <t>WOS:000603350000008</t>
        </is>
      </c>
      <c r="BU779">
        <f>HYPERLINK("https%3A%2F%2Fwww.webofscience.com%2Fwos%2Fwoscc%2Ffull-record%2FWOS:000603350000008","View Full Record in Web of Science")</f>
        <v/>
      </c>
    </row>
    <row r="780">
      <c r="A780" t="inlineStr">
        <is>
          <t>J</t>
        </is>
      </c>
      <c r="B780" t="inlineStr">
        <is>
          <t>Muldoon-Smith, K; Moreton, L; Kotter, R</t>
        </is>
      </c>
      <c r="F780" t="inlineStr">
        <is>
          <t>Muldoon-Smith, Kevin; Moreton, Leo; Kotter, Richard</t>
        </is>
      </c>
      <c r="J780" t="inlineStr">
        <is>
          <t>FRONTIERS IN SUSTAINABLE CITIES</t>
        </is>
      </c>
      <c r="M780" t="inlineStr">
        <is>
          <t>English</t>
        </is>
      </c>
      <c r="N780" t="inlineStr">
        <is>
          <t>Article</t>
        </is>
      </c>
      <c r="T780" t="inlineStr">
        <is>
          <t>Meaningful Transfer: Tech-Knowlogical Interdependencies in the Digital Built Environment</t>
        </is>
      </c>
      <c r="U780" t="inlineStr">
        <is>
          <t>tacit knowledge; pipelines; digital built environment; techno-politics; Actor Network theory; Science and Technology studies; organisational theory</t>
        </is>
      </c>
      <c r="V780" t="inlineStr">
        <is>
          <t>TACIT KNOWLEDGE; ECONOMIC-GEOGRAPHY; SMART CITIES; NETWORKS; MOBILITIES; CHALLENGES; PROPERTY; CIRCUITS; POLITICS</t>
        </is>
      </c>
      <c r="W780" t="inlineStr">
        <is>
          <t>This paper engages with ideas of tacit and explicit knowledge, how it is created, transferred, and ultimately translated in contemporary discourses of the digital built environment. The aim is to open a more critical and original dialogue in the digital built environment by (a) interrogating digital innovation as it strives to utilise relatively distilled information to enhance the sustainable design, construction and operation of the built environment and wider urban areas, (b) representing the rights of those whose knowledge is created and transferred in the digital built environment and (c) by further understanding the context of knowledge creation, and thus maximising its potential for scaling up sustainability objectives. The paper considers the conceptual and methodological tools that may help to focus more novel analysis of knowledge production and transfer in the digital built environment. The paper considers three conceptual positions that have hitherto been considered either in isolation or only tangentially connected to each other: (1) Science and Technology Studies (STS), in order to understand how society and technology is intertwined and importantly to form a meaningful backdrop for engagement with knowledge; (2) Organisational Theory (OT) and the concept of pipelines, in order to understand how organisations-and more broadly cities-can meaningfully capture and utilise knowledge when transitioning to digitally enabled sustainable futures; (3) Aspects of Actor Network Theory (ANT), in order to understand how knowledge travels and gets translated and institutionalised in new domains. Furthermore, we also use the same conceptual positions to argue how following knowledge can help individuals and society navigate the digital built environment. Our findings suggest that smart technology is a social prosthesis, and only works because humans make up for its deficiencies.</t>
        </is>
      </c>
      <c r="X780" t="inlineStr">
        <is>
          <t>[Muldoon-Smith, Kevin; Moreton, Leo; Kotter, Richard] Northumbria Univ, Dept Architecture &amp; Built Environm, Newcastle Upon Tyne, Tyne &amp; Wear, England</t>
        </is>
      </c>
      <c r="Y780" t="inlineStr">
        <is>
          <t>Northumbria University</t>
        </is>
      </c>
      <c r="Z780" t="inlineStr">
        <is>
          <t>Muldoon-Smith, K (corresponding author), Northumbria Univ, Dept Architecture &amp; Built Environm, Newcastle Upon Tyne, Tyne &amp; Wear, England.</t>
        </is>
      </c>
      <c r="AA780" t="inlineStr">
        <is>
          <t>k.muldoon-smith@northumbria.ac.uk</t>
        </is>
      </c>
      <c r="AB780" t="inlineStr">
        <is>
          <t>Kotter, Richard/I-7092-2019</t>
        </is>
      </c>
      <c r="AC780" t="inlineStr">
        <is>
          <t>Kotter, Richard/0000-0003-2741-5620</t>
        </is>
      </c>
      <c r="AH780" t="n">
        <v>82</v>
      </c>
      <c r="AI780" t="n">
        <v>0</v>
      </c>
      <c r="AJ780" t="n">
        <v>0</v>
      </c>
      <c r="AK780" t="n">
        <v>2</v>
      </c>
      <c r="AL780" t="n">
        <v>8</v>
      </c>
      <c r="AM780" t="inlineStr">
        <is>
          <t>FRONTIERS MEDIA SA</t>
        </is>
      </c>
      <c r="AN780" t="inlineStr">
        <is>
          <t>LAUSANNE</t>
        </is>
      </c>
      <c r="AO780" t="inlineStr">
        <is>
          <t>AVENUE DU TRIBUNAL FEDERAL 34, LAUSANNE, CH-1015, SWITZERLAND</t>
        </is>
      </c>
      <c r="AQ780" t="inlineStr">
        <is>
          <t>2624-9634</t>
        </is>
      </c>
      <c r="AS780" t="inlineStr">
        <is>
          <t>FRONT SUSTAIN CITIES</t>
        </is>
      </c>
      <c r="AT780" t="inlineStr">
        <is>
          <t>Front. Sustain. Cities</t>
        </is>
      </c>
      <c r="AV780" t="n">
        <v>2021</v>
      </c>
      <c r="AW780" t="n">
        <v>3</v>
      </c>
      <c r="BE780" t="n">
        <v>709800</v>
      </c>
      <c r="BF780" t="inlineStr">
        <is>
          <t>10.3389/frsc.2021.709800</t>
        </is>
      </c>
      <c r="BG780">
        <f>HYPERLINK("http://dx.doi.org/10.3389/frsc.2021.709800","http://dx.doi.org/10.3389/frsc.2021.709800")</f>
        <v/>
      </c>
      <c r="BJ780" t="n">
        <v>12</v>
      </c>
      <c r="BK780" t="inlineStr">
        <is>
          <t>Green &amp; Sustainable Science &amp; Technology; Environmental Sciences; Environmental Studies; Urban Studies</t>
        </is>
      </c>
      <c r="BL780" t="inlineStr">
        <is>
          <t>Emerging Sources Citation Index (ESCI)</t>
        </is>
      </c>
      <c r="BM780" t="inlineStr">
        <is>
          <t>Science &amp; Technology - Other Topics; Environmental Sciences &amp; Ecology; Urban Studies</t>
        </is>
      </c>
      <c r="BN780" t="inlineStr">
        <is>
          <t>YU2JA</t>
        </is>
      </c>
      <c r="BP780" t="inlineStr">
        <is>
          <t>gold, Green Accepted</t>
        </is>
      </c>
      <c r="BS780" t="inlineStr">
        <is>
          <t>2023-10-26</t>
        </is>
      </c>
      <c r="BT780" t="inlineStr">
        <is>
          <t>WOS:000751872400101</t>
        </is>
      </c>
      <c r="BU780">
        <f>HYPERLINK("https%3A%2F%2Fwww.webofscience.com%2Fwos%2Fwoscc%2Ffull-record%2FWOS:000751872400101","View Full Record in Web of Science")</f>
        <v/>
      </c>
    </row>
    <row r="781">
      <c r="A781" t="inlineStr">
        <is>
          <t>J</t>
        </is>
      </c>
      <c r="B781" t="inlineStr">
        <is>
          <t>Liaud, C; Dintzer, T; Tschamber, V; Trouve, G; Le Calvé, S</t>
        </is>
      </c>
      <c r="F781" t="inlineStr">
        <is>
          <t>Liaud, Celine; Dintzer, Thierry; Tschamber, Valerie; Trouve, Gwenaelle; Le Calve, Stephane</t>
        </is>
      </c>
      <c r="J781" t="inlineStr">
        <is>
          <t>ENVIRONMENTAL POLLUTION</t>
        </is>
      </c>
      <c r="M781" t="inlineStr">
        <is>
          <t>English</t>
        </is>
      </c>
      <c r="N781" t="inlineStr">
        <is>
          <t>Article</t>
        </is>
      </c>
      <c r="T781" t="inlineStr">
        <is>
          <t>Particle-bound PAHs quantification using a 3-stages cascade impactor in French indoor environments</t>
        </is>
      </c>
      <c r="U781" t="inlineStr">
        <is>
          <t>PAHs; Cascade impactor; Particles; Indoor air quality; HPLC-fluorescence</t>
        </is>
      </c>
      <c r="V781" t="inlineStr">
        <is>
          <t>POLYCYCLIC AROMATIC-HYDROCARBONS; OUTDOOR AIR; BLACK CARBON; GAS-PHASE; PARTICULATE; POLLUTION; CHINA; SIZE; EMISSIONS</t>
        </is>
      </c>
      <c r="W781" t="inlineStr">
        <is>
          <t>Cascade Impactor is a powerful sampling method to collect airborne particles as a function of their size. The 3-stages Cascade Impactor used in this study allowed to sample simultaneously particles with aerodynamic diameter D-ae &gt; 10 mu m, 2.5 mu m &lt; D-ae &lt; 10 mu m, 1 mu m &lt; D-ae &lt; 2.5 mu m and D-ae &lt; 1 mu m. Once collected individual concentrations of the 16 US-EPA priority Polycyclic Aromatic Hydrocarbons (PAHs) bound to particles were quantified for 8 different indoor environments located in Strasbourg area in France. All the heavy PAHs owning between 4 and 6 aromatic rings were detected in all of the 8 sampling sites. The total PAHs concentration varied from 0.44 to 2.09 ng m(-3) for a low-energy building school and a smoking apartment, respectively. Results revealed also that high molecular weight PAHs were mainly associated to the finest particles. Our data are consistent with those measured elsewhere in European indoor environments. (C) 2014 Elsevier Ltd. All rights reserved.</t>
        </is>
      </c>
      <c r="X781" t="inlineStr">
        <is>
          <t>[Liaud, Celine; Dintzer, Thierry; Le Calve, Stephane] Univ Strasbourg, CNRS, Inst Chim Proc Energie Environnem &amp; Sante, ICPEES,UMR 7515, Strasbourg, France; [Tschamber, Valerie; Trouve, Gwenaelle] Univ Haute Alsace, Lab Gest Risques &amp; Environm GRE, Mulhouse, France; [Le Calve, Stephane] In Air Solut, F-67000 Strasbourg, France</t>
        </is>
      </c>
      <c r="Y781" t="inlineStr">
        <is>
          <t>UDICE-French Research Universities; Universites de Strasbourg Etablissements Associes; Universite de Strasbourg; Centre National de la Recherche Scientifique (CNRS); CNRS - Institute of Chemistry (INC); Universites de Strasbourg Etablissements Associes; Universite de Haute-Alsace (UHA)</t>
        </is>
      </c>
      <c r="Z781" t="inlineStr">
        <is>
          <t>Le Calvé, S (corresponding author), Univ Strasbourg, CNRS, Inst Chim Proc Energie Environnem &amp; Sante, ICPEES,UMR 7515, Strasbourg, France.</t>
        </is>
      </c>
      <c r="AA781" t="inlineStr">
        <is>
          <t>slecalve@unistra.fr</t>
        </is>
      </c>
      <c r="AB781" t="inlineStr">
        <is>
          <t>TSCHAMBER, valerie/D-4566-2011; Le Calvé, Stéphane/K-7043-2016</t>
        </is>
      </c>
      <c r="AC781" t="inlineStr">
        <is>
          <t>TSCHAMBER, valerie/0000-0002-4415-4111; Le Calvé, Stéphane/0000-0002-8169-7086; TROUVE, Gwenaelle/0000-0003-4212-4661</t>
        </is>
      </c>
      <c r="AD781" t="inlineStr">
        <is>
          <t>French Ministry of Environment; ADEME through the PRIMEQUAL 2 program (Project MERMAID); region of Alsace; REseau Alsace de Laboratoires en Ingenierie et Sciences pour l'Environnement (REALISE)</t>
        </is>
      </c>
      <c r="AE781" t="inlineStr">
        <is>
          <t>French Ministry of Environment; ADEME through the PRIMEQUAL 2 program (Project MERMAID); region of Alsace(Region Grand-Est); REseau Alsace de Laboratoires en Ingenierie et Sciences pour l'Environnement (REALISE)</t>
        </is>
      </c>
      <c r="AF781" t="inlineStr">
        <is>
          <t>Financial support for this work has been provided by the French Ministry of Environment and ADEME through the PRIMEQUAL 2 program (Project MERMAID). This work was also supported by the region of Alsace and the REseau Alsace de Laboratoires en Ingenierie et Sciences pour l'Environnement (REALISE). We also acknowledge the air quality network ASPA for providing available data concerning outdoor PM concentrations in Strasbourg city: Information source: ASPA TD 13100801 and ASPA 14020702-TD.</t>
        </is>
      </c>
      <c r="AH781" t="n">
        <v>36</v>
      </c>
      <c r="AI781" t="n">
        <v>18</v>
      </c>
      <c r="AJ781" t="n">
        <v>18</v>
      </c>
      <c r="AK781" t="n">
        <v>1</v>
      </c>
      <c r="AL781" t="n">
        <v>19</v>
      </c>
      <c r="AM781" t="inlineStr">
        <is>
          <t>ELSEVIER SCI LTD</t>
        </is>
      </c>
      <c r="AN781" t="inlineStr">
        <is>
          <t>OXFORD</t>
        </is>
      </c>
      <c r="AO781" t="inlineStr">
        <is>
          <t>THE BOULEVARD, LANGFORD LANE, KIDLINGTON, OXFORD OX5 1GB, OXON, ENGLAND</t>
        </is>
      </c>
      <c r="AP781" t="inlineStr">
        <is>
          <t>0269-7491</t>
        </is>
      </c>
      <c r="AQ781" t="inlineStr">
        <is>
          <t>1873-6424</t>
        </is>
      </c>
      <c r="AS781" t="inlineStr">
        <is>
          <t>ENVIRON POLLUT</t>
        </is>
      </c>
      <c r="AT781" t="inlineStr">
        <is>
          <t>Environ. Pollut.</t>
        </is>
      </c>
      <c r="AU781" t="inlineStr">
        <is>
          <t>DEC</t>
        </is>
      </c>
      <c r="AV781" t="n">
        <v>2014</v>
      </c>
      <c r="AW781" t="n">
        <v>195</v>
      </c>
      <c r="BC781" t="n">
        <v>64</v>
      </c>
      <c r="BD781" t="n">
        <v>72</v>
      </c>
      <c r="BF781" t="inlineStr">
        <is>
          <t>10.1016/j.envpol.2014.08.007</t>
        </is>
      </c>
      <c r="BG781">
        <f>HYPERLINK("http://dx.doi.org/10.1016/j.envpol.2014.08.007","http://dx.doi.org/10.1016/j.envpol.2014.08.007")</f>
        <v/>
      </c>
      <c r="BJ781" t="n">
        <v>9</v>
      </c>
      <c r="BK781" t="inlineStr">
        <is>
          <t>Environmental Sciences</t>
        </is>
      </c>
      <c r="BL781" t="inlineStr">
        <is>
          <t>Science Citation Index Expanded (SCI-EXPANDED)</t>
        </is>
      </c>
      <c r="BM781" t="inlineStr">
        <is>
          <t>Environmental Sciences &amp; Ecology</t>
        </is>
      </c>
      <c r="BN781" t="inlineStr">
        <is>
          <t>AS7LM</t>
        </is>
      </c>
      <c r="BO781" t="n">
        <v>25194273</v>
      </c>
      <c r="BS781" t="inlineStr">
        <is>
          <t>2023-10-26</t>
        </is>
      </c>
      <c r="BT781" t="inlineStr">
        <is>
          <t>WOS:000344437600009</t>
        </is>
      </c>
      <c r="BU781">
        <f>HYPERLINK("https%3A%2F%2Fwww.webofscience.com%2Fwos%2Fwoscc%2Ffull-record%2FWOS:000344437600009","View Full Record in Web of Science")</f>
        <v/>
      </c>
    </row>
    <row r="782">
      <c r="A782" t="inlineStr">
        <is>
          <t>J</t>
        </is>
      </c>
      <c r="B782" t="inlineStr">
        <is>
          <t>Ramoo, K; Hairi, NN; Yahya, A; Choo, WY; Hairi, FM; Peramalah, D; Kandiben, S; Bulgiba, A; Ali, ZM; Razak, IA; Ismail, N; Ahmad, NS</t>
        </is>
      </c>
      <c r="F782" t="inlineStr">
        <is>
          <t>Ramoo, K.; Hairi, Noran N.; Yahya, A.; Choo, W. Y.; Hairi, F. Mohd; Peramalah, D.; Kandiben, S.; Bulgiba, A.; Ali, Z. Mohd; Razak, I. Abdul; Ismail, N.; Ahmad, N. S.</t>
        </is>
      </c>
      <c r="J782" t="inlineStr">
        <is>
          <t>INTERNATIONAL JOURNAL OF ENVIRONMENTAL RESEARCH AND PUBLIC HEALTH</t>
        </is>
      </c>
      <c r="M782" t="inlineStr">
        <is>
          <t>English</t>
        </is>
      </c>
      <c r="N782" t="inlineStr">
        <is>
          <t>Article</t>
        </is>
      </c>
      <c r="T782" t="inlineStr">
        <is>
          <t>Longitudinal Association between Sarcopenia and Cognitive Impairment among Older Adults in Rural Malaysia</t>
        </is>
      </c>
      <c r="U782" t="inlineStr">
        <is>
          <t>cognitive impairment; older adults; sarcopenia</t>
        </is>
      </c>
      <c r="V782" t="inlineStr">
        <is>
          <t>ASIAN WORKING GROUP; NIGROSTRIATAL DOPAMINE SYSTEM; SKELETAL-MUSCLE MASS; PERFORMANCE; AGE; PREVALENCE; EWGSOP; IMPACT; WOMEN</t>
        </is>
      </c>
      <c r="W782" t="inlineStr">
        <is>
          <t>Sarcopenia is a condition that is highly prevalent among older adults. This condition is linked to numerous adverse health outcomes, including cognitive impairment that impairs healthy ageing. While sarcopenia and cognitive impairment may share a common pathway, limited longitudinal studies exist to show the relationship between these two conditions. Therefore, this study aimed to examine the longitudinal association between sarcopenia and cognitive impairment. This is a cohort study among older adults residing in Kuala Pilah District, Negeri Sembilan, Malaysia. There were 2404 respondents at the baseline and 1946 respondents at one-year follow-up. Cognitive impairment was determined using Mini-mental State Examination scores. Sarcopenia was identified using the Asian Working Group for Sarcopenia 2019 criteria, gait speed was measured using a 4-meter gait test, handgrip strength was assessed using Jamar handheld dynamometer, and appendicular skeletal muscle mass was measured using bioelectrical impedance analysis. Generalized estimating equation (GEE) was used to determine the longitudinal association between sarcopenia and cognitive impairment, presented as relative risk (RR) and its 95% confidence interval. The prevalence of sarcopenia was 5.0% (95% CI 4.00-5.90), and severe sarcopenia was 3.60% (95% CI 2.84-4.31). Upon adjusting for covariates, older adults with sarcopenia have an 80 per cent increased risk of cognitive impairment compared to those without (RR 1.80; 95% CI 1.18-2.75). Similarly, severe sarcopenia was found to significantly increase the risk of cognitive impairment by 101 per cent in the adjusted model (RR 2.01; 95% CI 1.24-3.27). Our study showed that sarcopenia, severe sarcopenia, low physical activity, depressive symptoms, hearing impairment and chronic pain were associated with a higher risk of cognitive impairment among community-dwelling older adults. Therefore, early intervention to prevent sarcopenia, depressive symptoms, hearing impairment, chronic pain, and higher physical activity among older adults is recommended.</t>
        </is>
      </c>
      <c r="X782" t="inlineStr">
        <is>
          <t>[Ramoo, K.; Hairi, Noran N.; Yahya, A.; Choo, W. Y.; Hairi, F. Mohd; Peramalah, D.; Kandiben, S.; Bulgiba, A.] Univ Malaya, Fac Med, Dept Social &amp; Prevent Med, Ctr Epidemiol &amp; Evidence Based Practice, Kuala Lumpur 50603, Malaysia; [Hairi, Noran N.] Airlangga Univ, Fac Publ Hlth, Surabaya 60115, Indonesia; [Ali, Z. Mohd; Razak, I. Abdul] Negeri Sembilan State Hlth Dept JKNNS, Seremban 70300, Malaysia; [Ismail, N.] Minist Hlth Malay, Dis Control Div, Putrajaya 62590, Malaysia; [Ahmad, N. S.] Minist Hlth, Mental Hlth Injury Prevent Violence &amp; Subst Abuse, Dis Control Div, Putrajaya 62590, Malaysia</t>
        </is>
      </c>
      <c r="Y782" t="inlineStr">
        <is>
          <t>Universiti Malaya; Airlangga University; Kementerian Kesihatan Malaysia</t>
        </is>
      </c>
      <c r="Z782" t="inlineStr">
        <is>
          <t>Hairi, NN (corresponding author), Univ Malaya, Fac Med, Dept Social &amp; Prevent Med, Ctr Epidemiol &amp; Evidence Based Practice, Kuala Lumpur 50603, Malaysia.;Hairi, NN (corresponding author), Airlangga Univ, Fac Publ Hlth, Surabaya 60115, Indonesia.</t>
        </is>
      </c>
      <c r="AA782" t="inlineStr">
        <is>
          <t>karthikramoo84@gmail.com; noran@um.edu.my; abqariyah.yahya@ummc.edu.my; ccwy@um.edu.my; farizah@um.edu.my; devi@ummc.edu.my; priyas@um.edu.my; awang@ummc.edu.my; drzainudin@gmail.com; i_inayah@moh.gov.my; norliana.ismail@moh.gov.my; nursakinahahmad86@gmail.com</t>
        </is>
      </c>
      <c r="AB782" t="inlineStr">
        <is>
          <t>CHOO, WAN YUEN/B-8399-2010; HAIRI, NORAN/B-9339-2010; ., ABQARIYAH BINTI YAHYAAHMAD NOOR/HJH-0193-2022; Hairi, Farizah MOHD/B-8497-2010; devi@ummc.edu.my, devi@ummc.edu.my/GYU-6462-2022; Bulgiba, Awang/B-8271-2010</t>
        </is>
      </c>
      <c r="AC782" t="inlineStr">
        <is>
          <t>CHOO, WAN YUEN/0000-0002-2644-6073; HAIRI, NORAN/0000-0002-2692-9016; Hairi, Farizah MOHD/0000-0002-2582-3121; Bulgiba, Awang/0000-0002-5313-0445</t>
        </is>
      </c>
      <c r="AD782" t="inlineStr">
        <is>
          <t>Ministry of Higher Education High Impact Research STeMM grant [E000010-20001]; University of Malaya Grant Challenge (PEACE) [GC001A-14HTM, GC001D-14HTM]; Credit Counselling and Debt Management Agency through the Prevent Elder Financial Exploitation 2.0 (PEACE 2.0) [GA023-2021]</t>
        </is>
      </c>
      <c r="AE782" t="inlineStr">
        <is>
          <t>Ministry of Higher Education High Impact Research STeMM grant; University of Malaya Grant Challenge (PEACE); Credit Counselling and Debt Management Agency through the Prevent Elder Financial Exploitation 2.0 (PEACE 2.0)</t>
        </is>
      </c>
      <c r="AF782" t="inlineStr">
        <is>
          <t>This study was supported by the Ministry of Higher Education High Impact Research STeMM grant (E000010-20001), the University of Malaya Grant Challenge (PEACE) (GC001A-14HTM; GC001D-14HTM) and the Credit Counselling and Debt Management Agency through the Prevent Elder Financial Exploitation 2.0 (PEACE 2.0) (GA023-2021).</t>
        </is>
      </c>
      <c r="AH782" t="n">
        <v>61</v>
      </c>
      <c r="AI782" t="n">
        <v>6</v>
      </c>
      <c r="AJ782" t="n">
        <v>6</v>
      </c>
      <c r="AK782" t="n">
        <v>3</v>
      </c>
      <c r="AL782" t="n">
        <v>16</v>
      </c>
      <c r="AM782" t="inlineStr">
        <is>
          <t>MDPI</t>
        </is>
      </c>
      <c r="AN782" t="inlineStr">
        <is>
          <t>BASEL</t>
        </is>
      </c>
      <c r="AO782" t="inlineStr">
        <is>
          <t>ST ALBAN-ANLAGE 66, CH-4052 BASEL, SWITZERLAND</t>
        </is>
      </c>
      <c r="AQ782" t="inlineStr">
        <is>
          <t>1660-4601</t>
        </is>
      </c>
      <c r="AS782" t="inlineStr">
        <is>
          <t>INT J ENV RES PUB HE</t>
        </is>
      </c>
      <c r="AT782" t="inlineStr">
        <is>
          <t>Int. J. Environ. Res. Public Health</t>
        </is>
      </c>
      <c r="AU782" t="inlineStr">
        <is>
          <t>APR</t>
        </is>
      </c>
      <c r="AV782" t="n">
        <v>2022</v>
      </c>
      <c r="AW782" t="n">
        <v>19</v>
      </c>
      <c r="AX782" t="n">
        <v>8</v>
      </c>
      <c r="BE782" t="n">
        <v>4723</v>
      </c>
      <c r="BF782" t="inlineStr">
        <is>
          <t>10.3390/ijerph19084723</t>
        </is>
      </c>
      <c r="BG782">
        <f>HYPERLINK("http://dx.doi.org/10.3390/ijerph19084723","http://dx.doi.org/10.3390/ijerph19084723")</f>
        <v/>
      </c>
      <c r="BJ782" t="n">
        <v>11</v>
      </c>
      <c r="BK782" t="inlineStr">
        <is>
          <t>Environmental Sciences; Public, Environmental &amp; Occupational Health</t>
        </is>
      </c>
      <c r="BL782" t="inlineStr">
        <is>
          <t>Science Citation Index Expanded (SCI-EXPANDED); Social Science Citation Index (SSCI)</t>
        </is>
      </c>
      <c r="BM782" t="inlineStr">
        <is>
          <t>Environmental Sciences &amp; Ecology; Public, Environmental &amp; Occupational Health</t>
        </is>
      </c>
      <c r="BN782" t="inlineStr">
        <is>
          <t>0U2UM</t>
        </is>
      </c>
      <c r="BO782" t="n">
        <v>35457592</v>
      </c>
      <c r="BP782" t="inlineStr">
        <is>
          <t>gold, Green Published</t>
        </is>
      </c>
      <c r="BS782" t="inlineStr">
        <is>
          <t>2023-10-26</t>
        </is>
      </c>
      <c r="BT782" t="inlineStr">
        <is>
          <t>WOS:000787509800001</t>
        </is>
      </c>
      <c r="BU782">
        <f>HYPERLINK("https%3A%2F%2Fwww.webofscience.com%2Fwos%2Fwoscc%2Ffull-record%2FWOS:000787509800001","View Full Record in Web of Science")</f>
        <v/>
      </c>
    </row>
    <row r="783">
      <c r="A783" t="inlineStr">
        <is>
          <t>J</t>
        </is>
      </c>
      <c r="B783" t="inlineStr">
        <is>
          <t>Bian, MY; Huang, ZJ; Chen, Q; Liu, G; Zhang, Y; Ding, SS</t>
        </is>
      </c>
      <c r="F783" t="inlineStr">
        <is>
          <t>Bian, Mengyuan; Huang, Zhijia; Chen, Qing; Liu, Guo; Zhang, Yang; Ding, Shanshan</t>
        </is>
      </c>
      <c r="J783" t="inlineStr">
        <is>
          <t>SUSTAINABILITY</t>
        </is>
      </c>
      <c r="M783" t="inlineStr">
        <is>
          <t>English</t>
        </is>
      </c>
      <c r="N783" t="inlineStr">
        <is>
          <t>Article</t>
        </is>
      </c>
      <c r="T783" t="inlineStr">
        <is>
          <t>Optimization of Plane and Space of New Dwellings in Southern Anhui Province Based on Indoor Thermal Environment</t>
        </is>
      </c>
      <c r="U783" t="inlineStr">
        <is>
          <t>new dwellings in southern Anhui province; plane and space; indoor thermal environment; energy consumption; optimal design</t>
        </is>
      </c>
      <c r="V783" t="inlineStr">
        <is>
          <t>BUILDINGS; DESIGN</t>
        </is>
      </c>
      <c r="W783" t="inlineStr">
        <is>
          <t>Considering the problems of poor plane and space design, poor indoor thermal environment, and high energy consumption of dwellings in southern Anhui province, and combining with the requirements of modern residential environment, the characteristics and changing laws of the plane and space organization of Huizhou traditional dwellings from the traditional period to the New Rural period and the inheritance requirements of Huizhou traditional dwellings, seven types of new dwellings in southern Anhui province were designed based on the survey and mapping of Huizhou traditional dwellings. DesignBuilder software is used for the new dwelling plan to simulate and optimize the indoor thermal environment as well as energy consumption of seven building plans. The results show that: High indoor thermal comfort and low energy consumption are observed in a large aspect ratio and fully enclosed room, and better indoor thermal comfort is observed in summer than in winter in rooms with courtyards, and better indoor thermal comfort and low energy consumption is observed when the rooms are located in the northeast, southwest, and south directions. The results have guiding significance for the construction of new dwellings that are comfortable and energy-saving, and distinctive in southern Anhui province.</t>
        </is>
      </c>
      <c r="X783" t="inlineStr">
        <is>
          <t>[Bian, Mengyuan; Huang, Zhijia; Liu, Guo; Zhang, Yang; Ding, Shanshan] Anhui Univ Technol, Sch Civil Engn &amp; Architecture, Maanshan 243032, Peoples R China; [Chen, Qing] Beijing Struct Power Technol Co, Shanghai 200001, Peoples R China</t>
        </is>
      </c>
      <c r="Y783" t="inlineStr">
        <is>
          <t>Anhui University of Technology</t>
        </is>
      </c>
      <c r="Z783" t="inlineStr">
        <is>
          <t>Huang, ZJ; Liu, G (corresponding author), Anhui Univ Technol, Sch Civil Engn &amp; Architecture, Maanshan 243032, Peoples R China.</t>
        </is>
      </c>
      <c r="AA783" t="inlineStr">
        <is>
          <t>bianmengyuan1997@163.com; hzj@ahut.edu.cn; chenqing@pkpm.com.cn; lgjycqu@163.com; zhya-8214@163.com; zhw19982022@163.com</t>
        </is>
      </c>
      <c r="AD783" t="inlineStr">
        <is>
          <t>National Natural Science Foundation of China [72001003]; National Undergraduate Innovation and Entrepreneurship Training Program [202110360145]</t>
        </is>
      </c>
      <c r="AE783" t="inlineStr">
        <is>
          <t>National Natural Science Foundation of China(National Natural Science Foundation of China (NSFC)); National Undergraduate Innovation and Entrepreneurship Training Program</t>
        </is>
      </c>
      <c r="AF783" t="inlineStr">
        <is>
          <t>This study was funded by the National Natural Science Foundation of China (No. 51478001), the National Natural Science Foundation of China (No. 72001003), and National Undergraduate Innovation and Entrepreneurship Training Program (No. 202110360145).</t>
        </is>
      </c>
      <c r="AH783" t="n">
        <v>14</v>
      </c>
      <c r="AI783" t="n">
        <v>1</v>
      </c>
      <c r="AJ783" t="n">
        <v>1</v>
      </c>
      <c r="AK783" t="n">
        <v>8</v>
      </c>
      <c r="AL783" t="n">
        <v>46</v>
      </c>
      <c r="AM783" t="inlineStr">
        <is>
          <t>MDPI</t>
        </is>
      </c>
      <c r="AN783" t="inlineStr">
        <is>
          <t>BASEL</t>
        </is>
      </c>
      <c r="AO783" t="inlineStr">
        <is>
          <t>ST ALBAN-ANLAGE 66, CH-4052 BASEL, SWITZERLAND</t>
        </is>
      </c>
      <c r="AQ783" t="inlineStr">
        <is>
          <t>2071-1050</t>
        </is>
      </c>
      <c r="AS783" t="inlineStr">
        <is>
          <t>SUSTAINABILITY-BASEL</t>
        </is>
      </c>
      <c r="AT783" t="inlineStr">
        <is>
          <t>Sustainability</t>
        </is>
      </c>
      <c r="AU783" t="inlineStr">
        <is>
          <t>MAY</t>
        </is>
      </c>
      <c r="AV783" t="n">
        <v>2022</v>
      </c>
      <c r="AW783" t="n">
        <v>14</v>
      </c>
      <c r="AX783" t="n">
        <v>9</v>
      </c>
      <c r="BE783" t="n">
        <v>5694</v>
      </c>
      <c r="BF783" t="inlineStr">
        <is>
          <t>10.3390/su14095694</t>
        </is>
      </c>
      <c r="BG783">
        <f>HYPERLINK("http://dx.doi.org/10.3390/su14095694","http://dx.doi.org/10.3390/su14095694")</f>
        <v/>
      </c>
      <c r="BJ783" t="n">
        <v>14</v>
      </c>
      <c r="BK783" t="inlineStr">
        <is>
          <t>Green &amp; Sustainable Science &amp; Technology; Environmental Sciences; Environmental Studies</t>
        </is>
      </c>
      <c r="BL783" t="inlineStr">
        <is>
          <t>Science Citation Index Expanded (SCI-EXPANDED); Social Science Citation Index (SSCI)</t>
        </is>
      </c>
      <c r="BM783" t="inlineStr">
        <is>
          <t>Science &amp; Technology - Other Topics; Environmental Sciences &amp; Ecology</t>
        </is>
      </c>
      <c r="BN783" t="inlineStr">
        <is>
          <t>1L4ZM</t>
        </is>
      </c>
      <c r="BP783" t="inlineStr">
        <is>
          <t>gold</t>
        </is>
      </c>
      <c r="BS783" t="inlineStr">
        <is>
          <t>2023-10-26</t>
        </is>
      </c>
      <c r="BT783" t="inlineStr">
        <is>
          <t>WOS:000799298300001</t>
        </is>
      </c>
      <c r="BU783">
        <f>HYPERLINK("https%3A%2F%2Fwww.webofscience.com%2Fwos%2Fwoscc%2Ffull-record%2FWOS:000799298300001","View Full Record in Web of Science")</f>
        <v/>
      </c>
    </row>
    <row r="784">
      <c r="A784" t="inlineStr">
        <is>
          <t>J</t>
        </is>
      </c>
      <c r="B784" t="inlineStr">
        <is>
          <t>Song, Y; Ren, F; Sun, D; Wang, MZ; Baker, JS; István, B; Gu, YD</t>
        </is>
      </c>
      <c r="F784" t="inlineStr">
        <is>
          <t>Song, Yang; Ren, Feng; Sun, Dong; Wang, Meizi; Baker, Julien S.; Istvan, Biro; Gu, Yaodong</t>
        </is>
      </c>
      <c r="J784" t="inlineStr">
        <is>
          <t>INTERNATIONAL JOURNAL OF ENVIRONMENTAL RESEARCH AND PUBLIC HEALTH</t>
        </is>
      </c>
      <c r="M784" t="inlineStr">
        <is>
          <t>English</t>
        </is>
      </c>
      <c r="N784" t="inlineStr">
        <is>
          <t>Review</t>
        </is>
      </c>
      <c r="T784" t="inlineStr">
        <is>
          <t>Benefits of Exercise on Influenza or Pneumonia in Older Adults: A Systematic Review</t>
        </is>
      </c>
      <c r="U784" t="inlineStr">
        <is>
          <t>exercise; influenza; pneumonia; older adults</t>
        </is>
      </c>
      <c r="V784" t="inlineStr">
        <is>
          <t>ANTIBODY-RESPONSE; VACCINATION RESPONSE; PSYCHOSOCIAL FACTORS; PANDEMIC INFLUENZA; AEROBIC EXERCISE; ACUTE STRESS; FRAILTY; INFECTION; INTERVENTION; ENHANCEMENT</t>
        </is>
      </c>
      <c r="W784" t="inlineStr">
        <is>
          <t>A coronavirus pandemic has recently become one of the greatest threats the world is facing. Older adults are under a high risk of infection because of weaker immune systems. Therefore, the purpose of this review is to summarize the recent scientific evidence that outlines the effects of exercise on influenza or pneumonia in older adults. An electronic literature search was conducted using the WEB OF SCIENCE, SCIENCEDIRECT and GOOGLE SCHOLAR databases using the following keywords, Exercise, Older adult, Influenza, and Pneumonia. Any randomized control trials, cross-sectional and observational studies that related to this topic were all included. Twenty studies met the eligibility criteria for this review. Thirteen randomized control trials investigated the effects of exercise on the immune responses to influenza or pneumonia vaccination: seven trials employed moderate aerobic exercise, three employed resistance exercise, and the remaining three used Asian martial arts or special home-based exercises. Five cross-sectional and two observational studies examined the associations between exercise/physical condition and influenza/pneumonia. Most of the current studies suggested that prolonged moderate aerobic exercise may help to reduce the risk of influenza-related infection and improve the immune responses to influenza or pneumonia vaccination in older adults. In addition, training in traditional Asian martial arts was also found to be beneficial. Future research should focus on the different effects of moderate and vigorous exercise on influenza-related diseases.</t>
        </is>
      </c>
      <c r="X784" t="inlineStr">
        <is>
          <t>[Song, Yang; Ren, Feng; Gu, Yaodong] Ningbo Univ, Fac Sports Sci, Ningbo 315211, Peoples R China; [Sun, Dong; Wang, Meizi] Univ Pannonia Veszeprem, Fac Engn, H-8200 Veszprem, Hungary; [Baker, Julien S.] Hong Kong Baptist Univ, Dept Sport &amp; Phys Educ, Hong Kong 999077, Peoples R China; [Istvan, Biro] Univ Szeged, Fac Engn, H-6724 Szeged, Hungary</t>
        </is>
      </c>
      <c r="Y784" t="inlineStr">
        <is>
          <t>Ningbo University; Hong Kong Baptist University; Szeged University</t>
        </is>
      </c>
      <c r="Z784" t="inlineStr">
        <is>
          <t>Ren, F; Gu, YD (corresponding author), Ningbo Univ, Fac Sports Sci, Ningbo 315211, Peoples R China.</t>
        </is>
      </c>
      <c r="AA784" t="inlineStr">
        <is>
          <t>NBUsongyang@hotmail.com; renfengnb@yeah.net; nbsundong@gmail.com; nbuwangmeizi@aliyun.com; jsbaker@hkbu.edu.hk; biro-i@mk.u-szeged.hu; guyaodong@hotmail.com</t>
        </is>
      </c>
      <c r="AC784" t="inlineStr">
        <is>
          <t>Sun, Dong/0000-0002-7634-5668; Baker, Julien/0000-0002-9093-7897; Ren, Feng/0000-0001-8314-8956; Song, Yang/0000-0001-7438-6290</t>
        </is>
      </c>
      <c r="AD784" t="inlineStr">
        <is>
          <t>Key Project of the National Social Science Foundation of China [19ZDA352]; National Natural Science Foundation of China [81772423]; NSFC-RSE Joint Project [81911530253]; National Key R&amp;D Program of China [2018YFF0300905]; K. C. Wong Magna Fund in Ningbo University</t>
        </is>
      </c>
      <c r="AE784" t="inlineStr">
        <is>
          <t>Key Project of the National Social Science Foundation of China(National Office of Philosophy and Social Sciences); National Natural Science Foundation of China(National Natural Science Foundation of China (NSFC)); NSFC-RSE Joint Project; National Key R&amp;D Program of China; K. C. Wong Magna Fund in Ningbo University</t>
        </is>
      </c>
      <c r="AF784" t="inlineStr">
        <is>
          <t>This study was sponsored by the by Key Project of the National Social Science Foundation of China (19ZDA352), National Natural Science Foundation of China (No. 81772423), NSFC-RSE Joint Project (81911530253), National Key R&amp;D Program of China (2018YFF0300905), and K. C. Wong Magna Fund in Ningbo University.</t>
        </is>
      </c>
      <c r="AH784" t="n">
        <v>53</v>
      </c>
      <c r="AI784" t="n">
        <v>28</v>
      </c>
      <c r="AJ784" t="n">
        <v>29</v>
      </c>
      <c r="AK784" t="n">
        <v>2</v>
      </c>
      <c r="AL784" t="n">
        <v>25</v>
      </c>
      <c r="AM784" t="inlineStr">
        <is>
          <t>MDPI</t>
        </is>
      </c>
      <c r="AN784" t="inlineStr">
        <is>
          <t>BASEL</t>
        </is>
      </c>
      <c r="AO784" t="inlineStr">
        <is>
          <t>ST ALBAN-ANLAGE 66, CH-4052 BASEL, SWITZERLAND</t>
        </is>
      </c>
      <c r="AQ784" t="inlineStr">
        <is>
          <t>1660-4601</t>
        </is>
      </c>
      <c r="AS784" t="inlineStr">
        <is>
          <t>INT J ENV RES PUB HE</t>
        </is>
      </c>
      <c r="AT784" t="inlineStr">
        <is>
          <t>Int. J. Environ. Res. Public Health</t>
        </is>
      </c>
      <c r="AU784" t="inlineStr">
        <is>
          <t>APR</t>
        </is>
      </c>
      <c r="AV784" t="n">
        <v>2020</v>
      </c>
      <c r="AW784" t="n">
        <v>17</v>
      </c>
      <c r="AX784" t="n">
        <v>8</v>
      </c>
      <c r="BE784" t="n">
        <v>2655</v>
      </c>
      <c r="BF784" t="inlineStr">
        <is>
          <t>10.3390/ijerph17082655</t>
        </is>
      </c>
      <c r="BG784">
        <f>HYPERLINK("http://dx.doi.org/10.3390/ijerph17082655","http://dx.doi.org/10.3390/ijerph17082655")</f>
        <v/>
      </c>
      <c r="BJ784" t="n">
        <v>15</v>
      </c>
      <c r="BK784" t="inlineStr">
        <is>
          <t>Environmental Sciences; Public, Environmental &amp; Occupational Health</t>
        </is>
      </c>
      <c r="BL784" t="inlineStr">
        <is>
          <t>Science Citation Index Expanded (SCI-EXPANDED); Social Science Citation Index (SSCI)</t>
        </is>
      </c>
      <c r="BM784" t="inlineStr">
        <is>
          <t>Environmental Sciences &amp; Ecology; Public, Environmental &amp; Occupational Health</t>
        </is>
      </c>
      <c r="BN784" t="inlineStr">
        <is>
          <t>LR5OL</t>
        </is>
      </c>
      <c r="BO784" t="n">
        <v>32294922</v>
      </c>
      <c r="BP784" t="inlineStr">
        <is>
          <t>Green Published, gold</t>
        </is>
      </c>
      <c r="BS784" t="inlineStr">
        <is>
          <t>2023-10-26</t>
        </is>
      </c>
      <c r="BT784" t="inlineStr">
        <is>
          <t>WOS:000535744100040</t>
        </is>
      </c>
      <c r="BU784">
        <f>HYPERLINK("https%3A%2F%2Fwww.webofscience.com%2Fwos%2Fwoscc%2Ffull-record%2FWOS:000535744100040","View Full Record in Web of Science")</f>
        <v/>
      </c>
    </row>
    <row r="785">
      <c r="A785" t="inlineStr">
        <is>
          <t>J</t>
        </is>
      </c>
      <c r="B785" t="inlineStr">
        <is>
          <t>Hong, XD; Zhang, WC; Chu, YP; Zhu, WY</t>
        </is>
      </c>
      <c r="F785" t="inlineStr">
        <is>
          <t>Hong, Xiaodan; Zhang, Weichen; Chu, Yiping; Zhu, Wenying</t>
        </is>
      </c>
      <c r="J785" t="inlineStr">
        <is>
          <t>INTERNATIONAL JOURNAL OF ENVIRONMENTAL RESEARCH AND PUBLIC HEALTH</t>
        </is>
      </c>
      <c r="M785" t="inlineStr">
        <is>
          <t>English</t>
        </is>
      </c>
      <c r="N785" t="inlineStr">
        <is>
          <t>Article</t>
        </is>
      </c>
      <c r="T785" t="inlineStr">
        <is>
          <t>Study on Subjective Evaluation of Acoustic Environment in Urban Open Space Based on Effective Characteristics</t>
        </is>
      </c>
      <c r="U785" t="inlineStr">
        <is>
          <t>acoustic environment quality evaluation; urban open space; subjective satisfaction; the satisfaction evaluation model of acoustic environment; effective characteristics; multivariable linear regression algorithm</t>
        </is>
      </c>
      <c r="V785" t="inlineStr">
        <is>
          <t>NOISE; ANNOYANCE; SOUNDSCAPE</t>
        </is>
      </c>
      <c r="W785" t="inlineStr">
        <is>
          <t>With the continuous expansion of urban scale with dense population and traffic and the gradual improvement of residents' requirements for environmental quality, the traditional evaluation method relying on acoustic energy is not enough to reflect the feelings of urban crowds about acoustic environment quality. The acoustic environment quality evaluation method based on human subjective perception has gradually become one of the research focuses in the field of environmental noise control. In recent years, various subjective and objective acoustic characteristic parameters have been introduced into the study of acoustic environment assessment in the global literature. However, the extraction of effective characteristics from a large number of physical and psychoacoustic characteristics contained in acoustic signals and the creation of a scientific and efficient subjective evaluation model have always been key technical problems in the field of acoustic environment evaluation. Based on subjective human perceptions, the overall acoustic environment quality evaluation of urban open spaces is studied in this paper. Based on the effective characteristic parameters and the subjective characteristic proposed in the previous research, including equivalent continuous A-weighted sound pressure level (L-A), the difference between median noise and ambient background noise (L-50 - L-90), Sharpness (Sh), as well as satisfaction (Sat), the multivariable linear regression algorithm is used to further study the intrinsic correlation between the proposed effective characteristics and subjective perception. Then, a satisfaction evaluation model of the acoustic environment based on effective characteristics is built in this paper. Furthermore, the soundwalk evaluation experiment and the MATLAB numerical simulation experiment are carried out, which verify that the prediction accuracy of the proposed model is more than 92%, the consistency of satisfaction level is more than 88%, as well as the changes in the values of Sh and L-50 - L-90 have a significant impact on the satisfaction prediction of the proposed model. It shows that the proposed effective characteristics more comprehensively describe the quality level of the regional acoustic environment in urban open space compared with a single L-A index, and the proposed acoustic environment satisfaction evaluation model based on effective characteristics has significant accuracy superiority and regional applicability.</t>
        </is>
      </c>
      <c r="X785" t="inlineStr">
        <is>
          <t>[Hong, Xiaodan; Zhang, Weichen; Chu, Yiping; Zhu, Wenying] Shanghai Acad Environm Sci, Shanghai 200233, Peoples R China; [Hong, Xiaodan; Zhang, Weichen; Chu, Yiping; Zhu, Wenying] Shanghai Engn Res Ctr Urban Environm Noise Contro, Shanghai 200233, Peoples R China</t>
        </is>
      </c>
      <c r="Z785" t="inlineStr">
        <is>
          <t>Hong, XD; Zhu, WY (corresponding author), Shanghai Acad Environm Sci, Shanghai 200233, Peoples R China.;Hong, XD; Zhu, WY (corresponding author), Shanghai Engn Res Ctr Urban Environm Noise Contro, Shanghai 200233, Peoples R China.</t>
        </is>
      </c>
      <c r="AA785" t="inlineStr">
        <is>
          <t>xd_hong@foxmail.com; zhangwc@saes.sh.cn; choiychu@163.com; zhuwy@saes.sh.cn</t>
        </is>
      </c>
      <c r="AB785" t="inlineStr">
        <is>
          <t>Hong, Xiaodan/AAG-1031-2021</t>
        </is>
      </c>
      <c r="AD785" t="inlineStr">
        <is>
          <t>Shanghai Municipal People's Government: Shanghai Environmental Protection Research Fund ([2018]) [27]; Shanghai Municipal People's Government: Shanghai Environmental Protection Research Fund ([2019]) [27]; Shanghai Science and Technology Commission: Shanghai Science and Technology Innovation Action Plan Morning Star Fund (Sailing Fund) [22YF1438300]; Shanghai Municipal People's Government: Shanghai Environmental Protection Research Fund ([2020]) [17]</t>
        </is>
      </c>
      <c r="AE785" t="inlineStr">
        <is>
          <t>Shanghai Municipal People's Government: Shanghai Environmental Protection Research Fund ([2018]); Shanghai Municipal People's Government: Shanghai Environmental Protection Research Fund ([2019]); Shanghai Science and Technology Commission: Shanghai Science and Technology Innovation Action Plan Morning Star Fund (Sailing Fund); Shanghai Municipal People's Government: Shanghai Environmental Protection Research Fund ([2020])</t>
        </is>
      </c>
      <c r="AF785" t="inlineStr">
        <is>
          <t>This research was funded by Shanghai Municipal People's Government: Shanghai Environmental Protection Research Fund ([2018] No. 27), Shanghai Environmental Protection Research Fund ([2019] No. 27), Shanghai Environmental Protection Research Fund ([2020] No. 17) and Shanghai Science and Technology Commission: Shanghai Science and Technology Innovation Action Plan Morning Star Fund (Sailing Fund 22YF1438300).</t>
        </is>
      </c>
      <c r="AH785" t="n">
        <v>46</v>
      </c>
      <c r="AI785" t="n">
        <v>2</v>
      </c>
      <c r="AJ785" t="n">
        <v>2</v>
      </c>
      <c r="AK785" t="n">
        <v>14</v>
      </c>
      <c r="AL785" t="n">
        <v>31</v>
      </c>
      <c r="AM785" t="inlineStr">
        <is>
          <t>MDPI</t>
        </is>
      </c>
      <c r="AN785" t="inlineStr">
        <is>
          <t>BASEL</t>
        </is>
      </c>
      <c r="AO785" t="inlineStr">
        <is>
          <t>ST ALBAN-ANLAGE 66, CH-4052 BASEL, SWITZERLAND</t>
        </is>
      </c>
      <c r="AQ785" t="inlineStr">
        <is>
          <t>1660-4601</t>
        </is>
      </c>
      <c r="AS785" t="inlineStr">
        <is>
          <t>INT J ENV RES PUB HE</t>
        </is>
      </c>
      <c r="AT785" t="inlineStr">
        <is>
          <t>Int. J. Environ. Res. Public Health</t>
        </is>
      </c>
      <c r="AU785" t="inlineStr">
        <is>
          <t>AUG</t>
        </is>
      </c>
      <c r="AV785" t="n">
        <v>2022</v>
      </c>
      <c r="AW785" t="n">
        <v>19</v>
      </c>
      <c r="AX785" t="n">
        <v>15</v>
      </c>
      <c r="BE785" t="n">
        <v>9231</v>
      </c>
      <c r="BF785" t="inlineStr">
        <is>
          <t>10.3390/ijerph19159231</t>
        </is>
      </c>
      <c r="BG785">
        <f>HYPERLINK("http://dx.doi.org/10.3390/ijerph19159231","http://dx.doi.org/10.3390/ijerph19159231")</f>
        <v/>
      </c>
      <c r="BJ785" t="n">
        <v>19</v>
      </c>
      <c r="BK785" t="inlineStr">
        <is>
          <t>Environmental Sciences; Public, Environmental &amp; Occupational Health</t>
        </is>
      </c>
      <c r="BL785" t="inlineStr">
        <is>
          <t>Science Citation Index Expanded (SCI-EXPANDED); Social Science Citation Index (SSCI)</t>
        </is>
      </c>
      <c r="BM785" t="inlineStr">
        <is>
          <t>Environmental Sciences &amp; Ecology; Public, Environmental &amp; Occupational Health</t>
        </is>
      </c>
      <c r="BN785" t="inlineStr">
        <is>
          <t>3R8MR</t>
        </is>
      </c>
      <c r="BO785" t="n">
        <v>35954584</v>
      </c>
      <c r="BP785" t="inlineStr">
        <is>
          <t>Green Published, gold</t>
        </is>
      </c>
      <c r="BS785" t="inlineStr">
        <is>
          <t>2023-10-26</t>
        </is>
      </c>
      <c r="BT785" t="inlineStr">
        <is>
          <t>WOS:000839160700001</t>
        </is>
      </c>
      <c r="BU785">
        <f>HYPERLINK("https%3A%2F%2Fwww.webofscience.com%2Fwos%2Fwoscc%2Ffull-record%2FWOS:000839160700001","View Full Record in Web of Science")</f>
        <v/>
      </c>
    </row>
    <row r="786">
      <c r="A786" t="inlineStr">
        <is>
          <t>J</t>
        </is>
      </c>
      <c r="B786" t="inlineStr">
        <is>
          <t>Harvey, JA; Chastin, SFM; Skelton, DA</t>
        </is>
      </c>
      <c r="F786" t="inlineStr">
        <is>
          <t>Harvey, Juliet A.; Chastin, Sebastien F. M.; Skelton, Dawn A.</t>
        </is>
      </c>
      <c r="J786" t="inlineStr">
        <is>
          <t>INTERNATIONAL JOURNAL OF ENVIRONMENTAL RESEARCH AND PUBLIC HEALTH</t>
        </is>
      </c>
      <c r="M786" t="inlineStr">
        <is>
          <t>English</t>
        </is>
      </c>
      <c r="N786" t="inlineStr">
        <is>
          <t>Review</t>
        </is>
      </c>
      <c r="T786" t="inlineStr">
        <is>
          <t>Prevalence of Sedentary Behavior in Older Adults: A Systematic Review</t>
        </is>
      </c>
      <c r="U786" t="inlineStr">
        <is>
          <t>sedentary; prevalence; aging; older adults; sitting; television; review</t>
        </is>
      </c>
      <c r="V786" t="inlineStr">
        <is>
          <t>TELEVISION VIEWING TIME; PHYSICAL-ACTIVITY; SITTING TIME; MORTALITY; RISK; ASSOCIATIONS; OBESITY; SPENT</t>
        </is>
      </c>
      <c r="W786" t="inlineStr">
        <is>
          <t>Sedentary behavior is a cluster of behaviors adopted in a sitting or lying posture where little energy is being expended. Sedentary behavior is a risk factor for health independent to inactivity. Currently, there are no published systematic reviews on the prevalence of sedentary behavior objectively measured in, or subjectively reported by, older adults. The aim of this systematic review was to collect and analyze published literature relating to reported prevalence of sedentary behavior, written in English, on human adults, where subjects aged 60 years and over were represented in the study. 23 reports covered data from 18 surveys sourced from seven countries. It was noted that sedentary behavior is defined in different ways by each survey. The majority of surveys included used self-report as a measurement of sedentary behavior. Objective measurements were also captured with the use of body worn accelerometers. Whether measurements are subjective or objective, the majority of older adults are sedentary. Almost 60% of older adult's reported sitting for more than 4 h per day, 65% sit in front of a screen for more than 3 h daily and over 55% report watching more than 2 h of TV. However, when measured objectively in a small survey, it was found that 67% of the older population were sedentary for more than 8.5 h daily.</t>
        </is>
      </c>
      <c r="X786" t="inlineStr">
        <is>
          <t>[Harvey, Juliet A.; Chastin, Sebastien F. M.; Skelton, Dawn A.] Glasgow Caledonian Univ, Sch Hlth Sci, Inst Appl Hlth Res, Glasgow G4 0BA, Lanark, Scotland</t>
        </is>
      </c>
      <c r="Y786" t="inlineStr">
        <is>
          <t>Glasgow Caledonian University</t>
        </is>
      </c>
      <c r="Z786" t="inlineStr">
        <is>
          <t>Harvey, JA (corresponding author), Glasgow Caledonian Univ, Sch Hlth Sci, Inst Appl Hlth Res, Cowcaddens Rd, Glasgow G4 0BA, Lanark, Scotland.</t>
        </is>
      </c>
      <c r="AA786" t="inlineStr">
        <is>
          <t>Juliet.Harvey@gcu.ac.uk; Sebastien.Chastin@gcu.ac.uk; Dawn.Skelton@gcu.ac.uk</t>
        </is>
      </c>
      <c r="AB786" t="inlineStr">
        <is>
          <t>Skelton, Dawn/B-7552-2013; Chastin, Sebastien/ABF-1455-2020</t>
        </is>
      </c>
      <c r="AC786" t="inlineStr">
        <is>
          <t>Skelton, Dawn/0000-0001-6223-9840; Chastin, Sebastien/0000-0003-1421-9348; Harvey, Juliet/0000-0003-1456-9110</t>
        </is>
      </c>
      <c r="AH786" t="n">
        <v>32</v>
      </c>
      <c r="AI786" t="n">
        <v>225</v>
      </c>
      <c r="AJ786" t="n">
        <v>228</v>
      </c>
      <c r="AK786" t="n">
        <v>5</v>
      </c>
      <c r="AL786" t="n">
        <v>47</v>
      </c>
      <c r="AM786" t="inlineStr">
        <is>
          <t>MDPI</t>
        </is>
      </c>
      <c r="AN786" t="inlineStr">
        <is>
          <t>BASEL</t>
        </is>
      </c>
      <c r="AO786" t="inlineStr">
        <is>
          <t>ST ALBAN-ANLAGE 66, CH-4052 BASEL, SWITZERLAND</t>
        </is>
      </c>
      <c r="AQ786" t="inlineStr">
        <is>
          <t>1660-4601</t>
        </is>
      </c>
      <c r="AS786" t="inlineStr">
        <is>
          <t>INT J ENV RES PUB HE</t>
        </is>
      </c>
      <c r="AT786" t="inlineStr">
        <is>
          <t>Int. J. Environ. Res. Public Health</t>
        </is>
      </c>
      <c r="AU786" t="inlineStr">
        <is>
          <t>DEC</t>
        </is>
      </c>
      <c r="AV786" t="n">
        <v>2013</v>
      </c>
      <c r="AW786" t="n">
        <v>10</v>
      </c>
      <c r="AX786" t="n">
        <v>12</v>
      </c>
      <c r="BC786" t="n">
        <v>6645</v>
      </c>
      <c r="BD786" t="n">
        <v>6661</v>
      </c>
      <c r="BF786" t="inlineStr">
        <is>
          <t>10.3390/ijerph10126645</t>
        </is>
      </c>
      <c r="BG786">
        <f>HYPERLINK("http://dx.doi.org/10.3390/ijerph10126645","http://dx.doi.org/10.3390/ijerph10126645")</f>
        <v/>
      </c>
      <c r="BJ786" t="n">
        <v>17</v>
      </c>
      <c r="BK786" t="inlineStr">
        <is>
          <t>Environmental Sciences; Public, Environmental &amp; Occupational Health</t>
        </is>
      </c>
      <c r="BL786" t="inlineStr">
        <is>
          <t>Science Citation Index Expanded (SCI-EXPANDED)</t>
        </is>
      </c>
      <c r="BM786" t="inlineStr">
        <is>
          <t>Environmental Sciences &amp; Ecology; Public, Environmental &amp; Occupational Health</t>
        </is>
      </c>
      <c r="BN786" t="inlineStr">
        <is>
          <t>296XV</t>
        </is>
      </c>
      <c r="BO786" t="n">
        <v>24317382</v>
      </c>
      <c r="BP786" t="inlineStr">
        <is>
          <t>Green Published, Green Submitted, gold</t>
        </is>
      </c>
      <c r="BS786" t="inlineStr">
        <is>
          <t>2023-10-26</t>
        </is>
      </c>
      <c r="BT786" t="inlineStr">
        <is>
          <t>WOS:000330219600023</t>
        </is>
      </c>
      <c r="BU786">
        <f>HYPERLINK("https%3A%2F%2Fwww.webofscience.com%2Fwos%2Fwoscc%2Ffull-record%2FWOS:000330219600023","View Full Record in Web of Science")</f>
        <v/>
      </c>
    </row>
    <row r="787">
      <c r="A787" t="inlineStr">
        <is>
          <t>J</t>
        </is>
      </c>
      <c r="B787" t="inlineStr">
        <is>
          <t>Lu, CY; Tsai, MC; Muo, CH; Kuo, YH; Sung, FC; Wu, CC</t>
        </is>
      </c>
      <c r="F787" t="inlineStr">
        <is>
          <t>Lu, Chung-Yen; Tsai, Meng-Chuan; Muo, Chih-Hsin; Kuo, Yu-Hsien; Sung, Fung-Chang; Wu, Chin-Ching</t>
        </is>
      </c>
      <c r="J787" t="inlineStr">
        <is>
          <t>INTERNATIONAL JOURNAL OF ENVIRONMENTAL RESEARCH AND PUBLIC HEALTH</t>
        </is>
      </c>
      <c r="M787" t="inlineStr">
        <is>
          <t>English</t>
        </is>
      </c>
      <c r="N787" t="inlineStr">
        <is>
          <t>Article</t>
        </is>
      </c>
      <c r="T787" t="inlineStr">
        <is>
          <t>Personal, Psychosocial and Environmental Factors Related to Sick Building Syndrome in Official Employees of Taiwan</t>
        </is>
      </c>
      <c r="U787" t="inlineStr">
        <is>
          <t>sick building syndrome; building-related symptoms; psychosocial stress; work environment; indoor air</t>
        </is>
      </c>
      <c r="V787" t="inlineStr">
        <is>
          <t>VOLATILE ORGANIC-COMPOUNDS; INDOOR AIR-POLLUTION; OXIDATIVE STRESS; SYNDROME SBS; SYMPTOMS; QUALITY; WORKERS; ASSOCIATIONS; TEMPERATURE; UNIVERSITY</t>
        </is>
      </c>
      <c r="W787" t="inlineStr">
        <is>
          <t>Sick building syndrome (SBS) is a combination of symptoms that can be attributed to exposure to specific building conditions. The present study recruited 389 participants aged 20-65 years from 87 offices of 16 institutions to examine if personal factors, work-related psychosocial stress, and work environments, were associated with five groups of SBS symptoms, including symptoms for eyes, upper respiratory tract, lower respiratory tract, skin, and non-specific systems. Indoor environmental conditions were monitored. Data were analyzed using multivariate logistic regression (MLR) analyses and were reported as adjusted Odds Ratios (aOR). SBS symptoms for eyes were associated with older age, sensitivity to tobacco, and low indoor air flow. Upper respiratory symptoms were related to smoking, low social support, longer work days, and dry air. High indoor air flow was associated with reduced upper respiratory symptoms (aOR = 0.29; 95% confidence interval (CI) = 0.13-0.67). Lower respiratory symptoms were associated with high work pressure, longer work hours, chemical exposure, migraine, and exposure to new interior painting. Recent interior painting exposure was associated with a high estimated relative risk of low respiratory symptoms (aOR = 20.6; 95% CI = 2.96-143). Smoking, longer work days, low indoor air flow, indoor dryness, and volatile organics exposure, were associated with other non-specified symptoms including headache, tiredness, difficulty concentrating, anger, and dizziness. In conclusion, there are various SBS symptoms associated with different personal characteristics, psychosocial, and environmental factors. Psychosocial factors had stronger relationships with lower respiratory symptoms than with other types of SBS symptoms. Good ventilation could reduce risk factors and may relieve SBS symptoms.</t>
        </is>
      </c>
      <c r="X787" t="inlineStr">
        <is>
          <t>[Lu, Chung-Yen; Tsai, Meng-Chuan] Da Yeh Univ, Dept Sport &amp; Hlth Management, Changhua 51591, Taiwan; [Muo, Chih-Hsin; Sung, Fung-Chang] China Med Univ Hosp, Management Off Hlth Data, Taichung 40447, Taiwan; [Kuo, Yu-Hsien] China Med Univ Hosp, Dept Chinese Med, Taichung 40447, Taiwan; [Sung, Fung-Chang] China Med Univ, Dept Hlth Serv Adm, Taichung 40402, Taiwan; [Wu, Chin-Ching] China Med Univ, Dept Publ Hlth, Taichung 40402, Taiwan</t>
        </is>
      </c>
      <c r="Y787" t="inlineStr">
        <is>
          <t>Da Yeh University; China Medical University Taiwan; China Medical University Hospital - Taiwan; China Medical University Taiwan; China Medical University Hospital - Taiwan; China Medical University Taiwan; China Medical University Taiwan</t>
        </is>
      </c>
      <c r="Z787" t="inlineStr">
        <is>
          <t>Sung, FC (corresponding author), China Med Univ Hosp, Management Off Hlth Data, Taichung 40447, Taiwan.;Sung, FC (corresponding author), China Med Univ, Dept Hlth Serv Adm, Taichung 40402, Taiwan.;Wu, CC (corresponding author), China Med Univ, Dept Publ Hlth, Taichung 40402, Taiwan.</t>
        </is>
      </c>
      <c r="AA787" t="inlineStr">
        <is>
          <t>chungyen@mail.dyu.edu.tw; dykama@mail.dyu.edu.tw; b8507006@gmail.com; u100030033@cmu.edu.tw; fcsung1008@yahoo.com; wucc@mail.cmu.edu.tw</t>
        </is>
      </c>
      <c r="AC787" t="inlineStr">
        <is>
          <t>Lu, Chung-Yen/0000-0003-0399-439X</t>
        </is>
      </c>
      <c r="AD787" t="inlineStr">
        <is>
          <t>Featured laboratory of Da-Yeh University, Taiwan R.O.C. [5241003-2]; Taiwan Ministry of Health and Welfare Clinical Trial and Research Center of Excellence [MOHW106-TDU-B-212-113004]; China Medical University Hospital; Academia Sinica Taiwan Biobank Stroke Biosignature Project [BM10601010036]; Taiwan Clinical Trial Consortium for Stroke [MOST 106-2321-B-039-005]; Tseng-Lien Lin Foundation, Taichung, Taiwan; Taiwan Brain Disease Foundation, Taipei, Taiwan; Katsuzo and Kiyo Aoshima Memorial Funds, Japan</t>
        </is>
      </c>
      <c r="AE787" t="inlineStr">
        <is>
          <t>Featured laboratory of Da-Yeh University, Taiwan R.O.C.; Taiwan Ministry of Health and Welfare Clinical Trial and Research Center of Excellence; China Medical University Hospital; Academia Sinica Taiwan Biobank Stroke Biosignature Project; Taiwan Clinical Trial Consortium for Stroke; Tseng-Lien Lin Foundation, Taichung, Taiwan; Taiwan Brain Disease Foundation, Taipei, Taiwan; Katsuzo and Kiyo Aoshima Memorial Funds, Japan</t>
        </is>
      </c>
      <c r="AF787" t="inlineStr">
        <is>
          <t>This study was sponsored by Featured laboratory of Da-Yeh University, Taiwan R.O.C. (project budget No. 5241003-2) and was supported through a grant from the Taiwan Ministry of Health and Welfare Clinical Trial and Research Center of Excellence (MOHW106-TDU-B-212-113004), China Medical University Hospital, Academia Sinica Taiwan Biobank Stroke Biosignature Project (BM10601010036), Taiwan Clinical Trial Consortium for Stroke(MOST 106-2321-B-039-005), Tseng-Lien Lin Foundation, Taichung, Taiwan, Taiwan Brain Disease Foundation, Taipei, Taiwan, and Katsuzo and Kiyo Aoshima Memorial Funds, Japan.</t>
        </is>
      </c>
      <c r="AH787" t="n">
        <v>33</v>
      </c>
      <c r="AI787" t="n">
        <v>37</v>
      </c>
      <c r="AJ787" t="n">
        <v>38</v>
      </c>
      <c r="AK787" t="n">
        <v>1</v>
      </c>
      <c r="AL787" t="n">
        <v>23</v>
      </c>
      <c r="AM787" t="inlineStr">
        <is>
          <t>MDPI</t>
        </is>
      </c>
      <c r="AN787" t="inlineStr">
        <is>
          <t>BASEL</t>
        </is>
      </c>
      <c r="AO787" t="inlineStr">
        <is>
          <t>ST ALBAN-ANLAGE 66, CH-4052 BASEL, SWITZERLAND</t>
        </is>
      </c>
      <c r="AP787" t="inlineStr">
        <is>
          <t>1660-4601</t>
        </is>
      </c>
      <c r="AS787" t="inlineStr">
        <is>
          <t>INT J ENV RES PUB HE</t>
        </is>
      </c>
      <c r="AT787" t="inlineStr">
        <is>
          <t>Int. J. Environ. Res. Public Health</t>
        </is>
      </c>
      <c r="AU787" t="inlineStr">
        <is>
          <t>JAN</t>
        </is>
      </c>
      <c r="AV787" t="n">
        <v>2018</v>
      </c>
      <c r="AW787" t="n">
        <v>15</v>
      </c>
      <c r="AX787" t="n">
        <v>1</v>
      </c>
      <c r="BE787" t="n">
        <v>7</v>
      </c>
      <c r="BF787" t="inlineStr">
        <is>
          <t>10.3390/ijerph15010007</t>
        </is>
      </c>
      <c r="BG787">
        <f>HYPERLINK("http://dx.doi.org/10.3390/ijerph15010007","http://dx.doi.org/10.3390/ijerph15010007")</f>
        <v/>
      </c>
      <c r="BJ787" t="n">
        <v>9</v>
      </c>
      <c r="BK787" t="inlineStr">
        <is>
          <t>Environmental Sciences; Public, Environmental &amp; Occupational Health</t>
        </is>
      </c>
      <c r="BL787" t="inlineStr">
        <is>
          <t>Science Citation Index Expanded (SCI-EXPANDED); Social Science Citation Index (SSCI)</t>
        </is>
      </c>
      <c r="BM787" t="inlineStr">
        <is>
          <t>Environmental Sciences &amp; Ecology; Public, Environmental &amp; Occupational Health</t>
        </is>
      </c>
      <c r="BN787" t="inlineStr">
        <is>
          <t>FU8QZ</t>
        </is>
      </c>
      <c r="BO787" t="n">
        <v>29271881</v>
      </c>
      <c r="BP787" t="inlineStr">
        <is>
          <t>Green Submitted, gold, Green Published</t>
        </is>
      </c>
      <c r="BS787" t="inlineStr">
        <is>
          <t>2023-10-26</t>
        </is>
      </c>
      <c r="BT787" t="inlineStr">
        <is>
          <t>WOS:000424121200007</t>
        </is>
      </c>
      <c r="BU787">
        <f>HYPERLINK("https%3A%2F%2Fwww.webofscience.com%2Fwos%2Fwoscc%2Ffull-record%2FWOS:000424121200007","View Full Record in Web of Science")</f>
        <v/>
      </c>
    </row>
    <row r="788">
      <c r="A788" t="inlineStr">
        <is>
          <t>J</t>
        </is>
      </c>
      <c r="B788" t="inlineStr">
        <is>
          <t>Liu, JY; Kwan, C; Deng, J; Hu, YX</t>
        </is>
      </c>
      <c r="F788" t="inlineStr">
        <is>
          <t>Liu, Jingyuan; Kwan, Crystal; Deng, Jie; Hu, Yuxi</t>
        </is>
      </c>
      <c r="J788" t="inlineStr">
        <is>
          <t>INTERNATIONAL JOURNAL OF ENVIRONMENTAL RESEARCH AND PUBLIC HEALTH</t>
        </is>
      </c>
      <c r="M788" t="inlineStr">
        <is>
          <t>English</t>
        </is>
      </c>
      <c r="N788" t="inlineStr">
        <is>
          <t>Review</t>
        </is>
      </c>
      <c r="T788" t="inlineStr">
        <is>
          <t>The Mental Health Impact of the COVID-19 Pandemic on Older Adults in China: A Systematic Review</t>
        </is>
      </c>
      <c r="U788" t="inlineStr">
        <is>
          <t>mental health; COVID-19 pandemic; older adults; China; systematic review</t>
        </is>
      </c>
      <c r="V788" t="inlineStr">
        <is>
          <t>GENERAL-POPULATION; PREVALENCE; SYMPTOMS</t>
        </is>
      </c>
      <c r="W788" t="inlineStr">
        <is>
          <t>Considered at a high risk during the COVID-19 pandemic, older adults in China not only face the disadvantages caused by their relatively low immune systems, but also the challenges brought about by the complex psychological environment in which they spend this special period of their life. However, a thorough study on the impact of the pandemic on older adults' mental health in China remains scant. Hence, this research aimed to investigate the question: What are the mental health outcomes and associated risk factors of the COVID-19 pandemic on older adults in China? Two Chinese academic databases (China National Knowledge Infrastructure and WANFANG DATA) as well as six English academic databases (PubMed, Scopus, Web of Science, MEDLINE, Social Science, and Google Scholar) were searched while following PRISMA guidelines. Studies were selected according to the predetermined inclusion criteria. Further, relatively high detective rates of mental health disorders, including anxiety symptoms (4.9% to 48.6%), depression symptoms (13.8% to 58.7%), hypochondria (11.9%), suicidal ideation (4.1%), along with worries and fear (55.7%) were all reported. The COVID-19 pandemic has presented a threat to not only the physical, but also the psychological health of Chinese older adults. The most common risk factors of psychological distress among Chinese older adults were found in female gender, living in rural areas, coexisting chronic diseases, and insufficient knowledge about the COVID pandemic. As a result, government policy and psychological guidelines that are created in order to alleviate the adverse effects of COVID-19 on older adults' mental health, need to be further developed.</t>
        </is>
      </c>
      <c r="X788" t="inlineStr">
        <is>
          <t>[Liu, Jingyuan; Kwan, Crystal; Deng, Jie; Hu, Yuxi] Hong Kong Polytech Univ, Dept Appl Social Sci, Hong Kong, Peoples R China</t>
        </is>
      </c>
      <c r="Y788" t="inlineStr">
        <is>
          <t>Hong Kong Polytechnic University</t>
        </is>
      </c>
      <c r="Z788" t="inlineStr">
        <is>
          <t>Liu, JY (corresponding author), Hong Kong Polytech Univ, Dept Appl Social Sci, Hong Kong, Peoples R China.</t>
        </is>
      </c>
      <c r="AA788" t="inlineStr">
        <is>
          <t>21120287r@connect.polyu.hk</t>
        </is>
      </c>
      <c r="AB788" t="inlineStr">
        <is>
          <t>wang, KiKi/JFZ-3334-2023</t>
        </is>
      </c>
      <c r="AC788" t="inlineStr">
        <is>
          <t>HU, Yuxi/0009-0006-0896-1801</t>
        </is>
      </c>
      <c r="AH788" t="n">
        <v>47</v>
      </c>
      <c r="AI788" t="n">
        <v>2</v>
      </c>
      <c r="AJ788" t="n">
        <v>2</v>
      </c>
      <c r="AK788" t="n">
        <v>17</v>
      </c>
      <c r="AL788" t="n">
        <v>27</v>
      </c>
      <c r="AM788" t="inlineStr">
        <is>
          <t>MDPI</t>
        </is>
      </c>
      <c r="AN788" t="inlineStr">
        <is>
          <t>BASEL</t>
        </is>
      </c>
      <c r="AO788" t="inlineStr">
        <is>
          <t>ST ALBAN-ANLAGE 66, CH-4052 BASEL, SWITZERLAND</t>
        </is>
      </c>
      <c r="AQ788" t="inlineStr">
        <is>
          <t>1660-4601</t>
        </is>
      </c>
      <c r="AS788" t="inlineStr">
        <is>
          <t>INT J ENV RES PUB HE</t>
        </is>
      </c>
      <c r="AT788" t="inlineStr">
        <is>
          <t>Int. J. Environ. Res. Public Health</t>
        </is>
      </c>
      <c r="AU788" t="inlineStr">
        <is>
          <t>NOV</t>
        </is>
      </c>
      <c r="AV788" t="n">
        <v>2022</v>
      </c>
      <c r="AW788" t="n">
        <v>19</v>
      </c>
      <c r="AX788" t="n">
        <v>21</v>
      </c>
      <c r="BE788" t="n">
        <v>14362</v>
      </c>
      <c r="BF788" t="inlineStr">
        <is>
          <t>10.3390/ijerph192114362</t>
        </is>
      </c>
      <c r="BG788">
        <f>HYPERLINK("http://dx.doi.org/10.3390/ijerph192114362","http://dx.doi.org/10.3390/ijerph192114362")</f>
        <v/>
      </c>
      <c r="BJ788" t="n">
        <v>19</v>
      </c>
      <c r="BK788" t="inlineStr">
        <is>
          <t>Environmental Sciences; Public, Environmental &amp; Occupational Health</t>
        </is>
      </c>
      <c r="BL788" t="inlineStr">
        <is>
          <t>Science Citation Index Expanded (SCI-EXPANDED); Social Science Citation Index (SSCI)</t>
        </is>
      </c>
      <c r="BM788" t="inlineStr">
        <is>
          <t>Environmental Sciences &amp; Ecology; Public, Environmental &amp; Occupational Health</t>
        </is>
      </c>
      <c r="BN788" t="inlineStr">
        <is>
          <t>6B3TI</t>
        </is>
      </c>
      <c r="BO788" t="n">
        <v>36361241</v>
      </c>
      <c r="BP788" t="inlineStr">
        <is>
          <t>Green Published, gold</t>
        </is>
      </c>
      <c r="BS788" t="inlineStr">
        <is>
          <t>2023-10-26</t>
        </is>
      </c>
      <c r="BT788" t="inlineStr">
        <is>
          <t>WOS:000881259100001</t>
        </is>
      </c>
      <c r="BU788">
        <f>HYPERLINK("https%3A%2F%2Fwww.webofscience.com%2Fwos%2Fwoscc%2Ffull-record%2FWOS:000881259100001","View Full Record in Web of Science")</f>
        <v/>
      </c>
    </row>
    <row r="789">
      <c r="A789" t="inlineStr">
        <is>
          <t>J</t>
        </is>
      </c>
      <c r="B789" t="inlineStr">
        <is>
          <t>Zheng, WH; Wei, FF; Su, SY; Cai, JJ; Wei, JX; Hu, R</t>
        </is>
      </c>
      <c r="F789" t="inlineStr">
        <is>
          <t>Zheng, Wenheng; Wei, Fangfang; Su, Shaoying; Cai, Jianjun; Wei, Junxiao; Hu, Rong</t>
        </is>
      </c>
      <c r="J789" t="inlineStr">
        <is>
          <t>ENVIRONMENTAL TECHNOLOGY &amp; INNOVATION</t>
        </is>
      </c>
      <c r="M789" t="inlineStr">
        <is>
          <t>English</t>
        </is>
      </c>
      <c r="N789" t="inlineStr">
        <is>
          <t>Article</t>
        </is>
      </c>
      <c r="T789" t="inlineStr">
        <is>
          <t>Effect of the envelope structure on the indoor thermal environment of low-energy residential building in humid subtropical climate: In case of brick-timber vernacular dwelling in China</t>
        </is>
      </c>
      <c r="U789" t="inlineStr">
        <is>
          <t>Humid subtropical climate; Brick-timber structure; Indoor thermal environment; Natural ventilation</t>
        </is>
      </c>
      <c r="V789" t="inlineStr">
        <is>
          <t>CONSTRUCTION; COMFORT; DESIGN; WOOD; INSULATION; INERTIA</t>
        </is>
      </c>
      <c r="W789" t="inlineStr">
        <is>
          <t>The brick-timber structure plays a crucial role in creating a comfort indoor thermal environment for low-energy vernacular dwellings. Herein, the thermal environment of the dwelling was studied by DesignBuilder software and evaluated using Adaptive Predicted Mean Vote (APMV) index. These results revealed that the indoor damp and cold feelings intensified in winter, and the mountain as a natural wind barrier weakened the attack of the prevailing wind in winter. These results leaded that the wind speed of the tested room was lower than 0.1 m/s. The thermal comfort satisfactory days in a year accounts for 56.2%, and the overall level of indoor thermal environment was low in the rest of the year, especially in winter. The simple structure of the exterior envelope and the single material were the main reasons for the poor indoor thermal environment of naturally ventilated buildings. Therefore, optimization strategies such as increasing the insulation materials of the envelope and adopting insulating glass windows were proposed. Compared to that before the retrofitting, the overall thermal environment grade of the vernacular dwelling has been improved by 4.7% (grade I), -0.3% (grade II) and -4.3% (grade III), respectively. The poor thermal performance and airtightness of the envelope easily lead to the negative effect of outdoor cold, heat and water vapor entering the house, which affects the thermal environment grade. These conclusions provided a reference for the optimization of the thermal environment of existing low-energy vernacular dwellings in subtropical humid climate areas.(c) 2022 The Author(s). Published by Elsevier B.V. This is an open access article under the CC BY-NC-ND license (http://creativecommons.org/licenses/by-nc-nd/4.0/).</t>
        </is>
      </c>
      <c r="X789" t="inlineStr">
        <is>
          <t>[Zheng, Wenheng; Wei, Fangfang; Su, Shaoying; Cai, Jianjun; Hu, Rong] Guilin Univ Elect Technol, Sch Architecture &amp; Traff, Guilin 541004, Peoples R China; [Wei, Junxiao] Tsinghua Univ, Tsinghua Shenzhen Int Grad Sch, Shenzhen 518055, Peoples R China</t>
        </is>
      </c>
      <c r="Y789" t="inlineStr">
        <is>
          <t>Guilin University of Electronic Technology; Tsinghua University</t>
        </is>
      </c>
      <c r="Z789" t="inlineStr">
        <is>
          <t>Zheng, WH; Cai, JJ (corresponding author), Guilin Univ Elect Technol, Sch Architecture &amp; Traff, Guilin 541004, Peoples R China.</t>
        </is>
      </c>
      <c r="AA789" t="inlineStr">
        <is>
          <t>visitzheng@guet.edu.cn; caijianjun@mails.guet.edu.cn</t>
        </is>
      </c>
      <c r="AB789" t="inlineStr">
        <is>
          <t>zhang, Weihua/JJD-6447-2023</t>
        </is>
      </c>
      <c r="AC789" t="inlineStr">
        <is>
          <t>Hu, Rong/0000-0001-9411-513X</t>
        </is>
      </c>
      <c r="AD789" t="inlineStr">
        <is>
          <t>Natural Science Foundation of Guangxi Province, China [2021GXNSFAA220080, 2020JJB160052, GuikeAD20297010]; Scientific Research and Technology Development Plan of Guilin, China [20180107-2, 20210218-3]</t>
        </is>
      </c>
      <c r="AE789" t="inlineStr">
        <is>
          <t>Natural Science Foundation of Guangxi Province, China(National Natural Science Foundation of Guangxi Province); Scientific Research and Technology Development Plan of Guilin, China</t>
        </is>
      </c>
      <c r="AF789" t="inlineStr">
        <is>
          <t>The authors gratefully acknowledge the financial support of the Natural Science Foundation of Guangxi Province, China [2021GXNSFAA220080, 2020JJB160052, and GuikeAD20297010] and the Scientific Research and Technology Development Plan of Guilin, China [20180107-2, 20210218-3] .</t>
        </is>
      </c>
      <c r="AH789" t="n">
        <v>58</v>
      </c>
      <c r="AI789" t="n">
        <v>2</v>
      </c>
      <c r="AJ789" t="n">
        <v>2</v>
      </c>
      <c r="AK789" t="n">
        <v>17</v>
      </c>
      <c r="AL789" t="n">
        <v>35</v>
      </c>
      <c r="AM789" t="inlineStr">
        <is>
          <t>ELSEVIER</t>
        </is>
      </c>
      <c r="AN789" t="inlineStr">
        <is>
          <t>AMSTERDAM</t>
        </is>
      </c>
      <c r="AO789" t="inlineStr">
        <is>
          <t>RADARWEG 29, 1043 NX AMSTERDAM, NETHERLANDS</t>
        </is>
      </c>
      <c r="AP789" t="inlineStr">
        <is>
          <t>2352-1864</t>
        </is>
      </c>
      <c r="AS789" t="inlineStr">
        <is>
          <t>ENVIRON TECHNOL INNO</t>
        </is>
      </c>
      <c r="AT789" t="inlineStr">
        <is>
          <t>Environ. Technol. Innov.</t>
        </is>
      </c>
      <c r="AU789" t="inlineStr">
        <is>
          <t>NOV</t>
        </is>
      </c>
      <c r="AV789" t="n">
        <v>2022</v>
      </c>
      <c r="AW789" t="n">
        <v>28</v>
      </c>
      <c r="BE789" t="n">
        <v>102884</v>
      </c>
      <c r="BF789" t="inlineStr">
        <is>
          <t>10.1016/j.eti.2022.102884</t>
        </is>
      </c>
      <c r="BG789">
        <f>HYPERLINK("http://dx.doi.org/10.1016/j.eti.2022.102884","http://dx.doi.org/10.1016/j.eti.2022.102884")</f>
        <v/>
      </c>
      <c r="BI789" t="inlineStr">
        <is>
          <t>AUG 2022</t>
        </is>
      </c>
      <c r="BJ789" t="n">
        <v>14</v>
      </c>
      <c r="BK789" t="inlineStr">
        <is>
          <t>Biotechnology &amp; Applied Microbiology; Engineering, Environmental; Environmental Sciences</t>
        </is>
      </c>
      <c r="BL789" t="inlineStr">
        <is>
          <t>Science Citation Index Expanded (SCI-EXPANDED)</t>
        </is>
      </c>
      <c r="BM789" t="inlineStr">
        <is>
          <t>Biotechnology &amp; Applied Microbiology; Engineering; Environmental Sciences &amp; Ecology</t>
        </is>
      </c>
      <c r="BN789" t="inlineStr">
        <is>
          <t>4X0BM</t>
        </is>
      </c>
      <c r="BP789" t="inlineStr">
        <is>
          <t>gold</t>
        </is>
      </c>
      <c r="BS789" t="inlineStr">
        <is>
          <t>2023-10-26</t>
        </is>
      </c>
      <c r="BT789" t="inlineStr">
        <is>
          <t>WOS:000860517900007</t>
        </is>
      </c>
      <c r="BU789">
        <f>HYPERLINK("https%3A%2F%2Fwww.webofscience.com%2Fwos%2Fwoscc%2Ffull-record%2FWOS:000860517900007","View Full Record in Web of Science")</f>
        <v/>
      </c>
    </row>
    <row r="790">
      <c r="A790" t="inlineStr">
        <is>
          <t>J</t>
        </is>
      </c>
      <c r="B790" t="inlineStr">
        <is>
          <t>Ashour, M; Mahdiyar, A; Haron, SH; Hanafi, MH</t>
        </is>
      </c>
      <c r="F790" t="inlineStr">
        <is>
          <t>Ashour, Mojtaba; Mahdiyar, Amir; Haron, Syarmila Hany; Hanafi, Mohd Hanizun</t>
        </is>
      </c>
      <c r="J790" t="inlineStr">
        <is>
          <t>JOURNAL OF CLEANER PRODUCTION</t>
        </is>
      </c>
      <c r="M790" t="inlineStr">
        <is>
          <t>English</t>
        </is>
      </c>
      <c r="N790" t="inlineStr">
        <is>
          <t>Article</t>
        </is>
      </c>
      <c r="T790" t="inlineStr">
        <is>
          <t>Barriers to the practice of sustainable interior architecture and design for interior renovations: A Parsimonious-Cybernetic Fuzzy AHP approach</t>
        </is>
      </c>
      <c r="U790" t="inlineStr">
        <is>
          <t>Sustainability; SDG; Multi criteria decision making; Hybrid method</t>
        </is>
      </c>
      <c r="V790" t="inlineStr">
        <is>
          <t>GREEN BUILDINGS; DELPHI METHOD; TECHNOLOGIES ADOPTION; ENERGY EFFICIENCY; CONSTRUCTION; DRIVERS; POLICY; PROJECTS; MODEL</t>
        </is>
      </c>
      <c r="W790" t="inlineStr">
        <is>
          <t>While the notion of sustainability has long been a major concern in the built environment, the practice of sus-tainable interior architecture and design still falls short. This study aimed to identify and analyse barriers to the practice of sustainable interior architecture and design. To this end, after identifying 30 potential obstacles through a review of literature, a two-round Enhanced Fuzzy Delphi Method involving 13 qualified experts was employed resulting in the exclusion of 10, and the addition of one new barrier. To prioritise the remaining, a novel Parsimonious Cybernetic Fuzzy Analytic Hierarchy Process was introduced, significantly reducing the number of pairwise comparisons and eliminating the need for a complicated AHP questionnaire. Results showed the highest prioritised barriers are: (1) lack of sufficient sustainability modules in the education of interior ar-chitects/designers, (2) designers' lack of experience and technical understanding, (3) lack of codes, regulations and specific legal frameworks designed for different types of projects, (4) lack of interest from the client, and (5) designers??? lack of training. The findings of this study provide valuable insights for professional interior archi-tects/designers, educators, statutory authorities, governments, and policymakers. Considering the dearth of existing literature on this topic, the present study fills this gap by providing a comprehensive list of barriers to sustainable interior architecture and design, establishes the groundwork for future research to build upon, and introduces a novel P-CFAHP that has not been employed before.</t>
        </is>
      </c>
      <c r="X790" t="inlineStr">
        <is>
          <t>[Ashour, Mojtaba; Mahdiyar, Amir; Haron, Syarmila Hany] Univ Sains Malaysia, Sch Housing Bldg &amp; Planning, George Town 11800, Malaysia; [Ashour, Mojtaba] Bilkent Univ, Dept Interior Architecture &amp; Environm Design, Ankara, Turkey; [Hanafi, Mohd Hanizun] Univ Malaysia Kelantan, Fac Architecture &amp; Ekist, Karung Berkunci 01, Bachok 13600, Kelantan, Malaysia</t>
        </is>
      </c>
      <c r="Y790" t="inlineStr">
        <is>
          <t>Universiti Sains Malaysia; Ihsan Dogramaci Bilkent University; Universiti Malaysia Kelantan</t>
        </is>
      </c>
      <c r="Z790" t="inlineStr">
        <is>
          <t>Mahdiyar, A (corresponding author), Univ Sains Malaysia, Sch Housing Bldg &amp; Planning, George Town 11800, Malaysia.</t>
        </is>
      </c>
      <c r="AA790" t="inlineStr">
        <is>
          <t>moji.ashouri@gmail.com; amirmahdiyar@usm.my; syarmilahany@usm.my; hanizun.h@umk.edu.my</t>
        </is>
      </c>
      <c r="AB790" t="inlineStr">
        <is>
          <t>Mahdiyar, Amir/N-8558-2016; HANAFI, MOHD HANIZUN/GPW-6492-2022; Haron, Syarmila/IXW-7441-2023; Ashour, Mojtaba/ABD-3758-2021</t>
        </is>
      </c>
      <c r="AC790" t="inlineStr">
        <is>
          <t>Mahdiyar, Amir/0000-0002-8075-5918; Haron, Syarmila/0000-0002-9276-933X; Ashour, Mojtaba/0000-0002-6076-8375</t>
        </is>
      </c>
      <c r="AD790" t="inlineStr">
        <is>
          <t>Ministry of Education Malaysia; Research Creativity and Management Office (RCMO); Short Term Grant under Cost Centre [304/PPBGN/6315356]; Universiti Sains Malaysia</t>
        </is>
      </c>
      <c r="AE790" t="inlineStr">
        <is>
          <t>Ministry of Education Malaysia(Ministry of Education, Malaysia); Research Creativity and Management Office (RCMO); Short Term Grant under Cost Centre; Universiti Sains Malaysia(Universiti Sains Malaysia)</t>
        </is>
      </c>
      <c r="AF790" t="inlineStr">
        <is>
          <t>The authors would like to express their sincere gratitude to the Ministry of Education Malaysia, Universiti Sains Malaysia, and the Research Creativity and Management Office (RCMO) for providing financial support. This paper is financed by the Short Term Grant under Cost Centre No. 304/PPBGN/6315356.</t>
        </is>
      </c>
      <c r="AH790" t="n">
        <v>101</v>
      </c>
      <c r="AI790" t="n">
        <v>4</v>
      </c>
      <c r="AJ790" t="n">
        <v>4</v>
      </c>
      <c r="AK790" t="n">
        <v>7</v>
      </c>
      <c r="AL790" t="n">
        <v>26</v>
      </c>
      <c r="AM790" t="inlineStr">
        <is>
          <t>ELSEVIER SCI LTD</t>
        </is>
      </c>
      <c r="AN790" t="inlineStr">
        <is>
          <t>OXFORD</t>
        </is>
      </c>
      <c r="AO790" t="inlineStr">
        <is>
          <t>THE BOULEVARD, LANGFORD LANE, KIDLINGTON, OXFORD OX5 1GB, OXON, ENGLAND</t>
        </is>
      </c>
      <c r="AP790" t="inlineStr">
        <is>
          <t>0959-6526</t>
        </is>
      </c>
      <c r="AQ790" t="inlineStr">
        <is>
          <t>1879-1786</t>
        </is>
      </c>
      <c r="AS790" t="inlineStr">
        <is>
          <t>J CLEAN PROD</t>
        </is>
      </c>
      <c r="AT790" t="inlineStr">
        <is>
          <t>J. Clean Prod.</t>
        </is>
      </c>
      <c r="AU790" t="inlineStr">
        <is>
          <t>SEP 15</t>
        </is>
      </c>
      <c r="AV790" t="n">
        <v>2022</v>
      </c>
      <c r="AW790" t="n">
        <v>366</v>
      </c>
      <c r="BE790" t="n">
        <v>132958</v>
      </c>
      <c r="BF790" t="inlineStr">
        <is>
          <t>10.1016/j.jclepro.2022.132958</t>
        </is>
      </c>
      <c r="BG790">
        <f>HYPERLINK("http://dx.doi.org/10.1016/j.jclepro.2022.132958","http://dx.doi.org/10.1016/j.jclepro.2022.132958")</f>
        <v/>
      </c>
      <c r="BI790" t="inlineStr">
        <is>
          <t>JUL 2022</t>
        </is>
      </c>
      <c r="BJ790" t="n">
        <v>15</v>
      </c>
      <c r="BK790" t="inlineStr">
        <is>
          <t>Green &amp; Sustainable Science &amp; Technology; Engineering, Environmental; Environmental Sciences</t>
        </is>
      </c>
      <c r="BL790" t="inlineStr">
        <is>
          <t>Science Citation Index Expanded (SCI-EXPANDED)</t>
        </is>
      </c>
      <c r="BM790" t="inlineStr">
        <is>
          <t>Science &amp; Technology - Other Topics; Engineering; Environmental Sciences &amp; Ecology</t>
        </is>
      </c>
      <c r="BN790" t="inlineStr">
        <is>
          <t>3V9JN</t>
        </is>
      </c>
      <c r="BS790" t="inlineStr">
        <is>
          <t>2023-10-26</t>
        </is>
      </c>
      <c r="BT790" t="inlineStr">
        <is>
          <t>WOS:000841974600004</t>
        </is>
      </c>
      <c r="BU790">
        <f>HYPERLINK("https%3A%2F%2Fwww.webofscience.com%2Fwos%2Fwoscc%2Ffull-record%2FWOS:000841974600004","View Full Record in Web of Science")</f>
        <v/>
      </c>
    </row>
    <row r="791">
      <c r="A791" t="inlineStr">
        <is>
          <t>J</t>
        </is>
      </c>
      <c r="B791" t="inlineStr">
        <is>
          <t>Wang, C; Yu, LC; Mo, YY; Wood, LC; Goon, C</t>
        </is>
      </c>
      <c r="F791" t="inlineStr">
        <is>
          <t>Wang, Chen; Yu, Liangcheng; Mo, Yiyi; Wood, Lincoln C.; Goon, Carry</t>
        </is>
      </c>
      <c r="J791" t="inlineStr">
        <is>
          <t>INTERNATIONAL JOURNAL OF ENVIRONMENTAL RESEARCH AND PUBLIC HEALTH</t>
        </is>
      </c>
      <c r="M791" t="inlineStr">
        <is>
          <t>English</t>
        </is>
      </c>
      <c r="N791" t="inlineStr">
        <is>
          <t>Article</t>
        </is>
      </c>
      <c r="T791" t="inlineStr">
        <is>
          <t>Pareidolia in a Built Environment as a Complex Phenomenological Ambiguous Stimuli</t>
        </is>
      </c>
      <c r="U791" t="inlineStr">
        <is>
          <t>pareidolia; illusion; misperception; ambiguous stimuli; built environment</t>
        </is>
      </c>
      <c r="V791" t="inlineStr">
        <is>
          <t>ILLUSORY FACE; PERCEPTION; BELIEVERS; ILLUSIONS; DEMENTIA; PRONE</t>
        </is>
      </c>
      <c r="W791" t="inlineStr">
        <is>
          <t>Pareidolia is a kind of misperception caused by meaningless, ambiguous stimuli perceived with meaning. Pareidolia in a built environment may trigger the emotions of residents, and the most frequently observed pareidolian images are human faces. Through a pilot experiment and an in-depth questionnaire survey, this research aims to compare built environmental pareidolian phenomena at different time points (6 a.m., 12 p.m., 2 a.m.) and to determine people's sensitivity and reactions towards pareidolia in the built environment. Our findings indicate that the differences in stress level do not influence the sensitivity and reactions towards pareidolia in the built environment; however, age does, and the age of 40 seems to be a watershed. Females are more likely to identify pareidolian faces than males. Smokers, topers, and long-term medicine users are more sensitive to pareidolian images in the built environment. An unexpected finding is that most pareidolian images in built environments are much more easily detected in the early morning and at midnight but remain much less able to be perceived at midday. The results help architects better understand people's reactions to pareidolia in the built environment, thus allowing them to decide whether to incorporate it appropriately or avoid it consciously in building design.</t>
        </is>
      </c>
      <c r="X791" t="inlineStr">
        <is>
          <t>[Wang, Chen; Yu, Liangcheng] Huaqiao Univ, Coll Civil Engn, Intelligence &amp; Automat Construct Fujian Prov High, Xiamen 361021, Peoples R China; [Mo, Yiyi; Goon, Carry] Huaqiao Univ, Coll Civil Engn, Xiamen 361021, Peoples R China; [Wood, Lincoln C.] Univ Otago, Dept Management, Dunedin 9054, New Zealand</t>
        </is>
      </c>
      <c r="Y791" t="inlineStr">
        <is>
          <t>Huaqiao University; Huaqiao University; University of Otago</t>
        </is>
      </c>
      <c r="Z791" t="inlineStr">
        <is>
          <t>Mo, YY (corresponding author), Huaqiao Univ, Coll Civil Engn, Xiamen 361021, Peoples R China.</t>
        </is>
      </c>
      <c r="AA791" t="inlineStr">
        <is>
          <t>wch@hqu.edu.cn; 20014086044@stu.hqu.edu.cn; myy_11@hotmail.com; lincoln.wood@otago.ac.nz; gooncarry@hotmail.com</t>
        </is>
      </c>
      <c r="AB791" t="inlineStr">
        <is>
          <t>Wang, Chen/F-1586-2010; wang, chen/GWM-9481-2022; Wood, Lincoln C./G-2670-2012; yu, liangcheng/GVT-4432-2022</t>
        </is>
      </c>
      <c r="AC791" t="inlineStr">
        <is>
          <t>Wang, Chen/0000-0001-7892-3575; Wood, Lincoln C./0000-0003-3385-6561; MO, Yiyi/0000-0002-9531-4285</t>
        </is>
      </c>
      <c r="AD791" t="inlineStr">
        <is>
          <t>Fujian Provincial Department of Science and Technology [2018J05121, 2021I0014]; Quanzhou Government [605-50X17234]; Huaqiao University [17BS201, 605-50Y14007]</t>
        </is>
      </c>
      <c r="AE791" t="inlineStr">
        <is>
          <t>Fujian Provincial Department of Science and Technology; Quanzhou Government; Huaqiao University</t>
        </is>
      </c>
      <c r="AF791" t="inlineStr">
        <is>
          <t>This research was funded by [Fujian Provincial Department of Science and Technology] grant number [2018J05121], [Fujian Provincial Department of Science and Technology] grant number [2021I0014], [Quanzhou Government] grant number [605-50X17234], [Huaqiao University] grant number [17BS201], and [Huaqiao University] grant number [605-50Y14007]. The APC was funded by [Fujian Provincial Department of Science and Technology].</t>
        </is>
      </c>
      <c r="AH791" t="n">
        <v>34</v>
      </c>
      <c r="AI791" t="n">
        <v>0</v>
      </c>
      <c r="AJ791" t="n">
        <v>0</v>
      </c>
      <c r="AK791" t="n">
        <v>4</v>
      </c>
      <c r="AL791" t="n">
        <v>15</v>
      </c>
      <c r="AM791" t="inlineStr">
        <is>
          <t>MDPI</t>
        </is>
      </c>
      <c r="AN791" t="inlineStr">
        <is>
          <t>BASEL</t>
        </is>
      </c>
      <c r="AO791" t="inlineStr">
        <is>
          <t>ST ALBAN-ANLAGE 66, CH-4052 BASEL, SWITZERLAND</t>
        </is>
      </c>
      <c r="AQ791" t="inlineStr">
        <is>
          <t>1660-4601</t>
        </is>
      </c>
      <c r="AS791" t="inlineStr">
        <is>
          <t>INT J ENV RES PUB HE</t>
        </is>
      </c>
      <c r="AT791" t="inlineStr">
        <is>
          <t>Int. J. Environ. Res. Public Health</t>
        </is>
      </c>
      <c r="AU791" t="inlineStr">
        <is>
          <t>MAY</t>
        </is>
      </c>
      <c r="AV791" t="n">
        <v>2022</v>
      </c>
      <c r="AW791" t="n">
        <v>19</v>
      </c>
      <c r="AX791" t="n">
        <v>9</v>
      </c>
      <c r="BE791" t="n">
        <v>5163</v>
      </c>
      <c r="BF791" t="inlineStr">
        <is>
          <t>10.3390/ijerph19095163</t>
        </is>
      </c>
      <c r="BG791">
        <f>HYPERLINK("http://dx.doi.org/10.3390/ijerph19095163","http://dx.doi.org/10.3390/ijerph19095163")</f>
        <v/>
      </c>
      <c r="BJ791" t="n">
        <v>23</v>
      </c>
      <c r="BK791" t="inlineStr">
        <is>
          <t>Environmental Sciences; Public, Environmental &amp; Occupational Health</t>
        </is>
      </c>
      <c r="BL791" t="inlineStr">
        <is>
          <t>Science Citation Index Expanded (SCI-EXPANDED); Social Science Citation Index (SSCI)</t>
        </is>
      </c>
      <c r="BM791" t="inlineStr">
        <is>
          <t>Environmental Sciences &amp; Ecology; Public, Environmental &amp; Occupational Health</t>
        </is>
      </c>
      <c r="BN791" t="inlineStr">
        <is>
          <t>1F8VS</t>
        </is>
      </c>
      <c r="BO791" t="n">
        <v>35564558</v>
      </c>
      <c r="BP791" t="inlineStr">
        <is>
          <t>gold, Green Published</t>
        </is>
      </c>
      <c r="BS791" t="inlineStr">
        <is>
          <t>2023-10-26</t>
        </is>
      </c>
      <c r="BT791" t="inlineStr">
        <is>
          <t>WOS:000795440100001</t>
        </is>
      </c>
      <c r="BU791">
        <f>HYPERLINK("https%3A%2F%2Fwww.webofscience.com%2Fwos%2Fwoscc%2Ffull-record%2FWOS:000795440100001","View Full Record in Web of Science")</f>
        <v/>
      </c>
    </row>
    <row r="792">
      <c r="A792" t="inlineStr">
        <is>
          <t>J</t>
        </is>
      </c>
      <c r="B792" t="inlineStr">
        <is>
          <t>Ancapi, FB; Van den Berghe, K; van Bueren, E</t>
        </is>
      </c>
      <c r="F792" t="inlineStr">
        <is>
          <t>Ancapi, Felipe Bucci; Van den Berghe, Karel; van Bueren, Ellen</t>
        </is>
      </c>
      <c r="J792" t="inlineStr">
        <is>
          <t>JOURNAL OF CLEANER PRODUCTION</t>
        </is>
      </c>
      <c r="M792" t="inlineStr">
        <is>
          <t>English</t>
        </is>
      </c>
      <c r="N792" t="inlineStr">
        <is>
          <t>Review</t>
        </is>
      </c>
      <c r="T792" t="inlineStr">
        <is>
          <t>The circular built environment toolbox: A systematic literature review of policy instruments</t>
        </is>
      </c>
      <c r="U792" t="inlineStr">
        <is>
          <t>circular built environment; circular cities; circular economy; policy instruments; systematic literature search; urban governance</t>
        </is>
      </c>
      <c r="V792" t="inlineStr">
        <is>
          <t>WASTE MANAGEMENT; URBAN METABOLISM; MATERIAL FLOWS; ECONOMY; CITIES; CITY; CONSTRUCTION; BARRIERS; SUSTAINABILITY; IMPLEMENTATION</t>
        </is>
      </c>
      <c r="W792" t="inlineStr">
        <is>
          <t>The built environment plays a central role in the transition towards the circular economy as they concentrate major consumer and polluter human activities. However, the way BEs are - and need to be - driven by policy to reach cities' circular goals is still an under-researched aspect. Particularly, there is limited knowledge of policy instruments aimed to foster the transition towards a circular built environment. Therefore, we conduct a systematic literature search and a review of scientific publications to characterize the relation between the circular built environment and policy instruments suggesting its implementation from a circular city development perspective. We do so by answering: (1) how many publications elaborate on CBE policy instruments, (2) what type of circular actions in relation to circular city development are mentioned, and (3) what policy instruments are proposed to implement a CBE. The literature search is performed using the Preferred Reporting Items for Systematic Reviews and Meta-Analyses (PRISMA) guidelines. Our results show that 53% of publications address policies instruments for circular built environment transitions. Although different circular actions are identified, looping actions prevail. Adapting and ecologically-regenerating actions, which are essential for circular city development, remain insufficiently researched. Finally, among policy instruments for circular built environment implementation there is a clear tendency towards regulation as means for leverage, which calls for bigger research efforts concerning the mix of policy instruments, as well as in more general challenges in governance and policy coherence.</t>
        </is>
      </c>
      <c r="X792" t="inlineStr">
        <is>
          <t>[Ancapi, Felipe Bucci; Van den Berghe, Karel; van Bueren, Ellen] Delft Univ Technol, Dept Management Built Environm, Fac Architecture &amp; Built Environm, NL-2628 BL Delft, Netherlands</t>
        </is>
      </c>
      <c r="Y792" t="inlineStr">
        <is>
          <t>Delft University of Technology</t>
        </is>
      </c>
      <c r="Z792" t="inlineStr">
        <is>
          <t>Ancapi, FB (corresponding author), Delft Univ Technol, Dept Management Built Environm, Fac Architecture &amp; Built Environm, NL-2628 BL Delft, Netherlands.</t>
        </is>
      </c>
      <c r="AA792" t="inlineStr">
        <is>
          <t>f.e.bucciancapi@tudelft.nl</t>
        </is>
      </c>
      <c r="AB792" t="inlineStr">
        <is>
          <t>Van den Berghe, Karel/B-9559-2014</t>
        </is>
      </c>
      <c r="AC792" t="inlineStr">
        <is>
          <t>Van den Berghe, Karel/0000-0001-8395-0586; Bucci Ancapi, Felipe/0000-0002-8634-8117</t>
        </is>
      </c>
      <c r="AD792" t="inlineStr">
        <is>
          <t>National Agency for Research and Development of Chile [6528/2019]</t>
        </is>
      </c>
      <c r="AE792" t="inlineStr">
        <is>
          <t>National Agency for Research and Development of Chile</t>
        </is>
      </c>
      <c r="AF792" t="inlineStr">
        <is>
          <t>This research was funded through a scholarship granted by ANID, the National Agency for Research and Development of Chile (Resolution No 6528/2019).</t>
        </is>
      </c>
      <c r="AH792" t="n">
        <v>152</v>
      </c>
      <c r="AI792" t="n">
        <v>3</v>
      </c>
      <c r="AJ792" t="n">
        <v>3</v>
      </c>
      <c r="AK792" t="n">
        <v>15</v>
      </c>
      <c r="AL792" t="n">
        <v>23</v>
      </c>
      <c r="AM792" t="inlineStr">
        <is>
          <t>ELSEVIER SCI LTD</t>
        </is>
      </c>
      <c r="AN792" t="inlineStr">
        <is>
          <t>OXFORD</t>
        </is>
      </c>
      <c r="AO792" t="inlineStr">
        <is>
          <t>THE BOULEVARD, LANGFORD LANE, KIDLINGTON, OXFORD OX5 1GB, OXON, ENGLAND</t>
        </is>
      </c>
      <c r="AP792" t="inlineStr">
        <is>
          <t>0959-6526</t>
        </is>
      </c>
      <c r="AQ792" t="inlineStr">
        <is>
          <t>1879-1786</t>
        </is>
      </c>
      <c r="AS792" t="inlineStr">
        <is>
          <t>J CLEAN PROD</t>
        </is>
      </c>
      <c r="AT792" t="inlineStr">
        <is>
          <t>J. Clean Prod.</t>
        </is>
      </c>
      <c r="AU792" t="inlineStr">
        <is>
          <t>NOV 1</t>
        </is>
      </c>
      <c r="AV792" t="n">
        <v>2022</v>
      </c>
      <c r="AW792" t="n">
        <v>373</v>
      </c>
      <c r="BF792" t="inlineStr">
        <is>
          <t>10.1016/j.jclepro.2022.133918</t>
        </is>
      </c>
      <c r="BG792">
        <f>HYPERLINK("http://dx.doi.org/10.1016/j.jclepro.2022.133918","http://dx.doi.org/10.1016/j.jclepro.2022.133918")</f>
        <v/>
      </c>
      <c r="BJ792" t="n">
        <v>12</v>
      </c>
      <c r="BK792" t="inlineStr">
        <is>
          <t>Green &amp; Sustainable Science &amp; Technology; Engineering, Environmental; Environmental Sciences</t>
        </is>
      </c>
      <c r="BL792" t="inlineStr">
        <is>
          <t>Science Citation Index Expanded (SCI-EXPANDED)</t>
        </is>
      </c>
      <c r="BM792" t="inlineStr">
        <is>
          <t>Science &amp; Technology - Other Topics; Engineering; Environmental Sciences &amp; Ecology</t>
        </is>
      </c>
      <c r="BN792" t="inlineStr">
        <is>
          <t>7R0HN</t>
        </is>
      </c>
      <c r="BP792" t="inlineStr">
        <is>
          <t>hybrid</t>
        </is>
      </c>
      <c r="BS792" t="inlineStr">
        <is>
          <t>2023-10-26</t>
        </is>
      </c>
      <c r="BT792" t="inlineStr">
        <is>
          <t>WOS:000909761100004</t>
        </is>
      </c>
      <c r="BU792">
        <f>HYPERLINK("https%3A%2F%2Fwww.webofscience.com%2Fwos%2Fwoscc%2Ffull-record%2FWOS:000909761100004","View Full Record in Web of Science")</f>
        <v/>
      </c>
    </row>
    <row r="793">
      <c r="A793" t="inlineStr">
        <is>
          <t>J</t>
        </is>
      </c>
      <c r="B793" t="inlineStr">
        <is>
          <t>Othman, M; Latif, MT; Mohamed, AF</t>
        </is>
      </c>
      <c r="F793" t="inlineStr">
        <is>
          <t>Othman, Murnira; Latif, Mohd Talib; Mohamed, Ahmad Fariz</t>
        </is>
      </c>
      <c r="J793" t="inlineStr">
        <is>
          <t>AIR QUALITY ATMOSPHERE AND HEALTH</t>
        </is>
      </c>
      <c r="M793" t="inlineStr">
        <is>
          <t>English</t>
        </is>
      </c>
      <c r="N793" t="inlineStr">
        <is>
          <t>Article</t>
        </is>
      </c>
      <c r="T793" t="inlineStr">
        <is>
          <t>The PM10 compositions, sources and health risks assessment in mechanically ventilated office buildings in an urban environment</t>
        </is>
      </c>
      <c r="U793" t="inlineStr">
        <is>
          <t>Office building; Indoor environment; Health risk assessment; Particulate matter; Source apportionment</t>
        </is>
      </c>
      <c r="V793" t="inlineStr">
        <is>
          <t>INDOOR-OUTDOOR RELATIONSHIPS; FINE PARTICULATE MATTER; WATER-SOLUBLE IONS; INDOOR/OUTDOOR RELATIONSHIPS; SOURCE APPORTIONMENT; PARTICLE CONCENTRATIONS; RESIDENTIAL HOUSES; ELEMENTARY-SCHOOLS; TRACE-ELEMENTS; AIR-POLLUTION</t>
        </is>
      </c>
      <c r="W793" t="inlineStr">
        <is>
          <t>Office buildings can be considered a second home for working people and so the contribution of pollutants in this indoor environment to a person's overall exposure is significant. The aims of this study were to examine the composition of PM10 and the sources influencing the indoor and outdoor office environments. The PM10 sampling was performed using a mini-vol portable sampler at two sampling sites from May to August 2014 for daily 24 h sampling. The concentrations of ionic species (F-, Cl-, NO3 (-), SO4 (2-)) were analysed using ion chromatography while the concentration of major elements (Mg, Ca, K, Na) and trace elements (Mn, Ni, Fe, Cu, Zn, Pb, Cr, Cd, Al) were determined by inductively couple plasma-mass spectrometry (ICP-MS). The concentration of NH4 (+) was determined using the indophenol blue method. The results showed that the average concentrations of PM10 were 61.3 +/- 27.0 mu g/m(3) (indoor) and 101 +/- 42.8 mu g/m(3) (outdoor) with an indoor/outdoor ratio value of &lt; 1. The dominant components in PM10 for both the indoor and outdoor environments were NO3 (-), SO4 (2-), Na, Fe, Al and Zn. Source apportionment analysis of the PM10 composition identified three sources of PM10 in the indoor and outdoor environments. The major source for indoor PM10 was Earth's crust elements (95 %) followed by oil burning and human activities (4 %) and motor vehicles (1 %). The major source for outdoor PM10 was the Earth's crust and motor exhaust emissions (80 %) with contributions of other sources such as oil burning and human activities (18 %) and motor vehicles (2 %). The potential health risks for trace elements in PM10, via inhalation exposure to the indoor occupants, show that the total hazard quotient (HQ) value was slightly higher than acceptable limits (1.0). The total excess life time carcinogenic risk (ELCR) value for both sampling stations was higher than the acceptable limit (1.0 x E-6), suggesting a high exposure to carcinogenic risk. This study suggests there is a high contribution of outdoor sources to the indoor office environment where PM10 can significantly affect the indoor air quality and occupant health.</t>
        </is>
      </c>
      <c r="X793" t="inlineStr">
        <is>
          <t>[Othman, Murnira; Latif, Mohd Talib; Mohamed, Ahmad Fariz] Univ Kebangsaan Malaysia, Inst Environm &amp; Dev LESTARI, Bangi 43600, Selangor, Malaysia; [Latif, Mohd Talib] Univ Kebangsaan Malaysia, Sch Environm &amp; Nat Resource Sci, Fac Sci &amp; Technol, Bangi 43600, Selangor, Malaysia</t>
        </is>
      </c>
      <c r="Y793" t="inlineStr">
        <is>
          <t>Universiti Kebangsaan Malaysia; Universiti Kebangsaan Malaysia</t>
        </is>
      </c>
      <c r="Z793" t="inlineStr">
        <is>
          <t>Latif, MT (corresponding author), Univ Kebangsaan Malaysia, Inst Environm &amp; Dev LESTARI, Bangi 43600, Selangor, Malaysia.;Latif, MT (corresponding author), Univ Kebangsaan Malaysia, Sch Environm &amp; Nat Resource Sci, Fac Sci &amp; Technol, Bangi 43600, Selangor, Malaysia.</t>
        </is>
      </c>
      <c r="AA793" t="inlineStr">
        <is>
          <t>talib@ukm.my</t>
        </is>
      </c>
      <c r="AB793" t="inlineStr">
        <is>
          <t>Lee, Muhammad Hisyam/G-1914-2017; Latif, Mohd Talib/E-9560-2010; Mohamed, Ahmad Fariz/U-2588-2017; Othman, Murnira/V-6426-2019</t>
        </is>
      </c>
      <c r="AC793" t="inlineStr">
        <is>
          <t>Lee, Muhammad Hisyam/0000-0002-3700-2363; Latif, Mohd Talib/0000-0003-2339-3321; Othman, Murnira/0000-0001-5015-7901; Mohamed, Ahmad Fariz/0000-0002-0018-3092</t>
        </is>
      </c>
      <c r="AD793" t="inlineStr">
        <is>
          <t>Institute for Environment and Development (LESTARI) and Universiti Kebangsaan Malaysia [DIP-2014-005]</t>
        </is>
      </c>
      <c r="AE793" t="inlineStr">
        <is>
          <t>Institute for Environment and Development (LESTARI) and Universiti Kebangsaan Malaysia</t>
        </is>
      </c>
      <c r="AF793" t="inlineStr">
        <is>
          <t>This research was supported by Institute for Environment and Development (LESTARI) and Universiti Kebangsaan Malaysia with Research University Grant DIP-2014-005. Special thanks to Mr. Fairus Muhamad Darus for instrument handling and guidance, and Dr Rose Norman for proof reading this manuscript.</t>
        </is>
      </c>
      <c r="AH793" t="n">
        <v>63</v>
      </c>
      <c r="AI793" t="n">
        <v>27</v>
      </c>
      <c r="AJ793" t="n">
        <v>28</v>
      </c>
      <c r="AK793" t="n">
        <v>1</v>
      </c>
      <c r="AL793" t="n">
        <v>39</v>
      </c>
      <c r="AM793" t="inlineStr">
        <is>
          <t>SPRINGER</t>
        </is>
      </c>
      <c r="AN793" t="inlineStr">
        <is>
          <t>DORDRECHT</t>
        </is>
      </c>
      <c r="AO793" t="inlineStr">
        <is>
          <t>VAN GODEWIJCKSTRAAT 30, 3311 GZ DORDRECHT, NETHERLANDS</t>
        </is>
      </c>
      <c r="AP793" t="inlineStr">
        <is>
          <t>1873-9318</t>
        </is>
      </c>
      <c r="AQ793" t="inlineStr">
        <is>
          <t>1873-9326</t>
        </is>
      </c>
      <c r="AS793" t="inlineStr">
        <is>
          <t>AIR QUAL ATMOS HLTH</t>
        </is>
      </c>
      <c r="AT793" t="inlineStr">
        <is>
          <t>Air Qual. Atmos. Health</t>
        </is>
      </c>
      <c r="AU793" t="inlineStr">
        <is>
          <t>SEP</t>
        </is>
      </c>
      <c r="AV793" t="n">
        <v>2016</v>
      </c>
      <c r="AW793" t="n">
        <v>9</v>
      </c>
      <c r="AX793" t="n">
        <v>6</v>
      </c>
      <c r="BC793" t="n">
        <v>597</v>
      </c>
      <c r="BD793" t="n">
        <v>612</v>
      </c>
      <c r="BF793" t="inlineStr">
        <is>
          <t>10.1007/s11869-015-0368-x</t>
        </is>
      </c>
      <c r="BG793">
        <f>HYPERLINK("http://dx.doi.org/10.1007/s11869-015-0368-x","http://dx.doi.org/10.1007/s11869-015-0368-x")</f>
        <v/>
      </c>
      <c r="BJ793" t="n">
        <v>16</v>
      </c>
      <c r="BK793" t="inlineStr">
        <is>
          <t>Environmental Sciences</t>
        </is>
      </c>
      <c r="BL793" t="inlineStr">
        <is>
          <t>Science Citation Index Expanded (SCI-EXPANDED)</t>
        </is>
      </c>
      <c r="BM793" t="inlineStr">
        <is>
          <t>Environmental Sciences &amp; Ecology</t>
        </is>
      </c>
      <c r="BN793" t="inlineStr">
        <is>
          <t>DT0EP</t>
        </is>
      </c>
      <c r="BS793" t="inlineStr">
        <is>
          <t>2023-10-26</t>
        </is>
      </c>
      <c r="BT793" t="inlineStr">
        <is>
          <t>WOS:000381156200002</t>
        </is>
      </c>
      <c r="BU793">
        <f>HYPERLINK("https%3A%2F%2Fwww.webofscience.com%2Fwos%2Fwoscc%2Ffull-record%2FWOS:000381156200002","View Full Record in Web of Science")</f>
        <v/>
      </c>
    </row>
    <row r="794">
      <c r="A794" t="inlineStr">
        <is>
          <t>J</t>
        </is>
      </c>
      <c r="B794" t="inlineStr">
        <is>
          <t>Salin, JT; Salkinoja-Salonen, M; Salin, PJ; Nelo, K; Holma, T; Ohtonen, P; Syrjälä, H</t>
        </is>
      </c>
      <c r="F794" t="inlineStr">
        <is>
          <t>Salin, J. T.; Salkinoja-Salonen, M.; Salin, P. J.; Nelo, K.; Holma, T.; Ohtonen, P.; Syrjala, H.</t>
        </is>
      </c>
      <c r="J794" t="inlineStr">
        <is>
          <t>ENVIRONMENTAL RESEARCH</t>
        </is>
      </c>
      <c r="M794" t="inlineStr">
        <is>
          <t>English</t>
        </is>
      </c>
      <c r="N794" t="inlineStr">
        <is>
          <t>Article</t>
        </is>
      </c>
      <c r="T794" t="inlineStr">
        <is>
          <t>Building-related symptoms are linked to the in vitro toxicity of indoor dust and airborne microbial propagules in schools: A cross-sectional study</t>
        </is>
      </c>
      <c r="U794" t="inlineStr">
        <is>
          <t>Building-related symptoms; Indoor dust; Airborne toxicity; sperm motility; Indoor toxicity</t>
        </is>
      </c>
      <c r="V794" t="inlineStr">
        <is>
          <t>ACREMONIUM-EXUVIARUM; SYNDROME SBS; MOLDS; BACTERIA; DAMPNESS; FUNGI; INFLAMMASOME; ASSOCIATIONS; ASPERGILLUS; MYCOTOXINS</t>
        </is>
      </c>
      <c r="W794" t="inlineStr">
        <is>
          <t>Introduction: Indoor microbial toxicity is suspected to cause some building-related symptoms, but supporting epidemiological data are lacking. Objective: We examined whether the in vitro toxicity of indoor samples from school buildings was associated with work-related health symptoms (building-related symptoms, BRS). Methods: Administrators of the Helsinki City Real Estate Department selected 15 schools for the study, and a questionnaire on symptoms connected to work was sent to the teachers in the selected schools for voluntary completion. The cellular toxicity of classroom samples was determined by testing substances extracted from wiped indoor dust and by testing microbial biomass that was cultured on fallout plates. Boar sperm cells were used as indicator cells, and motility loss was the indicator for toxic effects. The effects were expressed as the half maximal effective concentration (EC50) at which &gt; 50% of the exposed boar sperm cells were immobile compared to vehicle control. Results: Completed symptom questionnaires were received from 232 teachers (median age, 43 years; 190 (82.3%) women] with a median time of 6 years working at their school. Samples from their classrooms were available and were assessed for cellular toxicity. The Poisson regression model showed that the impact of extracts of surface-wiped school classroom dust on teacher work-related BRS was 2.8-fold (95% CI: 1.6-4.9) higher in classrooms with a toxic threshold EC50 of 6 mu g m1(-1) versus classrooms with insignificant EC50 values (EC50 &gt; 50 mu g m1(-1)); P &lt; 0.001. The number of symptoms that were alleviated during vacation was higher in school classrooms with high sperm toxicity compared to less toxic sites; the RR was 1.9 (95% CI: 1.1-3.3, P=0.03) for wiped dust extracts. Conclusions: Teachers working in classrooms where the samples showed high sperm toxicity had more BRS. The boar sperm cell motility inhibition assay appears promising as a tool for demonstrating the presence of indoor substances associated with BRS.</t>
        </is>
      </c>
      <c r="X794" t="inlineStr">
        <is>
          <t>[Salin, J. T.; Syrjala, H.] Oulu Univ Hosp, Dept Infect Control, Box 21, FIN-90029 Oulu, Finland; [Holma, T.] Oulu Univ Hosp, Dept Otorhinolaryngol &amp; Head &amp; Neck Surg, Oulu, Finland; [Holma, T.] Univ Oulu, PEDEGO Res Unit, Oulu, Finland; [Holma, T.] Med Res Ctr Oulu, Oulu, Finland; [Ohtonen, P.] Med Res Ctr, Res Operat Care, Oulu, Finland; [Salin, P. J.] Oulu Univ Hosp, Inspector Sec Oy Labs, Oulu, Finland; [Salkinoja-Salonen, M.; Salin, P. J.] Univ Helsinki, Dept Food &amp; Environm Sci, FI-00014 Helsinki, Finland; [Salkinoja-Salonen, M.] Aalto Univ, Dept Elect Engn &amp; Automat, Espoo, Finland</t>
        </is>
      </c>
      <c r="Y794" t="inlineStr">
        <is>
          <t>University of Oulu; University of Oulu; University of Oulu; University of Oulu; University of Helsinki; Aalto University</t>
        </is>
      </c>
      <c r="Z794" t="inlineStr">
        <is>
          <t>Syrjälä, H (corresponding author), Oulu Univ Hosp, Dept Infect Control, Box 21, FIN-90029 Oulu, Finland.</t>
        </is>
      </c>
      <c r="AA794" t="inlineStr">
        <is>
          <t>hannu.syrjala@ppshp.fi</t>
        </is>
      </c>
      <c r="AC794" t="inlineStr">
        <is>
          <t>Salkinoja-Salonen, Mirja/0000-0003-1853-5268</t>
        </is>
      </c>
      <c r="AD794" t="inlineStr">
        <is>
          <t>Finnish Work Environment Fund [TSR111126]; Academy of Finland [118637]; Department of Social Affairs and Health (governmental agency); Helsinki City Real Estate Department</t>
        </is>
      </c>
      <c r="AE794" t="inlineStr">
        <is>
          <t>Finnish Work Environment Fund; Academy of Finland(Research Council of Finland); Department of Social Affairs and Health (governmental agency); Helsinki City Real Estate Department</t>
        </is>
      </c>
      <c r="AF794" t="inlineStr">
        <is>
          <t>This work was supported by the Finnish Work Environment Fund (grant TSR111126, 2011); Academy of Finland, grant 118637 for Centers of Scientific Excellence (CoE) Photobiomics (2008-2013); Department of Social Affairs and Health (governmental agency) (2012); and the Helsinki City Real Estate Department.</t>
        </is>
      </c>
      <c r="AH794" t="n">
        <v>47</v>
      </c>
      <c r="AI794" t="n">
        <v>21</v>
      </c>
      <c r="AJ794" t="n">
        <v>22</v>
      </c>
      <c r="AK794" t="n">
        <v>2</v>
      </c>
      <c r="AL794" t="n">
        <v>15</v>
      </c>
      <c r="AM794" t="inlineStr">
        <is>
          <t>ACADEMIC PRESS INC ELSEVIER SCIENCE</t>
        </is>
      </c>
      <c r="AN794" t="inlineStr">
        <is>
          <t>SAN DIEGO</t>
        </is>
      </c>
      <c r="AO794" t="inlineStr">
        <is>
          <t>525 B ST, STE 1900, SAN DIEGO, CA 92101-4495 USA</t>
        </is>
      </c>
      <c r="AP794" t="inlineStr">
        <is>
          <t>0013-9351</t>
        </is>
      </c>
      <c r="AQ794" t="inlineStr">
        <is>
          <t>1096-0953</t>
        </is>
      </c>
      <c r="AS794" t="inlineStr">
        <is>
          <t>ENVIRON RES</t>
        </is>
      </c>
      <c r="AT794" t="inlineStr">
        <is>
          <t>Environ. Res.</t>
        </is>
      </c>
      <c r="AU794" t="inlineStr">
        <is>
          <t>APR</t>
        </is>
      </c>
      <c r="AV794" t="n">
        <v>2017</v>
      </c>
      <c r="AW794" t="n">
        <v>154</v>
      </c>
      <c r="BC794" t="n">
        <v>234</v>
      </c>
      <c r="BD794" t="n">
        <v>239</v>
      </c>
      <c r="BF794" t="inlineStr">
        <is>
          <t>10.1016/j.envres.2017.01.015</t>
        </is>
      </c>
      <c r="BG794">
        <f>HYPERLINK("http://dx.doi.org/10.1016/j.envres.2017.01.015","http://dx.doi.org/10.1016/j.envres.2017.01.015")</f>
        <v/>
      </c>
      <c r="BJ794" t="n">
        <v>6</v>
      </c>
      <c r="BK794" t="inlineStr">
        <is>
          <t>Environmental Sciences; Public, Environmental &amp; Occupational Health</t>
        </is>
      </c>
      <c r="BL794" t="inlineStr">
        <is>
          <t>Science Citation Index Expanded (SCI-EXPANDED)</t>
        </is>
      </c>
      <c r="BM794" t="inlineStr">
        <is>
          <t>Environmental Sciences &amp; Ecology; Public, Environmental &amp; Occupational Health</t>
        </is>
      </c>
      <c r="BN794" t="inlineStr">
        <is>
          <t>EM9FS</t>
        </is>
      </c>
      <c r="BO794" t="n">
        <v>28107741</v>
      </c>
      <c r="BS794" t="inlineStr">
        <is>
          <t>2023-10-26</t>
        </is>
      </c>
      <c r="BT794" t="inlineStr">
        <is>
          <t>WOS:000395617600031</t>
        </is>
      </c>
      <c r="BU794">
        <f>HYPERLINK("https%3A%2F%2Fwww.webofscience.com%2Fwos%2Fwoscc%2Ffull-record%2FWOS:000395617600031","View Full Record in Web of Science")</f>
        <v/>
      </c>
    </row>
    <row r="795">
      <c r="A795" t="inlineStr">
        <is>
          <t>J</t>
        </is>
      </c>
      <c r="B795" t="inlineStr">
        <is>
          <t>Okabe, D; Tsuji, T; Hanazato, M; Miyaguni, Y; Asada, N; Kondo, K</t>
        </is>
      </c>
      <c r="F795" t="inlineStr">
        <is>
          <t>Okabe, Daichi; Tsuji, Taishi; Hanazato, Masamichi; Miyaguni, Yasuhiro; Asada, Nao; Kondo, Katsunori</t>
        </is>
      </c>
      <c r="J795" t="inlineStr">
        <is>
          <t>INTERNATIONAL JOURNAL OF ENVIRONMENTAL RESEARCH AND PUBLIC HEALTH</t>
        </is>
      </c>
      <c r="M795" t="inlineStr">
        <is>
          <t>English</t>
        </is>
      </c>
      <c r="N795" t="inlineStr">
        <is>
          <t>Article</t>
        </is>
      </c>
      <c r="T795" t="inlineStr">
        <is>
          <t>Neighborhood Walkability in Relation to Knee and Low Back Pain in Older People: A Multilevel Cross-Sectional Study from the JAGES</t>
        </is>
      </c>
      <c r="U795" t="inlineStr">
        <is>
          <t>neighborhood walkability; built environment; musculoskeletal pain; knee pain; low back pain; older people; multilevel analysis</t>
        </is>
      </c>
      <c r="V795" t="inlineStr">
        <is>
          <t>BODY-MASS INDEX; PHYSICAL-ACTIVITY; ENVIRONMENT; SCALE; ASSOCIATION; ADULTS; URBAN; OSTEOARTHRITIS; PREVALENCE; DISABILITY</t>
        </is>
      </c>
      <c r="W795" t="inlineStr">
        <is>
          <t>Few studies have focused on a relationship between the built environment and musculoskeletal pain. This study aimed to investigate an association between neighborhood walkability and knee and low back pain in older people. Data were derived from the Japan Gerontological Evaluation Study (JAGES) 2013, a population-based study of independently living people &gt;= 65 years old. A cross-sectional multilevel analysis was performed, of 22,892 participants in 792 neighborhoods. Neighborhood walkability was assessed by residents' perceptions and population density. Dependent variables were knee and low back pain restricting daily activities within the past year. The prevalence of knee pain was 26.2% and of low back pain 29.3%. After adjusting for sociodemographic covariates, the prevalence ratio (PR) of knee and low back pain was significantly lower in neighborhoods with better access to parks and sidewalks, good access to fresh food stores, and higher population densities. After additionally adjusting for population density, easier walking in neighborhoods without slopes or stairs was significantly inversely correlated with knee pain (PR 0.91, 95% confidence interval 0.85-0.99). Neighborhoods with walkability enhanced by good access to parks and sidewalks and fresh food stores, easy walking without slopes or stairs, and high population densities, had lower prevalences of knee and low back pain among older people. Further studies should examine environmental determinants of pain.</t>
        </is>
      </c>
      <c r="X795" t="inlineStr">
        <is>
          <t>[Okabe, Daichi; Asada, Nao] Chiba Univ, Grad Sch Med &amp; Pharmaceut Sci, Adv Prevent Med Sci, Chuo Ku, 1-8-1 Inohana, Chiba, Chiba 2608670, Japan; [Tsuji, Taishi; Hanazato, Masamichi; Kondo, Katsunori] Chiba Univ, Ctr Prevent Med Sci, Chuo Ku, 1-8-1 Inohana, Chiba, Chiba 2608670, Japan; [Miyaguni, Yasuhiro] Inst Hlth Econ &amp; Policy, Minato Ku, 1-5-11 Nishi Shimbashi, Tokyo 1050003, Japan; [Miyaguni, Yasuhiro; Kondo, Katsunori] Natl Ctr Geriatr &amp; Gerontol, Ctr Gerontol &amp; Social Sci, 7-430 Morioka Cho, Obu City, Aichi 4748511, Japan</t>
        </is>
      </c>
      <c r="Y795" t="inlineStr">
        <is>
          <t>Chiba University; Chiba University; National Center for Geriatrics &amp; Gerontology</t>
        </is>
      </c>
      <c r="Z795" t="inlineStr">
        <is>
          <t>Okabe, D (corresponding author), Chiba Univ, Grad Sch Med &amp; Pharmaceut Sci, Adv Prevent Med Sci, Chuo Ku, 1-8-1 Inohana, Chiba, Chiba 2608670, Japan.</t>
        </is>
      </c>
      <c r="AA795" t="inlineStr">
        <is>
          <t>daichiokabe01@gmail.com; tsuji.t@chiba-u.jp; hanazato@chiba-u.jp; y.miyaguni@ncgg.go.jp; nao.asadacar@gmail.com; kkondo@chiba-u.jp</t>
        </is>
      </c>
      <c r="AB795" t="inlineStr">
        <is>
          <t>hanazato, masamichi/L-6267-2019; Kondo, Katsunori/AAI-6373-2020</t>
        </is>
      </c>
      <c r="AC795" t="inlineStr">
        <is>
          <t>hanazato, masamichi/0000-0002-0317-7616; Okabe, Daichi/0000-0002-4768-8637</t>
        </is>
      </c>
      <c r="AD795" t="inlineStr">
        <is>
          <t>MEXT (Ministry of Education, Culture, Sports, Science and Technology-Japan); JSPS (Japan Society for the Promotion of Science) KAKENHI [JP18390200, JP22330172, JP22390400, JP23243070, JP23590786, JP23790710, JP24390469, JP24530698, JP24683018, JP25253052, JP25870573, JP25870881, JP26285138, JP26882010, JP15H01972]; Japan Agency for Medical Research and Development (AMED) [171s0110002, 18le0110009, JP19dk0110034]; National Center for Geriatrics and Gerontology [24-17, 24-23, 29-42]; World Health Organization Centre for Health Development (WHO Kobe Centre) [WHO APW 2017/713981]; JST-OPERA program grant [JPMJOP1831]; Health Labor Sciences Research Grants [H22-Choju-Shitei-008, H24-Chikyukibo-Ippan-009, H24-Choju-Wakate-009, H25-Kenki-Wakate-015, H25-Choju-Ippan-003, H26-Irryo-Shitei-003 (Fukkou), H26-Choju-Ippan-006, H27-Ninchisyou-Ippan-001, H28-choju-Ippan-002, H30-Kenki-Ippan-006]; [H30-Junkankitou-Ippan-004]; [H24-Junkanki (Seishu)-Ippan-007]</t>
        </is>
      </c>
      <c r="AE795" t="inlineStr">
        <is>
          <t>MEXT (Ministry of Education, Culture, Sports, Science and Technology-Japan)(Ministry of Education, Culture, Sports, Science and Technology, Japan (MEXT)); JSPS (Japan Society for the Promotion of Science) KAKENHI(Ministry of Education, Culture, Sports, Science and Technology, Japan (MEXT)Japan Society for the Promotion of ScienceGrants-in-Aid for Scientific Research (KAKENHI)); Japan Agency for Medical Research and Development (AMED)(Japan Agency for Medical Research and Development (AMED)); National Center for Geriatrics and Gerontology; World Health Organization Centre for Health Development (WHO Kobe Centre); JST-OPERA program grant; Health Labor Sciences Research Grants; ;</t>
        </is>
      </c>
      <c r="AF795" t="inlineStr">
        <is>
          <t>This study used data from JAGES (the Japan Gerontological Evaluation Study), which was supported by MEXT (Ministry of Education, Culture, Sports, Science and Technology-Japan)-Supported Program for the Strategic Research Foundation at Private Universities (2009-2013); JST-OPERA program grant (JPMJOP1831); JSPS (Japan Society for the Promotion of Science) KAKENHI (grant numbers JP18390200, JP22330172, JP22390400, JP23243070, JP23590786, JP23790710, JP24390469, JP24530698, JP24683018, JP25253052, JP25870573, JP25870881, JP26285138, JP26882010, and JP15H01972); Health Labor Sciences Research Grants (grant numbers H22-Choju-Shitei-008, H24-Junkanki (Seishu)-Ippan-007, H24-Chikyukibo-Ippan-009, H24-Choju-Wakate-009, H25-Kenki-Wakate-015, H25-Choju-Ippan-003, H26-Irryo-Shitei-003 (Fukkou), H26-Choju-Ippan-006, H27-Ninchisyou-Ippan-001, H28-choju-Ippan-002, H30-Kenki-Ippan-006, and H30-Junkankitou-Ippan-004); Japan Agency for Medical Research and Development (AMED) (grant numbers 171s0110002, 18le0110009, and JP19dk0110034); the Research Funding for Longevity Sciences from National Center for Geriatrics and Gerontology (grant numbers 24-17, 24-23, and 29-42); and the World Health Organization Centre for Health Development (WHO Kobe Centre) (WHO APW 2017/713981). The views and opinions expressed in this article are those of the authors and do not necessarily reflect the official policy or position of the respective funding organizations.</t>
        </is>
      </c>
      <c r="AH795" t="n">
        <v>57</v>
      </c>
      <c r="AI795" t="n">
        <v>11</v>
      </c>
      <c r="AJ795" t="n">
        <v>11</v>
      </c>
      <c r="AK795" t="n">
        <v>3</v>
      </c>
      <c r="AL795" t="n">
        <v>8</v>
      </c>
      <c r="AM795" t="inlineStr">
        <is>
          <t>MDPI</t>
        </is>
      </c>
      <c r="AN795" t="inlineStr">
        <is>
          <t>BASEL</t>
        </is>
      </c>
      <c r="AO795" t="inlineStr">
        <is>
          <t>ST ALBAN-ANLAGE 66, CH-4052 BASEL, SWITZERLAND</t>
        </is>
      </c>
      <c r="AQ795" t="inlineStr">
        <is>
          <t>1660-4601</t>
        </is>
      </c>
      <c r="AS795" t="inlineStr">
        <is>
          <t>INT J ENV RES PUB HE</t>
        </is>
      </c>
      <c r="AT795" t="inlineStr">
        <is>
          <t>Int. J. Environ. Res. Public Health</t>
        </is>
      </c>
      <c r="AU795" t="inlineStr">
        <is>
          <t>DEC</t>
        </is>
      </c>
      <c r="AV795" t="n">
        <v>2019</v>
      </c>
      <c r="AW795" t="n">
        <v>16</v>
      </c>
      <c r="AX795" t="n">
        <v>23</v>
      </c>
      <c r="BE795" t="n">
        <v>4598</v>
      </c>
      <c r="BF795" t="inlineStr">
        <is>
          <t>10.3390/ijerph16234598</t>
        </is>
      </c>
      <c r="BG795">
        <f>HYPERLINK("http://dx.doi.org/10.3390/ijerph16234598","http://dx.doi.org/10.3390/ijerph16234598")</f>
        <v/>
      </c>
      <c r="BJ795" t="n">
        <v>13</v>
      </c>
      <c r="BK795" t="inlineStr">
        <is>
          <t>Environmental Sciences; Public, Environmental &amp; Occupational Health</t>
        </is>
      </c>
      <c r="BL795" t="inlineStr">
        <is>
          <t>Science Citation Index Expanded (SCI-EXPANDED); Social Science Citation Index (SSCI)</t>
        </is>
      </c>
      <c r="BM795" t="inlineStr">
        <is>
          <t>Environmental Sciences &amp; Ecology; Public, Environmental &amp; Occupational Health</t>
        </is>
      </c>
      <c r="BN795" t="inlineStr">
        <is>
          <t>KC6HG</t>
        </is>
      </c>
      <c r="BO795" t="n">
        <v>31756959</v>
      </c>
      <c r="BP795" t="inlineStr">
        <is>
          <t>Green Published, gold</t>
        </is>
      </c>
      <c r="BS795" t="inlineStr">
        <is>
          <t>2023-10-26</t>
        </is>
      </c>
      <c r="BT795" t="inlineStr">
        <is>
          <t>WOS:000507275700084</t>
        </is>
      </c>
      <c r="BU795">
        <f>HYPERLINK("https%3A%2F%2Fwww.webofscience.com%2Fwos%2Fwoscc%2Ffull-record%2FWOS:000507275700084","View Full Record in Web of Science")</f>
        <v/>
      </c>
    </row>
    <row r="796">
      <c r="A796" t="inlineStr">
        <is>
          <t>J</t>
        </is>
      </c>
      <c r="B796" t="inlineStr">
        <is>
          <t>Meier, L; Raps, J; Leistner, P</t>
        </is>
      </c>
      <c r="F796" t="inlineStr">
        <is>
          <t>Meier, Linda; Raps, Johanna; Leistner, Philip</t>
        </is>
      </c>
      <c r="J796" t="inlineStr">
        <is>
          <t>SUSTAINABILITY</t>
        </is>
      </c>
      <c r="M796" t="inlineStr">
        <is>
          <t>English</t>
        </is>
      </c>
      <c r="N796" t="inlineStr">
        <is>
          <t>Article</t>
        </is>
      </c>
      <c r="T796" t="inlineStr">
        <is>
          <t>Insect Habitat Systems Integrated into Facades-Impact on Building Physics and Awareness of Society</t>
        </is>
      </c>
      <c r="U796" t="inlineStr">
        <is>
          <t>building physics; urban biodiversity; artificial habitats; built environment; simulation; climate-and culture-responsive buildings; nature-based solutions</t>
        </is>
      </c>
      <c r="W796" t="inlineStr">
        <is>
          <t>Deforestation, intensive farming and the sealing of green spaces are considered to be the main reasons for the global decrease of biodiversity. In this context, the built environment, and in particular vertical surfaces, are still highly underestimated and need to be taken into account. Although it is acknowledged that greened surfaces have beneficial effects, for example, on the microclimate, the vast majority of buildings are still not biodiversity-friendly. Artificial nesting boxes help birds and bats adapt to the change of their habitats. However, insects, with their tremendous significance for insectivorous species and for humans, are mostly neglected or even threatened. The purpose of this holistic approach is to investigate interactions between integrated insect habitat systems in facades and building physical aspects to create test objects. Heat transfer coefficients, thermal bridges, and the risk of condensation inside the buildings were simulated in different arrangements of nesting boxes for wild bees. As a result, conclusions on heat and humidity protection in ventilated facades and external thermal insulation composite systems could be drawn. The following results showed the maintenance of indoor comfort and energy efficiency as well as a low risk of mold. Further investigations analyzed the sound reduction index and fire protection. From a building physical point of view, integrated insect habitat systems could be part of the constructed environment and even link inner-city biotopes. Further challenges and opportunities are identified rather at a socio-ecological and technical level. Without taking into account the civil society and ecological demands of the various species, habitat systems for insects will miss their objectives. Special focus will be put on the skepticism and lack of knowledge of people, as well as on the comfort of the insects.</t>
        </is>
      </c>
      <c r="X796" t="inlineStr">
        <is>
          <t>[Meier, Linda; Raps, Johanna; Leistner, Philip] Univ Stuttgart, Inst Acoust &amp; Bldg Phys, Pfaffenwaldring 7, D-70569 Stuttgart, Germany; [Leistner, Philip] Inst Bldg Phys, Nobelstr 12, D-70569 Stuttgart, Germany</t>
        </is>
      </c>
      <c r="Y796" t="inlineStr">
        <is>
          <t>University of Stuttgart</t>
        </is>
      </c>
      <c r="Z796" t="inlineStr">
        <is>
          <t>Meier, L (corresponding author), Univ Stuttgart, Inst Acoust &amp; Bldg Phys, Pfaffenwaldring 7, D-70569 Stuttgart, Germany.</t>
        </is>
      </c>
      <c r="AA796" t="inlineStr">
        <is>
          <t>linda.meier@iabp.uni-stuttgart.de; johanna.raps@gmx.de; philip.leistner@ibp.fraunhofer.de</t>
        </is>
      </c>
      <c r="AH796" t="n">
        <v>35</v>
      </c>
      <c r="AI796" t="n">
        <v>2</v>
      </c>
      <c r="AJ796" t="n">
        <v>2</v>
      </c>
      <c r="AK796" t="n">
        <v>1</v>
      </c>
      <c r="AL796" t="n">
        <v>12</v>
      </c>
      <c r="AM796" t="inlineStr">
        <is>
          <t>MDPI</t>
        </is>
      </c>
      <c r="AN796" t="inlineStr">
        <is>
          <t>BASEL</t>
        </is>
      </c>
      <c r="AO796" t="inlineStr">
        <is>
          <t>ST ALBAN-ANLAGE 66, CH-4052 BASEL, SWITZERLAND</t>
        </is>
      </c>
      <c r="AQ796" t="inlineStr">
        <is>
          <t>2071-1050</t>
        </is>
      </c>
      <c r="AS796" t="inlineStr">
        <is>
          <t>SUSTAINABILITY-BASEL</t>
        </is>
      </c>
      <c r="AT796" t="inlineStr">
        <is>
          <t>Sustainability</t>
        </is>
      </c>
      <c r="AU796" t="inlineStr">
        <is>
          <t>JAN 2</t>
        </is>
      </c>
      <c r="AV796" t="n">
        <v>2020</v>
      </c>
      <c r="AW796" t="n">
        <v>12</v>
      </c>
      <c r="AX796" t="n">
        <v>2</v>
      </c>
      <c r="BE796" t="n">
        <v>570</v>
      </c>
      <c r="BF796" t="inlineStr">
        <is>
          <t>10.3390/su12020570</t>
        </is>
      </c>
      <c r="BG796">
        <f>HYPERLINK("http://dx.doi.org/10.3390/su12020570","http://dx.doi.org/10.3390/su12020570")</f>
        <v/>
      </c>
      <c r="BJ796" t="n">
        <v>22</v>
      </c>
      <c r="BK796" t="inlineStr">
        <is>
          <t>Green &amp; Sustainable Science &amp; Technology; Environmental Sciences; Environmental Studies</t>
        </is>
      </c>
      <c r="BL796" t="inlineStr">
        <is>
          <t>Science Citation Index Expanded (SCI-EXPANDED); Social Science Citation Index (SSCI)</t>
        </is>
      </c>
      <c r="BM796" t="inlineStr">
        <is>
          <t>Science &amp; Technology - Other Topics; Environmental Sciences &amp; Ecology</t>
        </is>
      </c>
      <c r="BN796" t="inlineStr">
        <is>
          <t>KQ3KE</t>
        </is>
      </c>
      <c r="BP796" t="inlineStr">
        <is>
          <t>Green Published, gold</t>
        </is>
      </c>
      <c r="BS796" t="inlineStr">
        <is>
          <t>2023-10-26</t>
        </is>
      </c>
      <c r="BT796" t="inlineStr">
        <is>
          <t>WOS:000516824600128</t>
        </is>
      </c>
      <c r="BU796">
        <f>HYPERLINK("https%3A%2F%2Fwww.webofscience.com%2Fwos%2Fwoscc%2Ffull-record%2FWOS:000516824600128","View Full Record in Web of Science")</f>
        <v/>
      </c>
    </row>
    <row r="797">
      <c r="A797" t="inlineStr">
        <is>
          <t>J</t>
        </is>
      </c>
      <c r="B797" t="inlineStr">
        <is>
          <t>Son, H; Kim, H</t>
        </is>
      </c>
      <c r="F797" t="inlineStr">
        <is>
          <t>Son, Heesook; Kim, Hyerang</t>
        </is>
      </c>
      <c r="J797" t="inlineStr">
        <is>
          <t>INTERNATIONAL JOURNAL OF ENVIRONMENTAL RESEARCH AND PUBLIC HEALTH</t>
        </is>
      </c>
      <c r="M797" t="inlineStr">
        <is>
          <t>English</t>
        </is>
      </c>
      <c r="N797" t="inlineStr">
        <is>
          <t>Article</t>
        </is>
      </c>
      <c r="T797" t="inlineStr">
        <is>
          <t>A Pilot Study to Test the Feasibility of a Home Mobility Monitoring System in Community-Dwelling Older Adults</t>
        </is>
      </c>
      <c r="U797" t="inlineStr">
        <is>
          <t>mobility; home monitoring system; older adults living alone; visiting nursing; technology</t>
        </is>
      </c>
      <c r="V797" t="inlineStr">
        <is>
          <t>ELDERLY-PEOPLE; AMBULATORY ACTIVITY; SYMPTOMS; INFORMATION; TRENDS; CARE</t>
        </is>
      </c>
      <c r="W797" t="inlineStr">
        <is>
          <t>Technology enables home-based personalized care through continuous, automated, real-time monitoring of a participant's health condition and remote communication between health care providers and participants. Technology has been implemented in a variety of nursing practices. However, little is known about the use of home mobility monitoring systems in visiting nursing practice. Therefore, the current study tested the feasibility of a home mobility monitoring system as a supportive tool for monitoring daily activities in community-dwelling older adults. Daily mobility data were collected for 15 months via home-based mobility monitoring sensors among eight older adults living alone. Indoor sensor outputs were categorized into sleeping, indoor activities, and going out. Atypical patterns were identified with reference to baseline activity. Daily indoor activities were clearly differentiated by sensor outputs and discriminated atypical activity patterns. During the year of monitoring, a health-related issue was identified in a participant. Our findings indicate the feasibility of a home mobility monitoring system for remote, continuous, and automated assessment of a participant's health-related mobility patterns. Such a system could be used as a supportive tool to detect and intervene in the case of problematic health issues.</t>
        </is>
      </c>
      <c r="X797" t="inlineStr">
        <is>
          <t>[Son, Heesook; Kim, Hyerang] Chung Ang Univ, Red Cross Coll Nursing, 84 Heukseok Ro, Seoul 06974, South Korea</t>
        </is>
      </c>
      <c r="Y797" t="inlineStr">
        <is>
          <t>Chung Ang University</t>
        </is>
      </c>
      <c r="Z797" t="inlineStr">
        <is>
          <t>Kim, H (corresponding author), Chung Ang Univ, Red Cross Coll Nursing, 84 Heukseok Ro, Seoul 06974, South Korea.</t>
        </is>
      </c>
      <c r="AA797" t="inlineStr">
        <is>
          <t>hson@cau.ac.kr; hkim167@hotmail.com</t>
        </is>
      </c>
      <c r="AD797" t="inlineStr">
        <is>
          <t>National Research Foundation of Korea Grant - Korean Government [NRF-2019R1A2C1006716]; Ministry of Trade, Industry and Energy (MOTIE); Korea Institute for Advancement of Technology (KIAT) through the International Cooperative R D program</t>
        </is>
      </c>
      <c r="AE797" t="inlineStr">
        <is>
          <t>National Research Foundation of Korea Grant - Korean Government; Ministry of Trade, Industry and Energy (MOTIE); Korea Institute for Advancement of Technology (KIAT) through the International Cooperative R D program</t>
        </is>
      </c>
      <c r="AF797" t="inlineStr">
        <is>
          <t>This work was supported by a National Research Foundation of Korea Grant funded by the Korean Government (NRF-2019R1A2C1006716) and supported by the Ministry of Trade, Industry and Energy (MOTIE) and Korea Institute for Advancement of Technology (KIAT) through the International Cooperative R &amp; D program.</t>
        </is>
      </c>
      <c r="AH797" t="n">
        <v>53</v>
      </c>
      <c r="AI797" t="n">
        <v>11</v>
      </c>
      <c r="AJ797" t="n">
        <v>11</v>
      </c>
      <c r="AK797" t="n">
        <v>2</v>
      </c>
      <c r="AL797" t="n">
        <v>9</v>
      </c>
      <c r="AM797" t="inlineStr">
        <is>
          <t>MDPI</t>
        </is>
      </c>
      <c r="AN797" t="inlineStr">
        <is>
          <t>BASEL</t>
        </is>
      </c>
      <c r="AO797" t="inlineStr">
        <is>
          <t>ST ALBAN-ANLAGE 66, CH-4052 BASEL, SWITZERLAND</t>
        </is>
      </c>
      <c r="AP797" t="inlineStr">
        <is>
          <t>1661-7827</t>
        </is>
      </c>
      <c r="AQ797" t="inlineStr">
        <is>
          <t>1660-4601</t>
        </is>
      </c>
      <c r="AS797" t="inlineStr">
        <is>
          <t>INT J ENV RES PUB HE</t>
        </is>
      </c>
      <c r="AT797" t="inlineStr">
        <is>
          <t>Int. J. Environ. Res. Public Health</t>
        </is>
      </c>
      <c r="AU797" t="inlineStr">
        <is>
          <t>MAY 1</t>
        </is>
      </c>
      <c r="AV797" t="n">
        <v>2019</v>
      </c>
      <c r="AW797" t="n">
        <v>16</v>
      </c>
      <c r="AX797" t="n">
        <v>9</v>
      </c>
      <c r="BE797" t="n">
        <v>1512</v>
      </c>
      <c r="BF797" t="inlineStr">
        <is>
          <t>10.3390/ijerph16091512</t>
        </is>
      </c>
      <c r="BG797">
        <f>HYPERLINK("http://dx.doi.org/10.3390/ijerph16091512","http://dx.doi.org/10.3390/ijerph16091512")</f>
        <v/>
      </c>
      <c r="BJ797" t="n">
        <v>16</v>
      </c>
      <c r="BK797" t="inlineStr">
        <is>
          <t>Environmental Sciences; Public, Environmental &amp; Occupational Health</t>
        </is>
      </c>
      <c r="BL797" t="inlineStr">
        <is>
          <t>Science Citation Index Expanded (SCI-EXPANDED); Social Science Citation Index (SSCI)</t>
        </is>
      </c>
      <c r="BM797" t="inlineStr">
        <is>
          <t>Environmental Sciences &amp; Ecology; Public, Environmental &amp; Occupational Health</t>
        </is>
      </c>
      <c r="BN797" t="inlineStr">
        <is>
          <t>IA4ER</t>
        </is>
      </c>
      <c r="BO797" t="n">
        <v>31035678</v>
      </c>
      <c r="BP797" t="inlineStr">
        <is>
          <t>Green Published, Green Submitted, gold</t>
        </is>
      </c>
      <c r="BS797" t="inlineStr">
        <is>
          <t>2023-10-26</t>
        </is>
      </c>
      <c r="BT797" t="inlineStr">
        <is>
          <t>WOS:000469517300037</t>
        </is>
      </c>
      <c r="BU797">
        <f>HYPERLINK("https%3A%2F%2Fwww.webofscience.com%2Fwos%2Fwoscc%2Ffull-record%2FWOS:000469517300037","View Full Record in Web of Science")</f>
        <v/>
      </c>
    </row>
    <row r="798">
      <c r="A798" t="inlineStr">
        <is>
          <t>J</t>
        </is>
      </c>
      <c r="B798" t="inlineStr">
        <is>
          <t>Jung, CC; Chen, NT; Hsia, YF; Hsu, NY; Su, HJ</t>
        </is>
      </c>
      <c r="F798" t="inlineStr">
        <is>
          <t>Jung, Chien-Cheng; Chen, Nai-Tzu; Hsia, Ying-Fang; Hsu, Nai-Yun; Su, Huey-Jen</t>
        </is>
      </c>
      <c r="J798" t="inlineStr">
        <is>
          <t>INTERNATIONAL JOURNAL OF ENVIRONMENTAL RESEARCH AND PUBLIC HEALTH</t>
        </is>
      </c>
      <c r="M798" t="inlineStr">
        <is>
          <t>English</t>
        </is>
      </c>
      <c r="N798" t="inlineStr">
        <is>
          <t>Article</t>
        </is>
      </c>
      <c r="T798" t="inlineStr">
        <is>
          <t>Influence of Indoor Temperature Exposure on Emergency Department Visits Due to Infectious and Non-Infectious Respiratory Diseases for Older People</t>
        </is>
      </c>
      <c r="U798" t="inlineStr">
        <is>
          <t>indoor temperature; older people; respiratory diseases; cumulative degree hour</t>
        </is>
      </c>
      <c r="V798" t="inlineStr">
        <is>
          <t>COOLING DEGREE-HOURS; AIR-POLLUTION; AMBIENT-TEMPERATURE; PULMONARY-DISEASE; MORTALITY; GENDER; RESPONSES; EXTREMES; SMOKING; HEALTH</t>
        </is>
      </c>
      <c r="W798" t="inlineStr">
        <is>
          <t>Previous studies have demonstrated that outdoor temperature exposure was an important risk factor for respiratory diseases. However, no study investigates the effect of indoor temperature exposure on respiratory diseases and further assesses cumulative effect. The objective of this study is to study the cumulative effect of indoor temperature exposure on emergency department visits due to infectious (IRD) and non-infectious (NIRD) respiratory diseases among older adults. Subjects were collected from the Longitudinal Health Insurance Database in Taiwan. The cumulative degree hours (CDHs) was used to assess the cumulative effect of indoor temperature exposure. A distributed lag nonlinear model with quasi-Poisson function was used to analyze the association between CDHs and emergency department visits due to IRD and NIRD. For IRD, there was a significant risk at 27, 28, 29, 30, and 31 degrees C when the CDHs exceeded 69, 40, 14, 5, and 1 during the cooling season (May to October), respectively, and at 19, 20, 21, 22, and 23 degrees C when the CDHs exceeded 8, 1, 1, 35, and 62 during the heating season (November to April), respectively. For NIRD, there was a significant risk at 19, 20, 21, 22, and 23 degrees C when the CDHs exceeded 1, 1, 16, 36, and 52 during the heating season, respectively; the CDHs at 1 was only associated with the NIRD at 31 degrees C during the cooling season. Our data also indicated that the CDHs was lower among men than women. We conclude that the cumulative effects of indoor temperature exposure should be considered to reduce IRD risk in both cooling and heating seasons and NIRD risk in heating season and the cumulative effect on different gender.</t>
        </is>
      </c>
      <c r="X798" t="inlineStr">
        <is>
          <t>[Jung, Chien-Cheng] China Med Univ, Dept Publ Hlth, Taichung 406060, Taiwan; [Chen, Nai-Tzu] Natl Cheng Kung Univ, Res Ctr Environm Trace Tox Subst, Tainan 70403, Taiwan; [Hsia, Ying-Fang] China Med Univ Hosp, Big Data Ctr, Taichung 404332, Taiwan; [Hsu, Nai-Yun; Su, Huey-Jen] Natl Cheng Kung Univ, Coll Med, Dept Environm &amp; Occupat Hlth, Tainan 70403, Taiwan</t>
        </is>
      </c>
      <c r="Y798" t="inlineStr">
        <is>
          <t>National Cheng Kung University; China Medical University Taiwan; China Medical University Hospital - Taiwan; National Cheng Kung University</t>
        </is>
      </c>
      <c r="Z798" t="inlineStr">
        <is>
          <t>Su, HJ (corresponding author), Natl Cheng Kung Univ, Coll Med, Dept Environm &amp; Occupat Hlth, Tainan 70403, Taiwan.</t>
        </is>
      </c>
      <c r="AA798" t="inlineStr">
        <is>
          <t>ccjung@mail.cmu.edu.tw; naitzu@gmail.com; ivyliveshe@gmail.com; boni.hsu@gmail.com; hjsu@mail.ncku.edu.tw</t>
        </is>
      </c>
      <c r="AB798" t="inlineStr">
        <is>
          <t>Hsu, Nai-Yun Boni/H-3318-2014</t>
        </is>
      </c>
      <c r="AC798" t="inlineStr">
        <is>
          <t>Hsu, Nai-Yun Boni/0000-0003-3321-6388; Jung, Chien-Cheng/0000-0003-0124-689X</t>
        </is>
      </c>
      <c r="AD798" t="inlineStr">
        <is>
          <t>Taiwan's Ministry of Science and Technology [MOST-106-2621-M-006-002-MY2]</t>
        </is>
      </c>
      <c r="AE798" t="inlineStr">
        <is>
          <t>Taiwan's Ministry of Science and Technology</t>
        </is>
      </c>
      <c r="AF798" t="inlineStr">
        <is>
          <t>We want to thank Taiwan's Ministry of Science and Technology (MOST-106-2621-M-006-002-MY2) for financially supporting this research through a grant.</t>
        </is>
      </c>
      <c r="AH798" t="n">
        <v>59</v>
      </c>
      <c r="AI798" t="n">
        <v>5</v>
      </c>
      <c r="AJ798" t="n">
        <v>5</v>
      </c>
      <c r="AK798" t="n">
        <v>0</v>
      </c>
      <c r="AL798" t="n">
        <v>8</v>
      </c>
      <c r="AM798" t="inlineStr">
        <is>
          <t>MDPI</t>
        </is>
      </c>
      <c r="AN798" t="inlineStr">
        <is>
          <t>BASEL</t>
        </is>
      </c>
      <c r="AO798" t="inlineStr">
        <is>
          <t>ST ALBAN-ANLAGE 66, CH-4052 BASEL, SWITZERLAND</t>
        </is>
      </c>
      <c r="AQ798" t="inlineStr">
        <is>
          <t>1660-4601</t>
        </is>
      </c>
      <c r="AS798" t="inlineStr">
        <is>
          <t>INT J ENV RES PUB HE</t>
        </is>
      </c>
      <c r="AT798" t="inlineStr">
        <is>
          <t>Int. J. Environ. Res. Public Health</t>
        </is>
      </c>
      <c r="AU798" t="inlineStr">
        <is>
          <t>MAY</t>
        </is>
      </c>
      <c r="AV798" t="n">
        <v>2021</v>
      </c>
      <c r="AW798" t="n">
        <v>18</v>
      </c>
      <c r="AX798" t="n">
        <v>10</v>
      </c>
      <c r="BE798" t="n">
        <v>5273</v>
      </c>
      <c r="BF798" t="inlineStr">
        <is>
          <t>10.3390/ijerph18105273</t>
        </is>
      </c>
      <c r="BG798">
        <f>HYPERLINK("http://dx.doi.org/10.3390/ijerph18105273","http://dx.doi.org/10.3390/ijerph18105273")</f>
        <v/>
      </c>
      <c r="BJ798" t="n">
        <v>11</v>
      </c>
      <c r="BK798" t="inlineStr">
        <is>
          <t>Environmental Sciences; Public, Environmental &amp; Occupational Health</t>
        </is>
      </c>
      <c r="BL798" t="inlineStr">
        <is>
          <t>Science Citation Index Expanded (SCI-EXPANDED); Social Science Citation Index (SSCI)</t>
        </is>
      </c>
      <c r="BM798" t="inlineStr">
        <is>
          <t>Environmental Sciences &amp; Ecology; Public, Environmental &amp; Occupational Health</t>
        </is>
      </c>
      <c r="BN798" t="inlineStr">
        <is>
          <t>SI5WF</t>
        </is>
      </c>
      <c r="BO798" t="n">
        <v>34063510</v>
      </c>
      <c r="BP798" t="inlineStr">
        <is>
          <t>gold, Green Published</t>
        </is>
      </c>
      <c r="BS798" t="inlineStr">
        <is>
          <t>2023-10-26</t>
        </is>
      </c>
      <c r="BT798" t="inlineStr">
        <is>
          <t>WOS:000654895600001</t>
        </is>
      </c>
      <c r="BU798">
        <f>HYPERLINK("https%3A%2F%2Fwww.webofscience.com%2Fwos%2Fwoscc%2Ffull-record%2FWOS:000654895600001","View Full Record in Web of Science")</f>
        <v/>
      </c>
    </row>
    <row r="799">
      <c r="A799" t="inlineStr">
        <is>
          <t>J</t>
        </is>
      </c>
      <c r="B799" t="inlineStr">
        <is>
          <t>Yang, R; Qin, ZT</t>
        </is>
      </c>
      <c r="F799" t="inlineStr">
        <is>
          <t>Yang, Ru; Qin, Zhentao</t>
        </is>
      </c>
      <c r="J799" t="inlineStr">
        <is>
          <t>REVISTA INTERNACIONAL DE CONTAMINACION AMBIENTAL</t>
        </is>
      </c>
      <c r="M799" t="inlineStr">
        <is>
          <t>English</t>
        </is>
      </c>
      <c r="N799" t="inlineStr">
        <is>
          <t>Article</t>
        </is>
      </c>
      <c r="T799" t="inlineStr">
        <is>
          <t>ARCHITECTURAL FEATURES AND CONCEPTION OF OVERALL CONSTRUCTION MODE OF YI SETTLEMENTS</t>
        </is>
      </c>
      <c r="U799" t="inlineStr">
        <is>
          <t>traditional dwellings; architectural style; culture; villages; modernization</t>
        </is>
      </c>
      <c r="W799" t="inlineStr">
        <is>
          <t>Yi is an ancient and brilliant nation, with its ancestors rooted in Panxi rift, forming a large number of unique and dazzling national cultures in the long national development path with the nutriment of the Jinsha River and the An'ning River. With the development of times, science and technology promote the integration of national culture. The remote, poor and backward traditional Yi settlements are facing constant impacts of modernization on material and spirit. The renovation of traditional Yi dwellings and the construction of small towns blindly copy the construction model of large and medium-sized cities. The destruction of the living environment is caused by economic development and natural disasters. The destruction of the traditional architectural style of Yi dwellings has changed the living environment of Yi, and the dwellings have gradually lost their long-standing architectural features and advantages. Therefore, it is urgent to improve the income and living standards of the residents in Yi region, build a livable living environment, and protect and inherit the Yi culture. The work analyzed the characteristics of Yi villages in Panzhihua, and proposed the overall construction mode of Yi settlement environment in modernization.</t>
        </is>
      </c>
      <c r="X799" t="inlineStr">
        <is>
          <t>[Yang, Ru] Panzhihua Coll, Coll Civil &amp; Architectural Engn, Panzhihua 617000, Panzhihua, Peoples R China; [Qin, Zhentao] Panzhihua Coll, Coll Math &amp; Comp Sci, Panzhihua 617000, Panzhihua, Peoples R China</t>
        </is>
      </c>
      <c r="Z799" t="inlineStr">
        <is>
          <t>Qin, ZT (corresponding author), Panzhihua Coll, Coll Math &amp; Comp Sci, Panzhihua 617000, Panzhihua, Peoples R China.</t>
        </is>
      </c>
      <c r="AA799" t="inlineStr">
        <is>
          <t>qzt2008@sina.com</t>
        </is>
      </c>
      <c r="AD799" t="inlineStr">
        <is>
          <t>National Natural Science Funds [41372340, 41671432]; Key Laboratory of Geoscience Spatial Information Technology of Ministry of Land and Resources, Chengdu University of Technology [KLGSIT2016-10]; Sichuan science and technology innovation miao sub-project, China [2017025]; Sichuan Statistical Science Research Project [2018sc28]</t>
        </is>
      </c>
      <c r="AE799" t="inlineStr">
        <is>
          <t>National Natural Science Funds(National Natural Science Foundation of China (NSFC)); Key Laboratory of Geoscience Spatial Information Technology of Ministry of Land and Resources, Chengdu University of Technology; Sichuan science and technology innovation miao sub-project, China; Sichuan Statistical Science Research Project</t>
        </is>
      </c>
      <c r="AF799" t="inlineStr">
        <is>
          <t>The authors were sponsored by the National Natural Science Funds (NO. 41372340 and NO. 41671432), Key Laboratory of Geoscience Spatial Information Technology of Ministry of Land and Resources, Chengdu University of Technology (NO. KLGSIT2016-10), Sichuan science and technology innovation miao sub-project, China (NO. 2017025), Sichuan Statistical Science Research Project(NO. 2018sc28).</t>
        </is>
      </c>
      <c r="AH799" t="n">
        <v>26</v>
      </c>
      <c r="AI799" t="n">
        <v>0</v>
      </c>
      <c r="AJ799" t="n">
        <v>0</v>
      </c>
      <c r="AK799" t="n">
        <v>2</v>
      </c>
      <c r="AL799" t="n">
        <v>14</v>
      </c>
      <c r="AM799" t="inlineStr">
        <is>
          <t>CENTRO CIENCIAS ATMOSFERA UNAM</t>
        </is>
      </c>
      <c r="AN799" t="inlineStr">
        <is>
          <t>MEXICO CITY</t>
        </is>
      </c>
      <c r="AO799" t="inlineStr">
        <is>
          <t>CIRCUITO EXTERIOR, MEXICO CITY CU 04510, MEXICO</t>
        </is>
      </c>
      <c r="AP799" t="inlineStr">
        <is>
          <t>0188-4999</t>
        </is>
      </c>
      <c r="AS799" t="inlineStr">
        <is>
          <t>REV INT CONTAM AMBIE</t>
        </is>
      </c>
      <c r="AT799" t="inlineStr">
        <is>
          <t>Rev. Int. Contam. Ambient.</t>
        </is>
      </c>
      <c r="AV799" t="n">
        <v>2019</v>
      </c>
      <c r="AW799" t="n">
        <v>35</v>
      </c>
      <c r="BA799" t="n">
        <v>1</v>
      </c>
      <c r="BC799" t="n">
        <v>45</v>
      </c>
      <c r="BD799" t="n">
        <v>51</v>
      </c>
      <c r="BF799" t="inlineStr">
        <is>
          <t>10.20937/RICA.2019.35.esp01.05</t>
        </is>
      </c>
      <c r="BG799">
        <f>HYPERLINK("http://dx.doi.org/10.20937/RICA.2019.35.esp01.05","http://dx.doi.org/10.20937/RICA.2019.35.esp01.05")</f>
        <v/>
      </c>
      <c r="BJ799" t="n">
        <v>7</v>
      </c>
      <c r="BK799" t="inlineStr">
        <is>
          <t>Environmental Sciences</t>
        </is>
      </c>
      <c r="BL799" t="inlineStr">
        <is>
          <t>Science Citation Index Expanded (SCI-EXPANDED)</t>
        </is>
      </c>
      <c r="BM799" t="inlineStr">
        <is>
          <t>Environmental Sciences &amp; Ecology</t>
        </is>
      </c>
      <c r="BN799" t="inlineStr">
        <is>
          <t>IF5DT</t>
        </is>
      </c>
      <c r="BP799" t="inlineStr">
        <is>
          <t>hybrid</t>
        </is>
      </c>
      <c r="BS799" t="inlineStr">
        <is>
          <t>2023-10-26</t>
        </is>
      </c>
      <c r="BT799" t="inlineStr">
        <is>
          <t>WOS:000473102200005</t>
        </is>
      </c>
      <c r="BU799">
        <f>HYPERLINK("https%3A%2F%2Fwww.webofscience.com%2Fwos%2Fwoscc%2Ffull-record%2FWOS:000473102200005","View Full Record in Web of Science")</f>
        <v/>
      </c>
    </row>
    <row r="800">
      <c r="A800" t="inlineStr">
        <is>
          <t>J</t>
        </is>
      </c>
      <c r="B800" t="inlineStr">
        <is>
          <t>Wang, DD; Wang, XD; Li, Y; Xie, J</t>
        </is>
      </c>
      <c r="F800" t="inlineStr">
        <is>
          <t>Wang, Dandan; Wang, Xiaodong; Li, Yang; Xie, Jun</t>
        </is>
      </c>
      <c r="J800" t="inlineStr">
        <is>
          <t>FRESENIUS ENVIRONMENTAL BULLETIN</t>
        </is>
      </c>
      <c r="M800" t="inlineStr">
        <is>
          <t>English</t>
        </is>
      </c>
      <c r="N800" t="inlineStr">
        <is>
          <t>Article</t>
        </is>
      </c>
      <c r="T800" t="inlineStr">
        <is>
          <t>LANDSCAPE ENVIRONMENT DESIGN OF URBAN PUBLIC SPACE BASED ON VISUAL ENHANCEMENT TECHNOLOGY</t>
        </is>
      </c>
      <c r="U800" t="inlineStr">
        <is>
          <t>Landscape environment; enhancement technology; public space; model; symbol; visual technology</t>
        </is>
      </c>
      <c r="V800" t="inlineStr">
        <is>
          <t>PATTERN; ARCHITECTURE</t>
        </is>
      </c>
      <c r="W800" t="inlineStr">
        <is>
          <t>The comprehensive understanding and awareness of the technology is the key to promote the landscape model construction and application. The traditional enhancement technology is not effective because it lacks acoustic elements. To solve this problem, we propose a new visual enhancement technology used for the landscape environment of urban public space. Taking the design of Zhuguo Relics Park in Zoucheng of Shandong province as an example, the application of model building in the landscape was discussed. we verified that by improving the visual experience satisfaction of the element and sound symbols, the visual feeling of the symbols can be increased to a certain extent. Multimodel perceptual element symbols play an important role in the visual enhancement of landscape environment in urban public space. The symbols of those patterns, including sound elements, landscape element, and natural elements were also considered. The preference perception of the sound element symbols and the adaptation to the simulated environment were evaluated and targeted to achieve visual enhancement. The experimental results showed that the visual and sound enhancement of symbols can effectively improve the landscape viewing effect, which is of great significance for building urban landscapes.</t>
        </is>
      </c>
      <c r="X800" t="inlineStr">
        <is>
          <t>[Wang, Dandan; Li, Yang; Xie, Jun] Qiqihar Univ, Sch Architecture &amp; Civil Engn, Qiqihar 161006, Heilongjiang, Peoples R China; [Wang, Xiaodong] Qiqihar Jiawei Architectural Design Co Ltd, Qiqihar 161006, Heilongjiang, Peoples R China</t>
        </is>
      </c>
      <c r="Y800" t="inlineStr">
        <is>
          <t>Qiqihar University</t>
        </is>
      </c>
      <c r="Z800" t="inlineStr">
        <is>
          <t>Wang, DD (corresponding author), Qiqihar Univ, Sch Architecture &amp; Civil Engn, Qiqihar 161006, Heilongjiang, Peoples R China.</t>
        </is>
      </c>
      <c r="AA800" t="inlineStr">
        <is>
          <t>xieqt006@163.com</t>
        </is>
      </c>
      <c r="AD800" t="inlineStr">
        <is>
          <t>Heilongjiang Province Art Science Planning Project [2019B50]; Qiqihar Science and Technology Bureau Project [RKX-201914]</t>
        </is>
      </c>
      <c r="AE800" t="inlineStr">
        <is>
          <t>Heilongjiang Province Art Science Planning Project; Qiqihar Science and Technology Bureau Project</t>
        </is>
      </c>
      <c r="AF800" t="inlineStr">
        <is>
          <t>This work was supported by Heilongjiang Province Art Science Planning Project (2019B50) and Qiqihar Science and Technology Bureau Project (RKX-201914).</t>
        </is>
      </c>
      <c r="AH800" t="n">
        <v>30</v>
      </c>
      <c r="AI800" t="n">
        <v>1</v>
      </c>
      <c r="AJ800" t="n">
        <v>1</v>
      </c>
      <c r="AK800" t="n">
        <v>0</v>
      </c>
      <c r="AL800" t="n">
        <v>7</v>
      </c>
      <c r="AM800" t="inlineStr">
        <is>
          <t>PARLAR SCIENTIFIC PUBLICATIONS (P S P)</t>
        </is>
      </c>
      <c r="AN800" t="inlineStr">
        <is>
          <t>FREISING</t>
        </is>
      </c>
      <c r="AO800" t="inlineStr">
        <is>
          <t>ANGERSTR. 12, 85354 FREISING, GERMANY</t>
        </is>
      </c>
      <c r="AP800" t="inlineStr">
        <is>
          <t>1018-4619</t>
        </is>
      </c>
      <c r="AQ800" t="inlineStr">
        <is>
          <t>1610-2304</t>
        </is>
      </c>
      <c r="AS800" t="inlineStr">
        <is>
          <t>FRESEN ENVIRON BULL</t>
        </is>
      </c>
      <c r="AT800" t="inlineStr">
        <is>
          <t>Fresenius Environ. Bull.</t>
        </is>
      </c>
      <c r="AV800" t="n">
        <v>2020</v>
      </c>
      <c r="AW800" t="n">
        <v>29</v>
      </c>
      <c r="AX800" t="n">
        <v>10</v>
      </c>
      <c r="BC800" t="n">
        <v>9005</v>
      </c>
      <c r="BD800" t="n">
        <v>9013</v>
      </c>
      <c r="BJ800" t="n">
        <v>9</v>
      </c>
      <c r="BK800" t="inlineStr">
        <is>
          <t>Environmental Sciences</t>
        </is>
      </c>
      <c r="BL800" t="inlineStr">
        <is>
          <t>Science Citation Index Expanded (SCI-EXPANDED)</t>
        </is>
      </c>
      <c r="BM800" t="inlineStr">
        <is>
          <t>Environmental Sciences &amp; Ecology</t>
        </is>
      </c>
      <c r="BN800" t="inlineStr">
        <is>
          <t>OQ0PD</t>
        </is>
      </c>
      <c r="BS800" t="inlineStr">
        <is>
          <t>2023-10-26</t>
        </is>
      </c>
      <c r="BT800" t="inlineStr">
        <is>
          <t>WOS:000588493600030</t>
        </is>
      </c>
      <c r="BU800">
        <f>HYPERLINK("https%3A%2F%2Fwww.webofscience.com%2Fwos%2Fwoscc%2Ffull-record%2FWOS:000588493600030","View Full Record in Web of Science")</f>
        <v/>
      </c>
    </row>
    <row r="801">
      <c r="A801" t="inlineStr">
        <is>
          <t>J</t>
        </is>
      </c>
      <c r="B801" t="inlineStr">
        <is>
          <t>Yu, WH; Nakisa, B; Ali, E; Loke, SW; Stevanovic, S; Guo, YM</t>
        </is>
      </c>
      <c r="F801" t="inlineStr">
        <is>
          <t>Yu, Wenhua; Nakisa, Bahareh; Ali, Emran; Loke, Seng W.; Stevanovic, Svetlana; Guo, Yuming</t>
        </is>
      </c>
      <c r="J801" t="inlineStr">
        <is>
          <t>URBAN CLIMATE</t>
        </is>
      </c>
      <c r="M801" t="inlineStr">
        <is>
          <t>English</t>
        </is>
      </c>
      <c r="N801" t="inlineStr">
        <is>
          <t>Article</t>
        </is>
      </c>
      <c r="T801" t="inlineStr">
        <is>
          <t>Sensor-based indoor air temperature prediction using deep ensemble machine learning: An Australian urban environment case study</t>
        </is>
      </c>
      <c r="U801" t="inlineStr">
        <is>
          <t>Deep ensemble machine learning; Indoor temperature; Low-cost air quality sensors; Urban environment; Australia</t>
        </is>
      </c>
      <c r="V801" t="inlineStr">
        <is>
          <t>ARTIFICIAL NEURAL-NETWORKS; HUMIDITY; HEALTH</t>
        </is>
      </c>
      <c r="W801" t="inlineStr">
        <is>
          <t>Accurate prediction of indoor temperature is critical for climate change adaptation and occupant health. The aim of this study is to investigate an improved deep ensemble machine learning framework (DEML), by adjusting the model architecture with several machine learning (ML) and deep learning (DL) approaches to forecast the sensor-based indoor temperature in the Australian urban environment. We collected ambient station-based temperatures, satellite-based outdoor climate characteristics, and low-cost sensor-based indoor environmental metrics from 96 devices from August 2019 to November 2022, and established DEML with a rolling windows approach to assess the prediction stability over time. The DEML model was compared with several benchmark models, including Random Forest (RF), Support Vector Machine (SVM), eXtreme Gradient Boosting (XGboost), Long-short term memory (LSTM), and Super Learner model (SL). A total of 13,715 days [median: 341 days; IQR (the interquartile range): 221-977 days] of low-cost sensorbased indoor temperature were included in 25 commercial and residential buildings across eight cities. The prediction performance of DEML was superior to the other five benchmark models in most of the sensors [coefficients of determination (R2) of 0.861-0.990 and root mean square error (RMSE) of 0.125-0.886 degrees C], followed by RF and SL algorithms. DEML consistently achieved high accuracy across different climate zones, seasons, and building types, which could be used as a crucial tool for optimizing energy use, maintaining occupant comfort and health, and adapting to the impacts of climate change.</t>
        </is>
      </c>
      <c r="X801" t="inlineStr">
        <is>
          <t>[Yu, Wenhua; Guo, Yuming] Monash Univ, Sch Publ Hlth &amp; Prevent Med, Climate Air Qual Res Unit, Level 2,553 St Kilda Rd, Melbourne, Vic 3004, Australia; [Nakisa, Bahareh; Ali, Emran; Loke, Seng W.] Deakin Univ, Fac Sci Engn &amp; Built Environm, Sch IT, Burwood, Vic, Australia; [Stevanovic, Svetlana] Deakin Univ, Sch Engn, Waurn Ponds, Vic 3216, Australia</t>
        </is>
      </c>
      <c r="Y801" t="inlineStr">
        <is>
          <t>Monash University; Deakin University; Deakin University</t>
        </is>
      </c>
      <c r="Z801" t="inlineStr">
        <is>
          <t>Yu, WH; Guo, YM (corresponding author), Monash Univ, Sch Publ Hlth &amp; Prevent Med, Climate Air Qual Res Unit, Level 2,553 St Kilda Rd, Melbourne, Vic 3004, Australia.</t>
        </is>
      </c>
      <c r="AA801" t="inlineStr">
        <is>
          <t>wenhua.yu@monash.edu; yuming.guo@monash.edu</t>
        </is>
      </c>
      <c r="AB801" t="inlineStr">
        <is>
          <t>Nakisa, Bahareh/IXD-6590-2023; Guo, Yuming/I-8353-2018</t>
        </is>
      </c>
      <c r="AC801" t="inlineStr">
        <is>
          <t>Nakisa, Bahareh/0000-0003-2211-2997; Guo, Yuming/0000-0002-1766-6592</t>
        </is>
      </c>
      <c r="AD801" t="inlineStr">
        <is>
          <t>Australian Research Council [DP210102076]; Australian Medical Research Future Fund [2015916]; Australian National Health and Medical Research Council [APP2000581, APP1163693, APP2008813]; Monash Graduate Scholarship; Monash International Tuition Scholarship</t>
        </is>
      </c>
      <c r="AE801" t="inlineStr">
        <is>
          <t>Australian Research Council(Australian Research Council); Australian Medical Research Future Fund(Medical Research Future Fund (MRFF)); Australian National Health and Medical Research Council(National Health and Medical Research Council (NHMRC) of Australia); Monash Graduate Scholarship(Monash University); Monash International Tuition Scholarship</t>
        </is>
      </c>
      <c r="AF801" t="inlineStr">
        <is>
          <t>YG was supported by Australian Research Council (grant number DP210102076) , the Australian Medical Research Future Fund (grant number 2015916) , the Australian National Health and Medical Research Council (grant number APP2000581) , Career Development Fellowship (award number APP1163693) , and Leader Fellowship of the Australian National Health and Medical Research Council (award number APP2008813) . WY was supported by Monash Graduate Scholarship, Monash International Tuition Scholarship. We appreciate Tingting Ye from the School of Public Health and Preventive Medicine, Monash University for assisting in the improvement of figures.</t>
        </is>
      </c>
      <c r="AH801" t="n">
        <v>39</v>
      </c>
      <c r="AI801" t="n">
        <v>0</v>
      </c>
      <c r="AJ801" t="n">
        <v>0</v>
      </c>
      <c r="AK801" t="n">
        <v>1</v>
      </c>
      <c r="AL801" t="n">
        <v>1</v>
      </c>
      <c r="AM801" t="inlineStr">
        <is>
          <t>ELSEVIER</t>
        </is>
      </c>
      <c r="AN801" t="inlineStr">
        <is>
          <t>AMSTERDAM</t>
        </is>
      </c>
      <c r="AO801" t="inlineStr">
        <is>
          <t>RADARWEG 29, 1043 NX AMSTERDAM, NETHERLANDS</t>
        </is>
      </c>
      <c r="AP801" t="inlineStr">
        <is>
          <t>2212-0955</t>
        </is>
      </c>
      <c r="AS801" t="inlineStr">
        <is>
          <t>URBAN CLIM</t>
        </is>
      </c>
      <c r="AT801" t="inlineStr">
        <is>
          <t>Urban CLim.</t>
        </is>
      </c>
      <c r="AU801" t="inlineStr">
        <is>
          <t>SEP</t>
        </is>
      </c>
      <c r="AV801" t="n">
        <v>2023</v>
      </c>
      <c r="AW801" t="n">
        <v>51</v>
      </c>
      <c r="BE801" t="n">
        <v>101599</v>
      </c>
      <c r="BF801" t="inlineStr">
        <is>
          <t>10.1016/j.uclim.2023.101599</t>
        </is>
      </c>
      <c r="BG801">
        <f>HYPERLINK("http://dx.doi.org/10.1016/j.uclim.2023.101599","http://dx.doi.org/10.1016/j.uclim.2023.101599")</f>
        <v/>
      </c>
      <c r="BJ801" t="n">
        <v>14</v>
      </c>
      <c r="BK801" t="inlineStr">
        <is>
          <t>Environmental Sciences; Meteorology &amp; Atmospheric Sciences</t>
        </is>
      </c>
      <c r="BL801" t="inlineStr">
        <is>
          <t>Science Citation Index Expanded (SCI-EXPANDED)</t>
        </is>
      </c>
      <c r="BM801" t="inlineStr">
        <is>
          <t>Environmental Sciences &amp; Ecology; Meteorology &amp; Atmospheric Sciences</t>
        </is>
      </c>
      <c r="BN801" t="inlineStr">
        <is>
          <t>Q9RN8</t>
        </is>
      </c>
      <c r="BP801" t="inlineStr">
        <is>
          <t>hybrid</t>
        </is>
      </c>
      <c r="BS801" t="inlineStr">
        <is>
          <t>2023-10-26</t>
        </is>
      </c>
      <c r="BT801" t="inlineStr">
        <is>
          <t>WOS:001060817600001</t>
        </is>
      </c>
      <c r="BU801">
        <f>HYPERLINK("https%3A%2F%2Fwww.webofscience.com%2Fwos%2Fwoscc%2Ffull-record%2FWOS:001060817600001","View Full Record in Web of Science")</f>
        <v/>
      </c>
    </row>
    <row r="802">
      <c r="A802" t="inlineStr">
        <is>
          <t>J</t>
        </is>
      </c>
      <c r="B802" t="inlineStr">
        <is>
          <t>Zhao, CX; Zhao, CL; Zhao, MM; Wang, L; Guo, JW; Zhang, LH; Li, YF; Sun, YL; Zhang, L; Li, ZA; Zhu, WF</t>
        </is>
      </c>
      <c r="F802" t="inlineStr">
        <is>
          <t>Zhao, Chenxi; Zhao, Chenglei; Zhao, Minmin; Wang, Lin; Guo, Jiawei; Zhang, Longhai; Li, Yunfeng; Sun, Yuliang; Zhang, Ling; Li, Zheng'ao; Zhu, Wenfei</t>
        </is>
      </c>
      <c r="J802" t="inlineStr">
        <is>
          <t>SUSTAINABILITY</t>
        </is>
      </c>
      <c r="M802" t="inlineStr">
        <is>
          <t>English</t>
        </is>
      </c>
      <c r="N802" t="inlineStr">
        <is>
          <t>Article</t>
        </is>
      </c>
      <c r="T802" t="inlineStr">
        <is>
          <t>Effect of Exergame Training on Working Memory and Executive Function in Older Adults</t>
        </is>
      </c>
      <c r="U802" t="inlineStr">
        <is>
          <t>exergame; working memory; executive function; older adults</t>
        </is>
      </c>
      <c r="V802" t="inlineStr">
        <is>
          <t>COGNITIVE FUNCTION; PHYSICAL-ACTIVITY; EXERCISE; PERFORMANCE; METAANALYSIS</t>
        </is>
      </c>
      <c r="W802" t="inlineStr">
        <is>
          <t>Background: As the population ages, cognitive impairment and dementia have become one of the greatest health threats in older adults. Prior studies suggest that exergaming could improve cognitive function in older adults. To date, few long-term exergames intervention studies on older adults during the COVID-19 epidemic exist. This study aimed to investigate the effects of exergame on cognitive function in Chinese older adults, and to examine whether exergame was more effective than aerobic dancing for executive function and working memory. Methods: 55 participants (mean age = 65.4 +/- 3.7 years) were randomly assigned to an exergame training (ET) group, an aerobic dancing training (ADT) group, or a control (CON) group. The ET and ADT groups received 36 sessions (three 75-min training sessions per week, exercise intensity = 65 to 75% HRmax) during a 12-week period. The outcome measures for cognitive function included working memory measured by the N-back test, and executive function measured by the Stroop test. Results: The ET group showed a significantly positive effect in working memory, relative to the ADT (accuracy in 1-back test: ES = 0.76, p &lt; 0.01), and CON group (accuracy in 1-back test: ES = 0.87, p = 0.02). Moreover, the performance in the Stroop test showed some improvements in executive function after intervention in the ET and ADT groups (Stroop intervention effect: ES = 0.38; p = 0.25). Conclusions: Exergame had a positive benefit in improving cognitive functions in older adults without cognitive impairment. Long-term exergame training could improve working memory in older adults. Exergame and aerobic dancing can efficiently improve inhibitory control of executive function in older adults. Maintaining an active lifestyle is protective of cognitive health in older adults.</t>
        </is>
      </c>
      <c r="X802" t="inlineStr">
        <is>
          <t>[Zhao, Chenxi; Zhao, Chenglei; Zhao, Minmin; Wang, Lin; Guo, Jiawei; Zhang, Longhai; Li, Yunfeng; Sun, Yuliang; Zhang, Ling; Li, Zheng'ao; Zhu, Wenfei] Shaanxi Normal Univ, Sch Phys Educ, Xian 710119, Peoples R China</t>
        </is>
      </c>
      <c r="Y802" t="inlineStr">
        <is>
          <t>Shaanxi Normal University</t>
        </is>
      </c>
      <c r="Z802" t="inlineStr">
        <is>
          <t>Zhu, WF (corresponding author), Shaanxi Normal Univ, Sch Phys Educ, Xian 710119, Peoples R China.</t>
        </is>
      </c>
      <c r="AA802" t="inlineStr">
        <is>
          <t>wzhu@snnu.edu.cn</t>
        </is>
      </c>
      <c r="AB802" t="inlineStr">
        <is>
          <t>Zhu, Wenfei/AAT-5342-2020; Guo, Jiawei/AAI-5403-2020</t>
        </is>
      </c>
      <c r="AC802" t="inlineStr">
        <is>
          <t>Guo, Jiawei/0000-0001-9471-2508; Zhao, Chenxi/0000-0003-1281-4012; lee, yunfeng/0000-0002-6987-9522</t>
        </is>
      </c>
      <c r="AD802" t="inlineStr">
        <is>
          <t>MOE (Ministry of Education in China) Project of Humanities and Social Sciences [20YJC890053]; Shaanxi Province Social Science Foundation Program [2020Q009]</t>
        </is>
      </c>
      <c r="AE802" t="inlineStr">
        <is>
          <t>MOE (Ministry of Education in China) Project of Humanities and Social Sciences; Shaanxi Province Social Science Foundation Program</t>
        </is>
      </c>
      <c r="AF802" t="inlineStr">
        <is>
          <t>This study was supported by the MOE (Ministry of Education in China) Project of Humanities and Social Sciences (20YJC890053), and Shaanxi Province Social Science Foundation Program (2020Q009).</t>
        </is>
      </c>
      <c r="AH802" t="n">
        <v>48</v>
      </c>
      <c r="AI802" t="n">
        <v>2</v>
      </c>
      <c r="AJ802" t="n">
        <v>2</v>
      </c>
      <c r="AK802" t="n">
        <v>26</v>
      </c>
      <c r="AL802" t="n">
        <v>60</v>
      </c>
      <c r="AM802" t="inlineStr">
        <is>
          <t>MDPI</t>
        </is>
      </c>
      <c r="AN802" t="inlineStr">
        <is>
          <t>BASEL</t>
        </is>
      </c>
      <c r="AO802" t="inlineStr">
        <is>
          <t>ST ALBAN-ANLAGE 66, CH-4052 BASEL, SWITZERLAND</t>
        </is>
      </c>
      <c r="AQ802" t="inlineStr">
        <is>
          <t>2071-1050</t>
        </is>
      </c>
      <c r="AS802" t="inlineStr">
        <is>
          <t>SUSTAINABILITY-BASEL</t>
        </is>
      </c>
      <c r="AT802" t="inlineStr">
        <is>
          <t>Sustainability</t>
        </is>
      </c>
      <c r="AU802" t="inlineStr">
        <is>
          <t>SEP</t>
        </is>
      </c>
      <c r="AV802" t="n">
        <v>2022</v>
      </c>
      <c r="AW802" t="n">
        <v>14</v>
      </c>
      <c r="AX802" t="n">
        <v>17</v>
      </c>
      <c r="BE802" t="n">
        <v>10631</v>
      </c>
      <c r="BF802" t="inlineStr">
        <is>
          <t>10.3390/su141710631</t>
        </is>
      </c>
      <c r="BG802">
        <f>HYPERLINK("http://dx.doi.org/10.3390/su141710631","http://dx.doi.org/10.3390/su141710631")</f>
        <v/>
      </c>
      <c r="BJ802" t="n">
        <v>11</v>
      </c>
      <c r="BK802" t="inlineStr">
        <is>
          <t>Green &amp; Sustainable Science &amp; Technology; Environmental Sciences; Environmental Studies</t>
        </is>
      </c>
      <c r="BL802" t="inlineStr">
        <is>
          <t>Science Citation Index Expanded (SCI-EXPANDED); Social Science Citation Index (SSCI)</t>
        </is>
      </c>
      <c r="BM802" t="inlineStr">
        <is>
          <t>Science &amp; Technology - Other Topics; Environmental Sciences &amp; Ecology</t>
        </is>
      </c>
      <c r="BN802" t="inlineStr">
        <is>
          <t>4K3DK</t>
        </is>
      </c>
      <c r="BP802" t="inlineStr">
        <is>
          <t>gold</t>
        </is>
      </c>
      <c r="BS802" t="inlineStr">
        <is>
          <t>2023-10-26</t>
        </is>
      </c>
      <c r="BT802" t="inlineStr">
        <is>
          <t>WOS:000851834800001</t>
        </is>
      </c>
      <c r="BU802">
        <f>HYPERLINK("https%3A%2F%2Fwww.webofscience.com%2Fwos%2Fwoscc%2Ffull-record%2FWOS:000851834800001","View Full Record in Web of Science")</f>
        <v/>
      </c>
    </row>
    <row r="803">
      <c r="A803" t="inlineStr">
        <is>
          <t>J</t>
        </is>
      </c>
      <c r="B803" t="inlineStr">
        <is>
          <t>Shan, WT; Xiu, CL; Ji, R</t>
        </is>
      </c>
      <c r="F803" t="inlineStr">
        <is>
          <t>Shan, Weiting; Xiu, Chunliang; Ji, Rui</t>
        </is>
      </c>
      <c r="J803" t="inlineStr">
        <is>
          <t>INTERNATIONAL JOURNAL OF ENVIRONMENTAL RESEARCH AND PUBLIC HEALTH</t>
        </is>
      </c>
      <c r="M803" t="inlineStr">
        <is>
          <t>English</t>
        </is>
      </c>
      <c r="N803" t="inlineStr">
        <is>
          <t>Article</t>
        </is>
      </c>
      <c r="T803" t="inlineStr">
        <is>
          <t>Creating a Healthy Environment for Elderly People in Urban Public Activity Space</t>
        </is>
      </c>
      <c r="U803" t="inlineStr">
        <is>
          <t>urban park; elderly healthy; acoustic environment; planning principle</t>
        </is>
      </c>
      <c r="W803" t="inlineStr">
        <is>
          <t>According to statistics, the global, population aging problem is severe and growing rapidly. The aging problem is most obvious in some European countries, and most of them are developed countries, such as Japan, Italy, Germany, France, etc. The current internal and external environments of parks in China are complex. The inefficient utilization of space in urban parks is a prominent problem. The design of public spaces that only considers the visual experience is incomplete. Based on the optimization of urban park space planning principle, this study examined a new measure of the acoustic environment in elderly public activity space and designed a new elderly healthy urban park environment. Methods: Using the main parks in Shenyang (Zhongshan Park, Nanhu Park, Youth Park, and Labor park) as the study sites, this study analyzed problems in the acoustic environmental data through on-site inspection, questionnaire survey, and physical data collection. By using general linear regression and multiple regression methods, this study analyzed the impacts of plant density, site elevation, structure enclosure, functional mixing degree on the acoustic environment, and elderly population activities. Based on the acoustic environment, we propose improvements and construction ideas, as well as technical methods, for urban elderly public activity space planning. The utility of the elderly public activity space planning principle was also considered. Results: Elderly activity space in urban parks was affected by three main factors-plant density, degree of structural enclosure, and function mixing degree. These factors should be optimized to construct healthy acoustic environments and attract different types of people. Discussion: Compared to past studies, the new influencing factors of the planning principle for elderly public activity space found in this study, would benefit the urban park environment for the elderly and support sustainable development of cities. Conclusions: This study proposes three optimizations to the elderly urban park space planning principle and builds four healthy models of elderly urban space activity.</t>
        </is>
      </c>
      <c r="X803" t="inlineStr">
        <is>
          <t>[Shan, Weiting; Xiu, Chunliang; Ji, Rui] Northeastern Univ, Dept Architecture, Shenyang 110819, Liaoning, Peoples R China</t>
        </is>
      </c>
      <c r="Y803" t="inlineStr">
        <is>
          <t>Northeastern University - China</t>
        </is>
      </c>
      <c r="Z803" t="inlineStr">
        <is>
          <t>Shan, WT (corresponding author), Northeastern Univ, Dept Architecture, Shenyang 110819, Liaoning, Peoples R China.</t>
        </is>
      </c>
      <c r="AA803" t="inlineStr">
        <is>
          <t>shweiting@163.com; xiuchunliang@mail.neu.edu.cn; jiruivia@163.com</t>
        </is>
      </c>
      <c r="AC803" t="inlineStr">
        <is>
          <t>Shan, Weiting/0000-0001-5365-5797</t>
        </is>
      </c>
      <c r="AH803" t="n">
        <v>47</v>
      </c>
      <c r="AI803" t="n">
        <v>4</v>
      </c>
      <c r="AJ803" t="n">
        <v>4</v>
      </c>
      <c r="AK803" t="n">
        <v>28</v>
      </c>
      <c r="AL803" t="n">
        <v>94</v>
      </c>
      <c r="AM803" t="inlineStr">
        <is>
          <t>MDPI</t>
        </is>
      </c>
      <c r="AN803" t="inlineStr">
        <is>
          <t>BASEL</t>
        </is>
      </c>
      <c r="AO803" t="inlineStr">
        <is>
          <t>ST ALBAN-ANLAGE 66, CH-4052 BASEL, SWITZERLAND</t>
        </is>
      </c>
      <c r="AQ803" t="inlineStr">
        <is>
          <t>1660-4601</t>
        </is>
      </c>
      <c r="AS803" t="inlineStr">
        <is>
          <t>INT J ENV RES PUB HE</t>
        </is>
      </c>
      <c r="AT803" t="inlineStr">
        <is>
          <t>Int. J. Environ. Res. Public Health</t>
        </is>
      </c>
      <c r="AU803" t="inlineStr">
        <is>
          <t>OCT</t>
        </is>
      </c>
      <c r="AV803" t="n">
        <v>2020</v>
      </c>
      <c r="AW803" t="n">
        <v>17</v>
      </c>
      <c r="AX803" t="n">
        <v>19</v>
      </c>
      <c r="BE803" t="n">
        <v>7301</v>
      </c>
      <c r="BF803" t="inlineStr">
        <is>
          <t>10.3390/ijerph17197301</t>
        </is>
      </c>
      <c r="BG803">
        <f>HYPERLINK("http://dx.doi.org/10.3390/ijerph17197301","http://dx.doi.org/10.3390/ijerph17197301")</f>
        <v/>
      </c>
      <c r="BJ803" t="n">
        <v>18</v>
      </c>
      <c r="BK803" t="inlineStr">
        <is>
          <t>Environmental Sciences; Public, Environmental &amp; Occupational Health</t>
        </is>
      </c>
      <c r="BL803" t="inlineStr">
        <is>
          <t>Science Citation Index Expanded (SCI-EXPANDED); Social Science Citation Index (SSCI)</t>
        </is>
      </c>
      <c r="BM803" t="inlineStr">
        <is>
          <t>Environmental Sciences &amp; Ecology; Public, Environmental &amp; Occupational Health</t>
        </is>
      </c>
      <c r="BN803" t="inlineStr">
        <is>
          <t>ON3YU</t>
        </is>
      </c>
      <c r="BO803" t="n">
        <v>33036270</v>
      </c>
      <c r="BP803" t="inlineStr">
        <is>
          <t>gold, Green Published</t>
        </is>
      </c>
      <c r="BS803" t="inlineStr">
        <is>
          <t>2023-10-26</t>
        </is>
      </c>
      <c r="BT803" t="inlineStr">
        <is>
          <t>WOS:000586641500001</t>
        </is>
      </c>
      <c r="BU803">
        <f>HYPERLINK("https%3A%2F%2Fwww.webofscience.com%2Fwos%2Fwoscc%2Ffull-record%2FWOS:000586641500001","View Full Record in Web of Science")</f>
        <v/>
      </c>
    </row>
    <row r="804">
      <c r="A804" t="inlineStr">
        <is>
          <t>J</t>
        </is>
      </c>
      <c r="B804" t="inlineStr">
        <is>
          <t>Bonatto, DDM; Alves, FB</t>
        </is>
      </c>
      <c r="F804" t="inlineStr">
        <is>
          <t>Bonatto, Daniella do Amaral Mello; Alves, Fernando Brandao</t>
        </is>
      </c>
      <c r="J804" t="inlineStr">
        <is>
          <t>INTERNATIONAL JOURNAL OF ENVIRONMENTAL RESEARCH AND PUBLIC HEALTH</t>
        </is>
      </c>
      <c r="M804" t="inlineStr">
        <is>
          <t>English</t>
        </is>
      </c>
      <c r="N804" t="inlineStr">
        <is>
          <t>Article</t>
        </is>
      </c>
      <c r="T804" t="inlineStr">
        <is>
          <t>Application of Walkability Index for Older Adults' Health in the Brazilian Context: The Case of Vitoria-ES, Brazil</t>
        </is>
      </c>
      <c r="U804" t="inlineStr">
        <is>
          <t>walkability index; older adults' health; older persons; WIEH; public space; Vitoria</t>
        </is>
      </c>
      <c r="V804" t="inlineStr">
        <is>
          <t>PHYSICAL-ACTIVITY</t>
        </is>
      </c>
      <c r="W804" t="inlineStr">
        <is>
          <t>This study follows up on the article 'Walkability Index for Elderly Health: A Proposal', published in 2020, as well its validation in the Historic Center of Porto, published in 2021. The 2020 article presented the theoretical and methodological bases relating qualities of public spaces, the walkability of older adults, and the direct benefits on health. The 2021 article validated the applicability of the index in the Historic Center of Porto, Portugal. Both articles incorporated the factor 'slope', solving a criticism evidenced in related literature about the slope being ignored in older adults' walking conditions studies. The present study, however, aims to validate the conceptual design of the Walkability Index for Elderly Health (WIEH) in the Brazilian context at the historic center of Vitoria. The methodology included the analysis and evaluation of public spaces regarding the pedestrian network-urban fabric, urban scene, and safety-and the presence of slopes and/or stairways. Subsequently, these spaces were classified according to the WIEH, ascertaining their level of adequacy for older adults' walkability. The results show that paths friendly to older adults are rare and that the problems encountered focus primarily on the low quality of the pedestrian network and not on the existence of slopes and stairways.</t>
        </is>
      </c>
      <c r="X804" t="inlineStr">
        <is>
          <t>[Bonatto, Daniella do Amaral Mello] Fed Univ Espirito Santo UFES, Dept Architecture &amp; Urbanism, BR-29055310 Vitoria, ES, Brazil; [Alves, Fernando Brandao] Univ Porto, CITTA, Fac Engn, P-4200465 Porto, Portugal</t>
        </is>
      </c>
      <c r="Y804" t="inlineStr">
        <is>
          <t>Universidade Federal do Espirito Santo; Universidade do Porto</t>
        </is>
      </c>
      <c r="Z804" t="inlineStr">
        <is>
          <t>Bonatto, DDM (corresponding author), Fed Univ Espirito Santo UFES, Dept Architecture &amp; Urbanism, BR-29055310 Vitoria, ES, Brazil.;Alves, FB (corresponding author), Univ Porto, CITTA, Fac Engn, P-4200465 Porto, Portugal.</t>
        </is>
      </c>
      <c r="AA804" t="inlineStr">
        <is>
          <t>daniella.bonatto@ufes.br; alves@fe.up.pt</t>
        </is>
      </c>
      <c r="AB804" t="inlineStr">
        <is>
          <t>Alves, Fernando/N-1913-2016</t>
        </is>
      </c>
      <c r="AC804" t="inlineStr">
        <is>
          <t>Alves, Fernando/0000-0001-5993-528X; do Amaral Mello Bonatto, Daniella/0000-0003-1547-3014</t>
        </is>
      </c>
      <c r="AD804" t="inlineStr">
        <is>
          <t>Research Center for Territory, Transports and Environment CITTA-FCT/MCTES (PIDDAC) [UIDB/04427/2020, UIDP/04427/2020]; Fundação para a Ciência e a Tecnologia [UIDB/04427/2020, UIDP/04427/2020] Funding Source: FCT</t>
        </is>
      </c>
      <c r="AE804" t="inlineStr">
        <is>
          <t>Research Center for Territory, Transports and Environment CITTA-FCT/MCTES (PIDDAC); Fundação para a Ciência e a Tecnologia(Fundacao para a Ciencia e a Tecnologia (FCT))</t>
        </is>
      </c>
      <c r="AF804" t="inlineStr">
        <is>
          <t>This work was financially supported by: Base Funding-UIDB/04427/2020 and Programmatic Funding-UIDP/04427/2020 of the Research Center for Territory, Transports and EnvironmentCITTA-funded by national funds through the FCT/MCTES (PIDDAC).</t>
        </is>
      </c>
      <c r="AH804" t="n">
        <v>53</v>
      </c>
      <c r="AI804" t="n">
        <v>0</v>
      </c>
      <c r="AJ804" t="n">
        <v>0</v>
      </c>
      <c r="AK804" t="n">
        <v>1</v>
      </c>
      <c r="AL804" t="n">
        <v>16</v>
      </c>
      <c r="AM804" t="inlineStr">
        <is>
          <t>MDPI</t>
        </is>
      </c>
      <c r="AN804" t="inlineStr">
        <is>
          <t>BASEL</t>
        </is>
      </c>
      <c r="AO804" t="inlineStr">
        <is>
          <t>ST ALBAN-ANLAGE 66, CH-4052 BASEL, SWITZERLAND</t>
        </is>
      </c>
      <c r="AQ804" t="inlineStr">
        <is>
          <t>1660-4601</t>
        </is>
      </c>
      <c r="AS804" t="inlineStr">
        <is>
          <t>INT J ENV RES PUB HE</t>
        </is>
      </c>
      <c r="AT804" t="inlineStr">
        <is>
          <t>Int. J. Environ. Res. Public Health</t>
        </is>
      </c>
      <c r="AU804" t="inlineStr">
        <is>
          <t>FEB</t>
        </is>
      </c>
      <c r="AV804" t="n">
        <v>2022</v>
      </c>
      <c r="AW804" t="n">
        <v>19</v>
      </c>
      <c r="AX804" t="n">
        <v>3</v>
      </c>
      <c r="BE804" t="n">
        <v>1483</v>
      </c>
      <c r="BF804" t="inlineStr">
        <is>
          <t>10.3390/ijerph19031483</t>
        </is>
      </c>
      <c r="BG804">
        <f>HYPERLINK("http://dx.doi.org/10.3390/ijerph19031483","http://dx.doi.org/10.3390/ijerph19031483")</f>
        <v/>
      </c>
      <c r="BJ804" t="n">
        <v>25</v>
      </c>
      <c r="BK804" t="inlineStr">
        <is>
          <t>Environmental Sciences; Public, Environmental &amp; Occupational Health</t>
        </is>
      </c>
      <c r="BL804" t="inlineStr">
        <is>
          <t>Science Citation Index Expanded (SCI-EXPANDED); Social Science Citation Index (SSCI)</t>
        </is>
      </c>
      <c r="BM804" t="inlineStr">
        <is>
          <t>Environmental Sciences &amp; Ecology; Public, Environmental &amp; Occupational Health</t>
        </is>
      </c>
      <c r="BN804" t="inlineStr">
        <is>
          <t>ZB0NJ</t>
        </is>
      </c>
      <c r="BO804" t="n">
        <v>35162505</v>
      </c>
      <c r="BP804" t="inlineStr">
        <is>
          <t>gold, Green Published</t>
        </is>
      </c>
      <c r="BS804" t="inlineStr">
        <is>
          <t>2023-10-26</t>
        </is>
      </c>
      <c r="BT804" t="inlineStr">
        <is>
          <t>WOS:000756549500001</t>
        </is>
      </c>
      <c r="BU804">
        <f>HYPERLINK("https%3A%2F%2Fwww.webofscience.com%2Fwos%2Fwoscc%2Ffull-record%2FWOS:000756549500001","View Full Record in Web of Science")</f>
        <v/>
      </c>
    </row>
    <row r="805">
      <c r="A805" t="inlineStr">
        <is>
          <t>J</t>
        </is>
      </c>
      <c r="B805" t="inlineStr">
        <is>
          <t>Wahlgren, L; Schantz, P</t>
        </is>
      </c>
      <c r="F805" t="inlineStr">
        <is>
          <t>Wahlgren, Lina; Schantz, Peter</t>
        </is>
      </c>
      <c r="J805" t="inlineStr">
        <is>
          <t>INTERNATIONAL JOURNAL OF ENVIRONMENTAL RESEARCH AND PUBLIC HEALTH</t>
        </is>
      </c>
      <c r="M805" t="inlineStr">
        <is>
          <t>English</t>
        </is>
      </c>
      <c r="N805" t="inlineStr">
        <is>
          <t>Article</t>
        </is>
      </c>
      <c r="T805" t="inlineStr">
        <is>
          <t>Exploring Bikeability in a Suburban Metropolitan Area Using the Active Commuting Route Environment Scale (ACRES)</t>
        </is>
      </c>
      <c r="U805" t="inlineStr">
        <is>
          <t>active transport; bicycle commuting; bikeability; perception; route environment; suburban area</t>
        </is>
      </c>
      <c r="V805" t="inlineStr">
        <is>
          <t>PHYSICAL-ACTIVITY; OBJECTIVE MEASURES; WALKING; BICYCLE</t>
        </is>
      </c>
      <c r="W805" t="inlineStr">
        <is>
          <t>Background and Aim: Commuting by bicycle could contribute to public health, and route environments may influence this behaviour. Therefore, the aim of this study is to assess the potential associations between appraisals of the overall route environment as hindering or stimulating for bicycle commuting, with both perceptions of commuting route environmental factors in a suburban area and background factors. Methods: The Active Commuting Route Environment Scale (ACRES) was used for the assessment of bicycle commuters' perceptions and appraisals of their route environments in the suburban parts of Greater Stockholm, Sweden. A simultaneous multiple regression analysis was used to assess the relationship between the outcome variable whether the overall route environment hinders or stimulates bicycle commuting and environmental factors (e. g., exhaust fumes, speeds of motor vehicles, greenery), as well as background factors (sex, age, education, income) as predictor variables. Results and Conclusions: The results indicate that in suburban areas, the factors aesthetics, greenery and bicycle paths seem to be, independently of each other, stimulating factors for bicycle commuting. On the other hand, flows of motor vehicles, noise, and low directness of the route seem to be hindering factors. A comparison of these results with those obtained from an inner urban area points to the importance of studying different types of built-up areas separately.</t>
        </is>
      </c>
      <c r="X805" t="inlineStr">
        <is>
          <t>[Wahlgren, Lina; Schantz, Peter] GIH, Swedish Sch Sport &amp; Hlth Sci, Res Unit Movement Hlth &amp; Environm, SE-11486 Stockholm, Sweden; [Schantz, Peter] Mid Sweden Univ, Dept Hlth Sci, SE-83125 Ostersund, Sweden</t>
        </is>
      </c>
      <c r="Y805" t="inlineStr">
        <is>
          <t>Swedish School of Sport &amp; Health Sciences; Mid-Sweden University</t>
        </is>
      </c>
      <c r="Z805" t="inlineStr">
        <is>
          <t>Wahlgren, L (corresponding author), GIH, Swedish Sch Sport &amp; Hlth Sci, Res Unit Movement Hlth &amp; Environm, SE-11486 Stockholm, Sweden.</t>
        </is>
      </c>
      <c r="AA805" t="inlineStr">
        <is>
          <t>lina.wahlgren@gih.se; peter.schantz@gih.se</t>
        </is>
      </c>
      <c r="AD805" t="inlineStr">
        <is>
          <t>Research Funds of the Swedish Transport Administration; Public Health Funds of the Stockholm County Council; Swedish School of Sport and Health Sciences, GIH</t>
        </is>
      </c>
      <c r="AE805" t="inlineStr">
        <is>
          <t>Research Funds of the Swedish Transport Administration; Public Health Funds of the Stockholm County Council; Swedish School of Sport and Health Sciences, GIH</t>
        </is>
      </c>
      <c r="AF805" t="inlineStr">
        <is>
          <t>This work received financial support from the Research Funds of the Swedish Transport Administration, the Public Health Funds of the Stockholm County Council, and the Swedish School of Sport and Health Sciences, GIH. The authors would like to thank the bicycle commuters for voluntarily participating in this study, PhD Erik Stigell, for his overall engagement in the studies on physically active commuting in Greater Stockholm (PACS), Professors Margareta Ihse and Ulf Sporrong for their helpful comments on the geographical descriptions of the study area, BSc Elisabeth Berg and Professor Rolf Sundberg for sharing their expertise on multiple regression analysis, and Isaac Austin and PhD student Jane Salier Eriksson for checking the language. Finally, we want to thank the two anonymous reviewers for their work and valuable comments and suggestions.</t>
        </is>
      </c>
      <c r="AH805" t="n">
        <v>36</v>
      </c>
      <c r="AI805" t="n">
        <v>19</v>
      </c>
      <c r="AJ805" t="n">
        <v>19</v>
      </c>
      <c r="AK805" t="n">
        <v>4</v>
      </c>
      <c r="AL805" t="n">
        <v>52</v>
      </c>
      <c r="AM805" t="inlineStr">
        <is>
          <t>MDPI</t>
        </is>
      </c>
      <c r="AN805" t="inlineStr">
        <is>
          <t>BASEL</t>
        </is>
      </c>
      <c r="AO805" t="inlineStr">
        <is>
          <t>ST ALBAN-ANLAGE 66, CH-4052 BASEL, SWITZERLAND</t>
        </is>
      </c>
      <c r="AQ805" t="inlineStr">
        <is>
          <t>1660-4601</t>
        </is>
      </c>
      <c r="AS805" t="inlineStr">
        <is>
          <t>INT J ENV RES PUB HE</t>
        </is>
      </c>
      <c r="AT805" t="inlineStr">
        <is>
          <t>Int. J. Environ. Res. Public Health</t>
        </is>
      </c>
      <c r="AU805" t="inlineStr">
        <is>
          <t>AUG</t>
        </is>
      </c>
      <c r="AV805" t="n">
        <v>2014</v>
      </c>
      <c r="AW805" t="n">
        <v>11</v>
      </c>
      <c r="AX805" t="n">
        <v>8</v>
      </c>
      <c r="BC805" t="n">
        <v>8276</v>
      </c>
      <c r="BD805" t="n">
        <v>8300</v>
      </c>
      <c r="BF805" t="inlineStr">
        <is>
          <t>10.3390/ijerph110808276</t>
        </is>
      </c>
      <c r="BG805">
        <f>HYPERLINK("http://dx.doi.org/10.3390/ijerph110808276","http://dx.doi.org/10.3390/ijerph110808276")</f>
        <v/>
      </c>
      <c r="BJ805" t="n">
        <v>25</v>
      </c>
      <c r="BK805" t="inlineStr">
        <is>
          <t>Environmental Sciences; Public, Environmental &amp; Occupational Health</t>
        </is>
      </c>
      <c r="BL805" t="inlineStr">
        <is>
          <t>Science Citation Index Expanded (SCI-EXPANDED); Social Science Citation Index (SSCI)</t>
        </is>
      </c>
      <c r="BM805" t="inlineStr">
        <is>
          <t>Environmental Sciences &amp; Ecology; Public, Environmental &amp; Occupational Health</t>
        </is>
      </c>
      <c r="BN805" t="inlineStr">
        <is>
          <t>AO1UX</t>
        </is>
      </c>
      <c r="BO805" t="n">
        <v>25153462</v>
      </c>
      <c r="BP805" t="inlineStr">
        <is>
          <t>Green Published, gold</t>
        </is>
      </c>
      <c r="BS805" t="inlineStr">
        <is>
          <t>2023-10-26</t>
        </is>
      </c>
      <c r="BT805" t="inlineStr">
        <is>
          <t>WOS:000341101700045</t>
        </is>
      </c>
      <c r="BU805">
        <f>HYPERLINK("https%3A%2F%2Fwww.webofscience.com%2Fwos%2Fwoscc%2Ffull-record%2FWOS:000341101700045","View Full Record in Web of Science")</f>
        <v/>
      </c>
    </row>
    <row r="806">
      <c r="A806" t="inlineStr">
        <is>
          <t>J</t>
        </is>
      </c>
      <c r="B806" t="inlineStr">
        <is>
          <t>Smith, M; Obolonkin, V; Plank, L; Iusitini, L; Forsyth, E; Stewart, T; Paterson, J; Tautolo, ES; Savila, F; Rush, E</t>
        </is>
      </c>
      <c r="F806" t="inlineStr">
        <is>
          <t>Smith, Melody; Obolonkin, Vlad; Plank, Lindsay; Iusitini, Leon; Forsyth, Euan; Stewart, Tom; Paterson, Janis; Tautolo, El-Shadan; Savila, Fa'asisila; Rush, Elaine</t>
        </is>
      </c>
      <c r="J806" t="inlineStr">
        <is>
          <t>INTERNATIONAL JOURNAL OF ENVIRONMENTAL RESEARCH AND PUBLIC HEALTH</t>
        </is>
      </c>
      <c r="M806" t="inlineStr">
        <is>
          <t>English</t>
        </is>
      </c>
      <c r="N806" t="inlineStr">
        <is>
          <t>Article</t>
        </is>
      </c>
      <c r="T806" t="inlineStr">
        <is>
          <t>The Importance of Pedestrian Network Connectivity for Adolescent Health: A Cross-sectional Examination of Associations between Neighbourhood Built Environments and Metabolic Health in the Pacific Islands Families Birth Cohort Study</t>
        </is>
      </c>
      <c r="U806" t="inlineStr">
        <is>
          <t>moderate-to-vigorous physical activity; diabetes; body composition; fat free mass</t>
        </is>
      </c>
      <c r="V806" t="inlineStr">
        <is>
          <t>BODY-MASS INDEX; PHYSICAL-ACTIVITY; BLOOD-PRESSURE; REPORT CARD; CHILDREN; WALKING; YOUTH; RISK; ACCELEROMETER; WALKABILITY</t>
        </is>
      </c>
      <c r="W806" t="inlineStr">
        <is>
          <t>The research aim was to investigate associations between objectively-assessed built environment attributes and metabolic risk in adolescents of Pacific Islands ethnicity, and to consider the possible mediating effect of physical activity and sedentary time. Youth (n = 204) undertook a suite of physical assessments including body composition, blood sampling, and blood pressure measurements, and seven day accelerometry. Objective measures of the neighbourhood built environment were generated around individual addresses. Logistic regression and linear modelling were used to assess associations between environment measures and metabolic health, accounting for physical activity behaviours. Higher pedestrian connectivity was associated with an increase in the chance of having any International Diabetes Federation metabolic risk factors for males only. Pedestrian connectivity was related to fat free mass in males in unadjusted analyses only. This study provides evidence for the importance of pedestrian network connectivity for health in adolescent males. Future research is required to expand the limited evidence in neighbourhood environments and adolescent metabolic health.</t>
        </is>
      </c>
      <c r="X806" t="inlineStr">
        <is>
          <t>[Smith, Melody] Univ Auckland, Sch Nursing, Auckland 1142, New Zealand; [Obolonkin, Vlad; Stewart, Tom; Rush, Elaine] Auckland Univ Technol, Sch Sport &amp; Recreat, Auckland 1142, New Zealand; [Plank, Lindsay] Univ Auckland, Dept Surg, Auckland 1142, New Zealand; [Iusitini, Leon; Paterson, Janis; Tautolo, El-Shadan] Auckland Univ Technol, Sch Publ Hlth &amp; Psychosocial Studies, Auckland 1142, New Zealand; [Forsyth, Euan] Univ Auckland, Sch Environm, Auckland 1142, New Zealand; [Savila, Fa'asisila] Univ Auckland, Sch Populat Hlth, Auckland 1142, New Zealand</t>
        </is>
      </c>
      <c r="Y806" t="inlineStr">
        <is>
          <t>University of Auckland; Auckland University of Technology; University of Auckland; Auckland University of Technology; University of Auckland; University of Auckland</t>
        </is>
      </c>
      <c r="Z806" t="inlineStr">
        <is>
          <t>Smith, M (corresponding author), Univ Auckland, Sch Nursing, Auckland 1142, New Zealand.</t>
        </is>
      </c>
      <c r="AA806" t="inlineStr">
        <is>
          <t>melody.smith@auckland.ac.nz</t>
        </is>
      </c>
      <c r="AB806" t="inlineStr">
        <is>
          <t>Rush, Elaine/AAQ-9992-2021; Tautolo, El-Shadan/S-6002-2019; Stewart, Tom/K-7373-2019; Smith, Melody/AAP-9986-2021</t>
        </is>
      </c>
      <c r="AC806" t="inlineStr">
        <is>
          <t>Rush, Elaine/0000-0001-7713-6203; Tautolo, El-Shadan/0000-0001-8444-6410; Stewart, Tom/0000-0001-5915-3843; Smith, Melody/0000-0002-0987-2564</t>
        </is>
      </c>
      <c r="AD806" t="inlineStr">
        <is>
          <t>Health Research Council of New Zealand [14-156, 17-013]</t>
        </is>
      </c>
      <c r="AE806" t="inlineStr">
        <is>
          <t>Health Research Council of New Zealand(Health Research Council of New Zealand)</t>
        </is>
      </c>
      <c r="AF806" t="inlineStr">
        <is>
          <t>This study was funded by a grant from the Health Research Council of New Zealand (14-156). MS is supported by a Health Research Council of New Zealand Sir Charles Hercus Research Fellowship (17-013).</t>
        </is>
      </c>
      <c r="AH806" t="n">
        <v>83</v>
      </c>
      <c r="AI806" t="n">
        <v>3</v>
      </c>
      <c r="AJ806" t="n">
        <v>3</v>
      </c>
      <c r="AK806" t="n">
        <v>1</v>
      </c>
      <c r="AL806" t="n">
        <v>6</v>
      </c>
      <c r="AM806" t="inlineStr">
        <is>
          <t>MDPI</t>
        </is>
      </c>
      <c r="AN806" t="inlineStr">
        <is>
          <t>BASEL</t>
        </is>
      </c>
      <c r="AO806" t="inlineStr">
        <is>
          <t>ST ALBAN-ANLAGE 66, CH-4052 BASEL, SWITZERLAND</t>
        </is>
      </c>
      <c r="AQ806" t="inlineStr">
        <is>
          <t>1660-4601</t>
        </is>
      </c>
      <c r="AS806" t="inlineStr">
        <is>
          <t>INT J ENV RES PUB HE</t>
        </is>
      </c>
      <c r="AT806" t="inlineStr">
        <is>
          <t>Int. J. Environ. Res. Public Health</t>
        </is>
      </c>
      <c r="AU806" t="inlineStr">
        <is>
          <t>SEP 2</t>
        </is>
      </c>
      <c r="AV806" t="n">
        <v>2019</v>
      </c>
      <c r="AW806" t="n">
        <v>16</v>
      </c>
      <c r="AX806" t="n">
        <v>18</v>
      </c>
      <c r="BE806" t="n">
        <v>3375</v>
      </c>
      <c r="BF806" t="inlineStr">
        <is>
          <t>10.3390/ijerph16183375</t>
        </is>
      </c>
      <c r="BG806">
        <f>HYPERLINK("http://dx.doi.org/10.3390/ijerph16183375","http://dx.doi.org/10.3390/ijerph16183375")</f>
        <v/>
      </c>
      <c r="BJ806" t="n">
        <v>18</v>
      </c>
      <c r="BK806" t="inlineStr">
        <is>
          <t>Environmental Sciences; Public, Environmental &amp; Occupational Health</t>
        </is>
      </c>
      <c r="BL806" t="inlineStr">
        <is>
          <t>Science Citation Index Expanded (SCI-EXPANDED); Social Science Citation Index (SSCI)</t>
        </is>
      </c>
      <c r="BM806" t="inlineStr">
        <is>
          <t>Environmental Sciences &amp; Ecology; Public, Environmental &amp; Occupational Health</t>
        </is>
      </c>
      <c r="BN806" t="inlineStr">
        <is>
          <t>JC3KV</t>
        </is>
      </c>
      <c r="BO806" t="n">
        <v>31547304</v>
      </c>
      <c r="BP806" t="inlineStr">
        <is>
          <t>Green Published, gold</t>
        </is>
      </c>
      <c r="BS806" t="inlineStr">
        <is>
          <t>2023-10-26</t>
        </is>
      </c>
      <c r="BT806" t="inlineStr">
        <is>
          <t>WOS:000489178500149</t>
        </is>
      </c>
      <c r="BU806">
        <f>HYPERLINK("https%3A%2F%2Fwww.webofscience.com%2Fwos%2Fwoscc%2Ffull-record%2FWOS:000489178500149","View Full Record in Web of Science")</f>
        <v/>
      </c>
    </row>
    <row r="807">
      <c r="A807" t="inlineStr">
        <is>
          <t>J</t>
        </is>
      </c>
      <c r="B807" t="inlineStr">
        <is>
          <t>Li, JT; Dai, Y; Wang, CC; Sun, J</t>
        </is>
      </c>
      <c r="F807" t="inlineStr">
        <is>
          <t>Li, Jintao; Dai, Yan; Wang, Cynthia Changxin; Sun, Jun</t>
        </is>
      </c>
      <c r="J807" t="inlineStr">
        <is>
          <t>INTERNATIONAL JOURNAL OF ENVIRONMENTAL RESEARCH AND PUBLIC HEALTH</t>
        </is>
      </c>
      <c r="M807" t="inlineStr">
        <is>
          <t>English</t>
        </is>
      </c>
      <c r="N807" t="inlineStr">
        <is>
          <t>Article</t>
        </is>
      </c>
      <c r="T807" t="inlineStr">
        <is>
          <t>Assessment of Environmental Demands of Age-Friendly Communities from Perspectives of Different Residential Groups: A Case of Wuhan, China</t>
        </is>
      </c>
      <c r="U807" t="inlineStr">
        <is>
          <t>age-friendly community environment; residential demand; differences; nonparametric test</t>
        </is>
      </c>
      <c r="V807" t="inlineStr">
        <is>
          <t>OLDER-PEOPLE; SOCIAL-PARTICIPATION; BUILT ENVIRONMENT; PLACE ATTACHMENT; WELL; GERONTOLOGY; DEPRESSION; CITIES; ADULTS</t>
        </is>
      </c>
      <c r="W807" t="inlineStr">
        <is>
          <t>Age-friendly communities (AFCs) are an important measure for fostering active aging. The key to achieving an age-friendly living environment is to construct or renovate it according to the residents' demands. To date, very few studies have attempted to delve into the AFCs' environmental demand from different groups' perspectives. Based on the theory of place attachment, the aim of this paper is to explore the demand diversity of different groups for the AFC environment. This study employs the nonparametric test and the Ordinal Priority Approach (OPA) to investigate the demands from the residents' perspectives, and is enhanced by incorporating experts' opinions. The empirical analysis shows that residents have a high level of demand for the physical environment (indoor and outdoor) and social environment (community services and social participation). At the same time, experts advocate the importance of using digital technologies to support people aged 45-65 who have higher requirements for a community environment than older adults. The findings also show that other backgrounds, such as gender, living arrangements, and year of the community establishment, lead to different demands. However, the impact of residents' education level, occupation, income, and self-care ability on the environmental demands is low. Based on the research findings, the paper provides some practical suggestions for the future design and development of AFCs.</t>
        </is>
      </c>
      <c r="X807" t="inlineStr">
        <is>
          <t>[Li, Jintao; Dai, Yan] Hubei Univ Technol, Sch Civil Engn Architecture &amp; Environm, Wuhan 430068, Peoples R China; [Li, Jintao; Dai, Yan] Hubei Univ Technol, Innovat Demonstrat Base Ecol Environm Geotech &amp; E, Wuhan 430068, Peoples R China; [Wang, Cynthia Changxin] Univ New South Wales, Sch Built Environm, Sydney, NSW 2052, Australia; [Sun, Jun] Huazhong Univ Sci &amp; Technol, Sch Civil &amp; Hydraul Engn, Wuhan 430074, Peoples R China</t>
        </is>
      </c>
      <c r="Y807" t="inlineStr">
        <is>
          <t>Hubei University of Technology; Hubei University of Technology; University of New South Wales Sydney; Huazhong University of Science &amp; Technology</t>
        </is>
      </c>
      <c r="Z807" t="inlineStr">
        <is>
          <t>Sun, J (corresponding author), Huazhong Univ Sci &amp; Technol, Sch Civil &amp; Hydraul Engn, Wuhan 430074, Peoples R China.</t>
        </is>
      </c>
      <c r="AA807" t="inlineStr">
        <is>
          <t>jintaohbut@hbut.edu.cn; daiyan_xyz@163.com; cynthia.wang@unsw.edu.au; sunjunym@hust.edu.cn</t>
        </is>
      </c>
      <c r="AB807" t="inlineStr">
        <is>
          <t>Wang, Changxin C/F-7372-2019</t>
        </is>
      </c>
      <c r="AC807" t="inlineStr">
        <is>
          <t>Wang, Changxin C/0000-0001-6414-3228</t>
        </is>
      </c>
      <c r="AD807" t="inlineStr">
        <is>
          <t>MOE (Ministry of Education of China) Project of Humanities and Social Sciences Research [19YJA630035]; Innovation Demonstration Base of Ecological Environment Geotechnical and Ecological Restoration of Rivers and Lakes [2020EJB004]</t>
        </is>
      </c>
      <c r="AE807" t="inlineStr">
        <is>
          <t>MOE (Ministry of Education of China) Project of Humanities and Social Sciences Research; Innovation Demonstration Base of Ecological Environment Geotechnical and Ecological Restoration of Rivers and Lakes</t>
        </is>
      </c>
      <c r="AF807" t="inlineStr">
        <is>
          <t>This study was financially supported by the MOE (Ministry of Education of China) Project of Humanities and Social Sciences Research (Grant Number 19YJA630035) and the Innovation Demonstration Base of Ecological Environment Geotechnical and Ecological Restoration of Rivers and Lakes (2020EJB004).</t>
        </is>
      </c>
      <c r="AH807" t="n">
        <v>81</v>
      </c>
      <c r="AI807" t="n">
        <v>3</v>
      </c>
      <c r="AJ807" t="n">
        <v>3</v>
      </c>
      <c r="AK807" t="n">
        <v>23</v>
      </c>
      <c r="AL807" t="n">
        <v>42</v>
      </c>
      <c r="AM807" t="inlineStr">
        <is>
          <t>MDPI</t>
        </is>
      </c>
      <c r="AN807" t="inlineStr">
        <is>
          <t>BASEL</t>
        </is>
      </c>
      <c r="AO807" t="inlineStr">
        <is>
          <t>ST ALBAN-ANLAGE 66, CH-4052 BASEL, SWITZERLAND</t>
        </is>
      </c>
      <c r="AQ807" t="inlineStr">
        <is>
          <t>1660-4601</t>
        </is>
      </c>
      <c r="AS807" t="inlineStr">
        <is>
          <t>INT J ENV RES PUB HE</t>
        </is>
      </c>
      <c r="AT807" t="inlineStr">
        <is>
          <t>Int. J. Environ. Res. Public Health</t>
        </is>
      </c>
      <c r="AU807" t="inlineStr">
        <is>
          <t>AUG</t>
        </is>
      </c>
      <c r="AV807" t="n">
        <v>2022</v>
      </c>
      <c r="AW807" t="n">
        <v>19</v>
      </c>
      <c r="AX807" t="n">
        <v>15</v>
      </c>
      <c r="BE807" t="n">
        <v>9120</v>
      </c>
      <c r="BF807" t="inlineStr">
        <is>
          <t>10.3390/ijerph19159120</t>
        </is>
      </c>
      <c r="BG807">
        <f>HYPERLINK("http://dx.doi.org/10.3390/ijerph19159120","http://dx.doi.org/10.3390/ijerph19159120")</f>
        <v/>
      </c>
      <c r="BJ807" t="n">
        <v>20</v>
      </c>
      <c r="BK807" t="inlineStr">
        <is>
          <t>Environmental Sciences; Public, Environmental &amp; Occupational Health</t>
        </is>
      </c>
      <c r="BL807" t="inlineStr">
        <is>
          <t>Science Citation Index Expanded (SCI-EXPANDED); Social Science Citation Index (SSCI)</t>
        </is>
      </c>
      <c r="BM807" t="inlineStr">
        <is>
          <t>Environmental Sciences &amp; Ecology; Public, Environmental &amp; Occupational Health</t>
        </is>
      </c>
      <c r="BN807" t="inlineStr">
        <is>
          <t>3R9IN</t>
        </is>
      </c>
      <c r="BO807" t="n">
        <v>35897508</v>
      </c>
      <c r="BP807" t="inlineStr">
        <is>
          <t>gold, Green Published</t>
        </is>
      </c>
      <c r="BS807" t="inlineStr">
        <is>
          <t>2023-10-26</t>
        </is>
      </c>
      <c r="BT807" t="inlineStr">
        <is>
          <t>WOS:000839218300001</t>
        </is>
      </c>
      <c r="BU807">
        <f>HYPERLINK("https%3A%2F%2Fwww.webofscience.com%2Fwos%2Fwoscc%2Ffull-record%2FWOS:000839218300001","View Full Record in Web of Science")</f>
        <v/>
      </c>
    </row>
    <row r="808">
      <c r="A808" t="inlineStr">
        <is>
          <t>J</t>
        </is>
      </c>
      <c r="B808" t="inlineStr">
        <is>
          <t>Greenblatt-Kimron, L; Kestler-Peleg, M; Even-Zohar, A; Lavenda, O</t>
        </is>
      </c>
      <c r="F808" t="inlineStr">
        <is>
          <t>Greenblatt-Kimron, Lee; Kestler-Peleg, Miri; Even-Zohar, Ahuva; Lavenda, Osnat</t>
        </is>
      </c>
      <c r="J808" t="inlineStr">
        <is>
          <t>INTERNATIONAL JOURNAL OF ENVIRONMENTAL RESEARCH AND PUBLIC HEALTH</t>
        </is>
      </c>
      <c r="M808" t="inlineStr">
        <is>
          <t>English</t>
        </is>
      </c>
      <c r="N808" t="inlineStr">
        <is>
          <t>Article</t>
        </is>
      </c>
      <c r="T808" t="inlineStr">
        <is>
          <t>Death Anxiety and Loneliness among Older Adults: Role of Parental Self-Efficacy</t>
        </is>
      </c>
      <c r="U808" t="inlineStr">
        <is>
          <t>death anxiety; parental self-efficacy; loneliness; older adults</t>
        </is>
      </c>
      <c r="V808" t="inlineStr">
        <is>
          <t>QUALITY-OF-LIFE; SOCIAL SUPPORT; PSYCHOLOGICAL DISTRESS; TERROR MANAGEMENT; HEALTH; CHILD; AGE; SATISFACTION; DEPRESSION; PERSONALITY</t>
        </is>
      </c>
      <c r="W808" t="inlineStr">
        <is>
          <t>Death anxiety and loneliness are major issues for older people. The present study aimed to broaden the understanding of factors that are linked with increased loneliness in old age by examining the association between death anxiety and loneliness, and the role of an unexplored variable among older adults, namely, parental self-efficacy. A convenience sample of 362 Israeli parents over the age of 65 was recruited through means of social media. Participants completed self-reported questionnaires, which included background characteristics, death anxiety, parental self-efficacy, and loneliness measures. The findings showed that death anxiety was positively associated with loneliness among older adults. The findings also confirmed that parental self-efficacy moderated this association in this population. We concluded that the combination of death anxiety and low parental self-efficacy identified a group of older adults that are at higher risk of developing increased loneliness levels. Mental health professionals should consider intergenerational relationships as a fundamental component of older adults' daily lives, focusing on parental self-efficacy in old age, as this appears to be a resilience resource.</t>
        </is>
      </c>
      <c r="X808" t="inlineStr">
        <is>
          <t>[Greenblatt-Kimron, Lee; Kestler-Peleg, Miri; Even-Zohar, Ahuva; Lavenda, Osnat] Ariel Univ, Sch Social Work, IL-40700 Ariel, Israel</t>
        </is>
      </c>
      <c r="Y808" t="inlineStr">
        <is>
          <t>Ariel University</t>
        </is>
      </c>
      <c r="Z808" t="inlineStr">
        <is>
          <t>Greenblatt-Kimron, L (corresponding author), Ariel Univ, Sch Social Work, IL-40700 Ariel, Israel.</t>
        </is>
      </c>
      <c r="AA808" t="inlineStr">
        <is>
          <t>leegr@ariel.ac.il; mirikp@ariel.ac.il; ahuvaez@ariel.ac.il; osnatla@ariel.ac.il</t>
        </is>
      </c>
      <c r="AB808" t="inlineStr">
        <is>
          <t>Lavenda, Osnat/H-5162-2019</t>
        </is>
      </c>
      <c r="AC808" t="inlineStr">
        <is>
          <t>Lavenda, Osnat/0000-0002-9678-6532</t>
        </is>
      </c>
      <c r="AH808" t="n">
        <v>88</v>
      </c>
      <c r="AI808" t="n">
        <v>8</v>
      </c>
      <c r="AJ808" t="n">
        <v>8</v>
      </c>
      <c r="AK808" t="n">
        <v>6</v>
      </c>
      <c r="AL808" t="n">
        <v>35</v>
      </c>
      <c r="AM808" t="inlineStr">
        <is>
          <t>MDPI</t>
        </is>
      </c>
      <c r="AN808" t="inlineStr">
        <is>
          <t>BASEL</t>
        </is>
      </c>
      <c r="AO808" t="inlineStr">
        <is>
          <t>ST ALBAN-ANLAGE 66, CH-4052 BASEL, SWITZERLAND</t>
        </is>
      </c>
      <c r="AQ808" t="inlineStr">
        <is>
          <t>1660-4601</t>
        </is>
      </c>
      <c r="AS808" t="inlineStr">
        <is>
          <t>INT J ENV RES PUB HE</t>
        </is>
      </c>
      <c r="AT808" t="inlineStr">
        <is>
          <t>Int. J. Environ. Res. Public Health</t>
        </is>
      </c>
      <c r="AU808" t="inlineStr">
        <is>
          <t>SEP</t>
        </is>
      </c>
      <c r="AV808" t="n">
        <v>2021</v>
      </c>
      <c r="AW808" t="n">
        <v>18</v>
      </c>
      <c r="AX808" t="n">
        <v>18</v>
      </c>
      <c r="BE808" t="n">
        <v>9857</v>
      </c>
      <c r="BF808" t="inlineStr">
        <is>
          <t>10.3390/ijerph18189857</t>
        </is>
      </c>
      <c r="BG808">
        <f>HYPERLINK("http://dx.doi.org/10.3390/ijerph18189857","http://dx.doi.org/10.3390/ijerph18189857")</f>
        <v/>
      </c>
      <c r="BJ808" t="n">
        <v>11</v>
      </c>
      <c r="BK808" t="inlineStr">
        <is>
          <t>Environmental Sciences; Public, Environmental &amp; Occupational Health</t>
        </is>
      </c>
      <c r="BL808" t="inlineStr">
        <is>
          <t>Science Citation Index Expanded (SCI-EXPANDED); Social Science Citation Index (SSCI)</t>
        </is>
      </c>
      <c r="BM808" t="inlineStr">
        <is>
          <t>Environmental Sciences &amp; Ecology; Public, Environmental &amp; Occupational Health</t>
        </is>
      </c>
      <c r="BN808" t="inlineStr">
        <is>
          <t>UV4ST</t>
        </is>
      </c>
      <c r="BO808" t="n">
        <v>34574776</v>
      </c>
      <c r="BP808" t="inlineStr">
        <is>
          <t>Green Published, gold</t>
        </is>
      </c>
      <c r="BS808" t="inlineStr">
        <is>
          <t>2023-10-26</t>
        </is>
      </c>
      <c r="BT808" t="inlineStr">
        <is>
          <t>WOS:000699471000001</t>
        </is>
      </c>
      <c r="BU808">
        <f>HYPERLINK("https%3A%2F%2Fwww.webofscience.com%2Fwos%2Fwoscc%2Ffull-record%2FWOS:000699471000001","View Full Record in Web of Science")</f>
        <v/>
      </c>
    </row>
    <row r="809">
      <c r="A809" t="inlineStr">
        <is>
          <t>J</t>
        </is>
      </c>
      <c r="B809" t="inlineStr">
        <is>
          <t>Pérez-Cruz, M; Parra-Anguita, L; López-Martínez, C; Moreno-Cámara, S; del-Pino-Casado, R</t>
        </is>
      </c>
      <c r="F809" t="inlineStr">
        <is>
          <t>Perez-Cruz, Margarita; Parra-Anguita, Laura; Lopez-Martinez, Catalina; Moreno-Camara, Sara; del-Pino-Casado, Rafael</t>
        </is>
      </c>
      <c r="J809" t="inlineStr">
        <is>
          <t>INTERNATIONAL JOURNAL OF ENVIRONMENTAL RESEARCH AND PUBLIC HEALTH</t>
        </is>
      </c>
      <c r="M809" t="inlineStr">
        <is>
          <t>English</t>
        </is>
      </c>
      <c r="N809" t="inlineStr">
        <is>
          <t>Article</t>
        </is>
      </c>
      <c r="T809" t="inlineStr">
        <is>
          <t>Coping and Anxiety in Caregivers of Dependent Older Adult Relatives</t>
        </is>
      </c>
      <c r="U809" t="inlineStr">
        <is>
          <t>caregivers; older adult; coping; burden; anxiety</t>
        </is>
      </c>
      <c r="V809" t="inlineStr">
        <is>
          <t>FAMILY CAREGIVERS; DEPRESSIVE SYMPTOMS; SUBJECTIVE BURDEN; PEOPLE; STRATEGIES; PREVALENCE; DEMENTIA; VALIDATION; APPRAISAL; CARERS</t>
        </is>
      </c>
      <c r="W809" t="inlineStr">
        <is>
          <t>The aim of this study was to analyze the relationship between coping and anxiety in caregivers of dependent older adult relatives. A cross-sectional study was carried out in the province of Jaen (Andalusia, Spain). The convenience sample consisted of 198 family caregivers of dependent older adults. The main measurements were anxiety (Hamilton scale), coping (Brief COPE), subjective burden (Caregiver Strain Index), objective burden and sex of the caregiver. The main analyses were bivariate analysis using the Pearson correlation coefficient, and multivariate analysis using multiple linear regression. An independent regression model was developed for anxiety and each type of coping, adjusting for sex, subjective burden and objective burden. Our results demonstrate that anxiety was negatively associated with planning (partial r = -0.18), acceptance (partial r = -0.22) and humor (partial r = -0.20), and it was positively associated with self-distraction (partial r = 0.19), venting (partial r = 0.22), denial (partial r = 0.27) and self-blame (partial r = 0.25). Planning, acceptance and humor coping strategies may be protective factors of anxiety. Strategies such self-management, relief, denial and self-blame may be risk factors for anxiety.</t>
        </is>
      </c>
      <c r="X809" t="inlineStr">
        <is>
          <t>[Perez-Cruz, Margarita] Univ Hosp Dr Sagaz, Jaen 23071, Spain; [Parra-Anguita, Laura; Lopez-Martinez, Catalina; Moreno-Camara, Sara; del-Pino-Casado, Rafael] Univ Jaen, Sch Hlth Sci, Dept Nursing, Jaen 23071, Spain</t>
        </is>
      </c>
      <c r="Y809" t="inlineStr">
        <is>
          <t>Universidad de Jaen</t>
        </is>
      </c>
      <c r="Z809" t="inlineStr">
        <is>
          <t>Parra-Anguita, L (corresponding author), Univ Jaen, Sch Hlth Sci, Dept Nursing, Jaen 23071, Spain.</t>
        </is>
      </c>
      <c r="AA809" t="inlineStr">
        <is>
          <t>mperezc23@gmail.com; lparra@ujaen.es; cmartine@ujaen.es; smcamara@ujaen.es; rdelpino@ujaen.es</t>
        </is>
      </c>
      <c r="AB809" t="inlineStr">
        <is>
          <t>López-Martínez, Catalina/HCI-9665-2022; Parra-Anguita, Laura/AAJ-6572-2021; del-Pino-Casado, Rafael/L-3733-2018</t>
        </is>
      </c>
      <c r="AC809" t="inlineStr">
        <is>
          <t>López-Martínez, Catalina/0000-0003-1303-7593; Parra-Anguita, Laura/0000-0003-0718-3340; del-Pino-Casado, Rafael/0000-0003-2263-2415; Moreno Camara, Sara/0000-0002-0920-6035</t>
        </is>
      </c>
      <c r="AH809" t="n">
        <v>36</v>
      </c>
      <c r="AI809" t="n">
        <v>7</v>
      </c>
      <c r="AJ809" t="n">
        <v>7</v>
      </c>
      <c r="AK809" t="n">
        <v>2</v>
      </c>
      <c r="AL809" t="n">
        <v>7</v>
      </c>
      <c r="AM809" t="inlineStr">
        <is>
          <t>MDPI</t>
        </is>
      </c>
      <c r="AN809" t="inlineStr">
        <is>
          <t>BASEL</t>
        </is>
      </c>
      <c r="AO809" t="inlineStr">
        <is>
          <t>ST ALBAN-ANLAGE 66, CH-4052 BASEL, SWITZERLAND</t>
        </is>
      </c>
      <c r="AQ809" t="inlineStr">
        <is>
          <t>1660-4601</t>
        </is>
      </c>
      <c r="AS809" t="inlineStr">
        <is>
          <t>INT J ENV RES PUB HE</t>
        </is>
      </c>
      <c r="AT809" t="inlineStr">
        <is>
          <t>Int. J. Environ. Res. Public Health</t>
        </is>
      </c>
      <c r="AU809" t="inlineStr">
        <is>
          <t>MAY 1</t>
        </is>
      </c>
      <c r="AV809" t="n">
        <v>2019</v>
      </c>
      <c r="AW809" t="n">
        <v>16</v>
      </c>
      <c r="AX809" t="n">
        <v>9</v>
      </c>
      <c r="BE809" t="n">
        <v>1651</v>
      </c>
      <c r="BF809" t="inlineStr">
        <is>
          <t>10.3390/ijerph16091651</t>
        </is>
      </c>
      <c r="BG809">
        <f>HYPERLINK("http://dx.doi.org/10.3390/ijerph16091651","http://dx.doi.org/10.3390/ijerph16091651")</f>
        <v/>
      </c>
      <c r="BJ809" t="n">
        <v>10</v>
      </c>
      <c r="BK809" t="inlineStr">
        <is>
          <t>Environmental Sciences; Public, Environmental &amp; Occupational Health</t>
        </is>
      </c>
      <c r="BL809" t="inlineStr">
        <is>
          <t>Science Citation Index Expanded (SCI-EXPANDED); Social Science Citation Index (SSCI)</t>
        </is>
      </c>
      <c r="BM809" t="inlineStr">
        <is>
          <t>Environmental Sciences &amp; Ecology; Public, Environmental &amp; Occupational Health</t>
        </is>
      </c>
      <c r="BN809" t="inlineStr">
        <is>
          <t>IA4ER</t>
        </is>
      </c>
      <c r="BO809" t="n">
        <v>31083624</v>
      </c>
      <c r="BP809" t="inlineStr">
        <is>
          <t>Green Published, Green Submitted, gold</t>
        </is>
      </c>
      <c r="BS809" t="inlineStr">
        <is>
          <t>2023-10-26</t>
        </is>
      </c>
      <c r="BT809" t="inlineStr">
        <is>
          <t>WOS:000469517300176</t>
        </is>
      </c>
      <c r="BU809">
        <f>HYPERLINK("https%3A%2F%2Fwww.webofscience.com%2Fwos%2Fwoscc%2Ffull-record%2FWOS:000469517300176","View Full Record in Web of Science")</f>
        <v/>
      </c>
    </row>
    <row r="810">
      <c r="A810" t="inlineStr">
        <is>
          <t>J</t>
        </is>
      </c>
      <c r="B810" t="inlineStr">
        <is>
          <t>Barbaccia, V; Bravi, L; Murmura, F; Savelli, E; Viganò, E</t>
        </is>
      </c>
      <c r="F810" t="inlineStr">
        <is>
          <t>Barbaccia, Valentina; Bravi, Laura; Murmura, Federica; Savelli, Elisabetta; Vigano, Elena</t>
        </is>
      </c>
      <c r="J810" t="inlineStr">
        <is>
          <t>INTERNATIONAL JOURNAL OF ENVIRONMENTAL RESEARCH AND PUBLIC HEALTH</t>
        </is>
      </c>
      <c r="M810" t="inlineStr">
        <is>
          <t>English</t>
        </is>
      </c>
      <c r="N810" t="inlineStr">
        <is>
          <t>Article</t>
        </is>
      </c>
      <c r="T810" t="inlineStr">
        <is>
          <t>Mature and Older Adults' Perception of Active Ageing and the Need for Supporting Services: Insights from a Qualitative Study</t>
        </is>
      </c>
      <c r="U810" t="inlineStr">
        <is>
          <t>active ageing; life-course perspective; older adults' lifestyle; adult population; healthy behavior; socio-relational behavior</t>
        </is>
      </c>
      <c r="V810" t="inlineStr">
        <is>
          <t>LIFE-COURSE; MENTAL-HEALTH; BABY-BOOMERS; AGE; CONSUMER; POLICY; PARTNERSHIPS; ANTECEDENTS; PREDICTORS; INNOVATION</t>
        </is>
      </c>
      <c r="W810" t="inlineStr">
        <is>
          <t>The improvement in life expectancy, economic conditions, and technological and medical progress have radically changed the demographic structure of many societies. Since many countries now have an ageing population, by adopting a life-course study perspective, this paper aims to explore the needs of older adults (over 60), and the currently adult population which will become older in the coming decades (50-60 years). In detail, the study investigates the lifestyles of the target populations by focusing on two main areas concerning health (healthy diet; attitudes towards physical activity) and socio-relational-housing and living conditions (social housing, senior co-housing in rural environments, etc.). A qualitative study was carried out based on 16 in-depth interviews developed over one month (February 2022). The conduct of the interviews was supported by the Italian Center for Sensory Analysis (CIAS). Emerging from the results, the concept of active ageing is perceived by mature and older adults in a positive and optimistic way. The sample considered want to re-engage in life, continuing to be active, useful, and maintaining their self-esteem, social life and independence. However, despite older people's major concerns being preserve their physical abilities and social integration, this target group adopts behaviours focused more on current well-being rather than worrying too much about how this well-being will change as they age.</t>
        </is>
      </c>
      <c r="X810" t="inlineStr">
        <is>
          <t>[Barbaccia, Valentina; Bravi, Laura; Murmura, Federica; Savelli, Elisabetta; Vigano, Elena] Univ Urbino Carlo Bo, Dept Econ Soc Polit, Via Saffi 42, I-61029 Urbino, Italy</t>
        </is>
      </c>
      <c r="Y810" t="inlineStr">
        <is>
          <t>University of Urbino</t>
        </is>
      </c>
      <c r="Z810" t="inlineStr">
        <is>
          <t>Murmura, F (corresponding author), Univ Urbino Carlo Bo, Dept Econ Soc Polit, Via Saffi 42, I-61029 Urbino, Italy.</t>
        </is>
      </c>
      <c r="AA810" t="inlineStr">
        <is>
          <t>v.barbaccia@campus.uniurb.it; laura.bravi@uniurb.it; federica.murmura@uniurb.it; elisabetta.savelli@uniurb.it; elena.vigano@uniurb.it</t>
        </is>
      </c>
      <c r="AB810" t="inlineStr">
        <is>
          <t>Bravi, Laura/F-5496-2019; Murmura, Federica/P-4102-2015</t>
        </is>
      </c>
      <c r="AC810" t="inlineStr">
        <is>
          <t>Bravi, Laura/0000-0002-1733-7043; Murmura, Federica/0000-0001-8443-8680; VIGANO', Elena/0000-0002-5764-9113</t>
        </is>
      </c>
      <c r="AD810" t="inlineStr">
        <is>
          <t>Carlo Bo University of Urbino (Italy)</t>
        </is>
      </c>
      <c r="AE810" t="inlineStr">
        <is>
          <t>Carlo Bo University of Urbino (Italy)</t>
        </is>
      </c>
      <c r="AF810" t="inlineStr">
        <is>
          <t>This research was co-funded by the Project Healthy aging: scenario and improvement strategies. Needs of the population and innovation in services. Multidisciplinary research-action in the province of Pesaro Urbino in a comparative perspective of the Carlo Bo University of Urbino (Italy).</t>
        </is>
      </c>
      <c r="AH810" t="n">
        <v>101</v>
      </c>
      <c r="AI810" t="n">
        <v>2</v>
      </c>
      <c r="AJ810" t="n">
        <v>2</v>
      </c>
      <c r="AK810" t="n">
        <v>4</v>
      </c>
      <c r="AL810" t="n">
        <v>21</v>
      </c>
      <c r="AM810" t="inlineStr">
        <is>
          <t>MDPI</t>
        </is>
      </c>
      <c r="AN810" t="inlineStr">
        <is>
          <t>BASEL</t>
        </is>
      </c>
      <c r="AO810" t="inlineStr">
        <is>
          <t>ST ALBAN-ANLAGE 66, CH-4052 BASEL, SWITZERLAND</t>
        </is>
      </c>
      <c r="AQ810" t="inlineStr">
        <is>
          <t>1660-4601</t>
        </is>
      </c>
      <c r="AS810" t="inlineStr">
        <is>
          <t>INT J ENV RES PUB HE</t>
        </is>
      </c>
      <c r="AT810" t="inlineStr">
        <is>
          <t>Int. J. Environ. Res. Public Health</t>
        </is>
      </c>
      <c r="AU810" t="inlineStr">
        <is>
          <t>JUL</t>
        </is>
      </c>
      <c r="AV810" t="n">
        <v>2022</v>
      </c>
      <c r="AW810" t="n">
        <v>19</v>
      </c>
      <c r="AX810" t="n">
        <v>13</v>
      </c>
      <c r="BE810" t="n">
        <v>7660</v>
      </c>
      <c r="BF810" t="inlineStr">
        <is>
          <t>10.3390/ijerph19137660</t>
        </is>
      </c>
      <c r="BG810">
        <f>HYPERLINK("http://dx.doi.org/10.3390/ijerph19137660","http://dx.doi.org/10.3390/ijerph19137660")</f>
        <v/>
      </c>
      <c r="BJ810" t="n">
        <v>20</v>
      </c>
      <c r="BK810" t="inlineStr">
        <is>
          <t>Environmental Sciences; Public, Environmental &amp; Occupational Health</t>
        </is>
      </c>
      <c r="BL810" t="inlineStr">
        <is>
          <t>Science Citation Index Expanded (SCI-EXPANDED); Social Science Citation Index (SSCI)</t>
        </is>
      </c>
      <c r="BM810" t="inlineStr">
        <is>
          <t>Environmental Sciences &amp; Ecology; Public, Environmental &amp; Occupational Health</t>
        </is>
      </c>
      <c r="BN810" t="inlineStr">
        <is>
          <t>2W6AV</t>
        </is>
      </c>
      <c r="BO810" t="n">
        <v>35805320</v>
      </c>
      <c r="BP810" t="inlineStr">
        <is>
          <t>Green Published, gold</t>
        </is>
      </c>
      <c r="BS810" t="inlineStr">
        <is>
          <t>2023-10-26</t>
        </is>
      </c>
      <c r="BT810" t="inlineStr">
        <is>
          <t>WOS:000824605500001</t>
        </is>
      </c>
      <c r="BU810">
        <f>HYPERLINK("https%3A%2F%2Fwww.webofscience.com%2Fwos%2Fwoscc%2Ffull-record%2FWOS:000824605500001","View Full Record in Web of Science")</f>
        <v/>
      </c>
    </row>
    <row r="811">
      <c r="A811" t="inlineStr">
        <is>
          <t>J</t>
        </is>
      </c>
      <c r="B811" t="inlineStr">
        <is>
          <t>Vaz, C; Andrade, AC; Silva, U; Rodríguez, D; Wang, XZ; Moore, K; Friche, AA; Diez-Roux, AV; Caiaffa, WT</t>
        </is>
      </c>
      <c r="F811" t="inlineStr">
        <is>
          <t>Vaz, Camila; Andrade, Amanda Cristina; Silva, Uriel; Rodriguez, Daniel; Wang, Xize; Moore, Kari; Friche, Amelia Augusta; Diez-Roux, Ana Victoria; Caiaffa, Waleska Teixeira</t>
        </is>
      </c>
      <c r="J811" t="inlineStr">
        <is>
          <t>INTERNATIONAL JOURNAL OF ENVIRONMENTAL RESEARCH AND PUBLIC HEALTH</t>
        </is>
      </c>
      <c r="M811" t="inlineStr">
        <is>
          <t>English</t>
        </is>
      </c>
      <c r="N811" t="inlineStr">
        <is>
          <t>Article</t>
        </is>
      </c>
      <c r="T811" t="inlineStr">
        <is>
          <t>Physical Disorders and Poor Self-Rated Health in Adults Living in Four Latin American Cities: A Multilevel Approach</t>
        </is>
      </c>
      <c r="U811" t="inlineStr">
        <is>
          <t>self-rated health; physical disorder; environment; health status; Latin America; urban health; multilevel analysis</t>
        </is>
      </c>
      <c r="V811" t="inlineStr">
        <is>
          <t>QUALITY-OF-LIFE; NEIGHBORHOOD ENVIRONMENT; OLDER-ADULTS; ASSOCIATION; MORTALITY; CONTEXTS; LANGUAGE; SCALES</t>
        </is>
      </c>
      <c r="W811" t="inlineStr">
        <is>
          <t>Considering that urban environments may affect self-rated health through behavioral and psychosocial mechanisms, the aim of this study was to investigate the association between self-rated health and perceived urban environment characteristics among adults living in four Latin American cities. Data is from a population-based survey by Development Bank of Latin America, encompassing adults between 20 and 60 years old in Buenos Aires, Lima, Mexico City, and Panama City. Self-rated health was measured using a single question and the response options were categorized as poor and good. The explanatory variables were empirical Bayes estimates of self-reported area physical disorder, social disorder, access to services, and access to leisure spaces derived from the survey. The covariates were: individual age, sex, education, wealth index, and length of residency in the neighborhood; and an area social environment index. Multilevel logistic regressions with two levels (individual and sub-city areas) were fitted. Poor self-rated health was reported by 34.73% (95% CI: 33.17 to 36.29) of the participants and was associated with physical disorder (OR = 1.16 per SD; 95% CI: 1.02 to 1.32). Our findings suggest that public policies to promote population health should consider area urban environment factors, especially those associated with disorder.</t>
        </is>
      </c>
      <c r="X811" t="inlineStr">
        <is>
          <t>[Vaz, Camila] Univ Fed Juiz de Fora, Dept Phys Therapy, Rua Sao Paulo 745, BR-35010180 Governador Valadares, Brazil; [Vaz, Camila; Andrade, Amanda Cristina; Silva, Uriel; Friche, Amelia Augusta; Caiaffa, Waleska Teixeira] Belo Horizonte Observ Urban Hlth, Ave Alfredo Balena 190, BR-30130100 Belo Horizonte, MG, Brazil; [Andrade, Amanda Cristina] Univ Fed Mato Grosso, Inst Publ Hlth, BR-78060900 Cuiaba, Brazil; [Rodriguez, Daniel] Univ Calif Berkeley, Dept City &amp; Reg Planning, 228 Wurster Hall, Berkeley, CA 94720 USA; [Rodriguez, Daniel] Univ Calif Berkeley, Inst Transportat Studies, 228 Wurster Hall, Berkeley, CA 94720 USA; [Wang, Xize] Natl Univ Singapore, Dept Real State, 4 Architecture Dr, Singapore 117566, Singapore; [Moore, Kari; Diez-Roux, Ana Victoria] Drexel Univ, Dornsife Sch Publ Hlth, Urban Hlth Collaborat, 3215 Market St, Philadelphia, PA 19104 USA; [Friche, Amelia Augusta; Caiaffa, Waleska Teixeira] Univ Fed Minas Gerais, Fac Med, Ave Alfredo Balena 190, BR-30130100 Belo Horizonte, MG, Brazil</t>
        </is>
      </c>
      <c r="Y811" t="inlineStr">
        <is>
          <t>Universidade Federal de Mato Grosso; University of California System; University of California Berkeley; University of California System; University of California Berkeley; National University of Singapore; Drexel University; Universidade Federal de Minas Gerais</t>
        </is>
      </c>
      <c r="Z811" t="inlineStr">
        <is>
          <t>Vaz, C (corresponding author), Univ Fed Juiz de Fora, Dept Phys Therapy, Rua Sao Paulo 745, BR-35010180 Governador Valadares, Brazil.;Vaz, C (corresponding author), Belo Horizonte Observ Urban Hlth, Ave Alfredo Balena 190, BR-30130100 Belo Horizonte, MG, Brazil.</t>
        </is>
      </c>
      <c r="AA811" t="inlineStr">
        <is>
          <t>milatvaz@yahoo.com.br; amandasouza_est@yahoo.com.br; urielmoreirasilva@gmail.com; danrod@berkeley.edu; wang.xize@nus.edu.sg; kam642@drexel.edu; gutafriche@gmail.com; avd37@drexel.edu; caiaffa.waleska@gmail.com</t>
        </is>
      </c>
      <c r="AB811" t="inlineStr">
        <is>
          <t>Silva, Uriel Moreira/AAR-6130-2021; Wang, Xize/AAL-4880-2021; Baldissera, Annalisa/AHD-6334-2022; RODRIGUEZ, Daniel/GWC-3563-2022</t>
        </is>
      </c>
      <c r="AC811" t="inlineStr">
        <is>
          <t>Silva, Uriel Moreira/0000-0001-7640-2530; Wang, Xize/0000-0002-4861-6002; , Kari/0000-0001-8771-2593; Cristina de Souza Andrade, Amanda/0000-0002-3366-4423; Teixeira Vaz, Camila/0000-0002-1948-8769; Friche, Amelia Augusta/0000-0002-2463-0539</t>
        </is>
      </c>
      <c r="AD811" t="inlineStr">
        <is>
          <t>WELLCOME TRUST [205177/Z/16/Z]; Coordenacao de Aperfeicoamento de Pessoal de Nivel Superior-Brasil (CAPES) [001]</t>
        </is>
      </c>
      <c r="AE811" t="inlineStr">
        <is>
          <t>WELLCOME TRUST(Wellcome Trust); Coordenacao de Aperfeicoamento de Pessoal de Nivel Superior-Brasil (CAPES)(Coordenacao de Aperfeicoamento de Pessoal de Nivel Superior (CAPES))</t>
        </is>
      </c>
      <c r="AF811" t="inlineStr">
        <is>
          <t>The Salud Urbana en America Latina (SALURBAL)/Urban Health in Latin America Project is funded by the WELLCOME TRUST, grant number 205177/Z/16/Z. This study was financed in part by the Coordenacao de Aperfeicoamento de Pessoal de Nivel Superior-Brasil (CAPES)-Finance Code 001.</t>
        </is>
      </c>
      <c r="AH811" t="n">
        <v>46</v>
      </c>
      <c r="AI811" t="n">
        <v>5</v>
      </c>
      <c r="AJ811" t="n">
        <v>5</v>
      </c>
      <c r="AK811" t="n">
        <v>2</v>
      </c>
      <c r="AL811" t="n">
        <v>10</v>
      </c>
      <c r="AM811" t="inlineStr">
        <is>
          <t>MDPI</t>
        </is>
      </c>
      <c r="AN811" t="inlineStr">
        <is>
          <t>BASEL</t>
        </is>
      </c>
      <c r="AO811" t="inlineStr">
        <is>
          <t>ST ALBAN-ANLAGE 66, CH-4052 BASEL, SWITZERLAND</t>
        </is>
      </c>
      <c r="AQ811" t="inlineStr">
        <is>
          <t>1660-4601</t>
        </is>
      </c>
      <c r="AS811" t="inlineStr">
        <is>
          <t>INT J ENV RES PUB HE</t>
        </is>
      </c>
      <c r="AT811" t="inlineStr">
        <is>
          <t>Int. J. Environ. Res. Public Health</t>
        </is>
      </c>
      <c r="AU811" t="inlineStr">
        <is>
          <t>DEC</t>
        </is>
      </c>
      <c r="AV811" t="n">
        <v>2020</v>
      </c>
      <c r="AW811" t="n">
        <v>17</v>
      </c>
      <c r="AX811" t="n">
        <v>23</v>
      </c>
      <c r="BE811" t="n">
        <v>8956</v>
      </c>
      <c r="BF811" t="inlineStr">
        <is>
          <t>10.3390/ijerph17238956</t>
        </is>
      </c>
      <c r="BG811">
        <f>HYPERLINK("http://dx.doi.org/10.3390/ijerph17238956","http://dx.doi.org/10.3390/ijerph17238956")</f>
        <v/>
      </c>
      <c r="BJ811" t="n">
        <v>12</v>
      </c>
      <c r="BK811" t="inlineStr">
        <is>
          <t>Environmental Sciences; Public, Environmental &amp; Occupational Health</t>
        </is>
      </c>
      <c r="BL811" t="inlineStr">
        <is>
          <t>Science Citation Index Expanded (SCI-EXPANDED); Social Science Citation Index (SSCI)</t>
        </is>
      </c>
      <c r="BM811" t="inlineStr">
        <is>
          <t>Environmental Sciences &amp; Ecology; Public, Environmental &amp; Occupational Health</t>
        </is>
      </c>
      <c r="BN811" t="inlineStr">
        <is>
          <t>PD3XZ</t>
        </is>
      </c>
      <c r="BO811" t="n">
        <v>33276424</v>
      </c>
      <c r="BP811" t="inlineStr">
        <is>
          <t>Green Published, gold</t>
        </is>
      </c>
      <c r="BS811" t="inlineStr">
        <is>
          <t>2023-10-26</t>
        </is>
      </c>
      <c r="BT811" t="inlineStr">
        <is>
          <t>WOS:000597623000001</t>
        </is>
      </c>
      <c r="BU811">
        <f>HYPERLINK("https%3A%2F%2Fwww.webofscience.com%2Fwos%2Fwoscc%2Ffull-record%2FWOS:000597623000001","View Full Record in Web of Science")</f>
        <v/>
      </c>
    </row>
    <row r="812">
      <c r="A812" t="inlineStr">
        <is>
          <t>J</t>
        </is>
      </c>
      <c r="B812" t="inlineStr">
        <is>
          <t>Santiago, JL; Rivas, E; Buccolieri, R; Martilli, A; Vivanco, MG; Borge, R; Carlo, OS; Martín, F</t>
        </is>
      </c>
      <c r="F812" t="inlineStr">
        <is>
          <t>Santiago, J. L.; Rivas, E.; Buccolieri, R.; Martilli, A.; Vivanco, M. G.; Borge, R.; Carlo, O. S.; Martin, F.</t>
        </is>
      </c>
      <c r="J812" t="inlineStr">
        <is>
          <t>AIR QUALITY ATMOSPHERE AND HEALTH</t>
        </is>
      </c>
      <c r="M812" t="inlineStr">
        <is>
          <t>English</t>
        </is>
      </c>
      <c r="N812" t="inlineStr">
        <is>
          <t>Article</t>
        </is>
      </c>
      <c r="T812" t="inlineStr">
        <is>
          <t>Indoor-outdoor pollutant concentration modelling: a comprehensive urban air quality and exposure assessment</t>
        </is>
      </c>
      <c r="U812" t="inlineStr">
        <is>
          <t>Computational fluid dynamics (CFD); Building in urban environment; Vertical indoor pollution variation; Ventilation through open windows; Indoor; outdoor concentration ratio; Traffic-related pollutants</t>
        </is>
      </c>
      <c r="V812" t="inlineStr">
        <is>
          <t>PART I; NATURAL VENTILATION; NOX CONCENTRATIONS; CFD SIMULATION; BOUNDARY-LAYER; EXCHANGE-RATE; FLOW; HEALTH; IMPACT; PM2.5</t>
        </is>
      </c>
      <c r="W812" t="inlineStr">
        <is>
          <t>This paper is devoted to the investigation of the relationship between concentrations of traffic-related pollutants at pedestrian level in the street and indoor pollutant concentrations inside different rooms of different floors of a standard building. CFD modelling covering the whole urban environment, including the interior of a target building, is used to explicitly simulate wind flow and pollutant dispersion outdoors and indoors. A wide range of scenarios considering different percentage and location of open windows and different wind directions is investigated. A large variability of indoor pollutant concentrations is found depending on the floor and configuration of the open/closed windows, as well as the wind direction and its incidence angle. In general, indoor pollutant concentrations decrease with floor, but this decrease is different depending on the scenario and the room investigated. For some conditions, indoor concentrations higher than the spatially averaged values in the street (up to a ratio of 1.4) are found in some rooms due to the high pollutant concentrations close to open windows. This behavior may lead, on average, to higher exposure inside the room than outside although, in general, indoor pollutant concentrations are lower than that found in the street at pedestrian level. Results are averaged for all scenarios and rooms being the average ratio between indoor and oudoor concentrations 0.56 +/- 0.24, which is in accordance with previous studies in real buildings. This paper opens to a unified approach for the assessment of air quality of the total indoor and outdoor environment.</t>
        </is>
      </c>
      <c r="X812" t="inlineStr">
        <is>
          <t>[Santiago, J. L.; Rivas, E.; Martilli, A.; Vivanco, M. G.; Martin, F.] CIEMAT, Environm Dept, Atmospher Modelling Unit, Madrid, Spain; [Buccolieri, R.; Carlo, O. S.] Univ Salento, Lab Micrometeorol, Dipartimento Sci &amp; Tecnol Biol &amp; Ambientali, Lecce, Italy; [Borge, R.] Univ Politecn Madrid UPM, Lab Environm Modelling, Madrid, Spain</t>
        </is>
      </c>
      <c r="Y812" t="inlineStr">
        <is>
          <t>Centro de Investigaciones Energeticas, Medioambientales Tecnologicas; University of Salento; Universidad Politecnica de Madrid</t>
        </is>
      </c>
      <c r="Z812" t="inlineStr">
        <is>
          <t>Santiago, JL (corresponding author), CIEMAT, Environm Dept, Atmospher Modelling Unit, Madrid, Spain.</t>
        </is>
      </c>
      <c r="AA812" t="inlineStr">
        <is>
          <t>jl.santiago@ciemat.es</t>
        </is>
      </c>
      <c r="AB812" t="inlineStr">
        <is>
          <t>Santiago, José Luis/F-1248-2016; Borge, Rafael/GNP-2077-2022; Buccolieri, Riccardo/AGI-0394-2022; García Vivanco, Marta/L-9816-2014</t>
        </is>
      </c>
      <c r="AC812" t="inlineStr">
        <is>
          <t>Santiago, José Luis/0000-0002-1024-0580; Buccolieri, Riccardo/0000-0002-0102-7235; García Vivanco, Marta/0000-0002-5828-1859</t>
        </is>
      </c>
      <c r="AD812" t="inlineStr">
        <is>
          <t>European Regional Development Fund</t>
        </is>
      </c>
      <c r="AE812" t="inlineStr">
        <is>
          <t>European Regional Development Fund(European Union (EU))</t>
        </is>
      </c>
      <c r="AF812" t="inlineStr">
        <is>
          <t>The authors are also grateful to Extremadura Research Center for Advanced Technologies (CETA-CIEMAT) by helping in using its computing facilities for the simulations. CETA-CIEMAT belongs to CIEMAT and the Government of Spain and is funded by the European Regional Development Fund. The authors acknowledge the comments from the anonymous reviewers, that helped improving the manuscript.</t>
        </is>
      </c>
      <c r="AH812" t="n">
        <v>65</v>
      </c>
      <c r="AI812" t="n">
        <v>6</v>
      </c>
      <c r="AJ812" t="n">
        <v>6</v>
      </c>
      <c r="AK812" t="n">
        <v>1</v>
      </c>
      <c r="AL812" t="n">
        <v>13</v>
      </c>
      <c r="AM812" t="inlineStr">
        <is>
          <t>SPRINGER</t>
        </is>
      </c>
      <c r="AN812" t="inlineStr">
        <is>
          <t>DORDRECHT</t>
        </is>
      </c>
      <c r="AO812" t="inlineStr">
        <is>
          <t>VAN GODEWIJCKSTRAAT 30, 3311 GZ DORDRECHT, NETHERLANDS</t>
        </is>
      </c>
      <c r="AP812" t="inlineStr">
        <is>
          <t>1873-9318</t>
        </is>
      </c>
      <c r="AQ812" t="inlineStr">
        <is>
          <t>1873-9326</t>
        </is>
      </c>
      <c r="AS812" t="inlineStr">
        <is>
          <t>AIR QUAL ATMOS HLTH</t>
        </is>
      </c>
      <c r="AT812" t="inlineStr">
        <is>
          <t>Air Qual. Atmos. Health</t>
        </is>
      </c>
      <c r="AU812" t="inlineStr">
        <is>
          <t>SEP</t>
        </is>
      </c>
      <c r="AV812" t="n">
        <v>2022</v>
      </c>
      <c r="AW812" t="n">
        <v>15</v>
      </c>
      <c r="AX812" t="n">
        <v>9</v>
      </c>
      <c r="BC812" t="n">
        <v>1583</v>
      </c>
      <c r="BD812" t="n">
        <v>1608</v>
      </c>
      <c r="BF812" t="inlineStr">
        <is>
          <t>10.1007/s11869-022-01204-0</t>
        </is>
      </c>
      <c r="BG812">
        <f>HYPERLINK("http://dx.doi.org/10.1007/s11869-022-01204-0","http://dx.doi.org/10.1007/s11869-022-01204-0")</f>
        <v/>
      </c>
      <c r="BI812" t="inlineStr">
        <is>
          <t>MAY 2022</t>
        </is>
      </c>
      <c r="BJ812" t="n">
        <v>26</v>
      </c>
      <c r="BK812" t="inlineStr">
        <is>
          <t>Environmental Sciences</t>
        </is>
      </c>
      <c r="BL812" t="inlineStr">
        <is>
          <t>Science Citation Index Expanded (SCI-EXPANDED)</t>
        </is>
      </c>
      <c r="BM812" t="inlineStr">
        <is>
          <t>Environmental Sciences &amp; Ecology</t>
        </is>
      </c>
      <c r="BN812" t="inlineStr">
        <is>
          <t>4G7FZ</t>
        </is>
      </c>
      <c r="BP812" t="inlineStr">
        <is>
          <t>hybrid</t>
        </is>
      </c>
      <c r="BS812" t="inlineStr">
        <is>
          <t>2023-10-26</t>
        </is>
      </c>
      <c r="BT812" t="inlineStr">
        <is>
          <t>WOS:000793651600001</t>
        </is>
      </c>
      <c r="BU812">
        <f>HYPERLINK("https%3A%2F%2Fwww.webofscience.com%2Fwos%2Fwoscc%2Ffull-record%2FWOS:000793651600001","View Full Record in Web of Science")</f>
        <v/>
      </c>
    </row>
    <row r="813">
      <c r="A813" t="inlineStr">
        <is>
          <t>J</t>
        </is>
      </c>
      <c r="B813" t="inlineStr">
        <is>
          <t>Brookfield, K; Scott, I; Tinker, A; Thompson, CW</t>
        </is>
      </c>
      <c r="F813" t="inlineStr">
        <is>
          <t>Brookfield, Katherine; Scott, Iain; Tinker, Anthea; Thompson, Catharine Ward</t>
        </is>
      </c>
      <c r="J813" t="inlineStr">
        <is>
          <t>INTERNATIONAL JOURNAL OF ENVIRONMENTAL RESEARCH AND PUBLIC HEALTH</t>
        </is>
      </c>
      <c r="M813" t="inlineStr">
        <is>
          <t>English</t>
        </is>
      </c>
      <c r="N813" t="inlineStr">
        <is>
          <t>Article</t>
        </is>
      </c>
      <c r="T813" t="inlineStr">
        <is>
          <t>Perspectives on Novel Techniques for Designing Age-Friendly Homes and Neighborhoods with Older Adults</t>
        </is>
      </c>
      <c r="U813" t="inlineStr">
        <is>
          <t>aging and housing; domestic design and technology; co-design; participatory design</t>
        </is>
      </c>
      <c r="V813" t="inlineStr">
        <is>
          <t>PEER OBSERVATION; HEALTH; PEOPLE; INTERVIEW; USERS; COMMUNICATION; PHOTOVOICE; PLACE; CARE</t>
        </is>
      </c>
      <c r="W813" t="inlineStr">
        <is>
          <t>Worldwide, growth in the older population creates a pressing need to develop supportive environments that enhance quality of life as people age. Too often, built environments present barriers and challenges to older adults that compromise independent living and adversely affect health and life outcomes. Designing homes, buildings, and neighborhoods with older adults, through exercises in participatory or co-design, could help ensure that environments are better able to facilitate healthy aging. However, while it is potentially advantageous to involve this age group in environmental design decisions, doing so can be difficult. Analysis of and guidance on effective ways to involve older adults in these activities could make the challenge easier. With this aim in mind, this article provides critical perspectives on eight less traditional engagement techniques-walking interviews, photovoice, photo-elicitation, Talking Mats((R)), participatory mapping, drawing, model-making, and the Design Fair. Insights into the strengths and limitations of these techniques, gained from observation of their use in participatory design activities, as well as feedback collected from older co-design participants, are presented. The article concludes by offering a number of practical recommendations for those interested in designing age-friendly homes and neighborhoods with older people.</t>
        </is>
      </c>
      <c r="X813" t="inlineStr">
        <is>
          <t>[Brookfield, Katherine] Univ York, Environm &amp; Geog Dept, York YO10 5NG, N Yorkshire, England; [Scott, Iain] Univ Edinburgh, Edinburgh Sch Architecture &amp; Landscape Architectu, Edinburgh EH1 1JZ, Midlothian, Scotland; [Tinker, Anthea] Kings Coll London, Dept Global Hlth &amp; Social Med, Inst Gerontol, London WC2B 4BG, England; [Thompson, Catharine Ward] Univ Edinburgh, OPENspace Res Ctr, Edinburgh EH1 1JZ, Midlothian, Scotland</t>
        </is>
      </c>
      <c r="Y813" t="inlineStr">
        <is>
          <t>University of York - UK; University of Edinburgh; University of London; King's College London; University of Edinburgh</t>
        </is>
      </c>
      <c r="Z813" t="inlineStr">
        <is>
          <t>Brookfield, K (corresponding author), Univ York, Environm &amp; Geog Dept, York YO10 5NG, N Yorkshire, England.</t>
        </is>
      </c>
      <c r="AA813" t="inlineStr">
        <is>
          <t>k.brookfield@york.ac.uk; iain.scott@ed.ac.uk; anthea.tinker@kcl.ac.uk; c.ward-thompson@ed.ac.uk</t>
        </is>
      </c>
      <c r="AB813" t="inlineStr">
        <is>
          <t>Ward Thompson, Catharine/JFA-9237-2023</t>
        </is>
      </c>
      <c r="AC813" t="inlineStr">
        <is>
          <t>Ward Thompson, Catharine/0000-0002-9563-0026; Tinker, Anthea/0000-0002-0305-7198</t>
        </is>
      </c>
      <c r="AD813" t="inlineStr">
        <is>
          <t>EPSRC - Research Councils UK [EP/K037404/1]; University of York; EPSRC [EP/K037404/1] Funding Source: UKRI</t>
        </is>
      </c>
      <c r="AE813" t="inlineStr">
        <is>
          <t>EPSRC - Research Councils UK(UK Research &amp; Innovation (UKRI)Engineering &amp; Physical Sciences Research Council (EPSRC)); University of York; EPSRC(UK Research &amp; Innovation (UKRI)Engineering &amp; Physical Sciences Research Council (EPSRC))</t>
        </is>
      </c>
      <c r="AF813" t="inlineStr">
        <is>
          <t>Led by the EPSRC, this research was funded by Research Councils UK, grant number EP/K037404/1. The APC was funded by the University of York.</t>
        </is>
      </c>
      <c r="AH813" t="n">
        <v>58</v>
      </c>
      <c r="AI813" t="n">
        <v>14</v>
      </c>
      <c r="AJ813" t="n">
        <v>14</v>
      </c>
      <c r="AK813" t="n">
        <v>5</v>
      </c>
      <c r="AL813" t="n">
        <v>35</v>
      </c>
      <c r="AM813" t="inlineStr">
        <is>
          <t>MDPI</t>
        </is>
      </c>
      <c r="AN813" t="inlineStr">
        <is>
          <t>BASEL</t>
        </is>
      </c>
      <c r="AO813" t="inlineStr">
        <is>
          <t>ST ALBAN-ANLAGE 66, CH-4052 BASEL, SWITZERLAND</t>
        </is>
      </c>
      <c r="AQ813" t="inlineStr">
        <is>
          <t>1660-4601</t>
        </is>
      </c>
      <c r="AS813" t="inlineStr">
        <is>
          <t>INT J ENV RES PUB HE</t>
        </is>
      </c>
      <c r="AT813" t="inlineStr">
        <is>
          <t>Int. J. Environ. Res. Public Health</t>
        </is>
      </c>
      <c r="AU813" t="inlineStr">
        <is>
          <t>MAR</t>
        </is>
      </c>
      <c r="AV813" t="n">
        <v>2020</v>
      </c>
      <c r="AW813" t="n">
        <v>17</v>
      </c>
      <c r="AX813" t="n">
        <v>5</v>
      </c>
      <c r="BE813" t="n">
        <v>1800</v>
      </c>
      <c r="BF813" t="inlineStr">
        <is>
          <t>10.3390/ijerph17051800</t>
        </is>
      </c>
      <c r="BG813">
        <f>HYPERLINK("http://dx.doi.org/10.3390/ijerph17051800","http://dx.doi.org/10.3390/ijerph17051800")</f>
        <v/>
      </c>
      <c r="BJ813" t="n">
        <v>15</v>
      </c>
      <c r="BK813" t="inlineStr">
        <is>
          <t>Environmental Sciences; Public, Environmental &amp; Occupational Health</t>
        </is>
      </c>
      <c r="BL813" t="inlineStr">
        <is>
          <t>Science Citation Index Expanded (SCI-EXPANDED); Social Science Citation Index (SSCI)</t>
        </is>
      </c>
      <c r="BM813" t="inlineStr">
        <is>
          <t>Environmental Sciences &amp; Ecology; Public, Environmental &amp; Occupational Health</t>
        </is>
      </c>
      <c r="BN813" t="inlineStr">
        <is>
          <t>KY2GJ</t>
        </is>
      </c>
      <c r="BO813" t="n">
        <v>32164296</v>
      </c>
      <c r="BP813" t="inlineStr">
        <is>
          <t>Green Published, gold, Green Accepted</t>
        </is>
      </c>
      <c r="BS813" t="inlineStr">
        <is>
          <t>2023-10-26</t>
        </is>
      </c>
      <c r="BT813" t="inlineStr">
        <is>
          <t>WOS:000522389200340</t>
        </is>
      </c>
      <c r="BU813">
        <f>HYPERLINK("https%3A%2F%2Fwww.webofscience.com%2Fwos%2Fwoscc%2Ffull-record%2FWOS:000522389200340","View Full Record in Web of Science")</f>
        <v/>
      </c>
    </row>
    <row r="814">
      <c r="A814" t="inlineStr">
        <is>
          <t>J</t>
        </is>
      </c>
      <c r="B814" t="inlineStr">
        <is>
          <t>Jin, XY; Liu, YJ; Hu, ZY; Du, W</t>
        </is>
      </c>
      <c r="F814" t="inlineStr">
        <is>
          <t>Jin, Xiaoyi; Liu, Yanjun; Hu, Zhaoyuan; Du, Wei</t>
        </is>
      </c>
      <c r="J814" t="inlineStr">
        <is>
          <t>INTERNATIONAL JOURNAL OF ENVIRONMENTAL RESEARCH AND PUBLIC HEALTH</t>
        </is>
      </c>
      <c r="M814" t="inlineStr">
        <is>
          <t>English</t>
        </is>
      </c>
      <c r="N814" t="inlineStr">
        <is>
          <t>Article</t>
        </is>
      </c>
      <c r="T814" t="inlineStr">
        <is>
          <t>Vulnerable Older Adults' Identification, Geographic Distribution, and Policy Implications in China</t>
        </is>
      </c>
      <c r="U814" t="inlineStr">
        <is>
          <t>vulnerable older adults; latent class analysis; geographic distribution; policy implications</t>
        </is>
      </c>
      <c r="V814" t="inlineStr">
        <is>
          <t>SOCIAL VULNERABILITY; FRAILTY; PEOPLE; MORTALITY; AGE; CHILDLESSNESS; DISABILITY; SURVIVAL</t>
        </is>
      </c>
      <c r="W814" t="inlineStr">
        <is>
          <t>With the population aging and urbanization in China, vulnerable older adults tend to show more complex characteristics, bringing great challenges to public health policies. Using China Longitudinal Aging Social Survey data 2014, this paper builds a comprehensive index system for the identification of vulnerable older adults from three dimensions, including health, economy, and social support, then divides older adults into four support levels and six small classes by using the typological method. The results show that older adults in urgent need of assistance or priority are those poor in health and economic conditions, 1.46% of them are highly vulnerable because of the lack of social support; 12.76% of them obtain a certain social support are moderately vulnerable; and 34.72% of them are slightly vulnerable with disadvantage in only one dimension. The geographic distribution of different types of vulnerable older adults varies significantly. The paper provides evidence to design more feasible and specific policies with comprehensive considerations for different types of vulnerable older adults residing in different regions.</t>
        </is>
      </c>
      <c r="X814" t="inlineStr">
        <is>
          <t>[Jin, Xiaoyi; Liu, Yanjun; Hu, Zhaoyuan; Du, Wei] Xi An Jiao Tong Univ, Sch Publ Policy &amp; Adm, 28 Xianning West Rd, Xian 710049, Peoples R China</t>
        </is>
      </c>
      <c r="Y814" t="inlineStr">
        <is>
          <t>Xi'an Jiaotong University</t>
        </is>
      </c>
      <c r="Z814" t="inlineStr">
        <is>
          <t>Hu, ZY (corresponding author), Xi An Jiao Tong Univ, Sch Publ Policy &amp; Adm, 28 Xianning West Rd, Xian 710049, Peoples R China.</t>
        </is>
      </c>
      <c r="AA814" t="inlineStr">
        <is>
          <t>xiaoyijin@mail.xjtu.edu.cn; kuiyj09@163.com; zhaoyuanhoo@163.com; duwei@mail.xjtu.edu.cn</t>
        </is>
      </c>
      <c r="AB814" t="inlineStr">
        <is>
          <t>刘, 严君/GZL-5764-2022; liu, yan/HCI-5542-2022; liu, yan/HGV-1365-2022</t>
        </is>
      </c>
      <c r="AD814" t="inlineStr">
        <is>
          <t>Key Project of National Social Science Foundation of China [19ARK005]; key project of Shaanxi Provincial Social Science Academia [20CZ-36]</t>
        </is>
      </c>
      <c r="AE814" t="inlineStr">
        <is>
          <t>Key Project of National Social Science Foundation of China(National Office of Philosophy and Social Sciences); key project of Shaanxi Provincial Social Science Academia</t>
        </is>
      </c>
      <c r="AF814" t="inlineStr">
        <is>
          <t>This work was supported by the Key Project of National Social Science Foundation of China, grant number 19ARK005, key project of Shaanxi Provincial Social Science Academia, grant number 20CZ-36.</t>
        </is>
      </c>
      <c r="AH814" t="n">
        <v>68</v>
      </c>
      <c r="AI814" t="n">
        <v>1</v>
      </c>
      <c r="AJ814" t="n">
        <v>1</v>
      </c>
      <c r="AK814" t="n">
        <v>1</v>
      </c>
      <c r="AL814" t="n">
        <v>35</v>
      </c>
      <c r="AM814" t="inlineStr">
        <is>
          <t>MDPI</t>
        </is>
      </c>
      <c r="AN814" t="inlineStr">
        <is>
          <t>BASEL</t>
        </is>
      </c>
      <c r="AO814" t="inlineStr">
        <is>
          <t>ST ALBAN-ANLAGE 66, CH-4052 BASEL, SWITZERLAND</t>
        </is>
      </c>
      <c r="AQ814" t="inlineStr">
        <is>
          <t>1660-4601</t>
        </is>
      </c>
      <c r="AS814" t="inlineStr">
        <is>
          <t>INT J ENV RES PUB HE</t>
        </is>
      </c>
      <c r="AT814" t="inlineStr">
        <is>
          <t>Int. J. Environ. Res. Public Health</t>
        </is>
      </c>
      <c r="AU814" t="inlineStr">
        <is>
          <t>OCT</t>
        </is>
      </c>
      <c r="AV814" t="n">
        <v>2021</v>
      </c>
      <c r="AW814" t="n">
        <v>18</v>
      </c>
      <c r="AX814" t="n">
        <v>20</v>
      </c>
      <c r="BE814" t="n">
        <v>10642</v>
      </c>
      <c r="BF814" t="inlineStr">
        <is>
          <t>10.3390/ijerph182010642</t>
        </is>
      </c>
      <c r="BG814">
        <f>HYPERLINK("http://dx.doi.org/10.3390/ijerph182010642","http://dx.doi.org/10.3390/ijerph182010642")</f>
        <v/>
      </c>
      <c r="BJ814" t="n">
        <v>19</v>
      </c>
      <c r="BK814" t="inlineStr">
        <is>
          <t>Environmental Sciences; Public, Environmental &amp; Occupational Health</t>
        </is>
      </c>
      <c r="BL814" t="inlineStr">
        <is>
          <t>Science Citation Index Expanded (SCI-EXPANDED); Social Science Citation Index (SSCI)</t>
        </is>
      </c>
      <c r="BM814" t="inlineStr">
        <is>
          <t>Environmental Sciences &amp; Ecology; Public, Environmental &amp; Occupational Health</t>
        </is>
      </c>
      <c r="BN814" t="inlineStr">
        <is>
          <t>WU0CG</t>
        </is>
      </c>
      <c r="BO814" t="n">
        <v>34682392</v>
      </c>
      <c r="BP814" t="inlineStr">
        <is>
          <t>gold, Green Published</t>
        </is>
      </c>
      <c r="BS814" t="inlineStr">
        <is>
          <t>2023-10-26</t>
        </is>
      </c>
      <c r="BT814" t="inlineStr">
        <is>
          <t>WOS:000716222200001</t>
        </is>
      </c>
      <c r="BU814">
        <f>HYPERLINK("https%3A%2F%2Fwww.webofscience.com%2Fwos%2Fwoscc%2Ffull-record%2FWOS:000716222200001","View Full Record in Web of Science")</f>
        <v/>
      </c>
    </row>
    <row r="815">
      <c r="A815" t="inlineStr">
        <is>
          <t>J</t>
        </is>
      </c>
      <c r="B815" t="inlineStr">
        <is>
          <t>Chu, HS; Oh, J; Lee, K</t>
        </is>
      </c>
      <c r="F815" t="inlineStr">
        <is>
          <t>Chu, Hyeon Sik; Oh, Juyeon; Lee, Kounseok</t>
        </is>
      </c>
      <c r="J815" t="inlineStr">
        <is>
          <t>INTERNATIONAL JOURNAL OF ENVIRONMENTAL RESEARCH AND PUBLIC HEALTH</t>
        </is>
      </c>
      <c r="M815" t="inlineStr">
        <is>
          <t>English</t>
        </is>
      </c>
      <c r="N815" t="inlineStr">
        <is>
          <t>Article</t>
        </is>
      </c>
      <c r="T815" t="inlineStr">
        <is>
          <t>The Relationship between Living Arrangements and Sleep Quality in Older Adults: Gender Differences</t>
        </is>
      </c>
      <c r="U815" t="inlineStr">
        <is>
          <t>older adults; sleep; gender differences; community health survey</t>
        </is>
      </c>
      <c r="V815" t="inlineStr">
        <is>
          <t>SOCIAL-ISOLATION; NATIONAL-HEALTH; KOREAN VERSION; ASSOCIATIONS; POPULATION; LONELINESS; VALIDITY; MEN</t>
        </is>
      </c>
      <c r="W815" t="inlineStr">
        <is>
          <t>(1) Background: This study examined the effects of living arrangements on the quality of sleep among older adults and analyzed related gender differences; (2) Methods: A total of 4756 older adults in Seoul were included. After adjusting for socio-demographic factors, older adults living alone showed a poorer sleep quality compared with those living with others; (3) Results: When we analyzed the effects of living arrangements on sleep quality by gender, there was no difference in the risk of poor sleep quality between male older adults living alone and those living with others (OR = 1.089, 95% CI = 0.729-1.628), whereas the risk of poor sleep quality was higher for female older adults living alone than those living with others (OR = 1.359, 95% CI = 1.088-1.696); (4) Conclusions: In this study, we have confirmed that older women living alone had poor sleep quality compared to older men. Hence, gender-based approaches will be helpful when providing social support resources to older adults living alone.</t>
        </is>
      </c>
      <c r="X815" t="inlineStr">
        <is>
          <t>[Chu, Hyeon Sik] Hanyang Univ, Coll Nursing, Seoul 04763, South Korea; [Oh, Juyeon] Dankook Univ, Coll Nursing, Cheonan 31116, South Korea; [Lee, Kounseok] Hanyang Univ, Dept Psychiat, Med Ctr, Seoul 04763, South Korea</t>
        </is>
      </c>
      <c r="Y815" t="inlineStr">
        <is>
          <t>Hanyang University; Dankook University; Hanyang University</t>
        </is>
      </c>
      <c r="Z815" t="inlineStr">
        <is>
          <t>Lee, K (corresponding author), Hanyang Univ, Dept Psychiat, Med Ctr, Seoul 04763, South Korea.</t>
        </is>
      </c>
      <c r="AA815" t="inlineStr">
        <is>
          <t>healingchu@hanyang.ac.kr; ohjy@dankook.ac.kr; dual@hanyang.ac.kr</t>
        </is>
      </c>
      <c r="AC815" t="inlineStr">
        <is>
          <t>Oh, Juyeon/0000-0002-6800-1320; Lee, Kounseok/0000-0002-6084-5043; Chu, Hyeon Sik/0000-0002-6918-4296</t>
        </is>
      </c>
      <c r="AD815" t="inlineStr">
        <is>
          <t>Ministry of Trade, Industry &amp; Energy (MOTIE, Korea) [20012931, P0018663]; Korea Evaluation Institute of Industrial Technology (KEIT) [20012931] Funding Source: Korea Institute of Science &amp; Technology Information (KISTI), National Science &amp; Technology Information Service (NTIS); Ministry of Health &amp; Welfare (MOHW), Republic of Korea [P0018663] Funding Source: Korea Institute of Science &amp; Technology Information (KISTI), National Science &amp; Technology Information Service (NTIS)</t>
        </is>
      </c>
      <c r="AE815" t="inlineStr">
        <is>
          <t>Ministry of Trade, Industry &amp; Energy (MOTIE, Korea); Korea Evaluation Institute of Industrial Technology (KEIT); Ministry of Health &amp; Welfare (MOHW), Republic of Korea(Ministry of Health &amp; Welfare (MOHW), Republic of Korea)</t>
        </is>
      </c>
      <c r="AF815" t="inlineStr">
        <is>
          <t>This research was funded by the Technology Innovation Program (20012931) and Core Technology Development Project (P0018663) funded by the Ministry of Trade, Industry &amp; Energy (MOTIE, Korea).</t>
        </is>
      </c>
      <c r="AH815" t="n">
        <v>44</v>
      </c>
      <c r="AI815" t="n">
        <v>8</v>
      </c>
      <c r="AJ815" t="n">
        <v>8</v>
      </c>
      <c r="AK815" t="n">
        <v>11</v>
      </c>
      <c r="AL815" t="n">
        <v>32</v>
      </c>
      <c r="AM815" t="inlineStr">
        <is>
          <t>MDPI</t>
        </is>
      </c>
      <c r="AN815" t="inlineStr">
        <is>
          <t>BASEL</t>
        </is>
      </c>
      <c r="AO815" t="inlineStr">
        <is>
          <t>ST ALBAN-ANLAGE 66, CH-4052 BASEL, SWITZERLAND</t>
        </is>
      </c>
      <c r="AQ815" t="inlineStr">
        <is>
          <t>1660-4601</t>
        </is>
      </c>
      <c r="AS815" t="inlineStr">
        <is>
          <t>INT J ENV RES PUB HE</t>
        </is>
      </c>
      <c r="AT815" t="inlineStr">
        <is>
          <t>Int. J. Environ. Res. Public Health</t>
        </is>
      </c>
      <c r="AU815" t="inlineStr">
        <is>
          <t>APR</t>
        </is>
      </c>
      <c r="AV815" t="n">
        <v>2022</v>
      </c>
      <c r="AW815" t="n">
        <v>19</v>
      </c>
      <c r="AX815" t="n">
        <v>7</v>
      </c>
      <c r="BE815" t="n">
        <v>3893</v>
      </c>
      <c r="BF815" t="inlineStr">
        <is>
          <t>10.3390/ijerph19073893</t>
        </is>
      </c>
      <c r="BG815">
        <f>HYPERLINK("http://dx.doi.org/10.3390/ijerph19073893","http://dx.doi.org/10.3390/ijerph19073893")</f>
        <v/>
      </c>
      <c r="BJ815" t="n">
        <v>11</v>
      </c>
      <c r="BK815" t="inlineStr">
        <is>
          <t>Environmental Sciences; Public, Environmental &amp; Occupational Health</t>
        </is>
      </c>
      <c r="BL815" t="inlineStr">
        <is>
          <t>Science Citation Index Expanded (SCI-EXPANDED); Social Science Citation Index (SSCI)</t>
        </is>
      </c>
      <c r="BM815" t="inlineStr">
        <is>
          <t>Environmental Sciences &amp; Ecology; Public, Environmental &amp; Occupational Health</t>
        </is>
      </c>
      <c r="BN815" t="inlineStr">
        <is>
          <t>0L4PT</t>
        </is>
      </c>
      <c r="BO815" t="n">
        <v>35409576</v>
      </c>
      <c r="BP815" t="inlineStr">
        <is>
          <t>gold, Green Published</t>
        </is>
      </c>
      <c r="BS815" t="inlineStr">
        <is>
          <t>2023-10-26</t>
        </is>
      </c>
      <c r="BT815" t="inlineStr">
        <is>
          <t>WOS:000781458200001</t>
        </is>
      </c>
      <c r="BU815">
        <f>HYPERLINK("https%3A%2F%2Fwww.webofscience.com%2Fwos%2Fwoscc%2Ffull-record%2FWOS:000781458200001","View Full Record in Web of Science")</f>
        <v/>
      </c>
    </row>
    <row r="816">
      <c r="A816" t="inlineStr">
        <is>
          <t>J</t>
        </is>
      </c>
      <c r="B816" t="inlineStr">
        <is>
          <t>Li, HF</t>
        </is>
      </c>
      <c r="F816" t="inlineStr">
        <is>
          <t>Li, Hanfei</t>
        </is>
      </c>
      <c r="J816" t="inlineStr">
        <is>
          <t>JOURNAL OF COASTAL RESEARCH</t>
        </is>
      </c>
      <c r="M816" t="inlineStr">
        <is>
          <t>English</t>
        </is>
      </c>
      <c r="N816" t="inlineStr">
        <is>
          <t>Article</t>
        </is>
      </c>
      <c r="T816" t="inlineStr">
        <is>
          <t>Research on Processing Technology and Design Optimization of Indoor Soft Packaging Materials Based on Creation of Artistic Situation and Influence of Coastal Climate</t>
        </is>
      </c>
      <c r="U816" t="inlineStr">
        <is>
          <t>Artistic situation; coastal climate; indoor soft packing materials; processing technology</t>
        </is>
      </c>
      <c r="W816" t="inlineStr">
        <is>
          <t>Interior design pursues the combination of emotion and artistic conception. The creation of artistic situation is the highest aesthetic realm of interior design and the main factor that determines the quality of design. It satisfies people's beautiful imagination of interior space environment. Soft-fitting design is an essential link in interior space design and is also the key to optimize interior design. Based on the creation of artistic situations and the influence of coastal climate, a systematic study has been carried out on the processing technology and design optimization of soft materials in interior design. The general principles of material selection in interior design have been explored. The research results can guide the application of interior design in reality and have certain theoretical and practical significance, providing certain theoretical reference for the systematic research of interior design in China.</t>
        </is>
      </c>
      <c r="X816" t="inlineStr">
        <is>
          <t>[Li, Hanfei] Zhoukou Normal Univ, Zhoukou 466000, Peoples R China; [Li, Hanfei] Univ Tunku Abdul Rahman, Kampar, Malaysia</t>
        </is>
      </c>
      <c r="Y816" t="inlineStr">
        <is>
          <t>Zhoukou Normal University; Universiti Tunku Abdul Rahman (UTAR)</t>
        </is>
      </c>
      <c r="Z816" t="inlineStr">
        <is>
          <t>Li, HF (corresponding author), Zhoukou Normal Univ, Zhoukou 466000, Peoples R China.;Li, HF (corresponding author), Univ Tunku Abdul Rahman, Kampar, Malaysia.</t>
        </is>
      </c>
      <c r="AA816" t="inlineStr">
        <is>
          <t>fgifry@163.com</t>
        </is>
      </c>
      <c r="AB816" t="inlineStr">
        <is>
          <t>li, hanfei/HGD-5310-2022</t>
        </is>
      </c>
      <c r="AD816" t="inlineStr">
        <is>
          <t>Training Project of Young backbone Teachers in Colleges and Universities of Henan Province, An Anthropological study of Architectural Images in the Central Plains [2016GGJS-137]; 13th five-year Plan of Educational Science in Henan Province, Research on the Innovation of Teaching Mode of Environmental Design Specialty based on the idea of Creative customer Education [(2016)-JKGHB-0263]; Henan soft science research program, Research on the innovation and development of Henan Cultural Industrial Park in the field of design [182400410422]</t>
        </is>
      </c>
      <c r="AE816" t="inlineStr">
        <is>
          <t>Training Project of Young backbone Teachers in Colleges and Universities of Henan Province, An Anthropological study of Architectural Images in the Central Plains; 13th five-year Plan of Educational Science in Henan Province, Research on the Innovation of Teaching Mode of Environmental Design Specialty based on the idea of Creative customer Education; Henan soft science research program, Research on the innovation and development of Henan Cultural Industrial Park in the field of design</t>
        </is>
      </c>
      <c r="AF816" t="inlineStr">
        <is>
          <t>(1) Training Project of Young backbone Teachers in Colleges and Universities of Henan Province, An Anthropological study of Architectural Images in the Central Plains, 2016GGJS-137.; (2). The 13th five-year Plan of Educational Science in Henan Province, Research on the Innovation of Teaching Mode of Environmental Design Specialty based on the idea of Creative customer Education, (2016)-JKGHB-0263.; (3) Henan soft science research program, Research on the innovation and development of Henan Cultural Industrial Park in the field of design, 182400410422.</t>
        </is>
      </c>
      <c r="AH816" t="n">
        <v>8</v>
      </c>
      <c r="AI816" t="n">
        <v>3</v>
      </c>
      <c r="AJ816" t="n">
        <v>3</v>
      </c>
      <c r="AK816" t="n">
        <v>0</v>
      </c>
      <c r="AL816" t="n">
        <v>3</v>
      </c>
      <c r="AM816" t="inlineStr">
        <is>
          <t>COASTAL EDUCATION &amp; RESEARCH FOUNDATION</t>
        </is>
      </c>
      <c r="AN816" t="inlineStr">
        <is>
          <t>COCONUT CREEK</t>
        </is>
      </c>
      <c r="AO816" t="inlineStr">
        <is>
          <t>5130 NW 54TH STREET, COCONUT CREEK, FL 33073 USA</t>
        </is>
      </c>
      <c r="AP816" t="inlineStr">
        <is>
          <t>0749-0208</t>
        </is>
      </c>
      <c r="AQ816" t="inlineStr">
        <is>
          <t>1551-5036</t>
        </is>
      </c>
      <c r="AS816" t="inlineStr">
        <is>
          <t>J COASTAL RES</t>
        </is>
      </c>
      <c r="AT816" t="inlineStr">
        <is>
          <t>J. Coast. Res.</t>
        </is>
      </c>
      <c r="AU816" t="inlineStr">
        <is>
          <t>SUM</t>
        </is>
      </c>
      <c r="AV816" t="n">
        <v>2020</v>
      </c>
      <c r="BA816" t="n">
        <v>115</v>
      </c>
      <c r="BC816" t="n">
        <v>274</v>
      </c>
      <c r="BD816" t="n">
        <v>276</v>
      </c>
      <c r="BF816" t="inlineStr">
        <is>
          <t>10.2112/JCR-SI115-087.1</t>
        </is>
      </c>
      <c r="BG816">
        <f>HYPERLINK("http://dx.doi.org/10.2112/JCR-SI115-087.1","http://dx.doi.org/10.2112/JCR-SI115-087.1")</f>
        <v/>
      </c>
      <c r="BJ816" t="n">
        <v>3</v>
      </c>
      <c r="BK816" t="inlineStr">
        <is>
          <t>Environmental Sciences; Geography, Physical; Geosciences, Multidisciplinary</t>
        </is>
      </c>
      <c r="BL816" t="inlineStr">
        <is>
          <t>Science Citation Index Expanded (SCI-EXPANDED)</t>
        </is>
      </c>
      <c r="BM816" t="inlineStr">
        <is>
          <t>Environmental Sciences &amp; Ecology; Physical Geography; Geology</t>
        </is>
      </c>
      <c r="BN816" t="inlineStr">
        <is>
          <t>NK4IF</t>
        </is>
      </c>
      <c r="BS816" t="inlineStr">
        <is>
          <t>2023-10-26</t>
        </is>
      </c>
      <c r="BT816" t="inlineStr">
        <is>
          <t>WOS:000566695100087</t>
        </is>
      </c>
      <c r="BU816">
        <f>HYPERLINK("https%3A%2F%2Fwww.webofscience.com%2Fwos%2Fwoscc%2Ffull-record%2FWOS:000566695100087","View Full Record in Web of Science")</f>
        <v/>
      </c>
    </row>
    <row r="817">
      <c r="A817" t="inlineStr">
        <is>
          <t>J</t>
        </is>
      </c>
      <c r="B817" t="inlineStr">
        <is>
          <t>Larkin, H; Hitch, D; Watchorn, V; Ang, S</t>
        </is>
      </c>
      <c r="F817" t="inlineStr">
        <is>
          <t>Larkin, Helen; Hitch, Danielle; Watchorn, Valerie; Ang, Susan</t>
        </is>
      </c>
      <c r="J817" t="inlineStr">
        <is>
          <t>INTERNATIONAL JOURNAL OF ENVIRONMENTAL RESEARCH AND PUBLIC HEALTH</t>
        </is>
      </c>
      <c r="M817" t="inlineStr">
        <is>
          <t>English</t>
        </is>
      </c>
      <c r="N817" t="inlineStr">
        <is>
          <t>Article; Proceedings Paper</t>
        </is>
      </c>
      <c r="O817" t="inlineStr">
        <is>
          <t>11th International Symposium on Recent Advances in Environmental Health Research</t>
        </is>
      </c>
      <c r="P817" t="inlineStr">
        <is>
          <t>SEP 14-18, 2014</t>
        </is>
      </c>
      <c r="Q817" t="inlineStr">
        <is>
          <t>Jackson, MS</t>
        </is>
      </c>
      <c r="R817" t="inlineStr">
        <is>
          <t>Jackson State Univ</t>
        </is>
      </c>
      <c r="T817" t="inlineStr">
        <is>
          <t>Working with Policy and Regulatory Factors to Implement Universal Design in the Built Environment: The Australian Experience</t>
        </is>
      </c>
      <c r="U817" t="inlineStr">
        <is>
          <t>universal design; occupational therapy; architecture; policy; built environment</t>
        </is>
      </c>
      <c r="V817" t="inlineStr">
        <is>
          <t>FRAMEWORK</t>
        </is>
      </c>
      <c r="W817" t="inlineStr">
        <is>
          <t>Built environments that are usable by all provide opportunities for engagement in meaningful occupations. However, enabling them in day to day design processes and practice is problematic for relevant professions. The purpose of this phenomenological study was to gain greater understanding of the policy and regulatory influences that promote or hinder the uptake of universal design in built environments, to inform better future design. Focus groups or telephone interviews were undertaken with 28 key building industry and disability stakeholders in Australia. Four themes were identified: the difficulties of definition; the push or pull of regulations and policy; the role of formal standards; and, shifting the focus of design thinking. The findings highlight the complexity of working within policy and regulatory contexts when implementing universal design. Occupational therapists working with colleagues from other professions must be aware of these influences, and develop the skills to work with them for successful practice.</t>
        </is>
      </c>
      <c r="X817" t="inlineStr">
        <is>
          <t>[Larkin, Helen; Hitch, Danielle; Watchorn, Valerie] Deakin Univ, Sch Hlth &amp; Social Dev, Geelong, Vic 3220, Australia; [Ang, Susan] Deakin Univ, Sch Architecture &amp; Built Environm, Geelong, Vic 3220, Australia</t>
        </is>
      </c>
      <c r="Y817" t="inlineStr">
        <is>
          <t>Deakin University; Deakin University</t>
        </is>
      </c>
      <c r="Z817" t="inlineStr">
        <is>
          <t>Hitch, D (corresponding author), Deakin Univ, Sch Hlth &amp; Social Dev, Geelong Waterfront Campus,Locked Bag 20001, Geelong, Vic 3220, Australia.</t>
        </is>
      </c>
      <c r="AA817" t="inlineStr">
        <is>
          <t>helen.larkin@deakin.edu.au; dani.hitch@deakin.edu.au; valerie.watchorn@deakin.edu.au; susan.ang@deakin.edu.au</t>
        </is>
      </c>
      <c r="AB817" t="inlineStr">
        <is>
          <t>Hitch, Danielle/I-2546-2019</t>
        </is>
      </c>
      <c r="AC817" t="inlineStr">
        <is>
          <t>Hitch, Danielle/0000-0003-2798-2246; Watchorn, Valerie/0000-0003-4726-2414; Ang, Susan/0000-0003-0180-584X</t>
        </is>
      </c>
      <c r="AD817" t="inlineStr">
        <is>
          <t>Deakin University Strategic Teaching and Learning Grant Scheme</t>
        </is>
      </c>
      <c r="AE817" t="inlineStr">
        <is>
          <t>Deakin University Strategic Teaching and Learning Grant Scheme</t>
        </is>
      </c>
      <c r="AF817" t="inlineStr">
        <is>
          <t>The authors acknowledge the support of a grant from the 2010 Deakin University Strategic Teaching and Learning Grant Scheme. The authors also acknowledge the contribution of the Deakin University Design 4 Diversity collaboration and the technical and administrative support from the Schools of Health and Social Development and Architecture and Built Environment, the Division of Equity and Diversity and the then Knowledge Media Division and the Institute of Teaching and Learning.</t>
        </is>
      </c>
      <c r="AH817" t="n">
        <v>31</v>
      </c>
      <c r="AI817" t="n">
        <v>20</v>
      </c>
      <c r="AJ817" t="n">
        <v>20</v>
      </c>
      <c r="AK817" t="n">
        <v>1</v>
      </c>
      <c r="AL817" t="n">
        <v>21</v>
      </c>
      <c r="AM817" t="inlineStr">
        <is>
          <t>MDPI</t>
        </is>
      </c>
      <c r="AN817" t="inlineStr">
        <is>
          <t>BASEL</t>
        </is>
      </c>
      <c r="AO817" t="inlineStr">
        <is>
          <t>ST ALBAN-ANLAGE 66, CH-4052 BASEL, SWITZERLAND</t>
        </is>
      </c>
      <c r="AQ817" t="inlineStr">
        <is>
          <t>1660-4601</t>
        </is>
      </c>
      <c r="AS817" t="inlineStr">
        <is>
          <t>INT J ENV RES PUB HE</t>
        </is>
      </c>
      <c r="AT817" t="inlineStr">
        <is>
          <t>Int. J. Environ. Res. Public Health</t>
        </is>
      </c>
      <c r="AU817" t="inlineStr">
        <is>
          <t>JUL</t>
        </is>
      </c>
      <c r="AV817" t="n">
        <v>2015</v>
      </c>
      <c r="AW817" t="n">
        <v>12</v>
      </c>
      <c r="AX817" t="n">
        <v>7</v>
      </c>
      <c r="BC817" t="n">
        <v>8157</v>
      </c>
      <c r="BD817" t="n">
        <v>8171</v>
      </c>
      <c r="BF817" t="inlineStr">
        <is>
          <t>10.3390/ijerph120708157</t>
        </is>
      </c>
      <c r="BG817">
        <f>HYPERLINK("http://dx.doi.org/10.3390/ijerph120708157","http://dx.doi.org/10.3390/ijerph120708157")</f>
        <v/>
      </c>
      <c r="BJ817" t="n">
        <v>15</v>
      </c>
      <c r="BK817" t="inlineStr">
        <is>
          <t>Environmental Sciences; Public, Environmental &amp; Occupational Health</t>
        </is>
      </c>
      <c r="BL817" t="inlineStr">
        <is>
          <t>Science Citation Index Expanded (SCI-EXPANDED); Social Science Citation Index (SSCI); Conference Proceedings Citation Index - Science (CPCI-S)</t>
        </is>
      </c>
      <c r="BM817" t="inlineStr">
        <is>
          <t>Environmental Sciences &amp; Ecology; Public, Environmental &amp; Occupational Health</t>
        </is>
      </c>
      <c r="BN817" t="inlineStr">
        <is>
          <t>CO7MB</t>
        </is>
      </c>
      <c r="BO817" t="n">
        <v>26184278</v>
      </c>
      <c r="BP817" t="inlineStr">
        <is>
          <t>gold, Green Published, Green Submitted</t>
        </is>
      </c>
      <c r="BS817" t="inlineStr">
        <is>
          <t>2023-10-26</t>
        </is>
      </c>
      <c r="BT817" t="inlineStr">
        <is>
          <t>WOS:000359342300071</t>
        </is>
      </c>
      <c r="BU817">
        <f>HYPERLINK("https%3A%2F%2Fwww.webofscience.com%2Fwos%2Fwoscc%2Ffull-record%2FWOS:000359342300071","View Full Record in Web of Science")</f>
        <v/>
      </c>
    </row>
    <row r="818">
      <c r="A818" t="inlineStr">
        <is>
          <t>J</t>
        </is>
      </c>
      <c r="B818" t="inlineStr">
        <is>
          <t>Bughio, M; Khan, MS; Mahar, WA; Schuetze, T</t>
        </is>
      </c>
      <c r="F818" t="inlineStr">
        <is>
          <t>Bughio, Mushk; Khan, Muhammad Shoaib; Mahar, Waqas Ahmed; Schuetze, Thorsten</t>
        </is>
      </c>
      <c r="J818" t="inlineStr">
        <is>
          <t>SUSTAINABILITY</t>
        </is>
      </c>
      <c r="M818" t="inlineStr">
        <is>
          <t>English</t>
        </is>
      </c>
      <c r="N818" t="inlineStr">
        <is>
          <t>Article</t>
        </is>
      </c>
      <c r="T818" t="inlineStr">
        <is>
          <t>Impact of Passive Energy Efficiency Measures on Cooling Energy Demand in an Architectural Campus Building in Karachi, Pakistan</t>
        </is>
      </c>
      <c r="U818" t="inlineStr">
        <is>
          <t>hot and humid climate; energy demand for cooling; energy efficiency; building envelope; insulation; thermal mass</t>
        </is>
      </c>
      <c r="V818" t="inlineStr">
        <is>
          <t>ENVELOPE DESIGN; THERMAL PERFORMANCE; HOT; STRATEGIES; TEMPERATURES; CONSUMPTION; CLIMATE; TOOLS</t>
        </is>
      </c>
      <c r="W818" t="inlineStr">
        <is>
          <t>Electric appliances for cooling and lighting are responsible for most of the increase in electricity consumption in Karachi, Pakistan. This study aims to investigate the impact of passive energy efficiency measures (PEEMs) on the potential reduction of indoor temperature and cooling energy demand of an architectural campus building (ACB) in Karachi, Pakistan. PEEMs focus on the building envelope's design and construction, which is a key factor of influence on a building's cooling energy demand. The existing architectural campus building was modeled using the building information modeling (BIM) software Autodesk Revit. Data related to the electricity consumption for cooling, building masses, occupancy conditions, utility bills, energy use intensity, as well as space types, were collected and analyzed to develop a virtual ACB model. The utility bill data were used to calibrate the DesignBuilder and EnergyPlus base case models of the existing ACB. The cooling energy demand was compared with different alternative building envelope compositions applied as PEEMs in the renovation of the existing exemplary ACB. Finally, cooling energy demand reduction potentials and the related potential electricity demand savings were determined. The quantification of the cooling energy demand facilitates the definition of the building's electricity consumption benchmarks for cooling with specific technologies.</t>
        </is>
      </c>
      <c r="X818" t="inlineStr">
        <is>
          <t>[Bughio, Mushk; Schuetze, Thorsten] Sungkyunkwan Univ, Dept Architecture, Coll Engn, Suwon 16419, South Korea; [Bughio, Mushk] Dawood Univ Engn &amp; Technol, Dept Architecture, Karachi 74800, Pakistan; [Khan, Muhammad Shoaib] Hanyang Univ, Dept Civil &amp; Environm Engn, Seoul 04763, South Korea; [Mahar, Waqas Ahmed] Balochistan Univ Informat Technol Engn &amp; Manageme, Dept Architecture, Quetta 87100, Pakistan; [Mahar, Waqas Ahmed] Univ Liege, Fac Sci Appl, Dept UEE, Sustainable Bldg Design SBD Lab, B-4000 Liege, Belgium</t>
        </is>
      </c>
      <c r="Y818" t="inlineStr">
        <is>
          <t>Sungkyunkwan University (SKKU); Hanyang University; Balochistan University of Information Technology, Engineering &amp; Management Sciences BUITEMS; University of Liege</t>
        </is>
      </c>
      <c r="Z818" t="inlineStr">
        <is>
          <t>Schuetze, T (corresponding author), Sungkyunkwan Univ, Dept Architecture, Coll Engn, Suwon 16419, South Korea.</t>
        </is>
      </c>
      <c r="AA818" t="inlineStr">
        <is>
          <t>mushkbughio@gmail.com; muhammadshoaib5308@gmail.com; architectwaqas@hotmail.com; t.schuetze@skku.edu</t>
        </is>
      </c>
      <c r="AB818" t="inlineStr">
        <is>
          <t>Khan, Muhammad Shoaib/AAI-7964-2020; Mahar, Waqas Ahmed/W-5991-2018; Schuetze, Thorsten/ABA-5119-2021</t>
        </is>
      </c>
      <c r="AC818" t="inlineStr">
        <is>
          <t>Khan, Muhammad Shoaib/0000-0001-6380-1137; Mahar, Waqas Ahmed/0000-0003-1478-6246; Schuetze, Thorsten/0000-0001-7849-2330; Bughio, Mushk/0000-0001-6446-5622</t>
        </is>
      </c>
      <c r="AD818" t="inlineStr">
        <is>
          <t>Higher Education Commission (HEC) of Pakistan [50022580]</t>
        </is>
      </c>
      <c r="AE818" t="inlineStr">
        <is>
          <t>Higher Education Commission (HEC) of Pakistan(Higher Education Commission of Pakistan)</t>
        </is>
      </c>
      <c r="AF818" t="inlineStr">
        <is>
          <t>The authors acknowledge the Higher Education Commission (HEC) of Pakistan for providing the necessary funds and resources to complete the PhD studies of the first author under the HRDI-UESTP scholarship program Batch III with ref. no. 50022580. The study is part of a PhD research program being carried out at SKKU, Korea. No funding was provided for conducting and publishing this research. The funding agency has no role in selecting the research topics, research domain, methodology, or the results of this PhD.</t>
        </is>
      </c>
      <c r="AH818" t="n">
        <v>66</v>
      </c>
      <c r="AI818" t="n">
        <v>9</v>
      </c>
      <c r="AJ818" t="n">
        <v>9</v>
      </c>
      <c r="AK818" t="n">
        <v>1</v>
      </c>
      <c r="AL818" t="n">
        <v>12</v>
      </c>
      <c r="AM818" t="inlineStr">
        <is>
          <t>MDPI</t>
        </is>
      </c>
      <c r="AN818" t="inlineStr">
        <is>
          <t>BASEL</t>
        </is>
      </c>
      <c r="AO818" t="inlineStr">
        <is>
          <t>ST ALBAN-ANLAGE 66, CH-4052 BASEL, SWITZERLAND</t>
        </is>
      </c>
      <c r="AQ818" t="inlineStr">
        <is>
          <t>2071-1050</t>
        </is>
      </c>
      <c r="AS818" t="inlineStr">
        <is>
          <t>SUSTAINABILITY-BASEL</t>
        </is>
      </c>
      <c r="AT818" t="inlineStr">
        <is>
          <t>Sustainability</t>
        </is>
      </c>
      <c r="AU818" t="inlineStr">
        <is>
          <t>JUL</t>
        </is>
      </c>
      <c r="AV818" t="n">
        <v>2021</v>
      </c>
      <c r="AW818" t="n">
        <v>13</v>
      </c>
      <c r="AX818" t="n">
        <v>13</v>
      </c>
      <c r="BE818" t="n">
        <v>7251</v>
      </c>
      <c r="BF818" t="inlineStr">
        <is>
          <t>10.3390/su13137251</t>
        </is>
      </c>
      <c r="BG818">
        <f>HYPERLINK("http://dx.doi.org/10.3390/su13137251","http://dx.doi.org/10.3390/su13137251")</f>
        <v/>
      </c>
      <c r="BJ818" t="n">
        <v>35</v>
      </c>
      <c r="BK818" t="inlineStr">
        <is>
          <t>Green &amp; Sustainable Science &amp; Technology; Environmental Sciences; Environmental Studies</t>
        </is>
      </c>
      <c r="BL818" t="inlineStr">
        <is>
          <t>Science Citation Index Expanded (SCI-EXPANDED); Social Science Citation Index (SSCI)</t>
        </is>
      </c>
      <c r="BM818" t="inlineStr">
        <is>
          <t>Science &amp; Technology - Other Topics; Environmental Sciences &amp; Ecology</t>
        </is>
      </c>
      <c r="BN818" t="inlineStr">
        <is>
          <t>TF9WE</t>
        </is>
      </c>
      <c r="BP818" t="inlineStr">
        <is>
          <t>Green Published, gold</t>
        </is>
      </c>
      <c r="BS818" t="inlineStr">
        <is>
          <t>2023-10-26</t>
        </is>
      </c>
      <c r="BT818" t="inlineStr">
        <is>
          <t>WOS:000671064400001</t>
        </is>
      </c>
      <c r="BU818">
        <f>HYPERLINK("https%3A%2F%2Fwww.webofscience.com%2Fwos%2Fwoscc%2Ffull-record%2FWOS:000671064400001","View Full Record in Web of Science")</f>
        <v/>
      </c>
    </row>
    <row r="819">
      <c r="A819" t="inlineStr">
        <is>
          <t>J</t>
        </is>
      </c>
      <c r="B819" t="inlineStr">
        <is>
          <t>Yu, HB; Zhang, H; Han, XL; Gao, NC; Ke, ZK; Yan, JL</t>
        </is>
      </c>
      <c r="F819" t="inlineStr">
        <is>
          <t>Yu, Haibo; Zhang, Hui; Han, Xiaolin; Gao, Ningcheng; Ke, Zikang; Yan, Junle</t>
        </is>
      </c>
      <c r="J819" t="inlineStr">
        <is>
          <t>SUSTAINABILITY</t>
        </is>
      </c>
      <c r="M819" t="inlineStr">
        <is>
          <t>English</t>
        </is>
      </c>
      <c r="N819" t="inlineStr">
        <is>
          <t>Article</t>
        </is>
      </c>
      <c r="T819" t="inlineStr">
        <is>
          <t>An Empirical Study of a Passive Exterior Window for an Office Building in the Context of Ultra-Low Energy</t>
        </is>
      </c>
      <c r="U819" t="inlineStr">
        <is>
          <t>passive exterior window; indoor thermal environment; apparent temperature; non-linear fitting regression analysis</t>
        </is>
      </c>
      <c r="V819" t="inlineStr">
        <is>
          <t>RESIDENTIAL BUILDINGS; SAVING TECHNOLOGIES; THERMAL COMFORT; WINTER ZONE; HOT-SUMMER; OPTIMIZATION; ENVELOPE; REGIONS</t>
        </is>
      </c>
      <c r="W819" t="inlineStr">
        <is>
          <t>As the energy crisis continues to intensify and with increasing awareness of global climate change, the issue of high energy consumption and emissions in buildings is garnering more attention. Windows have significant research value and importance as pivotal components in the development of ultra-low-energy buildings. This study presents a proposal for a passive exterior window considering the climatic conditions prevalent in the hot summer and cold winter zone of China. Firstly, an experimental platform was established outside a standard office to conduct tests and analyze the indoor thermal environment for four different scenarios in the summer and winter by comparing a passive room (PR) and non-passive room (NPR), respectively. The human apparent temperature was calculated based on the collected thermal environment data and subsequently evaluated. Lastly, the indoor environmental temperature (IET), window surface temperature (WST), and apparent temperature (AT) data were subjected to non-linear fitting regression analysis using Origin software. The primary aim of this analysis was to examine the impact of the passive exterior window on the indoor thermal environment and establish the feasibility of implementing such a window in the hot summer and cold winter zone of China. The results showed that: (1) in the summer, the IET and WST in the PR exhibited reductions of 0.8 &amp; DEG;C and 0.6 &amp; DEG;C, respectively, under ventilated conditions compared to the NPR; (2) in the winter, the IET and WST of the PR remained lower compared to those of the NPR (however, the temperature differential between the IET and WST in the PR amounted to 6.8 &amp; DEG;C and 7.7 &amp; DEG;C, respectively, while the corresponding disparity in the NPR was 8.1 &amp; DEG;C and 9.3 &amp; DEG;C); and (3) regarding the AT, during summer ventilation, the PR exhibited a substantial reduction of up to 3.5 &amp; DEG;C in comparison to the NPR. Moreover, in the context of winter, the time for indoor human thermal perception to reach a comfortable level was extended by 0.5 h. Future investigations will delve into the influence of passive exterior windows on building energy consumption, and this research can provide a practical reference for energy-efficient design and retrofitting of exterior windows in the region.</t>
        </is>
      </c>
      <c r="X819" t="inlineStr">
        <is>
          <t>[Yu, Haibo; Zhang, Hui; Gao, Ningcheng; Ke, Zikang; Yan, Junle] Hubei Univ Technol, Sch Civil Architecture &amp; Environm, Wuhan 430068, Peoples R China; [Zhang, Hui] Natl Univ Singapore, Coll Design &amp; Engn, Singapore 117566, Singapore; [Han, Xiaolin] Cent South Architectural Design Inst Co Ltd, Wuhan 430061, Peoples R China</t>
        </is>
      </c>
      <c r="Y819" t="inlineStr">
        <is>
          <t>Hubei University of Technology; National University of Singapore</t>
        </is>
      </c>
      <c r="Z819" t="inlineStr">
        <is>
          <t>Zhang, H (corresponding author), Hubei Univ Technol, Sch Civil Architecture &amp; Environm, Wuhan 430068, Peoples R China.;Zhang, H (corresponding author), Natl Univ Singapore, Coll Design &amp; Engn, Singapore 117566, Singapore.</t>
        </is>
      </c>
      <c r="AA819" t="inlineStr">
        <is>
          <t>zhhust@hbut.edu.cn</t>
        </is>
      </c>
      <c r="AD819" t="inlineStr">
        <is>
          <t>We are grateful to the Hubei University of Technology for providing the experimental platform for this study, which was also supported by the research project Ultra-low energy consumption public building design and renovation in Hubei province of China.; Hubei University of Technology</t>
        </is>
      </c>
      <c r="AE819" t="inlineStr">
        <is>
          <t>We are grateful to the Hubei University of Technology for providing the experimental platform for this study, which was also supported by the research project Ultra-low energy consumption public building design and renovation in Hubei province of China.; Hubei University of Technology</t>
        </is>
      </c>
      <c r="AF819" t="inlineStr">
        <is>
          <t>We are grateful to the Hubei University of Technology for providing the experimental platform for this study, which was also supported by the research project Ultra-low energy consumption public building design and renovation in Hubei province of China.</t>
        </is>
      </c>
      <c r="AH819" t="n">
        <v>47</v>
      </c>
      <c r="AI819" t="n">
        <v>0</v>
      </c>
      <c r="AJ819" t="n">
        <v>0</v>
      </c>
      <c r="AK819" t="n">
        <v>1</v>
      </c>
      <c r="AL819" t="n">
        <v>1</v>
      </c>
      <c r="AM819" t="inlineStr">
        <is>
          <t>MDPI</t>
        </is>
      </c>
      <c r="AN819" t="inlineStr">
        <is>
          <t>BASEL</t>
        </is>
      </c>
      <c r="AO819" t="inlineStr">
        <is>
          <t>ST ALBAN-ANLAGE 66, CH-4052 BASEL, SWITZERLAND</t>
        </is>
      </c>
      <c r="AQ819" t="inlineStr">
        <is>
          <t>2071-1050</t>
        </is>
      </c>
      <c r="AS819" t="inlineStr">
        <is>
          <t>SUSTAINABILITY-BASEL</t>
        </is>
      </c>
      <c r="AT819" t="inlineStr">
        <is>
          <t>Sustainability</t>
        </is>
      </c>
      <c r="AU819" t="inlineStr">
        <is>
          <t>SEP</t>
        </is>
      </c>
      <c r="AV819" t="n">
        <v>2023</v>
      </c>
      <c r="AW819" t="n">
        <v>15</v>
      </c>
      <c r="AX819" t="n">
        <v>17</v>
      </c>
      <c r="BE819" t="n">
        <v>13210</v>
      </c>
      <c r="BF819" t="inlineStr">
        <is>
          <t>10.3390/su151713210</t>
        </is>
      </c>
      <c r="BG819">
        <f>HYPERLINK("http://dx.doi.org/10.3390/su151713210","http://dx.doi.org/10.3390/su151713210")</f>
        <v/>
      </c>
      <c r="BJ819" t="n">
        <v>23</v>
      </c>
      <c r="BK819" t="inlineStr">
        <is>
          <t>Green &amp; Sustainable Science &amp; Technology; Environmental Sciences; Environmental Studies</t>
        </is>
      </c>
      <c r="BL819" t="inlineStr">
        <is>
          <t>Science Citation Index Expanded (SCI-EXPANDED); Social Science Citation Index (SSCI)</t>
        </is>
      </c>
      <c r="BM819" t="inlineStr">
        <is>
          <t>Science &amp; Technology - Other Topics; Environmental Sciences &amp; Ecology</t>
        </is>
      </c>
      <c r="BN819" t="inlineStr">
        <is>
          <t>Q9LC4</t>
        </is>
      </c>
      <c r="BP819" t="inlineStr">
        <is>
          <t>gold</t>
        </is>
      </c>
      <c r="BS819" t="inlineStr">
        <is>
          <t>2023-10-26</t>
        </is>
      </c>
      <c r="BT819" t="inlineStr">
        <is>
          <t>WOS:001060649200001</t>
        </is>
      </c>
      <c r="BU819">
        <f>HYPERLINK("https%3A%2F%2Fwww.webofscience.com%2Fwos%2Fwoscc%2Ffull-record%2FWOS:001060649200001","View Full Record in Web of Science")</f>
        <v/>
      </c>
    </row>
    <row r="820">
      <c r="A820" t="inlineStr">
        <is>
          <t>J</t>
        </is>
      </c>
      <c r="B820" t="inlineStr">
        <is>
          <t>Cardona, AS; Arango, DC; Cardona, AS; Marín, CR; Rodríguez, DM</t>
        </is>
      </c>
      <c r="F820" t="inlineStr">
        <is>
          <t>Segura Cardona, Alejandra; Cardona Arango, Doris; Segura Cardona, Angela; Robledo Marin, Carlos; Munoz Rodriguez, Diana</t>
        </is>
      </c>
      <c r="J820" t="inlineStr">
        <is>
          <t>INTERNATIONAL JOURNAL OF ENVIRONMENTAL RESEARCH AND PUBLIC HEALTH</t>
        </is>
      </c>
      <c r="M820" t="inlineStr">
        <is>
          <t>English</t>
        </is>
      </c>
      <c r="N820" t="inlineStr">
        <is>
          <t>Article</t>
        </is>
      </c>
      <c r="T820" t="inlineStr">
        <is>
          <t>Friendly Residential Environments That Generate Autonomy in Older Persons</t>
        </is>
      </c>
      <c r="U820" t="inlineStr">
        <is>
          <t>aged; self-sufficiency; motor skills; social environments</t>
        </is>
      </c>
      <c r="V820" t="inlineStr">
        <is>
          <t>PHYSICAL-ACTIVITY; AGE; PERFORMANCE; POPULATION; PREVALENCE; PEOPLE; ADULTS; POLICY; PLACE; SPPB</t>
        </is>
      </c>
      <c r="W820" t="inlineStr">
        <is>
          <t>Objective: This study aimed to explore the housing and residential environment conditions associated with functional autonomy in older persons. Methods: A quantitative cross-sectional study was conducted, including 175 individuals over the age of 60. Participants were non-institutionalized urban residents of Medellin, Colombia, selected by random two-stage sampling (neighborhoods and blocks). Analysis was done according to functional autonomy of action (dependent variable); and demographic conditions, housing, and the physical and social environment suggested by the World Health Organization (WHO) in the strategy of age-friendly cities (independent variables). Univariate, bivariate, and multivariate analyses were performed with these variables, where the odds ratio (OR), association hypothesis test, and confidence intervals were estimated, using logistic regression models. Results: 89.7% of older persons had moderate physical performance. The performance of intergenerational activities (OR = 5.28) and community actions (OR = 11.28) were part of social environments. The adaptations in public transport (OR = 90.33), sanitary services (OR = 4.1), and lighting in parks (OR = 19.9) of the physical environment were the associations found with functional autonomy. Conclusions: Exploring how the physical and social environments surrounding housing are associated with the functional performance of older persons can generate useful information to support public health and city infrastructure strategies that improve their physical performance and maintain autonomy.</t>
        </is>
      </c>
      <c r="X820" t="inlineStr">
        <is>
          <t>[Segura Cardona, Alejandra] Univ CES, Fac Psychol, Medellin 050001, Colombia; [Cardona Arango, Doris] Univ CES, Fac Med, Medellin 050001, Colombia; [Segura Cardona, Angela; Munoz Rodriguez, Diana] Univ CES, Grad Sch, Medellin 050001, Colombia; [Robledo Marin, Carlos] Fdn Opc Colombia FUNDACOL, Medellin 050001, Colombia</t>
        </is>
      </c>
      <c r="Z820" t="inlineStr">
        <is>
          <t>Arango, DC (corresponding author), Univ CES, Fac Med, Medellin 050001, Colombia.</t>
        </is>
      </c>
      <c r="AA820" t="inlineStr">
        <is>
          <t>dcardona@ces.edu.co</t>
        </is>
      </c>
      <c r="AC820" t="inlineStr">
        <is>
          <t>Segura Cardona, Angela/0000-0002-0010-1413; MUNOZ RODRIGUEZ, DIANA ISABEL/0000-0003-4255-4813; Robledo Marin, Carlos Arturo/0000-0002-6944-561X; Cardona, Doris/0000-0003-4338-588X; Segura, Alejandra/0000-0002-1624-0952</t>
        </is>
      </c>
      <c r="AD820" t="inlineStr">
        <is>
          <t>Ministerio de Ciencia y Tecnologia; [122884467945]</t>
        </is>
      </c>
      <c r="AE820" t="inlineStr">
        <is>
          <t>Ministerio de Ciencia y Tecnologia(Spanish Government);</t>
        </is>
      </c>
      <c r="AF820" t="inlineStr">
        <is>
          <t>This research was funded by Ministerio de Ciencia y Tecnologia, grant number 122884467945.</t>
        </is>
      </c>
      <c r="AH820" t="n">
        <v>75</v>
      </c>
      <c r="AI820" t="n">
        <v>1</v>
      </c>
      <c r="AJ820" t="n">
        <v>1</v>
      </c>
      <c r="AK820" t="n">
        <v>3</v>
      </c>
      <c r="AL820" t="n">
        <v>6</v>
      </c>
      <c r="AM820" t="inlineStr">
        <is>
          <t>MDPI</t>
        </is>
      </c>
      <c r="AN820" t="inlineStr">
        <is>
          <t>BASEL</t>
        </is>
      </c>
      <c r="AO820" t="inlineStr">
        <is>
          <t>ST ALBAN-ANLAGE 66, CH-4052 BASEL, SWITZERLAND</t>
        </is>
      </c>
      <c r="AQ820" t="inlineStr">
        <is>
          <t>1660-4601</t>
        </is>
      </c>
      <c r="AS820" t="inlineStr">
        <is>
          <t>INT J ENV RES PUB HE</t>
        </is>
      </c>
      <c r="AT820" t="inlineStr">
        <is>
          <t>Int. J. Environ. Res. Public Health</t>
        </is>
      </c>
      <c r="AU820" t="inlineStr">
        <is>
          <t>JAN</t>
        </is>
      </c>
      <c r="AV820" t="n">
        <v>2023</v>
      </c>
      <c r="AW820" t="n">
        <v>20</v>
      </c>
      <c r="AX820" t="n">
        <v>1</v>
      </c>
      <c r="BE820" t="n">
        <v>409</v>
      </c>
      <c r="BF820" t="inlineStr">
        <is>
          <t>10.3390/ijerph20010409</t>
        </is>
      </c>
      <c r="BG820">
        <f>HYPERLINK("http://dx.doi.org/10.3390/ijerph20010409","http://dx.doi.org/10.3390/ijerph20010409")</f>
        <v/>
      </c>
      <c r="BJ820" t="n">
        <v>15</v>
      </c>
      <c r="BK820" t="inlineStr">
        <is>
          <t>Environmental Sciences; Public, Environmental &amp; Occupational Health</t>
        </is>
      </c>
      <c r="BL820" t="inlineStr">
        <is>
          <t>Science Citation Index Expanded (SCI-EXPANDED); Social Science Citation Index (SSCI)</t>
        </is>
      </c>
      <c r="BM820" t="inlineStr">
        <is>
          <t>Environmental Sciences &amp; Ecology; Public, Environmental &amp; Occupational Health</t>
        </is>
      </c>
      <c r="BN820" t="inlineStr">
        <is>
          <t>7P7ZO</t>
        </is>
      </c>
      <c r="BO820" t="n">
        <v>36612730</v>
      </c>
      <c r="BP820" t="inlineStr">
        <is>
          <t>gold, Green Published</t>
        </is>
      </c>
      <c r="BS820" t="inlineStr">
        <is>
          <t>2023-10-26</t>
        </is>
      </c>
      <c r="BT820" t="inlineStr">
        <is>
          <t>WOS:000908919000001</t>
        </is>
      </c>
      <c r="BU820">
        <f>HYPERLINK("https%3A%2F%2Fwww.webofscience.com%2Fwos%2Fwoscc%2Ffull-record%2FWOS:000908919000001","View Full Record in Web of Science")</f>
        <v/>
      </c>
    </row>
    <row r="821">
      <c r="A821" t="inlineStr">
        <is>
          <t>J</t>
        </is>
      </c>
      <c r="B821" t="inlineStr">
        <is>
          <t>Rascu, A; Moise, L; Naghi, E; Deleanu, OC; Arghir, OC</t>
        </is>
      </c>
      <c r="F821" t="inlineStr">
        <is>
          <t>Rascu, A.; Moise, L.; Naghi, E.; Deleanu, O. C.; Arghir, O. C.</t>
        </is>
      </c>
      <c r="J821" t="inlineStr">
        <is>
          <t>JOURNAL OF ENVIRONMENTAL PROTECTION AND ECOLOGY</t>
        </is>
      </c>
      <c r="M821" t="inlineStr">
        <is>
          <t>English</t>
        </is>
      </c>
      <c r="N821" t="inlineStr">
        <is>
          <t>Article</t>
        </is>
      </c>
      <c r="T821" t="inlineStr">
        <is>
          <t>SICK BUILDING SYNDROME - A REALITY AND A CHALENGE FOR PHYSICIANS</t>
        </is>
      </c>
      <c r="U821" t="inlineStr">
        <is>
          <t>sick building syndrome; workplace; indoor air pollution; diagnostic</t>
        </is>
      </c>
      <c r="V821" t="inlineStr">
        <is>
          <t>ENVIRONMENT; SYMPTOMS; HEALTH</t>
        </is>
      </c>
      <c r="W821" t="inlineStr">
        <is>
          <t>Sick building syndrome (SBS) is a healthy concern but a poorly understood phenomenon. Since the 1970s, researchers have tried to define what causes Sick building syndrome, but no single cause has been identified. Most experts believe that SBS consists in a mixture of different risk factors related to working stress, caused by an adverse indoor environment. Workers in the same building environment may react differently. Some may have acute different nonspecific symptoms caused by working such as headaches, dizziness, nausea, aches, pains, fatigue, poor concentration, shortness of breath or chest tightness, others may develop allergic rhinitis, skin irritation, irritation of mucous membranes. Symptoms related to the building, as a workplace, have no other identifiable cause of disease, may vary day by day and usually disappear if the working conditions are improving, or if the person leaves the building. The purpose of this case report is to present later diagnosis of SBS in a young nonsmoker male exposed to an unhealthy indoor environment. SBS is considered a real challenge for all physicians and especially for the occupational health doctors. A number of measures must be taken at workplace in order to help preventing the symptoms of this syndrome.</t>
        </is>
      </c>
      <c r="X821" t="inlineStr">
        <is>
          <t>[Rascu, A.; Moise, L.; Naghi, E.] Colentina Clin Hosp, Occupat Dept, Bucharest, Romania; [Deleanu, O. C.] Marius Nasta Pneumol Inst, 90 Viilor St, Bucharest, Romania; [Arghir, O. C.] Clin Pneumophtisiol Hosp, Constanta 900002, Romania</t>
        </is>
      </c>
      <c r="Y821" t="inlineStr">
        <is>
          <t>Marius Nasta Pneumophtisiology Institute</t>
        </is>
      </c>
      <c r="Z821" t="inlineStr">
        <is>
          <t>Deleanu, OC (corresponding author), Marius Nasta Pneumol Inst, 90 Viilor St, Bucharest, Romania.</t>
        </is>
      </c>
      <c r="AA821" t="inlineStr">
        <is>
          <t>oanadeleanu@gmail.com</t>
        </is>
      </c>
      <c r="AB821" t="inlineStr">
        <is>
          <t>Naghi, Eugenia/AAL-6784-2021; Arghir, Oana C/F-8515-2015</t>
        </is>
      </c>
      <c r="AC821" t="inlineStr">
        <is>
          <t>Arghir, Oana C/0000-0001-9844-8521</t>
        </is>
      </c>
      <c r="AH821" t="n">
        <v>17</v>
      </c>
      <c r="AI821" t="n">
        <v>3</v>
      </c>
      <c r="AJ821" t="n">
        <v>3</v>
      </c>
      <c r="AK821" t="n">
        <v>0</v>
      </c>
      <c r="AL821" t="n">
        <v>8</v>
      </c>
      <c r="AM821" t="inlineStr">
        <is>
          <t>SCIBULCOM LTD</t>
        </is>
      </c>
      <c r="AN821" t="inlineStr">
        <is>
          <t>SOFIA</t>
        </is>
      </c>
      <c r="AO821" t="inlineStr">
        <is>
          <t>PO BOX 249, 1113 SOFIA, BULGARIA</t>
        </is>
      </c>
      <c r="AP821" t="inlineStr">
        <is>
          <t>1311-5065</t>
        </is>
      </c>
      <c r="AS821" t="inlineStr">
        <is>
          <t>J ENVIRON PROT ECOL</t>
        </is>
      </c>
      <c r="AT821" t="inlineStr">
        <is>
          <t>J. Environ. Prot. Ecol.</t>
        </is>
      </c>
      <c r="AV821" t="n">
        <v>2015</v>
      </c>
      <c r="AW821" t="n">
        <v>16</v>
      </c>
      <c r="AX821" t="n">
        <v>3</v>
      </c>
      <c r="BC821" t="n">
        <v>1132</v>
      </c>
      <c r="BD821" t="n">
        <v>1141</v>
      </c>
      <c r="BJ821" t="n">
        <v>10</v>
      </c>
      <c r="BK821" t="inlineStr">
        <is>
          <t>Environmental Sciences</t>
        </is>
      </c>
      <c r="BL821" t="inlineStr">
        <is>
          <t>Science Citation Index Expanded (SCI-EXPANDED)</t>
        </is>
      </c>
      <c r="BM821" t="inlineStr">
        <is>
          <t>Environmental Sciences &amp; Ecology</t>
        </is>
      </c>
      <c r="BN821" t="inlineStr">
        <is>
          <t>CT8UJ</t>
        </is>
      </c>
      <c r="BS821" t="inlineStr">
        <is>
          <t>2023-10-26</t>
        </is>
      </c>
      <c r="BT821" t="inlineStr">
        <is>
          <t>WOS:000363091800038</t>
        </is>
      </c>
      <c r="BU821">
        <f>HYPERLINK("https%3A%2F%2Fwww.webofscience.com%2Fwos%2Fwoscc%2Ffull-record%2FWOS:000363091800038","View Full Record in Web of Science")</f>
        <v/>
      </c>
    </row>
    <row r="822">
      <c r="A822" t="inlineStr">
        <is>
          <t>J</t>
        </is>
      </c>
      <c r="B822" t="inlineStr">
        <is>
          <t>Korzycka, M; Jodkowska, M; Oblacinska, A; Fijalkowska, A</t>
        </is>
      </c>
      <c r="F822" t="inlineStr">
        <is>
          <t>Korzycka, Magdalena; Jodkowska, Maria; Oblacinska, Anna; Fijalkowska, Anna</t>
        </is>
      </c>
      <c r="J822" t="inlineStr">
        <is>
          <t>ANNALS OF AGRICULTURAL AND ENVIRONMENTAL MEDICINE</t>
        </is>
      </c>
      <c r="M822" t="inlineStr">
        <is>
          <t>English</t>
        </is>
      </c>
      <c r="N822" t="inlineStr">
        <is>
          <t>Article</t>
        </is>
      </c>
      <c r="T822" t="inlineStr">
        <is>
          <t>Nutrition and physical activity environments in primary schools in Poland - COSI study</t>
        </is>
      </c>
      <c r="U822" t="inlineStr">
        <is>
          <t>primary school; school activity environment; school physical activity environment</t>
        </is>
      </c>
      <c r="V822" t="inlineStr">
        <is>
          <t>ASSOCIATION; POLICIES; CHILDREN; WEIGHT; FOOD</t>
        </is>
      </c>
      <c r="W822" t="inlineStr">
        <is>
          <t>Introduction. Schools are important settings for the promotion of healthy diet and sufficient physical activity to prevent civilisation diseases related to lifestyle. Objective. To describe school physical activity and nutrition environment in elementary schools in Poland, and to asses differences in school physical activity and nutrition environments, depending on school location and size. Materials and method. Data was used from the World Health Organisation European Childhood Obesity Surveillance Initiative (COSI) conducted in 2016 in 135 Polish schools. Logistic regression was used to asses association between the location and individual school environment indicator. On the basis of answers to 20 questions about school physical activity and nutrition environment, a positive school environmental assessment index was compiled. Results. Large, urban schools were characterised by a significantly greater availability of sweet snacks, whereas flavoured milk with added sugar was more often available in small and rural schools. The univariate logistics analysis parameters showed that an urban-rural location had a significant association for the availability of an indoor gym and existence of a canteen and a shop. Analysing the positive schools environmental assessment index, there were no statistically significant differences in mean values due to location, but statistically significant differences were found depending on the school size, with the highest level in large schools and the lowest in small schools. Conclusions. The factor which adversely differentiates the school environment in terms of healthy nutrition and physical activity is primarily the school size, and then the school location. Systemic and social solutions should aim at reducing the small school exclusion syndrome, both in rural and in urban areas, also with regard to infrastructure and availability of conditions conducive to healthy nutrition and physical activity.</t>
        </is>
      </c>
      <c r="X822" t="inlineStr">
        <is>
          <t>[Korzycka, Magdalena; Jodkowska, Maria; Oblacinska, Anna; Fijalkowska, Anna] Inst Mother &amp; Child Hlth, Warsaw, Poland</t>
        </is>
      </c>
      <c r="Z822" t="inlineStr">
        <is>
          <t>Korzycka, M (corresponding author), Inst Mother &amp; Child Hlth, Warsaw, Poland.</t>
        </is>
      </c>
      <c r="AA822" t="inlineStr">
        <is>
          <t>magdalena.korzycka@imid.med.pl</t>
        </is>
      </c>
      <c r="AB822" t="inlineStr">
        <is>
          <t>Korzycka, Magdalena/AAG-1778-2021; Oblacinska, Anna Maria/S-2726-2018; Fijalkowska, Anna/V-3994-2018</t>
        </is>
      </c>
      <c r="AC822" t="inlineStr">
        <is>
          <t>Korzycka, Magdalena/0000-0003-2474-1703; Oblacinska, Anna Maria/0000-0001-8693-4637; Fijalkowska, Anna/0000-0002-2225-9684</t>
        </is>
      </c>
      <c r="AD822" t="inlineStr">
        <is>
          <t>[6/1/3.1.12]; [NPZ/2016/106/1401]</t>
        </is>
      </c>
      <c r="AE822" t="inlineStr">
        <is>
          <t>;</t>
        </is>
      </c>
      <c r="AF822" t="inlineStr">
        <is>
          <t>The study was financed under the National I Iealth Programme Realization of the COSI survey in 2016-2017. (Agreement No 6/1/3.1.12; NPZ/2016/106/1401).</t>
        </is>
      </c>
      <c r="AH822" t="n">
        <v>28</v>
      </c>
      <c r="AI822" t="n">
        <v>2</v>
      </c>
      <c r="AJ822" t="n">
        <v>2</v>
      </c>
      <c r="AK822" t="n">
        <v>0</v>
      </c>
      <c r="AL822" t="n">
        <v>4</v>
      </c>
      <c r="AM822" t="inlineStr">
        <is>
          <t>Inst Rural Health Lublin, Poland</t>
        </is>
      </c>
      <c r="AN822" t="inlineStr">
        <is>
          <t>LUBLIN</t>
        </is>
      </c>
      <c r="AO822" t="inlineStr">
        <is>
          <t>JACZEWSKIEGO 2, PO BOX 185, 20-950 LUBLIN, POLAND</t>
        </is>
      </c>
      <c r="AP822" t="inlineStr">
        <is>
          <t>1232-1966</t>
        </is>
      </c>
      <c r="AQ822" t="inlineStr">
        <is>
          <t>1898-2263</t>
        </is>
      </c>
      <c r="AS822" t="inlineStr">
        <is>
          <t>ANN AGR ENV MED</t>
        </is>
      </c>
      <c r="AT822" t="inlineStr">
        <is>
          <t>Ann. Agr. Env. Med.</t>
        </is>
      </c>
      <c r="AV822" t="n">
        <v>2020</v>
      </c>
      <c r="AW822" t="n">
        <v>27</v>
      </c>
      <c r="AX822" t="n">
        <v>4</v>
      </c>
      <c r="BC822" t="n">
        <v>605</v>
      </c>
      <c r="BD822" t="n">
        <v>612</v>
      </c>
      <c r="BF822" t="inlineStr">
        <is>
          <t>10.26444/aaem/114223</t>
        </is>
      </c>
      <c r="BG822">
        <f>HYPERLINK("http://dx.doi.org/10.26444/aaem/114223","http://dx.doi.org/10.26444/aaem/114223")</f>
        <v/>
      </c>
      <c r="BJ822" t="n">
        <v>8</v>
      </c>
      <c r="BK822" t="inlineStr">
        <is>
          <t>Environmental Sciences; Public, Environmental &amp; Occupational Health</t>
        </is>
      </c>
      <c r="BL822" t="inlineStr">
        <is>
          <t>Science Citation Index Expanded (SCI-EXPANDED); Social Science Citation Index (SSCI)</t>
        </is>
      </c>
      <c r="BM822" t="inlineStr">
        <is>
          <t>Environmental Sciences &amp; Ecology; Public, Environmental &amp; Occupational Health</t>
        </is>
      </c>
      <c r="BN822" t="inlineStr">
        <is>
          <t>PN7MM</t>
        </is>
      </c>
      <c r="BO822" t="n">
        <v>33356068</v>
      </c>
      <c r="BP822" t="inlineStr">
        <is>
          <t>gold</t>
        </is>
      </c>
      <c r="BS822" t="inlineStr">
        <is>
          <t>2023-10-26</t>
        </is>
      </c>
      <c r="BT822" t="inlineStr">
        <is>
          <t>WOS:000604659100017</t>
        </is>
      </c>
      <c r="BU822">
        <f>HYPERLINK("https%3A%2F%2Fwww.webofscience.com%2Fwos%2Fwoscc%2Ffull-record%2FWOS:000604659100017","View Full Record in Web of Science")</f>
        <v/>
      </c>
    </row>
    <row r="823">
      <c r="A823" t="inlineStr">
        <is>
          <t>J</t>
        </is>
      </c>
      <c r="B823" t="inlineStr">
        <is>
          <t>Tsai, WT</t>
        </is>
      </c>
      <c r="F823" t="inlineStr">
        <is>
          <t>Tsai, Wen-Tien</t>
        </is>
      </c>
      <c r="J823" t="inlineStr">
        <is>
          <t>ENVIRONMENTS</t>
        </is>
      </c>
      <c r="M823" t="inlineStr">
        <is>
          <t>English</t>
        </is>
      </c>
      <c r="N823" t="inlineStr">
        <is>
          <t>Article</t>
        </is>
      </c>
      <c r="T823" t="inlineStr">
        <is>
          <t>Overview of Green Building Material (GBM) Policies and Guidelines with Relevance to Indoor Air Quality Management in Taiwan</t>
        </is>
      </c>
      <c r="U823" t="inlineStr">
        <is>
          <t>green building material; indoor air quality; occupational exposure; volatile organic compound; source control</t>
        </is>
      </c>
      <c r="V823" t="inlineStr">
        <is>
          <t>VOLATILE ORGANIC-COMPOUNDS; SYMPTOMS; EXPOSURE; HEALTH; VOCS</t>
        </is>
      </c>
      <c r="W823" t="inlineStr">
        <is>
          <t>The objective of this paper was to offer a preliminary overview of Taiwan's success in green building material (GBM) efforts through legal systems and promotion measures, which are relevant to the contribution to indoor air quality (IAQ) due to sustainability and health issues. In the first part of the paper, the IAQ regulations are summarized to highlight the second nation (i.e., Taiwan) around the world in IAQ management by the law. In addition, the permissible exposure limits (PEL) in Taiwan for airborne hazardous substances were first promulgated in 1974 to deal with occupational health issues in the workplace environment. In the second part of the paper, the developing status of the GBM in Taiwan is analyzed to unravel its connection with the Indoor Air Quality Management Act (IAQMA), promulgated on 23 November 2011. By the end of September 2017, a total of 645 GBM labels have been conferred, covering over 5000 green products. Due to the effectiveness of source control, the healthy GBM occupies most of the market, accounting for about 75%. The IAQMA, which took force in November 2012, is expected to significantly increase the use of healthy GBM in new building construction and remodeling, especially in low formaldehyde (HCHO)/volatile organic compound (VOC)-emitting products.</t>
        </is>
      </c>
      <c r="X823" t="inlineStr">
        <is>
          <t>[Tsai, Wen-Tien] Natl Pingtung Univ Sci &amp; Technol, Grad Inst Bioresources, Pingtung 912, Taiwan</t>
        </is>
      </c>
      <c r="Y823" t="inlineStr">
        <is>
          <t>National Pingtung University Science &amp; Technology</t>
        </is>
      </c>
      <c r="Z823" t="inlineStr">
        <is>
          <t>Tsai, WT (corresponding author), Natl Pingtung Univ Sci &amp; Technol, Grad Inst Bioresources, Pingtung 912, Taiwan.</t>
        </is>
      </c>
      <c r="AA823" t="inlineStr">
        <is>
          <t>wttsai@mail.npust.edu.tw</t>
        </is>
      </c>
      <c r="AH823" t="n">
        <v>22</v>
      </c>
      <c r="AI823" t="n">
        <v>14</v>
      </c>
      <c r="AJ823" t="n">
        <v>14</v>
      </c>
      <c r="AK823" t="n">
        <v>1</v>
      </c>
      <c r="AL823" t="n">
        <v>9</v>
      </c>
      <c r="AM823" t="inlineStr">
        <is>
          <t>MDPI AG</t>
        </is>
      </c>
      <c r="AN823" t="inlineStr">
        <is>
          <t>BASEL</t>
        </is>
      </c>
      <c r="AO823" t="inlineStr">
        <is>
          <t>ST ALBAN-ANLAGE 66, CH-4052 BASEL, SWITZERLAND</t>
        </is>
      </c>
      <c r="AP823" t="inlineStr">
        <is>
          <t>2076-3298</t>
        </is>
      </c>
      <c r="AS823" t="inlineStr">
        <is>
          <t>ENVIRONMENTS</t>
        </is>
      </c>
      <c r="AT823" t="inlineStr">
        <is>
          <t>Environments</t>
        </is>
      </c>
      <c r="AU823" t="inlineStr">
        <is>
          <t>JAN</t>
        </is>
      </c>
      <c r="AV823" t="n">
        <v>2018</v>
      </c>
      <c r="AW823" t="n">
        <v>5</v>
      </c>
      <c r="AX823" t="n">
        <v>1</v>
      </c>
      <c r="BE823" t="n">
        <v>4</v>
      </c>
      <c r="BF823" t="inlineStr">
        <is>
          <t>10.3390/environments5010004</t>
        </is>
      </c>
      <c r="BG823">
        <f>HYPERLINK("http://dx.doi.org/10.3390/environments5010004","http://dx.doi.org/10.3390/environments5010004")</f>
        <v/>
      </c>
      <c r="BJ823" t="n">
        <v>10</v>
      </c>
      <c r="BK823" t="inlineStr">
        <is>
          <t>Environmental Sciences</t>
        </is>
      </c>
      <c r="BL823" t="inlineStr">
        <is>
          <t>Emerging Sources Citation Index (ESCI)</t>
        </is>
      </c>
      <c r="BM823" t="inlineStr">
        <is>
          <t>Environmental Sciences &amp; Ecology</t>
        </is>
      </c>
      <c r="BN823" t="inlineStr">
        <is>
          <t>FU8OU</t>
        </is>
      </c>
      <c r="BP823" t="inlineStr">
        <is>
          <t>gold</t>
        </is>
      </c>
      <c r="BS823" t="inlineStr">
        <is>
          <t>2023-10-26</t>
        </is>
      </c>
      <c r="BT823" t="inlineStr">
        <is>
          <t>WOS:000424113800004</t>
        </is>
      </c>
      <c r="BU823">
        <f>HYPERLINK("https%3A%2F%2Fwww.webofscience.com%2Fwos%2Fwoscc%2Ffull-record%2FWOS:000424113800004","View Full Record in Web of Science")</f>
        <v/>
      </c>
    </row>
    <row r="824">
      <c r="A824" t="inlineStr">
        <is>
          <t>J</t>
        </is>
      </c>
      <c r="B824" t="inlineStr">
        <is>
          <t>Dobarrio-Sanz, I; Ruiz-Gonzalez, C; Fernandez-Sola, C; Roman, P; Granero-Molina, J; Hernandez-Padilla, JM</t>
        </is>
      </c>
      <c r="F824" t="inlineStr">
        <is>
          <t>Dobarrio-Sanz, Iria; Ruiz-Gonzalez, Cristofer; Fernandez-Sola, Cayetano; Roman, Pablo; Granero-Molina, Jose; Hernandez-Padilla, Jose Manuel</t>
        </is>
      </c>
      <c r="J824" t="inlineStr">
        <is>
          <t>INTERNATIONAL JOURNAL OF ENVIRONMENTAL RESEARCH AND PUBLIC HEALTH</t>
        </is>
      </c>
      <c r="M824" t="inlineStr">
        <is>
          <t>English</t>
        </is>
      </c>
      <c r="N824" t="inlineStr">
        <is>
          <t>Article</t>
        </is>
      </c>
      <c r="T824" t="inlineStr">
        <is>
          <t>Healthcare Professionals' Perceptions of Loneliness amongst Older Adults: A Qualitative Study</t>
        </is>
      </c>
      <c r="U824" t="inlineStr">
        <is>
          <t>descriptive study; healthcare; loneliness; older adults; public health; qualitative study</t>
        </is>
      </c>
      <c r="V824" t="inlineStr">
        <is>
          <t>SOCIAL-ISOLATION; ENVIRONMENTAL BARRIERS; RISK-FACTORS; PEOPLE; INTERVENTIONS; MORTALITY; MOBILITY</t>
        </is>
      </c>
      <c r="W824" t="inlineStr">
        <is>
          <t>Background: Loneliness amongst older adults is linked to poor health outcomes and constitutes a public health issue worldwide. Healthcare professionals' perceptions could influence the strategies they implement in order to prevent, detect and manage loneliness amongst older adults. The aim of this study was to describe and understand healthcare professionals' perceptions of loneliness amongst older adults. Methods: A descriptive qualitative study. Twenty-six Spanish healthcare professionals with experience caring for older adults participated in the study. Data were collected between November 2019 and September 2020 using focus groups and in-depth interviews. Data were analysed following a content analysis method using ATLAS.ti software. Results: Healthcare professionals' perceptions of loneliness amongst older adults is represented by three themes: (1) when one's personal life and social context lead to loneliness ; (2) from abandonment to personal growth: the two faces of loneliness ; and (3) loneliness as a health issue that needs to be addressed . Conclusions: Healthcare professionals perceive loneliness as a multifactorial, subjective experience that can trigger different coping mechanisms and negatively affect older people's health. Healthcare professionals consider that a greater involvement of the whole society is needed in order to fight loneliness amongst older adults as a public health issue.</t>
        </is>
      </c>
      <c r="X824" t="inlineStr">
        <is>
          <t>[Dobarrio-Sanz, Iria; Fernandez-Sola, Cayetano; Roman, Pablo; Granero-Molina, Jose; Hernandez-Padilla, Jose Manuel] Univ Almeria, Dept Nursing Physiotherapy &amp; Med, Almeria 04120, Spain; [Ruiz-Gonzalez, Cristofer] Torrecardenas Univ Hosp, Obstet &amp; Gynecol Ward, Almeria 04009, Spain; [Fernandez-Sola, Cayetano; Granero-Molina, Jose] Univ Autonoma Chile, Fac Ciencias Salud, Santiago 7500000, Chile</t>
        </is>
      </c>
      <c r="Y824" t="inlineStr">
        <is>
          <t>Universidad de Almeria; Universidad Autonoma de Chile</t>
        </is>
      </c>
      <c r="Z824" t="inlineStr">
        <is>
          <t>Ruiz-Gonzalez, C (corresponding author), Torrecardenas Univ Hosp, Obstet &amp; Gynecol Ward, Almeria 04009, Spain.</t>
        </is>
      </c>
      <c r="AA824" t="inlineStr">
        <is>
          <t>cristofer4@outlook.es</t>
        </is>
      </c>
      <c r="AB824" t="inlineStr">
        <is>
          <t>GRANERO-MOLINA, JOSÉ/V-7673-2018; Fernández-Sola, Cayetano/N-2668-2014; Hernández-Padilla, Jose Manuel/ABF-6556-2020; Roman, Pablo/AAI-1567-2020; Hernandez-Padilla, Jose Manuel/V-9949-2018</t>
        </is>
      </c>
      <c r="AC824" t="inlineStr">
        <is>
          <t>GRANERO-MOLINA, JOSÉ/0000-0002-7051-2584; Fernández-Sola, Cayetano/0000-0003-1721-0947; Roman, Pablo/0000-0002-5966-0498; Hernandez-Padilla, Jose Manuel/0000-0002-5032-9440; Dobarrio-Sanz, Iria/0000-0002-4405-5412; Ruiz Gonzalez, Cristofer/0000-0001-9037-6439</t>
        </is>
      </c>
      <c r="AD824" t="inlineStr">
        <is>
          <t>Health Sciences Research Group [CTS-451]; University of Almeria (Spain)</t>
        </is>
      </c>
      <c r="AE824" t="inlineStr">
        <is>
          <t>Health Sciences Research Group; University of Almeria (Spain)</t>
        </is>
      </c>
      <c r="AF824" t="inlineStr">
        <is>
          <t>FundingThis research was funded by the Health Sciences Research Group CTS-451 from the University of Almeria (Spain).</t>
        </is>
      </c>
      <c r="AH824" t="n">
        <v>84</v>
      </c>
      <c r="AI824" t="n">
        <v>2</v>
      </c>
      <c r="AJ824" t="n">
        <v>2</v>
      </c>
      <c r="AK824" t="n">
        <v>5</v>
      </c>
      <c r="AL824" t="n">
        <v>25</v>
      </c>
      <c r="AM824" t="inlineStr">
        <is>
          <t>MDPI</t>
        </is>
      </c>
      <c r="AN824" t="inlineStr">
        <is>
          <t>BASEL</t>
        </is>
      </c>
      <c r="AO824" t="inlineStr">
        <is>
          <t>ST ALBAN-ANLAGE 66, CH-4052 BASEL, SWITZERLAND</t>
        </is>
      </c>
      <c r="AQ824" t="inlineStr">
        <is>
          <t>1660-4601</t>
        </is>
      </c>
      <c r="AS824" t="inlineStr">
        <is>
          <t>INT J ENV RES PUB HE</t>
        </is>
      </c>
      <c r="AT824" t="inlineStr">
        <is>
          <t>Int. J. Environ. Res. Public Health</t>
        </is>
      </c>
      <c r="AU824" t="inlineStr">
        <is>
          <t>NOV</t>
        </is>
      </c>
      <c r="AV824" t="n">
        <v>2021</v>
      </c>
      <c r="AW824" t="n">
        <v>18</v>
      </c>
      <c r="AX824" t="n">
        <v>22</v>
      </c>
      <c r="BE824" t="n">
        <v>12071</v>
      </c>
      <c r="BF824" t="inlineStr">
        <is>
          <t>10.3390/ijerph182212071</t>
        </is>
      </c>
      <c r="BG824">
        <f>HYPERLINK("http://dx.doi.org/10.3390/ijerph182212071","http://dx.doi.org/10.3390/ijerph182212071")</f>
        <v/>
      </c>
      <c r="BJ824" t="n">
        <v>14</v>
      </c>
      <c r="BK824" t="inlineStr">
        <is>
          <t>Environmental Sciences; Public, Environmental &amp; Occupational Health</t>
        </is>
      </c>
      <c r="BL824" t="inlineStr">
        <is>
          <t>Science Citation Index Expanded (SCI-EXPANDED); Social Science Citation Index (SSCI)</t>
        </is>
      </c>
      <c r="BM824" t="inlineStr">
        <is>
          <t>Environmental Sciences &amp; Ecology; Public, Environmental &amp; Occupational Health</t>
        </is>
      </c>
      <c r="BN824" t="inlineStr">
        <is>
          <t>XH1RR</t>
        </is>
      </c>
      <c r="BO824" t="n">
        <v>34831824</v>
      </c>
      <c r="BP824" t="inlineStr">
        <is>
          <t>Green Published, gold</t>
        </is>
      </c>
      <c r="BS824" t="inlineStr">
        <is>
          <t>2023-10-26</t>
        </is>
      </c>
      <c r="BT824" t="inlineStr">
        <is>
          <t>WOS:000725219800001</t>
        </is>
      </c>
      <c r="BU824">
        <f>HYPERLINK("https%3A%2F%2Fwww.webofscience.com%2Fwos%2Fwoscc%2Ffull-record%2FWOS:000725219800001","View Full Record in Web of Science")</f>
        <v/>
      </c>
    </row>
    <row r="825">
      <c r="A825" t="inlineStr">
        <is>
          <t>J</t>
        </is>
      </c>
      <c r="B825" t="inlineStr">
        <is>
          <t>Denizopoulou, A; Andreopoulou, Z; Martzopoulou, A; Fragos, V</t>
        </is>
      </c>
      <c r="F825" t="inlineStr">
        <is>
          <t>Denizopoulou, A.; Andreopoulou, Z.; Martzopoulou, A.; Fragos, V</t>
        </is>
      </c>
      <c r="J825" t="inlineStr">
        <is>
          <t>JOURNAL OF ENVIRONMENTAL PROTECTION AND ECOLOGY</t>
        </is>
      </c>
      <c r="M825" t="inlineStr">
        <is>
          <t>English</t>
        </is>
      </c>
      <c r="N825" t="inlineStr">
        <is>
          <t>Article</t>
        </is>
      </c>
      <c r="T825" t="inlineStr">
        <is>
          <t>SUSTAINABLE APPROACH TO ENERGY EFFICIENCY: MITIGATION OF INDOOR MICROCLIMATE AIR PARAMETERS IN A NATURALLY VENTILATED LIVESTOCK BUILDING</t>
        </is>
      </c>
      <c r="U825" t="inlineStr">
        <is>
          <t>indoor air quality; mitigation measures; livestock building; natural ventilation; open source device technology</t>
        </is>
      </c>
      <c r="V825" t="inlineStr">
        <is>
          <t>AMMONIA; EMISSIONS</t>
        </is>
      </c>
      <c r="W825" t="inlineStr">
        <is>
          <t>Indoor air pollution mitigation measures within a livestock building are crucial to farmer and bird health, livability of flock and animal productivity. Such measures are essential to minimise the accumulation of noxious gases that also affect the microclimate of the rural adjacent region. In the present study carbon dioxide and ammonia concentration, temperature and relative humidity were monitored in a naturally ventilated organic laying hen house in Northern Greece. Measurements were performed at one sampling point in the middle of the building by using open source device technology and compatible sensors for ammonia, temperature and humidity measurements and a carbon dioxide meter with a non-dispersive infrared CO2 sensor for carbon dioxide measurements during a 12-day period in spring. The main goal of this work was the evaluation of the contribution of natural ventilation in controlling indoor air quality parameters in the poultry house. Two different days were chosen one during which the side windows were closed for one hour and then re-opened and one when they remained open as usually done. Results identified the efficient function of the side openings and of the circular air vents along the ceiling of the structure indicating that the implementation of natural ventilation provides an adequate, sustainable and energy-efficient solution towards mitigating indoor air pollution.</t>
        </is>
      </c>
      <c r="X825" t="inlineStr">
        <is>
          <t>[Denizopoulou, A.; Fragos, V] Aristotle Univ Thessaloniki, Dept Hydraul Soil Sci &amp; Agr Engn, Sch Agr, Thessaloniki 54124, Greece; [Andreopoulou, Z.] Aristotle Univ Thessaloniki, Sch Forestry &amp; Nat Environm, P Box 247, Thessaloniki 54124, Greece; [Andreopoulou, Z.; Martzopoulou, A.] Aristotle Univ Thessaloniki, Sch Architecture, Urban &amp; Reg Innovat Res Unit, URENIO, Thessaloniki 54124, Greece</t>
        </is>
      </c>
      <c r="Y825" t="inlineStr">
        <is>
          <t>Aristotle University of Thessaloniki; Aristotle University of Thessaloniki; Aristotle University of Thessaloniki</t>
        </is>
      </c>
      <c r="Z825" t="inlineStr">
        <is>
          <t>Andreopoulou, Z (corresponding author), Aristotle Univ Thessaloniki, Sch Forestry &amp; Nat Environm, P Box 247, Thessaloniki 54124, Greece.</t>
        </is>
      </c>
      <c r="AA825" t="inlineStr">
        <is>
          <t>randreop@forauth.gr</t>
        </is>
      </c>
      <c r="AB825" t="inlineStr">
        <is>
          <t>Fragos, Vassilios/ABC-5843-2020; Martzopoulou, Anastasia/IVV-5466-2023</t>
        </is>
      </c>
      <c r="AH825" t="n">
        <v>13</v>
      </c>
      <c r="AI825" t="n">
        <v>1</v>
      </c>
      <c r="AJ825" t="n">
        <v>1</v>
      </c>
      <c r="AK825" t="n">
        <v>1</v>
      </c>
      <c r="AL825" t="n">
        <v>5</v>
      </c>
      <c r="AM825" t="inlineStr">
        <is>
          <t>SCIBULCOM LTD</t>
        </is>
      </c>
      <c r="AN825" t="inlineStr">
        <is>
          <t>SOFIA</t>
        </is>
      </c>
      <c r="AO825" t="inlineStr">
        <is>
          <t>PO BOX 249, 1113 SOFIA, BULGARIA</t>
        </is>
      </c>
      <c r="AP825" t="inlineStr">
        <is>
          <t>1311-5065</t>
        </is>
      </c>
      <c r="AS825" t="inlineStr">
        <is>
          <t>J ENVIRON PROT ECOL</t>
        </is>
      </c>
      <c r="AT825" t="inlineStr">
        <is>
          <t>J. Environ. Prot. Ecol.</t>
        </is>
      </c>
      <c r="AV825" t="n">
        <v>2019</v>
      </c>
      <c r="AW825" t="n">
        <v>20</v>
      </c>
      <c r="AX825" t="n">
        <v>2</v>
      </c>
      <c r="BC825" t="n">
        <v>562</v>
      </c>
      <c r="BD825" t="n">
        <v>570</v>
      </c>
      <c r="BJ825" t="n">
        <v>9</v>
      </c>
      <c r="BK825" t="inlineStr">
        <is>
          <t>Environmental Sciences</t>
        </is>
      </c>
      <c r="BL825" t="inlineStr">
        <is>
          <t>Science Citation Index Expanded (SCI-EXPANDED)</t>
        </is>
      </c>
      <c r="BM825" t="inlineStr">
        <is>
          <t>Environmental Sciences &amp; Ecology</t>
        </is>
      </c>
      <c r="BN825" t="inlineStr">
        <is>
          <t>IG0XT</t>
        </is>
      </c>
      <c r="BS825" t="inlineStr">
        <is>
          <t>2023-10-26</t>
        </is>
      </c>
      <c r="BT825" t="inlineStr">
        <is>
          <t>WOS:000473514900003</t>
        </is>
      </c>
      <c r="BU825">
        <f>HYPERLINK("https%3A%2F%2Fwww.webofscience.com%2Fwos%2Fwoscc%2Ffull-record%2FWOS:000473514900003","View Full Record in Web of Science")</f>
        <v/>
      </c>
    </row>
    <row r="826">
      <c r="A826" t="inlineStr">
        <is>
          <t>J</t>
        </is>
      </c>
      <c r="B826" t="inlineStr">
        <is>
          <t>Maestre, CR; Iribarren, VE</t>
        </is>
      </c>
      <c r="F826" t="inlineStr">
        <is>
          <t>Rizo Maestre, Carlos; Echarri Iribarren, Victor</t>
        </is>
      </c>
      <c r="J826" t="inlineStr">
        <is>
          <t>SUSTAINABILITY</t>
        </is>
      </c>
      <c r="M826" t="inlineStr">
        <is>
          <t>English</t>
        </is>
      </c>
      <c r="N826" t="inlineStr">
        <is>
          <t>Article</t>
        </is>
      </c>
      <c r="T826" t="inlineStr">
        <is>
          <t>The Importance of Checking Indoor Air Quality in Underground Historic Buildings Intended for Tourist Use</t>
        </is>
      </c>
      <c r="U826" t="inlineStr">
        <is>
          <t>healthy architecture; construction materials; environment; radon; underground building; heritage building</t>
        </is>
      </c>
      <c r="V826" t="inlineStr">
        <is>
          <t>RADON; METHODOLOGY; RADIATION</t>
        </is>
      </c>
      <c r="W826" t="inlineStr">
        <is>
          <t>This article demonstrates the importance of quantifying the air quality with radon gas level as indicator in any heritage building, especially those intended for the use of people. The tourist activity or historical guide represents a typology where people spend a certain time, that is to say, in no case do they spend the same amount of hours as in their homes or jobs. Different gases that may be present in the environment must be controlled. The Seneca Square shelter, in Alicante, is a very important place for the history of the city during the Spanish Civil War that has recently been rehabilitated for exposure to people. The source of most radon gas inside a building is the ground. Many countries, including Spain, in which the building regulations, regarding the accumulation of radon gas, do not specify in their technical codes, the maximum dose that a building can sustain so that it is not harmful to people, or, the measures required to correct excessive accumulation. The possible existence of radon is verified in any underground building, regardless of the characteristics of the soil (whether granitic or not), the importance of defining and unifying the regulations that specify the different levels of radon in any architectural constructions is evident. Most of the scientific agencies in the field of medicine and health, consider that radon gas is a very harmful element for people. This element in its gaseous state is radioactive and it is present in almost all soils in which buildings are implanted, with granitic types of soil presenting higher levels of radon gas. Non-granitic soils have traditionally been considered to have very low radon levels. However, this work, providing the results of the research carried out in the underground air raid shelter in Seneca Square in Alicante (Spain), demonstrates the relevant presence of radon in non-granitic soils. This research addresses the constructive typology of the underground building and the radon presence in its interior obtained using rigorous measurement techniques.</t>
        </is>
      </c>
      <c r="X826" t="inlineStr">
        <is>
          <t>[Rizo Maestre, Carlos; Echarri Iribarren, Victor] Univ Alicante, Dept Bldg Construct, Carretera San Vicente Raspeig S-N, San Vicente Del Raspeig 03690, Spain</t>
        </is>
      </c>
      <c r="Y826" t="inlineStr">
        <is>
          <t>Universitat d'Alacant</t>
        </is>
      </c>
      <c r="Z826" t="inlineStr">
        <is>
          <t>Maestre, CR (corresponding author), Univ Alicante, Dept Bldg Construct, Carretera San Vicente Raspeig S-N, San Vicente Del Raspeig 03690, Spain.</t>
        </is>
      </c>
      <c r="AA826" t="inlineStr">
        <is>
          <t>carlosrm@ua.es; victor.echarri@ua.es</t>
        </is>
      </c>
      <c r="AB826" t="inlineStr">
        <is>
          <t>Echarri-Iribarren, Víctor/AAA-4274-2019; Rizo-Maestre, Carlos/AAA-4142-2019; , 叶叶叶/ABE-1619-2020</t>
        </is>
      </c>
      <c r="AC826" t="inlineStr">
        <is>
          <t>Echarri-Iribarren, Víctor/0000-0002-3117-7904; Rizo-Maestre, Carlos/0000-0002-9570-9818;</t>
        </is>
      </c>
      <c r="AD826" t="inlineStr">
        <is>
          <t>University Institute of Water and Environmental Sciences of the University of Alicante</t>
        </is>
      </c>
      <c r="AE826" t="inlineStr">
        <is>
          <t>University Institute of Water and Environmental Sciences of the University of Alicante</t>
        </is>
      </c>
      <c r="AF826" t="inlineStr">
        <is>
          <t>The authors of this paper thank the University Institute of Water and Environmental Sciences of the University of Alicante for supporting this research.</t>
        </is>
      </c>
      <c r="AH826" t="n">
        <v>52</v>
      </c>
      <c r="AI826" t="n">
        <v>9</v>
      </c>
      <c r="AJ826" t="n">
        <v>9</v>
      </c>
      <c r="AK826" t="n">
        <v>0</v>
      </c>
      <c r="AL826" t="n">
        <v>1</v>
      </c>
      <c r="AM826" t="inlineStr">
        <is>
          <t>MDPI</t>
        </is>
      </c>
      <c r="AN826" t="inlineStr">
        <is>
          <t>BASEL</t>
        </is>
      </c>
      <c r="AO826" t="inlineStr">
        <is>
          <t>ST ALBAN-ANLAGE 66, CH-4052 BASEL, SWITZERLAND</t>
        </is>
      </c>
      <c r="AQ826" t="inlineStr">
        <is>
          <t>2071-1050</t>
        </is>
      </c>
      <c r="AS826" t="inlineStr">
        <is>
          <t>SUSTAINABILITY-BASEL</t>
        </is>
      </c>
      <c r="AT826" t="inlineStr">
        <is>
          <t>Sustainability</t>
        </is>
      </c>
      <c r="AU826" t="inlineStr">
        <is>
          <t>FEB 1</t>
        </is>
      </c>
      <c r="AV826" t="n">
        <v>2019</v>
      </c>
      <c r="AW826" t="n">
        <v>11</v>
      </c>
      <c r="AX826" t="n">
        <v>3</v>
      </c>
      <c r="BE826" t="n">
        <v>689</v>
      </c>
      <c r="BF826" t="inlineStr">
        <is>
          <t>10.3390/su11030689</t>
        </is>
      </c>
      <c r="BG826">
        <f>HYPERLINK("http://dx.doi.org/10.3390/su11030689","http://dx.doi.org/10.3390/su11030689")</f>
        <v/>
      </c>
      <c r="BJ826" t="n">
        <v>17</v>
      </c>
      <c r="BK826" t="inlineStr">
        <is>
          <t>Green &amp; Sustainable Science &amp; Technology; Environmental Sciences; Environmental Studies</t>
        </is>
      </c>
      <c r="BL826" t="inlineStr">
        <is>
          <t>Science Citation Index Expanded (SCI-EXPANDED); Social Science Citation Index (SSCI)</t>
        </is>
      </c>
      <c r="BM826" t="inlineStr">
        <is>
          <t>Science &amp; Technology - Other Topics; Environmental Sciences &amp; Ecology</t>
        </is>
      </c>
      <c r="BN826" t="inlineStr">
        <is>
          <t>HL7NY</t>
        </is>
      </c>
      <c r="BP826" t="inlineStr">
        <is>
          <t>Green Published, Green Submitted, gold</t>
        </is>
      </c>
      <c r="BS826" t="inlineStr">
        <is>
          <t>2023-10-26</t>
        </is>
      </c>
      <c r="BT826" t="inlineStr">
        <is>
          <t>WOS:000458929500134</t>
        </is>
      </c>
      <c r="BU826">
        <f>HYPERLINK("https%3A%2F%2Fwww.webofscience.com%2Fwos%2Fwoscc%2Ffull-record%2FWOS:000458929500134","View Full Record in Web of Science")</f>
        <v/>
      </c>
    </row>
    <row r="827">
      <c r="A827" t="inlineStr">
        <is>
          <t>J</t>
        </is>
      </c>
      <c r="B827" t="inlineStr">
        <is>
          <t>Alyami, SH; Rezgui, Y; Kwan, A</t>
        </is>
      </c>
      <c r="F827" t="inlineStr">
        <is>
          <t>Alyami, Saleh H.; Rezgui, Yacine; Kwan, Alan</t>
        </is>
      </c>
      <c r="J827" t="inlineStr">
        <is>
          <t>SUSTAINABILITY SCIENCE</t>
        </is>
      </c>
      <c r="M827" t="inlineStr">
        <is>
          <t>English</t>
        </is>
      </c>
      <c r="N827" t="inlineStr">
        <is>
          <t>Article</t>
        </is>
      </c>
      <c r="T827" t="inlineStr">
        <is>
          <t>The development of sustainable assessment method for Saudi Arabia built environment: weighting system</t>
        </is>
      </c>
      <c r="U827" t="inlineStr">
        <is>
          <t>Sustainable development; Environmental assessment method; SEAM</t>
        </is>
      </c>
      <c r="V827" t="inlineStr">
        <is>
          <t>ANALYTIC HIERARCHY PROCESS; FUTURE-DIRECTIONS; DECISION-MAKING; ENERGY; PERFORMANCE; ISSUES; GBTOOL; TOOL</t>
        </is>
      </c>
      <c r="W827" t="inlineStr">
        <is>
          <t>Our built environment is responsible for some of the most serious global and local environmental change. The construction industry, therefore, faces pressure to increase the sustainability of its practices reflected in the development of stringent regulations and environmental assessment methods, designed to mitigate such negative impacts. However, these well-known methods (e.g., BREEAM, LEED, SBTool, and CASBEE) have not originally been designed to suit developing countries (including Saudi Arabia). This paper proposes to customize an adapted weighting system that prioritizes Saudi environmental assessment method (SEAM) categories. The research methodology involves the use of analytic hierarchy process (AHP). Expert choice software was the main tool to analyze the input data. This research instrument involves the participation of a number of leading, global experts in the field of environmental and sustainable development, as well as professionals and highly informed local experts from government, academia, and industry. The results reveal that well-known environmental assessment methods are not fully applicable to the Saudi Arabia built environment, as reflected in the resulting categories, criteria and weighting system of SEAM.</t>
        </is>
      </c>
      <c r="X827" t="inlineStr">
        <is>
          <t>[Alyami, Saleh H.] Cardiff Univ, Sch Engn, Cardiff, S Glam, Wales; [Rezgui, Yacine] Cardiff Univ, BRE Inst Sustainable Engn, Sch Engn, Cardiff, S Glam, Wales; [Kwan, Alan] Cardiff Univ, Sch Engn, Architectural Civil &amp; Environm Discipline, Cardiff, S Glam, Wales</t>
        </is>
      </c>
      <c r="Y827" t="inlineStr">
        <is>
          <t>Cardiff University; Cardiff University; Cardiff University</t>
        </is>
      </c>
      <c r="Z827" t="inlineStr">
        <is>
          <t>Alyami, SH (corresponding author), Cardiff Univ, Sch Engn, Cardiff, S Glam, Wales.</t>
        </is>
      </c>
      <c r="AA827" t="inlineStr">
        <is>
          <t>dr.saleh.uk@gmail.com; RezguiY@cardiff.ac.uk; kwan@cardiff.ac.uk</t>
        </is>
      </c>
      <c r="AB827" t="inlineStr">
        <is>
          <t>Alyami, Saleh H./AAN-9453-2020; Saleh.H.Alyami, Saleh Hamel/HJA-3387-2022; Rezgui, Yacine/ABE-6712-2020; ALYAMI, SALEH YOUSEF/HIR-1282-2022</t>
        </is>
      </c>
      <c r="AC827" t="inlineStr">
        <is>
          <t>Alyami, Saleh H./0000-0003-2713-5960; Rezgui, Yacine/0000-0002-5711-8400; Kwan, Alan/0000-0003-4206-4435</t>
        </is>
      </c>
      <c r="AH827" t="n">
        <v>59</v>
      </c>
      <c r="AI827" t="n">
        <v>26</v>
      </c>
      <c r="AJ827" t="n">
        <v>26</v>
      </c>
      <c r="AK827" t="n">
        <v>1</v>
      </c>
      <c r="AL827" t="n">
        <v>25</v>
      </c>
      <c r="AM827" t="inlineStr">
        <is>
          <t>SPRINGER JAPAN KK</t>
        </is>
      </c>
      <c r="AN827" t="inlineStr">
        <is>
          <t>TOKYO</t>
        </is>
      </c>
      <c r="AO827" t="inlineStr">
        <is>
          <t>SHIROYAMA TRUST TOWER 5F, 4-3-1 TORANOMON, MINATO-KU, TOKYO, 105-6005, JAPAN</t>
        </is>
      </c>
      <c r="AP827" t="inlineStr">
        <is>
          <t>1862-4065</t>
        </is>
      </c>
      <c r="AQ827" t="inlineStr">
        <is>
          <t>1862-4057</t>
        </is>
      </c>
      <c r="AS827" t="inlineStr">
        <is>
          <t>SUSTAIN SCI</t>
        </is>
      </c>
      <c r="AT827" t="inlineStr">
        <is>
          <t>Sustain. Sci.</t>
        </is>
      </c>
      <c r="AU827" t="inlineStr">
        <is>
          <t>JAN</t>
        </is>
      </c>
      <c r="AV827" t="n">
        <v>2015</v>
      </c>
      <c r="AW827" t="n">
        <v>10</v>
      </c>
      <c r="AX827" t="n">
        <v>1</v>
      </c>
      <c r="BC827" t="n">
        <v>167</v>
      </c>
      <c r="BD827" t="n">
        <v>178</v>
      </c>
      <c r="BF827" t="inlineStr">
        <is>
          <t>10.1007/s11625-014-0252-x</t>
        </is>
      </c>
      <c r="BG827">
        <f>HYPERLINK("http://dx.doi.org/10.1007/s11625-014-0252-x","http://dx.doi.org/10.1007/s11625-014-0252-x")</f>
        <v/>
      </c>
      <c r="BJ827" t="n">
        <v>12</v>
      </c>
      <c r="BK827" t="inlineStr">
        <is>
          <t>Green &amp; Sustainable Science &amp; Technology; Environmental Sciences</t>
        </is>
      </c>
      <c r="BL827" t="inlineStr">
        <is>
          <t>Science Citation Index Expanded (SCI-EXPANDED)</t>
        </is>
      </c>
      <c r="BM827" t="inlineStr">
        <is>
          <t>Science &amp; Technology - Other Topics; Environmental Sciences &amp; Ecology</t>
        </is>
      </c>
      <c r="BN827" t="inlineStr">
        <is>
          <t>AX3UQ</t>
        </is>
      </c>
      <c r="BS827" t="inlineStr">
        <is>
          <t>2023-10-26</t>
        </is>
      </c>
      <c r="BT827" t="inlineStr">
        <is>
          <t>WOS:000346864500014</t>
        </is>
      </c>
      <c r="BU827">
        <f>HYPERLINK("https%3A%2F%2Fwww.webofscience.com%2Fwos%2Fwoscc%2Ffull-record%2FWOS:000346864500014","View Full Record in Web of Science")</f>
        <v/>
      </c>
    </row>
    <row r="828">
      <c r="A828" t="inlineStr">
        <is>
          <t>J</t>
        </is>
      </c>
      <c r="B828" t="inlineStr">
        <is>
          <t>Huang, LH; Wei, YR; Zhang, LY; Ma, Z; Zhao, WP</t>
        </is>
      </c>
      <c r="F828" t="inlineStr">
        <is>
          <t>Huang, Lihui; Wei, Yanru; Zhang, Liyuan; Ma, Zhe; Zhao, Weiping</t>
        </is>
      </c>
      <c r="J828" t="inlineStr">
        <is>
          <t>SCIENCE OF THE TOTAL ENVIRONMENT</t>
        </is>
      </c>
      <c r="M828" t="inlineStr">
        <is>
          <t>English</t>
        </is>
      </c>
      <c r="N828" t="inlineStr">
        <is>
          <t>Article</t>
        </is>
      </c>
      <c r="T828" t="inlineStr">
        <is>
          <t>Estimates of emission strengths of 43 VOCs in wintertime residential indoor environments, Beijing</t>
        </is>
      </c>
      <c r="U828" t="inlineStr">
        <is>
          <t>VOC; I/O ratio; Source emission strength; Indoor air quality</t>
        </is>
      </c>
      <c r="V828" t="inlineStr">
        <is>
          <t>VOLATILE ORGANIC-COMPOUNDS; PHASE TROPOSPHERIC CHEMISTRY; SOURCE APPORTIONMENT; HEALTH-RISKS; HOT-SPOT; URBAN; AIR; EXPOSURE; OZONE; FORMALDEHYDE</t>
        </is>
      </c>
      <c r="W828" t="inlineStr">
        <is>
          <t>There are many sources of volatile organic compounds (VOCs) in indoor environments, leading to much higher total indoor VOC concentrations than outdoor counterparts. Given the potential health hazards associated with VOC exposure, it is necessary to estimate the indoor VOC emission strengths. In this study, the indoor and outdoor concentrations of 43 VOCs were concurrently measured in 8 urban residences, Beijing. The indoor/outdoor concentration ratio was used to screen out 36 species having significant indoor sources. A one-compartment steady-state model was developed to estimate the indoor emission strengths of these VOCs, in which ventilation and reaction with ozone were included as sink routes. The order of VOCs in terms of indoor emission strength was D-limonene (a median value of 1.05 g/h), alpha-pinene (82.50 mg/h), styrene (24.12 mg/h), beta-pinene (9.70 mg/h), formaldehyde (1.97 mg/h), n-dodecane (1.82 mg/h), n-pentadecane (1.66 mg/h), n-hexadecane (1.62 mg/h), n-undecane (1.20 mg/h), acetaldehyde (1.05 mg/h) and 1, 4-dichlorobenzene (0.80 mg/h). The sum of estimates of those VOCs accounted for &gt;95% of total emission strength. Specific indoor sources of those VOCs in the tested homes were identified. Air exchange rate, indoor temperature and air humidity were found to pose significant impacts to the indoor emission strengths of VOCs. (C) 2021 Elsevier B.V. All rights reserved.</t>
        </is>
      </c>
      <c r="X828" t="inlineStr">
        <is>
          <t>[Huang, Lihui; Wei, Yanru; Zhang, Liyuan; Ma, Zhe] Changan Univ, Sch Water &amp; Environm, Dept Environm Engn, Xian 710054, Peoples R China; [Huang, Lihui; Zhang, Liyuan] Changan Univ, Sch Water &amp; Environm, Minist Educ, Key Lab Subsurface Hydrol &amp; Ecol Effects Arid Reg, Xian 710054, Peoples R China; [Huang, Lihui; Zhao, Weiping] Tsinghua Univ, Dept Bldg Sci, Inst Built Environm, Beijing 100084, Peoples R China; [Zhao, Weiping] Hefei Univ Technol, Sch Civil Engn, Hefei 230001, Anhui, Peoples R China</t>
        </is>
      </c>
      <c r="Y828" t="inlineStr">
        <is>
          <t>Chang'an University; Chang'an University; Tsinghua University; Hefei University of Technology</t>
        </is>
      </c>
      <c r="Z828" t="inlineStr">
        <is>
          <t>Huang, LH (corresponding author), Changan Univ, Sch Water &amp; Environm, Xian 710054, Peoples R China.</t>
        </is>
      </c>
      <c r="AA828" t="inlineStr">
        <is>
          <t>huanglh@chd.edu.cn</t>
        </is>
      </c>
      <c r="AD828" t="inlineStr">
        <is>
          <t>Natural Science Foundation of China [21607015]; Science &amp; Technology Support Foundation of Shaanxi Province, China [2016JQ2008, 2021JQ-277]; Fundamental Research Funds for the Central Universities [300102291201]; Key Research and Development Program of Shaanxi [2021ZDLSF05-07]</t>
        </is>
      </c>
      <c r="AE828" t="inlineStr">
        <is>
          <t>Natural Science Foundation of China(National Natural Science Foundation of China (NSFC)); Science &amp; Technology Support Foundation of Shaanxi Province, China; Fundamental Research Funds for the Central Universities(Fundamental Research Funds for the Central Universities); Key Research and Development Program of Shaanxi</t>
        </is>
      </c>
      <c r="AF828" t="inlineStr">
        <is>
          <t>We would like to thank and acknowledge the help of all of our study participants for allowing us to make the measurements in their homes. This study is supported by Natural Science Foundation of China (21607015) , Science &amp; Technology Support Foundation of Shaanxi Prov-ince, China (2016JQ2008, 2021JQ-277) , Fundamental Research Funds for the Central Universities (300102291201) , Key Research and Devel-opment Program of Shaanxi (Program No. 2021ZDLSF05-07) .</t>
        </is>
      </c>
      <c r="AH828" t="n">
        <v>63</v>
      </c>
      <c r="AI828" t="n">
        <v>22</v>
      </c>
      <c r="AJ828" t="n">
        <v>22</v>
      </c>
      <c r="AK828" t="n">
        <v>15</v>
      </c>
      <c r="AL828" t="n">
        <v>87</v>
      </c>
      <c r="AM828" t="inlineStr">
        <is>
          <t>ELSEVIER</t>
        </is>
      </c>
      <c r="AN828" t="inlineStr">
        <is>
          <t>AMSTERDAM</t>
        </is>
      </c>
      <c r="AO828" t="inlineStr">
        <is>
          <t>RADARWEG 29, 1043 NX AMSTERDAM, NETHERLANDS</t>
        </is>
      </c>
      <c r="AP828" t="inlineStr">
        <is>
          <t>0048-9697</t>
        </is>
      </c>
      <c r="AQ828" t="inlineStr">
        <is>
          <t>1879-1026</t>
        </is>
      </c>
      <c r="AS828" t="inlineStr">
        <is>
          <t>SCI TOTAL ENVIRON</t>
        </is>
      </c>
      <c r="AT828" t="inlineStr">
        <is>
          <t>Sci. Total Environ.</t>
        </is>
      </c>
      <c r="AU828" t="inlineStr">
        <is>
          <t>NOV 1</t>
        </is>
      </c>
      <c r="AV828" t="n">
        <v>2021</v>
      </c>
      <c r="AW828" t="n">
        <v>793</v>
      </c>
      <c r="BE828" t="n">
        <v>148623</v>
      </c>
      <c r="BF828" t="inlineStr">
        <is>
          <t>10.1016/j.scitotenv.2021.148623</t>
        </is>
      </c>
      <c r="BG828">
        <f>HYPERLINK("http://dx.doi.org/10.1016/j.scitotenv.2021.148623","http://dx.doi.org/10.1016/j.scitotenv.2021.148623")</f>
        <v/>
      </c>
      <c r="BI828" t="inlineStr">
        <is>
          <t>JUN 2021</t>
        </is>
      </c>
      <c r="BJ828" t="n">
        <v>10</v>
      </c>
      <c r="BK828" t="inlineStr">
        <is>
          <t>Environmental Sciences</t>
        </is>
      </c>
      <c r="BL828" t="inlineStr">
        <is>
          <t>Science Citation Index Expanded (SCI-EXPANDED)</t>
        </is>
      </c>
      <c r="BM828" t="inlineStr">
        <is>
          <t>Environmental Sciences &amp; Ecology</t>
        </is>
      </c>
      <c r="BN828" t="inlineStr">
        <is>
          <t>UK0ME</t>
        </is>
      </c>
      <c r="BO828" t="n">
        <v>34328960</v>
      </c>
      <c r="BS828" t="inlineStr">
        <is>
          <t>2023-10-26</t>
        </is>
      </c>
      <c r="BT828" t="inlineStr">
        <is>
          <t>WOS:000691668800013</t>
        </is>
      </c>
      <c r="BU828">
        <f>HYPERLINK("https%3A%2F%2Fwww.webofscience.com%2Fwos%2Fwoscc%2Ffull-record%2FWOS:000691668800013","View Full Record in Web of Science")</f>
        <v/>
      </c>
    </row>
    <row r="829">
      <c r="A829" t="inlineStr">
        <is>
          <t>J</t>
        </is>
      </c>
      <c r="B829" t="inlineStr">
        <is>
          <t>Florica, S; Burghele, BD; Bican-Brisan, N; Begy, R; Codrea, V; Cucos, A; Catalina, T; Dicu, T; Dobrei, G; Istrate, A; Lupulescu, A; Moldovan, M; Nita, D; Papp, B; Pap, I; Szacsvai, K; Tenter, A; Sferle, T; Sainz, C</t>
        </is>
      </c>
      <c r="F829" t="inlineStr">
        <is>
          <t>Florica, Stefan; Burghele, Bety-Denissa; Bican-Brisan, Nicoleta; Begy, Robert; Codrea, Vlad; Cucos, Alexandra; Catalina, Tiberiu; Dicu, Tiberius; Dobrei, Gabriel; Istrate, Andrei; Lupulescu, Alexandru; Moldovan, Mircea; Nita, Dan; Papp, Botond; Pap, Istvan; Szacsvai, Kinga; Tenter, Ancuta; Sferle, Teofana; Sainz, Carlos</t>
        </is>
      </c>
      <c r="J829" t="inlineStr">
        <is>
          <t>ENVIRONMENTAL GEOCHEMISTRY AND HEALTH</t>
        </is>
      </c>
      <c r="M829" t="inlineStr">
        <is>
          <t>English</t>
        </is>
      </c>
      <c r="N829" t="inlineStr">
        <is>
          <t>Article</t>
        </is>
      </c>
      <c r="T829" t="inlineStr">
        <is>
          <t>The path from geology to indoor radon</t>
        </is>
      </c>
      <c r="U829" t="inlineStr">
        <is>
          <t>Geology; Radon; Energy-efficient; Indoor air quality</t>
        </is>
      </c>
      <c r="V829" t="inlineStr">
        <is>
          <t>LUNG-CANCER; SOIL-GAS; RISK; PREDICTION; HAZARD; HOUSES; MAPS</t>
        </is>
      </c>
      <c r="W829" t="inlineStr">
        <is>
          <t>It is generally accepted that radon emission is strongly influenced by the geological characteristics of the bedrock. However, transport in-soil and entry paths indoors are defined by other factors such as permeability, building and architectural features, ventilation, occupation patterns, etc. The purpose of this paper is to analyze the contribution of each parameter, from natural to man-made, on the radon accumulation indoors and to assess potential patterns, based on 100 case studies in Romania. The study pointed out that the geological foundation can provide a reasonable explanation for the majority of the values recorded in both soil and indoor air. Results also showed that older houses, built with earth-based materials, are highly permeable to soil radon. Energy-efficient houses, on the other hand, have a tendency to disregard the radon potential of the geological foundation, causing a higher predisposition to radon accumulation indoors and decreasing the general indoor air quality.</t>
        </is>
      </c>
      <c r="X829" t="inlineStr">
        <is>
          <t>[Florica, Stefan; Burghele, Bety-Denissa; Bican-Brisan, Nicoleta; Begy, Robert; Cucos, Alexandra; Catalina, Tiberiu; Dicu, Tiberius; Dobrei, Gabriel; Istrate, Andrei; Lupulescu, Alexandru; Moldovan, Mircea; Nita, Dan; Papp, Botond; Pap, Istvan; Szacsvai, Kinga; Tenter, Ancuta; Sferle, Teofana; Sainz, Carlos] Babes Bolyai Univ, Fac Environm Sci &amp; Engn, Cluj Napoca, Romania; [Florica, Stefan; Codrea, Vlad] Babes Bolyai Univ, Fac Biol &amp; Geol, Dept Geol, Cluj Napoca, Romania; [Begy, Robert] Babes Bolyai Univ, Interdisciplinary Res Inst Bionanosci, Cluj Napoca, Romania; [Catalina, Tiberiu; Istrate, Andrei] Tech Univ Civil Engn Bucharest, Fac Engn Installat, Bucharest, Romania; [Sainz, Carlos] Univ Cantabria, Fac Med, Dept Med Phys, Santander, Spain</t>
        </is>
      </c>
      <c r="Y829" t="inlineStr">
        <is>
          <t>Babes Bolyai University from Cluj; Babes Bolyai University from Cluj; Babes Bolyai University from Cluj; Technical University of Civil Engineering of Bucharest (UTCB); Universidad de Cantabria</t>
        </is>
      </c>
      <c r="Z829" t="inlineStr">
        <is>
          <t>Burghele, BD (corresponding author), Babes Bolyai Univ, Fac Environm Sci &amp; Engn, Cluj Napoca, Romania.</t>
        </is>
      </c>
      <c r="AA829" t="inlineStr">
        <is>
          <t>burghele.bety@ubbcluj.ro</t>
        </is>
      </c>
      <c r="AB829" t="inlineStr">
        <is>
          <t>CATALINA, Tiberiu/C-4494-2011; Burghele, Bety-Denissa Denissa/AEN-5053-2022; Dobrei, Gabriel/HMV-8666-2023; Hening, Kinga/AAW-5348-2020; Dicu, Tiberius/AAX-8664-2020; Dicu, Tiberius/AAT-3333-2021; Nita, Dan C./N-8510-2018; Codrea, Vlad/C-2721-2011; Florica, Stefan/AAP-7192-2020; Brisan, Nicoleta-Sanda B/L-6743-2013; Lupulescu, Alexandru/AAP-7178-2020</t>
        </is>
      </c>
      <c r="AC829" t="inlineStr">
        <is>
          <t>Burghele, Bety-Denissa Denissa/0000-0003-2711-8271; Dicu, Tiberius/0000-0001-5995-1327; Nita, Dan C./0000-0002-9492-0734; Codrea, Vlad/0000-0002-5575-4139; Brisan, Nicoleta-Sanda B/0000-0003-1264-712X; Cucos (Dinu), Alexandra/0000-0001-6466-121X; Sainz Fernandez, Carlos/0000-0003-2029-4512</t>
        </is>
      </c>
      <c r="AD829" t="inlineStr">
        <is>
          <t>Smart Systems for Public Safety through Control and Mitigation of Residential Radon linked with Energy Efficiency Optimization of Buildings in Romanian Major Urban Agglomerations SMART-RAD-EN'' of the POC 2014-2020 Program [P_37_229, 22/01.09.2016]</t>
        </is>
      </c>
      <c r="AE829" t="inlineStr">
        <is>
          <t>Smart Systems for Public Safety through Control and Mitigation of Residential Radon linked with Energy Efficiency Optimization of Buildings in Romanian Major Urban Agglomerations SMART-RAD-EN'' of the POC 2014-2020 Program</t>
        </is>
      </c>
      <c r="AF829" t="inlineStr">
        <is>
          <t>The research is supported by the project ID P_37_229, Contract No. 22/01.09.2016, with the title Smart Systems for Public Safety through Control and Mitigation of Residential Radon linked with Energy Efficiency Optimization of Buildings in Romanian Major Urban Agglomerations SMART-RAD-EN'' of the POC 2014-2020 Program.</t>
        </is>
      </c>
      <c r="AH829" t="n">
        <v>59</v>
      </c>
      <c r="AI829" t="n">
        <v>16</v>
      </c>
      <c r="AJ829" t="n">
        <v>16</v>
      </c>
      <c r="AK829" t="n">
        <v>1</v>
      </c>
      <c r="AL829" t="n">
        <v>48</v>
      </c>
      <c r="AM829" t="inlineStr">
        <is>
          <t>SPRINGER</t>
        </is>
      </c>
      <c r="AN829" t="inlineStr">
        <is>
          <t>DORDRECHT</t>
        </is>
      </c>
      <c r="AO829" t="inlineStr">
        <is>
          <t>VAN GODEWIJCKSTRAAT 30, 3311 GZ DORDRECHT, NETHERLANDS</t>
        </is>
      </c>
      <c r="AP829" t="inlineStr">
        <is>
          <t>0269-4042</t>
        </is>
      </c>
      <c r="AQ829" t="inlineStr">
        <is>
          <t>1573-2983</t>
        </is>
      </c>
      <c r="AS829" t="inlineStr">
        <is>
          <t>ENVIRON GEOCHEM HLTH</t>
        </is>
      </c>
      <c r="AT829" t="inlineStr">
        <is>
          <t>Environ. Geochem. Health</t>
        </is>
      </c>
      <c r="AU829" t="inlineStr">
        <is>
          <t>SEP</t>
        </is>
      </c>
      <c r="AV829" t="n">
        <v>2020</v>
      </c>
      <c r="AW829" t="n">
        <v>42</v>
      </c>
      <c r="AX829" t="n">
        <v>9</v>
      </c>
      <c r="BC829" t="n">
        <v>2655</v>
      </c>
      <c r="BD829" t="n">
        <v>2665</v>
      </c>
      <c r="BF829" t="inlineStr">
        <is>
          <t>10.1007/s10653-019-00496-z</t>
        </is>
      </c>
      <c r="BG829">
        <f>HYPERLINK("http://dx.doi.org/10.1007/s10653-019-00496-z","http://dx.doi.org/10.1007/s10653-019-00496-z")</f>
        <v/>
      </c>
      <c r="BI829" t="inlineStr">
        <is>
          <t>JAN 2020</t>
        </is>
      </c>
      <c r="BJ829" t="n">
        <v>11</v>
      </c>
      <c r="BK829" t="inlineStr">
        <is>
          <t>Engineering, Environmental; Environmental Sciences; Public, Environmental &amp; Occupational Health; Water Resources</t>
        </is>
      </c>
      <c r="BL829" t="inlineStr">
        <is>
          <t>Science Citation Index Expanded (SCI-EXPANDED)</t>
        </is>
      </c>
      <c r="BM829" t="inlineStr">
        <is>
          <t>Engineering; Environmental Sciences &amp; Ecology; Public, Environmental &amp; Occupational Health; Water Resources</t>
        </is>
      </c>
      <c r="BN829" t="inlineStr">
        <is>
          <t>NB7XP</t>
        </is>
      </c>
      <c r="BO829" t="n">
        <v>31897872</v>
      </c>
      <c r="BS829" t="inlineStr">
        <is>
          <t>2023-10-26</t>
        </is>
      </c>
      <c r="BT829" t="inlineStr">
        <is>
          <t>WOS:000505383000003</t>
        </is>
      </c>
      <c r="BU829">
        <f>HYPERLINK("https%3A%2F%2Fwww.webofscience.com%2Fwos%2Fwoscc%2Ffull-record%2FWOS:000505383000003","View Full Record in Web of Science")</f>
        <v/>
      </c>
    </row>
    <row r="830">
      <c r="A830" t="inlineStr">
        <is>
          <t>J</t>
        </is>
      </c>
      <c r="B830" t="inlineStr">
        <is>
          <t>Zhou, YS; Liu, JY</t>
        </is>
      </c>
      <c r="F830" t="inlineStr">
        <is>
          <t>Zhou, Yishu; Liu, Jingyi</t>
        </is>
      </c>
      <c r="J830" t="inlineStr">
        <is>
          <t>SUSTAINABILITY</t>
        </is>
      </c>
      <c r="M830" t="inlineStr">
        <is>
          <t>English</t>
        </is>
      </c>
      <c r="N830" t="inlineStr">
        <is>
          <t>Article</t>
        </is>
      </c>
      <c r="T830" t="inlineStr">
        <is>
          <t>Air Pollution and Mental Health of Older Adults in China</t>
        </is>
      </c>
      <c r="U830" t="inlineStr">
        <is>
          <t>air pollution; older adults; mental health; depression</t>
        </is>
      </c>
      <c r="V830" t="inlineStr">
        <is>
          <t>LIFE SATISFACTION; ECONOMIC-GROWTH; HAPPINESS</t>
        </is>
      </c>
      <c r="W830" t="inlineStr">
        <is>
          <t>In this paper, we explore the association between air pollution and the mental health and depression of older adults in China. Along with the rapid economic development, concerns about air pollution and recognition of the importance of mental health have risen remarkably in China. Although no firm evidence of an association between air pollution and overall mental health has been found, the results show significant evidence of a positive relationship between air pollution and depression. Moreover, we observe the presence of concerns about environmental inequality, as people are more sensitive to contaminations caused by pollutants with high variation in densities across counties, such as PM2.5, PM10, and SO2. Although O-3 has a high average absolute density, the impact on mental health is low due to the limited variations nationwide. Physical fitness, gender, relative income, marital status, and social contacts are also found to be related to mental health and depression of older adults.</t>
        </is>
      </c>
      <c r="X830" t="inlineStr">
        <is>
          <t>[Zhou, Yishu] Missouri Univ Sci &amp; Technol, Dept Econ, Rolla, MO 65409 USA; [Liu, Jingyi] Univ Missouri, Trulaske Coll Business, Columbia, MO 65211 USA</t>
        </is>
      </c>
      <c r="Y830" t="inlineStr">
        <is>
          <t>University of Missouri System; Missouri University of Science &amp; Technology; University of Missouri System; University of Missouri Columbia</t>
        </is>
      </c>
      <c r="Z830" t="inlineStr">
        <is>
          <t>Zhou, YS (corresponding author), Missouri Univ Sci &amp; Technol, Dept Econ, Rolla, MO 65409 USA.</t>
        </is>
      </c>
      <c r="AA830" t="inlineStr">
        <is>
          <t>yishuz@mst.edu; jingyi.liu@mail.missouri.edu</t>
        </is>
      </c>
      <c r="AC830" t="inlineStr">
        <is>
          <t>ZHOU, Yishu/0000-0001-9473-3894</t>
        </is>
      </c>
      <c r="AH830" t="n">
        <v>27</v>
      </c>
      <c r="AI830" t="n">
        <v>8</v>
      </c>
      <c r="AJ830" t="n">
        <v>8</v>
      </c>
      <c r="AK830" t="n">
        <v>2</v>
      </c>
      <c r="AL830" t="n">
        <v>43</v>
      </c>
      <c r="AM830" t="inlineStr">
        <is>
          <t>MDPI</t>
        </is>
      </c>
      <c r="AN830" t="inlineStr">
        <is>
          <t>BASEL</t>
        </is>
      </c>
      <c r="AO830" t="inlineStr">
        <is>
          <t>ST ALBAN-ANLAGE 66, CH-4052 BASEL, SWITZERLAND</t>
        </is>
      </c>
      <c r="AQ830" t="inlineStr">
        <is>
          <t>2071-1050</t>
        </is>
      </c>
      <c r="AS830" t="inlineStr">
        <is>
          <t>SUSTAINABILITY-BASEL</t>
        </is>
      </c>
      <c r="AT830" t="inlineStr">
        <is>
          <t>Sustainability</t>
        </is>
      </c>
      <c r="AU830" t="inlineStr">
        <is>
          <t>FEB</t>
        </is>
      </c>
      <c r="AV830" t="n">
        <v>2020</v>
      </c>
      <c r="AW830" t="n">
        <v>12</v>
      </c>
      <c r="AX830" t="n">
        <v>3</v>
      </c>
      <c r="BE830" t="n">
        <v>950</v>
      </c>
      <c r="BF830" t="inlineStr">
        <is>
          <t>10.3390/su12030950</t>
        </is>
      </c>
      <c r="BG830">
        <f>HYPERLINK("http://dx.doi.org/10.3390/su12030950","http://dx.doi.org/10.3390/su12030950")</f>
        <v/>
      </c>
      <c r="BJ830" t="n">
        <v>13</v>
      </c>
      <c r="BK830" t="inlineStr">
        <is>
          <t>Green &amp; Sustainable Science &amp; Technology; Environmental Sciences; Environmental Studies</t>
        </is>
      </c>
      <c r="BL830" t="inlineStr">
        <is>
          <t>Science Citation Index Expanded (SCI-EXPANDED); Social Science Citation Index (SSCI)</t>
        </is>
      </c>
      <c r="BM830" t="inlineStr">
        <is>
          <t>Science &amp; Technology - Other Topics; Environmental Sciences &amp; Ecology</t>
        </is>
      </c>
      <c r="BN830" t="inlineStr">
        <is>
          <t>KT6PA</t>
        </is>
      </c>
      <c r="BP830" t="inlineStr">
        <is>
          <t>gold, Green Published</t>
        </is>
      </c>
      <c r="BS830" t="inlineStr">
        <is>
          <t>2023-10-26</t>
        </is>
      </c>
      <c r="BT830" t="inlineStr">
        <is>
          <t>WOS:000519135104001</t>
        </is>
      </c>
      <c r="BU830">
        <f>HYPERLINK("https%3A%2F%2Fwww.webofscience.com%2Fwos%2Fwoscc%2Ffull-record%2FWOS:000519135104001","View Full Record in Web of Science")</f>
        <v/>
      </c>
    </row>
    <row r="831">
      <c r="A831" t="inlineStr">
        <is>
          <t>J</t>
        </is>
      </c>
      <c r="B831" t="inlineStr">
        <is>
          <t>Smith, M; Mavoa, S; Ikeda, E; Hasanzadeh, K; Zhao, JF; Rinne, TE; Donnellan, N; Kyttae, M; Cui, JQ</t>
        </is>
      </c>
      <c r="F831" t="inlineStr">
        <is>
          <t>Smith, Melody; Mavoa, Suzanne; Ikeda, Erika; Hasanzadeh, Kamyar; Zhao, Jinfeng; Rinne, Tiina E.; Donnellan, Niamh; Kyttae, Marketta; Cui, Jianqiang</t>
        </is>
      </c>
      <c r="J831" t="inlineStr">
        <is>
          <t>INTERNATIONAL JOURNAL OF ENVIRONMENTAL RESEARCH AND PUBLIC HEALTH</t>
        </is>
      </c>
      <c r="M831" t="inlineStr">
        <is>
          <t>English</t>
        </is>
      </c>
      <c r="N831" t="inlineStr">
        <is>
          <t>Review</t>
        </is>
      </c>
      <c r="T831" t="inlineStr">
        <is>
          <t>Associations between Children's Physical Activity and Neighborhood Environments Using GIS: A Secondary Analysis from a Systematic Scoping Review</t>
        </is>
      </c>
      <c r="U831" t="inlineStr">
        <is>
          <t>geographic information systems; youth; active travel; walking; cycling; play; MVPA; health geography; adolescent; children's geographies</t>
        </is>
      </c>
      <c r="V831" t="inlineStr">
        <is>
          <t>NEW-ZEALAND CHILDREN; REPORT CARD GRADES; BODY-MASS INDEX; BUILT-ENVIRONMENT; SCHOOL TRAVEL; YOUTH; HEALTH; WALKABILITY; TRANSPORTATION; RELIABILITY</t>
        </is>
      </c>
      <c r="W831" t="inlineStr">
        <is>
          <t>Regular participation in physical activity is essential for children's physical, mental, and cognitive health. Neighborhood environments may be especially important for children who are more likely to spend time in the environment proximal to home. This article provides an update of evidence for associations between children's physical activity behaviors and objectively assessed environmental characteristics derived using geographical information system (GIS)-based approaches. A systematic scoping review yielded 36 relevant articles of varying study quality. Most studies were conducted in the USA. Findings highlight the need for neighborhoods that are well connected, have higher population densities, and have a variety of destinations in the proximal neighborhood to support children's physical activity behaviors. A shorter distance to school and safe traffic environments were significant factors in supporting children's active travel behaviors. Areas for improvement in the field include the consideration of neighborhood self-selection bias, including more diverse population groups, ground-truthing GIS databases, utilising data-driven approaches to derive environmental indices, and improving the temporal alignment of GIS datasets with behavioral outcomes.</t>
        </is>
      </c>
      <c r="X831" t="inlineStr">
        <is>
          <t>[Smith, Melody; Zhao, Jinfeng; Donnellan, Niamh] Univ Auckland, Sch Nursing, Auckland 1142, New Zealand; [Mavoa, Suzanne] Univ Melbourne, Melbourne Sch Populat &amp; Global Hlth, Melbourne, Vic 3053, Australia; [Ikeda, Erika] Univ Cambridge, MRC Epidemiol Unit, Cambridge CB2 0SL, England; [Hasanzadeh, Kamyar; Rinne, Tiina E.; Kyttae, Marketta] Aalto Univ, Dept Built Environm, Aalto 00076, Finland; [Cui, Jianqiang] Griffith Univ, Sch Engn &amp; Built Environm, Brisbane, Qld 4222, Australia</t>
        </is>
      </c>
      <c r="Y831" t="inlineStr">
        <is>
          <t>University of Auckland; University of Melbourne; University of Cambridge; Aalto University; Griffith University</t>
        </is>
      </c>
      <c r="Z831" t="inlineStr">
        <is>
          <t>Smith, M (corresponding author), Univ Auckland, Sch Nursing, Auckland 1142, New Zealand.</t>
        </is>
      </c>
      <c r="AA831" t="inlineStr">
        <is>
          <t>melody.smith@auckland.ac.nz; suzanne.mavoa@unimelb.edu.au; erika.ikeda@mrc-epid.cam.ac.uk; Kamyar.hasanzadeh@aalto.fi; jinfeng.zhao@auckland.ac.nz; tiina.e.rinne@aalto.fi; n.donnellan@auckland.ac.nz; Marketta.kytta@aalto.fi; jj.cui@griffith.edu.au</t>
        </is>
      </c>
      <c r="AB831" t="inlineStr">
        <is>
          <t>Sze, Andy/IAN-8022-2023; Hasanzadeh, Kamyar/J-9850-2013</t>
        </is>
      </c>
      <c r="AC831" t="inlineStr">
        <is>
          <t>Ikeda, Erika/0000-0001-6999-3918; Rinne, Tiina/0000-0001-8680-2263; ZHAO, Jinfeng/0000-0002-8458-8379; Smith (nee Oliver), Melody/0000-0002-0987-2564; Hasanzadeh, Kamyar/0000-0002-0705-7662; Donnellan, Niamh/0000-0002-9411-7642</t>
        </is>
      </c>
      <c r="AH831" t="n">
        <v>87</v>
      </c>
      <c r="AI831" t="n">
        <v>5</v>
      </c>
      <c r="AJ831" t="n">
        <v>5</v>
      </c>
      <c r="AK831" t="n">
        <v>13</v>
      </c>
      <c r="AL831" t="n">
        <v>48</v>
      </c>
      <c r="AM831" t="inlineStr">
        <is>
          <t>MDPI</t>
        </is>
      </c>
      <c r="AN831" t="inlineStr">
        <is>
          <t>BASEL</t>
        </is>
      </c>
      <c r="AO831" t="inlineStr">
        <is>
          <t>ST ALBAN-ANLAGE 66, CH-4052 BASEL, SWITZERLAND</t>
        </is>
      </c>
      <c r="AQ831" t="inlineStr">
        <is>
          <t>1660-4601</t>
        </is>
      </c>
      <c r="AS831" t="inlineStr">
        <is>
          <t>INT J ENV RES PUB HE</t>
        </is>
      </c>
      <c r="AT831" t="inlineStr">
        <is>
          <t>Int. J. Environ. Res. Public Health</t>
        </is>
      </c>
      <c r="AU831" t="inlineStr">
        <is>
          <t>FEB</t>
        </is>
      </c>
      <c r="AV831" t="n">
        <v>2022</v>
      </c>
      <c r="AW831" t="n">
        <v>19</v>
      </c>
      <c r="AX831" t="n">
        <v>3</v>
      </c>
      <c r="BE831" t="n">
        <v>1033</v>
      </c>
      <c r="BF831" t="inlineStr">
        <is>
          <t>10.3390/ijerph19031033</t>
        </is>
      </c>
      <c r="BG831">
        <f>HYPERLINK("http://dx.doi.org/10.3390/ijerph19031033","http://dx.doi.org/10.3390/ijerph19031033")</f>
        <v/>
      </c>
      <c r="BJ831" t="n">
        <v>23</v>
      </c>
      <c r="BK831" t="inlineStr">
        <is>
          <t>Environmental Sciences; Public, Environmental &amp; Occupational Health</t>
        </is>
      </c>
      <c r="BL831" t="inlineStr">
        <is>
          <t>Science Citation Index Expanded (SCI-EXPANDED); Social Science Citation Index (SSCI)</t>
        </is>
      </c>
      <c r="BM831" t="inlineStr">
        <is>
          <t>Environmental Sciences &amp; Ecology; Public, Environmental &amp; Occupational Health</t>
        </is>
      </c>
      <c r="BN831" t="inlineStr">
        <is>
          <t>ZG2FC</t>
        </is>
      </c>
      <c r="BO831" t="n">
        <v>35162057</v>
      </c>
      <c r="BP831" t="inlineStr">
        <is>
          <t>Green Published, gold</t>
        </is>
      </c>
      <c r="BS831" t="inlineStr">
        <is>
          <t>2023-10-26</t>
        </is>
      </c>
      <c r="BT831" t="inlineStr">
        <is>
          <t>WOS:000760075800001</t>
        </is>
      </c>
      <c r="BU831">
        <f>HYPERLINK("https%3A%2F%2Fwww.webofscience.com%2Fwos%2Fwoscc%2Ffull-record%2FWOS:000760075800001","View Full Record in Web of Science")</f>
        <v/>
      </c>
    </row>
    <row r="832">
      <c r="A832" t="inlineStr">
        <is>
          <t>J</t>
        </is>
      </c>
      <c r="B832" t="inlineStr">
        <is>
          <t>Lee, MJ; Kim, D; Romero, S; Hong, I; Bliznyuk, N; Velozo, C</t>
        </is>
      </c>
      <c r="F832" t="inlineStr">
        <is>
          <t>Lee, Mi Jung; Kim, Daejin; Romero, Sergio; Hong, Ickpyo; Bliznyuk, Nikolay; Velozo, Craig</t>
        </is>
      </c>
      <c r="J832" t="inlineStr">
        <is>
          <t>INTERNATIONAL JOURNAL OF ENVIRONMENTAL RESEARCH AND PUBLIC HEALTH</t>
        </is>
      </c>
      <c r="M832" t="inlineStr">
        <is>
          <t>English</t>
        </is>
      </c>
      <c r="N832" t="inlineStr">
        <is>
          <t>Article</t>
        </is>
      </c>
      <c r="T832" t="inlineStr">
        <is>
          <t>Examining Older Adults' Home Functioning Using the American Housing Survey</t>
        </is>
      </c>
      <c r="U832" t="inlineStr">
        <is>
          <t>aging in place; American housing survey; functional independence; home safety; older adults</t>
        </is>
      </c>
      <c r="V832" t="inlineStr">
        <is>
          <t>RISK-FACTORS; FALLS; HEALTH; REHABILITATION; POPULATION; HAZARDS; AGE</t>
        </is>
      </c>
      <c r="W832" t="inlineStr">
        <is>
          <t>Identifying individuals at risk of experiencing functional difficulty at home would support timely home safety assessment and modification services, which could lead to reducing home incidents such as falls. The objective of this study was to calculate older adults' functional difficulty at home scores using the 12 physical function items in the American Housing Survey National and Metropolitan Data (AHS). Among the 28,474 older adults selected for this study, we used 19,932 for measurement model development and 8542 for model testing. Confirmatory factor analysis confirmed an adequate fit of the one-dimensional model with all AHS 12 items loading on one latent construct (functional difficulty at home) (RMSEA: 0.034, CFI: 0.990, and TLI: 0.988). Based on our model selection process, we determined that the Graded Response Model was an optimal model for our analysis and separated two detected differential functioning items for each sex. Using the testing dataset, we validated that the estimated functional difficulty scores showed an expected item hierarchy and statistically significant differences in their association with housing and demographic conditions (p &lt; 0.001). Our results demonstrated the process of using the 12 AHS physical function at home items to produce validated scores of older adults' functional difficulty at home.</t>
        </is>
      </c>
      <c r="X832" t="inlineStr">
        <is>
          <t>[Lee, Mi Jung] Univ Texas Med Branch, Dept Nutr Metab &amp; Rehabil Sci, Galveston, TX 77555 USA; [Kim, Daejin] Iowa State Univ, Dept Interior Design, Ames, IA 50011 USA; [Romero, Sergio] Univ Florida, Dept Occupat Therapy, Gainesville, FL 32610 USA; [Romero, Sergio] Vet Rural Hlth Resource Ctr Gainesville, Off Rural Hlth, Gainesville, FL 32601 USA; [Hong, Ickpyo] Yonsei Univ, Dept Occupat Therapy, Wonju 26493, South Korea; [Bliznyuk, Nikolay] Univ Florida, Dept Agr &amp; Biol Engn, Gainesville, FL 32611 USA; [Velozo, Craig] Med Univ South Carolina, Div Occupat Therapy, Charleston, SC 29425 USA</t>
        </is>
      </c>
      <c r="Y832" t="inlineStr">
        <is>
          <t>University of Texas System; University of Texas Medical Branch Galveston; Iowa State University; State University System of Florida; University of Florida; Yonsei University; State University System of Florida; University of Florida; Medical University of South Carolina</t>
        </is>
      </c>
      <c r="Z832" t="inlineStr">
        <is>
          <t>Lee, MJ (corresponding author), Univ Texas Med Branch, Dept Nutr Metab &amp; Rehabil Sci, Galveston, TX 77555 USA.;Hong, I (corresponding author), Yonsei Univ, Dept Occupat Therapy, Wonju 26493, South Korea.</t>
        </is>
      </c>
      <c r="AA832" t="inlineStr">
        <is>
          <t>mlilee@utmb.edu; daejink@iastate.edu; sromero@phhp.ufl.edu; ihong@yonsei.ac.kr; nbliznyuk@ufl.edu; velozo@musc.edu</t>
        </is>
      </c>
      <c r="AC832" t="inlineStr">
        <is>
          <t>Kim, Daejin/0000-0003-4575-0908; Lee, Mi Jung/0000-0002-2753-8105; Hong, Ickpyo/0000-0001-5404-7646</t>
        </is>
      </c>
      <c r="AD832" t="inlineStr">
        <is>
          <t>American Occupational Therapy Foundation [AOTFHSR20LEE]; National Institutes of Health [K12HD059929]; Ministry of Education of the Republic of Korea; National Research Foundation of Korea [NRF-2021S1A3A2A02096338]</t>
        </is>
      </c>
      <c r="AE832" t="inlineStr">
        <is>
          <t>American Occupational Therapy Foundation; National Institutes of Health(United States Department of Health &amp; Human ServicesNational Institutes of Health (NIH) - USA); Ministry of Education of the Republic of Korea(Ministry of Education (MOE), Republic of Korea); National Research Foundation of Korea(National Research Foundation of Korea)</t>
        </is>
      </c>
      <c r="AF832" t="inlineStr">
        <is>
          <t>This research has been supported in full/part with an AOTF Health Services Research grant (AOTFHSR20LEE) funded by the American Occupational Therapy Foundation and the National Institutes of Health (grant#K12HD059929). This work was also supported by the Ministry of Education of the Republic of Korea and the National Research Foundation of Korea (NRF-2021S1A3A2A02096338). The presented results and conclusions in this paper are from the authors; the findings from this study are independent of the funding source.</t>
        </is>
      </c>
      <c r="AH832" t="n">
        <v>40</v>
      </c>
      <c r="AI832" t="n">
        <v>1</v>
      </c>
      <c r="AJ832" t="n">
        <v>1</v>
      </c>
      <c r="AK832" t="n">
        <v>0</v>
      </c>
      <c r="AL832" t="n">
        <v>4</v>
      </c>
      <c r="AM832" t="inlineStr">
        <is>
          <t>MDPI</t>
        </is>
      </c>
      <c r="AN832" t="inlineStr">
        <is>
          <t>BASEL</t>
        </is>
      </c>
      <c r="AO832" t="inlineStr">
        <is>
          <t>ST ALBAN-ANLAGE 66, CH-4052 BASEL, SWITZERLAND</t>
        </is>
      </c>
      <c r="AQ832" t="inlineStr">
        <is>
          <t>1660-4601</t>
        </is>
      </c>
      <c r="AS832" t="inlineStr">
        <is>
          <t>INT J ENV RES PUB HE</t>
        </is>
      </c>
      <c r="AT832" t="inlineStr">
        <is>
          <t>Int. J. Environ. Res. Public Health</t>
        </is>
      </c>
      <c r="AU832" t="inlineStr">
        <is>
          <t>APR</t>
        </is>
      </c>
      <c r="AV832" t="n">
        <v>2022</v>
      </c>
      <c r="AW832" t="n">
        <v>19</v>
      </c>
      <c r="AX832" t="n">
        <v>8</v>
      </c>
      <c r="BE832" t="n">
        <v>4691</v>
      </c>
      <c r="BF832" t="inlineStr">
        <is>
          <t>10.3390/ijerph19084691</t>
        </is>
      </c>
      <c r="BG832">
        <f>HYPERLINK("http://dx.doi.org/10.3390/ijerph19084691","http://dx.doi.org/10.3390/ijerph19084691")</f>
        <v/>
      </c>
      <c r="BJ832" t="n">
        <v>13</v>
      </c>
      <c r="BK832" t="inlineStr">
        <is>
          <t>Environmental Sciences; Public, Environmental &amp; Occupational Health</t>
        </is>
      </c>
      <c r="BL832" t="inlineStr">
        <is>
          <t>Science Citation Index Expanded (SCI-EXPANDED); Social Science Citation Index (SSCI)</t>
        </is>
      </c>
      <c r="BM832" t="inlineStr">
        <is>
          <t>Environmental Sciences &amp; Ecology; Public, Environmental &amp; Occupational Health</t>
        </is>
      </c>
      <c r="BN832" t="inlineStr">
        <is>
          <t>0Q6ST</t>
        </is>
      </c>
      <c r="BO832" t="n">
        <v>35457557</v>
      </c>
      <c r="BP832" t="inlineStr">
        <is>
          <t>gold, Green Published</t>
        </is>
      </c>
      <c r="BS832" t="inlineStr">
        <is>
          <t>2023-10-26</t>
        </is>
      </c>
      <c r="BT832" t="inlineStr">
        <is>
          <t>WOS:000785046600001</t>
        </is>
      </c>
      <c r="BU832">
        <f>HYPERLINK("https%3A%2F%2Fwww.webofscience.com%2Fwos%2Fwoscc%2Ffull-record%2FWOS:000785046600001","View Full Record in Web of Science")</f>
        <v/>
      </c>
    </row>
    <row r="833">
      <c r="A833" t="inlineStr">
        <is>
          <t>J</t>
        </is>
      </c>
      <c r="B833" t="inlineStr">
        <is>
          <t>Pasek, M; Szark-Eckardt, M; Wilk, B; Zuzda, J; Zukowska, H; Opanowska, M; Kuska, M; Drózdz, R; Kusmierczyk, M; Saklak, W; Kupcewicz, E</t>
        </is>
      </c>
      <c r="F833" t="inlineStr">
        <is>
          <t>Pasek, Marcin; Szark-Eckardt, Miroslawa; Wilk, Barbara; Zuzda, Jolanta; Zukowska, Hanna; Opanowska, Monika; Kuska, Michalina; Drozdz, Remigiusz; Kusmierczyk, Malgorzata; Saklak, Wojciech; Kupcewicz, Ewa</t>
        </is>
      </c>
      <c r="J833" t="inlineStr">
        <is>
          <t>INTERNATIONAL JOURNAL OF ENVIRONMENTAL RESEARCH AND PUBLIC HEALTH</t>
        </is>
      </c>
      <c r="M833" t="inlineStr">
        <is>
          <t>English</t>
        </is>
      </c>
      <c r="N833" t="inlineStr">
        <is>
          <t>Article</t>
        </is>
      </c>
      <c r="T833" t="inlineStr">
        <is>
          <t>Physical Fitness as Part of the Health and Well-Being of Students Participating in Physical Education Lessons Indoors and Outdoors</t>
        </is>
      </c>
      <c r="U833" t="inlineStr">
        <is>
          <t>physical activity (PA) physical fitness; natural environment; outdoor and indoor physical education (PE) lessons</t>
        </is>
      </c>
      <c r="V833" t="inlineStr">
        <is>
          <t>URBAN GREEN SPACE; CHILDREN; ENVIRONMENT</t>
        </is>
      </c>
      <c r="W833" t="inlineStr">
        <is>
          <t>The analysis of existing information on physical activity and fitness as elements of health and well-being reveals that they are achieved particularly effectively in contact with nature. Physical education lessons outdoors, as a form of healthy training, have been performed in numerous countries for years, providing a response to the traditional indoor model of this kind of education. The purpose of this paper is to clarify the relationship between the participation of students in outdoor and indoor lesson activities and the change in their physical fitness. 220 students participated in an experimental study. The experimental group, which did exercise usually in open spaces, included 49 boys and 54 girls. The control group, which exercised inside school, consisted of 63 boys and 54 girls. The study period lasted two years and involved the fifth and sixth form of primary school. Experimental group subjects were 11.26 years old (+/- 0.32) during the initial test, and the control group individuals were 11.28 years (+/- 0.32). During the final test, the average ages of experimental group subjects was 12.96 years (+/- 0.32), and 12.98 years (+/- 0.32) in the control group. The International Physical Activity Test was applied in the study. The differences between the levels of particular components of physical fitness were not statistically significant during the initial measurement (p-values ranged from p = 0.340 to p = 0.884). After two years of outdoor physical education lessons, there was revealed a considerable increase in the speed, jumping ability, and aerobic endurance of the students. Statistically significant differences were observed in these three tests, including running speed (p = 0.001), legs power (p = 0.001), and endurance (p = 0.000). The findings encourage one to continue pedagogical experiments regarding physical activity in outdoor natural environments.</t>
        </is>
      </c>
      <c r="X833" t="inlineStr">
        <is>
          <t>[Pasek, Marcin; Opanowska, Monika; Drozdz, Remigiusz; Saklak, Wojciech] Gdansk Univ Phys Educ &amp; Sport, Fac Phys Culture, PL-80336 Gdansk, Poland; [Szark-Eckardt, Miroslawa; Zukowska, Hanna; Kuska, Michalina] Kazimierz Wielki Univ Bydgoszcz, Inst Phys Educ, PL-85064 Bydgoszcz, Poland; [Wilk, Barbara; Kusmierczyk, Malgorzata] Jozef Rusiecki Univ Coll, Fac Publ Hlth, PL-11041 Olsztyn, Poland; [Zuzda, Jolanta] Bialystok Tech Univ, Fac Management, PL-16001 Kleosin, Poland; [Kusmierczyk, Malgorzata; Kupcewicz, Ewa] Univ Warmia &amp; Mazury, Fac Hlth Sci, Coll Med, PL-10719 Olsztyn, Poland</t>
        </is>
      </c>
      <c r="Y833" t="inlineStr">
        <is>
          <t>Gdansk University of Physical Education &amp; Sport; Kazimierz Wielki University; University of Warmia &amp; Mazury</t>
        </is>
      </c>
      <c r="Z833" t="inlineStr">
        <is>
          <t>Pasek, M (corresponding author), Gdansk Univ Phys Educ &amp; Sport, Fac Phys Culture, PL-80336 Gdansk, Poland.</t>
        </is>
      </c>
      <c r="AA833" t="inlineStr">
        <is>
          <t>marcin.pasek@awfis.gda.pl; szark@ukw.edu.pl; barbarawilk.awf@wp.pl; fitness2004@wp.pl; zukowska@ukw.edu.pl; monkao84@wp.pl; michalinakuska@ukw.edu.pl; remik.pit@gmail.com; malgorzatakusmierczyk@op.pl; wojciech.saklak@awfis.gda.pl; ekupcewicz@wp.pl</t>
        </is>
      </c>
      <c r="AB833" t="inlineStr">
        <is>
          <t>Zuzda, Jolanta Grazyna/AAP-8030-2020; ZUKOWSKA, HANNA/E-6187-2015</t>
        </is>
      </c>
      <c r="AC833" t="inlineStr">
        <is>
          <t>Zuzda, Jolanta Grazyna/0000-0001-7303-7531; Kuska, Michalina/0000-0003-3534-2142; ZUKOWSKA, HANNA/0000-0001-6688-9314; Drozdz, Remigiusz/0000-0003-0282-7442; Kupcewicz, Ewa/0000-0002-0641-3979; Opanowska, Monika/0000-0002-6839-5753; Pasek, Marcin/0000-0001-6872-1697; Saklak, Wojciech/0000-0002-8892-4958</t>
        </is>
      </c>
      <c r="AH833" t="n">
        <v>60</v>
      </c>
      <c r="AI833" t="n">
        <v>6</v>
      </c>
      <c r="AJ833" t="n">
        <v>6</v>
      </c>
      <c r="AK833" t="n">
        <v>3</v>
      </c>
      <c r="AL833" t="n">
        <v>24</v>
      </c>
      <c r="AM833" t="inlineStr">
        <is>
          <t>MDPI</t>
        </is>
      </c>
      <c r="AN833" t="inlineStr">
        <is>
          <t>BASEL</t>
        </is>
      </c>
      <c r="AO833" t="inlineStr">
        <is>
          <t>ST ALBAN-ANLAGE 66, CH-4052 BASEL, SWITZERLAND</t>
        </is>
      </c>
      <c r="AQ833" t="inlineStr">
        <is>
          <t>1660-4601</t>
        </is>
      </c>
      <c r="AS833" t="inlineStr">
        <is>
          <t>INT J ENV RES PUB HE</t>
        </is>
      </c>
      <c r="AT833" t="inlineStr">
        <is>
          <t>Int. J. Environ. Res. Public Health</t>
        </is>
      </c>
      <c r="AU833" t="inlineStr">
        <is>
          <t>JAN</t>
        </is>
      </c>
      <c r="AV833" t="n">
        <v>2020</v>
      </c>
      <c r="AW833" t="n">
        <v>17</v>
      </c>
      <c r="AX833" t="n">
        <v>1</v>
      </c>
      <c r="BE833" t="n">
        <v>309</v>
      </c>
      <c r="BF833" t="inlineStr">
        <is>
          <t>10.3390/ijerph17010309</t>
        </is>
      </c>
      <c r="BG833">
        <f>HYPERLINK("http://dx.doi.org/10.3390/ijerph17010309","http://dx.doi.org/10.3390/ijerph17010309")</f>
        <v/>
      </c>
      <c r="BJ833" t="n">
        <v>14</v>
      </c>
      <c r="BK833" t="inlineStr">
        <is>
          <t>Environmental Sciences; Public, Environmental &amp; Occupational Health</t>
        </is>
      </c>
      <c r="BL833" t="inlineStr">
        <is>
          <t>Science Citation Index Expanded (SCI-EXPANDED); Social Science Citation Index (SSCI)</t>
        </is>
      </c>
      <c r="BM833" t="inlineStr">
        <is>
          <t>Environmental Sciences &amp; Ecology; Public, Environmental &amp; Occupational Health</t>
        </is>
      </c>
      <c r="BN833" t="inlineStr">
        <is>
          <t>KF7AG</t>
        </is>
      </c>
      <c r="BO833" t="n">
        <v>31906407</v>
      </c>
      <c r="BP833" t="inlineStr">
        <is>
          <t>Green Published, gold</t>
        </is>
      </c>
      <c r="BS833" t="inlineStr">
        <is>
          <t>2023-10-26</t>
        </is>
      </c>
      <c r="BT833" t="inlineStr">
        <is>
          <t>WOS:000509391500309</t>
        </is>
      </c>
      <c r="BU833">
        <f>HYPERLINK("https%3A%2F%2Fwww.webofscience.com%2Fwos%2Fwoscc%2Ffull-record%2FWOS:000509391500309","View Full Record in Web of Science")</f>
        <v/>
      </c>
    </row>
    <row r="834">
      <c r="A834" t="inlineStr">
        <is>
          <t>J</t>
        </is>
      </c>
      <c r="B834" t="inlineStr">
        <is>
          <t>Han, J; Kang, HJ; Kwon, GH</t>
        </is>
      </c>
      <c r="F834" t="inlineStr">
        <is>
          <t>Han, Jieun; Kang, Hyo-Jin; Kwon, Gyu Hyun</t>
        </is>
      </c>
      <c r="J834" t="inlineStr">
        <is>
          <t>INTERNATIONAL JOURNAL OF ENVIRONMENTAL RESEARCH AND PUBLIC HEALTH</t>
        </is>
      </c>
      <c r="M834" t="inlineStr">
        <is>
          <t>English</t>
        </is>
      </c>
      <c r="N834" t="inlineStr">
        <is>
          <t>Review</t>
        </is>
      </c>
      <c r="T834" t="inlineStr">
        <is>
          <t>A Systematic Underpinning and Framing of the Servicescape: Reflections on Future Challenges in Healthcare Services</t>
        </is>
      </c>
      <c r="U834" t="inlineStr">
        <is>
          <t>servicescape; healthscape; physical environment; built environment; healthcare service; service evaluation; systematic literature review</t>
        </is>
      </c>
      <c r="V834" t="inlineStr">
        <is>
          <t>PHYSICAL-ENVIRONMENT; CUSTOMER SATISFACTION; BEHAVIORAL INTENTIONS; QUALITY; CONSUMERS; LOYALTY; DESIGN; CUES</t>
        </is>
      </c>
      <c r="W834" t="inlineStr">
        <is>
          <t>Ever since Bitner defined the term servicescape as the physical environment in which the service is assembled, several scholars have attempted to better understand the impact of the built environment in the context of different service settings. While servicescape is a topic of increasing academic interest among scholars and practitioners, most studies in the area are dedicated to understanding the built environment of hedonic service. More studies are needed to examine utilitarian servicescape and in this paper, we have focused on the healthcare environment. This study aims to identify the gap in servicescape and healthscape studies by providing a theoretical structure of the current servicescape literature and comprehend the academic differences between hedonic servicescape and utilitarian healthscape studies. After reviewing 44 selected papers based on rigorous criteria, we: (1) framed the servicescape factors; (2) analyzed the servicescape literature from the perspectives of terminologies, research fields, methodologies, and frameworks; and (3) identified the current paths of healthscape research. Through this work, we highlight the significance of adopting different dimensions and factors to evaluate the distinguished service environment by the servicescape type and propose several research agendas for future studies on healthscapes. The research findings can contribute to a deep understanding of healthscapes and can introduce a new viewpoint for interpreting the servicescape in diversified service settings.</t>
        </is>
      </c>
      <c r="X834" t="inlineStr">
        <is>
          <t>[Han, Jieun; Kang, Hyo-Jin; Kwon, Gyu Hyun] Hanyang Univ, Grad Sch Technol &amp; Innovat Management, Seoul 04763, South Korea</t>
        </is>
      </c>
      <c r="Y834" t="inlineStr">
        <is>
          <t>Hanyang University</t>
        </is>
      </c>
      <c r="Z834" t="inlineStr">
        <is>
          <t>Kwon, GH (corresponding author), Hanyang Univ, Grad Sch Technol &amp; Innovat Management, Seoul 04763, South Korea.</t>
        </is>
      </c>
      <c r="AA834" t="inlineStr">
        <is>
          <t>juliahanje@hanyang.ac.kr; hyojin.sara.kang@gmail.com; ghkwon@hanyang.ac.kr</t>
        </is>
      </c>
      <c r="AB834" t="inlineStr">
        <is>
          <t>han, jieun/ABI-5061-2020; Kang, Hyo-Jin/ABE-4807-2021; Kang, Hyo-Jin/AAA-9534-2020</t>
        </is>
      </c>
      <c r="AC834" t="inlineStr">
        <is>
          <t>Kang, Hyo-Jin/0000-0001-5266-5379; Kang, Hyo-Jin/0000-0001-5266-5379; Han, jieun/0000-0001-5712-9145; Kwon, Gyu Hyun/0000-0003-1623-4867</t>
        </is>
      </c>
      <c r="AD834" t="inlineStr">
        <is>
          <t>Hanyang University (HY)</t>
        </is>
      </c>
      <c r="AE834" t="inlineStr">
        <is>
          <t>Hanyang University (HY)</t>
        </is>
      </c>
      <c r="AF834" t="inlineStr">
        <is>
          <t>This work was supported by the research fund of the Hanyang University (HY-2015).</t>
        </is>
      </c>
      <c r="AH834" t="n">
        <v>61</v>
      </c>
      <c r="AI834" t="n">
        <v>14</v>
      </c>
      <c r="AJ834" t="n">
        <v>14</v>
      </c>
      <c r="AK834" t="n">
        <v>2</v>
      </c>
      <c r="AL834" t="n">
        <v>19</v>
      </c>
      <c r="AM834" t="inlineStr">
        <is>
          <t>MDPI</t>
        </is>
      </c>
      <c r="AN834" t="inlineStr">
        <is>
          <t>BASEL</t>
        </is>
      </c>
      <c r="AO834" t="inlineStr">
        <is>
          <t>ST ALBAN-ANLAGE 66, CH-4052 BASEL, SWITZERLAND</t>
        </is>
      </c>
      <c r="AQ834" t="inlineStr">
        <is>
          <t>1660-4601</t>
        </is>
      </c>
      <c r="AS834" t="inlineStr">
        <is>
          <t>INT J ENV RES PUB HE</t>
        </is>
      </c>
      <c r="AT834" t="inlineStr">
        <is>
          <t>Int. J. Environ. Res. Public Health</t>
        </is>
      </c>
      <c r="AU834" t="inlineStr">
        <is>
          <t>MAR</t>
        </is>
      </c>
      <c r="AV834" t="n">
        <v>2018</v>
      </c>
      <c r="AW834" t="n">
        <v>15</v>
      </c>
      <c r="AX834" t="n">
        <v>3</v>
      </c>
      <c r="BE834" t="n">
        <v>509</v>
      </c>
      <c r="BF834" t="inlineStr">
        <is>
          <t>10.3390/ijerph15030509</t>
        </is>
      </c>
      <c r="BG834">
        <f>HYPERLINK("http://dx.doi.org/10.3390/ijerph15030509","http://dx.doi.org/10.3390/ijerph15030509")</f>
        <v/>
      </c>
      <c r="BJ834" t="n">
        <v>24</v>
      </c>
      <c r="BK834" t="inlineStr">
        <is>
          <t>Environmental Sciences; Public, Environmental &amp; Occupational Health</t>
        </is>
      </c>
      <c r="BL834" t="inlineStr">
        <is>
          <t>Science Citation Index Expanded (SCI-EXPANDED); Social Science Citation Index (SSCI)</t>
        </is>
      </c>
      <c r="BM834" t="inlineStr">
        <is>
          <t>Environmental Sciences &amp; Ecology; Public, Environmental &amp; Occupational Health</t>
        </is>
      </c>
      <c r="BN834" t="inlineStr">
        <is>
          <t>GA7II</t>
        </is>
      </c>
      <c r="BO834" t="n">
        <v>29534035</v>
      </c>
      <c r="BP834" t="inlineStr">
        <is>
          <t>Green Published, Green Submitted, gold</t>
        </is>
      </c>
      <c r="BS834" t="inlineStr">
        <is>
          <t>2023-10-26</t>
        </is>
      </c>
      <c r="BT834" t="inlineStr">
        <is>
          <t>WOS:000428509200116</t>
        </is>
      </c>
      <c r="BU834">
        <f>HYPERLINK("https%3A%2F%2Fwww.webofscience.com%2Fwos%2Fwoscc%2Ffull-record%2FWOS:000428509200116","View Full Record in Web of Science")</f>
        <v/>
      </c>
    </row>
    <row r="835">
      <c r="A835" t="inlineStr">
        <is>
          <t>J</t>
        </is>
      </c>
      <c r="B835" t="inlineStr">
        <is>
          <t>de Zwart, F; Brunekreef, B; Timmermans, E; Deeg, D; Gehring, U</t>
        </is>
      </c>
      <c r="F835" t="inlineStr">
        <is>
          <t>de Zwart, Femke; Brunekreef, Bert; Timmermans, Erik; Deeg, Dorly; Gehring, Ulrike</t>
        </is>
      </c>
      <c r="J835" t="inlineStr">
        <is>
          <t>ENVIRONMENTAL HEALTH PERSPECTIVES</t>
        </is>
      </c>
      <c r="M835" t="inlineStr">
        <is>
          <t>English</t>
        </is>
      </c>
      <c r="N835" t="inlineStr">
        <is>
          <t>Article</t>
        </is>
      </c>
      <c r="T835" t="inlineStr">
        <is>
          <t>Air Pollution and Performance-Based Physical Functioning in Dutch Older Adults</t>
        </is>
      </c>
      <c r="V835" t="inlineStr">
        <is>
          <t>LOWER-EXTREMITY FUNCTION; USE REGRESSION-MODELS; PM2.5 ABSORBENCY; CHRONIC DISEASES; DISABILITY; POPULATION; EXPOSURE; AREAS; NO2; DETERMINANTS</t>
        </is>
      </c>
      <c r="W835" t="inlineStr">
        <is>
          <t>BACKGROUND: Functional limitations are a major cause for needing care and institutionalization among older adults. Exposure to air pollution has been suggested to be associated with increased functional limitations in older people. OBJECTIVE: Our objective was to assess the association between air pollution and physical functioning in Dutch older adults. METHODS: We analyzed data on performance-based (walking speed, ability to rise from a chair, putting on and taking off a cardigan, balance test) and self-reported physical functioning for 1,762 participants of the Longitudinal Aging Study Amsterdam, who participated in measurement cycles performed in 2005/2006, 2008/2009, and 2011/2012. Annual average outdoor air pollution concentrations [nitrogen dioxide (NO2), nitrogen oxides (NO,), particulate matter with diameters &lt;= 2.5 mu m (PM2.5), &lt;= 10 mu m (PM10), and 2.5-10 mu m (PMcoarse), and PM2.5 absorbance] at the home address at the start of the first measurement cycle were estimated using land-use regression models. Analyses were performed using mixed models with random participant intercepts adjusting for potential confounders. RESULTS: Exposure to most air pollutants was associated with reduced performance-based physical functioning; for example, an interquardle range increase in NO2 exposure was associated with a 0.22 (95% confidence interval: 0.03, 0.42) lower performance test score in fully adjusted models, equivalent to the difference in performance score between participants who differed by 9 mo in age. Exposure to air pollution was generally not statistically significantly associated with self-reported functional limitations, and not associated with a faster decline in performance-based physical functioning over the study period. CONCLUSION: This study suggests that exposure to air pollution may adversely affect physical performance of older adults in the Netherlands.</t>
        </is>
      </c>
      <c r="X835" t="inlineStr">
        <is>
          <t>[de Zwart, Femke] Communal Hlth Serv Prov Utrecht, Dept Environm Hlth, Zeist, Netherlands; [Brunekreef, Bert; Gehring, Ulrike] Univ Utrecht, Inst Risk Assessment Sci, POB 80178, NL-3508 TD Utrecht, Netherlands; [Brunekreef, Bert] Univ Med Ctr Utrecht, Julius Ctr Hlth Sci &amp; Primary Care, Utrecht, Netherlands; [Timmermans, Erik; Deeg, Dorly] Vrije Univ Amsterdam, Med Ctr, Amsterdam Publ Hlth Res Inst, Dept Epidemiol &amp; Biostat, Amsterdam, Netherlands; [Timmermans, Erik] Univ Amsterdam, Acad Med Ctr, Amsterdam, Netherlands; [Timmermans, Erik] Amsterdam Publ Hlth Res Inst, Dept Publ Hlth, Amsterdam, Netherlands</t>
        </is>
      </c>
      <c r="Y835" t="inlineStr">
        <is>
          <t>Utrecht University; Utrecht University; Utrecht University Medical Center; Vrije Universiteit Amsterdam; University of Amsterdam; Academic Medical Center Amsterdam; Vrije Universiteit Amsterdam</t>
        </is>
      </c>
      <c r="Z835" t="inlineStr">
        <is>
          <t>Gehring, U (corresponding author), Univ Utrecht, Inst Risk Assessment Sci, POB 80178, NL-3508 TD Utrecht, Netherlands.</t>
        </is>
      </c>
      <c r="AA835" t="inlineStr">
        <is>
          <t>u.gehring@uu.nl</t>
        </is>
      </c>
      <c r="AC835" t="inlineStr">
        <is>
          <t>Gehring, Ulrike/0000-0003-3612-5780</t>
        </is>
      </c>
      <c r="AD835" t="inlineStr">
        <is>
          <t>Netherlands Ministry of Health Welfare and Sports, Directorate of Long-Term Care</t>
        </is>
      </c>
      <c r="AE835" t="inlineStr">
        <is>
          <t>Netherlands Ministry of Health Welfare and Sports, Directorate of Long-Term Care</t>
        </is>
      </c>
      <c r="AF835" t="inlineStr">
        <is>
          <t>The Longitudinal Aging Study Amsterdam is largely supported by a grant from the Netherlands Ministry of Health Welfare and Sports, Directorate of Long-Term Care.</t>
        </is>
      </c>
      <c r="AH835" t="n">
        <v>47</v>
      </c>
      <c r="AI835" t="n">
        <v>23</v>
      </c>
      <c r="AJ835" t="n">
        <v>23</v>
      </c>
      <c r="AK835" t="n">
        <v>1</v>
      </c>
      <c r="AL835" t="n">
        <v>12</v>
      </c>
      <c r="AM835" t="inlineStr">
        <is>
          <t>US DEPT HEALTH HUMAN SCIENCES PUBLIC HEALTH SCIENCE</t>
        </is>
      </c>
      <c r="AN835" t="inlineStr">
        <is>
          <t>RES TRIANGLE PK</t>
        </is>
      </c>
      <c r="AO835" t="inlineStr">
        <is>
          <t>NATL INST HEALTH, NATL INST ENVIRONMENTAL HEALTH SCIENCES, PO BOX 12233, RES TRIANGLE PK, NC 27709-2233 USA</t>
        </is>
      </c>
      <c r="AP835" t="inlineStr">
        <is>
          <t>0091-6765</t>
        </is>
      </c>
      <c r="AQ835" t="inlineStr">
        <is>
          <t>1552-9924</t>
        </is>
      </c>
      <c r="AS835" t="inlineStr">
        <is>
          <t>ENVIRON HEALTH PERSP</t>
        </is>
      </c>
      <c r="AT835" t="inlineStr">
        <is>
          <t>Environ. Health Perspect.</t>
        </is>
      </c>
      <c r="AU835" t="inlineStr">
        <is>
          <t>JAN</t>
        </is>
      </c>
      <c r="AV835" t="n">
        <v>2018</v>
      </c>
      <c r="AW835" t="n">
        <v>126</v>
      </c>
      <c r="AX835" t="n">
        <v>1</v>
      </c>
      <c r="BE835" t="n">
        <v>17009</v>
      </c>
      <c r="BF835" t="inlineStr">
        <is>
          <t>10.1289/EHP2239</t>
        </is>
      </c>
      <c r="BG835">
        <f>HYPERLINK("http://dx.doi.org/10.1289/EHP2239","http://dx.doi.org/10.1289/EHP2239")</f>
        <v/>
      </c>
      <c r="BJ835" t="n">
        <v>9</v>
      </c>
      <c r="BK835" t="inlineStr">
        <is>
          <t>Environmental Sciences; Public, Environmental &amp; Occupational Health; Toxicology</t>
        </is>
      </c>
      <c r="BL835" t="inlineStr">
        <is>
          <t>Science Citation Index Expanded (SCI-EXPANDED); Social Science Citation Index (SSCI)</t>
        </is>
      </c>
      <c r="BM835" t="inlineStr">
        <is>
          <t>Environmental Sciences &amp; Ecology; Public, Environmental &amp; Occupational Health; Toxicology</t>
        </is>
      </c>
      <c r="BN835" t="inlineStr">
        <is>
          <t>FU9YC</t>
        </is>
      </c>
      <c r="BO835" t="n">
        <v>29364820</v>
      </c>
      <c r="BP835" t="inlineStr">
        <is>
          <t>Green Published, Green Submitted, gold</t>
        </is>
      </c>
      <c r="BS835" t="inlineStr">
        <is>
          <t>2023-10-26</t>
        </is>
      </c>
      <c r="BT835" t="inlineStr">
        <is>
          <t>WOS:000424212100015</t>
        </is>
      </c>
      <c r="BU835">
        <f>HYPERLINK("https%3A%2F%2Fwww.webofscience.com%2Fwos%2Fwoscc%2Ffull-record%2FWOS:000424212100015","View Full Record in Web of Science")</f>
        <v/>
      </c>
    </row>
    <row r="836">
      <c r="A836" t="inlineStr">
        <is>
          <t>J</t>
        </is>
      </c>
      <c r="B836" t="inlineStr">
        <is>
          <t>Kotlarczyk, MP; Hergenroeder, AL; Gibbs, BB; Cameron, FD; Hamm, ME; Brach, JS</t>
        </is>
      </c>
      <c r="F836" t="inlineStr">
        <is>
          <t>Kotlarczyk, Mary P.; Hergenroeder, Andrea L.; Gibbs, Bethany Barone; Cameron, Flor de Abril; Hamm, Megan E.; Brach, Jennifer S.</t>
        </is>
      </c>
      <c r="J836" t="inlineStr">
        <is>
          <t>INTERNATIONAL JOURNAL OF ENVIRONMENTAL RESEARCH AND PUBLIC HEALTH</t>
        </is>
      </c>
      <c r="M836" t="inlineStr">
        <is>
          <t>English</t>
        </is>
      </c>
      <c r="N836" t="inlineStr">
        <is>
          <t>Article</t>
        </is>
      </c>
      <c r="T836" t="inlineStr">
        <is>
          <t>Personal and Environmental Contributors to Sedentary Behavior of Older Adults in Independent and Assisted Living Facilities</t>
        </is>
      </c>
      <c r="U836" t="inlineStr">
        <is>
          <t>sedentary behavior; older adults; residential care; focus groups; thematic analysis; qualitative research</t>
        </is>
      </c>
      <c r="V836" t="inlineStr">
        <is>
          <t>PHYSICAL-ACTIVITY; HEALTH; BARRIERS; DETERMINANTS; ASSOCIATION; INTERVIEWS; MORTALITY; WOMEN; TIME</t>
        </is>
      </c>
      <c r="W836" t="inlineStr">
        <is>
          <t>Sedentary behavior is associated with negative health outcomes and unhealthy aging. Older adults are the most sedentary age group, and decreasing sitting time represents an intervention target for improving health. Determinants of sedentary behavior have been examined in older adults living in their own homes, yet less is known about sedentary behavior of older adults in residential care facilities. The purpose of this study was to explore factors contributing to sedentary behavior among residents of independent and assisted living facilities. We conducted eight focus groups with residents (n= 44) and semi-structured interviews with staff (n= 6) across four living facilities. Audio recordings were transcribed and analyzed using an iterative, inductive approach. Three salient themes were identified. Residents and staff both viewed sedentary behavior negatively unless it was in the context of social engagement. Additionally, fear of falling was discussed as a significant contributor to sedentary behavior. Finally, residents felt the community living environment contributed to their sedentary behavior while staff did not. Our findings provide valuable insight for designing targeted interventions for older adults in residential facilities and suggest thinking beyond the individual and considering environmental influences on sedentary behavior in the residential care setting.</t>
        </is>
      </c>
      <c r="X836" t="inlineStr">
        <is>
          <t>[Kotlarczyk, Mary P.] Univ Pittsburgh, Dept Med, Div Geriatr Med, Pittsburgh, PA 15260 USA; [Hergenroeder, Andrea L.; Brach, Jennifer S.] Univ Pittsburgh, Dept Phys Therapy, Pittsburgh, PA 15260 USA; [Gibbs, Bethany Barone] Univ Pittsburgh, Dept Hlth &amp; Human Dev, Pittsburgh, PA 15260 USA; [Cameron, Flor de Abril; Hamm, Megan E.] Univ Pittsburgh, Dept Med, Div Gen Internal Med, Pittsburgh, PA 15260 USA</t>
        </is>
      </c>
      <c r="Y836" t="inlineStr">
        <is>
          <t>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t>
        </is>
      </c>
      <c r="Z836" t="inlineStr">
        <is>
          <t>Kotlarczyk, MP (corresponding author), Univ Pittsburgh, Dept Med, Div Geriatr Med, Pittsburgh, PA 15260 USA.</t>
        </is>
      </c>
      <c r="AA836" t="inlineStr">
        <is>
          <t>mpk38@pitt.edu; alocke@pitt.edu; bbarone@pitt.edu; flg9@pitt.edu; mehst52@pitt.edu; jbrach@pitt.edu</t>
        </is>
      </c>
      <c r="AB836" t="inlineStr">
        <is>
          <t>Cameron, Flor de Abril/HRC-1459-2023; Brach, Jennifer S/A-6912-2009</t>
        </is>
      </c>
      <c r="AC836" t="inlineStr">
        <is>
          <t>Cameron, Flor de Abril/0000-0002-4079-4744; Brach, Jennifer S/0000-0002-7793-2004; Hergenroeder, Andrea/0000-0002-6415-6747</t>
        </is>
      </c>
      <c r="AD836" t="inlineStr">
        <is>
          <t>National Institutes of Health, National Institute on Aging [K24AG057728, T32AG021885, P30AG024827]</t>
        </is>
      </c>
      <c r="AE836" t="inlineStr">
        <is>
          <t>National Institutes of Health, National Institute on Aging(United States Department of Health &amp; Human ServicesNational Institutes of Health (NIH) - USANIH National Institute on Aging (NIA))</t>
        </is>
      </c>
      <c r="AF836" t="inlineStr">
        <is>
          <t>This research was funded by the National Institutes of Health, National Institute on Aging grant numbers K24AG057728, T32AG021885, and P30AG024827.</t>
        </is>
      </c>
      <c r="AH836" t="n">
        <v>40</v>
      </c>
      <c r="AI836" t="n">
        <v>7</v>
      </c>
      <c r="AJ836" t="n">
        <v>7</v>
      </c>
      <c r="AK836" t="n">
        <v>1</v>
      </c>
      <c r="AL836" t="n">
        <v>9</v>
      </c>
      <c r="AM836" t="inlineStr">
        <is>
          <t>MDPI</t>
        </is>
      </c>
      <c r="AN836" t="inlineStr">
        <is>
          <t>BASEL</t>
        </is>
      </c>
      <c r="AO836" t="inlineStr">
        <is>
          <t>ST ALBAN-ANLAGE 66, CH-4052 BASEL, SWITZERLAND</t>
        </is>
      </c>
      <c r="AQ836" t="inlineStr">
        <is>
          <t>1660-4601</t>
        </is>
      </c>
      <c r="AS836" t="inlineStr">
        <is>
          <t>INT J ENV RES PUB HE</t>
        </is>
      </c>
      <c r="AT836" t="inlineStr">
        <is>
          <t>Int. J. Environ. Res. Public Health</t>
        </is>
      </c>
      <c r="AU836" t="inlineStr">
        <is>
          <t>SEP</t>
        </is>
      </c>
      <c r="AV836" t="n">
        <v>2020</v>
      </c>
      <c r="AW836" t="n">
        <v>17</v>
      </c>
      <c r="AX836" t="n">
        <v>17</v>
      </c>
      <c r="BE836" t="n">
        <v>6415</v>
      </c>
      <c r="BF836" t="inlineStr">
        <is>
          <t>10.3390/ijerph17176415</t>
        </is>
      </c>
      <c r="BG836">
        <f>HYPERLINK("http://dx.doi.org/10.3390/ijerph17176415","http://dx.doi.org/10.3390/ijerph17176415")</f>
        <v/>
      </c>
      <c r="BJ836" t="n">
        <v>14</v>
      </c>
      <c r="BK836" t="inlineStr">
        <is>
          <t>Environmental Sciences; Public, Environmental &amp; Occupational Health</t>
        </is>
      </c>
      <c r="BL836" t="inlineStr">
        <is>
          <t>Science Citation Index Expanded (SCI-EXPANDED); Social Science Citation Index (SSCI)</t>
        </is>
      </c>
      <c r="BM836" t="inlineStr">
        <is>
          <t>Environmental Sciences &amp; Ecology; Public, Environmental &amp; Occupational Health</t>
        </is>
      </c>
      <c r="BN836" t="inlineStr">
        <is>
          <t>NP4CY</t>
        </is>
      </c>
      <c r="BO836" t="n">
        <v>32899196</v>
      </c>
      <c r="BP836" t="inlineStr">
        <is>
          <t>Green Accepted, gold, Green Published</t>
        </is>
      </c>
      <c r="BS836" t="inlineStr">
        <is>
          <t>2023-10-26</t>
        </is>
      </c>
      <c r="BT836" t="inlineStr">
        <is>
          <t>WOS:000570126300001</t>
        </is>
      </c>
      <c r="BU836">
        <f>HYPERLINK("https%3A%2F%2Fwww.webofscience.com%2Fwos%2Fwoscc%2Ffull-record%2FWOS:000570126300001","View Full Record in Web of Science")</f>
        <v/>
      </c>
    </row>
    <row r="837">
      <c r="A837" t="inlineStr">
        <is>
          <t>J</t>
        </is>
      </c>
      <c r="B837" t="inlineStr">
        <is>
          <t>Laurini, E; De Vita, M; De Berardinis, P; Friedman, A</t>
        </is>
      </c>
      <c r="F837" t="inlineStr">
        <is>
          <t>Laurini, Eleonora; De Vita, Mariangela; De Berardinis, Pierluigi; Friedman, Avi</t>
        </is>
      </c>
      <c r="J837" t="inlineStr">
        <is>
          <t>SUSTAINABILITY</t>
        </is>
      </c>
      <c r="M837" t="inlineStr">
        <is>
          <t>English</t>
        </is>
      </c>
      <c r="N837" t="inlineStr">
        <is>
          <t>Article</t>
        </is>
      </c>
      <c r="T837" t="inlineStr">
        <is>
          <t>Passive Ventilation for Indoor Comfort: A Comparison of Results from Monitoring and Simulation for a Historical Building in a Temperate Climate</t>
        </is>
      </c>
      <c r="U837" t="inlineStr">
        <is>
          <t>ventilation; thermal comfort indoor; dynamic simulation; sensors system network</t>
        </is>
      </c>
      <c r="V837" t="inlineStr">
        <is>
          <t>SOLAR CHIMNEY</t>
        </is>
      </c>
      <c r="W837" t="inlineStr">
        <is>
          <t>When environmental sustainability is a key feature of an intervention on a building, the design must guarantee minimal impact and damage to the environment. The last ten years have seen a steady increase in the installation of highly efficient systems for winter heating, but this trend has not been mirrored for summer cooling systems. Passive ventilation, however, is a means of summer air conditioning with a low financial and environmental impact. Natural ventilation methods such as wind towers have been used to achieve adequate levels of internal comfort in buildings. However, the application of these systems in old town centres, where buildings are often of great architectural value, is complex. This study started with the analysis of various ventilation chimneys in order to identify the most suitable system for temperate climes. Ventilation systems were then designed using static analysis of ventilation with specific software, and installed. The results were assessed and monitored using climatic sensors over the summer period, in order to establish the period of maximum functionality to optimize the system's performance.</t>
        </is>
      </c>
      <c r="X837" t="inlineStr">
        <is>
          <t>[Laurini, Eleonora; De Berardinis, Pierluigi] Univ Aquila, Dept Civil Construct Architectural &amp; Environm Eng, I-67100 Laquila, Italy; [De Vita, Mariangela] CNR, Construct Technol Inst, I-67100 Laquila, Italy; [Friedman, Avi] McGill Univ, Sch Architecture, Montreal, PQ H3A 0C2, Canada</t>
        </is>
      </c>
      <c r="Y837" t="inlineStr">
        <is>
          <t>University of L'Aquila; Consiglio Nazionale delle Ricerche (CNR); McGill University</t>
        </is>
      </c>
      <c r="Z837" t="inlineStr">
        <is>
          <t>Laurini, E (corresponding author), Univ Aquila, Dept Civil Construct Architectural &amp; Environm Eng, I-67100 Laquila, Italy.</t>
        </is>
      </c>
      <c r="AA837" t="inlineStr">
        <is>
          <t>elelaurini@yahoo.it; mariangela.devita@itc.cnr.it; pierluigi.deberardinis@univaq.it; avi.friedman@mcgill.ca</t>
        </is>
      </c>
      <c r="AB837" t="inlineStr">
        <is>
          <t>De Vita, Mariangela/AAJ-5945-2021</t>
        </is>
      </c>
      <c r="AC837" t="inlineStr">
        <is>
          <t>DEVITA, MARIANGELA/0000-0002-9384-5031</t>
        </is>
      </c>
      <c r="AH837" t="n">
        <v>27</v>
      </c>
      <c r="AI837" t="n">
        <v>4</v>
      </c>
      <c r="AJ837" t="n">
        <v>4</v>
      </c>
      <c r="AK837" t="n">
        <v>0</v>
      </c>
      <c r="AL837" t="n">
        <v>5</v>
      </c>
      <c r="AM837" t="inlineStr">
        <is>
          <t>MDPI</t>
        </is>
      </c>
      <c r="AN837" t="inlineStr">
        <is>
          <t>BASEL</t>
        </is>
      </c>
      <c r="AO837" t="inlineStr">
        <is>
          <t>ST ALBAN-ANLAGE 66, CH-4052 BASEL, SWITZERLAND</t>
        </is>
      </c>
      <c r="AQ837" t="inlineStr">
        <is>
          <t>2071-1050</t>
        </is>
      </c>
      <c r="AS837" t="inlineStr">
        <is>
          <t>SUSTAINABILITY-BASEL</t>
        </is>
      </c>
      <c r="AT837" t="inlineStr">
        <is>
          <t>Sustainability</t>
        </is>
      </c>
      <c r="AU837" t="inlineStr">
        <is>
          <t>MAY</t>
        </is>
      </c>
      <c r="AV837" t="n">
        <v>2018</v>
      </c>
      <c r="AW837" t="n">
        <v>10</v>
      </c>
      <c r="AX837" t="n">
        <v>5</v>
      </c>
      <c r="BE837" t="n">
        <v>1565</v>
      </c>
      <c r="BF837" t="inlineStr">
        <is>
          <t>10.3390/su10051565</t>
        </is>
      </c>
      <c r="BG837">
        <f>HYPERLINK("http://dx.doi.org/10.3390/su10051565","http://dx.doi.org/10.3390/su10051565")</f>
        <v/>
      </c>
      <c r="BJ837" t="n">
        <v>20</v>
      </c>
      <c r="BK837" t="inlineStr">
        <is>
          <t>Green &amp; Sustainable Science &amp; Technology; Environmental Sciences; Environmental Studies</t>
        </is>
      </c>
      <c r="BL837" t="inlineStr">
        <is>
          <t>Science Citation Index Expanded (SCI-EXPANDED); Social Science Citation Index (SSCI)</t>
        </is>
      </c>
      <c r="BM837" t="inlineStr">
        <is>
          <t>Science &amp; Technology - Other Topics; Environmental Sciences &amp; Ecology</t>
        </is>
      </c>
      <c r="BN837" t="inlineStr">
        <is>
          <t>GJ7RP</t>
        </is>
      </c>
      <c r="BP837" t="inlineStr">
        <is>
          <t>Green Submitted, gold</t>
        </is>
      </c>
      <c r="BS837" t="inlineStr">
        <is>
          <t>2023-10-26</t>
        </is>
      </c>
      <c r="BT837" t="inlineStr">
        <is>
          <t>WOS:000435587100261</t>
        </is>
      </c>
      <c r="BU837">
        <f>HYPERLINK("https%3A%2F%2Fwww.webofscience.com%2Fwos%2Fwoscc%2Ffull-record%2FWOS:000435587100261","View Full Record in Web of Science")</f>
        <v/>
      </c>
    </row>
    <row r="838">
      <c r="A838" t="inlineStr">
        <is>
          <t>J</t>
        </is>
      </c>
      <c r="B838" t="inlineStr">
        <is>
          <t>Lee, S; Lee, MH</t>
        </is>
      </c>
      <c r="F838" t="inlineStr">
        <is>
          <t>Lee, Somin; Lee, Myeong-Hun</t>
        </is>
      </c>
      <c r="J838" t="inlineStr">
        <is>
          <t>INTERNATIONAL JOURNAL OF ENVIRONMENTAL RESEARCH AND PUBLIC HEALTH</t>
        </is>
      </c>
      <c r="M838" t="inlineStr">
        <is>
          <t>English</t>
        </is>
      </c>
      <c r="N838" t="inlineStr">
        <is>
          <t>Article</t>
        </is>
      </c>
      <c r="T838" t="inlineStr">
        <is>
          <t>Impact of Neighborhood Environment on Pedestrian Route Selection among Elementary Schoolchildren in Korea</t>
        </is>
      </c>
      <c r="U838" t="inlineStr">
        <is>
          <t>neighborhood environment; impact factors; elementary school students; schoolchildren behavior; pedestrian route choice</t>
        </is>
      </c>
      <c r="V838" t="inlineStr">
        <is>
          <t>URBAN FORM; BUILT ENVIRONMENT; TRAVEL BEHAVIOR; SCHOOL TRIPS; ATTRIBUTES; DISTANCE; QUALITY; WALKING; DESIGN; CHOICE</t>
        </is>
      </c>
      <c r="W838" t="inlineStr">
        <is>
          <t>Previous studies on the walking environment of elementary school students have focused on physical factors such as traffic accidents, safety, and the neighborhood environment. However, scholars have yet to consider the behavioral characteristics of elementary school students, particularly in respect to the relationship between environmental factors and behavioral characteristics in pedestrian route selection and safety. Addressing this gap, this study identifies how neighborhood environment factors and behavioral characteristics impact route selection and satisfaction among elementary school students. Accordingly, this study surveyed 251 elementary school students at three elementary schools in Korea and analyzed the spatial forms of the selected sites. In doing so, this study discerns students' satisfaction with their selection of the shortest or non-shortest route and which environmental factors and behavioral characteristics influenced their selection and satisfaction. Study results have practical implications for policymaking, including valuable insights into the planning of school routes for elementary school students.</t>
        </is>
      </c>
      <c r="X838" t="inlineStr">
        <is>
          <t>[Lee, Somin] Hanyang Univ, Dept Urban &amp; Reg Dev, Seoul 04763, South Korea; [Lee, Myeong-Hun] Hanyang Univ, Dept Urban Planning &amp; Engn, Seoul 04763, South Korea</t>
        </is>
      </c>
      <c r="Y838" t="inlineStr">
        <is>
          <t>Hanyang University; Hanyang University</t>
        </is>
      </c>
      <c r="Z838" t="inlineStr">
        <is>
          <t>Lee, MH (corresponding author), Hanyang Univ, Dept Urban Planning &amp; Engn, Seoul 04763, South Korea.</t>
        </is>
      </c>
      <c r="AA838" t="inlineStr">
        <is>
          <t>somin0626@naver.com; mhlee99@hanyang.ac.kr</t>
        </is>
      </c>
      <c r="AC838" t="inlineStr">
        <is>
          <t>somin, Lee/0000-0001-8111-3629</t>
        </is>
      </c>
      <c r="AH838" t="n">
        <v>47</v>
      </c>
      <c r="AI838" t="n">
        <v>4</v>
      </c>
      <c r="AJ838" t="n">
        <v>4</v>
      </c>
      <c r="AK838" t="n">
        <v>0</v>
      </c>
      <c r="AL838" t="n">
        <v>3</v>
      </c>
      <c r="AM838" t="inlineStr">
        <is>
          <t>MDPI</t>
        </is>
      </c>
      <c r="AN838" t="inlineStr">
        <is>
          <t>BASEL</t>
        </is>
      </c>
      <c r="AO838" t="inlineStr">
        <is>
          <t>ST ALBAN-ANLAGE 66, CH-4052 BASEL, SWITZERLAND</t>
        </is>
      </c>
      <c r="AQ838" t="inlineStr">
        <is>
          <t>1660-4601</t>
        </is>
      </c>
      <c r="AS838" t="inlineStr">
        <is>
          <t>INT J ENV RES PUB HE</t>
        </is>
      </c>
      <c r="AT838" t="inlineStr">
        <is>
          <t>Int. J. Environ. Res. Public Health</t>
        </is>
      </c>
      <c r="AU838" t="inlineStr">
        <is>
          <t>JUL</t>
        </is>
      </c>
      <c r="AV838" t="n">
        <v>2021</v>
      </c>
      <c r="AW838" t="n">
        <v>18</v>
      </c>
      <c r="AX838" t="n">
        <v>13</v>
      </c>
      <c r="BE838" t="n">
        <v>7049</v>
      </c>
      <c r="BF838" t="inlineStr">
        <is>
          <t>10.3390/ijerph18137049</t>
        </is>
      </c>
      <c r="BG838">
        <f>HYPERLINK("http://dx.doi.org/10.3390/ijerph18137049","http://dx.doi.org/10.3390/ijerph18137049")</f>
        <v/>
      </c>
      <c r="BJ838" t="n">
        <v>15</v>
      </c>
      <c r="BK838" t="inlineStr">
        <is>
          <t>Environmental Sciences; Public, Environmental &amp; Occupational Health</t>
        </is>
      </c>
      <c r="BL838" t="inlineStr">
        <is>
          <t>Science Citation Index Expanded (SCI-EXPANDED); Social Science Citation Index (SSCI)</t>
        </is>
      </c>
      <c r="BM838" t="inlineStr">
        <is>
          <t>Environmental Sciences &amp; Ecology; Public, Environmental &amp; Occupational Health</t>
        </is>
      </c>
      <c r="BN838" t="inlineStr">
        <is>
          <t>TH3QM</t>
        </is>
      </c>
      <c r="BO838" t="n">
        <v>34280990</v>
      </c>
      <c r="BP838" t="inlineStr">
        <is>
          <t>gold, Green Published</t>
        </is>
      </c>
      <c r="BS838" t="inlineStr">
        <is>
          <t>2023-10-26</t>
        </is>
      </c>
      <c r="BT838" t="inlineStr">
        <is>
          <t>WOS:000672008000001</t>
        </is>
      </c>
      <c r="BU838">
        <f>HYPERLINK("https%3A%2F%2Fwww.webofscience.com%2Fwos%2Fwoscc%2Ffull-record%2FWOS:000672008000001","View Full Record in Web of Science")</f>
        <v/>
      </c>
    </row>
    <row r="839">
      <c r="A839" t="inlineStr">
        <is>
          <t>J</t>
        </is>
      </c>
      <c r="B839" t="inlineStr">
        <is>
          <t>Stotz, A; Rapp, K; Oksa, J; Skelton, DA; Beyer, N; Klenk, J; Becker, C; Lindemann, U</t>
        </is>
      </c>
      <c r="F839" t="inlineStr">
        <is>
          <t>Stotz, Anja; Rapp, Kilian; Oksa, Juha; Skelton, Dawn A.; Beyer, Nina; Klenk, Jochen; Becker, Clemens; Lindemann, Ulrich</t>
        </is>
      </c>
      <c r="J839" t="inlineStr">
        <is>
          <t>INTERNATIONAL JOURNAL OF ENVIRONMENTAL RESEARCH AND PUBLIC HEALTH</t>
        </is>
      </c>
      <c r="M839" t="inlineStr">
        <is>
          <t>English</t>
        </is>
      </c>
      <c r="N839" t="inlineStr">
        <is>
          <t>Article</t>
        </is>
      </c>
      <c r="T839" t="inlineStr">
        <is>
          <t>Effect of a Brief Heat Exposure on Blood Pressure and Physical Performance of Older Women Living in the Community-A Pilot-Study</t>
        </is>
      </c>
      <c r="U839" t="inlineStr">
        <is>
          <t>aerobic capacity; blood pressure; heat; older women</t>
        </is>
      </c>
      <c r="V839" t="inlineStr">
        <is>
          <t>TEMPERATURE; TOLERANCE; MORTALITY; EXERCISE; CAPACITY; ADULTS</t>
        </is>
      </c>
      <c r="W839" t="inlineStr">
        <is>
          <t>Global climate change is affecting health and mortality, particularly in vulnerable populations. High ambient temperatures decrease blood pressure (BP) in young and middle aged adults and may lead to orthostatic hypotension, increasing the risk of falls in older adults. The aim of this study was to evaluate the feasibility of a test protocol to investigate BP response and aerobic capacity of older adults in a hot indoor environment. BP response and aerobic capacity were assessed in 26 community-dwelling older women (median age 75.5 years) at a room temperature of either 20 degrees C or 30 degrees C. The protocol was well tolerated by all participants. In the 30 degrees C condition systolic and diastolic BP (median difference 10 and 8 mmHg, respectively) and distance walked in 6 min (median difference 29.3 m) were lower than in the 20 degrees C condition (all p &lt; 0.01). Systolic BP decreased after standing up from a lying position in the 30 degrees C (17.4 mmHg) and 20 degrees C (14.2 mmHg) condition (both p &lt; 0.001). In conclusion, the protocol is feasible in this cohort and should be repeated in older adults with poor physical performance and impaired cardio-vascular response mechanisms. Furthermore, aerobic capacity was reduced after exposure to hot environmental temperatures, which should be considered when recommending exercise to older people during the summer months.</t>
        </is>
      </c>
      <c r="X839" t="inlineStr">
        <is>
          <t>[Stotz, Anja; Rapp, Kilian; Klenk, Jochen; Becker, Clemens; Lindemann, Ulrich] Robert Bosch Krankenhaus, Dept Clin Gerontol &amp; Rehabil, D-70376 Stuttgart, Germany; [Oksa, Juha] Finnish Inst Occupat Hlth, Phys Work Capac Team, Oulu 90220, Finland; [Skelton, Dawn A.] Glasgow Caledonian Univ, Inst Appl Hlth Res, Glasgow G4 0BA, Lanark, Scotland; [Beyer, Nina] Univ Copenhagen, Musculoskeletal Rehabil Res Unit, Bispebjerg Hosp, DK-2400 Copenhagen NV, Denmark; [Beyer, Nina] Univ Copenhagen, Musculoskeletal Rehabil Res Unit, Frederiksberg Hosp, DK-2400 Copenhagen NV, Denmark; [Klenk, Jochen] Univ Ulm, Inst Epidemiol, D-89081 Ulm, Germany</t>
        </is>
      </c>
      <c r="Y839" t="inlineStr">
        <is>
          <t>Bosch; Robert Bosch Krankenhaus; Finnish Institute of Occupational Health; Glasgow Caledonian University; University of Copenhagen; Bispebjerg Hospital; University of Copenhagen; Ulm University</t>
        </is>
      </c>
      <c r="Z839" t="inlineStr">
        <is>
          <t>Lindemann, U (corresponding author), Robert Bosch Krankenhaus, Dept Clin Gerontol &amp; Rehabil, D-70376 Stuttgart, Germany.</t>
        </is>
      </c>
      <c r="AA839" t="inlineStr">
        <is>
          <t>anja.stotz@gmx.de; kilian.rapp@rbk.de; juha.oksa@ttl.fi; dawn.skelton@gcu.ac.uk; ninabeyer.privat@gmail.com; jochen.klenk@rbk.de; clemens.becker@rbk.de; ulrich.lindemann@rbk.de</t>
        </is>
      </c>
      <c r="AB839" t="inlineStr">
        <is>
          <t>Skelton, Dawn/B-7552-2013; Fazli, Ghazal/AAE-8320-2022; Klenk, Jochen/C-2164-2012; Rapp, Kilian/AAJ-3370-2020; Klenk, Jochen/R-3614-2019; Becker, Clemens/ABI-5405-2020</t>
        </is>
      </c>
      <c r="AC839" t="inlineStr">
        <is>
          <t>Skelton, Dawn/0000-0001-6223-9840; Rapp, Kilian/0000-0003-1625-2571; Klenk, Jochen/0000-0002-5987-447X; Jacob-Filho, Wilson/0000-0003-2290-4492</t>
        </is>
      </c>
      <c r="AD839" t="inlineStr">
        <is>
          <t>Robert Bosch Foundation; Robert-Bosch-Hospital [KKF-13-6]; Fritz and Hildegard Berg-Foundation [T133/23924/2013]</t>
        </is>
      </c>
      <c r="AE839" t="inlineStr">
        <is>
          <t>Robert Bosch Foundation; Robert-Bosch-Hospital; Fritz and Hildegard Berg-Foundation</t>
        </is>
      </c>
      <c r="AF839" t="inlineStr">
        <is>
          <t>The study was supported by the Robert Bosch Foundation and the Robert-Bosch-Hospital (KKF-13-6). Anja Stotz was supported by the Fritz and Hildegard Berg-Foundation (T133/23924/2013). The sponsors did not have any role in the design, methods, subject recruitment, data collections, analysis and preparation of the manuscript.</t>
        </is>
      </c>
      <c r="AH839" t="n">
        <v>26</v>
      </c>
      <c r="AI839" t="n">
        <v>17</v>
      </c>
      <c r="AJ839" t="n">
        <v>17</v>
      </c>
      <c r="AK839" t="n">
        <v>0</v>
      </c>
      <c r="AL839" t="n">
        <v>13</v>
      </c>
      <c r="AM839" t="inlineStr">
        <is>
          <t>MDPI</t>
        </is>
      </c>
      <c r="AN839" t="inlineStr">
        <is>
          <t>BASEL</t>
        </is>
      </c>
      <c r="AO839" t="inlineStr">
        <is>
          <t>ST ALBAN-ANLAGE 66, CH-4052 BASEL, SWITZERLAND</t>
        </is>
      </c>
      <c r="AP839" t="inlineStr">
        <is>
          <t>1660-4601</t>
        </is>
      </c>
      <c r="AS839" t="inlineStr">
        <is>
          <t>INT J ENV RES PUB HE</t>
        </is>
      </c>
      <c r="AT839" t="inlineStr">
        <is>
          <t>Int. J. Environ. Res. Public Health</t>
        </is>
      </c>
      <c r="AU839" t="inlineStr">
        <is>
          <t>DEC</t>
        </is>
      </c>
      <c r="AV839" t="n">
        <v>2014</v>
      </c>
      <c r="AW839" t="n">
        <v>11</v>
      </c>
      <c r="AX839" t="n">
        <v>12</v>
      </c>
      <c r="BC839" t="n">
        <v>12623</v>
      </c>
      <c r="BD839" t="n">
        <v>12631</v>
      </c>
      <c r="BF839" t="inlineStr">
        <is>
          <t>10.3390/ijerph111212623</t>
        </is>
      </c>
      <c r="BG839">
        <f>HYPERLINK("http://dx.doi.org/10.3390/ijerph111212623","http://dx.doi.org/10.3390/ijerph111212623")</f>
        <v/>
      </c>
      <c r="BJ839" t="n">
        <v>9</v>
      </c>
      <c r="BK839" t="inlineStr">
        <is>
          <t>Environmental Sciences; Public, Environmental &amp; Occupational Health</t>
        </is>
      </c>
      <c r="BL839" t="inlineStr">
        <is>
          <t>Science Citation Index Expanded (SCI-EXPANDED)</t>
        </is>
      </c>
      <c r="BM839" t="inlineStr">
        <is>
          <t>Environmental Sciences &amp; Ecology; Public, Environmental &amp; Occupational Health</t>
        </is>
      </c>
      <c r="BN839" t="inlineStr">
        <is>
          <t>AX2TJ</t>
        </is>
      </c>
      <c r="BO839" t="n">
        <v>25489997</v>
      </c>
      <c r="BP839" t="inlineStr">
        <is>
          <t>Green Published, Green Submitted, gold</t>
        </is>
      </c>
      <c r="BS839" t="inlineStr">
        <is>
          <t>2023-10-26</t>
        </is>
      </c>
      <c r="BT839" t="inlineStr">
        <is>
          <t>WOS:000346797100035</t>
        </is>
      </c>
      <c r="BU839">
        <f>HYPERLINK("https%3A%2F%2Fwww.webofscience.com%2Fwos%2Fwoscc%2Ffull-record%2FWOS:000346797100035","View Full Record in Web of Science")</f>
        <v/>
      </c>
    </row>
    <row r="840">
      <c r="A840" t="inlineStr">
        <is>
          <t>J</t>
        </is>
      </c>
      <c r="B840" t="inlineStr">
        <is>
          <t>Liu, SJ; Xie, YX; Zhu, YX; Lin, BR; Cao, B; Wong, NH; Niu, JL; Fang, ZS; Lai, DY; Liu, WW; Wen, JX; Mou, D; Tang, H; Liu, ZR; Ignatius, M</t>
        </is>
      </c>
      <c r="F840" t="inlineStr">
        <is>
          <t>Liu, Sijing; Xie, Yongxin; Zhu, Yingxin; Lin, Borong; Cao, Bin; Wong, Nyuk Hien; Niu, Jianlei; Fang, Zhaosong; Lai, Dayi; Liu, Weiwei; Wen, Jianxiu; Mou, Di; Tang, Hao; Liu, Zhaoru; Ignatius, Marcel</t>
        </is>
      </c>
      <c r="J840" t="inlineStr">
        <is>
          <t>SCIENCE OF THE TOTAL ENVIRONMENT</t>
        </is>
      </c>
      <c r="M840" t="inlineStr">
        <is>
          <t>English</t>
        </is>
      </c>
      <c r="N840" t="inlineStr">
        <is>
          <t>Article</t>
        </is>
      </c>
      <c r="T840" t="inlineStr">
        <is>
          <t>Comparative analysis on indoor and outdoor thermal comfort in transitional seasons and summer based on multiple databases: Lessons learnt from the outdoors</t>
        </is>
      </c>
      <c r="U840" t="inlineStr">
        <is>
          <t>Indoor versus outdoor; Thermal neutrality; Thermal comfort; Thermal comfort databases</t>
        </is>
      </c>
      <c r="V840" t="inlineStr">
        <is>
          <t>BUILT ENVIRONMENT; URBAN SPACES; FIELD; MODEL; WIND; ADAPTATION</t>
        </is>
      </c>
      <c r="W840" t="inlineStr">
        <is>
          <t>In environments with similar physical parameters, thermal comfort and sensation feelings may differ indoors and outdoors. How indoor and outdoor thermal perception differ from each other remains unclear. This study compared and discussed 29,536 field survey data, including 19,191 sets of indoor data, and 10,345 sets of outdoor data, covering five Kiippen climate zones during transitional seasons and summer. Indoor data points were collected from two databases: the ASH RAE Global Thermal Comfort II and the SCATs (Smart Controls and Thermal Comfort), while outdoor data points were collected from the RUROS database (Rediscovering the Urban Realm and Open Spaces) and live individual projects executed in Singapore, Hong Kong, Guangzhou, Changsha, and Tianjin. The concepts of neutral rate (NR) and comfort rate (CR) were developed to help categorize neutral and comfort across different studies. The results of this study show that people are less sensitive to changes in thermal environment outdoors than indoors. Moreover, thermal comfort cannot be simply treated as thermal neutral, particularly for outdoor spaces. Compared with MM (mixed-mode) and NV (naturally ventilated) spaces, outdoor space does not have the highest NR, but its CR is much higher, with a wide range of SET* (Standard Effective Temperature) corresponding to CR over 80 %, from 15.5 degrees C to 23.4 degrees C. In the Cla (humid subtropical) climate zone, significantly higher CR are recorded for outdoor spaces, although the NR are similar or even lower than those of indoors. Natural thermal resources in the outdoor thermal environment may hold the key to extending indoor comfort ranges.</t>
        </is>
      </c>
      <c r="X840" t="inlineStr">
        <is>
          <t>[Liu, Sijing; Xie, Yongxin; Zhu, Yingxin; Lin, Borong; Cao, Bin; Wen, Jianxiu; Mou, Di; Tang, Hao; Liu, Zhaoru] Tsinghua Univ, Sch Architecture, Dept Bldg Sci, Beijing 100084, Peoples R China; [Wong, Nyuk Hien; Ignatius, Marcel] Natl Univ Singapore, Sch Design &amp; Environm, Singapore 117566, Singapore; [Niu, Jianlei] Hong Kong Polytech Univ, Dept Bldg Serv Engn, Hunghom, Kowloon, Hong Kong, Peoples R China; [Fang, Zhaosong] Guangzhou Univ, Sch Civil Engn, Guangzhou 510006, Peoples R China; [Lai, Dayi] Shanghai Jiao Tong Univ, Sch Design, Dept Architecture, Shanghai 200240, Peoples R China; [Liu, Weiwei] Cent South Univ, Sch Energy Sci &amp; Engn, Changsha 410012, Peoples R China</t>
        </is>
      </c>
      <c r="Y840" t="inlineStr">
        <is>
          <t>Tsinghua University; National University of Singapore; Hong Kong Polytechnic University; Guangzhou University; Shanghai Jiao Tong University; Central South University</t>
        </is>
      </c>
      <c r="Z840" t="inlineStr">
        <is>
          <t>Xie, YX (corresponding author), Tsinghua Univ, Sch Architecture, Dept Bldg Sci, Beijing 100084, Peoples R China.</t>
        </is>
      </c>
      <c r="AA840" t="inlineStr">
        <is>
          <t>Yongxin.xie@connect.polyu.hk</t>
        </is>
      </c>
      <c r="AB840" t="inlineStr">
        <is>
          <t>Liu, Zhaoru/AAN-9560-2021</t>
        </is>
      </c>
      <c r="AC840" t="inlineStr">
        <is>
          <t>Liu, Zhaoru/0000-0003-2633-4650; Ignatius, Marcel/0000-0001-8756-6784; XIE, Yongxin/0000-0001-5325-6788; Tang, Hao/0000-0001-6869-8896</t>
        </is>
      </c>
      <c r="AD840" t="inlineStr">
        <is>
          <t>Key Program of the National Natural Science Foundation of China [52130803]; National Science Fund for Distinguished Young Scholars [51825802]; China Postdoctoral Science Foundation [2021M691790]</t>
        </is>
      </c>
      <c r="AE840" t="inlineStr">
        <is>
          <t>Key Program of the National Natural Science Foundation of China(National Natural Science Foundation of China (NSFC)); National Science Fund for Distinguished Young Scholars(National Natural Science Foundation of China (NSFC)National Science Fund for Distinguished Young Scholars); China Postdoctoral Science Foundation(China Postdoctoral Science Foundation)</t>
        </is>
      </c>
      <c r="AF840" t="inlineStr">
        <is>
          <t>This study is supported by the Key Program of the National Natural Science Foundation of China (Grant No. 52130803), the National Science Fund for Distinguished Young Scholars (Grant No. 51825802), and the China Postdoctoral Science Foundation (Grant No. 2021M691790).</t>
        </is>
      </c>
      <c r="AH840" t="n">
        <v>56</v>
      </c>
      <c r="AI840" t="n">
        <v>10</v>
      </c>
      <c r="AJ840" t="n">
        <v>10</v>
      </c>
      <c r="AK840" t="n">
        <v>9</v>
      </c>
      <c r="AL840" t="n">
        <v>34</v>
      </c>
      <c r="AM840" t="inlineStr">
        <is>
          <t>ELSEVIER</t>
        </is>
      </c>
      <c r="AN840" t="inlineStr">
        <is>
          <t>AMSTERDAM</t>
        </is>
      </c>
      <c r="AO840" t="inlineStr">
        <is>
          <t>RADARWEG 29, 1043 NX AMSTERDAM, NETHERLANDS</t>
        </is>
      </c>
      <c r="AP840" t="inlineStr">
        <is>
          <t>0048-9697</t>
        </is>
      </c>
      <c r="AQ840" t="inlineStr">
        <is>
          <t>1879-1026</t>
        </is>
      </c>
      <c r="AS840" t="inlineStr">
        <is>
          <t>SCI TOTAL ENVIRON</t>
        </is>
      </c>
      <c r="AT840" t="inlineStr">
        <is>
          <t>Sci. Total Environ.</t>
        </is>
      </c>
      <c r="AU840" t="inlineStr">
        <is>
          <t>NOV 20</t>
        </is>
      </c>
      <c r="AV840" t="n">
        <v>2022</v>
      </c>
      <c r="AW840" t="n">
        <v>848</v>
      </c>
      <c r="BE840" t="n">
        <v>157694</v>
      </c>
      <c r="BF840" t="inlineStr">
        <is>
          <t>10.1016/j.scitotenv.2022.157694</t>
        </is>
      </c>
      <c r="BG840">
        <f>HYPERLINK("http://dx.doi.org/10.1016/j.scitotenv.2022.157694","http://dx.doi.org/10.1016/j.scitotenv.2022.157694")</f>
        <v/>
      </c>
      <c r="BI840" t="inlineStr">
        <is>
          <t>AUG 2022</t>
        </is>
      </c>
      <c r="BJ840" t="n">
        <v>15</v>
      </c>
      <c r="BK840" t="inlineStr">
        <is>
          <t>Environmental Sciences</t>
        </is>
      </c>
      <c r="BL840" t="inlineStr">
        <is>
          <t>Science Citation Index Expanded (SCI-EXPANDED)</t>
        </is>
      </c>
      <c r="BM840" t="inlineStr">
        <is>
          <t>Environmental Sciences &amp; Ecology</t>
        </is>
      </c>
      <c r="BN840" t="inlineStr">
        <is>
          <t>6F9XB</t>
        </is>
      </c>
      <c r="BO840" t="n">
        <v>35907546</v>
      </c>
      <c r="BS840" t="inlineStr">
        <is>
          <t>2023-10-26</t>
        </is>
      </c>
      <c r="BT840" t="inlineStr">
        <is>
          <t>WOS:000884412900011</t>
        </is>
      </c>
      <c r="BU840">
        <f>HYPERLINK("https%3A%2F%2Fwww.webofscience.com%2Fwos%2Fwoscc%2Ffull-record%2FWOS:000884412900011","View Full Record in Web of Science")</f>
        <v/>
      </c>
    </row>
    <row r="841">
      <c r="A841" t="inlineStr">
        <is>
          <t>J</t>
        </is>
      </c>
      <c r="B841" t="inlineStr">
        <is>
          <t>Sasaki, Y; Shobugawa, Y; Nozaki, I; Takagi, D; Nagamine, Y; Funato, M; Chihara, Y; Shirakura, Y; Lwin, KT; Zin, PE; Bo, TZ; Sone, T; Win, HH</t>
        </is>
      </c>
      <c r="F841" t="inlineStr">
        <is>
          <t>Sasaki, Yuri; Shobugawa, Yugo; Nozaki, Ikuma; Takagi, Daisuke; Nagamine, Yuiko; Funato, Masafumi; Chihara, Yuki; Shirakura, Yuki; Lwin, Kay Thi; Zin, Poe Ei; Bo, Thae Zarchi; Sone, Tomofumi; Win, Hla Hla</t>
        </is>
      </c>
      <c r="J841" t="inlineStr">
        <is>
          <t>INTERNATIONAL JOURNAL OF ENVIRONMENTAL RESEARCH AND PUBLIC HEALTH</t>
        </is>
      </c>
      <c r="M841" t="inlineStr">
        <is>
          <t>English</t>
        </is>
      </c>
      <c r="N841" t="inlineStr">
        <is>
          <t>Article</t>
        </is>
      </c>
      <c r="T841" t="inlineStr">
        <is>
          <t>Association between Happiness and Economic Status among Older Adults in Two Myanmar Regions</t>
        </is>
      </c>
      <c r="U841" t="inlineStr">
        <is>
          <t>happiness; objective economic status; subjective economic status; older adults; Myanmar</t>
        </is>
      </c>
      <c r="V841" t="inlineStr">
        <is>
          <t>ABBREVIATED MENTAL TEST; SELF-RATED HEALTH; RELATIVE DEPRIVATION; INCOME INEQUALITY; MORTALITY; URBAN; DETERMINANTS; RELIABILITY; DEPRESSION; MORBIDITY</t>
        </is>
      </c>
      <c r="W841" t="inlineStr">
        <is>
          <t>Few studies have examined whether objective or subjective economic status (ES) has a greater association with the happiness of older adults, despite concerns regarding the growing economic cost of morbidity and their functional dependence in developing countries with aging populations. Thus, this study examined whether objective/subjective ES was associated with happiness in older adults in two Myanmar regions. A multistage random sampling procedure and face-to-face interviews were conducted in the urban and rural areas of Myanmar. The happiness of 1200 participants aged &gt;60 years was evaluated using a single happiness score ranging from 0 (very unhappy) to 10 (very happy). The wealth index, used as an objective ES, was calculated from 17 household asset items, such as radio, washing machines, and television. Subjective ES was assessed by asking Which of the following best describes your current financial situation in light of general economic conditions? Responses ranged from very difficult to very comfortable. Both low objective and subjective ES were negatively associated with happiness, after adjusting for confounding variables and stratification by region (urban and rural areas). Although objective and subjective ES had similar associations with happiness in urban areas, subjective ES had a stronger association in rural areas.</t>
        </is>
      </c>
      <c r="X841" t="inlineStr">
        <is>
          <t>[Sasaki, Yuri] Natl Inst Publ Hlth, Dept Int Hlth &amp; Collaborat, Wako, Saitama 3510197, Japan; [Shobugawa, Yugo; Chihara, Yuki; Shirakura, Yuki] Niigata Univ, Grad Sch Med &amp; Dent Sci, Niigata 9518510, Japan; [Nozaki, Ikuma] Natl Ctr Global Hlth &amp; Med, Bur Int Hlth Cooperat, Tokyo 1628655, Japan; [Takagi, Daisuke] Univ Tokyo, Grad Sch Med, Dept Hlth &amp; Social Behav, Tokyo 1130033, Japan; [Nagamine, Yuiko] Tokyo Med &amp; Dent Univ, Dept Family Med, Tokyo 1138510, Japan; [Funato, Masafumi] Harvard TH Chan Sch Publ Hlth, Dept Global Hlth &amp; Populat, Boston, MA 02115 USA; [Lwin, Kay Thi; Zin, Poe Ei; Bo, Thae Zarchi; Win, Hla Hla] Univ Med 1, Dept Prevent &amp; Social Med, Yangon 245, Myanmar; [Sone, Tomofumi] Natl Inst Publ Hlth, Wako, Saitama 3510197, Japan</t>
        </is>
      </c>
      <c r="Y841" t="inlineStr">
        <is>
          <t>National Institute of Public Health - Japan; Niigata University; National Center for Global Health &amp; Medicine - Japan; University of Tokyo; Tokyo Medical &amp; Dental University (TMDU); Harvard University; Harvard T.H. Chan School of Public Health; National Institute of Public Health - Japan</t>
        </is>
      </c>
      <c r="Z841" t="inlineStr">
        <is>
          <t>Sasaki, Y (corresponding author), Natl Inst Publ Hlth, Dept Int Hlth &amp; Collaborat, Wako, Saitama 3510197, Japan.</t>
        </is>
      </c>
      <c r="AA841" t="inlineStr">
        <is>
          <t>sasaki.y.aa@niph.go.jp; yugo@med.niigata-u.ac.jp; i-nozaki@it.ncgm.go.jp; dtakagi-utokyo@umin.ac.jp; yuiko.mail@gmail.com; masafumifunato2@gmail.com; nakayu0821@gmail.com; yshira@med.niigata-u.ac.jp; kaythilwin.kt12@gmail.com; poeeizin1988@gmail.com; thaezarchibo@gmail.com; sone.t.aa@niph.go.jp; prof.hlahlawin@gmail.com</t>
        </is>
      </c>
      <c r="AB841" t="inlineStr">
        <is>
          <t>Nozaki, Ikuma/U-4909-2019</t>
        </is>
      </c>
      <c r="AC841" t="inlineStr">
        <is>
          <t>Nozaki, Ikuma/0000-0001-5168-6709; Nagamine, Yuiko/0000-0003-1901-6697; Shobugawa, Yugo/0000-0003-2851-0101</t>
        </is>
      </c>
      <c r="AD841" t="inlineStr">
        <is>
          <t>Japan Agency for Medical Research and Development (AMED) [17984739]; Japan Society for the Promotion of Science [19K19472, 21K18453, 20BA2002]; World Health Organization Kobe Centre for Health Development [K18015]; Grants-in-Aid for Scientific Research [19K19472, 21K18453] Funding Source: KAKEN</t>
        </is>
      </c>
      <c r="AE841" t="inlineStr">
        <is>
          <t>Japan Agency for Medical Research and Development (AMED)(Japan Agency for Medical Research and Development (AMED)); Japan Society for the Promotion of Science(Ministry of Education, Culture, Sports, Science and Technology, Japan (MEXT)Japan Society for the Promotion of Science); World Health Organization Kobe Centre for Health Development; Grants-in-Aid for Scientific Research(Ministry of Education, Culture, Sports, Science and Technology, Japan (MEXT)Japan Society for the Promotion of ScienceGrants-in-Aid for Scientific Research (KAKENHI))</t>
        </is>
      </c>
      <c r="AF841" t="inlineStr">
        <is>
          <t>This research was funded by the Japan Agency for Medical Research and Development (AMED), for the project titled Development of Health Equity Assessment Tool Based on Social Epidemiological Survey for Older Adults in Myanmar and Malaysia(17984739), Grants in aid for Scientific Research from the Japan Society for the Promotion of Science, for the project titled, Differences in Social Capital Influence on Depression among Older People-A Comparative Study of Three Asian Countries (19K19472) and What are the older persons who live with happiness even if they are ill or have their own disability? -Follow-up surveys of Japan and Southeast Asia- (21K18453), and Grants in aid for Health and Labor Administration Promotion Research Project titled Study on promotion of active and healthy aging in ASEAN (20BA2002). In addition, the World Health Organization Kobe Centre for Health Development funded research to accelerate universal health coverage in light of population aging in ASEAN countries for research titled, Development and Validation of Questionnaire Instrument for Evaluating the Determinants of Health Status and Universal Health Coverage in Older Adults in Selected Population in Myanmar and Ma-laysia (WHO Kobe Centre-WKC: K18015).</t>
        </is>
      </c>
      <c r="AH841" t="n">
        <v>83</v>
      </c>
      <c r="AI841" t="n">
        <v>0</v>
      </c>
      <c r="AJ841" t="n">
        <v>0</v>
      </c>
      <c r="AK841" t="n">
        <v>6</v>
      </c>
      <c r="AL841" t="n">
        <v>13</v>
      </c>
      <c r="AM841" t="inlineStr">
        <is>
          <t>MDPI</t>
        </is>
      </c>
      <c r="AN841" t="inlineStr">
        <is>
          <t>BASEL</t>
        </is>
      </c>
      <c r="AO841" t="inlineStr">
        <is>
          <t>ST ALBAN-ANLAGE 66, CH-4052 BASEL, SWITZERLAND</t>
        </is>
      </c>
      <c r="AQ841" t="inlineStr">
        <is>
          <t>1660-4601</t>
        </is>
      </c>
      <c r="AS841" t="inlineStr">
        <is>
          <t>INT J ENV RES PUB HE</t>
        </is>
      </c>
      <c r="AT841" t="inlineStr">
        <is>
          <t>Int. J. Environ. Res. Public Health</t>
        </is>
      </c>
      <c r="AU841" t="inlineStr">
        <is>
          <t>MAR</t>
        </is>
      </c>
      <c r="AV841" t="n">
        <v>2022</v>
      </c>
      <c r="AW841" t="n">
        <v>19</v>
      </c>
      <c r="AX841" t="n">
        <v>6</v>
      </c>
      <c r="BE841" t="n">
        <v>3216</v>
      </c>
      <c r="BF841" t="inlineStr">
        <is>
          <t>10.3390/ijerph19063216</t>
        </is>
      </c>
      <c r="BG841">
        <f>HYPERLINK("http://dx.doi.org/10.3390/ijerph19063216","http://dx.doi.org/10.3390/ijerph19063216")</f>
        <v/>
      </c>
      <c r="BJ841" t="n">
        <v>13</v>
      </c>
      <c r="BK841" t="inlineStr">
        <is>
          <t>Environmental Sciences; Public, Environmental &amp; Occupational Health</t>
        </is>
      </c>
      <c r="BL841" t="inlineStr">
        <is>
          <t>Science Citation Index Expanded (SCI-EXPANDED); Social Science Citation Index (SSCI)</t>
        </is>
      </c>
      <c r="BM841" t="inlineStr">
        <is>
          <t>Environmental Sciences &amp; Ecology; Public, Environmental &amp; Occupational Health</t>
        </is>
      </c>
      <c r="BN841" t="inlineStr">
        <is>
          <t>0C5GQ</t>
        </is>
      </c>
      <c r="BO841" t="n">
        <v>35328904</v>
      </c>
      <c r="BP841" t="inlineStr">
        <is>
          <t>Green Published, gold</t>
        </is>
      </c>
      <c r="BS841" t="inlineStr">
        <is>
          <t>2023-10-26</t>
        </is>
      </c>
      <c r="BT841" t="inlineStr">
        <is>
          <t>WOS:000775341900001</t>
        </is>
      </c>
      <c r="BU841">
        <f>HYPERLINK("https%3A%2F%2Fwww.webofscience.com%2Fwos%2Fwoscc%2Ffull-record%2FWOS:000775341900001","View Full Record in Web of Science")</f>
        <v/>
      </c>
    </row>
    <row r="842">
      <c r="A842" t="inlineStr">
        <is>
          <t>J</t>
        </is>
      </c>
      <c r="B842" t="inlineStr">
        <is>
          <t>Huang, LS</t>
        </is>
      </c>
      <c r="F842" t="inlineStr">
        <is>
          <t>Huang, L. S.</t>
        </is>
      </c>
      <c r="J842" t="inlineStr">
        <is>
          <t>JOURNAL OF ENVIRONMENTAL PROTECTION AND ECOLOGY</t>
        </is>
      </c>
      <c r="M842" t="inlineStr">
        <is>
          <t>English</t>
        </is>
      </c>
      <c r="N842" t="inlineStr">
        <is>
          <t>Article</t>
        </is>
      </c>
      <c r="T842" t="inlineStr">
        <is>
          <t>ASSESSMENT OF INDOOR ENVIRONMENTAL QUALITY IN CLASSROOM IN ELEMENTARY SCHOOLS</t>
        </is>
      </c>
      <c r="U842" t="inlineStr">
        <is>
          <t>indoor physical environment; thermal environment; air quality environment; learning performance</t>
        </is>
      </c>
      <c r="V842" t="inlineStr">
        <is>
          <t>HEALTH</t>
        </is>
      </c>
      <c r="W842" t="inlineStr">
        <is>
          <t>This study explores a specific elementary school in Kaohsiung City, Taiwan, to measure evaluation factors of indoor physical environmental quality for different specialised classrooms and evaluated learning performance for student. The study results showed that the temperature at the centre of the classroom would be increased 2 degrees C as a result of environmental effects when the outdoor atmospheric temperature is lower. The average temperature in the information technology classroom was 1.5 degrees C higher than in the regular classrooms. The upper and bottom windows in regular classrooms during open condition, the CO2 concentration conformed to the standard of indoor CO2 concentration with students in classroom during the class time. On the contrary, the CO2 concentration would then exceed the standard for indoor CO2 concentration. The upper and bottom windows were open with students in the information classroom, the upper and bottom windows were closed, the average CO2 concentration would exceed the standard. According to IPA analysis results, regarding comfortable air-conditioning equipment and regular adjustment of environmental equipment in specialised classrooms as being the most important for learning comfort.</t>
        </is>
      </c>
      <c r="X842" t="inlineStr">
        <is>
          <t>[Huang, L. S.] SHU TE Univ, Dept Distribut Management, 59 Hengshan Rd, Kaohsiung 82445, Taiwan</t>
        </is>
      </c>
      <c r="Y842" t="inlineStr">
        <is>
          <t>Shu-Te University</t>
        </is>
      </c>
      <c r="Z842" t="inlineStr">
        <is>
          <t>Huang, LS (corresponding author), SHU TE Univ, Dept Distribut Management, 59 Hengshan Rd, Kaohsiung 82445, Taiwan.</t>
        </is>
      </c>
      <c r="AA842" t="inlineStr">
        <is>
          <t>sheng@stu.edu.tw</t>
        </is>
      </c>
      <c r="AH842" t="n">
        <v>9</v>
      </c>
      <c r="AI842" t="n">
        <v>0</v>
      </c>
      <c r="AJ842" t="n">
        <v>0</v>
      </c>
      <c r="AK842" t="n">
        <v>0</v>
      </c>
      <c r="AL842" t="n">
        <v>13</v>
      </c>
      <c r="AM842" t="inlineStr">
        <is>
          <t>SCIBULCOM LTD</t>
        </is>
      </c>
      <c r="AN842" t="inlineStr">
        <is>
          <t>SOFIA</t>
        </is>
      </c>
      <c r="AO842" t="inlineStr">
        <is>
          <t>PO BOX 249, 1113 SOFIA, BULGARIA</t>
        </is>
      </c>
      <c r="AP842" t="inlineStr">
        <is>
          <t>1311-5065</t>
        </is>
      </c>
      <c r="AS842" t="inlineStr">
        <is>
          <t>J ENVIRON PROT ECOL</t>
        </is>
      </c>
      <c r="AT842" t="inlineStr">
        <is>
          <t>J. Environ. Prot. Ecol.</t>
        </is>
      </c>
      <c r="AV842" t="n">
        <v>2017</v>
      </c>
      <c r="AW842" t="n">
        <v>18</v>
      </c>
      <c r="AX842" t="n">
        <v>4</v>
      </c>
      <c r="BC842" t="n">
        <v>1319</v>
      </c>
      <c r="BD842" t="n">
        <v>1327</v>
      </c>
      <c r="BJ842" t="n">
        <v>9</v>
      </c>
      <c r="BK842" t="inlineStr">
        <is>
          <t>Environmental Sciences</t>
        </is>
      </c>
      <c r="BL842" t="inlineStr">
        <is>
          <t>Science Citation Index Expanded (SCI-EXPANDED)</t>
        </is>
      </c>
      <c r="BM842" t="inlineStr">
        <is>
          <t>Environmental Sciences &amp; Ecology</t>
        </is>
      </c>
      <c r="BN842" t="inlineStr">
        <is>
          <t>FT6SJ</t>
        </is>
      </c>
      <c r="BS842" t="inlineStr">
        <is>
          <t>2023-10-26</t>
        </is>
      </c>
      <c r="BT842" t="inlineStr">
        <is>
          <t>WOS:000423283800003</t>
        </is>
      </c>
      <c r="BU842">
        <f>HYPERLINK("https%3A%2F%2Fwww.webofscience.com%2Fwos%2Fwoscc%2Ffull-record%2FWOS:000423283800003","View Full Record in Web of Science")</f>
        <v/>
      </c>
    </row>
    <row r="843">
      <c r="A843" t="inlineStr">
        <is>
          <t>J</t>
        </is>
      </c>
      <c r="B843" t="inlineStr">
        <is>
          <t>Chan, AKY; Tamrakar, M; Jiang, CM; Lo, ECM; Leung, KCM; Chu, CH</t>
        </is>
      </c>
      <c r="F843" t="inlineStr">
        <is>
          <t>Chan, Alice Kit Ying; Tamrakar, Manisha; Jiang, Chloe Meng; Lo, Edward Chin Man; Leung, Katherine Chiu Man; Chu, Chun Hung</t>
        </is>
      </c>
      <c r="J843" t="inlineStr">
        <is>
          <t>INTERNATIONAL JOURNAL OF ENVIRONMENTAL RESEARCH AND PUBLIC HEALTH</t>
        </is>
      </c>
      <c r="M843" t="inlineStr">
        <is>
          <t>English</t>
        </is>
      </c>
      <c r="N843" t="inlineStr">
        <is>
          <t>Review</t>
        </is>
      </c>
      <c r="T843" t="inlineStr">
        <is>
          <t>A Systematic Review on Caries Status of Older Adults</t>
        </is>
      </c>
      <c r="U843" t="inlineStr">
        <is>
          <t>older adult; elderly; oral health; prevention; silver diamine fluoride; caries</t>
        </is>
      </c>
      <c r="V843" t="inlineStr">
        <is>
          <t>ORAL-HEALTH STATUS; DENTAL-CARIES; GLOBAL BURDEN; ROOT CARIES; INDICATORS; FLUORIDE; IMPROVEMENT; POPULATION; DISEASES; PEOPLE</t>
        </is>
      </c>
      <c r="W843" t="inlineStr">
        <is>
          <t>The aim of this systematic review was to provide an update on caries prevalence in older adults aged 60 years or above around the globe. Two independent reviewers performed a systematic literature search of English publications from January 2016 to December 2020 using Pubmed, Scopus, Embase/Ovid and Web of Science. The MeSH terms used were dental caries , root caries , DMF index , aged  and aged 80 and over . Further searches in Google Scholar retrieved eight additional publications. The epidemiological surveys reporting the prevalence of dental caries or root caries or caries experience using DMFT (decayed, missing and filled teeth) and DFR (decayed and filled root) in older adults aged 60 years or above were included. Quality of the publications was assessed using the JBI Critical Appraisal Checklist for Studies Reporting Prevalence Data. Among the 5271 identified publications, 39 articles of moderate or good quality were included. Twenty studies were conducted in Asia (China, India, Vietnam, Singapore and Turkey), ten in Europe (Ireland, Norway, Finland, Germany, Portugal, Poland, Romania and Kosovo), three in North America (USA and Mexico), one in South America (Brazil), two in Oceania (Australia) and three in Africa (Malawi, Egypt and South Africa). The prevalence of dental caries ranged from 25% (Australia) to 99% (South Africa), while the prevalence of root caries ranged from 8% (Finland) to 74% (Brazil) in community dwellers. The situation was even worse in institutionalised older adults of which the mean DMFT score varied from 6.9 (Malawi) to 29.7 (South Africa). Based on the included studies published in the last 5 years, caries is still prevalent in older adults worldwide and their prevalence varies across countries.</t>
        </is>
      </c>
      <c r="X843" t="inlineStr">
        <is>
          <t>[Chan, Alice Kit Ying; Tamrakar, Manisha; Jiang, Chloe Meng; Lo, Edward Chin Man; Leung, Katherine Chiu Man; Chu, Chun Hung] Univ Hong Kong, Fac Dent, Hong Kong, Peoples R China</t>
        </is>
      </c>
      <c r="Y843" t="inlineStr">
        <is>
          <t>University of Hong Kong</t>
        </is>
      </c>
      <c r="Z843" t="inlineStr">
        <is>
          <t>Chu, CH (corresponding author), Univ Hong Kong, Fac Dent, Hong Kong, Peoples R China.</t>
        </is>
      </c>
      <c r="AA843" t="inlineStr">
        <is>
          <t>dralice@hku.hk; manee626@hku.hk; cmjiang@hku.hk; hrdplcm@hku.hk; kcmleung@hku.hk; chchu@hku.hk</t>
        </is>
      </c>
      <c r="AB843" t="inlineStr">
        <is>
          <t>Chan, Alice Kit Ying/HGE-7589-2022</t>
        </is>
      </c>
      <c r="AC843" t="inlineStr">
        <is>
          <t>Jiang, Chloe Meng/0000-0001-9854-3676; Tamrakar, Manisha/0000-0003-3010-8322; Chan, Alice kit ying/0000-0002-6210-9293; Chu, Chun Hung/0000-0002-8167-0430; Lo, Edward/0000-0002-3618-0619; Leung, Katherine Chiu Man/0000-0003-3703-8232</t>
        </is>
      </c>
      <c r="AD843" t="inlineStr">
        <is>
          <t>RGC General Research Fund [17100820]</t>
        </is>
      </c>
      <c r="AE843" t="inlineStr">
        <is>
          <t>RGC General Research Fund</t>
        </is>
      </c>
      <c r="AF843" t="inlineStr">
        <is>
          <t>This study was supported by RGC General Research Fund #17100820.</t>
        </is>
      </c>
      <c r="AH843" t="n">
        <v>67</v>
      </c>
      <c r="AI843" t="n">
        <v>18</v>
      </c>
      <c r="AJ843" t="n">
        <v>18</v>
      </c>
      <c r="AK843" t="n">
        <v>5</v>
      </c>
      <c r="AL843" t="n">
        <v>17</v>
      </c>
      <c r="AM843" t="inlineStr">
        <is>
          <t>MDPI</t>
        </is>
      </c>
      <c r="AN843" t="inlineStr">
        <is>
          <t>BASEL</t>
        </is>
      </c>
      <c r="AO843" t="inlineStr">
        <is>
          <t>ST ALBAN-ANLAGE 66, CH-4052 BASEL, SWITZERLAND</t>
        </is>
      </c>
      <c r="AQ843" t="inlineStr">
        <is>
          <t>1660-4601</t>
        </is>
      </c>
      <c r="AS843" t="inlineStr">
        <is>
          <t>INT J ENV RES PUB HE</t>
        </is>
      </c>
      <c r="AT843" t="inlineStr">
        <is>
          <t>Int. J. Environ. Res. Public Health</t>
        </is>
      </c>
      <c r="AU843" t="inlineStr">
        <is>
          <t>OCT</t>
        </is>
      </c>
      <c r="AV843" t="n">
        <v>2021</v>
      </c>
      <c r="AW843" t="n">
        <v>18</v>
      </c>
      <c r="AX843" t="n">
        <v>20</v>
      </c>
      <c r="BE843" t="n">
        <v>10662</v>
      </c>
      <c r="BF843" t="inlineStr">
        <is>
          <t>10.3390/ijerph182010662</t>
        </is>
      </c>
      <c r="BG843">
        <f>HYPERLINK("http://dx.doi.org/10.3390/ijerph182010662","http://dx.doi.org/10.3390/ijerph182010662")</f>
        <v/>
      </c>
      <c r="BJ843" t="n">
        <v>15</v>
      </c>
      <c r="BK843" t="inlineStr">
        <is>
          <t>Environmental Sciences; Public, Environmental &amp; Occupational Health</t>
        </is>
      </c>
      <c r="BL843" t="inlineStr">
        <is>
          <t>Science Citation Index Expanded (SCI-EXPANDED); Social Science Citation Index (SSCI)</t>
        </is>
      </c>
      <c r="BM843" t="inlineStr">
        <is>
          <t>Environmental Sciences &amp; Ecology; Public, Environmental &amp; Occupational Health</t>
        </is>
      </c>
      <c r="BN843" t="inlineStr">
        <is>
          <t>WS6DB</t>
        </is>
      </c>
      <c r="BO843" t="n">
        <v>34682414</v>
      </c>
      <c r="BP843" t="inlineStr">
        <is>
          <t>gold, Green Published</t>
        </is>
      </c>
      <c r="BS843" t="inlineStr">
        <is>
          <t>2023-10-26</t>
        </is>
      </c>
      <c r="BT843" t="inlineStr">
        <is>
          <t>WOS:000715268300001</t>
        </is>
      </c>
      <c r="BU843">
        <f>HYPERLINK("https%3A%2F%2Fwww.webofscience.com%2Fwos%2Fwoscc%2Ffull-record%2FWOS:000715268300001","View Full Record in Web of Science")</f>
        <v/>
      </c>
    </row>
    <row r="844">
      <c r="A844" t="inlineStr">
        <is>
          <t>J</t>
        </is>
      </c>
      <c r="B844" t="inlineStr">
        <is>
          <t>Nandan, A; Siddiqui, NA; Singh, C; Aeri, A</t>
        </is>
      </c>
      <c r="F844" t="inlineStr">
        <is>
          <t>Nandan, Abhishek; Siddiqui, N. A.; Singh, Chandrakant; Aeri, Ashish</t>
        </is>
      </c>
      <c r="J844" t="inlineStr">
        <is>
          <t>TOXICOLOGY AND ENVIRONMENTAL HEALTH SCIENCES</t>
        </is>
      </c>
      <c r="M844" t="inlineStr">
        <is>
          <t>English</t>
        </is>
      </c>
      <c r="N844" t="inlineStr">
        <is>
          <t>Review</t>
        </is>
      </c>
      <c r="T844" t="inlineStr">
        <is>
          <t>Occupational and environmental impacts of indoor air pollutant for different occupancy: a review</t>
        </is>
      </c>
      <c r="U844" t="inlineStr">
        <is>
          <t>Indoor air pollutant; Indoor air pollution; Volatile organic compound; Indoor air quality (IAQ); Health impact; National Building Code</t>
        </is>
      </c>
      <c r="V844" t="inlineStr">
        <is>
          <t>VOLATILE ORGANIC-COMPOUNDS; POLYCYCLIC AROMATIC-HYDROCARBONS; HEALTH-RISK-ASSESSMENT; SICK BUILDING SYNDROME; NITROGEN-DIOXIDE; PARTICULATE MATTER; RESPIRATORY HEALTH; OUTDOOR AIR; PM2.5 CONCENTRATIONS; EXPOSURE ASSESSMENT</t>
        </is>
      </c>
      <c r="W844" t="inlineStr">
        <is>
          <t>Introduction Since an average human spends most of the time indoors (ranging from 85% to 90%), the understanding about ambient environment is very important. The indoor environment is majorly polluted from the indoor air pollutants like volatile organic carbon (VOC), semi-volatile organic carbon (SVOC), particulate matter, ozone, oxides of carbon and sulphur, heavy metals, biological contaminants and many more. There has been growing awareness about the adverse health effects of poor indoor air quality (IAQ) in the last two decades; researchers across the globe are performing various studies to assess the IAQ, and the situation in developing and the under-developing country is getting worse day by day due to unplanned and rapid growth. Methodology This work is an attempt to catalogue different types of indoor air pollutants in various buildings based on their occupancy; finally, their health effects have also been touched upon. National Building Code of India (Part IV-2005) has been taken under consideration for different types of buildings. Results and discussion It has been observed that a number of pollutants are present in the indoor environment; hence, the determination of all the IAQ parameters consumes a lot of time and resources; a set of five to six parameters, i.e., TVOC, oxides of sulphur, carbon and nitrogen, ozone, and respirable suspended particulates, are the most effective indicators for the assessment of indoor air quality. The pollutants in indoor air are classified into three major categories, and the potential sources, health effects of these pollutants and mitigation measures to improve IAQ are listed further in the paper.</t>
        </is>
      </c>
      <c r="X844" t="inlineStr">
        <is>
          <t>[Nandan, Abhishek; Siddiqui, N. A.; Singh, Chandrakant; Aeri, Ashish] Univ Petr &amp; Energy Studies UPES, Dept Hlth Safety Environm &amp; Civil Engn, Dehra Dun 248007, Uttarakhand, India</t>
        </is>
      </c>
      <c r="Y844" t="inlineStr">
        <is>
          <t>University of Petroleum &amp; Energy Studies (UPES)</t>
        </is>
      </c>
      <c r="Z844" t="inlineStr">
        <is>
          <t>Nandan, A (corresponding author), Univ Petr &amp; Energy Studies UPES, Dept Hlth Safety Environm &amp; Civil Engn, Dehra Dun 248007, Uttarakhand, India.</t>
        </is>
      </c>
      <c r="AA844" t="inlineStr">
        <is>
          <t>abhisheknandan24@gmail.com</t>
        </is>
      </c>
      <c r="AB844" t="inlineStr">
        <is>
          <t>Nandan, Abhishek/X-4844-2019</t>
        </is>
      </c>
      <c r="AC844" t="inlineStr">
        <is>
          <t>Nandan, Abhishek/0000-0002-8250-4549</t>
        </is>
      </c>
      <c r="AH844" t="n">
        <v>201</v>
      </c>
      <c r="AI844" t="n">
        <v>11</v>
      </c>
      <c r="AJ844" t="n">
        <v>11</v>
      </c>
      <c r="AK844" t="n">
        <v>6</v>
      </c>
      <c r="AL844" t="n">
        <v>52</v>
      </c>
      <c r="AM844" t="inlineStr">
        <is>
          <t>KOREAN SOC ENVIRONMENTAL RISK ASSESSMENT &amp; HEALTH SCIENCE</t>
        </is>
      </c>
      <c r="AN844" t="inlineStr">
        <is>
          <t>CHEONGRYANG</t>
        </is>
      </c>
      <c r="AO844" t="inlineStr">
        <is>
          <t>KOREA INST SCI &amp; TECHNOL, CELLULAR &amp; MOLEC TOXICOL LAB, PO BOX 131, CHEONGRYANG, SEOUL 130-650, SOUTH KOREA</t>
        </is>
      </c>
      <c r="AP844" t="inlineStr">
        <is>
          <t>2005-9752</t>
        </is>
      </c>
      <c r="AQ844" t="inlineStr">
        <is>
          <t>2233-7784</t>
        </is>
      </c>
      <c r="AS844" t="inlineStr">
        <is>
          <t>TOXICOL ENV HEALTH</t>
        </is>
      </c>
      <c r="AT844" t="inlineStr">
        <is>
          <t>Toxicol. Environ. Health Sci.</t>
        </is>
      </c>
      <c r="AU844" t="inlineStr">
        <is>
          <t>DEC</t>
        </is>
      </c>
      <c r="AV844" t="n">
        <v>2021</v>
      </c>
      <c r="AW844" t="n">
        <v>13</v>
      </c>
      <c r="AX844" t="n">
        <v>4</v>
      </c>
      <c r="BC844" t="n">
        <v>303</v>
      </c>
      <c r="BD844" t="n">
        <v>322</v>
      </c>
      <c r="BF844" t="inlineStr">
        <is>
          <t>10.1007/s13530-021-00102-9</t>
        </is>
      </c>
      <c r="BG844">
        <f>HYPERLINK("http://dx.doi.org/10.1007/s13530-021-00102-9","http://dx.doi.org/10.1007/s13530-021-00102-9")</f>
        <v/>
      </c>
      <c r="BI844" t="inlineStr">
        <is>
          <t>JUN 2021</t>
        </is>
      </c>
      <c r="BJ844" t="n">
        <v>20</v>
      </c>
      <c r="BK844" t="inlineStr">
        <is>
          <t>Environmental Sciences; Toxicology</t>
        </is>
      </c>
      <c r="BL844" t="inlineStr">
        <is>
          <t>Emerging Sources Citation Index (ESCI)</t>
        </is>
      </c>
      <c r="BM844" t="inlineStr">
        <is>
          <t>Environmental Sciences &amp; Ecology; Toxicology</t>
        </is>
      </c>
      <c r="BN844" t="inlineStr">
        <is>
          <t>XA4XS</t>
        </is>
      </c>
      <c r="BS844" t="inlineStr">
        <is>
          <t>2023-10-26</t>
        </is>
      </c>
      <c r="BT844" t="inlineStr">
        <is>
          <t>WOS:000668428600001</t>
        </is>
      </c>
      <c r="BU844">
        <f>HYPERLINK("https%3A%2F%2Fwww.webofscience.com%2Fwos%2Fwoscc%2Ffull-record%2FWOS:000668428600001","View Full Record in Web of Science")</f>
        <v/>
      </c>
    </row>
    <row r="845">
      <c r="A845" t="inlineStr">
        <is>
          <t>J</t>
        </is>
      </c>
      <c r="B845" t="inlineStr">
        <is>
          <t>Madureira, J; Paciência, I; Rufo, JC; Pereira, C; Teixeira, JP; Fernandes, ED</t>
        </is>
      </c>
      <c r="F845" t="inlineStr">
        <is>
          <t>Madureira, Joana; Paciencia, Ines; Rufo, Joao Cavaleiro; Pereira, Cristiana; Teixeira, Joao Paulo; Fernandes, Eduardo de Oliveira</t>
        </is>
      </c>
      <c r="J845" t="inlineStr">
        <is>
          <t>ATMOSPHERIC ENVIRONMENT</t>
        </is>
      </c>
      <c r="M845" t="inlineStr">
        <is>
          <t>English</t>
        </is>
      </c>
      <c r="N845" t="inlineStr">
        <is>
          <t>Article</t>
        </is>
      </c>
      <c r="T845" t="inlineStr">
        <is>
          <t>Assessment and determinants of airborne bacterial and fungal concentrations in different indoor environments: Homes, child day-care centres, primary schools and elderly care centres</t>
        </is>
      </c>
      <c r="U845" t="inlineStr">
        <is>
          <t>Indoor air; Bacteria; Fungal genera; Children; Elderly; Dose rate</t>
        </is>
      </c>
      <c r="V845" t="inlineStr">
        <is>
          <t>AIR-QUALITY; SYMPTOMS; CONTAMINATION; BUILDINGS; PARTICLES; EXPOSURE; RISK</t>
        </is>
      </c>
      <c r="W845" t="inlineStr">
        <is>
          <t>Until now the influence of risk factors resulting from exposure to biological agents in indoor air has been far less studied than outdoor pollution; therefore the uncertainty of health risks, and how to effectively prevent these, remains. This study aimed (i) to quantify airborne cultivable bacterial and fungal concentrations in four different types of indoor environment as well as to identify the recovered fungi; (ii) to assess the impact of outdoor bacterial and fungal concentrations on indoor air; (iii) to investigate the influence of carbon dioxide (CO2), temperature and relative humidity on bacterial and fungal concentrations; and (iv) to estimate bacterial and fungal dose rate for children (3-5 years old and 8-10 years old) in comparison with the elderly. Air samples were collected in 68 homes, 9 child day-care centres, 20 primary schools and 22 elderly care centres, in a total of 264 rooms with a microbiological air sampler and using tryptic soy agar and malt extract agar culture media for bacteria and fungi growth, respectively. For each building, one outdoor representative location were identified and simultaneously studied. The results showed that child day-care centres were the indoor microenvironment with the highest median bacterial and fungal concentrations (3870 CFU/m(3) and 415 CFU/m(3), respectively), whereas the lowest median concentrations were observed in elderly care centres (222 CFU/m(3) and 180 CFU/m(3), respectively). Indoor bacterial concentrations were significantly higher than outdoor concentrations (p &lt; 0.05); whereas the indoor/outdoor ratios for the obtained fungal concentrations were approximately around the unit. Indoor CO2 levels were associated with the bacterial concentration, probably due to occupancy and insufficient ventilation. Penicillium and Cladosporium were the most frequently occurring fungi. Children's had two times higher dose rate to biological pollutants when compared to adult individuals. Thus, due to children's susceptibility, special attention should be given to educational settings in order to guarantee their healthy future development. (C) 2015 Elsevier Ltd. All rights reserved.</t>
        </is>
      </c>
      <c r="X845" t="inlineStr">
        <is>
          <t>[Madureira, Joana; Paciencia, Ines; Rufo, Joao Cavaleiro; Fernandes, Eduardo de Oliveira] Inst Sci &amp; Innovat Mech Engn &amp; Ind Management, P-4200465 Oporto, Portugal; [Pereira, Cristiana; Teixeira, Joao Paulo] Natl Inst Hlth, Dept Environm Hlth, P-4000055 Oporto, Portugal; [Teixeira, Joao Paulo] Univ Porto, Inst Publ Hlth, P-4050600 Oporto, Portugal</t>
        </is>
      </c>
      <c r="Y845" t="inlineStr">
        <is>
          <t>Universidade do Porto</t>
        </is>
      </c>
      <c r="Z845" t="inlineStr">
        <is>
          <t>Madureira, J (corresponding author), Inst Sci &amp; Innovat Mech Engn &amp; Ind Management, Rua Dr Roberto Frias, P-4200465 Oporto, Portugal.</t>
        </is>
      </c>
      <c r="AA845" t="inlineStr">
        <is>
          <t>jmadureira@inegi.up.pt</t>
        </is>
      </c>
      <c r="AB845" t="inlineStr">
        <is>
          <t>Pereira, Cristiana/G-2199-2017; Pereira, Cristiana MMC/I-6628-2015; Rufo, João Cavaleiro/K-7994-2013; Teixeira, Joao Paulo/F-5445-2013; Madureira, Joana/V-1284-2017</t>
        </is>
      </c>
      <c r="AC845" t="inlineStr">
        <is>
          <t>Pereira, Cristiana/0000-0002-2146-1223; Pereira, Cristiana MMC/0000-0002-2146-1223; Rufo, João Cavaleiro/0000-0003-1175-242X; Teixeira, Joao Paulo/0000-0001-8693-5250; Paciencia, Ines/0000-0001-5762-7814; Madureira, Joana/0000-0001-5279-877X</t>
        </is>
      </c>
      <c r="AD845" t="inlineStr">
        <is>
          <t>Portuguese Foundation for Science and Technology (FCT) [PTDC/DTP-SAP/1522/2012, PTDC/SAU-SAP/116563/2010, PTDC/SAU-ESA/100275/2008]; Portuguese CCDR-N [NORTE-07-0124-FEDER-000036]; Fundação para a Ciência e a Tecnologia [PTDC/SAU-ESA/100275/2008] Funding Source: FCT</t>
        </is>
      </c>
      <c r="AE845" t="inlineStr">
        <is>
          <t>Portuguese Foundation for Science and Technology (FCT)(Fundacao para a Ciencia e a Tecnologia (FCT)); Portuguese CCDR-N; Fundação para a Ciência e a Tecnologia(Fundacao para a Ciencia e a Tecnologia (FCT))</t>
        </is>
      </c>
      <c r="AF845" t="inlineStr">
        <is>
          <t>This work is supported by the Portuguese Foundation for Science and Technology (FCT) through ARIA project (PTDC/DTP-SAP/1522/2012), GERIA project (PTDC/SAU-SAP/116563/2010), ENVIRH project (PTDC/SAU-ESA/100275/2008) and by the Portuguese CCDR-N for funding the research project E2BE (NORTE-07-0124-FEDER-000036), through the European Union FEDER programme.</t>
        </is>
      </c>
      <c r="AH845" t="n">
        <v>38</v>
      </c>
      <c r="AI845" t="n">
        <v>53</v>
      </c>
      <c r="AJ845" t="n">
        <v>56</v>
      </c>
      <c r="AK845" t="n">
        <v>2</v>
      </c>
      <c r="AL845" t="n">
        <v>57</v>
      </c>
      <c r="AM845" t="inlineStr">
        <is>
          <t>PERGAMON-ELSEVIER SCIENCE LTD</t>
        </is>
      </c>
      <c r="AN845" t="inlineStr">
        <is>
          <t>OXFORD</t>
        </is>
      </c>
      <c r="AO845" t="inlineStr">
        <is>
          <t>THE BOULEVARD, LANGFORD LANE, KIDLINGTON, OXFORD OX5 1GB, ENGLAND</t>
        </is>
      </c>
      <c r="AP845" t="inlineStr">
        <is>
          <t>1352-2310</t>
        </is>
      </c>
      <c r="AQ845" t="inlineStr">
        <is>
          <t>1873-2844</t>
        </is>
      </c>
      <c r="AS845" t="inlineStr">
        <is>
          <t>ATMOS ENVIRON</t>
        </is>
      </c>
      <c r="AT845" t="inlineStr">
        <is>
          <t>Atmos. Environ.</t>
        </is>
      </c>
      <c r="AU845" t="inlineStr">
        <is>
          <t>MAY</t>
        </is>
      </c>
      <c r="AV845" t="n">
        <v>2015</v>
      </c>
      <c r="AW845" t="n">
        <v>109</v>
      </c>
      <c r="BC845" t="n">
        <v>139</v>
      </c>
      <c r="BD845" t="n">
        <v>146</v>
      </c>
      <c r="BF845" t="inlineStr">
        <is>
          <t>10.1016/j.atmosenv.2015.03.026</t>
        </is>
      </c>
      <c r="BG845">
        <f>HYPERLINK("http://dx.doi.org/10.1016/j.atmosenv.2015.03.026","http://dx.doi.org/10.1016/j.atmosenv.2015.03.026")</f>
        <v/>
      </c>
      <c r="BJ845" t="n">
        <v>8</v>
      </c>
      <c r="BK845" t="inlineStr">
        <is>
          <t>Environmental Sciences; Meteorology &amp; Atmospheric Sciences</t>
        </is>
      </c>
      <c r="BL845" t="inlineStr">
        <is>
          <t>Science Citation Index Expanded (SCI-EXPANDED)</t>
        </is>
      </c>
      <c r="BM845" t="inlineStr">
        <is>
          <t>Environmental Sciences &amp; Ecology; Meteorology &amp; Atmospheric Sciences</t>
        </is>
      </c>
      <c r="BN845" t="inlineStr">
        <is>
          <t>CH6MF</t>
        </is>
      </c>
      <c r="BP845" t="inlineStr">
        <is>
          <t>Green Published</t>
        </is>
      </c>
      <c r="BS845" t="inlineStr">
        <is>
          <t>2023-10-26</t>
        </is>
      </c>
      <c r="BT845" t="inlineStr">
        <is>
          <t>WOS:000354150000016</t>
        </is>
      </c>
      <c r="BU845">
        <f>HYPERLINK("https%3A%2F%2Fwww.webofscience.com%2Fwos%2Fwoscc%2Ffull-record%2FWOS:000354150000016","View Full Record in Web of Science")</f>
        <v/>
      </c>
    </row>
    <row r="846">
      <c r="A846" t="inlineStr">
        <is>
          <t>J</t>
        </is>
      </c>
      <c r="B846" t="inlineStr">
        <is>
          <t>Kang, E; Park, EJ</t>
        </is>
      </c>
      <c r="F846" t="inlineStr">
        <is>
          <t>Kang, Eunki; Park, Eun Joo</t>
        </is>
      </c>
      <c r="J846" t="inlineStr">
        <is>
          <t>SUSTAINABILITY</t>
        </is>
      </c>
      <c r="M846" t="inlineStr">
        <is>
          <t>English</t>
        </is>
      </c>
      <c r="N846" t="inlineStr">
        <is>
          <t>Article</t>
        </is>
      </c>
      <c r="T846" t="inlineStr">
        <is>
          <t>Phenomenological Transparency through Depth of Inside/Outside for a Sustainable Architectural Environment</t>
        </is>
      </c>
      <c r="U846" t="inlineStr">
        <is>
          <t>Maurice Merleau-Ponty; SANAA; depth; phenomenology; sustainable model for architectural transparency</t>
        </is>
      </c>
      <c r="V846" t="inlineStr">
        <is>
          <t>SPACE; ART</t>
        </is>
      </c>
      <c r="W846" t="inlineStr">
        <is>
          <t>The potential relationship between external and internal spaces in the architectural environment of the post-pandemic era is emerging as an essential issue. Since the early 20th century, the issue of transparency inside and outside architecture has been explored in various fields. This study is motivated by the lack of a leading theory about architectural transparency in the post-pandemic era. First, it revisits the notion of phenomenal transparency in Colin Rowe and Robert Slutzky's influential text on literal and phenomenal transparency. Next, it investigates Maurice Merleau-Ponty's phenomenology for architectural transparency. Last, it scrutinizes practical possibilities using cases from Sejima and Nishizawa and Associates (SAANA). It finds that intertwining the cognition of natural environment and spatial experiential perceptions can create phenomenological architectural experiences. Sustainable architectural transparency may be accomplished when three factors (the visual perception of space, spatial experiential perceptions, and the cognition of natural environment) are incorporated. Further, depth functions as a medium for architectural transparency, intertwining between material and immaterial, literal and phenomenal, and visible and invisible. There is tremendous potential to conduct pilot studies based on this study, to re-evaluate architectural transparency with phenomenological ideas.</t>
        </is>
      </c>
      <c r="X846" t="inlineStr">
        <is>
          <t>[Kang, Eunki] Kumoh Natl Inst Technol, Dept Architecture, Gumi 39177, South Korea; [Park, Eun Joo] Sejong Univ, Dept Architecture, Seoul 05006, South Korea</t>
        </is>
      </c>
      <c r="Y846" t="inlineStr">
        <is>
          <t>Kumoh National University Technology; Sejong University</t>
        </is>
      </c>
      <c r="Z846" t="inlineStr">
        <is>
          <t>Kang, E (corresponding author), Kumoh Natl Inst Technol, Dept Architecture, Gumi 39177, South Korea.;Park, EJ (corresponding author), Sejong Univ, Dept Architecture, Seoul 05006, South Korea.</t>
        </is>
      </c>
      <c r="AA846" t="inlineStr">
        <is>
          <t>eunggi5251@gmail.com; ej_park@sejong.ac.kr</t>
        </is>
      </c>
      <c r="AC846" t="inlineStr">
        <is>
          <t>PARK, EUN JOO/0000-0002-9176-991X; Kang, Eunki/0000-0002-8920-3976</t>
        </is>
      </c>
      <c r="AD846" t="inlineStr">
        <is>
          <t>Basic Science Research Program through the National Research Foundation of Korea(NRF) - Ministry of Education [2021R1I1A1A01059949]; National Research Foundation of Korea [2021R1I1A1A01059949] Funding Source: Korea Institute of Science &amp; Technology Information (KISTI), National Science &amp; Technology Information Service (NTIS)</t>
        </is>
      </c>
      <c r="AE846" t="inlineStr">
        <is>
          <t>Basic Science Research Program through the National Research Foundation of Korea(NRF) - Ministry of Education; National Research Foundation of Korea(National Research Foundation of Korea)</t>
        </is>
      </c>
      <c r="AF846" t="inlineStr">
        <is>
          <t>This research was supported by Basic Science Research Program through the National Research Foundation of Korea(NRF) funded by the Ministry of Education (2021R1I1A1A01059949).</t>
        </is>
      </c>
      <c r="AH846" t="n">
        <v>50</v>
      </c>
      <c r="AI846" t="n">
        <v>2</v>
      </c>
      <c r="AJ846" t="n">
        <v>2</v>
      </c>
      <c r="AK846" t="n">
        <v>2</v>
      </c>
      <c r="AL846" t="n">
        <v>8</v>
      </c>
      <c r="AM846" t="inlineStr">
        <is>
          <t>MDPI</t>
        </is>
      </c>
      <c r="AN846" t="inlineStr">
        <is>
          <t>BASEL</t>
        </is>
      </c>
      <c r="AO846" t="inlineStr">
        <is>
          <t>ST ALBAN-ANLAGE 66, CH-4052 BASEL, SWITZERLAND</t>
        </is>
      </c>
      <c r="AQ846" t="inlineStr">
        <is>
          <t>2071-1050</t>
        </is>
      </c>
      <c r="AS846" t="inlineStr">
        <is>
          <t>SUSTAINABILITY-BASEL</t>
        </is>
      </c>
      <c r="AT846" t="inlineStr">
        <is>
          <t>Sustainability</t>
        </is>
      </c>
      <c r="AU846" t="inlineStr">
        <is>
          <t>AUG</t>
        </is>
      </c>
      <c r="AV846" t="n">
        <v>2021</v>
      </c>
      <c r="AW846" t="n">
        <v>13</v>
      </c>
      <c r="AX846" t="n">
        <v>16</v>
      </c>
      <c r="BE846" t="n">
        <v>9046</v>
      </c>
      <c r="BF846" t="inlineStr">
        <is>
          <t>10.3390/su13169046</t>
        </is>
      </c>
      <c r="BG846">
        <f>HYPERLINK("http://dx.doi.org/10.3390/su13169046","http://dx.doi.org/10.3390/su13169046")</f>
        <v/>
      </c>
      <c r="BJ846" t="n">
        <v>18</v>
      </c>
      <c r="BK846" t="inlineStr">
        <is>
          <t>Green &amp; Sustainable Science &amp; Technology; Environmental Sciences; Environmental Studies</t>
        </is>
      </c>
      <c r="BL846" t="inlineStr">
        <is>
          <t>Science Citation Index Expanded (SCI-EXPANDED); Social Science Citation Index (SSCI)</t>
        </is>
      </c>
      <c r="BM846" t="inlineStr">
        <is>
          <t>Science &amp; Technology - Other Topics; Environmental Sciences &amp; Ecology</t>
        </is>
      </c>
      <c r="BN846" t="inlineStr">
        <is>
          <t>UH2JK</t>
        </is>
      </c>
      <c r="BP846" t="inlineStr">
        <is>
          <t>gold</t>
        </is>
      </c>
      <c r="BS846" t="inlineStr">
        <is>
          <t>2023-10-26</t>
        </is>
      </c>
      <c r="BT846" t="inlineStr">
        <is>
          <t>WOS:000689764000001</t>
        </is>
      </c>
      <c r="BU846">
        <f>HYPERLINK("https%3A%2F%2Fwww.webofscience.com%2Fwos%2Fwoscc%2Ffull-record%2FWOS:000689764000001","View Full Record in Web of Science")</f>
        <v/>
      </c>
    </row>
    <row r="847">
      <c r="A847" t="inlineStr">
        <is>
          <t>J</t>
        </is>
      </c>
      <c r="B847" t="inlineStr">
        <is>
          <t>Pelliccioni, A; Gherardi, M</t>
        </is>
      </c>
      <c r="F847" t="inlineStr">
        <is>
          <t>Pelliccioni, Armando; Gherardi, Monica</t>
        </is>
      </c>
      <c r="J847" t="inlineStr">
        <is>
          <t>ATMOSPHERIC ENVIRONMENT</t>
        </is>
      </c>
      <c r="M847" t="inlineStr">
        <is>
          <t>English</t>
        </is>
      </c>
      <c r="N847" t="inlineStr">
        <is>
          <t>Article</t>
        </is>
      </c>
      <c r="T847" t="inlineStr">
        <is>
          <t>Development and validation of an intra-calibration procedure for MiniDISCs measuring ultrafine particles in multi-spatial indoor environments</t>
        </is>
      </c>
      <c r="U847" t="inlineStr">
        <is>
          <t>Indoor; UFPs monitoring; Particle number concentration; Particle modal size</t>
        </is>
      </c>
      <c r="V847" t="inlineStr">
        <is>
          <t>DIFFUSION SIZE CLASSIFIER; PARTICULATE AIR-POLLUTION; PERSONAL EXPOSURE; OUTDOOR ORIGIN; BLACK CARBON; QUALITY; FINE; NANOPARTICLES; COMPARABILITY; VARIABILITY</t>
        </is>
      </c>
      <c r="W847" t="inlineStr">
        <is>
          <t>Since the real exposure to indoor ultrafine particles depends on temporal and spatial variation of aerosol concentration, particles dynamic behavior becomes relevant in studying indoor pollution. With this aim, the characterization of Ultrafine Particles (UFPs) variability within different environments (multi-spatial indoor environments) can be regarded as a specific tool in assessing the human exposure. In the case of urban indoor environments, instruments able to measure UFPs at high time resolution with high sensitivity are needed, lightweight and silent. For this purpose, personal monitors unipolar diffusion charging based could be used for their ease of use. Among them, Miniature DIffusion Size Classifier (MiniDISC), a small, silent and wearable analyzer measures particle number concentration, particle modal size and lung deposited surface area of nanoparticles at high time resolution, for dynamic or static use. Nevertheless, the typical +/- 30% accuracy specified by the manufacturer does not make this sensor reliable enough to measure gradients of urban doses of UFPs occurring in multi-spatial indoor environments. The presented work aims at improving the performances of MiniDISCs for their use in simultaneous measurement of urban UFPs by a multiple set-up, such as in indoor environments inside a building. For this purpose, a new intra-calibration procedure has been developed among MiniDISCs, named Best Intracalibration (BIC), which corrects data of electrical signals of two or more instruments to those of one selected as reference. Compared to a linear regression analysis for PNC of UFPs, BIC procedure has two main advantages. First, it makes it possible to improve simultaneously the precision of particle number concentration (PNC) and particle modal size (PMS). Secondly, it allows multiple instruments to operate as a fleet, such as a spatial delocalization of an instrument in multiple environments. The procedure was tested in realistic environmental conditions, evaluating indoor PNC and PMS of UFPs by both parallel samplings and multi-spatial samplings. Three types of monitoring campaigns were carried out: inter-comparisons between PNC of UFPs from three MiniDISCs and one Condensation Particle Counter; intracomparisons between PNC and PMS of UFPs from thre MiniDISCs; urban monitoring in-field campaign of UFPs with three MiniDISCs in an indoor workplace, a physic laboratory, in the next hallway and outside. The latter campaign aimed at evaluating how UFPs are influenced by the interaction among different environments inside the building and by the work activity. For these purposes, the dynamical behavior and the ratios Indoor to Outdoor were investigated, in addition to a novel ratio Indoor to Hallway. The BIC procedure allows increasing the precision measured by the weighted coefficients of variation CVs of about 7 times. Theresults support the novel Intra-calibration procedure to improve the intra variability of MiniDISCs in parallel sampling, making them attractive for measuring UFPs by both the metrics PNC and PMS in multi-spatial indoor environments.</t>
        </is>
      </c>
      <c r="X847" t="inlineStr">
        <is>
          <t>[Pelliccioni, Armando; Gherardi, Monica] Natl Inst Insurance Accid Work INAIL, Via Fontana Candida 1, I-0040 Rome, Italy</t>
        </is>
      </c>
      <c r="Y847" t="inlineStr">
        <is>
          <t>Istituto Nazionale per l'Assicurazione Contro gli Infortuni sul Lavoro (INAIL)</t>
        </is>
      </c>
      <c r="Z847" t="inlineStr">
        <is>
          <t>Pelliccioni, A (corresponding author), Natl Inst Insurance Accid Work INAIL, Via Fontana Candida 1, I-0040 Rome, Italy.</t>
        </is>
      </c>
      <c r="AA847" t="inlineStr">
        <is>
          <t>a.pelliccioni@inail.it</t>
        </is>
      </c>
      <c r="AB847" t="inlineStr">
        <is>
          <t>Pelliccioni, Armando/AAT-6538-2021</t>
        </is>
      </c>
      <c r="AD847" t="inlineStr">
        <is>
          <t>INAIL</t>
        </is>
      </c>
      <c r="AE847" t="inlineStr">
        <is>
          <t>INAIL</t>
        </is>
      </c>
      <c r="AF847" t="inlineStr">
        <is>
          <t>The authors are greatful to the INAIL for funding and supporting the research activity. The authors would also like to thank Dr. R. Ferrante and Dr. G. Tranfo of INAIL (Italy) for sharing some instruments and offering valuable comments respectively.</t>
        </is>
      </c>
      <c r="AH847" t="n">
        <v>70</v>
      </c>
      <c r="AI847" t="n">
        <v>8</v>
      </c>
      <c r="AJ847" t="n">
        <v>8</v>
      </c>
      <c r="AK847" t="n">
        <v>1</v>
      </c>
      <c r="AL847" t="n">
        <v>11</v>
      </c>
      <c r="AM847" t="inlineStr">
        <is>
          <t>PERGAMON-ELSEVIER SCIENCE LTD</t>
        </is>
      </c>
      <c r="AN847" t="inlineStr">
        <is>
          <t>OXFORD</t>
        </is>
      </c>
      <c r="AO847" t="inlineStr">
        <is>
          <t>THE BOULEVARD, LANGFORD LANE, KIDLINGTON, OXFORD OX5 1GB, ENGLAND</t>
        </is>
      </c>
      <c r="AP847" t="inlineStr">
        <is>
          <t>1352-2310</t>
        </is>
      </c>
      <c r="AQ847" t="inlineStr">
        <is>
          <t>1873-2844</t>
        </is>
      </c>
      <c r="AS847" t="inlineStr">
        <is>
          <t>ATMOS ENVIRON</t>
        </is>
      </c>
      <c r="AT847" t="inlineStr">
        <is>
          <t>Atmos. Environ.</t>
        </is>
      </c>
      <c r="AU847" t="inlineStr">
        <is>
          <t>FEB 1</t>
        </is>
      </c>
      <c r="AV847" t="n">
        <v>2021</v>
      </c>
      <c r="AW847" t="n">
        <v>246</v>
      </c>
      <c r="BE847" t="n">
        <v>118154</v>
      </c>
      <c r="BF847" t="inlineStr">
        <is>
          <t>10.1016/j.atmosenv.2020.118154</t>
        </is>
      </c>
      <c r="BG847">
        <f>HYPERLINK("http://dx.doi.org/10.1016/j.atmosenv.2020.118154","http://dx.doi.org/10.1016/j.atmosenv.2020.118154")</f>
        <v/>
      </c>
      <c r="BJ847" t="n">
        <v>10</v>
      </c>
      <c r="BK847" t="inlineStr">
        <is>
          <t>Environmental Sciences; Meteorology &amp; Atmospheric Sciences</t>
        </is>
      </c>
      <c r="BL847" t="inlineStr">
        <is>
          <t>Science Citation Index Expanded (SCI-EXPANDED)</t>
        </is>
      </c>
      <c r="BM847" t="inlineStr">
        <is>
          <t>Environmental Sciences &amp; Ecology; Meteorology &amp; Atmospheric Sciences</t>
        </is>
      </c>
      <c r="BN847" t="inlineStr">
        <is>
          <t>QA6KD</t>
        </is>
      </c>
      <c r="BS847" t="inlineStr">
        <is>
          <t>2023-10-26</t>
        </is>
      </c>
      <c r="BT847" t="inlineStr">
        <is>
          <t>WOS:000613551600002</t>
        </is>
      </c>
      <c r="BU847">
        <f>HYPERLINK("https%3A%2F%2Fwww.webofscience.com%2Fwos%2Fwoscc%2Ffull-record%2FWOS:000613551600002","View Full Record in Web of Science")</f>
        <v/>
      </c>
    </row>
    <row r="848">
      <c r="A848" t="inlineStr">
        <is>
          <t>J</t>
        </is>
      </c>
      <c r="B848" t="inlineStr">
        <is>
          <t>Rój, J</t>
        </is>
      </c>
      <c r="F848" t="inlineStr">
        <is>
          <t>Roj, Justyna</t>
        </is>
      </c>
      <c r="J848" t="inlineStr">
        <is>
          <t>INTERNATIONAL JOURNAL OF ENVIRONMENTAL RESEARCH AND PUBLIC HEALTH</t>
        </is>
      </c>
      <c r="M848" t="inlineStr">
        <is>
          <t>English</t>
        </is>
      </c>
      <c r="N848" t="inlineStr">
        <is>
          <t>Article</t>
        </is>
      </c>
      <c r="T848" t="inlineStr">
        <is>
          <t>What Determines the Acceptance and Use of eHealth by Older Adults in Poland?</t>
        </is>
      </c>
      <c r="U848" t="inlineStr">
        <is>
          <t>eHealth; older adults; nested regression analysis; UTAUT model</t>
        </is>
      </c>
      <c r="V848" t="inlineStr">
        <is>
          <t>INFORMATION-TECHNOLOGY; HEALTH-SERVICES; UNIFIED THEORY; SELF-EFFICACY; MODEL; CARE; TELEMEDICINE; PERCEPTIONS; BARRIERS; ADOPTION</t>
        </is>
      </c>
      <c r="W848" t="inlineStr">
        <is>
          <t>An aging population is considered a major challenge for governments and healthcare planners. eHealth is perceived as a tool with the potential to ensure efficient healthcare. Moreover, eHealth services may help older adults to maintain longer life in good health. However, there are still several challenges to the large-scale implementation of these solutions among older adults. Therefore, the aim of this study was to explore determinants of the acceptance and use of eHealth by older adults in Poland. Data was collected by the questionnaire, and the UTAUT model was employed. This research covered older adults aged 60 to 69. The analysis of the results using nested regression analysis showed that performance expectancy has a strong significance on the older adults' acceptance and use of eHealth, followed by effort expectancy and social influence. In contrast, facilitating conditions do not have a significant influence on the acceptance and use of eHealth. These findings may also be beneficial for the government to provide relative policies to support the development and usage of eHealth services as well as for the healthcare devices industry to design more older adult-oriented products.</t>
        </is>
      </c>
      <c r="X848" t="inlineStr">
        <is>
          <t>[Roj, Justyna] Poznan Univ Econ &amp; Business, Dept Operat Res &amp; Math Econ, Al Niepodleglosci 10, PL-61875 Pozna, Poland</t>
        </is>
      </c>
      <c r="Z848" t="inlineStr">
        <is>
          <t>Rój, J (corresponding author), Poznan Univ Econ &amp; Business, Dept Operat Res &amp; Math Econ, Al Niepodleglosci 10, PL-61875 Pozna, Poland.</t>
        </is>
      </c>
      <c r="AA848" t="inlineStr">
        <is>
          <t>justyna.roj@ue.poznan.pl</t>
        </is>
      </c>
      <c r="AC848" t="inlineStr">
        <is>
          <t>Roj, Justyna/0000-0003-0570-1386</t>
        </is>
      </c>
      <c r="AD848" t="inlineStr">
        <is>
          <t>Regional Initiative for Excellence programme of the Minister of Education and Science of Poland; [004/RID/2018/19]</t>
        </is>
      </c>
      <c r="AE848" t="inlineStr">
        <is>
          <t>Regional Initiative for Excellence programme of the Minister of Education and Science of Poland;</t>
        </is>
      </c>
      <c r="AF848" t="inlineStr">
        <is>
          <t>The project financed within the Regional Initiative for Excellence programme of the Minister of Education and Science of Poland, years 2019-2023, grant no. 004/RID/2018/19, financing 3,000,000 PLN.</t>
        </is>
      </c>
      <c r="AH848" t="n">
        <v>107</v>
      </c>
      <c r="AI848" t="n">
        <v>2</v>
      </c>
      <c r="AJ848" t="n">
        <v>2</v>
      </c>
      <c r="AK848" t="n">
        <v>2</v>
      </c>
      <c r="AL848" t="n">
        <v>7</v>
      </c>
      <c r="AM848" t="inlineStr">
        <is>
          <t>MDPI</t>
        </is>
      </c>
      <c r="AN848" t="inlineStr">
        <is>
          <t>BASEL</t>
        </is>
      </c>
      <c r="AO848" t="inlineStr">
        <is>
          <t>ST ALBAN-ANLAGE 66, CH-4052 BASEL, SWITZERLAND</t>
        </is>
      </c>
      <c r="AQ848" t="inlineStr">
        <is>
          <t>1660-4601</t>
        </is>
      </c>
      <c r="AS848" t="inlineStr">
        <is>
          <t>INT J ENV RES PUB HE</t>
        </is>
      </c>
      <c r="AT848" t="inlineStr">
        <is>
          <t>Int. J. Environ. Res. Public Health</t>
        </is>
      </c>
      <c r="AU848" t="inlineStr">
        <is>
          <t>DEC</t>
        </is>
      </c>
      <c r="AV848" t="n">
        <v>2022</v>
      </c>
      <c r="AW848" t="n">
        <v>19</v>
      </c>
      <c r="AX848" t="n">
        <v>23</v>
      </c>
      <c r="BE848" t="n">
        <v>15643</v>
      </c>
      <c r="BF848" t="inlineStr">
        <is>
          <t>10.3390/ijerph192315643</t>
        </is>
      </c>
      <c r="BG848">
        <f>HYPERLINK("http://dx.doi.org/10.3390/ijerph192315643","http://dx.doi.org/10.3390/ijerph192315643")</f>
        <v/>
      </c>
      <c r="BJ848" t="n">
        <v>16</v>
      </c>
      <c r="BK848" t="inlineStr">
        <is>
          <t>Environmental Sciences; Public, Environmental &amp; Occupational Health</t>
        </is>
      </c>
      <c r="BL848" t="inlineStr">
        <is>
          <t>Science Citation Index Expanded (SCI-EXPANDED); Social Science Citation Index (SSCI)</t>
        </is>
      </c>
      <c r="BM848" t="inlineStr">
        <is>
          <t>Environmental Sciences &amp; Ecology; Public, Environmental &amp; Occupational Health</t>
        </is>
      </c>
      <c r="BN848" t="inlineStr">
        <is>
          <t>6X0AO</t>
        </is>
      </c>
      <c r="BO848" t="n">
        <v>36497717</v>
      </c>
      <c r="BP848" t="inlineStr">
        <is>
          <t>Green Published, gold</t>
        </is>
      </c>
      <c r="BS848" t="inlineStr">
        <is>
          <t>2023-10-26</t>
        </is>
      </c>
      <c r="BT848" t="inlineStr">
        <is>
          <t>WOS:000896086900001</t>
        </is>
      </c>
      <c r="BU848">
        <f>HYPERLINK("https%3A%2F%2Fwww.webofscience.com%2Fwos%2Fwoscc%2Ffull-record%2FWOS:000896086900001","View Full Record in Web of Science")</f>
        <v/>
      </c>
    </row>
    <row r="849">
      <c r="A849" t="inlineStr">
        <is>
          <t>J</t>
        </is>
      </c>
      <c r="B849" t="inlineStr">
        <is>
          <t>Tan, SY; Tey, SL; Brown, R</t>
        </is>
      </c>
      <c r="F849" t="inlineStr">
        <is>
          <t>Tan, Sze-Yen; Tey, Siew Ling; Brown, Rachel</t>
        </is>
      </c>
      <c r="J849" t="inlineStr">
        <is>
          <t>INTERNATIONAL JOURNAL OF ENVIRONMENTAL RESEARCH AND PUBLIC HEALTH</t>
        </is>
      </c>
      <c r="M849" t="inlineStr">
        <is>
          <t>English</t>
        </is>
      </c>
      <c r="N849" t="inlineStr">
        <is>
          <t>Review</t>
        </is>
      </c>
      <c r="T849" t="inlineStr">
        <is>
          <t>Nuts and Older Adults' Health: A Narrative Review</t>
        </is>
      </c>
      <c r="U849" t="inlineStr">
        <is>
          <t>nuts; older adults; ageing; quality of life; telomere; sarcopenia; cognition; diet quality</t>
        </is>
      </c>
      <c r="V849" t="inlineStr">
        <is>
          <t>NUTRITION EXAMINATION SURVEY; CARDIOVASCULAR-DISEASE RISK; LEUKOCYTE TELOMERE LENGTH; INCREASED LIFE EXPECTANCY; MEDITERRANEAN DIET; COGNITIVE FUNCTION; PREDIMED-NAVARRA; NATIONAL-HEALTH; CONSUMPTION; CANCER</t>
        </is>
      </c>
      <c r="W849" t="inlineStr">
        <is>
          <t>Although the beneficial effects of nuts on cardiometabolic diseases have been well established, little is known about the effects of nuts on age-related diseases. Given that age-related diseases share many biological pathways with cardiometabolic diseases, it is plausible that diets rich in nuts might be beneficial in ameliorating age-related conditions. The objective of this review was to summarise the findings from studies that have examined the associations or effects of nut consumption, either alone or as part of the dietary pattern, on three major age-related factors-telomere length, sarcopenia, and cognitive function-in older adults. Overall, the currently available evidence suggests that nut consumption, particularly when consumed as part of a healthy diet or over a prolonged period, is associated with positive outcomes such as longer telomere length, reduced risk of sarcopenia, and better cognition in older adults. Future studies that are interventional, long-term, and adequately powered are required to draw definitive conclusions on the effects of nut consumption on age-related diseases, in order to inform dietary recommendations to incorporate nuts into the habitual diet of older adults.</t>
        </is>
      </c>
      <c r="X849" t="inlineStr">
        <is>
          <t>[Tan, Sze-Yen] Deakin Univ, Inst Phys Act &amp; Nutr IPAN, Sch Exercise &amp; Nutr Sci, Geelong, Vic 3220, Australia; [Tey, Siew Ling; Brown, Rachel] Univ Otago, Dept Human Nutr, POB 56, Dunedin 9054, New Zealand</t>
        </is>
      </c>
      <c r="Y849" t="inlineStr">
        <is>
          <t>Deakin University; University of Otago</t>
        </is>
      </c>
      <c r="Z849" t="inlineStr">
        <is>
          <t>Tan, SY (corresponding author), Deakin Univ, Inst Phys Act &amp; Nutr IPAN, Sch Exercise &amp; Nutr Sci, Geelong, Vic 3220, Australia.</t>
        </is>
      </c>
      <c r="AA849" t="inlineStr">
        <is>
          <t>szeyen.tan@deakin.edu.au; siewling.tey@otago.ac.nz; rachel.brown@otago.ac.nz</t>
        </is>
      </c>
      <c r="AB849" t="inlineStr">
        <is>
          <t>Tan, Sze Yen/H-5796-2019; Tey, Siew Ling/AAV-8115-2021</t>
        </is>
      </c>
      <c r="AC849" t="inlineStr">
        <is>
          <t>Tan, Sze Yen/0000-0002-9607-202X; Brown, Rachel/0000-0001-6951-7073</t>
        </is>
      </c>
      <c r="AH849" t="n">
        <v>86</v>
      </c>
      <c r="AI849" t="n">
        <v>11</v>
      </c>
      <c r="AJ849" t="n">
        <v>11</v>
      </c>
      <c r="AK849" t="n">
        <v>1</v>
      </c>
      <c r="AL849" t="n">
        <v>9</v>
      </c>
      <c r="AM849" t="inlineStr">
        <is>
          <t>MDPI</t>
        </is>
      </c>
      <c r="AN849" t="inlineStr">
        <is>
          <t>BASEL</t>
        </is>
      </c>
      <c r="AO849" t="inlineStr">
        <is>
          <t>ST ALBAN-ANLAGE 66, CH-4052 BASEL, SWITZERLAND</t>
        </is>
      </c>
      <c r="AQ849" t="inlineStr">
        <is>
          <t>1660-4601</t>
        </is>
      </c>
      <c r="AS849" t="inlineStr">
        <is>
          <t>INT J ENV RES PUB HE</t>
        </is>
      </c>
      <c r="AT849" t="inlineStr">
        <is>
          <t>Int. J. Environ. Res. Public Health</t>
        </is>
      </c>
      <c r="AU849" t="inlineStr">
        <is>
          <t>FEB</t>
        </is>
      </c>
      <c r="AV849" t="n">
        <v>2021</v>
      </c>
      <c r="AW849" t="n">
        <v>18</v>
      </c>
      <c r="AX849" t="n">
        <v>4</v>
      </c>
      <c r="BE849" t="n">
        <v>1848</v>
      </c>
      <c r="BF849" t="inlineStr">
        <is>
          <t>10.3390/ijerph18041848</t>
        </is>
      </c>
      <c r="BG849">
        <f>HYPERLINK("http://dx.doi.org/10.3390/ijerph18041848","http://dx.doi.org/10.3390/ijerph18041848")</f>
        <v/>
      </c>
      <c r="BJ849" t="n">
        <v>26</v>
      </c>
      <c r="BK849" t="inlineStr">
        <is>
          <t>Environmental Sciences; Public, Environmental &amp; Occupational Health</t>
        </is>
      </c>
      <c r="BL849" t="inlineStr">
        <is>
          <t>Science Citation Index Expanded (SCI-EXPANDED); Social Science Citation Index (SSCI)</t>
        </is>
      </c>
      <c r="BM849" t="inlineStr">
        <is>
          <t>Environmental Sciences &amp; Ecology; Public, Environmental &amp; Occupational Health</t>
        </is>
      </c>
      <c r="BN849" t="inlineStr">
        <is>
          <t>QP0XC</t>
        </is>
      </c>
      <c r="BO849" t="n">
        <v>33672861</v>
      </c>
      <c r="BP849" t="inlineStr">
        <is>
          <t>Green Published, gold</t>
        </is>
      </c>
      <c r="BS849" t="inlineStr">
        <is>
          <t>2023-10-26</t>
        </is>
      </c>
      <c r="BT849" t="inlineStr">
        <is>
          <t>WOS:000623559900001</t>
        </is>
      </c>
      <c r="BU849">
        <f>HYPERLINK("https%3A%2F%2Fwww.webofscience.com%2Fwos%2Fwoscc%2Ffull-record%2FWOS:000623559900001","View Full Record in Web of Science")</f>
        <v/>
      </c>
    </row>
    <row r="850">
      <c r="A850" t="inlineStr">
        <is>
          <t>J</t>
        </is>
      </c>
      <c r="B850" t="inlineStr">
        <is>
          <t>Xiang, XW; Wu, Q; Zhang, Y; Zhu, BF; Wang, XJ; Wan, AP; Huang, TL; Hu, LK</t>
        </is>
      </c>
      <c r="F850" t="inlineStr">
        <is>
          <t>Xiang, Xingwei; Wu, Qian; Zhang, Ye; Zhu, Bifeng; Wang, Xiaoji; Wan, Anping; Huang, Tongle; Hu, Luoke</t>
        </is>
      </c>
      <c r="J850" t="inlineStr">
        <is>
          <t>SUSTAINABILITY</t>
        </is>
      </c>
      <c r="M850" t="inlineStr">
        <is>
          <t>English</t>
        </is>
      </c>
      <c r="N850" t="inlineStr">
        <is>
          <t>Article</t>
        </is>
      </c>
      <c r="T850" t="inlineStr">
        <is>
          <t>A Pedagogical Approach to Incorporating the Concept of Sustainability into Design-to-Physical-Construction Teaching in Introductory Architectural Design Courses: A Case Study on a Bamboo Construction Project</t>
        </is>
      </c>
      <c r="U850" t="inlineStr">
        <is>
          <t>sustainable architectural education; sustainability; architectural design teaching; architectural education among lower levels; learning by doing</t>
        </is>
      </c>
      <c r="V850" t="inlineStr">
        <is>
          <t>CONCEPT MAPS; EDUCATION; ENERGY; KNOWLEDGE; THINKING</t>
        </is>
      </c>
      <c r="W850" t="inlineStr">
        <is>
          <t>Sustainable architectural education is offered in colleges and universities all over the world. Studies have emphasized the importance of sustainable architectural education in introductory courses of architecture major programs, but methods and strategies for teaching sustainable architecture at lower levels are scarce. This study focuses on the design-to-physical-construction process and creates a teaching framework that incorporates the concept of sustainable development from the perspectives of sustainable economy, environment and society. Based on the teaching method of learning through the design-to-physical-construction process and referring to the grounded theory, a case study on a bamboo construction project was conducted to explore approaches and strategies of sustainable architectural education in introductory courses. Results reveal that five systems, including the system of sustainable development, consist of a framework that illustrated the teaching effects. Based on the framework, we discovered five factors that should be considered in incorporating the concept of sustainable development into architectural design teaching, including the necessity of conducting sustainable architectural education in introductory courses. This study helps explore the potential role sustainability plays in incorporating interdisciplinary knowledge, connecting specialized knowledge across different program levels, and motivating student learning. It also provides a reference for the practice of sustainable architectural education.</t>
        </is>
      </c>
      <c r="X850" t="inlineStr">
        <is>
          <t>[Xiang, Xingwei; Hu, Luoke] Zhejiang Univ, Sch Mech Engn, Key Lab Adv Mfg Technol Zhejiang Prov, State Key Lab Fluid Power &amp; Mechatron Syst, Hangzhou 310027, Peoples R China; [Wu, Qian; Huang, Tongle] Zhejiang Univ Sci &amp; Technol, Sch Civil Engn &amp; Architecture, Hangzhou 310023, Peoples R China; [Zhang, Ye] Tianjin Univ, Dept Architecture, Tianjin 112000, Peoples R China; [Zhu, Bifeng] Zhejiang Univ Technol, Dept Architecture, Zhijiang Coll, Shaoxing 312030, Peoples R China; [Wang, Xiaoji] Univ Queensland, Sch Languages &amp; Cultures, Brisbane, Qld 4072, Australia; [Wan, Anping] Zhejiang Normal Univ, Key Lab Urban Rail Transit Intelligent Operat &amp; M, Jinhua 321005, Zhejiang, Peoples R China</t>
        </is>
      </c>
      <c r="Y850" t="inlineStr">
        <is>
          <t>Zhejiang University; Zhejiang University of Science &amp; Technology; Tianjin University; Zhejiang University of Technology; University of Queensland; Zhejiang Normal University</t>
        </is>
      </c>
      <c r="Z850" t="inlineStr">
        <is>
          <t>Wu, Q (corresponding author), Zhejiang Univ Sci &amp; Technol, Sch Civil Engn &amp; Architecture, Hangzhou 310023, Peoples R China.</t>
        </is>
      </c>
      <c r="AA850" t="inlineStr">
        <is>
          <t>xiangxingwei@zju.edu.cn; wuqian@zust.edu.cn; zhang.ye@tju.edu.cn; a9dbb008@eng.kitakyu-u.ac.jp; xiaoji.wang@uqconnect.edu.au; wanap@zucc.edu.cn; 1180540030@zust.edu.cn; 11125069@zju.edu.cn</t>
        </is>
      </c>
      <c r="AB850" t="inlineStr">
        <is>
          <t>Zhu, Bifeng/AAF-7174-2021</t>
        </is>
      </c>
      <c r="AC850" t="inlineStr">
        <is>
          <t>Zhu, Bifeng/0000-0001-6214-3021; wan, anping/0000-0002-1939-8309</t>
        </is>
      </c>
      <c r="AD850" t="inlineStr">
        <is>
          <t>Zhejiang Provincial Postdoctoral Science Foundation [ZJ2020136]; Second Batch of Teaching Reform Research Projects during the 13th Five-Year Plan of Higher Education in Zhejiang [jg20190309]; National Natural Science Foundation of China [51805479]</t>
        </is>
      </c>
      <c r="AE850" t="inlineStr">
        <is>
          <t>Zhejiang Provincial Postdoctoral Science Foundation(China Postdoctoral Science Foundation); Second Batch of Teaching Reform Research Projects during the 13th Five-Year Plan of Higher Education in Zhejiang; National Natural Science Foundation of China(National Natural Science Foundation of China (NSFC))</t>
        </is>
      </c>
      <c r="AF850" t="inlineStr">
        <is>
          <t>This study is supported by Zhejiang Provincial Postdoctoral Science Foundation (Grant No. ZJ2020136), the Second Batch of Teaching Reform Research Projects during the 13th Five-Year Plan of Higher Education in Zhejiang (Grant No. jg20190309), and the National Natural Science Foundation of China (Grant No. 51805479).</t>
        </is>
      </c>
      <c r="AH850" t="n">
        <v>65</v>
      </c>
      <c r="AI850" t="n">
        <v>3</v>
      </c>
      <c r="AJ850" t="n">
        <v>3</v>
      </c>
      <c r="AK850" t="n">
        <v>4</v>
      </c>
      <c r="AL850" t="n">
        <v>22</v>
      </c>
      <c r="AM850" t="inlineStr">
        <is>
          <t>MDPI</t>
        </is>
      </c>
      <c r="AN850" t="inlineStr">
        <is>
          <t>BASEL</t>
        </is>
      </c>
      <c r="AO850" t="inlineStr">
        <is>
          <t>ST ALBAN-ANLAGE 66, CH-4052 BASEL, SWITZERLAND</t>
        </is>
      </c>
      <c r="AQ850" t="inlineStr">
        <is>
          <t>2071-1050</t>
        </is>
      </c>
      <c r="AS850" t="inlineStr">
        <is>
          <t>SUSTAINABILITY-BASEL</t>
        </is>
      </c>
      <c r="AT850" t="inlineStr">
        <is>
          <t>Sustainability</t>
        </is>
      </c>
      <c r="AU850" t="inlineStr">
        <is>
          <t>JUL</t>
        </is>
      </c>
      <c r="AV850" t="n">
        <v>2021</v>
      </c>
      <c r="AW850" t="n">
        <v>13</v>
      </c>
      <c r="AX850" t="n">
        <v>14</v>
      </c>
      <c r="BE850" t="n">
        <v>7692</v>
      </c>
      <c r="BF850" t="inlineStr">
        <is>
          <t>10.3390/su13147692</t>
        </is>
      </c>
      <c r="BG850">
        <f>HYPERLINK("http://dx.doi.org/10.3390/su13147692","http://dx.doi.org/10.3390/su13147692")</f>
        <v/>
      </c>
      <c r="BJ850" t="n">
        <v>29</v>
      </c>
      <c r="BK850" t="inlineStr">
        <is>
          <t>Green &amp; Sustainable Science &amp; Technology; Environmental Sciences; Environmental Studies</t>
        </is>
      </c>
      <c r="BL850" t="inlineStr">
        <is>
          <t>Science Citation Index Expanded (SCI-EXPANDED); Social Science Citation Index (SSCI)</t>
        </is>
      </c>
      <c r="BM850" t="inlineStr">
        <is>
          <t>Science &amp; Technology - Other Topics; Environmental Sciences &amp; Ecology</t>
        </is>
      </c>
      <c r="BN850" t="inlineStr">
        <is>
          <t>TO8GJ</t>
        </is>
      </c>
      <c r="BP850" t="inlineStr">
        <is>
          <t>gold</t>
        </is>
      </c>
      <c r="BS850" t="inlineStr">
        <is>
          <t>2023-10-26</t>
        </is>
      </c>
      <c r="BT850" t="inlineStr">
        <is>
          <t>WOS:000677142400001</t>
        </is>
      </c>
      <c r="BU850">
        <f>HYPERLINK("https%3A%2F%2Fwww.webofscience.com%2Fwos%2Fwoscc%2Ffull-record%2FWOS:000677142400001","View Full Record in Web of Science")</f>
        <v/>
      </c>
    </row>
    <row r="851">
      <c r="A851" t="inlineStr">
        <is>
          <t>J</t>
        </is>
      </c>
      <c r="B851" t="inlineStr">
        <is>
          <t>Pocock, T; Moore, A; Molina-García, J; Queralt, A; Mandic, S</t>
        </is>
      </c>
      <c r="F851" t="inlineStr">
        <is>
          <t>Pocock, Tessa; Moore, Antoni; Molina-Garcia, Javier; Queralt, Ana; Mandic, Sandra</t>
        </is>
      </c>
      <c r="J851" t="inlineStr">
        <is>
          <t>INTERNATIONAL JOURNAL OF ENVIRONMENTAL RESEARCH AND PUBLIC HEALTH</t>
        </is>
      </c>
      <c r="M851" t="inlineStr">
        <is>
          <t>English</t>
        </is>
      </c>
      <c r="N851" t="inlineStr">
        <is>
          <t>Article</t>
        </is>
      </c>
      <c r="T851" t="inlineStr">
        <is>
          <t>School Neighbourhood Built Environment Assessment for Adolescents' Active Transport to School: Modification of an Environmental Audit Tool and Protocol (MAPS Global-SN)</t>
        </is>
      </c>
      <c r="U851" t="inlineStr">
        <is>
          <t>active commuting; educational centre; neighbourhood evaluation; urban environment; walkability; youth</t>
        </is>
      </c>
      <c r="V851" t="inlineStr">
        <is>
          <t>PHYSICAL-ACTIVITY LEVELS; CHILDREN; TRAVEL; PERCEPTIONS; SAFETY; SAMPLE; ROUTE; YOUTH; MODE</t>
        </is>
      </c>
      <c r="W851" t="inlineStr">
        <is>
          <t>School neighbourhood built environments (SN-BE) can influence adolescents' active transport to school habits. Typically, SN-BE assessment has involved micro-scale (i.e., environmental audits) or macro-scale (Geographic Information Systems (GIS)) assessment tools. However, existing environmental audits are time/resource-intensive and not specific to school neighbourhoods, while GIS databases are not generally purposed to include micro-scale data. This study evaluated the inter-rater reliability and feasibility of using a modified audit tool and protocol (Microscale Audit of Pedestrian Streetscapes Global-School Neighbourhood (MAPS Global-SN)) to assess the SN-BE of twelve secondary schools in Dunedin, New Zealand. Correlations between MAPS Global-SN and GIS measures of the SN-BE were also examined. Specifically, MAPS Global-SN audit and GIS spatial analysis (intersection density, residential density, land use mix, walkability) was conducted within a 0.5 km street-network buffer-zone around all twelve schools. Based on investigator and expert consultation, MAPS Global-SN included eight modifications to both auditing processes and items. Inter-rater reliability data was collected from two independent auditors across two schools. The feasibility of a condensed audit protocol (auditing one side of each street segment in the neighbourhood, compared to both sides) was also assessed. Results indicated the modified MAPS Global-SN tool had good to excellent inter-rater reliability and the condensed MAPS Global-SN audit protocol appeared to sufficiently represent the micro-scale SN-BE. Results also highlighted the complementary nature of micro- and macro-scale assessments. Further recommendations for SN-BE assessment are discussed.</t>
        </is>
      </c>
      <c r="X851" t="inlineStr">
        <is>
          <t>[Pocock, Tessa; Mandic, Sandra] Univ Otago, Sch Phys Educ Sport &amp; Exercise Sci, Act Living Lab, POB 56, Dunedin 9054, New Zealand; [Moore, Antoni] Univ Otago, Sch Surveying, POB 56, Dunedin 9054, New Zealand; [Molina-Garcia, Javier] Univ Valencia, Dept Teaching Mus Visual &amp; Corporal Express, Avda Tarongers 4, Valencia 46022, Spain; [Molina-Garcia, Javier; Queralt, Ana] Univ Valencia, AFIPS Res Grp, Valencia 46022, Spain; [Queralt, Ana] Univ Valencia, Dept Nursing, Jaume Roig S-N, Valencia 46010, Spain; [Mandic, Sandra] Univ Otago, Ctr Sustainabil, POB 56, Dunedin 9054, New Zealand</t>
        </is>
      </c>
      <c r="Y851" t="inlineStr">
        <is>
          <t>University of Otago; University of Otago; University of Valencia; University of Valencia; University of Valencia; University of Otago</t>
        </is>
      </c>
      <c r="Z851" t="inlineStr">
        <is>
          <t>Pocock, T (corresponding author), Univ Otago, Sch Phys Educ Sport &amp; Exercise Sci, Act Living Lab, POB 56, Dunedin 9054, New Zealand.</t>
        </is>
      </c>
      <c r="AA851" t="inlineStr">
        <is>
          <t>t.pocock@auckland.ac.nz; tony.moore@otago.ac.nz; javier.molina@uv.es; ana.queralt@uv.es; sandra.mandic@otago.ac.nz</t>
        </is>
      </c>
      <c r="AB851" t="inlineStr">
        <is>
          <t>Pocock, Tessa/ABC-9929-2020; Queralt, Ana/G-4929-2017; Molina-Garcia, Javier/F-7320-2016; Mandic, Sandra/F-2689-2016</t>
        </is>
      </c>
      <c r="AC851" t="inlineStr">
        <is>
          <t>Pocock, Tessa/0000-0002-7692-2031; Queralt, Ana/0000-0003-4933-0003; Molina-Garcia, Javier/0000-0001-6713-5936; Mandic, Sandra/0000-0003-4126-8874</t>
        </is>
      </c>
      <c r="AD851" t="inlineStr">
        <is>
          <t>Health Research Council of New Zealand Emerging Researcher First Grant [14/565]; National Heart Foundation of New Zealand [1602, 1615]; Lottery Health Research Grant [341129]; University of Otago Research Grant [UORG 2014]; Dunedin City Council; School of Physical Education, Sport and Exercise Sciences, University of Otago; University of Otago Master's Scholarship and Publishing Bursary</t>
        </is>
      </c>
      <c r="AE851" t="inlineStr">
        <is>
          <t>Health Research Council of New Zealand Emerging Researcher First Grant(Health Research Council of New Zealand); National Heart Foundation of New Zealand; Lottery Health Research Grant; University of Otago Research Grant; Dunedin City Council; School of Physical Education, Sport and Exercise Sciences, University of Otago; University of Otago Master's Scholarship and Publishing Bursary</t>
        </is>
      </c>
      <c r="AF851" t="inlineStr">
        <is>
          <t>The BEATS Study was supported by the Health Research Council of New Zealand Emerging Researcher First Grant (14/565), National Heart Foundation of New Zealand (1602 and 1615), Lottery Health Research Grant (Applic 341129), University of Otago Research Grant (UORG 2014), Dunedin City Council and internal grants from the School of Physical Education, Sport and Exercise Sciences, University of Otago. TP was supported by a University of Otago Master's Scholarship and Publishing Bursary.</t>
        </is>
      </c>
      <c r="AH851" t="n">
        <v>50</v>
      </c>
      <c r="AI851" t="n">
        <v>4</v>
      </c>
      <c r="AJ851" t="n">
        <v>4</v>
      </c>
      <c r="AK851" t="n">
        <v>5</v>
      </c>
      <c r="AL851" t="n">
        <v>22</v>
      </c>
      <c r="AM851" t="inlineStr">
        <is>
          <t>MDPI</t>
        </is>
      </c>
      <c r="AN851" t="inlineStr">
        <is>
          <t>BASEL</t>
        </is>
      </c>
      <c r="AO851" t="inlineStr">
        <is>
          <t>ST ALBAN-ANLAGE 66, CH-4052 BASEL, SWITZERLAND</t>
        </is>
      </c>
      <c r="AQ851" t="inlineStr">
        <is>
          <t>1660-4601</t>
        </is>
      </c>
      <c r="AS851" t="inlineStr">
        <is>
          <t>INT J ENV RES PUB HE</t>
        </is>
      </c>
      <c r="AT851" t="inlineStr">
        <is>
          <t>Int. J. Environ. Res. Public Health</t>
        </is>
      </c>
      <c r="AU851" t="inlineStr">
        <is>
          <t>APR</t>
        </is>
      </c>
      <c r="AV851" t="n">
        <v>2020</v>
      </c>
      <c r="AW851" t="n">
        <v>17</v>
      </c>
      <c r="AX851" t="n">
        <v>7</v>
      </c>
      <c r="BE851" t="n">
        <v>2194</v>
      </c>
      <c r="BF851" t="inlineStr">
        <is>
          <t>10.3390/ijerph17072194</t>
        </is>
      </c>
      <c r="BG851">
        <f>HYPERLINK("http://dx.doi.org/10.3390/ijerph17072194","http://dx.doi.org/10.3390/ijerph17072194")</f>
        <v/>
      </c>
      <c r="BJ851" t="n">
        <v>17</v>
      </c>
      <c r="BK851" t="inlineStr">
        <is>
          <t>Environmental Sciences; Public, Environmental &amp; Occupational Health</t>
        </is>
      </c>
      <c r="BL851" t="inlineStr">
        <is>
          <t>Science Citation Index Expanded (SCI-EXPANDED); Social Science Citation Index (SSCI)</t>
        </is>
      </c>
      <c r="BM851" t="inlineStr">
        <is>
          <t>Environmental Sciences &amp; Ecology; Public, Environmental &amp; Occupational Health</t>
        </is>
      </c>
      <c r="BN851" t="inlineStr">
        <is>
          <t>LK3LI</t>
        </is>
      </c>
      <c r="BO851" t="n">
        <v>32218286</v>
      </c>
      <c r="BP851" t="inlineStr">
        <is>
          <t>Green Published, gold</t>
        </is>
      </c>
      <c r="BS851" t="inlineStr">
        <is>
          <t>2023-10-26</t>
        </is>
      </c>
      <c r="BT851" t="inlineStr">
        <is>
          <t>WOS:000530763300026</t>
        </is>
      </c>
      <c r="BU851">
        <f>HYPERLINK("https%3A%2F%2Fwww.webofscience.com%2Fwos%2Fwoscc%2Ffull-record%2FWOS:000530763300026","View Full Record in Web of Science")</f>
        <v/>
      </c>
    </row>
    <row r="852">
      <c r="A852" t="inlineStr">
        <is>
          <t>J</t>
        </is>
      </c>
      <c r="B852" t="inlineStr">
        <is>
          <t>Kuru, M; Calis, G</t>
        </is>
      </c>
      <c r="F852" t="inlineStr">
        <is>
          <t>Kuru, Merve; Calis, Gulben</t>
        </is>
      </c>
      <c r="J852" t="inlineStr">
        <is>
          <t>POLISH JOURNAL OF ENVIRONMENTAL STUDIES</t>
        </is>
      </c>
      <c r="M852" t="inlineStr">
        <is>
          <t>English</t>
        </is>
      </c>
      <c r="N852" t="inlineStr">
        <is>
          <t>Review</t>
        </is>
      </c>
      <c r="T852" t="inlineStr">
        <is>
          <t>Data Acquisition Technologies for Assessing Thermal Comfort in the Built Environment</t>
        </is>
      </c>
      <c r="U852" t="inlineStr">
        <is>
          <t>thermal comfort; data acquisition; deployment strategy; time interval; indoor environment</t>
        </is>
      </c>
      <c r="V852" t="inlineStr">
        <is>
          <t>OFFICE BUILDINGS; UNIVERSITY CLASSROOMS; SCHOOL CLASSROOMS; FIELD; CLIMATE; GENDER; AREA; ADAPTATION; PERCEPTION</t>
        </is>
      </c>
      <c r="W852" t="inlineStr">
        <is>
          <t>Nowadays, many buildings are equipped with sensors that acquire large amounts of data, which can be useful to monitor, to understand and to identify thermal comfort conditions in buildings. The studies on thermal comfort of building interior spaces are not only numerical analysis based on program outcomes, but also experimental studies to confirm the results of the analysis. However, the most important factor in achieving the correct result in experimental analysis is to plan the data, to select the technology and to determine the test procedure. This study aims at providing an important source for experimental researchers working on thermal comfort by identifying data acquisition technologies that are utilized for capturing thermal comfort related data. Within this context, the study presents existing instruments utilized for monitoring thermal comfort conditions and provides a guideline with respect to technical properties, deployment strategies and time intervals. The findings of this study will be beneficial to practitioners and researchers for selecting and utilizing the most appropriate data acquisition technology for assessing thermal comfort in indoor environments.</t>
        </is>
      </c>
      <c r="X852" t="inlineStr">
        <is>
          <t>[Kuru, Merve; Calis, Gulben] Ege Univ, Dept Civil Engn, TR-35040 Izmir, Turkey</t>
        </is>
      </c>
      <c r="Y852" t="inlineStr">
        <is>
          <t>Ege University</t>
        </is>
      </c>
      <c r="Z852" t="inlineStr">
        <is>
          <t>Calis, G (corresponding author), Ege Univ, Dept Civil Engn, TR-35040 Izmir, Turkey.</t>
        </is>
      </c>
      <c r="AA852" t="inlineStr">
        <is>
          <t>gulben.calis@ege.edu.tr</t>
        </is>
      </c>
      <c r="AB852" t="inlineStr">
        <is>
          <t>Calis, Gulben/X-8916-2018</t>
        </is>
      </c>
      <c r="AC852" t="inlineStr">
        <is>
          <t>Calis, Gulben/0000-0003-3056-4870</t>
        </is>
      </c>
      <c r="AD852" t="inlineStr">
        <is>
          <t>HIT2GAP Highly Innovative building control Tools Tackling the energy performance gap project of the European Union's Horizon 2020 research and innovation programme [680708]; H2020 Societal Challenges Programme [680708] Funding Source: H2020 Societal Challenges Programme</t>
        </is>
      </c>
      <c r="AE852" t="inlineStr">
        <is>
          <t>HIT2GAP Highly Innovative building control Tools Tackling the energy performance gap project of the European Union's Horizon 2020 research and innovation programme; H2020 Societal Challenges Programme(Horizon 2020)</t>
        </is>
      </c>
      <c r="AF852" t="inlineStr">
        <is>
          <t>This work has received funding from HIT2GAP Highly Innovative building control Tools Tackling the energy performance gap project of the European Union's Horizon 2020 research and innovation programme under grant agreement number No. 680708.</t>
        </is>
      </c>
      <c r="AH852" t="n">
        <v>59</v>
      </c>
      <c r="AI852" t="n">
        <v>1</v>
      </c>
      <c r="AJ852" t="n">
        <v>1</v>
      </c>
      <c r="AK852" t="n">
        <v>1</v>
      </c>
      <c r="AL852" t="n">
        <v>14</v>
      </c>
      <c r="AM852" t="inlineStr">
        <is>
          <t>HARD</t>
        </is>
      </c>
      <c r="AN852" t="inlineStr">
        <is>
          <t>OLSZTYN 5</t>
        </is>
      </c>
      <c r="AO852" t="inlineStr">
        <is>
          <t>POST-OFFICE BOX, 10-718 OLSZTYN 5, POLAND</t>
        </is>
      </c>
      <c r="AP852" t="inlineStr">
        <is>
          <t>1230-1485</t>
        </is>
      </c>
      <c r="AQ852" t="inlineStr">
        <is>
          <t>2083-5906</t>
        </is>
      </c>
      <c r="AS852" t="inlineStr">
        <is>
          <t>POL J ENVIRON STUD</t>
        </is>
      </c>
      <c r="AT852" t="inlineStr">
        <is>
          <t>Pol. J. Environ. Stud.</t>
        </is>
      </c>
      <c r="AV852" t="n">
        <v>2021</v>
      </c>
      <c r="AW852" t="n">
        <v>30</v>
      </c>
      <c r="AX852" t="n">
        <v>2</v>
      </c>
      <c r="BC852" t="n">
        <v>1017</v>
      </c>
      <c r="BD852" t="n">
        <v>1027</v>
      </c>
      <c r="BF852" t="inlineStr">
        <is>
          <t>10.15244/pjoes/122231</t>
        </is>
      </c>
      <c r="BG852">
        <f>HYPERLINK("http://dx.doi.org/10.15244/pjoes/122231","http://dx.doi.org/10.15244/pjoes/122231")</f>
        <v/>
      </c>
      <c r="BJ852" t="n">
        <v>11</v>
      </c>
      <c r="BK852" t="inlineStr">
        <is>
          <t>Environmental Sciences</t>
        </is>
      </c>
      <c r="BL852" t="inlineStr">
        <is>
          <t>Science Citation Index Expanded (SCI-EXPANDED)</t>
        </is>
      </c>
      <c r="BM852" t="inlineStr">
        <is>
          <t>Environmental Sciences &amp; Ecology</t>
        </is>
      </c>
      <c r="BN852" t="inlineStr">
        <is>
          <t>QA0GC</t>
        </is>
      </c>
      <c r="BP852" t="inlineStr">
        <is>
          <t>gold</t>
        </is>
      </c>
      <c r="BS852" t="inlineStr">
        <is>
          <t>2023-10-26</t>
        </is>
      </c>
      <c r="BT852" t="inlineStr">
        <is>
          <t>WOS:000613126000003</t>
        </is>
      </c>
      <c r="BU852">
        <f>HYPERLINK("https%3A%2F%2Fwww.webofscience.com%2Fwos%2Fwoscc%2Ffull-record%2FWOS:000613126000003","View Full Record in Web of Science")</f>
        <v/>
      </c>
    </row>
    <row r="853">
      <c r="A853" t="inlineStr">
        <is>
          <t>J</t>
        </is>
      </c>
      <c r="B853" t="inlineStr">
        <is>
          <t>Engineer, A; Ida, A; Sternberg, EM</t>
        </is>
      </c>
      <c r="F853" t="inlineStr">
        <is>
          <t>Engineer, Altaf; Ida, Aletheia; Sternberg, Esther M.</t>
        </is>
      </c>
      <c r="J853" t="inlineStr">
        <is>
          <t>INTERNATIONAL JOURNAL OF ENVIRONMENTAL RESEARCH AND PUBLIC HEALTH</t>
        </is>
      </c>
      <c r="M853" t="inlineStr">
        <is>
          <t>English</t>
        </is>
      </c>
      <c r="N853" t="inlineStr">
        <is>
          <t>Editorial Material</t>
        </is>
      </c>
      <c r="T853" t="inlineStr">
        <is>
          <t>Healing Spaces: Designing Physical Environments to Optimize Health, Wellbeing, and Performance</t>
        </is>
      </c>
      <c r="U853" t="inlineStr">
        <is>
          <t>human health; built environment; urban open space; forest healing; wellbeing; psychology; physiology</t>
        </is>
      </c>
      <c r="W853" t="inlineStr">
        <is>
          <t>This Special Issue on Healing Spaces includes eight articles consisting of studies at the interface between design and health. The articles address some of the latest findings using state-of-the-art technologies, important outcomes for human health and wellbeing, and suggest exciting directions for the future of this research field.</t>
        </is>
      </c>
      <c r="X853" t="inlineStr">
        <is>
          <t>[Engineer, Altaf; Ida, Aletheia] Univ Arizona, Sch Architecture, Tucson, AZ 85721 USA; [Engineer, Altaf; Ida, Aletheia; Sternberg, Esther M.] Univ Arizona, UArizona Inst Pl Wellbeing &amp; Performance, Tucson, AZ 85711 USA; [Sternberg, Esther M.] Univ Arizona, Andrew Weil Ctr Integrat Med, Tucson, AZ 85711 USA</t>
        </is>
      </c>
      <c r="Y853" t="inlineStr">
        <is>
          <t>University of Arizona; University of Arizona; University of Arizona</t>
        </is>
      </c>
      <c r="Z853" t="inlineStr">
        <is>
          <t>Sternberg, EM (corresponding author), Univ Arizona, UArizona Inst Pl Wellbeing &amp; Performance, Tucson, AZ 85711 USA.;Sternberg, EM (corresponding author), Univ Arizona, Andrew Weil Ctr Integrat Med, Tucson, AZ 85711 USA.</t>
        </is>
      </c>
      <c r="AA853" t="inlineStr">
        <is>
          <t>aengineer@email.arizona.edu; aida@email.arizona.edu; esternberg@email.arizona.edu</t>
        </is>
      </c>
      <c r="AC853" t="inlineStr">
        <is>
          <t>Ida, Aletheia/0000-0003-4389-0309; Engineer, Altaf/0000-0001-7257-188X</t>
        </is>
      </c>
      <c r="AH853" t="n">
        <v>8</v>
      </c>
      <c r="AI853" t="n">
        <v>5</v>
      </c>
      <c r="AJ853" t="n">
        <v>5</v>
      </c>
      <c r="AK853" t="n">
        <v>13</v>
      </c>
      <c r="AL853" t="n">
        <v>42</v>
      </c>
      <c r="AM853" t="inlineStr">
        <is>
          <t>MDPI</t>
        </is>
      </c>
      <c r="AN853" t="inlineStr">
        <is>
          <t>BASEL</t>
        </is>
      </c>
      <c r="AO853" t="inlineStr">
        <is>
          <t>ST ALBAN-ANLAGE 66, CH-4052 BASEL, SWITZERLAND</t>
        </is>
      </c>
      <c r="AQ853" t="inlineStr">
        <is>
          <t>1660-4601</t>
        </is>
      </c>
      <c r="AS853" t="inlineStr">
        <is>
          <t>INT J ENV RES PUB HE</t>
        </is>
      </c>
      <c r="AT853" t="inlineStr">
        <is>
          <t>Int. J. Environ. Res. Public Health</t>
        </is>
      </c>
      <c r="AU853" t="inlineStr">
        <is>
          <t>FEB</t>
        </is>
      </c>
      <c r="AV853" t="n">
        <v>2020</v>
      </c>
      <c r="AW853" t="n">
        <v>17</v>
      </c>
      <c r="AX853" t="n">
        <v>4</v>
      </c>
      <c r="BE853" t="n">
        <v>1155</v>
      </c>
      <c r="BF853" t="inlineStr">
        <is>
          <t>10.3390/ijerph17041155</t>
        </is>
      </c>
      <c r="BG853">
        <f>HYPERLINK("http://dx.doi.org/10.3390/ijerph17041155","http://dx.doi.org/10.3390/ijerph17041155")</f>
        <v/>
      </c>
      <c r="BJ853" t="n">
        <v>4</v>
      </c>
      <c r="BK853" t="inlineStr">
        <is>
          <t>Environmental Sciences; Public, Environmental &amp; Occupational Health</t>
        </is>
      </c>
      <c r="BL853" t="inlineStr">
        <is>
          <t>Science Citation Index Expanded (SCI-EXPANDED); Social Science Citation Index (SSCI)</t>
        </is>
      </c>
      <c r="BM853" t="inlineStr">
        <is>
          <t>Environmental Sciences &amp; Ecology; Public, Environmental &amp; Occupational Health</t>
        </is>
      </c>
      <c r="BN853" t="inlineStr">
        <is>
          <t>KY2GF</t>
        </is>
      </c>
      <c r="BO853" t="n">
        <v>32059563</v>
      </c>
      <c r="BP853" t="inlineStr">
        <is>
          <t>Green Published, gold</t>
        </is>
      </c>
      <c r="BS853" t="inlineStr">
        <is>
          <t>2023-10-26</t>
        </is>
      </c>
      <c r="BT853" t="inlineStr">
        <is>
          <t>WOS:000522388500031</t>
        </is>
      </c>
      <c r="BU853">
        <f>HYPERLINK("https%3A%2F%2Fwww.webofscience.com%2Fwos%2Fwoscc%2Ffull-record%2FWOS:000522388500031","View Full Record in Web of Science")</f>
        <v/>
      </c>
    </row>
    <row r="854">
      <c r="A854" t="inlineStr">
        <is>
          <t>J</t>
        </is>
      </c>
      <c r="B854" t="inlineStr">
        <is>
          <t>Vykoukalová, M; Venier, M; Vojta, S; Melymuk, L; Becanová, J; Romanak, K; Prokes, R; Okeme, JO; Saini, A; Diamond, ML; Klánová, J</t>
        </is>
      </c>
      <c r="F854" t="inlineStr">
        <is>
          <t>Vykoukalova, Martina; Venier, Marta; Vojta, Simon; Melymuk, Lisa; Becanova, Jitka; Romanak, Kevin; Prokes, Roman; Okeme, Joseph O.; Saini, Amandeep; Diamond, Miriam L.; Klanova, Jana</t>
        </is>
      </c>
      <c r="J854" t="inlineStr">
        <is>
          <t>ENVIRONMENT INTERNATIONAL</t>
        </is>
      </c>
      <c r="M854" t="inlineStr">
        <is>
          <t>English</t>
        </is>
      </c>
      <c r="N854" t="inlineStr">
        <is>
          <t>Article</t>
        </is>
      </c>
      <c r="T854" t="inlineStr">
        <is>
          <t>Organophosphate esters flame retardants in the indoor environment</t>
        </is>
      </c>
      <c r="U854" t="inlineStr">
        <is>
          <t>Organophosphate esters (OPEs); Indoor Environment; Human Exposure; Air Concentration; Indoor Dust; Window Film</t>
        </is>
      </c>
      <c r="V854" t="inlineStr">
        <is>
          <t>POLYBROMINATED DIPHENYL ETHERS; DUST SAMPLES; CONSUMER PRODUCTS; PHTHALATE-ESTERS; NORTH-AMERICA; UNITED-STATES; SETTLED DUST; GREAT-LAKES; PLASTICIZERS; EXPOSURE</t>
        </is>
      </c>
      <c r="W854" t="inlineStr">
        <is>
          <t>Concentrations of 13 organophosphate ester flame retardants (OPEs) were measured in air, dust and window wipes from 63 homes in Canada, the Czech Republic and the United States in the spring and summer of 2013 to look for abundances, differences among regions, and partitioning behavior. In general, we observed the highest concentrations for halogenated OPEs, particularly TCEP, TCIPP and TDCIPP, and also non-halogenated TPHP. Differences between regions strongly depended on the matrix. The concentrations of OPEs in dust were significantly higher in the US than in Canada (CAN) and Czech Republic (CZ). CZ had the highest concentrations in window film and CAN in air. SOPE concentrations were 2-3 and 1-2 orders of magnitude greater than SBFRs in air, and dust and window films, respectively. We found a significant relationship between the concentrations in dust and air, and between the concentrations in window film and air for OPEs with log K-OA values&lt; 12, suggesting that equilibrium was reached for these compounds but not for those with log K-OA &gt;12. This hypothesis was confirmed by a large discrepancy between values predicted using a partitioning model and the measured values for OPEs with log K-OA values&gt;12.</t>
        </is>
      </c>
      <c r="X854" t="inlineStr">
        <is>
          <t>[Vykoukalova, Martina; Vojta, Simon; Melymuk, Lisa; Becanova, Jitka; Prokes, Roman; Klanova, Jana] Masaryk Univ, Res Ctr Toxic Cpds Environm RECETOX, Kamenice 753-5,Pavil A29, Brno 62500, Czech Republic; [Venier, Marta; Romanak, Kevin] Indiana Univ, Sch Publ &amp; Environm Affairs, 702 N Walnut Grove Ave, Bloomington, IN 47405 USA; [Okeme, Joseph O.; Saini, Amandeep; Diamond, Miriam L.] Univ Toronto Scarborough, Dept Phys &amp; Environm Sci, 1265 Mil Trail, Toronto, ON M1C 1A4, Canada; [Diamond, Miriam L.] Univ Toronto, Dept Earth Sci, 22 Russell St, Toronto, ON M5S 3B1, Canada; [Saini, Amandeep] Environm &amp; Climate Change Canada, Air Qual Proc Res Sect, 4905 Dufferin St, Toronto, ON M3H 5T4, Canada</t>
        </is>
      </c>
      <c r="Y854" t="inlineStr">
        <is>
          <t>Masaryk University Brno; Indiana University System; Indiana University Bloomington; University of Toronto; University Toronto Scarborough; University of Toronto; Environment &amp; Climate Change Canada</t>
        </is>
      </c>
      <c r="Z854" t="inlineStr">
        <is>
          <t>Venier, M (corresponding author), Indiana Univ, Sch Publ &amp; Environm Affairs, 702 N Walnut Grove Ave, Bloomington, IN 47405 USA.</t>
        </is>
      </c>
      <c r="AA854" t="inlineStr">
        <is>
          <t>mvenier@indiana.edu</t>
        </is>
      </c>
      <c r="AB854" t="inlineStr">
        <is>
          <t>Melymuk, Lisa/AAF-2526-2021; Melymuk, Lisa/H-1061-2017; Klanova, Jana/H-1207-2012; Diamond, Miriam L/D-1770-2013</t>
        </is>
      </c>
      <c r="AC854" t="inlineStr">
        <is>
          <t>Melymuk, Lisa/0000-0001-6042-7688; Melymuk, Lisa/0000-0001-6042-7688; Klanova, Jana/0000-0002-8818-5307; Diamond, Miriam L/0000-0001-6296-6431; Saini, Amandeep/0000-0003-0880-1147; Prokes, Roman/0000-0002-0573-843X; Becanova, Jitka/0000-0002-3091-1054; Vojta, Simon/0000-0003-4528-8346</t>
        </is>
      </c>
      <c r="AD854" t="inlineStr">
        <is>
          <t>Czech-American Scientific Cooperation Program (AMVIS/ KONTAKT II) [LH12074]; U. S. Environmental Protection Agency's Great Lakes National Program Office [GL 00E01422]; Czech Ministry of Education [LM2015051LM2011028, LO1214]; Allergy, Genes and Environment Network (AllerGenNCE); Natural Sciences and Engineering Research Council of Canada (NSERC)</t>
        </is>
      </c>
      <c r="AE854" t="inlineStr">
        <is>
          <t>Czech-American Scientific Cooperation Program (AMVIS/ KONTAKT II); U. S. Environmental Protection Agency's Great Lakes National Program Office(United States Environmental Protection Agency); Czech Ministry of Education(Ministry of Education, Youth &amp; Sports - Czech Republic); Allergy, Genes and Environment Network (AllerGenNCE); Natural Sciences and Engineering Research Council of Canada (NSERC)(Natural Sciences and Engineering Research Council of Canada (NSERC))</t>
        </is>
      </c>
      <c r="AF854" t="inlineStr">
        <is>
          <t>This work was supported by the Czech-American Scientific Cooperation Program (AMVIS/ KONTAKT II, LH12074) and U. S. Environmental Protection Agency's Great Lakes National Program Office (Grant GL 00E01422, Todd Nettesheim, project officer). RECETOX research infrastructure was supported by the Czech Ministry of Education (LM2015051LM2011028, LO1214). Support in Canada was provided by Allergy, Genes and Environment Network (AllerGenNCE) and the Natural Sciences and Engineering Research Council of Canada (NSERC). We thank all volunteers in Bloomington (IN, USA), Toronto (Canada) and Brno (Czech Republic) for their participation.</t>
        </is>
      </c>
      <c r="AH854" t="n">
        <v>48</v>
      </c>
      <c r="AI854" t="n">
        <v>114</v>
      </c>
      <c r="AJ854" t="n">
        <v>116</v>
      </c>
      <c r="AK854" t="n">
        <v>21</v>
      </c>
      <c r="AL854" t="n">
        <v>264</v>
      </c>
      <c r="AM854" t="inlineStr">
        <is>
          <t>PERGAMON-ELSEVIER SCIENCE LTD</t>
        </is>
      </c>
      <c r="AN854" t="inlineStr">
        <is>
          <t>OXFORD</t>
        </is>
      </c>
      <c r="AO854" t="inlineStr">
        <is>
          <t>THE BOULEVARD, LANGFORD LANE, KIDLINGTON, OXFORD OX5 1GB, ENGLAND</t>
        </is>
      </c>
      <c r="AP854" t="inlineStr">
        <is>
          <t>0160-4120</t>
        </is>
      </c>
      <c r="AQ854" t="inlineStr">
        <is>
          <t>1873-6750</t>
        </is>
      </c>
      <c r="AS854" t="inlineStr">
        <is>
          <t>ENVIRON INT</t>
        </is>
      </c>
      <c r="AT854" t="inlineStr">
        <is>
          <t>Environ. Int.</t>
        </is>
      </c>
      <c r="AU854" t="inlineStr">
        <is>
          <t>SEP</t>
        </is>
      </c>
      <c r="AV854" t="n">
        <v>2017</v>
      </c>
      <c r="AW854" t="n">
        <v>106</v>
      </c>
      <c r="BC854" t="n">
        <v>97</v>
      </c>
      <c r="BD854" t="n">
        <v>104</v>
      </c>
      <c r="BF854" t="inlineStr">
        <is>
          <t>10.1016/j.envint.2017.05.020</t>
        </is>
      </c>
      <c r="BG854">
        <f>HYPERLINK("http://dx.doi.org/10.1016/j.envint.2017.05.020","http://dx.doi.org/10.1016/j.envint.2017.05.020")</f>
        <v/>
      </c>
      <c r="BJ854" t="n">
        <v>8</v>
      </c>
      <c r="BK854" t="inlineStr">
        <is>
          <t>Environmental Sciences</t>
        </is>
      </c>
      <c r="BL854" t="inlineStr">
        <is>
          <t>Science Citation Index Expanded (SCI-EXPANDED)</t>
        </is>
      </c>
      <c r="BM854" t="inlineStr">
        <is>
          <t>Environmental Sciences &amp; Ecology</t>
        </is>
      </c>
      <c r="BN854" t="inlineStr">
        <is>
          <t>FB5IS</t>
        </is>
      </c>
      <c r="BO854" t="n">
        <v>28624751</v>
      </c>
      <c r="BS854" t="inlineStr">
        <is>
          <t>2023-10-26</t>
        </is>
      </c>
      <c r="BT854" t="inlineStr">
        <is>
          <t>WOS:000406175300011</t>
        </is>
      </c>
      <c r="BU854">
        <f>HYPERLINK("https%3A%2F%2Fwww.webofscience.com%2Fwos%2Fwoscc%2Ffull-record%2FWOS:000406175300011","View Full Record in Web of Science")</f>
        <v/>
      </c>
    </row>
    <row r="855">
      <c r="A855" t="inlineStr">
        <is>
          <t>J</t>
        </is>
      </c>
      <c r="B855" t="inlineStr">
        <is>
          <t>Valente, M; Sambucci, M; Sibai, A; Musacchi, E</t>
        </is>
      </c>
      <c r="F855" t="inlineStr">
        <is>
          <t>Valente, Marco; Sambucci, Matteo; Sibai, Abbas; Musacchi, Ettore</t>
        </is>
      </c>
      <c r="J855" t="inlineStr">
        <is>
          <t>SUSTAINABILITY</t>
        </is>
      </c>
      <c r="M855" t="inlineStr">
        <is>
          <t>English</t>
        </is>
      </c>
      <c r="N855" t="inlineStr">
        <is>
          <t>Article</t>
        </is>
      </c>
      <c r="T855" t="inlineStr">
        <is>
          <t>Multi-Physics Analysis for Rubber-Cement Applications in Building and Architectural Fields: A Preliminary Analysis</t>
        </is>
      </c>
      <c r="U855" t="inlineStr">
        <is>
          <t>tire crumb rubber; rubber-cement mortars; additive manufacturing; FEM-based mechanical analysis; structural optimization; design</t>
        </is>
      </c>
      <c r="V855" t="inlineStr">
        <is>
          <t>WASTE TIRE RUBBER; LIGHTWEIGHT CONCRETE; MECHANICAL-PROPERTIES; CRUMB RUBBER; OPTIMIZATION; STRENGTH; DESIGN; BRICK; DEFORMATION; WALLS</t>
        </is>
      </c>
      <c r="W855" t="inlineStr">
        <is>
          <t>Generally, in most countries, there are no strict regulations regarding tire disposal. Hence, tires end up thrown in seas and lands as well as being burnt, harming the living beings, and are therefore considered a very dangerous pollution source for the environment. Over the past few years, several researchers have worked on incorporating shredded/powdered rubber tires into cement-based material. This strategy shows a dual functionality: Economic-environmental benefits and technological functionalization of the building material. Rubber-modified cement materials show interesting engineering and architectural properties due to the physical-chemical nature of the tire rubber aggregates. However, the abovementioned performances are affected by type, size, and content of polymer particles used in the cement-based mixtures production. Whereas an increase in the rubber content in the cement mix will negatively affect the mechanical properties of the material as a decrease in its compression strength. This aspect is crucial for the use of the material in building applications, where proper structural integrity must be guaranteed. In this context, the development of innovative manufacturing technologies and the use of multi-physics simulation software represent useful approaches for the study of shapes and geometries designed to maximize the technological properties of the material. After an overview on the performances of 3D printable rubber-cement mixtures developed in our research laboratory, a preliminary experimental Finite Element Method (FEM) analysis will be described. The modeling work aims to highlight how the topology optimization allows maximizing of the physical-mechanical performances of a standard rubber-cement component for building-architectural applications.</t>
        </is>
      </c>
      <c r="X855" t="inlineStr">
        <is>
          <t>[Valente, Marco; Sambucci, Matteo; Sibai, Abbas] Sapienza Univ Rome, Dept Chem &amp; Mat Engn, I-00184 Rome, Italy; [Valente, Marco; Sambucci, Matteo] Sapienza Univ Rome, Dept Chem &amp; Mat Engn, INSTM Reference Lab Engn Surface Treatments, I-00184 Rome, Italy; [Musacchi, Ettore] European Tyre Recycling Assoc ETRA, B-1040 Brussels, Belgium</t>
        </is>
      </c>
      <c r="Y855" t="inlineStr">
        <is>
          <t>Sapienza University Rome; Sapienza University Rome</t>
        </is>
      </c>
      <c r="Z855" t="inlineStr">
        <is>
          <t>Valente, M (corresponding author), Sapienza Univ Rome, Dept Chem &amp; Mat Engn, I-00184 Rome, Italy.;Valente, M (corresponding author), Sapienza Univ Rome, Dept Chem &amp; Mat Engn, INSTM Reference Lab Engn Surface Treatments, I-00184 Rome, Italy.</t>
        </is>
      </c>
      <c r="AA855" t="inlineStr">
        <is>
          <t>marco.valente@uniromal.it; matteo.sambucci@uniromal.it; abbas.sibai@uniromal.it; ettore_musacchi@yahoo.it</t>
        </is>
      </c>
      <c r="AB855" t="inlineStr">
        <is>
          <t>Sambucci, Matteo/AAD-2573-2021</t>
        </is>
      </c>
      <c r="AC855" t="inlineStr">
        <is>
          <t>Sambucci, Matteo/0000-0002-0974-2129; Valente, Marco/0000-0002-6298-3693</t>
        </is>
      </c>
      <c r="AD855" t="inlineStr">
        <is>
          <t>Sapienza University</t>
        </is>
      </c>
      <c r="AE855" t="inlineStr">
        <is>
          <t>Sapienza University</t>
        </is>
      </c>
      <c r="AF855" t="inlineStr">
        <is>
          <t>This research was performed thanks to the Sapienza University direct financing for PhD student Matteo Sambucci called Avvio alla Ricerca. Title is: Study and optimization of rubber-concrete additives with recycled rubber that can be used through additive manufacturing: Optimization of thermo-acoustic, rheological and mechanical properties.</t>
        </is>
      </c>
      <c r="AH855" t="n">
        <v>58</v>
      </c>
      <c r="AI855" t="n">
        <v>12</v>
      </c>
      <c r="AJ855" t="n">
        <v>12</v>
      </c>
      <c r="AK855" t="n">
        <v>1</v>
      </c>
      <c r="AL855" t="n">
        <v>11</v>
      </c>
      <c r="AM855" t="inlineStr">
        <is>
          <t>MDPI</t>
        </is>
      </c>
      <c r="AN855" t="inlineStr">
        <is>
          <t>BASEL</t>
        </is>
      </c>
      <c r="AO855" t="inlineStr">
        <is>
          <t>ST ALBAN-ANLAGE 66, CH-4052 BASEL, SWITZERLAND</t>
        </is>
      </c>
      <c r="AQ855" t="inlineStr">
        <is>
          <t>2071-1050</t>
        </is>
      </c>
      <c r="AS855" t="inlineStr">
        <is>
          <t>SUSTAINABILITY-BASEL</t>
        </is>
      </c>
      <c r="AT855" t="inlineStr">
        <is>
          <t>Sustainability</t>
        </is>
      </c>
      <c r="AU855" t="inlineStr">
        <is>
          <t>AUG</t>
        </is>
      </c>
      <c r="AV855" t="n">
        <v>2020</v>
      </c>
      <c r="AW855" t="n">
        <v>12</v>
      </c>
      <c r="AX855" t="n">
        <v>15</v>
      </c>
      <c r="BE855" t="n">
        <v>5993</v>
      </c>
      <c r="BF855" t="inlineStr">
        <is>
          <t>10.3390/su12155993</t>
        </is>
      </c>
      <c r="BG855">
        <f>HYPERLINK("http://dx.doi.org/10.3390/su12155993","http://dx.doi.org/10.3390/su12155993")</f>
        <v/>
      </c>
      <c r="BJ855" t="n">
        <v>21</v>
      </c>
      <c r="BK855" t="inlineStr">
        <is>
          <t>Green &amp; Sustainable Science &amp; Technology; Environmental Sciences; Environmental Studies</t>
        </is>
      </c>
      <c r="BL855" t="inlineStr">
        <is>
          <t>Science Citation Index Expanded (SCI-EXPANDED); Social Science Citation Index (SSCI)</t>
        </is>
      </c>
      <c r="BM855" t="inlineStr">
        <is>
          <t>Science &amp; Technology - Other Topics; Environmental Sciences &amp; Ecology</t>
        </is>
      </c>
      <c r="BN855" t="inlineStr">
        <is>
          <t>MZ3KS</t>
        </is>
      </c>
      <c r="BP855" t="inlineStr">
        <is>
          <t>Green Published, gold</t>
        </is>
      </c>
      <c r="BS855" t="inlineStr">
        <is>
          <t>2023-10-26</t>
        </is>
      </c>
      <c r="BT855" t="inlineStr">
        <is>
          <t>WOS:000559021700001</t>
        </is>
      </c>
      <c r="BU855">
        <f>HYPERLINK("https%3A%2F%2Fwww.webofscience.com%2Fwos%2Fwoscc%2Ffull-record%2FWOS:000559021700001","View Full Record in Web of Science")</f>
        <v/>
      </c>
    </row>
    <row r="856">
      <c r="A856" t="inlineStr">
        <is>
          <t>J</t>
        </is>
      </c>
      <c r="B856" t="inlineStr">
        <is>
          <t>Wu, CY; Cui, JY; Xu, XW; Song, DX</t>
        </is>
      </c>
      <c r="F856" t="inlineStr">
        <is>
          <t>Wu, Chunya; Cui, Jinyuan; Xu, Xiaowan; Song, Dexuan</t>
        </is>
      </c>
      <c r="J856" t="inlineStr">
        <is>
          <t>INTERNATIONAL JOURNAL OF BIOMETEOROLOGY</t>
        </is>
      </c>
      <c r="M856" t="inlineStr">
        <is>
          <t>English</t>
        </is>
      </c>
      <c r="N856" t="inlineStr">
        <is>
          <t>Article</t>
        </is>
      </c>
      <c r="T856" t="inlineStr">
        <is>
          <t>The influence of virtual environment on thermal perception: physical reaction and subjective thermal perception on outdoor scenarios in virtual reality</t>
        </is>
      </c>
      <c r="U856" t="inlineStr">
        <is>
          <t>Thermal perception; Visual-thermal interaction; Environmental psychology; Virtual reality</t>
        </is>
      </c>
      <c r="V856" t="inlineStr">
        <is>
          <t>TEMPERATURE; COMFORT; HEALTH; COLOR</t>
        </is>
      </c>
      <c r="W856" t="inlineStr">
        <is>
          <t>Positive thermal perception can affect users' climate-controlling behavior, indirectly reducing a building's operational carbon emissions. Studies show that some visual elements, such as window sizes and light colors, can influence thermal perception. However, until recently there has been little interest in the interaction of thermal perception and outdoor visual scenarios or natural elements like water or trees, and little quantitative evidence has been found associating visual natural elements and thermal comfort. This experiment explores and quantifies the extent to which visual scenarios outdoors affect thermal perception. The experiment used a double-blind clinical trial. All tests were done in a stable laboratory environment to eliminate temperature changes, and scenarios were shown through a virtual reality (VR) headset. Forty-three participants were divided into three groups randomly, separately watched VR-outdoor scenarios with natural elements, VR-indoor scenarios, and a control scenario of the real laboratory, then finished a subjective questionnaire conducted to evaluate their thermal, environmental, and overall perceptions while their physical data (heart rate, blood pressure, pulse) was real-time recorded. Results show that visual scenarios could significantly influence thermal perception (Cohen's d between groups &gt; 0.8). Significant positive correlations were found between key thermal perception index, thermal comfort, and visual perception indexes including visual comfort, pleasantness, and relaxation (all PCCs &amp; LE; 0.01). Outdoor scenarios, with better visual perception, rank higher average scores (M &amp; PLUSMN; SD = 1.0 &amp; PLUSMN; 0.7) in thermal comfort than indoor groups (average M &amp; PLUSMN; SD = 0.3 &amp; PLUSMN; 1.0) while the physical environment remains unchanged. This connection between thermal and environmental perception can be used in building design. By being visually exposed to pleasing outdoor environments, the positive thermal perception will increase, and thus reduce building energy consumption. Designing positive visual environments with outdoor natural elements is not only a requirement for health but also a feasible path toward a sustainable net-zero future.</t>
        </is>
      </c>
      <c r="X856" t="inlineStr">
        <is>
          <t>[Wu, Chunya; Cui, Jinyuan; Xu, Xiaowan; Song, Dexuan] Tongji Univ, Coll Architecture &amp; Urban Planning, Shanghai, Peoples R China</t>
        </is>
      </c>
      <c r="Y856" t="inlineStr">
        <is>
          <t>Tongji University</t>
        </is>
      </c>
      <c r="Z856" t="inlineStr">
        <is>
          <t>Wu, CY (corresponding author), Tongji Univ, Coll Architecture &amp; Urban Planning, Shanghai, Peoples R China.</t>
        </is>
      </c>
      <c r="AA856" t="inlineStr">
        <is>
          <t>2130045@tongji.edu.cn</t>
        </is>
      </c>
      <c r="AH856" t="n">
        <v>43</v>
      </c>
      <c r="AI856" t="n">
        <v>0</v>
      </c>
      <c r="AJ856" t="n">
        <v>0</v>
      </c>
      <c r="AK856" t="n">
        <v>19</v>
      </c>
      <c r="AL856" t="n">
        <v>19</v>
      </c>
      <c r="AM856" t="inlineStr">
        <is>
          <t>SPRINGER</t>
        </is>
      </c>
      <c r="AN856" t="inlineStr">
        <is>
          <t>NEW YORK</t>
        </is>
      </c>
      <c r="AO856" t="inlineStr">
        <is>
          <t>ONE NEW YORK PLAZA, SUITE 4600, NEW YORK, NY, UNITED STATES</t>
        </is>
      </c>
      <c r="AP856" t="inlineStr">
        <is>
          <t>0020-7128</t>
        </is>
      </c>
      <c r="AQ856" t="inlineStr">
        <is>
          <t>1432-1254</t>
        </is>
      </c>
      <c r="AS856" t="inlineStr">
        <is>
          <t>INT J BIOMETEOROL</t>
        </is>
      </c>
      <c r="AT856" t="inlineStr">
        <is>
          <t>Int. J. Biometeorol.</t>
        </is>
      </c>
      <c r="AU856" t="inlineStr">
        <is>
          <t>AUG</t>
        </is>
      </c>
      <c r="AV856" t="n">
        <v>2023</v>
      </c>
      <c r="AW856" t="n">
        <v>67</v>
      </c>
      <c r="AX856" t="n">
        <v>8</v>
      </c>
      <c r="BC856" t="n">
        <v>1291</v>
      </c>
      <c r="BD856" t="n">
        <v>1301</v>
      </c>
      <c r="BF856" t="inlineStr">
        <is>
          <t>10.1007/s00484-023-02495-3</t>
        </is>
      </c>
      <c r="BG856">
        <f>HYPERLINK("http://dx.doi.org/10.1007/s00484-023-02495-3","http://dx.doi.org/10.1007/s00484-023-02495-3")</f>
        <v/>
      </c>
      <c r="BI856" t="inlineStr">
        <is>
          <t>JUL 2023</t>
        </is>
      </c>
      <c r="BJ856" t="n">
        <v>11</v>
      </c>
      <c r="BK856" t="inlineStr">
        <is>
          <t>Biophysics; Environmental Sciences; Meteorology &amp; Atmospheric Sciences; Physiology</t>
        </is>
      </c>
      <c r="BL856" t="inlineStr">
        <is>
          <t>Science Citation Index Expanded (SCI-EXPANDED)</t>
        </is>
      </c>
      <c r="BM856" t="inlineStr">
        <is>
          <t>Biophysics; Environmental Sciences &amp; Ecology; Meteorology &amp; Atmospheric Sciences; Physiology</t>
        </is>
      </c>
      <c r="BN856" t="inlineStr">
        <is>
          <t>N1QA9</t>
        </is>
      </c>
      <c r="BO856" t="n">
        <v>37414908</v>
      </c>
      <c r="BS856" t="inlineStr">
        <is>
          <t>2023-10-26</t>
        </is>
      </c>
      <c r="BT856" t="inlineStr">
        <is>
          <t>WOS:001020208700001</t>
        </is>
      </c>
      <c r="BU856">
        <f>HYPERLINK("https%3A%2F%2Fwww.webofscience.com%2Fwos%2Fwoscc%2Ffull-record%2FWOS:001020208700001","View Full Record in Web of Science")</f>
        <v/>
      </c>
    </row>
    <row r="857">
      <c r="A857" t="inlineStr">
        <is>
          <t>J</t>
        </is>
      </c>
      <c r="B857" t="inlineStr">
        <is>
          <t>Xie, XH; Lu, Y; Gou, ZH</t>
        </is>
      </c>
      <c r="F857" t="inlineStr">
        <is>
          <t>Xie, Xiaohuan; Lu, Yi; Gou, Zhonghua</t>
        </is>
      </c>
      <c r="J857" t="inlineStr">
        <is>
          <t>SUSTAINABILITY</t>
        </is>
      </c>
      <c r="M857" t="inlineStr">
        <is>
          <t>English</t>
        </is>
      </c>
      <c r="N857" t="inlineStr">
        <is>
          <t>Article</t>
        </is>
      </c>
      <c r="T857" t="inlineStr">
        <is>
          <t>Green Building Pro-Environment Behaviors: Are Green Users Also Green Buyers?</t>
        </is>
      </c>
      <c r="U857" t="inlineStr">
        <is>
          <t>green building; pro-environment behaviors; energy saving; willingness to pay; environmental belief</t>
        </is>
      </c>
      <c r="V857" t="inlineStr">
        <is>
          <t>HONG-KONG; EMPIRICAL-EVIDENCE; NEP SCALE; ENERGY; SPILLOVER; CONSERVATION; CONSUMPTION; WORKPLACE; ATTITUDES; PARADIGM</t>
        </is>
      </c>
      <c r="W857" t="inlineStr">
        <is>
          <t>Pro-environment behaviors play a key role in advancing the development of green buildings. This study investigated the link between two green building pro-environment behaviors that require dissimilar resources: energy savings that do not require money in order to be more environmentally friendly and willingness to pay that involves economic resources including spending money in order to be more environmentally friendly. This study points out that the two pro-environment behaviors can be positively linked to each other. People who behave in an environmentally friendly manner at work would also be likely to pay an extra cost for a green building when buying a new home. The consistency of the two pro-environment behaviors can be explained by their common environmental beliefs: limits to growth and eco-crisis. The green building movement should prioritize pro-environmental behaviors and associated environmental beliefs to support green building policies, guidelines, and tools.</t>
        </is>
      </c>
      <c r="X857" t="inlineStr">
        <is>
          <t>[Xie, Xiaohuan] Shenzhen Univ, Sch Architecture &amp; Urban Planning, Shenzhen 518060, Peoples R China; [Xie, Xiaohuan] Shenzhen Univ, Shenzhen Key Lab Built Environm Optimizat, Shenzhen 518060, Peoples R China; [Lu, Yi] City Univ Hong Kong, Dept Architecture &amp; Civil Engn, Hong Kong, Hong Kong, Peoples R China; [Gou, Zhonghua] Griffith Univ, Cities Res Inst, Southport, Qld 4215, Australia</t>
        </is>
      </c>
      <c r="Y857" t="inlineStr">
        <is>
          <t>Shenzhen University; Shenzhen University; City University of Hong Kong; Griffith University</t>
        </is>
      </c>
      <c r="Z857" t="inlineStr">
        <is>
          <t>Gou, ZH (corresponding author), Griffith Univ, Cities Res Inst, Southport, Qld 4215, Australia.</t>
        </is>
      </c>
      <c r="AA857" t="inlineStr">
        <is>
          <t>xiexiaohuan@szu.edu.cn; yilu24@cityu.edu.hk; z.gou@griffith.edu.au</t>
        </is>
      </c>
      <c r="AB857" t="inlineStr">
        <is>
          <t>Gou, Zhonghua/H-5621-2019; LU, Yi/AAD-7750-2020</t>
        </is>
      </c>
      <c r="AC857" t="inlineStr">
        <is>
          <t>Gou, Zhonghua/0000-0001-9627-4724; LU, Yi/0000-0001-7614-6661</t>
        </is>
      </c>
      <c r="AH857" t="n">
        <v>63</v>
      </c>
      <c r="AI857" t="n">
        <v>39</v>
      </c>
      <c r="AJ857" t="n">
        <v>39</v>
      </c>
      <c r="AK857" t="n">
        <v>5</v>
      </c>
      <c r="AL857" t="n">
        <v>75</v>
      </c>
      <c r="AM857" t="inlineStr">
        <is>
          <t>MDPI</t>
        </is>
      </c>
      <c r="AN857" t="inlineStr">
        <is>
          <t>BASEL</t>
        </is>
      </c>
      <c r="AO857" t="inlineStr">
        <is>
          <t>ST ALBAN-ANLAGE 66, CH-4052 BASEL, SWITZERLAND</t>
        </is>
      </c>
      <c r="AQ857" t="inlineStr">
        <is>
          <t>2071-1050</t>
        </is>
      </c>
      <c r="AS857" t="inlineStr">
        <is>
          <t>SUSTAINABILITY-BASEL</t>
        </is>
      </c>
      <c r="AT857" t="inlineStr">
        <is>
          <t>Sustainability</t>
        </is>
      </c>
      <c r="AU857" t="inlineStr">
        <is>
          <t>OCT</t>
        </is>
      </c>
      <c r="AV857" t="n">
        <v>2017</v>
      </c>
      <c r="AW857" t="n">
        <v>9</v>
      </c>
      <c r="AX857" t="n">
        <v>10</v>
      </c>
      <c r="BE857" t="n">
        <v>1703</v>
      </c>
      <c r="BF857" t="inlineStr">
        <is>
          <t>10.3390/su9101703</t>
        </is>
      </c>
      <c r="BG857">
        <f>HYPERLINK("http://dx.doi.org/10.3390/su9101703","http://dx.doi.org/10.3390/su9101703")</f>
        <v/>
      </c>
      <c r="BJ857" t="n">
        <v>13</v>
      </c>
      <c r="BK857" t="inlineStr">
        <is>
          <t>Green &amp; Sustainable Science &amp; Technology; Environmental Sciences; Environmental Studies</t>
        </is>
      </c>
      <c r="BL857" t="inlineStr">
        <is>
          <t>Science Citation Index Expanded (SCI-EXPANDED); Social Science Citation Index (SSCI)</t>
        </is>
      </c>
      <c r="BM857" t="inlineStr">
        <is>
          <t>Science &amp; Technology - Other Topics; Environmental Sciences &amp; Ecology</t>
        </is>
      </c>
      <c r="BN857" t="inlineStr">
        <is>
          <t>FM3HW</t>
        </is>
      </c>
      <c r="BP857" t="inlineStr">
        <is>
          <t>gold, Green Submitted</t>
        </is>
      </c>
      <c r="BS857" t="inlineStr">
        <is>
          <t>2023-10-26</t>
        </is>
      </c>
      <c r="BT857" t="inlineStr">
        <is>
          <t>WOS:000414896200034</t>
        </is>
      </c>
      <c r="BU857">
        <f>HYPERLINK("https%3A%2F%2Fwww.webofscience.com%2Fwos%2Fwoscc%2Ffull-record%2FWOS:000414896200034","View Full Record in Web of Science")</f>
        <v/>
      </c>
    </row>
    <row r="858">
      <c r="A858" t="inlineStr">
        <is>
          <t>J</t>
        </is>
      </c>
      <c r="B858" t="inlineStr">
        <is>
          <t>Borecka, O; Farrar, MD; Osman, JE; Rhodes, LE; Webb, AR</t>
        </is>
      </c>
      <c r="F858" t="inlineStr">
        <is>
          <t>Borecka, Oktawia; Farrar, Mark D.; Osman, Joanne E.; Rhodes, Lesley E.; Webb, Ann R.</t>
        </is>
      </c>
      <c r="J858" t="inlineStr">
        <is>
          <t>INTERNATIONAL JOURNAL OF ENVIRONMENTAL RESEARCH AND PUBLIC HEALTH</t>
        </is>
      </c>
      <c r="M858" t="inlineStr">
        <is>
          <t>English</t>
        </is>
      </c>
      <c r="N858" t="inlineStr">
        <is>
          <t>Article</t>
        </is>
      </c>
      <c r="T858" t="inlineStr">
        <is>
          <t>Older Adults Who Spend More Time Outdoors in Summer and Have Higher Dietary Vitamin D Than Younger Adults Can Present at Least as High Vitamin D Status: A Pilot Study</t>
        </is>
      </c>
      <c r="U858" t="inlineStr">
        <is>
          <t>vitamin D; sunlight exposure; diet; older adults</t>
        </is>
      </c>
      <c r="V858" t="inlineStr">
        <is>
          <t>PHYSICAL-ACTIVITY; SKIN; POPULATION; CAMPAIGNS; BENEFITS; IMPACT; FOODS</t>
        </is>
      </c>
      <c r="W858" t="inlineStr">
        <is>
          <t>Vitamin D-3 can be produced by exposing skin to UVB radiation or sourced through dietary products. It is often stated that vitamin D status declines in older adults, yet little is known about differences in current-day lifestyle and dietary behaviours influencing vitamin D outcomes in younger (18-40 years old) and older adults (65-89 years old). Our objectives were to perform a pilot study to compare sun exposure behaviours, i.e., time spent outdoors, holiday behaviour and use of sunscreen/clothing, and dietary vitamin D intake, in young and older adults in the UK, together with assessment of their vitamin D status. A total of 13 young and 11 older volunteers completed a four-page questionnaire to assess sun exposure and photoprotective behaviour and an eleven-page one-week vitamin D diet diary, alongside their plasma 25(OH)D measurement. It was found that the older group tended to spend more time outdoors during the working week in summer, to take more summer and winter holidays each year, take longer winter holidays and have similar sunscreen use when compared to younger adults. Older adults had a significantly higher daily dietary intake of vitamin D (4.0 mu g) than young adults (2.4 mu g). Mean winter 25(OH)D concentration was higher in older (56.9 nmol/L) than in young adults (43.2 nmol/L), but there was no statistical difference between the groups. Contrary to common assumptions, in this study, older adults had sun exposure and dietary behaviours conferring a vitamin D status at least as good as that of younger adults.</t>
        </is>
      </c>
      <c r="X858" t="inlineStr">
        <is>
          <t>[Borecka, Oktawia; Webb, Ann R.] Univ Manchester, Dept Earth &amp; Environm Sci, Fac Sci &amp; Engn, Manchester M13 9PL, Lancs, England; [Borecka, Oktawia; Farrar, Mark D.; Rhodes, Lesley E.] Univ Manchester, Sch Biol Sci, Fac Med Biol &amp; Hlth, Div Musculoskeletal &amp; Dermatol Sci, Manchester M13 9PL, Lancs, England; [Osman, Joanne E.; Rhodes, Lesley E.] Salford Royal NHS Fdn Trust, Manchester Acad Hlth Sci Ctr, Photobiol Unit, Dermatol Res Ctr, Manchester M6 8HD, Lancs, England</t>
        </is>
      </c>
      <c r="Y858" t="inlineStr">
        <is>
          <t>University of Manchester; University of Manchester; Salford Royal NHS Foundation Trust; University of Manchester</t>
        </is>
      </c>
      <c r="Z858" t="inlineStr">
        <is>
          <t>Borecka, O (corresponding author), Univ Manchester, Dept Earth &amp; Environm Sci, Fac Sci &amp; Engn, Manchester M13 9PL, Lancs, England.;Borecka, O (corresponding author), Univ Manchester, Sch Biol Sci, Fac Med Biol &amp; Hlth, Div Musculoskeletal &amp; Dermatol Sci, Manchester M13 9PL, Lancs, England.</t>
        </is>
      </c>
      <c r="AA858" t="inlineStr">
        <is>
          <t>oktawia.borecka@postgrad.manchester.ac.uk; mark.farrar@manchester.ac.uk; joanne.osman@manchester.ac.uk; lesley.e.rhodes@manchester.ac.uk; ann.webb@manchester.ac.uk</t>
        </is>
      </c>
      <c r="AB858" t="inlineStr">
        <is>
          <t>Farrar, Mark/D-4480-2013; Rhodes, Lesley E/H-5324-2015</t>
        </is>
      </c>
      <c r="AC858" t="inlineStr">
        <is>
          <t>Farrar, Mark/0000-0001-8602-7279; Rhodes, Lesley E/0000-0002-9107-6654; Borecka, Oktawia/0000-0003-4446-9989</t>
        </is>
      </c>
      <c r="AD858" t="inlineStr">
        <is>
          <t>Biotechnology and Biological Sciences Research Council (BBSRC) Doctoral Training Programme (DTP)</t>
        </is>
      </c>
      <c r="AE858" t="inlineStr">
        <is>
          <t>Biotechnology and Biological Sciences Research Council (BBSRC) Doctoral Training Programme (DTP)(UK Research &amp; Innovation (UKRI)Biotechnology and Biological Sciences Research Council (BBSRC))</t>
        </is>
      </c>
      <c r="AF858" t="inlineStr">
        <is>
          <t>This research was funded by Biotechnology and Biological Sciences Research Council (BBSRC) Doctoral Training Programme (DTP).</t>
        </is>
      </c>
      <c r="AH858" t="n">
        <v>39</v>
      </c>
      <c r="AI858" t="n">
        <v>4</v>
      </c>
      <c r="AJ858" t="n">
        <v>4</v>
      </c>
      <c r="AK858" t="n">
        <v>1</v>
      </c>
      <c r="AL858" t="n">
        <v>2</v>
      </c>
      <c r="AM858" t="inlineStr">
        <is>
          <t>MDPI</t>
        </is>
      </c>
      <c r="AN858" t="inlineStr">
        <is>
          <t>BASEL</t>
        </is>
      </c>
      <c r="AO858" t="inlineStr">
        <is>
          <t>ST ALBAN-ANLAGE 66, CH-4052 BASEL, SWITZERLAND</t>
        </is>
      </c>
      <c r="AQ858" t="inlineStr">
        <is>
          <t>1660-4601</t>
        </is>
      </c>
      <c r="AS858" t="inlineStr">
        <is>
          <t>INT J ENV RES PUB HE</t>
        </is>
      </c>
      <c r="AT858" t="inlineStr">
        <is>
          <t>Int. J. Environ. Res. Public Health</t>
        </is>
      </c>
      <c r="AU858" t="inlineStr">
        <is>
          <t>APR</t>
        </is>
      </c>
      <c r="AV858" t="n">
        <v>2021</v>
      </c>
      <c r="AW858" t="n">
        <v>18</v>
      </c>
      <c r="AX858" t="n">
        <v>7</v>
      </c>
      <c r="BE858" t="n">
        <v>3364</v>
      </c>
      <c r="BF858" t="inlineStr">
        <is>
          <t>10.3390/ijerph18073364</t>
        </is>
      </c>
      <c r="BG858">
        <f>HYPERLINK("http://dx.doi.org/10.3390/ijerph18073364","http://dx.doi.org/10.3390/ijerph18073364")</f>
        <v/>
      </c>
      <c r="BJ858" t="n">
        <v>13</v>
      </c>
      <c r="BK858" t="inlineStr">
        <is>
          <t>Environmental Sciences; Public, Environmental &amp; Occupational Health</t>
        </is>
      </c>
      <c r="BL858" t="inlineStr">
        <is>
          <t>Science Citation Index Expanded (SCI-EXPANDED); Social Science Citation Index (SSCI)</t>
        </is>
      </c>
      <c r="BM858" t="inlineStr">
        <is>
          <t>Environmental Sciences &amp; Ecology; Public, Environmental &amp; Occupational Health</t>
        </is>
      </c>
      <c r="BN858" t="inlineStr">
        <is>
          <t>RK8RV</t>
        </is>
      </c>
      <c r="BO858" t="n">
        <v>33805086</v>
      </c>
      <c r="BP858" t="inlineStr">
        <is>
          <t>Green Published, gold</t>
        </is>
      </c>
      <c r="BS858" t="inlineStr">
        <is>
          <t>2023-10-26</t>
        </is>
      </c>
      <c r="BT858" t="inlineStr">
        <is>
          <t>WOS:000638557100001</t>
        </is>
      </c>
      <c r="BU858">
        <f>HYPERLINK("https%3A%2F%2Fwww.webofscience.com%2Fwos%2Fwoscc%2Ffull-record%2FWOS:000638557100001","View Full Record in Web of Science")</f>
        <v/>
      </c>
    </row>
    <row r="859">
      <c r="A859" t="inlineStr">
        <is>
          <t>J</t>
        </is>
      </c>
      <c r="B859" t="inlineStr">
        <is>
          <t>Ahmed, N; Rahman, RM</t>
        </is>
      </c>
      <c r="F859" t="inlineStr">
        <is>
          <t>Ahmed, Nahian; Rahman, Rashedur M.</t>
        </is>
      </c>
      <c r="J859" t="inlineStr">
        <is>
          <t>GEOCARTO INTERNATIONAL</t>
        </is>
      </c>
      <c r="M859" t="inlineStr">
        <is>
          <t>English</t>
        </is>
      </c>
      <c r="N859" t="inlineStr">
        <is>
          <t>Article</t>
        </is>
      </c>
      <c r="T859" t="inlineStr">
        <is>
          <t>Label noise tolerance of deep semantic segmentation networks for extracting buildings in ultra-high-resolution aerial images of semi-built environments</t>
        </is>
      </c>
      <c r="U859" t="inlineStr">
        <is>
          <t>Label noise; building extraction; semantic segmentation; deep learning; Rohingya</t>
        </is>
      </c>
      <c r="W859" t="inlineStr">
        <is>
          <t>Freely available building maps of rapidly changing built and semi-built environments may contain label noise. When temporal correspondence between images and labels does not hold, the labels may be subject to incorrectly observed building instances. For example, in most growing semi-built environments, such as the Kutupalong mega-camp in Bangladesh, labels corresponding to a past date may not be updated or might not have been properly labelled, resulting in label noise. Tagging/labelling can be done either manually (by humans) or automatically (by a machine/model). We manually label images for our stricter evaluation regime, but a trained model can automatically label images without human supervision. Our best performing model generates labels which improve F1-score by 17.2% and improve Intersection-over-Union score by 23.2%, when compared to the fidelity of commonly used noisy labels. Our stricter evaluation regime reveals interesting insights about the paradoxical behaviour of deep neural networks in conjunction to label noise.</t>
        </is>
      </c>
      <c r="X859" t="inlineStr">
        <is>
          <t>[Ahmed, Nahian; Rahman, Rashedur M.] North South Univ, Sch Engn &amp; Phys Sci, Dept Elect &amp; Comp Engn, Dhaka, Bangladesh</t>
        </is>
      </c>
      <c r="Y859" t="inlineStr">
        <is>
          <t>North South University (NSU)</t>
        </is>
      </c>
      <c r="Z859" t="inlineStr">
        <is>
          <t>Ahmed, N (corresponding author), North South Univ, Sch Engn &amp; Phys Sci, Dept Elect &amp; Comp Engn, Dhaka, Bangladesh.</t>
        </is>
      </c>
      <c r="AA859" t="inlineStr">
        <is>
          <t>nahian.ahmed@northsouth.edu</t>
        </is>
      </c>
      <c r="AB859" t="inlineStr">
        <is>
          <t>Rahman, Mohammad Sohelur/AAJ-7376-2020</t>
        </is>
      </c>
      <c r="AC859" t="inlineStr">
        <is>
          <t>Rahman, Mohammad Sohelur/0000-0002-4489-2202; Ahmed, Nahian/0000-0003-2041-4166; Rahman, Rashedur M/0000-0002-4514-6279</t>
        </is>
      </c>
      <c r="AD859" t="inlineStr">
        <is>
          <t>North South University, Bashundhara, Dhaka, Bangladesh [CTRG-20-SEPS-14]</t>
        </is>
      </c>
      <c r="AE859" t="inlineStr">
        <is>
          <t>North South University, Bashundhara, Dhaka, Bangladesh</t>
        </is>
      </c>
      <c r="AF859" t="inlineStr">
        <is>
          <t>This work is supported by Faculty Research Grant (CTRG-20-SEPS-14), North South University, Bashundhara, Dhaka 1229, Bangladesh</t>
        </is>
      </c>
      <c r="AH859" t="n">
        <v>25</v>
      </c>
      <c r="AI859" t="n">
        <v>0</v>
      </c>
      <c r="AJ859" t="n">
        <v>0</v>
      </c>
      <c r="AK859" t="n">
        <v>0</v>
      </c>
      <c r="AL859" t="n">
        <v>8</v>
      </c>
      <c r="AM859" t="inlineStr">
        <is>
          <t>TAYLOR &amp; FRANCIS LTD</t>
        </is>
      </c>
      <c r="AN859" t="inlineStr">
        <is>
          <t>ABINGDON</t>
        </is>
      </c>
      <c r="AO859" t="inlineStr">
        <is>
          <t>2-4 PARK SQUARE, MILTON PARK, ABINGDON OR14 4RN, OXON, ENGLAND</t>
        </is>
      </c>
      <c r="AP859" t="inlineStr">
        <is>
          <t>1010-6049</t>
        </is>
      </c>
      <c r="AQ859" t="inlineStr">
        <is>
          <t>1752-0762</t>
        </is>
      </c>
      <c r="AS859" t="inlineStr">
        <is>
          <t>GEOCARTO INT</t>
        </is>
      </c>
      <c r="AT859" t="inlineStr">
        <is>
          <t>Geocarto Int.</t>
        </is>
      </c>
      <c r="AU859" t="inlineStr">
        <is>
          <t>DEC 13</t>
        </is>
      </c>
      <c r="AV859" t="n">
        <v>2022</v>
      </c>
      <c r="AW859" t="n">
        <v>37</v>
      </c>
      <c r="AX859" t="n">
        <v>25</v>
      </c>
      <c r="BC859" t="n">
        <v>8062</v>
      </c>
      <c r="BD859" t="n">
        <v>8079</v>
      </c>
      <c r="BF859" t="inlineStr">
        <is>
          <t>10.1080/10106049.2021.1992022</t>
        </is>
      </c>
      <c r="BG859">
        <f>HYPERLINK("http://dx.doi.org/10.1080/10106049.2021.1992022","http://dx.doi.org/10.1080/10106049.2021.1992022")</f>
        <v/>
      </c>
      <c r="BI859" t="inlineStr">
        <is>
          <t>OCT 2021</t>
        </is>
      </c>
      <c r="BJ859" t="n">
        <v>18</v>
      </c>
      <c r="BK859" t="inlineStr">
        <is>
          <t>Environmental Sciences; Geosciences, Multidisciplinary; Remote Sensing; Imaging Science &amp; Photographic Technology</t>
        </is>
      </c>
      <c r="BL859" t="inlineStr">
        <is>
          <t>Science Citation Index Expanded (SCI-EXPANDED)</t>
        </is>
      </c>
      <c r="BM859" t="inlineStr">
        <is>
          <t>Environmental Sciences &amp; Ecology; Geology; Remote Sensing; Imaging Science &amp; Photographic Technology</t>
        </is>
      </c>
      <c r="BN859" t="inlineStr">
        <is>
          <t>D5MF1</t>
        </is>
      </c>
      <c r="BS859" t="inlineStr">
        <is>
          <t>2023-10-26</t>
        </is>
      </c>
      <c r="BT859" t="inlineStr">
        <is>
          <t>WOS:000711310100001</t>
        </is>
      </c>
      <c r="BU859">
        <f>HYPERLINK("https%3A%2F%2Fwww.webofscience.com%2Fwos%2Fwoscc%2Ffull-record%2FWOS:000711310100001","View Full Record in Web of Science")</f>
        <v/>
      </c>
    </row>
    <row r="860">
      <c r="A860" t="inlineStr">
        <is>
          <t>J</t>
        </is>
      </c>
      <c r="B860" t="inlineStr">
        <is>
          <t>Wray, P; Ward, CK; Nelson, C; Sulzer, SH; Dakin, CJ; Thompson, BJ; Vierimaa, M; Das Gupta, D; Bolton, DAE</t>
        </is>
      </c>
      <c r="F860" t="inlineStr">
        <is>
          <t>Wray, Paige; Ward, Callahan K.; Nelson, Cindy; Sulzer, Sandra H.; Dakin, Christopher J.; Thompson, Brennan J.; Vierimaa, Matthew; Das Gupta, Debasree; Bolton, David A. E.</t>
        </is>
      </c>
      <c r="J860" t="inlineStr">
        <is>
          <t>INTERNATIONAL JOURNAL OF ENVIRONMENTAL RESEARCH AND PUBLIC HEALTH</t>
        </is>
      </c>
      <c r="M860" t="inlineStr">
        <is>
          <t>English</t>
        </is>
      </c>
      <c r="N860" t="inlineStr">
        <is>
          <t>Article</t>
        </is>
      </c>
      <c r="T860" t="inlineStr">
        <is>
          <t>Pickleball for Inactive Mid-Life and Older Adults in Rural Utah: A Feasibility Study</t>
        </is>
      </c>
      <c r="U860" t="inlineStr">
        <is>
          <t>pickleball; older adults; mid-life adults; exercise adherence</t>
        </is>
      </c>
      <c r="V860" t="inlineStr">
        <is>
          <t>PHYSICAL-ACTIVITY; UNITED-STATES; RISK-FACTORS; EXERCISE; STRENGTH; WOMEN; POWER; PERFORMANCE; MOVEMENTS; BARRIERS</t>
        </is>
      </c>
      <c r="W860" t="inlineStr">
        <is>
          <t>Many diseases, disabilities, and mental health conditions associated with aging can be delayed or prevented through regular exercise. Several barriers to exercise, many of which are exacerbated in rural communities, prevent mid-life and older adults from accessing its benefits. However, recently, a racquet sport named pickleball has become popular among older adults, and it appears to overcome some of these barriers. We conducted a feasibility study to evaluate the impact of a six-week pickleball intervention on measures of muscle function, cognitive function, perceived pain, and cardio-metabolic risk, as well as several psychosocial factors contributing to adherence in sedentary rural participants. Participants improved their vertical jump, cognitive performance, and reported a decrease in self-reported pain, suggesting improved physical and cognitive health across the sample. Participants also reported high levels of satisfaction and demonstrated good adherence over the duration of the study. Perhaps of greatest value was the overwhelmingly positive response from participants to the intervention and follow-up interviews reporting a desire to continue pickleball play beyond the study period. Overall, pickleball appears to be a promising intervention to, (1) elicit functional- and cognitive-related improvements, and (2) motivate mid-life and older adults to adhere to exercise sufficiently long to benefit their health.</t>
        </is>
      </c>
      <c r="X860" t="inlineStr">
        <is>
          <t>[Wray, Paige] Utah State Univ Extens, Dept Home &amp; Community, Monticello, UT 84535 USA; [Ward, Callahan K.] Utah State Univ Extens, Dept Home &amp; Community, Panguitch, UT 84759 USA; [Nelson, Cindy] Utah State Univ Extens, Dept Home &amp; Community, Beaver, UT 84713 USA; [Sulzer, Sandra H.; Dakin, Christopher J.; Thompson, Brennan J.; Das Gupta, Debasree; Bolton, David A. E.] Utah State Univ, Dept Kinesiol &amp; Hlth Sci, Logan, UT 84322 USA; [Vierimaa, Matthew] Acadia Univ, Sch Kinesiol, Wolfville, NS B4P 2R6, Canada</t>
        </is>
      </c>
      <c r="Y860" t="inlineStr">
        <is>
          <t>Utah System of Higher Education; Utah State University; Acadia University</t>
        </is>
      </c>
      <c r="Z860" t="inlineStr">
        <is>
          <t>Bolton, DAE (corresponding author), Utah State Univ, Dept Kinesiol &amp; Hlth Sci, Logan, UT 84322 USA.</t>
        </is>
      </c>
      <c r="AA860" t="inlineStr">
        <is>
          <t>paige.wray@usu.edu; callie.ward@usu.edu; cindy.nelson@usu.edu; sandra.sulzer@usu.edu; chris.dakin@usu.edu; brennan.thompson@usu.edu; matthew.vierimaa@acadiau.ca; debasree.dasgupta@usu.edu; dave.bolton@usu.edu</t>
        </is>
      </c>
      <c r="AB860" t="inlineStr">
        <is>
          <t>Thompson, Brennan J/A-5436-2012</t>
        </is>
      </c>
      <c r="AC860" t="inlineStr">
        <is>
          <t>Bolton, David/0000-0003-2255-5472; Das Gupta, Debasree/0000-0001-9854-5313; Thompson, Brennan/0000-0003-3534-8755</t>
        </is>
      </c>
      <c r="AD860" t="inlineStr">
        <is>
          <t>Utah State University [EXT00045]</t>
        </is>
      </c>
      <c r="AE860" t="inlineStr">
        <is>
          <t>Utah State University</t>
        </is>
      </c>
      <c r="AF860" t="inlineStr">
        <is>
          <t>This work was supported by the Utah State University 2019 Extension Grants Program under Extension Project Number EXT00045.</t>
        </is>
      </c>
      <c r="AH860" t="n">
        <v>56</v>
      </c>
      <c r="AI860" t="n">
        <v>4</v>
      </c>
      <c r="AJ860" t="n">
        <v>4</v>
      </c>
      <c r="AK860" t="n">
        <v>1</v>
      </c>
      <c r="AL860" t="n">
        <v>16</v>
      </c>
      <c r="AM860" t="inlineStr">
        <is>
          <t>MDPI</t>
        </is>
      </c>
      <c r="AN860" t="inlineStr">
        <is>
          <t>BASEL</t>
        </is>
      </c>
      <c r="AO860" t="inlineStr">
        <is>
          <t>ST ALBAN-ANLAGE 66, CH-4052 BASEL, SWITZERLAND</t>
        </is>
      </c>
      <c r="AQ860" t="inlineStr">
        <is>
          <t>1660-4601</t>
        </is>
      </c>
      <c r="AS860" t="inlineStr">
        <is>
          <t>INT J ENV RES PUB HE</t>
        </is>
      </c>
      <c r="AT860" t="inlineStr">
        <is>
          <t>Int. J. Environ. Res. Public Health</t>
        </is>
      </c>
      <c r="AU860" t="inlineStr">
        <is>
          <t>AUG</t>
        </is>
      </c>
      <c r="AV860" t="n">
        <v>2021</v>
      </c>
      <c r="AW860" t="n">
        <v>18</v>
      </c>
      <c r="AX860" t="n">
        <v>16</v>
      </c>
      <c r="BE860" t="n">
        <v>8374</v>
      </c>
      <c r="BF860" t="inlineStr">
        <is>
          <t>10.3390/ijerph18168374</t>
        </is>
      </c>
      <c r="BG860">
        <f>HYPERLINK("http://dx.doi.org/10.3390/ijerph18168374","http://dx.doi.org/10.3390/ijerph18168374")</f>
        <v/>
      </c>
      <c r="BJ860" t="n">
        <v>13</v>
      </c>
      <c r="BK860" t="inlineStr">
        <is>
          <t>Environmental Sciences; Public, Environmental &amp; Occupational Health</t>
        </is>
      </c>
      <c r="BL860" t="inlineStr">
        <is>
          <t>Science Citation Index Expanded (SCI-EXPANDED); Social Science Citation Index (SSCI)</t>
        </is>
      </c>
      <c r="BM860" t="inlineStr">
        <is>
          <t>Environmental Sciences &amp; Ecology; Public, Environmental &amp; Occupational Health</t>
        </is>
      </c>
      <c r="BN860" t="inlineStr">
        <is>
          <t>UJ0HJ</t>
        </is>
      </c>
      <c r="BO860" t="n">
        <v>34444124</v>
      </c>
      <c r="BP860" t="inlineStr">
        <is>
          <t>Green Published, gold</t>
        </is>
      </c>
      <c r="BS860" t="inlineStr">
        <is>
          <t>2023-10-26</t>
        </is>
      </c>
      <c r="BT860" t="inlineStr">
        <is>
          <t>WOS:000690976000001</t>
        </is>
      </c>
      <c r="BU860">
        <f>HYPERLINK("https%3A%2F%2Fwww.webofscience.com%2Fwos%2Fwoscc%2Ffull-record%2FWOS:000690976000001","View Full Record in Web of Science")</f>
        <v/>
      </c>
    </row>
    <row r="861">
      <c r="A861" t="inlineStr">
        <is>
          <t>J</t>
        </is>
      </c>
      <c r="B861" t="inlineStr">
        <is>
          <t>Chong, HY; Wang, XY</t>
        </is>
      </c>
      <c r="F861" t="inlineStr">
        <is>
          <t>Chong, Heap-Yih; Wang, Xiangyu</t>
        </is>
      </c>
      <c r="J861" t="inlineStr">
        <is>
          <t>CLEAN TECHNOLOGIES AND ENVIRONMENTAL POLICY</t>
        </is>
      </c>
      <c r="M861" t="inlineStr">
        <is>
          <t>English</t>
        </is>
      </c>
      <c r="N861" t="inlineStr">
        <is>
          <t>Article</t>
        </is>
      </c>
      <c r="T861" t="inlineStr">
        <is>
          <t>The outlook of building information modeling for sustainable development</t>
        </is>
      </c>
      <c r="U861" t="inlineStr">
        <is>
          <t>Review; BIM; Sustainable development; Technology; Outlook; Framework; Built environment</t>
        </is>
      </c>
      <c r="V861" t="inlineStr">
        <is>
          <t>BIM; ENERGY; POLICIES</t>
        </is>
      </c>
      <c r="W861" t="inlineStr">
        <is>
          <t>As human needs evolve, information technologies and natural environments require a wider perspective of sustainable development, especially when examining the built environment that impacts the central of social-ecological systems. The objectives of the paper are (a) to review the status and development of building information modeling (BIM) in regards to the sustainable development in the built environment, and (b) to develop a future outlook framework that promotes BIM in sustainable development. Seven areas of sustainability were classified to analyze forty-four BIM guidelines and standards. This review examines the use of BIM in sustainable development, focusing primarily on certain areas of sustainability, such as project development, design, and construction. The developed framework describes the need for collaboration with the multiple disciplines for the future adoption and use of BIM for the sustainable development. It also considers the integration between BIM and green assessment criteria; and BIM and renewable energy to address the shortcomings of the standards and guidelines.</t>
        </is>
      </c>
      <c r="X861" t="inlineStr">
        <is>
          <t>[Chong, Heap-Yih; Wang, Xiangyu] Sch Built Environm, Perth, WA 6845, Australia; [Wang, Xiangyu] Kyung Hee Univ, Dept Housing &amp; Interior Design, Seoul, South Korea</t>
        </is>
      </c>
      <c r="Y861" t="inlineStr">
        <is>
          <t>Kyung Hee University</t>
        </is>
      </c>
      <c r="Z861" t="inlineStr">
        <is>
          <t>Chong, HY (corresponding author), Sch Built Environm, Perth, WA 6845, Australia.</t>
        </is>
      </c>
      <c r="AA861" t="inlineStr">
        <is>
          <t>heap-yih.chong@curtin.edu.au</t>
        </is>
      </c>
      <c r="AB861" t="inlineStr">
        <is>
          <t>Chong, Heap-Yih/M-8354-2017; Wang, Xiangyu/B-6232-2013</t>
        </is>
      </c>
      <c r="AC861" t="inlineStr">
        <is>
          <t>Chong, Heap-Yih/0000-0002-6080-7530; Wang, Xiangyu/0000-0001-8718-6941</t>
        </is>
      </c>
      <c r="AH861" t="n">
        <v>76</v>
      </c>
      <c r="AI861" t="n">
        <v>26</v>
      </c>
      <c r="AJ861" t="n">
        <v>28</v>
      </c>
      <c r="AK861" t="n">
        <v>7</v>
      </c>
      <c r="AL861" t="n">
        <v>80</v>
      </c>
      <c r="AM861" t="inlineStr">
        <is>
          <t>SPRINGER</t>
        </is>
      </c>
      <c r="AN861" t="inlineStr">
        <is>
          <t>NEW YORK</t>
        </is>
      </c>
      <c r="AO861" t="inlineStr">
        <is>
          <t>233 SPRING ST, NEW YORK, NY 10013 USA</t>
        </is>
      </c>
      <c r="AP861" t="inlineStr">
        <is>
          <t>1618-954X</t>
        </is>
      </c>
      <c r="AQ861" t="inlineStr">
        <is>
          <t>1618-9558</t>
        </is>
      </c>
      <c r="AS861" t="inlineStr">
        <is>
          <t>CLEAN TECHNOL ENVIR</t>
        </is>
      </c>
      <c r="AT861" t="inlineStr">
        <is>
          <t>Clean Technol. Environ. Policy</t>
        </is>
      </c>
      <c r="AU861" t="inlineStr">
        <is>
          <t>AUG</t>
        </is>
      </c>
      <c r="AV861" t="n">
        <v>2016</v>
      </c>
      <c r="AW861" t="n">
        <v>18</v>
      </c>
      <c r="AX861" t="n">
        <v>6</v>
      </c>
      <c r="BA861" t="inlineStr">
        <is>
          <t>SI</t>
        </is>
      </c>
      <c r="BC861" t="n">
        <v>1877</v>
      </c>
      <c r="BD861" t="n">
        <v>1887</v>
      </c>
      <c r="BF861" t="inlineStr">
        <is>
          <t>10.1007/s10098-016-1170-7</t>
        </is>
      </c>
      <c r="BG861">
        <f>HYPERLINK("http://dx.doi.org/10.1007/s10098-016-1170-7","http://dx.doi.org/10.1007/s10098-016-1170-7")</f>
        <v/>
      </c>
      <c r="BJ861" t="n">
        <v>11</v>
      </c>
      <c r="BK861" t="inlineStr">
        <is>
          <t>Green &amp; Sustainable Science &amp; Technology; Engineering, Environmental; Environmental Sciences</t>
        </is>
      </c>
      <c r="BL861" t="inlineStr">
        <is>
          <t>Science Citation Index Expanded (SCI-EXPANDED)</t>
        </is>
      </c>
      <c r="BM861" t="inlineStr">
        <is>
          <t>Science &amp; Technology - Other Topics; Engineering; Environmental Sciences &amp; Ecology</t>
        </is>
      </c>
      <c r="BN861" t="inlineStr">
        <is>
          <t>DX6CO</t>
        </is>
      </c>
      <c r="BP861" t="inlineStr">
        <is>
          <t>Green Submitted</t>
        </is>
      </c>
      <c r="BS861" t="inlineStr">
        <is>
          <t>2023-10-26</t>
        </is>
      </c>
      <c r="BT861" t="inlineStr">
        <is>
          <t>WOS:000384470700019</t>
        </is>
      </c>
      <c r="BU861">
        <f>HYPERLINK("https%3A%2F%2Fwww.webofscience.com%2Fwos%2Fwoscc%2Ffull-record%2FWOS:000384470700019","View Full Record in Web of Science")</f>
        <v/>
      </c>
    </row>
    <row r="862">
      <c r="A862" t="inlineStr">
        <is>
          <t>J</t>
        </is>
      </c>
      <c r="B862" t="inlineStr">
        <is>
          <t>Mahmood, B; Han, S; Lee, DE</t>
        </is>
      </c>
      <c r="F862" t="inlineStr">
        <is>
          <t>Mahmood, Bilawal; Han, SangUk; Lee, Dong-Eun</t>
        </is>
      </c>
      <c r="J862" t="inlineStr">
        <is>
          <t>REMOTE SENSING</t>
        </is>
      </c>
      <c r="M862" t="inlineStr">
        <is>
          <t>English</t>
        </is>
      </c>
      <c r="N862" t="inlineStr">
        <is>
          <t>Article</t>
        </is>
      </c>
      <c r="T862" t="inlineStr">
        <is>
          <t>BIM-Based Registration and Localization of 3D Point Clouds of Indoor Scenes Using Geometric Features for Augmented Reality</t>
        </is>
      </c>
      <c r="U862" t="inlineStr">
        <is>
          <t>augmented reality; localization; registration; indoor point cloud</t>
        </is>
      </c>
      <c r="V862" t="inlineStr">
        <is>
          <t>TRACKING SYSTEM; CONGRUENT SETS; FRAMEWORK</t>
        </is>
      </c>
      <c r="W862" t="inlineStr">
        <is>
          <t>Augmented reality can improve construction and facility management by visualizing an as-planned model on its corresponding surface for fast, easy, and correct information retrieval. This requires the localization registration of an as-built model in an as-planned model. However, the localization and registration of indoor environments fail, owing to self-similarity in an indoor environment, relatively large as-planned models, and the presence of additional unplanned objects. Therefore, this paper proposes a computer vision-based method to (1) homogenize indoor as-planned and as-built models, (2) reduce the search space of model matching, and (3) localize the structure (e.g., room) for registration of the scanned area in its as-planned model. This method extracts a representative horizontal cross section from the as-built and as-planned point clouds to make these models similar, restricts unnecessary transformation to reduce the search space, and corresponds the line features for the estimation of the registration transformation matrix. The performance of this method, in terms of registration accuracy, is evaluated on as-built point clouds of rooms and a hallway on a building floor. A rotational error of 0.005 rad and a translational error of 0.088 m are observed in the experiments. Hence, the geometric feature described on a representative cross section with transformation restrictions can be a computationally cost-effective solution for indoor localization and registration.</t>
        </is>
      </c>
      <c r="X862" t="inlineStr">
        <is>
          <t>[Mahmood, Bilawal; Han, SangUk] Hanyang Univ, Dept Civil &amp; Environm Engn, 222 Wangsimni Ro, Seoul 04763, South Korea; [Lee, Dong-Eun] KyungPook Natl Univ, Sch Architectural Civil Environm &amp; Energy Engn, 1370 Sangyegk Dong, Daegu 702701, South Korea</t>
        </is>
      </c>
      <c r="Y862" t="inlineStr">
        <is>
          <t>Hanyang University; Kyungpook National University</t>
        </is>
      </c>
      <c r="Z862" t="inlineStr">
        <is>
          <t>Han, S (corresponding author), Hanyang Univ, Dept Civil &amp; Environm Engn, 222 Wangsimni Ro, Seoul 04763, South Korea.</t>
        </is>
      </c>
      <c r="AA862" t="inlineStr">
        <is>
          <t>bilawal@hanyang.ac.kr; sanguk@hanyang.ac.kr; dolee@knu.ac.kr</t>
        </is>
      </c>
      <c r="AB862" t="inlineStr">
        <is>
          <t>mahmood, bilawal/L-8331-2017</t>
        </is>
      </c>
      <c r="AC862" t="inlineStr">
        <is>
          <t>LEE, DONG-EUN/0000-0001-9205-3836; mahmood, bilawal/0000-0003-4003-0987</t>
        </is>
      </c>
      <c r="AD862" t="inlineStr">
        <is>
          <t>National Research Foundation of Korea (NRF) - Korea government (MSIT) [NRF-2018R1A5A1025137]; National Research Foundation of Korea [2018R1A5A1025137] Funding Source: Korea Institute of Science &amp; Technology Information (KISTI), National Science &amp; Technology Information Service (NTIS)</t>
        </is>
      </c>
      <c r="AE862" t="inlineStr">
        <is>
          <t>National Research Foundation of Korea (NRF) - Korea government (MSIT)(National Research Foundation of KoreaMinistry of Science, ICT &amp; Future Planning, Republic of KoreaMinistry of Science &amp; ICT (MSIT), Republic of Korea); National Research Foundation of Korea(National Research Foundation of Korea)</t>
        </is>
      </c>
      <c r="AF862" t="inlineStr">
        <is>
          <t>This research was supported by the National Research Foundation of Korea (NRF) grant funded by the Korea government (MSIT) (No. NRF-2018R1A5A1025137).</t>
        </is>
      </c>
      <c r="AH862" t="n">
        <v>69</v>
      </c>
      <c r="AI862" t="n">
        <v>26</v>
      </c>
      <c r="AJ862" t="n">
        <v>26</v>
      </c>
      <c r="AK862" t="n">
        <v>2</v>
      </c>
      <c r="AL862" t="n">
        <v>27</v>
      </c>
      <c r="AM862" t="inlineStr">
        <is>
          <t>MDPI</t>
        </is>
      </c>
      <c r="AN862" t="inlineStr">
        <is>
          <t>BASEL</t>
        </is>
      </c>
      <c r="AO862" t="inlineStr">
        <is>
          <t>ST ALBAN-ANLAGE 66, CH-4052 BASEL, SWITZERLAND</t>
        </is>
      </c>
      <c r="AQ862" t="inlineStr">
        <is>
          <t>2072-4292</t>
        </is>
      </c>
      <c r="AS862" t="inlineStr">
        <is>
          <t>REMOTE SENS-BASEL</t>
        </is>
      </c>
      <c r="AT862" t="inlineStr">
        <is>
          <t>Remote Sens.</t>
        </is>
      </c>
      <c r="AU862" t="inlineStr">
        <is>
          <t>JUL</t>
        </is>
      </c>
      <c r="AV862" t="n">
        <v>2020</v>
      </c>
      <c r="AW862" t="n">
        <v>12</v>
      </c>
      <c r="AX862" t="n">
        <v>14</v>
      </c>
      <c r="BE862" t="n">
        <v>2302</v>
      </c>
      <c r="BF862" t="inlineStr">
        <is>
          <t>10.3390/rs12142302</t>
        </is>
      </c>
      <c r="BG862">
        <f>HYPERLINK("http://dx.doi.org/10.3390/rs12142302","http://dx.doi.org/10.3390/rs12142302")</f>
        <v/>
      </c>
      <c r="BJ862" t="n">
        <v>29</v>
      </c>
      <c r="BK862" t="inlineStr">
        <is>
          <t>Environmental Sciences; Geosciences, Multidisciplinary; Remote Sensing; Imaging Science &amp; Photographic Technology</t>
        </is>
      </c>
      <c r="BL862" t="inlineStr">
        <is>
          <t>Science Citation Index Expanded (SCI-EXPANDED)</t>
        </is>
      </c>
      <c r="BM862" t="inlineStr">
        <is>
          <t>Environmental Sciences &amp; Ecology; Geology; Remote Sensing; Imaging Science &amp; Photographic Technology</t>
        </is>
      </c>
      <c r="BN862" t="inlineStr">
        <is>
          <t>MW5GM</t>
        </is>
      </c>
      <c r="BP862" t="inlineStr">
        <is>
          <t>gold</t>
        </is>
      </c>
      <c r="BS862" t="inlineStr">
        <is>
          <t>2023-10-26</t>
        </is>
      </c>
      <c r="BT862" t="inlineStr">
        <is>
          <t>WOS:000557065100001</t>
        </is>
      </c>
      <c r="BU862">
        <f>HYPERLINK("https%3A%2F%2Fwww.webofscience.com%2Fwos%2Fwoscc%2Ffull-record%2FWOS:000557065100001","View Full Record in Web of Science")</f>
        <v/>
      </c>
    </row>
    <row r="863">
      <c r="A863" t="inlineStr">
        <is>
          <t>J</t>
        </is>
      </c>
      <c r="B863" t="inlineStr">
        <is>
          <t>Aartolahti, E; Eronen, J; Törmäkangas, T; Rantanen, T; Hirvensalo, M; Palmberg, L; Skantz, H; Viljanen, A; Portegijs, E; Iwarsson, S; Rantakokko, M</t>
        </is>
      </c>
      <c r="F863" t="inlineStr">
        <is>
          <t>Aartolahti, Eeva; Eronen, Johanna; Tormakangas, Timo; Rantanen, Taina; Hirvensalo, Mirja; Palmberg, Lotta; Skantz, Heidi; Viljanen, Anne; Portegijs, Erja; Iwarsson, Susanne; Rantakokko, Merja</t>
        </is>
      </c>
      <c r="J863" t="inlineStr">
        <is>
          <t>INTERNATIONAL JOURNAL OF ENVIRONMENTAL RESEARCH AND PUBLIC HEALTH</t>
        </is>
      </c>
      <c r="M863" t="inlineStr">
        <is>
          <t>English</t>
        </is>
      </c>
      <c r="N863" t="inlineStr">
        <is>
          <t>Article</t>
        </is>
      </c>
      <c r="T863" t="inlineStr">
        <is>
          <t>Perceived Opportunities for Physical Activity and Willingness to Be More Active in Older Adults with Different Physical Activity Levels</t>
        </is>
      </c>
      <c r="U863" t="inlineStr">
        <is>
          <t>equity; unmet need; physical function; aging; exercise</t>
        </is>
      </c>
      <c r="V863" t="inlineStr">
        <is>
          <t>SELF-DETERMINATION THEORY; LIFE-SPACE MOBILITY; SCALE CES-D; OUTDOOR ENVIRONMENT; PERSONAL GOALS; ACTIVITY NEED; BARRIERS; HEALTH; DIFFICULTIES; FACILITATORS</t>
        </is>
      </c>
      <c r="W863" t="inlineStr">
        <is>
          <t>This study examined equity in physical activity (PA) by investigating whether perceived opportunity for PA was associated with willingness to be more active. Among community residents (75, 80, or 85 years old, n = 962) perceived opportunity for PA (poor and good), willingness to be more active (not at all, a bit, and a lot), and level of PA (low, moderate, and high) were assessed via questionnaires. Multinomial logistic regression showed that physical activity moderated the association between poor opportunity and willingness to increase PA. Among those with moderate PA, poor opportunity for PA increased the odds of willingness to be a lot more active (multinomial odds ratio, mOR 3.90, 95% confidence interval 2.21-6.87) than not wanting to be more active compared to those perceiving good opportunities. Associations were similar at high PA levels (p &lt; 0.001), but were not found at low PA levels. Those with moderate or high PA wish to increase their activity particularly when the perceived opportunities for activity are not optimal. Among those with low PA, perceived opportunities are not associated with a perceived need to increase physical activity. Increasing equity in physical activity in old age requires provision of support and opportunities at every level of physical activity.</t>
        </is>
      </c>
      <c r="X863" t="inlineStr">
        <is>
          <t>[Aartolahti, Eeva; Eronen, Johanna; Tormakangas, Timo; Rantanen, Taina; Hirvensalo, Mirja; Palmberg, Lotta; Skantz, Heidi; Viljanen, Anne; Portegijs, Erja] Univ Jyvaskyla, Fac Sport &amp; Hlth Sci, FI-40014 Jyvaskyla, Finland; [Aartolahti, Eeva; Rantakokko, Merja] JAMK Univ Appl Sci, Inst Rehabil, FI-40100 Jyvaskyla, Finland; [Eronen, Johanna; Tormakangas, Timo; Rantanen, Taina; Palmberg, Lotta; Skantz, Heidi; Viljanen, Anne; Portegijs, Erja] Univ Jyvaskyla, Fac Sport &amp; Hlth Sci, Gerontol Res Ctr, FI-40014 Jyvaskyla, Finland; [Iwarsson, Susanne] Lund Univ, Dept Hlth Sci, SE-22100 Lund, Sweden; [Iwarsson, Susanne] Lund Univ, Ctr Ageing &amp; Support Environm CASE, SE-22100 Lund, Sweden</t>
        </is>
      </c>
      <c r="Y863" t="inlineStr">
        <is>
          <t>University of Jyvaskyla; Jyvaskyla University of Applied Sciences; University of Jyvaskyla; Lund University; Lund University</t>
        </is>
      </c>
      <c r="Z863" t="inlineStr">
        <is>
          <t>Aartolahti, E (corresponding author), Univ Jyvaskyla, Fac Sport &amp; Hlth Sci, FI-40014 Jyvaskyla, Finland.;Aartolahti, E (corresponding author), JAMK Univ Appl Sci, Inst Rehabil, FI-40100 Jyvaskyla, Finland.</t>
        </is>
      </c>
      <c r="AA863" t="inlineStr">
        <is>
          <t>eeva.aartolahti@jamk.fi; johanna.eronen@jyu.fi; timo.tormakangas@jyu.fi; taina.rantanen@jyu.fi; mirja.hirvensalo@jyu.fi; lotta.m.palmberg@jyu.fi; heidi.e.leppa@jyu.fi; anne.viljanen@jyu.fi; erja.portegijs@jyu.fi; susanne.iwarsson@med.lu.se; merja.rantakokko@jamk.fi</t>
        </is>
      </c>
      <c r="AB863" t="inlineStr">
        <is>
          <t>Eronen, Johanna/F-5614-2014; Rantakokko, Merja/HHC-5689-2022; Iwarsson, Susanne/I-7517-2013; Rantanen, Taina/O-6579-2016</t>
        </is>
      </c>
      <c r="AC863" t="inlineStr">
        <is>
          <t>Eronen, Johanna/0000-0002-5641-9156; Aartolahti, Eeva/0000-0003-2938-926X; Rantakokko, Merja/0000-0003-3546-1600; Portegijs, Erja/0000-0002-5205-9616; Leppa, Heidi/0000-0001-9306-7586; Iwarsson, Susanne/0000-0002-6670-7952; Rantanen, Taina/0000-0002-1604-1945; Viljanen, Anne/0000-0002-8428-3604</t>
        </is>
      </c>
      <c r="AD863" t="inlineStr">
        <is>
          <t>Finnish Ministry of Education and Culture; European Research Council; Academy of Finland [285747]; Finnish Ministry of Education; Academy of Finland (AKA) [285747, 285747] Funding Source: Academy of Finland (AKA)</t>
        </is>
      </c>
      <c r="AE863" t="inlineStr">
        <is>
          <t>Finnish Ministry of Education and Culture; European Research Council(European Research Council (ERC)); Academy of Finland(Research Council of Finland); Finnish Ministry of Education; Academy of Finland (AKA)(Research Council of Finland)</t>
        </is>
      </c>
      <c r="AF863" t="inlineStr">
        <is>
          <t>This study was conducted in collaboration of two research projects: Equality in Participation in Physical Activity in Old Age (Equal-Part) research project funded by Finnish Ministry of Education and Culture (P.I. M.R.) and Active Aging-Resilience and external support as modifiers of the disablement outcome (AGNES) research project funded by European Research Council as an Advanced grant to T.R. In addition, funding has been obtained from Academy of Finland (personal grant number 285747 to M.R.) and Finnish Ministry of Education (P.I. E.P.).</t>
        </is>
      </c>
      <c r="AH863" t="n">
        <v>46</v>
      </c>
      <c r="AI863" t="n">
        <v>1</v>
      </c>
      <c r="AJ863" t="n">
        <v>1</v>
      </c>
      <c r="AK863" t="n">
        <v>0</v>
      </c>
      <c r="AL863" t="n">
        <v>3</v>
      </c>
      <c r="AM863" t="inlineStr">
        <is>
          <t>MDPI</t>
        </is>
      </c>
      <c r="AN863" t="inlineStr">
        <is>
          <t>BASEL</t>
        </is>
      </c>
      <c r="AO863" t="inlineStr">
        <is>
          <t>ST ALBAN-ANLAGE 66, CH-4052 BASEL, SWITZERLAND</t>
        </is>
      </c>
      <c r="AQ863" t="inlineStr">
        <is>
          <t>1660-4601</t>
        </is>
      </c>
      <c r="AS863" t="inlineStr">
        <is>
          <t>INT J ENV RES PUB HE</t>
        </is>
      </c>
      <c r="AT863" t="inlineStr">
        <is>
          <t>Int. J. Environ. Res. Public Health</t>
        </is>
      </c>
      <c r="AU863" t="inlineStr">
        <is>
          <t>JUN</t>
        </is>
      </c>
      <c r="AV863" t="n">
        <v>2021</v>
      </c>
      <c r="AW863" t="n">
        <v>18</v>
      </c>
      <c r="AX863" t="n">
        <v>11</v>
      </c>
      <c r="BE863" t="n">
        <v>6146</v>
      </c>
      <c r="BF863" t="inlineStr">
        <is>
          <t>10.3390/ijerph18116146</t>
        </is>
      </c>
      <c r="BG863">
        <f>HYPERLINK("http://dx.doi.org/10.3390/ijerph18116146","http://dx.doi.org/10.3390/ijerph18116146")</f>
        <v/>
      </c>
      <c r="BJ863" t="n">
        <v>14</v>
      </c>
      <c r="BK863" t="inlineStr">
        <is>
          <t>Environmental Sciences; Public, Environmental &amp; Occupational Health</t>
        </is>
      </c>
      <c r="BL863" t="inlineStr">
        <is>
          <t>Science Citation Index Expanded (SCI-EXPANDED); Social Science Citation Index (SSCI)</t>
        </is>
      </c>
      <c r="BM863" t="inlineStr">
        <is>
          <t>Environmental Sciences &amp; Ecology; Public, Environmental &amp; Occupational Health</t>
        </is>
      </c>
      <c r="BN863" t="inlineStr">
        <is>
          <t>SP9OL</t>
        </is>
      </c>
      <c r="BO863" t="n">
        <v>34200182</v>
      </c>
      <c r="BP863" t="inlineStr">
        <is>
          <t>Green Published, gold</t>
        </is>
      </c>
      <c r="BS863" t="inlineStr">
        <is>
          <t>2023-10-26</t>
        </is>
      </c>
      <c r="BT863" t="inlineStr">
        <is>
          <t>WOS:000659992000001</t>
        </is>
      </c>
      <c r="BU863">
        <f>HYPERLINK("https%3A%2F%2Fwww.webofscience.com%2Fwos%2Fwoscc%2Ffull-record%2FWOS:000659992000001","View Full Record in Web of Science")</f>
        <v/>
      </c>
    </row>
    <row r="864">
      <c r="A864" t="inlineStr">
        <is>
          <t>J</t>
        </is>
      </c>
      <c r="B864" t="inlineStr">
        <is>
          <t>Mulliner, E; Riley, M; Maliene, V</t>
        </is>
      </c>
      <c r="F864" t="inlineStr">
        <is>
          <t>Mulliner, Emma; Riley, Mike; Maliene, Vida</t>
        </is>
      </c>
      <c r="J864" t="inlineStr">
        <is>
          <t>SUSTAINABILITY</t>
        </is>
      </c>
      <c r="M864" t="inlineStr">
        <is>
          <t>English</t>
        </is>
      </c>
      <c r="N864" t="inlineStr">
        <is>
          <t>Article</t>
        </is>
      </c>
      <c r="T864" t="inlineStr">
        <is>
          <t>Older People's Preferences for Housing and Environment Characteristics</t>
        </is>
      </c>
      <c r="U864" t="inlineStr">
        <is>
          <t>ageing population; age-friendly housing; elderly; housing preferences; healthy housing; older people</t>
        </is>
      </c>
      <c r="V864" t="inlineStr">
        <is>
          <t>AGING IN-PLACE; AGE-FRIENDLY CITIES; QUALITY-OF-LIFE; NEIGHBORHOOD ENVIRONMENT; HOME-ENVIRONMENT; THERMAL COMFORT; HEALTH; ADULTS; RETIREMENT; FACILITIES</t>
        </is>
      </c>
      <c r="W864" t="inlineStr">
        <is>
          <t>Population ageing presents significant challenges for many countries, one of which is the provision of adequate housing. Developing understanding of the needs and preferences of ageing societies will be crucial in order to assist in the provision of suitable housing and communities that are sustainable in the long term. While a preference to 'age in place' is clear in the literature, comparatively less academic research is available on older people's preferences for more specific housing and environment attributes. The aim of this study is to identify the main housing and environment characteristics that are linked to the health and wellbeing of the elderly and determine the preferences for such characteristics via a survey with UK residents aged 55+. The results indicate a strong preference for independent living and an increasing desire for bungalows in later life. Housing conditions, energy efficiency, thermal comfort, and home adaptions to facilitate ageing in place are particularly important housing characteristics to older people. The location and environment are also key drivers of housing preferences; a safe neighbourhood, accessibility to amenities, public transport, and a clean and walkable environment are particularly important. Preferences varied with age, but gender has a less significant impact on the preferences expressed. The findings of this study will be valuable for stakeholders engaged in housing policy and provision for older people.</t>
        </is>
      </c>
      <c r="X864" t="inlineStr">
        <is>
          <t>[Mulliner, Emma; Riley, Mike; Maliene, Vida] Liverpool John Moores Univ, Fac Engn &amp; Technol, Built Environm &amp; Sustainable Technol Res Inst, Dept Built Environm, Byrom St, Liverpool L3 3AF, Merseyside, England</t>
        </is>
      </c>
      <c r="Y864" t="inlineStr">
        <is>
          <t>Liverpool John Moores University</t>
        </is>
      </c>
      <c r="Z864" t="inlineStr">
        <is>
          <t>Maliene, V (corresponding author), Liverpool John Moores Univ, Fac Engn &amp; Technol, Built Environm &amp; Sustainable Technol Res Inst, Dept Built Environm, Byrom St, Liverpool L3 3AF, Merseyside, England.</t>
        </is>
      </c>
      <c r="AA864" t="inlineStr">
        <is>
          <t>e.k.mulliner@ljmu.ac.uk; m.l.riley@ljmu.ac.uk; v.maliene@ljmu.ac.uk</t>
        </is>
      </c>
      <c r="AD864" t="inlineStr">
        <is>
          <t>RICS Research Trust [RICS 516]</t>
        </is>
      </c>
      <c r="AE864" t="inlineStr">
        <is>
          <t>RICS Research Trust</t>
        </is>
      </c>
      <c r="AF864" t="inlineStr">
        <is>
          <t>This research was supported by RICS Research Trust [grant number RICS 516].</t>
        </is>
      </c>
      <c r="AH864" t="n">
        <v>105</v>
      </c>
      <c r="AI864" t="n">
        <v>31</v>
      </c>
      <c r="AJ864" t="n">
        <v>32</v>
      </c>
      <c r="AK864" t="n">
        <v>14</v>
      </c>
      <c r="AL864" t="n">
        <v>88</v>
      </c>
      <c r="AM864" t="inlineStr">
        <is>
          <t>MDPI</t>
        </is>
      </c>
      <c r="AN864" t="inlineStr">
        <is>
          <t>BASEL</t>
        </is>
      </c>
      <c r="AO864" t="inlineStr">
        <is>
          <t>ST ALBAN-ANLAGE 66, CH-4052 BASEL, SWITZERLAND</t>
        </is>
      </c>
      <c r="AQ864" t="inlineStr">
        <is>
          <t>2071-1050</t>
        </is>
      </c>
      <c r="AS864" t="inlineStr">
        <is>
          <t>SUSTAINABILITY-BASEL</t>
        </is>
      </c>
      <c r="AT864" t="inlineStr">
        <is>
          <t>Sustainability</t>
        </is>
      </c>
      <c r="AU864" t="inlineStr">
        <is>
          <t>JUL</t>
        </is>
      </c>
      <c r="AV864" t="n">
        <v>2020</v>
      </c>
      <c r="AW864" t="n">
        <v>12</v>
      </c>
      <c r="AX864" t="n">
        <v>14</v>
      </c>
      <c r="BE864" t="n">
        <v>5723</v>
      </c>
      <c r="BF864" t="inlineStr">
        <is>
          <t>10.3390/su12145723</t>
        </is>
      </c>
      <c r="BG864">
        <f>HYPERLINK("http://dx.doi.org/10.3390/su12145723","http://dx.doi.org/10.3390/su12145723")</f>
        <v/>
      </c>
      <c r="BJ864" t="n">
        <v>25</v>
      </c>
      <c r="BK864" t="inlineStr">
        <is>
          <t>Green &amp; Sustainable Science &amp; Technology; Environmental Sciences; Environmental Studies</t>
        </is>
      </c>
      <c r="BL864" t="inlineStr">
        <is>
          <t>Science Citation Index Expanded (SCI-EXPANDED); Social Science Citation Index (SSCI)</t>
        </is>
      </c>
      <c r="BM864" t="inlineStr">
        <is>
          <t>Science &amp; Technology - Other Topics; Environmental Sciences &amp; Ecology</t>
        </is>
      </c>
      <c r="BN864" t="inlineStr">
        <is>
          <t>MU7TB</t>
        </is>
      </c>
      <c r="BP864" t="inlineStr">
        <is>
          <t>Green Accepted, Green Published, gold</t>
        </is>
      </c>
      <c r="BS864" t="inlineStr">
        <is>
          <t>2023-10-26</t>
        </is>
      </c>
      <c r="BT864" t="inlineStr">
        <is>
          <t>WOS:000555870700001</t>
        </is>
      </c>
      <c r="BU864">
        <f>HYPERLINK("https%3A%2F%2Fwww.webofscience.com%2Fwos%2Fwoscc%2Ffull-record%2FWOS:000555870700001","View Full Record in Web of Science")</f>
        <v/>
      </c>
    </row>
    <row r="865">
      <c r="A865" t="inlineStr">
        <is>
          <t>J</t>
        </is>
      </c>
      <c r="B865" t="inlineStr">
        <is>
          <t>Li, L; Arnot, JA; Wania, F</t>
        </is>
      </c>
      <c r="F865" t="inlineStr">
        <is>
          <t>Li, Li; Arnot, Jon A.; Wania, Frank</t>
        </is>
      </c>
      <c r="J865" t="inlineStr">
        <is>
          <t>ENVIRONMENT INTERNATIONAL</t>
        </is>
      </c>
      <c r="M865" t="inlineStr">
        <is>
          <t>English</t>
        </is>
      </c>
      <c r="N865" t="inlineStr">
        <is>
          <t>Article</t>
        </is>
      </c>
      <c r="T865" t="inlineStr">
        <is>
          <t>Towards a systematic understanding of the dynamic fate of polychlorinated biphenyls in indoor, urban and rural environments</t>
        </is>
      </c>
      <c r="U865" t="inlineStr">
        <is>
          <t>Polychlorinated biphenyls; Indoor; Rural; Near-field; Far-field; Model</t>
        </is>
      </c>
      <c r="V865" t="inlineStr">
        <is>
          <t>HISTORICAL EMISSION INVENTORY; POLYBROMINATED DIPHENYL ETHERS; GLOBAL DISTRIBUTION; ORGANIC-CHEMICALS; PCB CONGENERS; ATMOSPHERIC CONCENTRATIONS; ORGANOCHLORINE PESTICIDES; MULTIMEDIA MODEL; OUTDOOR AIR; NEAR-FIELD</t>
        </is>
      </c>
      <c r="W865" t="inlineStr">
        <is>
          <t>Indoor environments and urban areas are hubs of chemical stocks and emissions, which contaminate those indoor and urban areas as well as the surrounding rural areas. Here, we introduce a newly developed nested multimedia indoor-urban-rural chemical fate model, coupled with a substance flow analysis, aiming to provide an integrated and dynamic understanding of the mass distribution, concentrations, and major pathways of contaminants within and between indoor, urban and rural environments. The model is applied to simulate the emissions, transport and fate of polychlorinated biphenyl (PCB) congeners 28 and 153 in the Western Baltic drainage basin over time. Whereas&gt;90% of PCBs were used in the urban outdoor environment, the model indicates that similar to 80% of emissions occurred indoors because of higher emission factors in open-end usage. Atmospheric advection is highly effective in transporting the bulk of the PCBs emitted indoors to urban (&gt; 85%) and rural (&gt; 75%) environments. The rural environment is identified as the main locale for accommodating (&gt; 80%) and removing (&gt; 50%) the emitted PCBs. Contamination of exposure-relevant compartments in the rural environment is anticipated to decrease slower than, and thus outlast, that in the indoor environment, which implies an increasing importance of the food chain accumulation in overall human exposure to PCBs over time. Our model demonstrates that, whereas the indoor environment contains an insignificant fraction of the total emissions remaining in the regional environment, it experiences orders of magnitude higher concentrations than the rural environment. Therefore, while including indoor and urban environments in modeling influences little the modeled overall chemical fate on a regional scale, it strongly affects modeling the human exposure associated with multimedia concentrations.</t>
        </is>
      </c>
      <c r="X865" t="inlineStr">
        <is>
          <t>[Li, Li; Arnot, Jon A.; Wania, Frank] Univ Toronto Scarborough, Dept Phys &amp; Environm Sci, 1095 Mil Trail, Toronto, ON M1C 1A4, Canada; [Arnot, Jon A.] ARC Arnot Res &amp; Consulting, Toronto, ON, Canada</t>
        </is>
      </c>
      <c r="Y865" t="inlineStr">
        <is>
          <t>University of Toronto; University Toronto Scarborough</t>
        </is>
      </c>
      <c r="Z865" t="inlineStr">
        <is>
          <t>Li, L (corresponding author), Univ Toronto Scarborough, Dept Phys &amp; Environm Sci, 1095 Mil Trail, Toronto, ON M1C 1A4, Canada.</t>
        </is>
      </c>
      <c r="AA865" t="inlineStr">
        <is>
          <t>environ.li@mail.utoronto.ca; jon@arnotresearch.com; frank.wania@utoronto.ca</t>
        </is>
      </c>
      <c r="AB865" t="inlineStr">
        <is>
          <t>Wania, Frank/JAX-3216-2023; Li, Li/AAH-4031-2019; Wania, Frank/J-2532-2012</t>
        </is>
      </c>
      <c r="AC865" t="inlineStr">
        <is>
          <t>Wania, Frank/0000-0003-3836-0901; Li, Li/0000-0002-5157-7366; Wania, Frank/0000-0003-3836-0901; Arnot, Jon/0000-0002-4295-4270</t>
        </is>
      </c>
      <c r="AD865" t="inlineStr">
        <is>
          <t>MITACS Elevate program [IT09513]; American Chemistry Council Long-Range Research Initiative program [6459]</t>
        </is>
      </c>
      <c r="AE865" t="inlineStr">
        <is>
          <t>MITACS Elevate program; American Chemistry Council Long-Range Research Initiative program</t>
        </is>
      </c>
      <c r="AF865" t="inlineStr">
        <is>
          <t>The authors are thankful for funding support from the MITACS Elevate program (IT09513) and the American Chemistry Council Long-Range Research Initiative program (6459). This publication has not been formally reviewed by the American Chemistry Council. The views expressed in this document are solely those of the authors.</t>
        </is>
      </c>
      <c r="AH865" t="n">
        <v>72</v>
      </c>
      <c r="AI865" t="n">
        <v>27</v>
      </c>
      <c r="AJ865" t="n">
        <v>27</v>
      </c>
      <c r="AK865" t="n">
        <v>5</v>
      </c>
      <c r="AL865" t="n">
        <v>66</v>
      </c>
      <c r="AM865" t="inlineStr">
        <is>
          <t>PERGAMON-ELSEVIER SCIENCE LTD</t>
        </is>
      </c>
      <c r="AN865" t="inlineStr">
        <is>
          <t>OXFORD</t>
        </is>
      </c>
      <c r="AO865" t="inlineStr">
        <is>
          <t>THE BOULEVARD, LANGFORD LANE, KIDLINGTON, OXFORD OX5 1GB, ENGLAND</t>
        </is>
      </c>
      <c r="AP865" t="inlineStr">
        <is>
          <t>0160-4120</t>
        </is>
      </c>
      <c r="AQ865" t="inlineStr">
        <is>
          <t>1873-6750</t>
        </is>
      </c>
      <c r="AS865" t="inlineStr">
        <is>
          <t>ENVIRON INT</t>
        </is>
      </c>
      <c r="AT865" t="inlineStr">
        <is>
          <t>Environ. Int.</t>
        </is>
      </c>
      <c r="AU865" t="inlineStr">
        <is>
          <t>AUG</t>
        </is>
      </c>
      <c r="AV865" t="n">
        <v>2018</v>
      </c>
      <c r="AW865" t="n">
        <v>117</v>
      </c>
      <c r="BC865" t="n">
        <v>57</v>
      </c>
      <c r="BD865" t="n">
        <v>68</v>
      </c>
      <c r="BF865" t="inlineStr">
        <is>
          <t>10.1016/j.envint.2018.04.038</t>
        </is>
      </c>
      <c r="BG865">
        <f>HYPERLINK("http://dx.doi.org/10.1016/j.envint.2018.04.038","http://dx.doi.org/10.1016/j.envint.2018.04.038")</f>
        <v/>
      </c>
      <c r="BJ865" t="n">
        <v>12</v>
      </c>
      <c r="BK865" t="inlineStr">
        <is>
          <t>Environmental Sciences</t>
        </is>
      </c>
      <c r="BL865" t="inlineStr">
        <is>
          <t>Science Citation Index Expanded (SCI-EXPANDED)</t>
        </is>
      </c>
      <c r="BM865" t="inlineStr">
        <is>
          <t>Environmental Sciences &amp; Ecology</t>
        </is>
      </c>
      <c r="BN865" t="inlineStr">
        <is>
          <t>GK9ME</t>
        </is>
      </c>
      <c r="BO865" t="n">
        <v>29727753</v>
      </c>
      <c r="BS865" t="inlineStr">
        <is>
          <t>2023-10-26</t>
        </is>
      </c>
      <c r="BT865" t="inlineStr">
        <is>
          <t>WOS:000436573400008</t>
        </is>
      </c>
      <c r="BU865">
        <f>HYPERLINK("https%3A%2F%2Fwww.webofscience.com%2Fwos%2Fwoscc%2Ffull-record%2FWOS:000436573400008","View Full Record in Web of Science")</f>
        <v/>
      </c>
    </row>
    <row r="866">
      <c r="A866" t="inlineStr">
        <is>
          <t>J</t>
        </is>
      </c>
      <c r="B866" t="inlineStr">
        <is>
          <t>Roh, M; Dan, H; Kim, O</t>
        </is>
      </c>
      <c r="F866" t="inlineStr">
        <is>
          <t>Roh, Min; Dan, Hyunju; Kim, Oksoo</t>
        </is>
      </c>
      <c r="J866" t="inlineStr">
        <is>
          <t>INTERNATIONAL JOURNAL OF ENVIRONMENTAL RESEARCH AND PUBLIC HEALTH</t>
        </is>
      </c>
      <c r="M866" t="inlineStr">
        <is>
          <t>English</t>
        </is>
      </c>
      <c r="N866" t="inlineStr">
        <is>
          <t>Article</t>
        </is>
      </c>
      <c r="T866" t="inlineStr">
        <is>
          <t>Influencing Factors of Subjective Cognitive Impairment in Middle-Aged and Older Adults</t>
        </is>
      </c>
      <c r="U866" t="inlineStr">
        <is>
          <t>subjective cognitive impairment; depressive symptoms; middle-aged; older adults; stress</t>
        </is>
      </c>
      <c r="V866" t="inlineStr">
        <is>
          <t>PHYSICAL-ACTIVITY; RISK-FACTORS; DECLINE; RELIABILITY; SYMPTOMS; VALIDITY; MEMORY</t>
        </is>
      </c>
      <c r="W866" t="inlineStr">
        <is>
          <t>The purpose of this study was to identify the factors affecting subjective cognitive impairment. We analyzed data from the 2019 Korea Community Health Survey and enrolled 68,546 middle-aged adults, aged 50 to 64 years, and 74,547 older adults, aged 65 years and older, in this study. Multiple logistic regression analysis was performed to identify factors influencing subjective cognitive impairment. Of the participants, 11,926 (17.4%) middle-aged and 21,880 (29.4%) older adults living in the community reported subjective cognitive impairment. Major factors that influenced subjective cognitive impairment in both middle-aged and older adults were gender, subjective stress, depressive symptoms, and alcohol drinking. In contrast to middle-aged adults, the marital status of older adults affected subjective cognitive impairment. Therefore, the factors affecting subjective cognitive impairment in middle-aged and older adults need to be considered for screening and management to prevent cognitive impairment and dementia. In particular, it is necessary to evaluate and manage stress and depressive symptoms from middle age to prevent subjective cognitive impairment.</t>
        </is>
      </c>
      <c r="X866" t="inlineStr">
        <is>
          <t>[Roh, Min; Dan, Hyunju; Kim, Oksoo] Ewha Womans Univ, Coll Nursing, Seoul 03760, South Korea</t>
        </is>
      </c>
      <c r="Y866" t="inlineStr">
        <is>
          <t>Ewha Womans University</t>
        </is>
      </c>
      <c r="Z866" t="inlineStr">
        <is>
          <t>Kim, O (corresponding author), Ewha Womans Univ, Coll Nursing, Seoul 03760, South Korea.</t>
        </is>
      </c>
      <c r="AA866" t="inlineStr">
        <is>
          <t>nmlhj@hanmail.net; hidan@hanmail.net; ohong@ewha.ac.kr</t>
        </is>
      </c>
      <c r="AB866" t="inlineStr">
        <is>
          <t>Dan, Hyunju/GRJ-4531-2022</t>
        </is>
      </c>
      <c r="AC866" t="inlineStr">
        <is>
          <t>Dan, Hyunju/0000-0002-1864-7967; Roh, Min/0000-0002-4462-8452</t>
        </is>
      </c>
      <c r="AH866" t="n">
        <v>36</v>
      </c>
      <c r="AI866" t="n">
        <v>7</v>
      </c>
      <c r="AJ866" t="n">
        <v>7</v>
      </c>
      <c r="AK866" t="n">
        <v>6</v>
      </c>
      <c r="AL866" t="n">
        <v>27</v>
      </c>
      <c r="AM866" t="inlineStr">
        <is>
          <t>MDPI</t>
        </is>
      </c>
      <c r="AN866" t="inlineStr">
        <is>
          <t>BASEL</t>
        </is>
      </c>
      <c r="AO866" t="inlineStr">
        <is>
          <t>ST ALBAN-ANLAGE 66, CH-4052 BASEL, SWITZERLAND</t>
        </is>
      </c>
      <c r="AQ866" t="inlineStr">
        <is>
          <t>1660-4601</t>
        </is>
      </c>
      <c r="AS866" t="inlineStr">
        <is>
          <t>INT J ENV RES PUB HE</t>
        </is>
      </c>
      <c r="AT866" t="inlineStr">
        <is>
          <t>Int. J. Environ. Res. Public Health</t>
        </is>
      </c>
      <c r="AU866" t="inlineStr">
        <is>
          <t>NOV</t>
        </is>
      </c>
      <c r="AV866" t="n">
        <v>2021</v>
      </c>
      <c r="AW866" t="n">
        <v>18</v>
      </c>
      <c r="AX866" t="n">
        <v>21</v>
      </c>
      <c r="BE866" t="n">
        <v>11488</v>
      </c>
      <c r="BF866" t="inlineStr">
        <is>
          <t>10.3390/ijerph182111488</t>
        </is>
      </c>
      <c r="BG866">
        <f>HYPERLINK("http://dx.doi.org/10.3390/ijerph182111488","http://dx.doi.org/10.3390/ijerph182111488")</f>
        <v/>
      </c>
      <c r="BJ866" t="n">
        <v>10</v>
      </c>
      <c r="BK866" t="inlineStr">
        <is>
          <t>Environmental Sciences; Public, Environmental &amp; Occupational Health</t>
        </is>
      </c>
      <c r="BL866" t="inlineStr">
        <is>
          <t>Science Citation Index Expanded (SCI-EXPANDED); Social Science Citation Index (SSCI)</t>
        </is>
      </c>
      <c r="BM866" t="inlineStr">
        <is>
          <t>Environmental Sciences &amp; Ecology; Public, Environmental &amp; Occupational Health</t>
        </is>
      </c>
      <c r="BN866" t="inlineStr">
        <is>
          <t>WY7FN</t>
        </is>
      </c>
      <c r="BO866" t="n">
        <v>34770002</v>
      </c>
      <c r="BP866" t="inlineStr">
        <is>
          <t>Green Published, gold</t>
        </is>
      </c>
      <c r="BS866" t="inlineStr">
        <is>
          <t>2023-10-26</t>
        </is>
      </c>
      <c r="BT866" t="inlineStr">
        <is>
          <t>WOS:000719444300001</t>
        </is>
      </c>
      <c r="BU866">
        <f>HYPERLINK("https%3A%2F%2Fwww.webofscience.com%2Fwos%2Fwoscc%2Ffull-record%2FWOS:000719444300001","View Full Record in Web of Science")</f>
        <v/>
      </c>
    </row>
    <row r="867">
      <c r="A867" t="inlineStr">
        <is>
          <t>J</t>
        </is>
      </c>
      <c r="B867" t="inlineStr">
        <is>
          <t>Fantozzi, F; Rocca, M</t>
        </is>
      </c>
      <c r="F867" t="inlineStr">
        <is>
          <t>Fantozzi, Fabio; Rocca, Michele</t>
        </is>
      </c>
      <c r="J867" t="inlineStr">
        <is>
          <t>ATMOSPHERE</t>
        </is>
      </c>
      <c r="M867" t="inlineStr">
        <is>
          <t>English</t>
        </is>
      </c>
      <c r="N867" t="inlineStr">
        <is>
          <t>Review</t>
        </is>
      </c>
      <c r="T867" t="inlineStr">
        <is>
          <t>An Extensive Collection of Evaluation Indicators to Assess Occupants' Health and Comfort in Indoor Environment</t>
        </is>
      </c>
      <c r="U867" t="inlineStr">
        <is>
          <t>health and comfort; evaluation indicators; work environments; indoor environmental quality; indoor comfort; human health</t>
        </is>
      </c>
      <c r="V867" t="inlineStr">
        <is>
          <t>SICK BUILDING SYNDROME; SPEECH TRANSMISSION INDEX; CONDITIONING HVAC SYSTEMS; COMPUTER VISION SYNDROME; THERMAL COMFORT; AIR-QUALITY; HEAT-STRESS; PSYCHOSOCIAL STRESS; REVERBERATION TIME; ASSESSMENT MODEL</t>
        </is>
      </c>
      <c r="W867" t="inlineStr">
        <is>
          <t>Today, the effects of the indoor environment on occupants' health and comfort represent a very important topic and requires a holistic approach in which the four main environmental factors (thermal comfort, air quality, acoustics, and lighting) should be simultaneously assessed. The present paper shows the results of a literature survey that aimed to collect the indicators for the evaluation of occupants' health and comfort in indoor environmental quality evaluations. A broad number of papers that propose the indicators of a specific environmental factor is available in the scientific literature, but a review that collects the indicators of all four factors is lacking. In this review paper, the difference between indicators for the evaluation of risk for human health and for comfort evaluation is clarified. For each environmental factor, the risk for human health indicators are proposed with the relative threshold values, and the human comfort indicators are grouped into categories according to the number of parameters included, or the specific field of application for which they are proposed. Furthermore, the differences between human health and comfort indicators are highlighted.</t>
        </is>
      </c>
      <c r="X867" t="inlineStr">
        <is>
          <t>[Fantozzi, Fabio; Rocca, Michele] Univ Pisa, Dept Energy Syst Terr &amp; Construct Engn, I-56122 Pisa, Italy</t>
        </is>
      </c>
      <c r="Y867" t="inlineStr">
        <is>
          <t>University of Pisa</t>
        </is>
      </c>
      <c r="Z867" t="inlineStr">
        <is>
          <t>Rocca, M (corresponding author), Univ Pisa, Dept Energy Syst Terr &amp; Construct Engn, I-56122 Pisa, Italy.</t>
        </is>
      </c>
      <c r="AA867" t="inlineStr">
        <is>
          <t>fantozzi@ing.unipi.it; michele.rocca.au@gmail.com</t>
        </is>
      </c>
      <c r="AB867" t="inlineStr">
        <is>
          <t>Rocca, Michele/U-4967-2019; Rocca, Michele/ISA-2999-2023</t>
        </is>
      </c>
      <c r="AC867" t="inlineStr">
        <is>
          <t>Rocca, Michele/0000-0001-9454-0654; Fantozzi, Fabio/0000-0002-3213-1764</t>
        </is>
      </c>
      <c r="AH867" t="n">
        <v>297</v>
      </c>
      <c r="AI867" t="n">
        <v>34</v>
      </c>
      <c r="AJ867" t="n">
        <v>35</v>
      </c>
      <c r="AK867" t="n">
        <v>9</v>
      </c>
      <c r="AL867" t="n">
        <v>63</v>
      </c>
      <c r="AM867" t="inlineStr">
        <is>
          <t>MDPI</t>
        </is>
      </c>
      <c r="AN867" t="inlineStr">
        <is>
          <t>BASEL</t>
        </is>
      </c>
      <c r="AO867" t="inlineStr">
        <is>
          <t>ST ALBAN-ANLAGE 66, CH-4052 BASEL, SWITZERLAND</t>
        </is>
      </c>
      <c r="AQ867" t="inlineStr">
        <is>
          <t>2073-4433</t>
        </is>
      </c>
      <c r="AS867" t="inlineStr">
        <is>
          <t>ATMOSPHERE-BASEL</t>
        </is>
      </c>
      <c r="AT867" t="inlineStr">
        <is>
          <t>Atmosphere</t>
        </is>
      </c>
      <c r="AU867" t="inlineStr">
        <is>
          <t>JAN</t>
        </is>
      </c>
      <c r="AV867" t="n">
        <v>2020</v>
      </c>
      <c r="AW867" t="n">
        <v>11</v>
      </c>
      <c r="AX867" t="n">
        <v>1</v>
      </c>
      <c r="BE867" t="n">
        <v>90</v>
      </c>
      <c r="BF867" t="inlineStr">
        <is>
          <t>10.3390/atmos11010090</t>
        </is>
      </c>
      <c r="BG867">
        <f>HYPERLINK("http://dx.doi.org/10.3390/atmos11010090","http://dx.doi.org/10.3390/atmos11010090")</f>
        <v/>
      </c>
      <c r="BJ867" t="n">
        <v>37</v>
      </c>
      <c r="BK867" t="inlineStr">
        <is>
          <t>Environmental Sciences; Meteorology &amp; Atmospheric Sciences</t>
        </is>
      </c>
      <c r="BL867" t="inlineStr">
        <is>
          <t>Science Citation Index Expanded (SCI-EXPANDED); Social Science Citation Index (SSCI)</t>
        </is>
      </c>
      <c r="BM867" t="inlineStr">
        <is>
          <t>Environmental Sciences &amp; Ecology; Meteorology &amp; Atmospheric Sciences</t>
        </is>
      </c>
      <c r="BN867" t="inlineStr">
        <is>
          <t>KQ3KU</t>
        </is>
      </c>
      <c r="BP867" t="inlineStr">
        <is>
          <t>gold, Green Submitted</t>
        </is>
      </c>
      <c r="BS867" t="inlineStr">
        <is>
          <t>2023-10-26</t>
        </is>
      </c>
      <c r="BT867" t="inlineStr">
        <is>
          <t>WOS:000516826200090</t>
        </is>
      </c>
      <c r="BU867">
        <f>HYPERLINK("https%3A%2F%2Fwww.webofscience.com%2Fwos%2Fwoscc%2Ffull-record%2FWOS:000516826200090","View Full Record in Web of Science")</f>
        <v/>
      </c>
    </row>
    <row r="868">
      <c r="A868" t="inlineStr">
        <is>
          <t>J</t>
        </is>
      </c>
      <c r="B868" t="inlineStr">
        <is>
          <t>Chen, XD; Lin, ZT; Gao, R; Yang, YJ; Li, LP</t>
        </is>
      </c>
      <c r="F868" t="inlineStr">
        <is>
          <t>Chen, Xiaodong; Lin, Zeting; Gao, Ran; Yang, Yijian; Li, Liping</t>
        </is>
      </c>
      <c r="J868" t="inlineStr">
        <is>
          <t>INTERNATIONAL JOURNAL OF ENVIRONMENTAL RESEARCH AND PUBLIC HEALTH</t>
        </is>
      </c>
      <c r="M868" t="inlineStr">
        <is>
          <t>English</t>
        </is>
      </c>
      <c r="N868" t="inlineStr">
        <is>
          <t>Article</t>
        </is>
      </c>
      <c r="T868" t="inlineStr">
        <is>
          <t>Prevalence and Associated Factors of Falls among Older Adults between Urban and Rural Areas of Shantou City, China</t>
        </is>
      </c>
      <c r="U868" t="inlineStr">
        <is>
          <t>older adults; urban and rural areas; falls; associated factors</t>
        </is>
      </c>
      <c r="V868" t="inlineStr">
        <is>
          <t>RISK-FACTORS</t>
        </is>
      </c>
      <c r="W868" t="inlineStr">
        <is>
          <t>Background: To investigate the prevalence of falls and associated factors among older adults in urban and rural areas and to facilitate the design of fall prevention interventions. Methods: We used cluster random sampling to investigate the sociodemographic information, living habits, medical status, falls, home environment, and balance ability among 649 older adult participants. Univariate and multivariate logistic regression were used to examine the associated factors of falls. Results: The incidence of falls among older adults in Shantou City was 20.65%. Among them, the incidence was 27.27% in urban areas and 16.99% in rural areas. The rate of injury from falls among older adults was 14.48%, with18.61% in urban area and 12.20% in rural area. Multivariate analysis showed that the associated factors of falls among older adults in Shantou City included a high school or below education level (OR = 2.387, 95% CI: 1.305-4.366); non-farming as the previous occupation (OR = 2.574, 95% CI: 1.613-4.109); incontinence(OR = 2.881, 95% CI: 1.517-5.470); lack of fall prevention education (OR = 1.856, 95% CI: 1.041-3.311); and reduced balance ability (OR = 3.917, 95% CI: 2.532-6.058). Discussion: Older adults have a higher rate of falling in Shantou City, compared to the average rate in China. There are similarities and differences in the associated factors of falls among older adults between urban and rural areas of Shantou City. Targeted interventions for older adults in different regions may be more effective in reducing the risk of falls.</t>
        </is>
      </c>
      <c r="X868" t="inlineStr">
        <is>
          <t>[Chen, Xiaodong; Lin, Zeting; Gao, Ran; Li, Liping] Shantou Univ, Coll Med, Injury Prevent Res Ctr, Shantou 515041, Peoples R China; [Chen, Xiaodong; Lin, Zeting; Gao, Ran; Li, Liping] Shantou Univ, Sch Publ Hlth, Shantou 515041, Peoples R China; [Yang, Yijian] Chinese Univ Hong Kong, Dept Sports Sci &amp; Phys Educ, Hong Kong, Peoples R China; [Yang, Yijian] Chinese Univ Hong Kong, Jockey Club Inst Ageing, Hong Kong, Peoples R China</t>
        </is>
      </c>
      <c r="Y868" t="inlineStr">
        <is>
          <t>Shantou University; Shantou University; Chinese University of Hong Kong; Chinese University of Hong Kong</t>
        </is>
      </c>
      <c r="Z868" t="inlineStr">
        <is>
          <t>Li, LP (corresponding author), Shantou Univ, Coll Med, Injury Prevent Res Ctr, Shantou 515041, Peoples R China.;Li, LP (corresponding author), Shantou Univ, Sch Publ Hlth, Shantou 515041, Peoples R China.</t>
        </is>
      </c>
      <c r="AA868" t="inlineStr">
        <is>
          <t>18xdchen@stu.edu.cn; 18ztlin@stu.edu.cn; gaorann@163.com; yyang@cuhk.edu.hk; lpli@stu.edu.cn</t>
        </is>
      </c>
      <c r="AB868" t="inlineStr">
        <is>
          <t>chen, xia/GXM-5435-2022; chen, xin/IQW-3432-2023; Yang, Yijian/G-1580-2016; chen, xi/GXH-3653-2022; Li, LiPing/HKE-9058-2023; chen, xia/GYR-3948-2022; Chen, Xiao/GQA-8928-2022</t>
        </is>
      </c>
      <c r="AC868" t="inlineStr">
        <is>
          <t>Yang, Yijian/0000-0002-5831-186X; Chen, Xiao/0000-0002-9797-8384; LI, Liping/0000-0003-3306-779X</t>
        </is>
      </c>
      <c r="AH868" t="n">
        <v>31</v>
      </c>
      <c r="AI868" t="n">
        <v>9</v>
      </c>
      <c r="AJ868" t="n">
        <v>10</v>
      </c>
      <c r="AK868" t="n">
        <v>2</v>
      </c>
      <c r="AL868" t="n">
        <v>29</v>
      </c>
      <c r="AM868" t="inlineStr">
        <is>
          <t>MDPI</t>
        </is>
      </c>
      <c r="AN868" t="inlineStr">
        <is>
          <t>BASEL</t>
        </is>
      </c>
      <c r="AO868" t="inlineStr">
        <is>
          <t>ST ALBAN-ANLAGE 66, CH-4052 BASEL, SWITZERLAND</t>
        </is>
      </c>
      <c r="AQ868" t="inlineStr">
        <is>
          <t>1660-4601</t>
        </is>
      </c>
      <c r="AS868" t="inlineStr">
        <is>
          <t>INT J ENV RES PUB HE</t>
        </is>
      </c>
      <c r="AT868" t="inlineStr">
        <is>
          <t>Int. J. Environ. Res. Public Health</t>
        </is>
      </c>
      <c r="AU868" t="inlineStr">
        <is>
          <t>JUL</t>
        </is>
      </c>
      <c r="AV868" t="n">
        <v>2021</v>
      </c>
      <c r="AW868" t="n">
        <v>18</v>
      </c>
      <c r="AX868" t="n">
        <v>13</v>
      </c>
      <c r="BE868" t="n">
        <v>7050</v>
      </c>
      <c r="BF868" t="inlineStr">
        <is>
          <t>10.3390/ijerph18137050</t>
        </is>
      </c>
      <c r="BG868">
        <f>HYPERLINK("http://dx.doi.org/10.3390/ijerph18137050","http://dx.doi.org/10.3390/ijerph18137050")</f>
        <v/>
      </c>
      <c r="BJ868" t="n">
        <v>10</v>
      </c>
      <c r="BK868" t="inlineStr">
        <is>
          <t>Environmental Sciences; Public, Environmental &amp; Occupational Health</t>
        </is>
      </c>
      <c r="BL868" t="inlineStr">
        <is>
          <t>Science Citation Index Expanded (SCI-EXPANDED); Social Science Citation Index (SSCI)</t>
        </is>
      </c>
      <c r="BM868" t="inlineStr">
        <is>
          <t>Environmental Sciences &amp; Ecology; Public, Environmental &amp; Occupational Health</t>
        </is>
      </c>
      <c r="BN868" t="inlineStr">
        <is>
          <t>TF8PT</t>
        </is>
      </c>
      <c r="BO868" t="n">
        <v>34280986</v>
      </c>
      <c r="BP868" t="inlineStr">
        <is>
          <t>gold, Green Published</t>
        </is>
      </c>
      <c r="BS868" t="inlineStr">
        <is>
          <t>2023-10-26</t>
        </is>
      </c>
      <c r="BT868" t="inlineStr">
        <is>
          <t>WOS:000670978200001</t>
        </is>
      </c>
      <c r="BU868">
        <f>HYPERLINK("https%3A%2F%2Fwww.webofscience.com%2Fwos%2Fwoscc%2Ffull-record%2FWOS:000670978200001","View Full Record in Web of Science")</f>
        <v/>
      </c>
    </row>
    <row r="869">
      <c r="A869" t="inlineStr">
        <is>
          <t>J</t>
        </is>
      </c>
      <c r="B869" t="inlineStr">
        <is>
          <t>den Braver, NR; Lakerveld, J; Gozdyra, P; van de Brug, T; Moin, JS; Fazli, GS; Rutters, F; Brug, J; Moineddin, R; Beulens, JWJ; Booth, GL</t>
        </is>
      </c>
      <c r="F869" t="inlineStr">
        <is>
          <t>den Braver, Nicolette R.; Lakerveld, Jeroen; Gozdyra, Peter; van de Brug, Tim; Moin, John S.; Fazli, Ghazal S.; Rutters, Femke; Brug, Johannes; Moineddin, Rahim; Beulens, Joline W. J.; Booth, Gillian L.</t>
        </is>
      </c>
      <c r="J869" t="inlineStr">
        <is>
          <t>ENVIRONMENT INTERNATIONAL</t>
        </is>
      </c>
      <c r="M869" t="inlineStr">
        <is>
          <t>English</t>
        </is>
      </c>
      <c r="N869" t="inlineStr">
        <is>
          <t>Article</t>
        </is>
      </c>
      <c r="T869" t="inlineStr">
        <is>
          <t>Development of a neighborhood drivability index and its association with transportation behavior in Toronto</t>
        </is>
      </c>
      <c r="U869" t="inlineStr">
        <is>
          <t>Built environment; Neighborhoods; Transportation behavior; Drivability; Physical activity; Household travel survey</t>
        </is>
      </c>
      <c r="V869" t="inlineStr">
        <is>
          <t>BUILT ENVIRONMENT; ACTIVITY SPACE; LAND-USE; TRAVEL; WALKABILITY; DISTANCE; BUFFER; US</t>
        </is>
      </c>
      <c r="W869" t="inlineStr">
        <is>
          <t>Background: Car driving is a form of passive transport that is associated with an increase in physical inactivity, obesity, air pollution and noise. Built environment characteristics may influence transport mode choice, but comprehensive indices for built environment characteristics that drive car use are still lacking, while such an index could provide tangible policy entry points. Objective: We developed and validated a neighbourhood drivability index, capturing combined dimensions of the neighbourhood environment in the City of Toronto, and investigated its association with transportation choices (car, public transit or active transport), overall, by trip length, and combined for residential neighbourhood and workplace drivability. Methods: We used exploratory factor analysis to derive distinct factors (clusters of one or more environmental characteristics) that reflect the degree of car dependency in each neighbourhood, drawing from candidate variables that capture density, diversity, design, destination accessibility, distance to transit, and demand management. Area level factor scores were then combined into a single composite score, reflecting neighbourhood drivability. Negative binomial generalized estimating equations were used to test the association between driveability quintiles (Q) and primary travel mode (&gt;50% of trips by car, public transit, or walking/cycling) in a population-based sample of 63,766 Toronto residents enrolled in the Transportation Tomorrow Survey (TTS) wave 2016, adjusting for individual and household characteristics, and accounting for clustering of respondents within households. Results: The drivability index consisted of three factors: Urban sprawl, pedestrian facilities and parking availability. Relative to those living in the least drivable neighbourhoods (Q1), those in high drivability areas (Q5) had a significantly higher rate of car travel (adjusted Risk Ratio (RR): 1.80, 95%CI: 1.77-1.88), and lower rate of public transit use (RR: 0.90, 95%CI: 0.85-0.94) and walking/cycling (RR: 0.22, 95%CI: 0.19-0.25). Associations were strongest for short trips (&lt;3 km) (RR: 2.72, 95%CI: 2.48-2.92), and in analyses where both residential and workplace drivability was considered (RR for car use in high/high vs. low/low residential/workplace drivability: 2.18, 95%CI: 2.08-2.29). Conclusion: This novel neighbourhood drivability index predicted whether local residents drive or use active modes of transportation and can be used to investigate the association between drivability, physical activity, and chronic disease risk.</t>
        </is>
      </c>
      <c r="X869" t="inlineStr">
        <is>
          <t>[den Braver, Nicolette R.; Lakerveld, Jeroen; van de Brug, Tim; Rutters, Femke; Beulens, Joline W. J.] Vrije Univ Amsterdam, Amsterdam Publ Hlth Res Inst, Dept Epidemiol &amp; Data Sci, Amsterdam UMC, Amsterdam, Netherlands; [den Braver, Nicolette R.; Beulens, Joline W. J.] Upstream Team, Amsterdam, Netherlands; [Gozdyra, Peter; Moin, John S.; Fazli, Ghazal S.; Booth, Gillian L.] St Michaels Hosp, Li Ka Shing Knowledge Inst, MAP Ctr Urban Hlth Solut, Toronto, ON, Canada; [Gozdyra, Peter; Moineddin, Rahim; Booth, Gillian L.] ICES, Toronto, ON, Canada; [Brug, Johannes] Natl Inst Publ Hlth &amp; Environm, Bilthoven, Netherlands; [Brug, Johannes] Univ Amsterdam, Fac Social &amp; Behav Sci, Amsterdam, Netherlands; [Moineddin, Rahim] Univ Toronto, Fac Med, Dept Family &amp; Community Med, Toronto, ON, Canada; [Beulens, Joline W. J.] Univ Med Ctr Utrecht, Julius Ctr Hlth Sci &amp; Primary Care, Utrecht, Netherlands; [Booth, Gillian L.] Univ Toronto, Dept Med, Toronto, ON, Canada; [Booth, Gillian L.] Univ Toronto, Inst Hlth Policy Management &amp; Evaluat, Toronto, ON, Canada</t>
        </is>
      </c>
      <c r="Y869" t="inlineStr">
        <is>
          <t>University of Amsterdam; Vrije Universiteit Amsterdam; University of Toronto; Li Ka Shing Knowledge Institute; Saint Michaels Hospital Toronto; University of Toronto; Netherlands National Institute for Public Health &amp; the Environment; University of Amsterdam; University of Toronto; Utrecht University; Utrecht University Medical Center; University of Toronto; University of Toronto</t>
        </is>
      </c>
      <c r="Z869" t="inlineStr">
        <is>
          <t>den Braver, NR (corresponding author), Vrije Univ Amsterdam, Amsterdam Publ Hlth Res Inst, Dept Epidemiol &amp; Data Sci, Amsterdam UMC, Amsterdam, Netherlands.;den Braver, NR (corresponding author), Upstream Team, Amsterdam, Netherlands.</t>
        </is>
      </c>
      <c r="AA869" t="inlineStr">
        <is>
          <t>n.denbraver@amsterdamumc.nl</t>
        </is>
      </c>
      <c r="AC869" t="inlineStr">
        <is>
          <t>Lakerveld, Jeroen/0000-0002-8551-6748; Beulens, Joline/0000-0002-4181-0937</t>
        </is>
      </c>
      <c r="AH869" t="n">
        <v>40</v>
      </c>
      <c r="AI869" t="n">
        <v>2</v>
      </c>
      <c r="AJ869" t="n">
        <v>2</v>
      </c>
      <c r="AK869" t="n">
        <v>0</v>
      </c>
      <c r="AL869" t="n">
        <v>12</v>
      </c>
      <c r="AM869" t="inlineStr">
        <is>
          <t>PERGAMON-ELSEVIER SCIENCE LTD</t>
        </is>
      </c>
      <c r="AN869" t="inlineStr">
        <is>
          <t>OXFORD</t>
        </is>
      </c>
      <c r="AO869" t="inlineStr">
        <is>
          <t>THE BOULEVARD, LANGFORD LANE, KIDLINGTON, OXFORD OX5 1GB, ENGLAND</t>
        </is>
      </c>
      <c r="AP869" t="inlineStr">
        <is>
          <t>0160-4120</t>
        </is>
      </c>
      <c r="AQ869" t="inlineStr">
        <is>
          <t>1873-6750</t>
        </is>
      </c>
      <c r="AS869" t="inlineStr">
        <is>
          <t>ENVIRON INT</t>
        </is>
      </c>
      <c r="AT869" t="inlineStr">
        <is>
          <t>Environ. Int.</t>
        </is>
      </c>
      <c r="AU869" t="inlineStr">
        <is>
          <t>MAY</t>
        </is>
      </c>
      <c r="AV869" t="n">
        <v>2022</v>
      </c>
      <c r="AW869" t="n">
        <v>163</v>
      </c>
      <c r="BE869" t="n">
        <v>107182</v>
      </c>
      <c r="BF869" t="inlineStr">
        <is>
          <t>10.1016/j.envint.2022.107182</t>
        </is>
      </c>
      <c r="BG869">
        <f>HYPERLINK("http://dx.doi.org/10.1016/j.envint.2022.107182","http://dx.doi.org/10.1016/j.envint.2022.107182")</f>
        <v/>
      </c>
      <c r="BI869" t="inlineStr">
        <is>
          <t>MAR 2022</t>
        </is>
      </c>
      <c r="BJ869" t="n">
        <v>12</v>
      </c>
      <c r="BK869" t="inlineStr">
        <is>
          <t>Environmental Sciences</t>
        </is>
      </c>
      <c r="BL869" t="inlineStr">
        <is>
          <t>Science Citation Index Expanded (SCI-EXPANDED); Social Science Citation Index (SSCI)</t>
        </is>
      </c>
      <c r="BM869" t="inlineStr">
        <is>
          <t>Environmental Sciences &amp; Ecology</t>
        </is>
      </c>
      <c r="BN869" t="inlineStr">
        <is>
          <t>0T5XI</t>
        </is>
      </c>
      <c r="BO869" t="n">
        <v>35306254</v>
      </c>
      <c r="BP869" t="inlineStr">
        <is>
          <t>gold</t>
        </is>
      </c>
      <c r="BS869" t="inlineStr">
        <is>
          <t>2023-10-26</t>
        </is>
      </c>
      <c r="BT869" t="inlineStr">
        <is>
          <t>WOS:000787041100011</t>
        </is>
      </c>
      <c r="BU869">
        <f>HYPERLINK("https%3A%2F%2Fwww.webofscience.com%2Fwos%2Fwoscc%2Ffull-record%2FWOS:000787041100011","View Full Record in Web of Science")</f>
        <v/>
      </c>
    </row>
    <row r="870">
      <c r="A870" t="inlineStr">
        <is>
          <t>J</t>
        </is>
      </c>
      <c r="B870" t="inlineStr">
        <is>
          <t>Rizo-Maestre, C; González-Avilés, A; Galiano-Garrigós, A; Andújar-Montoya, MD; Puchol-García, JA</t>
        </is>
      </c>
      <c r="F870" t="inlineStr">
        <is>
          <t>Rizo-Maestre, Carlos; Gonzalez-Aviles, Angel; Galiano-Garrigos, Antonio; Dolores Andujar-Montoya, Maria; Antonio Puchol-Garcia, Juan</t>
        </is>
      </c>
      <c r="J870" t="inlineStr">
        <is>
          <t>REMOTE SENSING</t>
        </is>
      </c>
      <c r="M870" t="inlineStr">
        <is>
          <t>English</t>
        </is>
      </c>
      <c r="N870" t="inlineStr">
        <is>
          <t>Article</t>
        </is>
      </c>
      <c r="T870" t="inlineStr">
        <is>
          <t>UAV plus BIM: Incorporation of Photogrammetric Techniques in Architectural Projects with Building Information Modeling Versus Classical Work Processes</t>
        </is>
      </c>
      <c r="U870" t="inlineStr">
        <is>
          <t>photogrammetry; orthophotography; construction planning; sustainable construction; urbanism; BIM; building maintenance; UAV; unmanned aerial vehicle</t>
        </is>
      </c>
      <c r="V870" t="inlineStr">
        <is>
          <t>CLOSE-RANGE PHOTOGRAMMETRY; LIFE-CYCLE ASSESSMENT; ENERGY PERFORMANCE; CONSTRUCTION; SYSTEMS; DESIGN</t>
        </is>
      </c>
      <c r="W870" t="inlineStr">
        <is>
          <t>The current computer technology facilitates the processing of large volumes of information in architectural design teams, in parallel with recent advances in-flight automation in unmanned aerial vehicles (UAVs) along with lower costs, facilitates their use to capture aerial photographs and obtain orthophotographs and 3D models of relief and terrain textures. With these technologies, 3D models can be produced that allow different geometric configurations of the distribution of construction elements on the ground to be analyzed. This article presents the process of implementation in a terrain integrated into the early stages of architectural design. A methodology is proposed that covers the detailed capture of terrain, the relationship with the architectural design environment, and its implementation on the plot. As a novelty, an inverse perspective to the remaining disciplines is presented, from the inside of the object to the outside. The proposed methodology for the use of UAVs integrates terrain capture, generation of the 3D mesh, superimposition of environmental realities and architectural design using building information modeling (BIM) technologies. In addition, it represents the beginning of a line of research on the implementation of the plot and the layout of foundations using UAVs. The results obtained in the study carried out in three different projects comparing traditional technologies with the integration of UAVs + BIM show a clear improvement in the second option. The use of new technologies applied to the execution and control of work not only improves accuracy but also reduces errors and saves time, which undoubtedly indicates significant savings in costs and deviations in the project.</t>
        </is>
      </c>
      <c r="X870" t="inlineStr">
        <is>
          <t>[Rizo-Maestre, Carlos; Gonzalez-Aviles, Angel; Galiano-Garrigos, Antonio] Univ Alicante, Dept Architectural Construct, Alicante 03690, Spain; [Dolores Andujar-Montoya, Maria] Univ Alicante, Bldg Sci &amp; Urbanism Dept, Alicante 03690, Spain; [Antonio Puchol-Garcia, Juan] Univ Alicante, Dept Comp Sci &amp; Artificial Intelligence, Alicante 03690, Spain</t>
        </is>
      </c>
      <c r="Y870" t="inlineStr">
        <is>
          <t>Universitat d'Alacant; Universitat d'Alacant; Universitat d'Alacant</t>
        </is>
      </c>
      <c r="Z870" t="inlineStr">
        <is>
          <t>Rizo-Maestre, C (corresponding author), Univ Alicante, Dept Architectural Construct, Alicante 03690, Spain.</t>
        </is>
      </c>
      <c r="AA870" t="inlineStr">
        <is>
          <t>carlosrm@ua.es; angelb@ua.es; antonio.galiano@ua.es; lola.andujar@ua.es; puchol@ua.es</t>
        </is>
      </c>
      <c r="AB870" t="inlineStr">
        <is>
          <t>González Avilés, Angel Benigno/AAB-6241-2019; Galiano-Garrigós, Antonio/S-6302-2019; Rizo Maestre, Carlos/AAA-4142-2019</t>
        </is>
      </c>
      <c r="AC870" t="inlineStr">
        <is>
          <t>González Avilés, Angel Benigno/0000-0002-4788-2456; Galiano-Garrigós, Antonio/0000-0003-0603-4511; Andujar-Montoya, Maria Dolores/0000-0002-8250-1954; Rizo Maestre, Carlos/0000-0002-9570-9818</t>
        </is>
      </c>
      <c r="AD870" t="inlineStr">
        <is>
          <t>Ministerio de Ciencia, Innovacion y Universidades (Spain) [RTI2018-096219-B-I00]; FEDER funds</t>
        </is>
      </c>
      <c r="AE870" t="inlineStr">
        <is>
          <t>Ministerio de Ciencia, Innovacion y Universidades (Spain)(Spanish Government); FEDER funds(European Union (EU))</t>
        </is>
      </c>
      <c r="AF870" t="inlineStr">
        <is>
          <t>This work has been supported by the Ministerio de Ciencia, Innovacion y Universidades (Spain), project RTI2018-096219-B-I00. Project cofinanced with FEDER funds.</t>
        </is>
      </c>
      <c r="AH870" t="n">
        <v>72</v>
      </c>
      <c r="AI870" t="n">
        <v>20</v>
      </c>
      <c r="AJ870" t="n">
        <v>20</v>
      </c>
      <c r="AK870" t="n">
        <v>10</v>
      </c>
      <c r="AL870" t="n">
        <v>37</v>
      </c>
      <c r="AM870" t="inlineStr">
        <is>
          <t>MDPI</t>
        </is>
      </c>
      <c r="AN870" t="inlineStr">
        <is>
          <t>BASEL</t>
        </is>
      </c>
      <c r="AO870" t="inlineStr">
        <is>
          <t>ST ALBAN-ANLAGE 66, CH-4052 BASEL, SWITZERLAND</t>
        </is>
      </c>
      <c r="AQ870" t="inlineStr">
        <is>
          <t>2072-4292</t>
        </is>
      </c>
      <c r="AS870" t="inlineStr">
        <is>
          <t>REMOTE SENS-BASEL</t>
        </is>
      </c>
      <c r="AT870" t="inlineStr">
        <is>
          <t>Remote Sens.</t>
        </is>
      </c>
      <c r="AU870" t="inlineStr">
        <is>
          <t>JUL</t>
        </is>
      </c>
      <c r="AV870" t="n">
        <v>2020</v>
      </c>
      <c r="AW870" t="n">
        <v>12</v>
      </c>
      <c r="AX870" t="n">
        <v>14</v>
      </c>
      <c r="BE870" t="n">
        <v>2329</v>
      </c>
      <c r="BF870" t="inlineStr">
        <is>
          <t>10.3390/rs12142329</t>
        </is>
      </c>
      <c r="BG870">
        <f>HYPERLINK("http://dx.doi.org/10.3390/rs12142329","http://dx.doi.org/10.3390/rs12142329")</f>
        <v/>
      </c>
      <c r="BJ870" t="n">
        <v>18</v>
      </c>
      <c r="BK870" t="inlineStr">
        <is>
          <t>Environmental Sciences; Geosciences, Multidisciplinary; Remote Sensing; Imaging Science &amp; Photographic Technology</t>
        </is>
      </c>
      <c r="BL870" t="inlineStr">
        <is>
          <t>Science Citation Index Expanded (SCI-EXPANDED)</t>
        </is>
      </c>
      <c r="BM870" t="inlineStr">
        <is>
          <t>Environmental Sciences &amp; Ecology; Geology; Remote Sensing; Imaging Science &amp; Photographic Technology</t>
        </is>
      </c>
      <c r="BN870" t="inlineStr">
        <is>
          <t>MX9QY</t>
        </is>
      </c>
      <c r="BP870" t="inlineStr">
        <is>
          <t>Green Submitted, gold</t>
        </is>
      </c>
      <c r="BS870" t="inlineStr">
        <is>
          <t>2023-10-26</t>
        </is>
      </c>
      <c r="BT870" t="inlineStr">
        <is>
          <t>WOS:000558053000001</t>
        </is>
      </c>
      <c r="BU870">
        <f>HYPERLINK("https%3A%2F%2Fwww.webofscience.com%2Fwos%2Fwoscc%2Ffull-record%2FWOS:000558053000001","View Full Record in Web of Science")</f>
        <v/>
      </c>
    </row>
    <row r="871">
      <c r="A871" t="inlineStr">
        <is>
          <t>J</t>
        </is>
      </c>
      <c r="B871" t="inlineStr">
        <is>
          <t>Ardaneh, M; Fararouei, M; Hassanzadeh, J</t>
        </is>
      </c>
      <c r="F871" t="inlineStr">
        <is>
          <t>Ardaneh, Mahdieh; Fararouei, Mohammad; Hassanzadeh, Jafar</t>
        </is>
      </c>
      <c r="J871" t="inlineStr">
        <is>
          <t>JOURNAL OF HEALTH POPULATION AND NUTRITION</t>
        </is>
      </c>
      <c r="M871" t="inlineStr">
        <is>
          <t>English</t>
        </is>
      </c>
      <c r="N871" t="inlineStr">
        <is>
          <t>Article</t>
        </is>
      </c>
      <c r="T871" t="inlineStr">
        <is>
          <t>Falls leading to fracture and nutrition among older adults: a case-control study</t>
        </is>
      </c>
      <c r="U871" t="inlineStr">
        <is>
          <t>Fall; Older adults; Physical activity; Nutrition</t>
        </is>
      </c>
      <c r="V871" t="inlineStr">
        <is>
          <t>BONE-MINERAL DENSITY; DIETARY PATTERNS; RISK; FITNESS</t>
        </is>
      </c>
      <c r="W871" t="inlineStr">
        <is>
          <t>ObjectivesInjurious falls, especially those leading to bone fracture, are major causes of death and disability among older people. Our aim was to measure the association of nutritional factors and physical activity with falls leading to fracture among Iranian older adults.MethodsThis is the second phase of a previously published case-control study on 300 patients and 590 controls.ResultsIn addition to the socio-economic factors that were reported before, our results revealed that consumption of fish, vegetables, fruits, and nuts reduced the risk of falling, whereas consumption of cheese, red meat, and sweets raised the risk of falls among the participants.ConclusionThe results of our study suggested that diets rich in fish meat fruits and vegetables should be encouraged in the everyday life of older adults. We suggest health officials to take these important results into consideration when planning protective measures.</t>
        </is>
      </c>
      <c r="X871" t="inlineStr">
        <is>
          <t>[Ardaneh, Mahdieh; Fararouei, Mohammad; Hassanzadeh, Jafar] Shiraz Univ Med Sci, Shiraz, Iran</t>
        </is>
      </c>
      <c r="Y871" t="inlineStr">
        <is>
          <t>Shiraz University of Medical Science</t>
        </is>
      </c>
      <c r="Z871" t="inlineStr">
        <is>
          <t>Fararouei, M (corresponding author), Shiraz Univ Med Sci, Shiraz, Iran.</t>
        </is>
      </c>
      <c r="AA871" t="inlineStr">
        <is>
          <t>fararooei@gmail.com</t>
        </is>
      </c>
      <c r="AH871" t="n">
        <v>27</v>
      </c>
      <c r="AI871" t="n">
        <v>1</v>
      </c>
      <c r="AJ871" t="n">
        <v>1</v>
      </c>
      <c r="AK871" t="n">
        <v>0</v>
      </c>
      <c r="AL871" t="n">
        <v>0</v>
      </c>
      <c r="AM871" t="inlineStr">
        <is>
          <t>BMC</t>
        </is>
      </c>
      <c r="AN871" t="inlineStr">
        <is>
          <t>LONDON</t>
        </is>
      </c>
      <c r="AO871" t="inlineStr">
        <is>
          <t>CAMPUS, 4 CRINAN ST, LONDON N1 9XW, ENGLAND</t>
        </is>
      </c>
      <c r="AP871" t="inlineStr">
        <is>
          <t>1606-0997</t>
        </is>
      </c>
      <c r="AQ871" t="inlineStr">
        <is>
          <t>2072-1315</t>
        </is>
      </c>
      <c r="AS871" t="inlineStr">
        <is>
          <t>J HEALTH POPUL NUTR</t>
        </is>
      </c>
      <c r="AT871" t="inlineStr">
        <is>
          <t>J. Heatlh Popul. Nutr.</t>
        </is>
      </c>
      <c r="AU871" t="inlineStr">
        <is>
          <t>MAR 13</t>
        </is>
      </c>
      <c r="AV871" t="n">
        <v>2023</v>
      </c>
      <c r="AW871" t="n">
        <v>42</v>
      </c>
      <c r="AX871" t="n">
        <v>1</v>
      </c>
      <c r="BE871" t="n">
        <v>18</v>
      </c>
      <c r="BF871" t="inlineStr">
        <is>
          <t>10.1186/s41043-023-00361-x</t>
        </is>
      </c>
      <c r="BG871">
        <f>HYPERLINK("http://dx.doi.org/10.1186/s41043-023-00361-x","http://dx.doi.org/10.1186/s41043-023-00361-x")</f>
        <v/>
      </c>
      <c r="BJ871" t="n">
        <v>6</v>
      </c>
      <c r="BK871" t="inlineStr">
        <is>
          <t>Environmental Sciences; Public, Environmental &amp; Occupational Health</t>
        </is>
      </c>
      <c r="BL871" t="inlineStr">
        <is>
          <t>Science Citation Index Expanded (SCI-EXPANDED)</t>
        </is>
      </c>
      <c r="BM871" t="inlineStr">
        <is>
          <t>Environmental Sciences &amp; Ecology; Public, Environmental &amp; Occupational Health</t>
        </is>
      </c>
      <c r="BN871" t="inlineStr">
        <is>
          <t>9V7QS</t>
        </is>
      </c>
      <c r="BO871" t="n">
        <v>36915191</v>
      </c>
      <c r="BP871" t="inlineStr">
        <is>
          <t>gold, Green Published</t>
        </is>
      </c>
      <c r="BS871" t="inlineStr">
        <is>
          <t>2023-10-26</t>
        </is>
      </c>
      <c r="BT871" t="inlineStr">
        <is>
          <t>WOS:000948583800001</t>
        </is>
      </c>
      <c r="BU871">
        <f>HYPERLINK("https%3A%2F%2Fwww.webofscience.com%2Fwos%2Fwoscc%2Ffull-record%2FWOS:000948583800001","View Full Record in Web of Science")</f>
        <v/>
      </c>
    </row>
    <row r="872">
      <c r="A872" t="inlineStr">
        <is>
          <t>J</t>
        </is>
      </c>
      <c r="B872" t="inlineStr">
        <is>
          <t>Morato, J; Sanchez-Cuadrado, S; Iglesias, A; Campillo, A; Fernández-Panadero, C</t>
        </is>
      </c>
      <c r="F872" t="inlineStr">
        <is>
          <t>Morato, Jorge; Sanchez-Cuadrado, Sonia; Iglesias, Ana; Campillo, Adrian; Fernandez-Panadero, Carmen</t>
        </is>
      </c>
      <c r="J872" t="inlineStr">
        <is>
          <t>SUSTAINABILITY</t>
        </is>
      </c>
      <c r="M872" t="inlineStr">
        <is>
          <t>English</t>
        </is>
      </c>
      <c r="N872" t="inlineStr">
        <is>
          <t>Review</t>
        </is>
      </c>
      <c r="T872" t="inlineStr">
        <is>
          <t>Sustainable Technologies for Older Adults</t>
        </is>
      </c>
      <c r="U872" t="inlineStr">
        <is>
          <t>older adults; sustainability; technology; readability; Internet of Things; sustainable development goals; smart cities; robotics; gerontology; health care</t>
        </is>
      </c>
      <c r="V872" t="inlineStr">
        <is>
          <t>HEALTH-CARE; MEDICAL INFORMATICS; SYSTEM; FUTURE; SERVICES; ACCESSIBILITY; FRAMEWORK; PROGRAM; SOCIETY; DESIGN</t>
        </is>
      </c>
      <c r="W872" t="inlineStr">
        <is>
          <t>The exponential evolution of technology and the growth of the elderly population are two phenomena that will inevitably interact with increasing frequency in the future. This paper analyses scientific literature as a means of furthering progress in sustainable technology for senior living. We carried out a bibliometric analysis of papers published in this area and compiled by the Web of Science (WOS) and Scopus, examining the main participants and advances in the field from 2000 to the first quarter of 2021. The study describes some interesting research projects addressing three different aspects of older adults' daily lives-health, daily activities and wellbeing-and policies to promote healthy aging and improve the sustainability of the healthcare system. It also looks at lines of research into transversal characteristics of technology. Our analysis showed that publications mentioning sustainability technologies for older adults have been growing progressively since the 2000s, but that the big increase in the number of research works in this area took place during the period 2016-2021. These more recent works show a tendency to study those factors that improve healthy aging, ensure the social inclusion of the elderly through technology and prolong the time in which they can live independent lives thanks to smart environments. Current research gaps in the literature are also discussed.</t>
        </is>
      </c>
      <c r="X872" t="inlineStr">
        <is>
          <t>[Morato, Jorge; Iglesias, Ana; Campillo, Adrian] Univ Carlos III Madrid, Dept Comp Sci &amp; Engn, Leganes 28911, Spain; [Sanchez-Cuadrado, Sonia] Univ Complutense Madrid, Dept Lib &amp; Informat Sci, Madrid 28010, Spain; [Fernandez-Panadero, Carmen] Univ Carlos III Madrid, Dept Telemat Engn, Leganes 28911, Spain</t>
        </is>
      </c>
      <c r="Y872" t="inlineStr">
        <is>
          <t>Universidad Carlos III de Madrid; Complutense University of Madrid; Universidad Carlos III de Madrid</t>
        </is>
      </c>
      <c r="Z872" t="inlineStr">
        <is>
          <t>Morato, J (corresponding author), Univ Carlos III Madrid, Dept Comp Sci &amp; Engn, Leganes 28911, Spain.</t>
        </is>
      </c>
      <c r="AA872" t="inlineStr">
        <is>
          <t>jmorato@inf.uc3m.es; sonsan02@ucm.es; aiglesia@infuc3m.es; acampill@pa.uc3m.es; mcfp@it.uc3m.es</t>
        </is>
      </c>
      <c r="AB872" t="inlineStr">
        <is>
          <t>Fernández-Panadero, Carmen/N-6346-2016; Morato, Jorge/A-5456-2011; Iglesias, Ana/L-1393-2017; Sanchez-Cuadrado, Sonia/C-3127-2018</t>
        </is>
      </c>
      <c r="AC872" t="inlineStr">
        <is>
          <t>Fernández-Panadero, Carmen/0000-0003-4855-2923; Morato, Jorge/0000-0002-7530-9753; Iglesias, Ana/0000-0002-4685-5034; Sanchez-Cuadrado, Sonia/0000-0002-7722-1982</t>
        </is>
      </c>
      <c r="AD872" t="inlineStr">
        <is>
          <t>Spanish Ministry of Economy, Industry and Competitiveness [CSO2017-86747-R]; FEDER/Ministerio de Ciencia, Innovacion y Universidades-Agencia Estatal de Investigacion, through the Smartlet and H2O Learn Projects [TIN2017-85179-C3-1-R, PID2020-112584RB-C31]; Madrid Regional Government through the e-Madrid-CM Project [S2018/TCS-4307]</t>
        </is>
      </c>
      <c r="AE872" t="inlineStr">
        <is>
          <t>Spanish Ministry of Economy, Industry and Competitiveness(Spanish Government); FEDER/Ministerio de Ciencia, Innovacion y Universidades-Agencia Estatal de Investigacion, through the Smartlet and H2O Learn Projects; Madrid Regional Government through the e-Madrid-CM Project</t>
        </is>
      </c>
      <c r="AF872" t="inlineStr">
        <is>
          <t>This work was funded by the Spanish Ministry of Economy, Industry and Competitiveness, (CSO2017-86747-R) and supported in part by the FEDER/Ministerio de Ciencia, Innovacion y Universidades-Agencia Estatal de Investigacion, through the Smartlet and H2O Learn Projects under Grants TIN2017-85179-C3-1-R and PID2020-112584RB-C31, and in part by the Madrid Regional Government through the e-Madrid-CM Project under Grant S2018/TCS-4307.</t>
        </is>
      </c>
      <c r="AH872" t="n">
        <v>138</v>
      </c>
      <c r="AI872" t="n">
        <v>9</v>
      </c>
      <c r="AJ872" t="n">
        <v>9</v>
      </c>
      <c r="AK872" t="n">
        <v>7</v>
      </c>
      <c r="AL872" t="n">
        <v>43</v>
      </c>
      <c r="AM872" t="inlineStr">
        <is>
          <t>MDPI</t>
        </is>
      </c>
      <c r="AN872" t="inlineStr">
        <is>
          <t>BASEL</t>
        </is>
      </c>
      <c r="AO872" t="inlineStr">
        <is>
          <t>ST ALBAN-ANLAGE 66, CH-4052 BASEL, SWITZERLAND</t>
        </is>
      </c>
      <c r="AQ872" t="inlineStr">
        <is>
          <t>2071-1050</t>
        </is>
      </c>
      <c r="AS872" t="inlineStr">
        <is>
          <t>SUSTAINABILITY-BASEL</t>
        </is>
      </c>
      <c r="AT872" t="inlineStr">
        <is>
          <t>Sustainability</t>
        </is>
      </c>
      <c r="AU872" t="inlineStr">
        <is>
          <t>AUG</t>
        </is>
      </c>
      <c r="AV872" t="n">
        <v>2021</v>
      </c>
      <c r="AW872" t="n">
        <v>13</v>
      </c>
      <c r="AX872" t="n">
        <v>15</v>
      </c>
      <c r="BE872" t="n">
        <v>8465</v>
      </c>
      <c r="BF872" t="inlineStr">
        <is>
          <t>10.3390/su13158465</t>
        </is>
      </c>
      <c r="BG872">
        <f>HYPERLINK("http://dx.doi.org/10.3390/su13158465","http://dx.doi.org/10.3390/su13158465")</f>
        <v/>
      </c>
      <c r="BJ872" t="n">
        <v>35</v>
      </c>
      <c r="BK872" t="inlineStr">
        <is>
          <t>Green &amp; Sustainable Science &amp; Technology; Environmental Sciences; Environmental Studies</t>
        </is>
      </c>
      <c r="BL872" t="inlineStr">
        <is>
          <t>Science Citation Index Expanded (SCI-EXPANDED); Social Science Citation Index (SSCI)</t>
        </is>
      </c>
      <c r="BM872" t="inlineStr">
        <is>
          <t>Science &amp; Technology - Other Topics; Environmental Sciences &amp; Ecology</t>
        </is>
      </c>
      <c r="BN872" t="inlineStr">
        <is>
          <t>TW3FS</t>
        </is>
      </c>
      <c r="BP872" t="inlineStr">
        <is>
          <t>Green Published, gold</t>
        </is>
      </c>
      <c r="BS872" t="inlineStr">
        <is>
          <t>2023-10-26</t>
        </is>
      </c>
      <c r="BT872" t="inlineStr">
        <is>
          <t>WOS:000682291100001</t>
        </is>
      </c>
      <c r="BU872">
        <f>HYPERLINK("https%3A%2F%2Fwww.webofscience.com%2Fwos%2Fwoscc%2Ffull-record%2FWOS:000682291100001","View Full Record in Web of Science")</f>
        <v/>
      </c>
    </row>
    <row r="873">
      <c r="A873" t="inlineStr">
        <is>
          <t>J</t>
        </is>
      </c>
      <c r="B873" t="inlineStr">
        <is>
          <t>Pearlmutter, D; Theochari, D; Nehls, T; Pinho, P; Piro, P; Korolova, A; Papaefthimiou, S; Mateo, MCG; Calheiros, C; Zluwa, I; Pitha, U; Schosseler, P; Florentin, Y; Ouannou, S; Gal, E; Aicher, A; Arnold, K; Igondová, E; Pucher, B</t>
        </is>
      </c>
      <c r="F873" t="inlineStr">
        <is>
          <t>Pearlmutter, David; Theochari, Dimitra; Nehls, Thomas; Pinho, Pedro; Piro, Patrizia; Korolova, Alisa; Papaefthimiou, Spiros; Garcia Mateo, Mari Carmen; Calheiros, Cristina; Zluwa, Irene; Pitha, Ulrike; Schosseler, Paul; Florentin, Yaakov; Ouannou, Shahar; Gal, Erez; Aicher, Andreas; Arnold, Killian; Igondova, Erika; Pucher, Bernhard</t>
        </is>
      </c>
      <c r="J873" t="inlineStr">
        <is>
          <t>BLUE-GREEN SYSTEMS</t>
        </is>
      </c>
      <c r="M873" t="inlineStr">
        <is>
          <t>English</t>
        </is>
      </c>
      <c r="N873" t="inlineStr">
        <is>
          <t>Article</t>
        </is>
      </c>
      <c r="T873" t="inlineStr">
        <is>
          <t>Enhancing the circular economy with nature-based solutions in the built urban environment: green building materials, systems and sites</t>
        </is>
      </c>
      <c r="U873" t="inlineStr">
        <is>
          <t>built environment; circular economy; nature-based solutions</t>
        </is>
      </c>
      <c r="V873" t="inlineStr">
        <is>
          <t>LIFE-CYCLE ENERGY; ECOSYSTEM SERVICES; ROOF; ARCHITECTURE; PROVISION; CLIMATE; IMPACT; CARBON; SPACES; TREES</t>
        </is>
      </c>
      <c r="W873" t="inlineStr">
        <is>
          <t>The objective of this review paper is to survey the state of the art on nature-based solutions (NBS) in the built environment, which can contribute to a circular economy (CE) and counter the negative impacts of urbanization through the provision of ecosystem services. NBS are discussed here at three different levels: (i) green building materials, including biocomposites with plant-based aggregates; (ii) green building systems, employed for the greening of buildings by incorporating vegetation in their envelope; and (iii) green building sites, emphasizing the value of vegetated open spaces and water-sensitive urban design. After introducing the central concepts of NBS and CE as they are manifested in the built environment, we examine the impacts of urban development and the historical use of materials, systems and sites which can offer solutions to these problems. In the central section of the paper we present a series of case studies illustrating the development and implementation of such solutions in recent years. Finally, in a brief critical analysis we look at the ecosystem services and disservices provided by NBS in the built environment, and examine the policy instruments which can be leveraged to promote them in the most effective manner - facilitating the future transition to fully circular cities.</t>
        </is>
      </c>
      <c r="X873" t="inlineStr">
        <is>
          <t>[Pearlmutter, David] Ben Gurion Univ Negev, Dept Geog, Beer Sheva, Israel; [Theochari, Dimitra] Natl Tech Univ Athens, Ramboll Studio Dreiseitl MSB Landschaftsarchitekt, Stournari &amp; Patis 42 35, Athina 10682, Greece; [Nehls, Thomas] Inst Ecol Tech Univ, Ctr Innovat &amp; Sci Bldg Greening CIBG, Chair Ecohydrol, Berlin, Germany; [Pinho, Pedro] Univ Lisbon, cE3c Ctr Ecol Evolut &amp; Environm Changes, Fac Ciencias, Lisbon, Portugal; [Piro, Patrizia] Univ Calabria, Dept Civil Engn, Calabria, Italy; [Korolova, Alisa] Riga Tech Univ, Fac Architecture, Riga, Latvia; [Papaefthimiou, Spiros] Tech Univ Crete, Sch Prod Engn &amp; Management, Iraklion, Greece; [Garcia Mateo, Mari Carmen] MCG Res &amp; Innovat Sustainabil Architecture Urban, Barcelona, Spain; [Calheiros, Cristina] Univ Porto, Interdisciplinary Ctr Marine &amp; Environm Res CIIMA, Porto, Portugal; [Zluwa, Irene; Pitha, Ulrike] Univ Nat Resources &amp; Life Sci Vienna BOKU, Inst Soil Bioengn &amp; Landscape Construct, Vienna, Austria; [Schosseler, Paul] PositiveImpaKT Solarwind Windhof, Luxembourg, Luxembourg; [Florentin, Yaakov; Ouannou, Shahar] Ben Gurion Univ Negev, Blaustein Inst Desert Res, Beer Sheva, Israel; [Gal, Erez] Ben Gurion Univ Negev, Dept Struct Engn, Beer Sheva, Israel; [Aicher, Andreas] Bauhaus Univ Weimar, Bauhaus Inst Infrastruct Solut, Urban Water Management &amp; Sanitat, Weimar, Germany; [Arnold, Killian] Lucerne Univ Appl Sci &amp; Arts, Engn &amp; Architecture, Luzern, Switzerland; [Igondova, Erika] Municipal Capital City Bratislava, Dept Urban Planning, Bratislava, Slovakia; [Pucher, Bernhard] Univ Nat Resources &amp; Life Sci Vienna BOKU, Inst Sanit Engn &amp; Water Pollut Control, Vienna, Austria</t>
        </is>
      </c>
      <c r="Y873" t="inlineStr">
        <is>
          <t>Ben Gurion University; National Technical University of Athens; Universidade de Lisboa; University of Calabria; Riga Technical University; Technical University of Crete; Universidade do Porto; University of Natural Resources &amp; Life Sciences, Vienna; Ben Gurion University; Ben Gurion University; Bauhaus-Universitat Weimar; University of Natural Resources &amp; Life Sciences, Vienna</t>
        </is>
      </c>
      <c r="Z873" t="inlineStr">
        <is>
          <t>Pearlmutter, D (corresponding author), Ben Gurion Univ Negev, Dept Geog, Beer Sheva, Israel.</t>
        </is>
      </c>
      <c r="AA873" t="inlineStr">
        <is>
          <t>davidp@bgu.ac.il</t>
        </is>
      </c>
      <c r="AB873" t="inlineStr">
        <is>
          <t>Pearlmutter, David/F-1379-2012; Pucher, Bernhard/GMW-5829-2022; Pinho, Pedro/D-1232-2010; Calheiros, Cristina/A-1151-2011</t>
        </is>
      </c>
      <c r="AC873" t="inlineStr">
        <is>
          <t>Garcia Mateo, Maria Carmen/0000-0002-7807-8380; Nehls, Thomas/0000-0001-6658-9952; Pinho, Pedro/0000-0001-5571-9619; Piro, Patrizia/0000-0002-9202-6544; Calheiros, Cristina/0000-0003-3159-3497</t>
        </is>
      </c>
      <c r="AD873" t="inlineStr">
        <is>
          <t>COST Action [CA17133]; EU Horizon 2020 Programme; Italian National Operational Program 'Enterprise and Competitiveness' 2014-2020 ERDF -I AXIS `Innovation' -Action 1.1.3 `Support for the economic enhancement of innovation through experimentation and the adoption of innovative solutions in processes, produ; Italian Operational Project (PON) -Research and Competitiveness for the convergence regions 2007/2013 -I Axis `Support to structural changes' operative objective 4.1.1.1. 'Scientific-technological generators of transformation processes of the productive sy</t>
        </is>
      </c>
      <c r="AE873" t="inlineStr">
        <is>
          <t>COST Action(European Cooperation in Science and Technology (COST)); EU Horizon 2020 Programme(Horizon 2020); Italian National Operational Program 'Enterprise and Competitiveness' 2014-2020 ERDF -I AXIS `Innovation' -Action 1.1.3 `Support for the economic enhancement of innovation through experimentation and the adoption of innovative solutions in processes, produ; Italian Operational Project (PON) -Research and Competitiveness for the convergence regions 2007/2013 -I Axis `Support to structural changes' operative objective 4.1.1.1. 'Scientific-technological generators of transformation processes of the productive sy</t>
        </is>
      </c>
      <c r="AF873" t="inlineStr">
        <is>
          <t>The work is funded within the COST Action CA17133 Circular City (`Implementing nature based solutions for creating a resourceful circular city', http://www.circular-city.eu, duration 22 October 201821 October 2022). COST Actions are funded within the EU Horizon 2020 Programme. The authors are grateful for the support. Ramboll Studio Dreiseitl for the Zollhallen Plaza case study. The `Urban Hydraulic Park' Demonstration site was funded by the Italian Operational Project (PON) -Research and Competitiveness for the convergence regions 2007/2013 -I Axis `Support to structural changes' operative objective 4.1.1.1. 'Scientific-technological generators of transformation processes of the productive system and creation of new sectors' Action II: 'Interventions to support industrial research'. The 'I-Best' Project (Scientific Leader Prof. Mario Maiolo) is funded by Italian National Operational Program 'Enterprise and Competitiveness' 2014-2020 ERDF -I AXIS `Innovation' -Action 1.1.3 `Support for the economic enhancement of innovation through experimentation and the adoption of innovative solutions in processes, products and organizational formulas, as well as through the financing of the industrialization of research results'.</t>
        </is>
      </c>
      <c r="AH873" t="n">
        <v>66</v>
      </c>
      <c r="AI873" t="n">
        <v>42</v>
      </c>
      <c r="AJ873" t="n">
        <v>43</v>
      </c>
      <c r="AK873" t="n">
        <v>5</v>
      </c>
      <c r="AL873" t="n">
        <v>45</v>
      </c>
      <c r="AM873" t="inlineStr">
        <is>
          <t>IWA PUBLISHING</t>
        </is>
      </c>
      <c r="AN873" t="inlineStr">
        <is>
          <t>LONDON</t>
        </is>
      </c>
      <c r="AO873" t="inlineStr">
        <is>
          <t>ALLIANCE HOUSE, 12 CAXTON ST, LONDON SW1H0QS, ENGLAND</t>
        </is>
      </c>
      <c r="AQ873" t="inlineStr">
        <is>
          <t>2617-4782</t>
        </is>
      </c>
      <c r="AS873" t="inlineStr">
        <is>
          <t>BLUE-GREEN SYST</t>
        </is>
      </c>
      <c r="AT873" t="inlineStr">
        <is>
          <t>Blue-Green Syst.</t>
        </is>
      </c>
      <c r="AU873" t="inlineStr">
        <is>
          <t>JAN 1</t>
        </is>
      </c>
      <c r="AV873" t="n">
        <v>2020</v>
      </c>
      <c r="AW873" t="n">
        <v>2</v>
      </c>
      <c r="AX873" t="n">
        <v>1</v>
      </c>
      <c r="BC873" t="n">
        <v>46</v>
      </c>
      <c r="BD873" t="n">
        <v>72</v>
      </c>
      <c r="BF873" t="inlineStr">
        <is>
          <t>10.2166/bgs.2019.928</t>
        </is>
      </c>
      <c r="BG873">
        <f>HYPERLINK("http://dx.doi.org/10.2166/bgs.2019.928","http://dx.doi.org/10.2166/bgs.2019.928")</f>
        <v/>
      </c>
      <c r="BJ873" t="n">
        <v>27</v>
      </c>
      <c r="BK873" t="inlineStr">
        <is>
          <t>Environmental Sciences; Water Resources</t>
        </is>
      </c>
      <c r="BL873" t="inlineStr">
        <is>
          <t>Emerging Sources Citation Index (ESCI)</t>
        </is>
      </c>
      <c r="BM873" t="inlineStr">
        <is>
          <t>Environmental Sciences &amp; Ecology; Water Resources</t>
        </is>
      </c>
      <c r="BN873" t="inlineStr">
        <is>
          <t>ST1EP</t>
        </is>
      </c>
      <c r="BP873" t="inlineStr">
        <is>
          <t>gold, Green Published</t>
        </is>
      </c>
      <c r="BS873" t="inlineStr">
        <is>
          <t>2023-10-26</t>
        </is>
      </c>
      <c r="BT873" t="inlineStr">
        <is>
          <t>WOS:000662193300003</t>
        </is>
      </c>
      <c r="BU873">
        <f>HYPERLINK("https%3A%2F%2Fwww.webofscience.com%2Fwos%2Fwoscc%2Ffull-record%2FWOS:000662193300003","View Full Record in Web of Science")</f>
        <v/>
      </c>
    </row>
    <row r="874">
      <c r="A874" t="inlineStr">
        <is>
          <t>J</t>
        </is>
      </c>
      <c r="B874" t="inlineStr">
        <is>
          <t>Nishida, M; Hanazato, M; Koga, C; Kondo, K</t>
        </is>
      </c>
      <c r="F874" t="inlineStr">
        <is>
          <t>Nishida, Megumi; Hanazato, Masamichi; Koga, Chie; Kondo, Katsunori</t>
        </is>
      </c>
      <c r="J874" t="inlineStr">
        <is>
          <t>INTERNATIONAL JOURNAL OF ENVIRONMENTAL RESEARCH AND PUBLIC HEALTH</t>
        </is>
      </c>
      <c r="M874" t="inlineStr">
        <is>
          <t>English</t>
        </is>
      </c>
      <c r="N874" t="inlineStr">
        <is>
          <t>Article</t>
        </is>
      </c>
      <c r="T874" t="inlineStr">
        <is>
          <t>Association between Proximity of the Elementary School and Depression in Japanese Older Adults: A Cross-Sectional Study from the JAGES 2016 Survey</t>
        </is>
      </c>
      <c r="U874" t="inlineStr">
        <is>
          <t>older adults; depression; neighborhood environment; elementary school proximity; intergenerational exchange; age-friendly cities; Japan</t>
        </is>
      </c>
      <c r="V874" t="inlineStr">
        <is>
          <t>BUILT ENVIRONMENT; NEIGHBORHOOD ENVIRONMENT; LATE-LIFE; GENERATIVITY; COMMUNITY; PEOPLE; HEALTH; RISK; PREVENTION; INEQUALITY</t>
        </is>
      </c>
      <c r="W874" t="inlineStr">
        <is>
          <t>Depression among older adults is one of the most critical public health issues. The proximity of elementary schools has been positively associated with neighborhood social cohesion and quality of life. However, no studies have identified an association between the proximity of elementary school and older adults' mental health. Therefore, this study aimed to examine the association between the proximity of elementary schools, one of the core facilities of neighborhood communities in Japan, and depression in older adults. A total of 131,871 participants (63,430 men 73.7 +/- 6.1 years, 68,441 women 73.8 +/- 6.2 years) were analyzed from the Japan Gerontological Evaluation Study (JAGES) 2016 survey. Logistic regression analysis showed that there was no association between distance to elementary school and depression among males. However, among females, compared with the participants living within 400 m from the nearest elementary school, the odds ratio of depression for those living between 400 and 799 m and more than 800 m away were 1.06 (95% confidence interval (CI) 1.00-1.12) and 1.07 (95% CI 1.00-1.15), respectively. The findings may be useful when considering the design of communities around elementary schools and the planning of facilities as a population-based approach to promote mental health of older women.</t>
        </is>
      </c>
      <c r="X874" t="inlineStr">
        <is>
          <t>[Nishida, Megumi] Chiba Univ, Grad Sch Med &amp; Pharmaceut Sci, Adv Prevent Med Sci, Chuo Ku, 1-8-1 Inohana, Chiba, Chiba 2608672, Japan; [Nishida, Megumi] Takenaka Corp, Chuo Ku, 1-13,4 Chome, Osaka 5410053, Japan; [Hanazato, Masamichi; Koga, Chie; Kondo, Katsunori] Chiba Univ, Ctr Prevent Med Sci, Inage Ku, 1-33 Yayoi Cyo, Chiba, Chiba 2638522, Japan; [Kondo, Katsunori] Natl Ctr Geriatr &amp; Gerontol, Ctr Gerontol &amp; Social Sci, 7-430 Morikoka Cho, Obu, Aichi 4748511, Japan</t>
        </is>
      </c>
      <c r="Y874" t="inlineStr">
        <is>
          <t>Chiba University; Takenaka Corporation; Chiba University; National Center for Geriatrics &amp; Gerontology</t>
        </is>
      </c>
      <c r="Z874" t="inlineStr">
        <is>
          <t>Nishida, M (corresponding author), Chiba Univ, Grad Sch Med &amp; Pharmaceut Sci, Adv Prevent Med Sci, Chuo Ku, 1-8-1 Inohana, Chiba, Chiba 2608672, Japan.;Nishida, M (corresponding author), Takenaka Corp, Chuo Ku, 1-13,4 Chome, Osaka 5410053, Japan.</t>
        </is>
      </c>
      <c r="AA874" t="inlineStr">
        <is>
          <t>nishida.megumi@chiba-u.jp; hanazato@chiba-u.jp; chiekoga@chiba-u.jp; kkondo@chiba-u.jp</t>
        </is>
      </c>
      <c r="AB874" t="inlineStr">
        <is>
          <t>hanazato, masamichi/L-6267-2019</t>
        </is>
      </c>
      <c r="AC874" t="inlineStr">
        <is>
          <t>hanazato, masamichi/0000-0002-0317-7616; Nishida, Megumi/0000-0002-3932-1157; Koga, Chie/0000-0002-1971-4308</t>
        </is>
      </c>
      <c r="AD874" t="inlineStr">
        <is>
          <t>Japan Society for the Promotion of Science [15H01972, 15H04781, 15H05059, 15K03417, 15K03982, 15K16181, 15K17232, 15K18174, 15K19241, 15K21266, 15KT0007, 15KT0097, 16H05556, 16K09122, 16K00913, 16K02025, 16K12964, 16K13443, 16K16295, 16K16595, 16K16633, 16K17256, 16K17281, 16K19247, 16K19267, 16K21461]; The Japan Society for the Promotion of Science [16K21465, 16KT0014, 17K04305, 17K34567, 17K04306, 25253052, 25713027, 26285138, 26460828, 26780328, 18H03018, 18H04071, 18H03047, 18H00953, 18H00955, 18KK0057, 19H03901, 19H03915, 19H03860, 19K04785, 19K10641, 19K11657, 19K19818, 19K19455, 19K24060, 19K20909, 20H00557, 20K13721]; Health Labour Sciences Research Grants from the Ministry of Health, Labour andWelfare, Japan [18H04071, H26-Choju-Ippan-006, H27-Ninchisyou-Ippan-001 H28-Choju-Ippan-002, H28-Ninchisyou-Ippan-002, H29-Chikyukibo-Ippan-001, H30-JyunkankinadoIppan-004, 19FA1012, 19FA2001]; Research and Development Grants for Longevity Science from Japan Agency for Medical Research and Development [JP17dk0110027, JP18dk0110027, JP18ls0110002, JP18le0110009, JP20dk0110034, JP20dk0110037]; Research Funding for Longevity Sciences from National Center for Geriatrics and Gerontology [24-17, 24-23, 29-42, 30-30, 30-22, 20-19]; Open Innovation Platform with Enterprises, Research Institute and Academia from the Japan Science and Technology (JST) Center [JPMJOP1831]; Japan Foundation for Aging and Health [J09KF00804]; Innovative Research Program on Suicide Countermeasures [1-4]; Sasakawa Sports Foundation; Japan Health Promotion &amp; Fitness Foundation; Chiba Foundation for Health Promotion &amp; Disease Prevention; 8020 Promotion Foundation [19-2-06]; Niimi University [1915010]; Meiji Yasuda Life Foundation of Health and Welfare; Grants-in-Aid for Scientific Research [17K04306, 25713027, 18H00955, 16K16595, 15K17232, 26460828, 18H04071, 16K09122, 15KT0007, 15KT0097, 16K12964, 16K16295, 16K19267, 17K04305, 19K19455, 19K24060, 19K11657, 19K10641, 19K04785, 19H03915, 20K13721, 15K18174, 15K03982, 16K00913, 15K03417, 16K02025, 16K17256, 16K17281, 15K16181, 16K16633, 26780328, 15H05059, 15K21266, 16K19247, 16K13443, 18H03018, 15K19241] Funding Source: KAKEN</t>
        </is>
      </c>
      <c r="AE874" t="inlineStr">
        <is>
          <t>Japan Society for the Promotion of Science(Ministry of Education, Culture, Sports, Science and Technology, Japan (MEXT)Japan Society for the Promotion of Science); The Japan Society for the Promotion of Science(Ministry of Education, Culture, Sports, Science and Technology, Japan (MEXT)Japan Society for the Promotion of Science); Health Labour Sciences Research Grants from the Ministry of Health, Labour andWelfare, Japan; Research and Development Grants for Longevity Science from Japan Agency for Medical Research and Development(Japan Agency for Medical Research and Development (AMED)); Research Funding for Longevity Sciences from National Center for Geriatrics and Gerontology; Open Innovation Platform with Enterprises, Research Institute and Academia from the Japan Science and Technology (JST) Center; Japan Foundation for Aging and Health; Innovative Research Program on Suicide Countermeasures; Sasakawa Sports Foundation; Japan Health Promotion &amp; Fitness Foundation; Chiba Foundation for Health Promotion &amp; Disease Prevention; 8020 Promotion Foundation; Niimi University; Meiji Yasuda Life Foundation of Health and Welfare(Meiji Yasuda Life Foundation of Health and Welfare); Grants-in-Aid for Scientific Research(Ministry of Education, Culture, Sports, Science and Technology, Japan (MEXT)Japan Society for the Promotion of ScienceGrants-in-Aid for Scientific Research (KAKENHI))</t>
        </is>
      </c>
      <c r="AF874" t="inlineStr">
        <is>
          <t>This study used data from the Japan Gerontological Evaluation Study (JAGES). This study was supported by Grants-in-Aid for Scientific Research (15H01972, 15H04781, 15H05059, 15K03417, 15K03982, 15K16181, 15K17232, 15K18174, 15K19241, 15K21266, 15KT0007, 15KT0097, 16H05556, 16K09122, 16K00913, 16K02025, 16K12964, 16K13443, 16K16295, 16K16595, 16K16633, 16K17256, 16K17281, 16K19247, 16K19267, 16K21461, 16K21465, 16KT0014, 17K04305, 17K34567, 17K04306, 25253052, 25713027, 26285138, 26460828, 26780328, 18H03018, 18H04071, 18H03047, 18H00953, 18H00955, 18KK0057, 19H03901, 19H03915, 19H03860, 19K04785, 19K10641, 19K11657, 19K19818, 19K19455, 19K24060, 19K20909, 20H00557, and 20K13721) from the Japan Society for the Promotion of Science; Health Labour Sciences Research Grants (H26-Choju-Ippan-006, H27-Ninchisyou-Ippan-001 H28-Choju-Ippan-002, H28-Ninchisyou-Ippan-002, H29-Chikyukibo-Ippan-001, H30-JyunkankinadoIppan-004, 18H04071, 19FA1012, and 19FA2001) from the Ministry of Health, Labour andWelfare, Japan; Research and Development Grants for Longevity Science from Japan Agency for Medical Research and Development (JP17dk0110027, JP18dk0110027, JP18ls0110002, JP18le0110009, JP20dk0110034, and JP20dk0110037); Research Funding for Longevity Sciences from National Center for Geriatrics and Gerontology (24-17, 24-23, 29-42, 30-30, 30-22, and 20-19); Open Innovation Platform with Enterprises, Research Institute and Academia (JPMJOP1831) from the Japan Science and Technology (JST) Center; a grant from the Japan Foundation for Aging and Health (J09KF00804); a grant from Innovative Research Program on Suicide Countermeasures (1-4); a grant from Sasakawa Sports Foundation; a grant from Japan Health Promotion &amp; Fitness Foundation; a grant from Chiba Foundation for Health Promotion &amp; Disease Prevention; the 8020 Research Grant for fiscal 2019 from the 8020 Promotion Foundation (adopted number: 19-2-06); a grant from Niimi University (1915010); and grants from Meiji Yasuda Life Foundation of Health and Welfare. The views and opinions expressed in this article are those of the authors and do not necessarily reflect the official policy or position of the respective funding organizations.</t>
        </is>
      </c>
      <c r="AH874" t="n">
        <v>67</v>
      </c>
      <c r="AI874" t="n">
        <v>4</v>
      </c>
      <c r="AJ874" t="n">
        <v>4</v>
      </c>
      <c r="AK874" t="n">
        <v>3</v>
      </c>
      <c r="AL874" t="n">
        <v>16</v>
      </c>
      <c r="AM874" t="inlineStr">
        <is>
          <t>MDPI</t>
        </is>
      </c>
      <c r="AN874" t="inlineStr">
        <is>
          <t>BASEL</t>
        </is>
      </c>
      <c r="AO874" t="inlineStr">
        <is>
          <t>ST ALBAN-ANLAGE 66, CH-4052 BASEL, SWITZERLAND</t>
        </is>
      </c>
      <c r="AQ874" t="inlineStr">
        <is>
          <t>1660-4601</t>
        </is>
      </c>
      <c r="AS874" t="inlineStr">
        <is>
          <t>INT J ENV RES PUB HE</t>
        </is>
      </c>
      <c r="AT874" t="inlineStr">
        <is>
          <t>Int. J. Environ. Res. Public Health</t>
        </is>
      </c>
      <c r="AU874" t="inlineStr">
        <is>
          <t>JAN</t>
        </is>
      </c>
      <c r="AV874" t="n">
        <v>2021</v>
      </c>
      <c r="AW874" t="n">
        <v>18</v>
      </c>
      <c r="AX874" t="n">
        <v>2</v>
      </c>
      <c r="BE874" t="n">
        <v>500</v>
      </c>
      <c r="BF874" t="inlineStr">
        <is>
          <t>10.3390/ijerph18020500</t>
        </is>
      </c>
      <c r="BG874">
        <f>HYPERLINK("http://dx.doi.org/10.3390/ijerph18020500","http://dx.doi.org/10.3390/ijerph18020500")</f>
        <v/>
      </c>
      <c r="BJ874" t="n">
        <v>13</v>
      </c>
      <c r="BK874" t="inlineStr">
        <is>
          <t>Environmental Sciences; Public, Environmental &amp; Occupational Health</t>
        </is>
      </c>
      <c r="BL874" t="inlineStr">
        <is>
          <t>Science Citation Index Expanded (SCI-EXPANDED); Social Science Citation Index (SSCI)</t>
        </is>
      </c>
      <c r="BM874" t="inlineStr">
        <is>
          <t>Environmental Sciences &amp; Ecology; Public, Environmental &amp; Occupational Health</t>
        </is>
      </c>
      <c r="BN874" t="inlineStr">
        <is>
          <t>PX3QI</t>
        </is>
      </c>
      <c r="BO874" t="n">
        <v>33435418</v>
      </c>
      <c r="BP874" t="inlineStr">
        <is>
          <t>Green Published, gold</t>
        </is>
      </c>
      <c r="BS874" t="inlineStr">
        <is>
          <t>2023-10-26</t>
        </is>
      </c>
      <c r="BT874" t="inlineStr">
        <is>
          <t>WOS:000611273000001</t>
        </is>
      </c>
      <c r="BU874">
        <f>HYPERLINK("https%3A%2F%2Fwww.webofscience.com%2Fwos%2Fwoscc%2Ffull-record%2FWOS:000611273000001","View Full Record in Web of Science")</f>
        <v/>
      </c>
    </row>
    <row r="875">
      <c r="A875" t="inlineStr">
        <is>
          <t>J</t>
        </is>
      </c>
      <c r="B875" t="inlineStr">
        <is>
          <t>Xing, YG; Jones, P; Donnison, I</t>
        </is>
      </c>
      <c r="F875" t="inlineStr">
        <is>
          <t>Xing, Yangang; Jones, Phil; Donnison, Iain</t>
        </is>
      </c>
      <c r="J875" t="inlineStr">
        <is>
          <t>SUSTAINABILITY</t>
        </is>
      </c>
      <c r="M875" t="inlineStr">
        <is>
          <t>English</t>
        </is>
      </c>
      <c r="N875" t="inlineStr">
        <is>
          <t>Review</t>
        </is>
      </c>
      <c r="T875" t="inlineStr">
        <is>
          <t>Characterisation of Nature-Based Solutions for the Built Environment</t>
        </is>
      </c>
      <c r="U875" t="inlineStr">
        <is>
          <t>green roofs; green walls; urban green infrastructure; built environment; urban retrofitting; design optimisation; ecosystem services; nature-based solutions; climate; health; well-being</t>
        </is>
      </c>
      <c r="V875" t="inlineStr">
        <is>
          <t>VALUING ECOSYSTEM SERVICES; GREEN ROOFS; INDOOR PLANTS; URBAN; ENERGY; INFRASTRUCTURE; PERFORMANCE; SYSTEMS; BIODIVERSITY; MANAGEMENT</t>
        </is>
      </c>
      <c r="W875" t="inlineStr">
        <is>
          <t>Nature has provided humankind with food, fuel, and shelter throughout evolutionary history. However, in contemporary cities, many natural landscapes have become degraded and replaced with impermeable hard surfaces (e.g., roads, paving, car parks and buildings). The reversal of this trend is dynamic, complex and still in its infancy. There are many facets of urban greening initiatives involving multiple benefits, sensitivities and limitations. The aim of this paper is to develop a characterisation method of nature based solutions for designing and retrofitting in the built environment, and to facilitate knowledge transfer between disciplines and for design optimisation. Based on a review of the literature across disciplines, key characteristics could be organised into four groups: policy and community initiatives, multiple benefits assessment, topology, and design options. Challenges and opportunities for developing a characterisation framework to improve the use of nature based solutions in the built environment are discussed.</t>
        </is>
      </c>
      <c r="X875" t="inlineStr">
        <is>
          <t>[Xing, Yangang; Jones, Phil] Cardiff Univ, Welsh Sch Architecture, Cardiff CF10 3XQ, S Glam, Wales; [Donnison, Iain] Aberystwyth Univ, Inst Biol Environm &amp; Rural Sci IBERS, Aberystwyth SY23 3JG, Dyfed, Wales</t>
        </is>
      </c>
      <c r="Y875" t="inlineStr">
        <is>
          <t>Cardiff University; UK Research &amp; Innovation (UKRI); Biotechnology and Biological Sciences Research Council (BBSRC); Institute of Biological, Environmental, Rural &amp; Sciences (IBERS); Aberystwyth University</t>
        </is>
      </c>
      <c r="Z875" t="inlineStr">
        <is>
          <t>Xing, YG (corresponding author), Cardiff Univ, Welsh Sch Architecture, Cardiff CF10 3XQ, S Glam, Wales.</t>
        </is>
      </c>
      <c r="AA875" t="inlineStr">
        <is>
          <t>xingy5@cardiff.ac.uk; JonesP@cardiff.ac.uk; isd@aber.ac.uk</t>
        </is>
      </c>
      <c r="AB875" t="inlineStr">
        <is>
          <t>Donnison, Iain S/K-6138-2014</t>
        </is>
      </c>
      <c r="AC875" t="inlineStr">
        <is>
          <t>Donnison, Iain S/0000-0001-6276-555X; Xing, Yangang/0000-0002-5374-7269; Jones, Phillip/0000-0003-1559-8984</t>
        </is>
      </c>
      <c r="AD875" t="inlineStr">
        <is>
          <t>Welsh Assembly Government; Higher Education Funding Council for Wales through the Ser Cymru National Research Network for Low Carbon, Energy and Environment; BBSRC [BB/M017486/1] Funding Source: UKRI; Biotechnology and Biological Sciences Research Council [BB/M017486/1] Funding Source: researchfish</t>
        </is>
      </c>
      <c r="AE875" t="inlineStr">
        <is>
          <t>Welsh Assembly Government; Higher Education Funding Council for Wales through the Ser Cymru National Research Network for Low Carbon, Energy and Environment; BBSRC(UK Research &amp; Innovation (UKRI)Biotechnology and Biological Sciences Research Council (BBSRC)); Biotechnology and Biological Sciences Research Council(UK Research &amp; Innovation (UKRI)Biotechnology and Biological Sciences Research Council (BBSRC))</t>
        </is>
      </c>
      <c r="AF875" t="inlineStr">
        <is>
          <t>The Authors acknowledge the financial support of the Welsh Assembly Government and Higher Education Funding Council for Wales through the Ser Cymru National Research Network for Low Carbon, Energy and Environment.</t>
        </is>
      </c>
      <c r="AH875" t="n">
        <v>138</v>
      </c>
      <c r="AI875" t="n">
        <v>75</v>
      </c>
      <c r="AJ875" t="n">
        <v>75</v>
      </c>
      <c r="AK875" t="n">
        <v>7</v>
      </c>
      <c r="AL875" t="n">
        <v>139</v>
      </c>
      <c r="AM875" t="inlineStr">
        <is>
          <t>MDPI</t>
        </is>
      </c>
      <c r="AN875" t="inlineStr">
        <is>
          <t>BASEL</t>
        </is>
      </c>
      <c r="AO875" t="inlineStr">
        <is>
          <t>ST ALBAN-ANLAGE 66, CH-4052 BASEL, SWITZERLAND</t>
        </is>
      </c>
      <c r="AQ875" t="inlineStr">
        <is>
          <t>2071-1050</t>
        </is>
      </c>
      <c r="AS875" t="inlineStr">
        <is>
          <t>SUSTAINABILITY-BASEL</t>
        </is>
      </c>
      <c r="AT875" t="inlineStr">
        <is>
          <t>Sustainability</t>
        </is>
      </c>
      <c r="AU875" t="inlineStr">
        <is>
          <t>JAN</t>
        </is>
      </c>
      <c r="AV875" t="n">
        <v>2017</v>
      </c>
      <c r="AW875" t="n">
        <v>9</v>
      </c>
      <c r="AX875" t="n">
        <v>1</v>
      </c>
      <c r="BE875" t="n">
        <v>149</v>
      </c>
      <c r="BF875" t="inlineStr">
        <is>
          <t>10.3390/su9010149</t>
        </is>
      </c>
      <c r="BG875">
        <f>HYPERLINK("http://dx.doi.org/10.3390/su9010149","http://dx.doi.org/10.3390/su9010149")</f>
        <v/>
      </c>
      <c r="BJ875" t="n">
        <v>20</v>
      </c>
      <c r="BK875" t="inlineStr">
        <is>
          <t>Green &amp; Sustainable Science &amp; Technology; Environmental Sciences; Environmental Studies</t>
        </is>
      </c>
      <c r="BL875" t="inlineStr">
        <is>
          <t>Science Citation Index Expanded (SCI-EXPANDED); Social Science Citation Index (SSCI)</t>
        </is>
      </c>
      <c r="BM875" t="inlineStr">
        <is>
          <t>Science &amp; Technology - Other Topics; Environmental Sciences &amp; Ecology</t>
        </is>
      </c>
      <c r="BN875" t="inlineStr">
        <is>
          <t>EL8AO</t>
        </is>
      </c>
      <c r="BP875" t="inlineStr">
        <is>
          <t>Green Published, Green Accepted, gold</t>
        </is>
      </c>
      <c r="BS875" t="inlineStr">
        <is>
          <t>2023-10-26</t>
        </is>
      </c>
      <c r="BT875" t="inlineStr">
        <is>
          <t>WOS:000394842700147</t>
        </is>
      </c>
      <c r="BU875">
        <f>HYPERLINK("https%3A%2F%2Fwww.webofscience.com%2Fwos%2Fwoscc%2Ffull-record%2FWOS:000394842700147","View Full Record in Web of Science")</f>
        <v/>
      </c>
    </row>
    <row r="876">
      <c r="A876" t="inlineStr">
        <is>
          <t>J</t>
        </is>
      </c>
      <c r="B876" t="inlineStr">
        <is>
          <t>Lin, MH; Chang, CY; Wu, DM; Lu, CH; Kuo, CC; Chu, NF</t>
        </is>
      </c>
      <c r="F876" t="inlineStr">
        <is>
          <t>Lin, Ming-Hsun; Chang, Chun-Yung; Wu, Der-Min; Lu, Chieh-Hua; Kuo, Che-Chun; Chu, Nain-Feng</t>
        </is>
      </c>
      <c r="J876" t="inlineStr">
        <is>
          <t>INTERNATIONAL JOURNAL OF ENVIRONMENTAL RESEARCH AND PUBLIC HEALTH</t>
        </is>
      </c>
      <c r="M876" t="inlineStr">
        <is>
          <t>English</t>
        </is>
      </c>
      <c r="N876" t="inlineStr">
        <is>
          <t>Article</t>
        </is>
      </c>
      <c r="T876" t="inlineStr">
        <is>
          <t>Relationship of Multimorbidity, Obesity Status, and Grip Strength among Older Adults in Taiwan</t>
        </is>
      </c>
      <c r="U876" t="inlineStr">
        <is>
          <t>disease status; weight status; grip strength; older adults</t>
        </is>
      </c>
      <c r="V876" t="inlineStr">
        <is>
          <t>HANDGRIP STRENGTH; MUSCLE STRENGTH; MASS; ASSOCIATION; FRAILTY; MORTALITY; BALANCE; HEALTH; WOMEN</t>
        </is>
      </c>
      <c r="W876" t="inlineStr">
        <is>
          <t>Background: The combination of multiple disease statuses, muscle weakness, and sarcopenia among older adults is an important public health concern, and a health burden worldwide. This study evaluates the association between chronic disease statuses, obesity, and grip strength (GS) among older adults in Taiwan. Methods: A community-based survey was conducted every 3 years among older adults over age 65, living in Chiayi County, Taiwan. Demographic data and several diseases statuses, such as diabetes mellitus, hypertension, cerebrovascular disease, cardiovascular disease, and certain cancers, were collected using a questionnaire. Anthropometric characteristics were measured using standard methods. Grip strength was measured using a digital dynamometer (TKK5101) method. Results: A total of 3739 older individuals were recruited (1600 males and 2139 females) with the mean age of 72.9 years. The mean GS was 32.8 +/- 7.1 kg for males and 21.6 +/- 4.8 kg for females. GS significantly decreased most in males with cerebrovascular disease (from 33.0-29.5 kg, p &lt; 0.001) and in females with diabetes mellitus (from 21.8-21.0 kg, p &lt; 0.01). GS was highest in older adults with obesity (body mass index &gt;= 27 kg/m(2)); however, there was no significant change of GS as the disease number increased. Conclusion: Older adults who have two, rather than one or greater than three chronic diseases, have significantly lower GSs than those who are healthy. Stroke and CKD for males, and hypertension and diabetes for females, are important chronic diseases that are significantly associated with GS. Furthermore, being overweight may be a protective factor for GS in older adults of both sexes.</t>
        </is>
      </c>
      <c r="X876" t="inlineStr">
        <is>
          <t>[Lin, Ming-Hsun; Chang, Chun-Yung; Lu, Chieh-Hua] Triserv Gen Hosp, Dept Internal Med, Div Endocrinol &amp; Metab, Natl Def Med Ctr, Taipei 114, Taiwan; [Chang, Chun-Yung] Kaohsiung Armed Forces Gen Hosp, Dept Internal Med, Kaohsiung 802, Taiwan; [Wu, Der-Min; Chu, Nain-Feng] Sch Publ Hlth, Natl Def Med Ctr, Taipei 114, Taiwan; [Kuo, Che-Chun] Taoyuan Armed Forces Gen Hosp, Dept Internal Med, Taoyuan 325, Taiwan; [Chu, Nain-Feng] Triserv Gen Hosp, Dept Internal Med, Taipei 114, Taiwan</t>
        </is>
      </c>
      <c r="Y876" t="inlineStr">
        <is>
          <t>Tri-Service General Hospital; National Defense Medical Center; National Defense Medical Center; Tri-Service General Hospital</t>
        </is>
      </c>
      <c r="Z876" t="inlineStr">
        <is>
          <t>Chu, NF (corresponding author), Sch Publ Hlth, Natl Def Med Ctr, Taipei 114, Taiwan.;Chu, NF (corresponding author), Triserv Gen Hosp, Dept Internal Med, Taipei 114, Taiwan.</t>
        </is>
      </c>
      <c r="AA876" t="inlineStr">
        <is>
          <t>tim6801@msn.com; alpha1320@gmail.com; wangsn68@gmail.com; undeca2001@gmail.com; lg1001010@gmail.com; chuepi@mail.ndmctsgh.edu.tw</t>
        </is>
      </c>
      <c r="AB876" t="inlineStr">
        <is>
          <t>Chu, Nain-Feng/HNB-4015-2023</t>
        </is>
      </c>
      <c r="AC876" t="inlineStr">
        <is>
          <t>Lin, Ming Hsun/0000-0003-4169-921X; Chang, Chun-Yung/0000-0002-4416-0116</t>
        </is>
      </c>
      <c r="AD876" t="inlineStr">
        <is>
          <t>Tri-Service General Hospital, National Defense Medical Center, Ministry of Science and Technology [MOST-108-2314-B016-033MY2]; Teh-Tzer Study Group for Human Medical Research Foundation</t>
        </is>
      </c>
      <c r="AE876" t="inlineStr">
        <is>
          <t>Tri-Service General Hospital, National Defense Medical Center, Ministry of Science and Technology; Teh-Tzer Study Group for Human Medical Research Foundation</t>
        </is>
      </c>
      <c r="AF876" t="inlineStr">
        <is>
          <t>The authors thank Tri-Service General Hospital, National Defense Medical Center, Ministry of Science and Technology (MOST-108-2314-B016-033MY2), and the Teh-Tzer Study Group for Human Medical Research Foundation for the support. The funders had no role in the study design, data collection, analysis, decision to publish, or preparation of the manuscript.</t>
        </is>
      </c>
      <c r="AH876" t="n">
        <v>40</v>
      </c>
      <c r="AI876" t="n">
        <v>7</v>
      </c>
      <c r="AJ876" t="n">
        <v>7</v>
      </c>
      <c r="AK876" t="n">
        <v>2</v>
      </c>
      <c r="AL876" t="n">
        <v>10</v>
      </c>
      <c r="AM876" t="inlineStr">
        <is>
          <t>MDPI</t>
        </is>
      </c>
      <c r="AN876" t="inlineStr">
        <is>
          <t>BASEL</t>
        </is>
      </c>
      <c r="AO876" t="inlineStr">
        <is>
          <t>ST ALBAN-ANLAGE 66, CH-4052 BASEL, SWITZERLAND</t>
        </is>
      </c>
      <c r="AQ876" t="inlineStr">
        <is>
          <t>1660-4601</t>
        </is>
      </c>
      <c r="AS876" t="inlineStr">
        <is>
          <t>INT J ENV RES PUB HE</t>
        </is>
      </c>
      <c r="AT876" t="inlineStr">
        <is>
          <t>Int. J. Environ. Res. Public Health</t>
        </is>
      </c>
      <c r="AU876" t="inlineStr">
        <is>
          <t>JUL</t>
        </is>
      </c>
      <c r="AV876" t="n">
        <v>2021</v>
      </c>
      <c r="AW876" t="n">
        <v>18</v>
      </c>
      <c r="AX876" t="n">
        <v>14</v>
      </c>
      <c r="BE876" t="n">
        <v>7540</v>
      </c>
      <c r="BF876" t="inlineStr">
        <is>
          <t>10.3390/ijerph18147540</t>
        </is>
      </c>
      <c r="BG876">
        <f>HYPERLINK("http://dx.doi.org/10.3390/ijerph18147540","http://dx.doi.org/10.3390/ijerph18147540")</f>
        <v/>
      </c>
      <c r="BJ876" t="n">
        <v>11</v>
      </c>
      <c r="BK876" t="inlineStr">
        <is>
          <t>Environmental Sciences; Public, Environmental &amp; Occupational Health</t>
        </is>
      </c>
      <c r="BL876" t="inlineStr">
        <is>
          <t>Science Citation Index Expanded (SCI-EXPANDED); Social Science Citation Index (SSCI)</t>
        </is>
      </c>
      <c r="BM876" t="inlineStr">
        <is>
          <t>Environmental Sciences &amp; Ecology; Public, Environmental &amp; Occupational Health</t>
        </is>
      </c>
      <c r="BN876" t="inlineStr">
        <is>
          <t>TO4SC</t>
        </is>
      </c>
      <c r="BO876" t="n">
        <v>34299990</v>
      </c>
      <c r="BP876" t="inlineStr">
        <is>
          <t>gold, Green Published</t>
        </is>
      </c>
      <c r="BS876" t="inlineStr">
        <is>
          <t>2023-10-26</t>
        </is>
      </c>
      <c r="BT876" t="inlineStr">
        <is>
          <t>WOS:000676902500001</t>
        </is>
      </c>
      <c r="BU876">
        <f>HYPERLINK("https%3A%2F%2Fwww.webofscience.com%2Fwos%2Fwoscc%2Ffull-record%2FWOS:000676902500001","View Full Record in Web of Science")</f>
        <v/>
      </c>
    </row>
    <row r="877">
      <c r="A877" t="inlineStr">
        <is>
          <t>J</t>
        </is>
      </c>
      <c r="B877" t="inlineStr">
        <is>
          <t>Mei, WB; Hsu, CY; Ou, SJ</t>
        </is>
      </c>
      <c r="F877" t="inlineStr">
        <is>
          <t>Mei, Wen-Bing; Hsu, Che-Yu; Ou, Sheng-Jung</t>
        </is>
      </c>
      <c r="J877" t="inlineStr">
        <is>
          <t>INTERNATIONAL JOURNAL OF ENVIRONMENTAL RESEARCH AND PUBLIC HEALTH</t>
        </is>
      </c>
      <c r="M877" t="inlineStr">
        <is>
          <t>English</t>
        </is>
      </c>
      <c r="N877" t="inlineStr">
        <is>
          <t>Article</t>
        </is>
      </c>
      <c r="T877" t="inlineStr">
        <is>
          <t>Research on Evaluation Indexes and Weights of the Aging-Friendly Community Public Environment under the Community Home-based Pension Model</t>
        </is>
      </c>
      <c r="U877" t="inlineStr">
        <is>
          <t>community public environment; aging-friendly; FAHP</t>
        </is>
      </c>
      <c r="W877" t="inlineStr">
        <is>
          <t>Community home-based care has become China's main mode of care for the elderly, and the aging of the community public environment has become the focus of attention of all of society. This study uses a questionnaire survey and the fuzzy analytic hierarchy process (FAHP) to (i) obtain the relative weights of indicators in the hierarchy structure of an aging-friendly community public environment and (ii) build a complete indicator evaluation system for the aging-friendly community public environment. The research results show that the quasi-side evaluation index framework of the aging-friendly community public environment is composed of four factors (i.e., community facilities, community road system, community environmental function, and community landscape configuration) and 24 evaluation indexes. The weights of the indicators in descending order are community road system (w = 0.374), community facilities (w = 0.310), community environmental functions (w = 0.264), and community landscape configuration (w = 0.052). The research results show that community road systems and community facilities are important indicators of the aging-friendliness of a community public environment. Community environmental function is an important supplemental factor of the aging-friendliness of a community public environment. Community landscape configuration involves improving the construction of the community public environment from the perspective of landscaping. Among all indicator levels, the weights of Community road floor slip resistance (w = 0.1795), Daily health and medical facilities (w = 0.1181), and Provide social interaction functions (w = 0.1067) are ranked the highest. These results show that ensuring the physical and mental health of the elderly in the community is a core criterion for evaluating the aging-friendliness of a public environment in the community. In this study, an index evaluation weight system is established to clarify the best approach to constructing an aging-friendly community public environment in accordance with previous standard specifications. This system can further clarify the scientific method for evaluating aging-friendly public environments built in the past and can serve as a reference for the practical world.</t>
        </is>
      </c>
      <c r="X877" t="inlineStr">
        <is>
          <t>[Mei, Wen-Bing] Guangdong Ind Polytech, Dept Art Design, Guangzhou 510300, Peoples R China; [Mei, Wen-Bing; Hsu, Che-Yu; Ou, Sheng-Jung] Chaoyang Univ Technol, Dept Architecture, Taichuang 41349, Taiwan</t>
        </is>
      </c>
      <c r="Y877" t="inlineStr">
        <is>
          <t>Guangdong Industry Polytechnic; Chaoyang University of Technology</t>
        </is>
      </c>
      <c r="Z877" t="inlineStr">
        <is>
          <t>Ou, SJ (corresponding author), Chaoyang Univ Technol, Dept Architecture, Taichuang 41349, Taiwan.</t>
        </is>
      </c>
      <c r="AA877" t="inlineStr">
        <is>
          <t>mlkun3101@gmail.com; cyhsu428@cyut.edu.tw; sjou@cyut.edu.tw</t>
        </is>
      </c>
      <c r="AB877" t="inlineStr">
        <is>
          <t>Mei, Wen Bing/HSF-9361-2023</t>
        </is>
      </c>
      <c r="AC877" t="inlineStr">
        <is>
          <t>Hsu, Che-Yu/0000-0002-1657-379X</t>
        </is>
      </c>
      <c r="AH877" t="n">
        <v>35</v>
      </c>
      <c r="AI877" t="n">
        <v>8</v>
      </c>
      <c r="AJ877" t="n">
        <v>8</v>
      </c>
      <c r="AK877" t="n">
        <v>24</v>
      </c>
      <c r="AL877" t="n">
        <v>142</v>
      </c>
      <c r="AM877" t="inlineStr">
        <is>
          <t>MDPI</t>
        </is>
      </c>
      <c r="AN877" t="inlineStr">
        <is>
          <t>BASEL</t>
        </is>
      </c>
      <c r="AO877" t="inlineStr">
        <is>
          <t>ST ALBAN-ANLAGE 66, CH-4052 BASEL, SWITZERLAND</t>
        </is>
      </c>
      <c r="AQ877" t="inlineStr">
        <is>
          <t>1660-4601</t>
        </is>
      </c>
      <c r="AS877" t="inlineStr">
        <is>
          <t>INT J ENV RES PUB HE</t>
        </is>
      </c>
      <c r="AT877" t="inlineStr">
        <is>
          <t>Int. J. Environ. Res. Public Health</t>
        </is>
      </c>
      <c r="AU877" t="inlineStr">
        <is>
          <t>APR</t>
        </is>
      </c>
      <c r="AV877" t="n">
        <v>2020</v>
      </c>
      <c r="AW877" t="n">
        <v>17</v>
      </c>
      <c r="AX877" t="n">
        <v>8</v>
      </c>
      <c r="BE877" t="n">
        <v>2863</v>
      </c>
      <c r="BF877" t="inlineStr">
        <is>
          <t>10.3390/ijerph17082863</t>
        </is>
      </c>
      <c r="BG877">
        <f>HYPERLINK("http://dx.doi.org/10.3390/ijerph17082863","http://dx.doi.org/10.3390/ijerph17082863")</f>
        <v/>
      </c>
      <c r="BJ877" t="n">
        <v>16</v>
      </c>
      <c r="BK877" t="inlineStr">
        <is>
          <t>Environmental Sciences; Public, Environmental &amp; Occupational Health</t>
        </is>
      </c>
      <c r="BL877" t="inlineStr">
        <is>
          <t>Science Citation Index Expanded (SCI-EXPANDED); Social Science Citation Index (SSCI)</t>
        </is>
      </c>
      <c r="BM877" t="inlineStr">
        <is>
          <t>Environmental Sciences &amp; Ecology; Public, Environmental &amp; Occupational Health</t>
        </is>
      </c>
      <c r="BN877" t="inlineStr">
        <is>
          <t>LR5OL</t>
        </is>
      </c>
      <c r="BO877" t="n">
        <v>32326293</v>
      </c>
      <c r="BP877" t="inlineStr">
        <is>
          <t>Green Published, gold</t>
        </is>
      </c>
      <c r="BS877" t="inlineStr">
        <is>
          <t>2023-10-26</t>
        </is>
      </c>
      <c r="BT877" t="inlineStr">
        <is>
          <t>WOS:000535744100248</t>
        </is>
      </c>
      <c r="BU877">
        <f>HYPERLINK("https%3A%2F%2Fwww.webofscience.com%2Fwos%2Fwoscc%2Ffull-record%2FWOS:000535744100248","View Full Record in Web of Science")</f>
        <v/>
      </c>
    </row>
    <row r="878">
      <c r="A878" t="inlineStr">
        <is>
          <t>J</t>
        </is>
      </c>
      <c r="B878" t="inlineStr">
        <is>
          <t>Tsantaki, E; Smyrnakis, E; Constantinidis, TC; Benos, A</t>
        </is>
      </c>
      <c r="F878" t="inlineStr">
        <is>
          <t>Tsantaki, Efthymia; Smyrnakis, Emmanouil; Constantinidis, Theodoros C.; Benos, Alexis</t>
        </is>
      </c>
      <c r="J878" t="inlineStr">
        <is>
          <t>INTERNATIONAL JOURNAL OF ENVIRONMENTAL HEALTH RESEARCH</t>
        </is>
      </c>
      <c r="M878" t="inlineStr">
        <is>
          <t>English</t>
        </is>
      </c>
      <c r="N878" t="inlineStr">
        <is>
          <t>Article</t>
        </is>
      </c>
      <c r="T878" t="inlineStr">
        <is>
          <t>Indoor air quality and sick building syndrome in a university setting: a case study in Greece</t>
        </is>
      </c>
      <c r="U878" t="inlineStr">
        <is>
          <t>sick building syndrome; indoor air quality; mediterranean climate; economic crisis; Greece</t>
        </is>
      </c>
      <c r="V878" t="inlineStr">
        <is>
          <t>PSYCHOSOCIAL FACTORS; WORK PERFORMANCE; SYMPTOMS; HEALTH; ENVIRONMENT; EXPOSURE; SLEEP; ATOPY; ASSOCIATIONS; PREVALENCE</t>
        </is>
      </c>
      <c r="W878" t="inlineStr">
        <is>
          <t>The perceived Indoor Air Quality (IAQ), the prevalence of Sick Building Syndrome (SBS) symptoms and its contributing risk factors were assessed in a university during the period of the economic crisis in Greece. Data was collected from 613 employees via questionnaires. Hierarchical linear regression analysis was performed. The most prevalent perceived IAQ complaints were 'Dust and dirt' (63.2%), 'Room temperature too low' (24.9%) and 'Varying room temperature' (24.4%). The most frequently reported SBS symptom was 'Fatigue' (34.1%). The prevalence of General, Mucosal and Dermal symptoms was 40.8%, 19.8% and 8.1%, respectively. Several contributing risk factors were identified, such as IAQ Discomfort Scale, atopy, sleep problems, female, exposure to biological and chemical agents, PC-use, Psychosocial Work Scale and job satisfaction. Poor perceived IAQ and high prevalence of SBS symptoms were reported from the university staff in a temperate climate country. SBS seemed to be multifactorial.</t>
        </is>
      </c>
      <c r="X878" t="inlineStr">
        <is>
          <t>[Tsantaki, Efthymia; Smyrnakis, Emmanouil; Benos, Alexis] Aristotle Univ Thessaloniki, Dept Med, Gen Practice &amp; Hlth Serv Res, Lab Primary Hlth Care, Pellis 1,POB 57010, Thessaloniki, Greece; [Constantinidis, Theodoros C.] Democritus Univ Thrace, Med Sch, Lab Hyg &amp; Environm Protect, Alexandroupolis, Greece</t>
        </is>
      </c>
      <c r="Y878" t="inlineStr">
        <is>
          <t>Aristotle University of Thessaloniki; Democritus University of Thrace</t>
        </is>
      </c>
      <c r="Z878" t="inlineStr">
        <is>
          <t>Tsantaki, E (corresponding author), Aristotle Univ Thessaloniki, Dept Med, Gen Practice &amp; Hlth Serv Res, Lab Primary Hlth Care, Pellis 1,POB 57010, Thessaloniki, Greece.</t>
        </is>
      </c>
      <c r="AA878" t="inlineStr">
        <is>
          <t>efug2000@yahoo.gr</t>
        </is>
      </c>
      <c r="AB878" t="inlineStr">
        <is>
          <t>Benos, Alexis/ABA-5812-2021</t>
        </is>
      </c>
      <c r="AC878" t="inlineStr">
        <is>
          <t>Benos, Alexis/0000-0002-5397-9385; Tsantaki, Efthymia/0000-0002-0970-3664</t>
        </is>
      </c>
      <c r="AH878" t="n">
        <v>61</v>
      </c>
      <c r="AI878" t="n">
        <v>8</v>
      </c>
      <c r="AJ878" t="n">
        <v>8</v>
      </c>
      <c r="AK878" t="n">
        <v>4</v>
      </c>
      <c r="AL878" t="n">
        <v>35</v>
      </c>
      <c r="AM878" t="inlineStr">
        <is>
          <t>TAYLOR &amp; FRANCIS LTD</t>
        </is>
      </c>
      <c r="AN878" t="inlineStr">
        <is>
          <t>ABINGDON</t>
        </is>
      </c>
      <c r="AO878" t="inlineStr">
        <is>
          <t>2-4 PARK SQUARE, MILTON PARK, ABINGDON OR14 4RN, OXON, ENGLAND</t>
        </is>
      </c>
      <c r="AP878" t="inlineStr">
        <is>
          <t>0960-3123</t>
        </is>
      </c>
      <c r="AQ878" t="inlineStr">
        <is>
          <t>1369-1619</t>
        </is>
      </c>
      <c r="AS878" t="inlineStr">
        <is>
          <t>INT J ENVIRON HEAL R</t>
        </is>
      </c>
      <c r="AT878" t="inlineStr">
        <is>
          <t>Int. J. Environ. Health Res.</t>
        </is>
      </c>
      <c r="AU878" t="inlineStr">
        <is>
          <t>MAR 4</t>
        </is>
      </c>
      <c r="AV878" t="n">
        <v>2022</v>
      </c>
      <c r="AW878" t="n">
        <v>32</v>
      </c>
      <c r="AX878" t="n">
        <v>3</v>
      </c>
      <c r="BC878" t="n">
        <v>595</v>
      </c>
      <c r="BD878" t="n">
        <v>615</v>
      </c>
      <c r="BF878" t="inlineStr">
        <is>
          <t>10.1080/09603123.2020.1789567</t>
        </is>
      </c>
      <c r="BG878">
        <f>HYPERLINK("http://dx.doi.org/10.1080/09603123.2020.1789567","http://dx.doi.org/10.1080/09603123.2020.1789567")</f>
        <v/>
      </c>
      <c r="BI878" t="inlineStr">
        <is>
          <t>JUL 2020</t>
        </is>
      </c>
      <c r="BJ878" t="n">
        <v>21</v>
      </c>
      <c r="BK878" t="inlineStr">
        <is>
          <t>Environmental Sciences; Public, Environmental &amp; Occupational Health</t>
        </is>
      </c>
      <c r="BL878" t="inlineStr">
        <is>
          <t>Science Citation Index Expanded (SCI-EXPANDED); Social Science Citation Index (SSCI)</t>
        </is>
      </c>
      <c r="BM878" t="inlineStr">
        <is>
          <t>Environmental Sciences &amp; Ecology; Public, Environmental &amp; Occupational Health</t>
        </is>
      </c>
      <c r="BN878" t="inlineStr">
        <is>
          <t>YP7EV</t>
        </is>
      </c>
      <c r="BO878" t="n">
        <v>32633551</v>
      </c>
      <c r="BS878" t="inlineStr">
        <is>
          <t>2023-10-26</t>
        </is>
      </c>
      <c r="BT878" t="inlineStr">
        <is>
          <t>WOS:000547448300001</t>
        </is>
      </c>
      <c r="BU878">
        <f>HYPERLINK("https%3A%2F%2Fwww.webofscience.com%2Fwos%2Fwoscc%2Ffull-record%2FWOS:000547448300001","View Full Record in Web of Science")</f>
        <v/>
      </c>
    </row>
    <row r="879">
      <c r="A879" t="inlineStr">
        <is>
          <t>J</t>
        </is>
      </c>
      <c r="B879" t="inlineStr">
        <is>
          <t>Hirsch, JA; Hillier, A</t>
        </is>
      </c>
      <c r="F879" t="inlineStr">
        <is>
          <t>Hirsch, Jana A.; Hillier, Amy</t>
        </is>
      </c>
      <c r="J879" t="inlineStr">
        <is>
          <t>INTERNATIONAL JOURNAL OF ENVIRONMENTAL RESEARCH AND PUBLIC HEALTH</t>
        </is>
      </c>
      <c r="M879" t="inlineStr">
        <is>
          <t>English</t>
        </is>
      </c>
      <c r="N879" t="inlineStr">
        <is>
          <t>Article</t>
        </is>
      </c>
      <c r="T879" t="inlineStr">
        <is>
          <t>Exploring the Role of the Food Environment on Food Shopping Patterns in Philadelphia, PA, USA: A Semiquantitative Comparison of Two Matched Neighborhood Groups</t>
        </is>
      </c>
      <c r="U879" t="inlineStr">
        <is>
          <t>food environment; supermarket; shopping behavior; methodology; Geographic Information Systems (GIS)</t>
        </is>
      </c>
      <c r="V879" t="inlineStr">
        <is>
          <t>PHYSICAL-ACTIVITY BEHAVIORS; BUILT ENVIRONMENT; ATHEROSCLEROSIS RISK; HEALTH; DIET; AVAILABILITY; ASSOCIATIONS; NUTRITION; OBESITY; STORES</t>
        </is>
      </c>
      <c r="W879" t="inlineStr">
        <is>
          <t>Increasing research has focused on the built food environment and nutrition-related outcomes, yet what constitutes a food environment and how this environment influences individual behavior still remain unclear. This study assesses whether travel mode and distance to food shopping venues differ among individuals in varying food environments and whether individual- and household-level factors are associated with food shopping patterns. Fifty neighbors who share a traditionally defined food environment (25 in an unfavorable environment and 25 in a favorable environment) were surveyed using a mix of close- and open-ended survey questions. Food shopping patterns were mapped using Geographic Information Systems (GIS). Stores visited were beyond the 0.5-mile (805 meters) radius traditionally used to represent the extent of an individual's food environment in an urban area. We found no significant difference in shopping frequency or motivating factor behind store choice between the groups. No differences existed between the two groups for big food shopping trips. For small trips, individuals in the favorable food environment traveled shorter distances and were more likely to walk than drive. Socioeconomic status, including car ownership, education, and income influenced distance traveled. These findings highlight the complexities involved in the study and measurement of food environments.</t>
        </is>
      </c>
      <c r="X879" t="inlineStr">
        <is>
          <t>[Hirsch, Jana A.] Univ Michigan, Sch Publ Hlth, Ctr Social Epidemiol &amp; Populat Hlth, Ann Arbor, MI 48109 USA; [Hillier, Amy] Univ Penn, Sch Design, Philadelphia, PA 19104 USA</t>
        </is>
      </c>
      <c r="Y879" t="inlineStr">
        <is>
          <t>University of Michigan System; University of Michigan; University of Pennsylvania</t>
        </is>
      </c>
      <c r="Z879" t="inlineStr">
        <is>
          <t>Hirsch, JA (corresponding author), Univ Michigan, Sch Publ Hlth, Ctr Social Epidemiol &amp; Populat Hlth, 2675 SPH I,1415 Washington Hts, Ann Arbor, MI 48109 USA.</t>
        </is>
      </c>
      <c r="AA879" t="inlineStr">
        <is>
          <t>jahirsch@umich.edu; ahillier@design.upenn.edu</t>
        </is>
      </c>
      <c r="AC879" t="inlineStr">
        <is>
          <t>Hirsch, Jana/0000-0003-3355-5558</t>
        </is>
      </c>
      <c r="AD879" t="inlineStr">
        <is>
          <t>Vagelos grant; Master of Environmental Studies research grant</t>
        </is>
      </c>
      <c r="AE879" t="inlineStr">
        <is>
          <t>Vagelos grant; Master of Environmental Studies research grant</t>
        </is>
      </c>
      <c r="AF879" t="inlineStr">
        <is>
          <t>This project would not have been possible without the financial support from the Vagelos and the Master of Environmental Studies research grants. Many thanks to Yvette Bordeaux, Herb Smith, Ezekiel Dixon-Roman, and Karen Glanz for their expert opinions and guidance throughout the design, implementation, and analysis of this project. We also appreciate Annemarie D'Amato and Michelle Fang for their assistance in collecting surveys.</t>
        </is>
      </c>
      <c r="AH879" t="n">
        <v>49</v>
      </c>
      <c r="AI879" t="n">
        <v>57</v>
      </c>
      <c r="AJ879" t="n">
        <v>57</v>
      </c>
      <c r="AK879" t="n">
        <v>0</v>
      </c>
      <c r="AL879" t="n">
        <v>46</v>
      </c>
      <c r="AM879" t="inlineStr">
        <is>
          <t>MDPI</t>
        </is>
      </c>
      <c r="AN879" t="inlineStr">
        <is>
          <t>BASEL</t>
        </is>
      </c>
      <c r="AO879" t="inlineStr">
        <is>
          <t>ST ALBAN-ANLAGE 66, CH-4052 BASEL, SWITZERLAND</t>
        </is>
      </c>
      <c r="AQ879" t="inlineStr">
        <is>
          <t>1660-4601</t>
        </is>
      </c>
      <c r="AS879" t="inlineStr">
        <is>
          <t>INT J ENV RES PUB HE</t>
        </is>
      </c>
      <c r="AT879" t="inlineStr">
        <is>
          <t>Int. J. Environ. Res. Public Health</t>
        </is>
      </c>
      <c r="AU879" t="inlineStr">
        <is>
          <t>JAN</t>
        </is>
      </c>
      <c r="AV879" t="n">
        <v>2013</v>
      </c>
      <c r="AW879" t="n">
        <v>10</v>
      </c>
      <c r="AX879" t="n">
        <v>1</v>
      </c>
      <c r="BC879" t="n">
        <v>295</v>
      </c>
      <c r="BD879" t="n">
        <v>313</v>
      </c>
      <c r="BF879" t="inlineStr">
        <is>
          <t>10.3390/ijerph10010295</t>
        </is>
      </c>
      <c r="BG879">
        <f>HYPERLINK("http://dx.doi.org/10.3390/ijerph10010295","http://dx.doi.org/10.3390/ijerph10010295")</f>
        <v/>
      </c>
      <c r="BJ879" t="n">
        <v>19</v>
      </c>
      <c r="BK879" t="inlineStr">
        <is>
          <t>Environmental Sciences; Public, Environmental &amp; Occupational Health</t>
        </is>
      </c>
      <c r="BL879" t="inlineStr">
        <is>
          <t>Science Citation Index Expanded (SCI-EXPANDED); Social Science Citation Index (SSCI)</t>
        </is>
      </c>
      <c r="BM879" t="inlineStr">
        <is>
          <t>Environmental Sciences &amp; Ecology; Public, Environmental &amp; Occupational Health</t>
        </is>
      </c>
      <c r="BN879" t="inlineStr">
        <is>
          <t>077KK</t>
        </is>
      </c>
      <c r="BO879" t="n">
        <v>23343984</v>
      </c>
      <c r="BP879" t="inlineStr">
        <is>
          <t>Green Published, gold</t>
        </is>
      </c>
      <c r="BS879" t="inlineStr">
        <is>
          <t>2023-10-26</t>
        </is>
      </c>
      <c r="BT879" t="inlineStr">
        <is>
          <t>WOS:000314026400016</t>
        </is>
      </c>
      <c r="BU879">
        <f>HYPERLINK("https%3A%2F%2Fwww.webofscience.com%2Fwos%2Fwoscc%2Ffull-record%2FWOS:000314026400016","View Full Record in Web of Science")</f>
        <v/>
      </c>
    </row>
    <row r="880">
      <c r="A880" t="inlineStr">
        <is>
          <t>J</t>
        </is>
      </c>
      <c r="B880" t="inlineStr">
        <is>
          <t>Dillon, MB; Sextro, RG; Delp, WW</t>
        </is>
      </c>
      <c r="F880" t="inlineStr">
        <is>
          <t>Dillon, Michael B.; Sextro, Richard G.; Delp, W. Woody</t>
        </is>
      </c>
      <c r="J880" t="inlineStr">
        <is>
          <t>ATMOSPHERIC ENVIRONMENT</t>
        </is>
      </c>
      <c r="M880" t="inlineStr">
        <is>
          <t>English</t>
        </is>
      </c>
      <c r="N880" t="inlineStr">
        <is>
          <t>Article</t>
        </is>
      </c>
      <c r="T880" t="inlineStr">
        <is>
          <t>Protecting building occupants against the inhalation of outdoor-origin aerosols</t>
        </is>
      </c>
      <c r="U880" t="inlineStr">
        <is>
          <t>Shelter; Indoor aerosol behavior; Deposition; Filtration; Single-box model; Building protection</t>
        </is>
      </c>
      <c r="V880" t="inlineStr">
        <is>
          <t>AIR-POLLUTION; PARTICLE DEPOSITION; ULTRAFINE PARTICLES; INFILTRATION FACTOR; VENTILATION RATES; FINE PARTICLES; INDOOR; PENETRATION; SIZE; QUALITY</t>
        </is>
      </c>
      <c r="W880" t="inlineStr">
        <is>
          <t>During normal operations, buildings can protect their occupants from outdoor airborne particle hazards of all types, including airborne pollutants. A long-term international research effort has advanced our knowledge of building protection physics. Recently we have developed an operationally efficient, regional-scale methodology Regional Shelter Analysis - to account for both building protection effects and the typical distribution of people in and among buildings. To provide input to this capability, we estimate here the degree of protection afforded by the currently existing US building stock. We first assemble and summarize the published literature relevant to indoor particle losses including (a) deposition to indoor surfaces, (b) losses that occur when particles penetrate through the building envelope, and (c) heating, ventilation and air conditioning (HVAC) system filtration efficiencies as well as general building operating conditions. Building protection against inhaling particulate hazards varies strongly, by orders of magnitude, according to particle size, airborne particle loss rate, and to a lesser extent building use (occupancy). Protection increases modestly as particle size increases from 0.1 to 1 mu m and significantly as particle size increases from 1 to 10 mu m. Model results are placed in context with previously reported measurements. Suggestions for future work, including enhanced validation datasets are provided.</t>
        </is>
      </c>
      <c r="X880" t="inlineStr">
        <is>
          <t>[Dillon, Michael B.; Sextro, Richard G.] Lawrence Livermore Natl Lab, Atmospher Earth &amp; Energy Div, Mailstop L-103, Livermore, CA 94551 USA; [Sextro, Richard G.; Delp, W. Woody] Lawrence Berkeley Natl Lab, Energy Anal &amp; Environm Impacts Div, Energy Technol Area, Indoor Environm Grp, Berkeley, CA USA</t>
        </is>
      </c>
      <c r="Y880" t="inlineStr">
        <is>
          <t>United States Department of Energy (DOE); Lawrence Livermore National Laboratory; United States Department of Energy (DOE); Lawrence Berkeley National Laboratory</t>
        </is>
      </c>
      <c r="Z880" t="inlineStr">
        <is>
          <t>Dillon, MB (corresponding author), Lawrence Livermore Natl Lab, Atmospher Earth &amp; Energy Div, Mailstop L-103, Livermore, CA 94551 USA.</t>
        </is>
      </c>
      <c r="AA880" t="inlineStr">
        <is>
          <t>dillon7@llnl.gov</t>
        </is>
      </c>
      <c r="AB880" t="inlineStr">
        <is>
          <t>Liu, Hai-Ying/P-5557-2014</t>
        </is>
      </c>
      <c r="AC880" t="inlineStr">
        <is>
          <t>Liu, Hai-Ying/0000-0001-8667-3465</t>
        </is>
      </c>
      <c r="AD880" t="inlineStr">
        <is>
          <t>US Department of Homeland Security; DOE Office of Science through the National Virtual Biotechnology Laboratory; Coronavirus CARES Act; U.S. Department of Energy by Lawrence Livermore National Laboratory [DE-AC52-07NA27344]; Lawrence Berkeley National Laboratory [DE-AC02-05CH11231]; agency of the United States government</t>
        </is>
      </c>
      <c r="AE880" t="inlineStr">
        <is>
          <t>US Department of Homeland Security(United States Department of Homeland Security (DHS)); DOE Office of Science through the National Virtual Biotechnology Laboratory(United States Department of Energy (DOE)); Coronavirus CARES Act; U.S. Department of Energy by Lawrence Livermore National Laboratory(United States Department of Energy (DOE)); Lawrence Berkeley National Laboratory(United States Department of Energy (DOE)); agency of the United States government</t>
        </is>
      </c>
      <c r="AF880" t="inlineStr">
        <is>
          <t>Financial support was provided, in part, by US Department of Homeland Security for early related efforts and, in part, by the DOE Office of Science through the National Virtual Biotechnology Laboratory, a consortium of DOE national laboratories focused on response to COVID-19, with funding provided by the Coronavirus CARES Act.; This work was performed under the auspices of the U.S. Department of Energy by Lawrence Livermore National Laboratory under Contract DE-AC52-07NA27344 and by Lawrence Berkeley National Laboratory under Contract DE-AC02-05CH11231 (Building Technologies Program).; This document was prepared as an account of work sponsored by an agency of the United States government. Neither the United States government nor Lawrence Livermore National Security, LLC, nor any of their employees makes any warranty, expressed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Lawrence Livermore National Security, LLC. The views and opinions of authors expressed herein do not necessarily state or reflect those of the United States government or Lawrence Livermore National Security, LLC, and shall not be used for advertising or product endorsement purposes.</t>
        </is>
      </c>
      <c r="AH880" t="n">
        <v>96</v>
      </c>
      <c r="AI880" t="n">
        <v>1</v>
      </c>
      <c r="AJ880" t="n">
        <v>1</v>
      </c>
      <c r="AK880" t="n">
        <v>0</v>
      </c>
      <c r="AL880" t="n">
        <v>11</v>
      </c>
      <c r="AM880" t="inlineStr">
        <is>
          <t>PERGAMON-ELSEVIER SCIENCE LTD</t>
        </is>
      </c>
      <c r="AN880" t="inlineStr">
        <is>
          <t>OXFORD</t>
        </is>
      </c>
      <c r="AO880" t="inlineStr">
        <is>
          <t>THE BOULEVARD, LANGFORD LANE, KIDLINGTON, OXFORD OX5 1GB, ENGLAND</t>
        </is>
      </c>
      <c r="AP880" t="inlineStr">
        <is>
          <t>1352-2310</t>
        </is>
      </c>
      <c r="AQ880" t="inlineStr">
        <is>
          <t>1873-2844</t>
        </is>
      </c>
      <c r="AS880" t="inlineStr">
        <is>
          <t>ATMOS ENVIRON</t>
        </is>
      </c>
      <c r="AT880" t="inlineStr">
        <is>
          <t>Atmos. Environ.</t>
        </is>
      </c>
      <c r="AU880" t="inlineStr">
        <is>
          <t>JAN 1</t>
        </is>
      </c>
      <c r="AV880" t="n">
        <v>2022</v>
      </c>
      <c r="AW880" t="n">
        <v>268</v>
      </c>
      <c r="BE880" t="n">
        <v>118773</v>
      </c>
      <c r="BF880" t="inlineStr">
        <is>
          <t>10.1016/j.atmosenv.2021.118773</t>
        </is>
      </c>
      <c r="BG880">
        <f>HYPERLINK("http://dx.doi.org/10.1016/j.atmosenv.2021.118773","http://dx.doi.org/10.1016/j.atmosenv.2021.118773")</f>
        <v/>
      </c>
      <c r="BI880" t="inlineStr">
        <is>
          <t>OCT 2021</t>
        </is>
      </c>
      <c r="BJ880" t="n">
        <v>13</v>
      </c>
      <c r="BK880" t="inlineStr">
        <is>
          <t>Environmental Sciences; Meteorology &amp; Atmospheric Sciences</t>
        </is>
      </c>
      <c r="BL880" t="inlineStr">
        <is>
          <t>Science Citation Index Expanded (SCI-EXPANDED)</t>
        </is>
      </c>
      <c r="BM880" t="inlineStr">
        <is>
          <t>Environmental Sciences &amp; Ecology; Meteorology &amp; Atmospheric Sciences</t>
        </is>
      </c>
      <c r="BN880" t="inlineStr">
        <is>
          <t>WS2ZX</t>
        </is>
      </c>
      <c r="BP880" t="inlineStr">
        <is>
          <t>hybrid, Green Submitted</t>
        </is>
      </c>
      <c r="BS880" t="inlineStr">
        <is>
          <t>2023-10-26</t>
        </is>
      </c>
      <c r="BT880" t="inlineStr">
        <is>
          <t>WOS:000715056400002</t>
        </is>
      </c>
      <c r="BU880">
        <f>HYPERLINK("https%3A%2F%2Fwww.webofscience.com%2Fwos%2Fwoscc%2Ffull-record%2FWOS:000715056400002","View Full Record in Web of Science")</f>
        <v/>
      </c>
    </row>
    <row r="881">
      <c r="A881" t="inlineStr">
        <is>
          <t>J</t>
        </is>
      </c>
      <c r="B881" t="inlineStr">
        <is>
          <t>Godini, H; Noorisepehr, M; Tarrahi, MJ; Khosravi, Y; Mohammadyan, M</t>
        </is>
      </c>
      <c r="F881" t="inlineStr">
        <is>
          <t>Godini, Hatam; Noorisepehr, Mohammad; Tarrahi, Mohammad Javad; Khosravi, Yahya; Mohammadyan, Mahmoud</t>
        </is>
      </c>
      <c r="J881" t="inlineStr">
        <is>
          <t>ENVIRONMENTAL ENGINEERING AND MANAGEMENT JOURNAL</t>
        </is>
      </c>
      <c r="M881" t="inlineStr">
        <is>
          <t>English</t>
        </is>
      </c>
      <c r="N881" t="inlineStr">
        <is>
          <t>Article</t>
        </is>
      </c>
      <c r="T881" t="inlineStr">
        <is>
          <t>ASSESSMENT OF INDOOR AND OUTDOOR PARTICULATE MATTERS IN RESIDENTIAL AREAS: THE EFFECTS OF CLIMATIC CONDITIONS AND BUILDING CHARACTERISTICS</t>
        </is>
      </c>
      <c r="U881" t="inlineStr">
        <is>
          <t>indoor air; outdoor air; outdoor temperature; particulate matters; regression model; ventilation mode</t>
        </is>
      </c>
      <c r="V881" t="inlineStr">
        <is>
          <t>ULTRAFINE PARTICLES; HUMAN EXPOSURE; AIR-QUALITY; FINE; PM2.5; INFILTRATION; EMISSIONS; NUMBER; MODEL; RATIO</t>
        </is>
      </c>
      <c r="W881" t="inlineStr">
        <is>
          <t>The aim of this study was to assess the indoor and outdoor particulate matters in residential areas, and to evaluate the effects of building characteristics and climatic conditions on indoor particle concentrations. The concentration of particles was measured simultaneously indoor and outdoor air during four seasons. Information on climatic conditions and building characteristics was collected through questionnaires during the sampling period. Linear regression models were adopted for determining the relationship between the dependent variable of I/O ratio and environmental factors. The I/O ratios of PM1, PM2.5, PM4, PM7, and PM10 were 0.67, 0.64, 0.61, 0.55, and 0.52, respectively. Moreover, the concentration of PM in the indoor air of the buildings were considerably lower than those of the outdoors (p&lt;0.05). The results also suggest the ventilation mode and outside temperature had the most important role in the entrance of particles into the indoor environment.</t>
        </is>
      </c>
      <c r="X881" t="inlineStr">
        <is>
          <t>[Godini, Hatam; Noorisepehr, Mohammad] Alborz Univ Med Sci, Sch Hlth, Dept Environm Hlth Engn, Karaj, Iran; [Godini, Hatam; Noorisepehr, Mohammad; Khosravi, Yahya] Alborz Univ Med Sci, Res Ctr Hlth Safety &amp; Environm, Karaj, Iran; [Tarrahi, Mohammad Javad] Isfahan Univ Med Sci, Sch Hlth, Dept Epidemiol &amp; Biostat, Esfahan, Iran; [Khosravi, Yahya] Alborz Univ Med Sci, Sch Hlth, Dept Occupat Hlth &amp; Safety Engn, Karaj, Iran; [Mohammadyan, Mahmoud] Mazandaran Univ Med Sci, Hlth Sci Res Ctr, Addict Inst, Sari, Iran</t>
        </is>
      </c>
      <c r="Y881" t="inlineStr">
        <is>
          <t>Isfahan University Medical Science; Mazandaran University Medical Sciences</t>
        </is>
      </c>
      <c r="Z881" t="inlineStr">
        <is>
          <t>Godini, H (corresponding author), Alborz Univ Med Sci, Sch Hlth, Dept Environm Hlth Engn, Karaj, Iran.;Godini, H (corresponding author), Alborz Univ Med Sci, Res Ctr Hlth Safety &amp; Environm, Karaj, Iran.</t>
        </is>
      </c>
      <c r="AA881" t="inlineStr">
        <is>
          <t>Godini_h@yahoo.com</t>
        </is>
      </c>
      <c r="AB881" t="inlineStr">
        <is>
          <t>Mohammadyan, Mahmoud/F-2774-2017</t>
        </is>
      </c>
      <c r="AC881" t="inlineStr">
        <is>
          <t>Mohammadyan, Mahmoud/0000-0003-1830-6545; Khosravi, Yahya/0000-0001-6431-308X</t>
        </is>
      </c>
      <c r="AD881" t="inlineStr">
        <is>
          <t>Alboz University of Medical Sciences [1394-01-05-1155]</t>
        </is>
      </c>
      <c r="AE881" t="inlineStr">
        <is>
          <t>Alboz University of Medical Sciences</t>
        </is>
      </c>
      <c r="AF881" t="inlineStr">
        <is>
          <t>The authors gratefully acknowledge the financial support from the Alboz University of Medical Sciences (Research Code: 1394-01-05-1155).</t>
        </is>
      </c>
      <c r="AH881" t="n">
        <v>43</v>
      </c>
      <c r="AI881" t="n">
        <v>1</v>
      </c>
      <c r="AJ881" t="n">
        <v>1</v>
      </c>
      <c r="AK881" t="n">
        <v>1</v>
      </c>
      <c r="AL881" t="n">
        <v>6</v>
      </c>
      <c r="AM881" t="inlineStr">
        <is>
          <t>GH ASACHI TECHNICAL UNIV IASI</t>
        </is>
      </c>
      <c r="AN881" t="inlineStr">
        <is>
          <t>IASI</t>
        </is>
      </c>
      <c r="AO881" t="inlineStr">
        <is>
          <t>71 MANGERON BLVD, IASI, 700050, ROMANIA</t>
        </is>
      </c>
      <c r="AP881" t="inlineStr">
        <is>
          <t>1582-9596</t>
        </is>
      </c>
      <c r="AQ881" t="inlineStr">
        <is>
          <t>1843-3707</t>
        </is>
      </c>
      <c r="AS881" t="inlineStr">
        <is>
          <t>ENVIRON ENG MANAG J</t>
        </is>
      </c>
      <c r="AT881" t="inlineStr">
        <is>
          <t>Environ. Eng. Manag. J.</t>
        </is>
      </c>
      <c r="AU881" t="inlineStr">
        <is>
          <t>MAY</t>
        </is>
      </c>
      <c r="AV881" t="n">
        <v>2021</v>
      </c>
      <c r="AW881" t="n">
        <v>20</v>
      </c>
      <c r="AX881" t="n">
        <v>5</v>
      </c>
      <c r="BC881" t="n">
        <v>853</v>
      </c>
      <c r="BD881" t="n">
        <v>862</v>
      </c>
      <c r="BJ881" t="n">
        <v>10</v>
      </c>
      <c r="BK881" t="inlineStr">
        <is>
          <t>Environmental Sciences</t>
        </is>
      </c>
      <c r="BL881" t="inlineStr">
        <is>
          <t>Science Citation Index Expanded (SCI-EXPANDED)</t>
        </is>
      </c>
      <c r="BM881" t="inlineStr">
        <is>
          <t>Environmental Sciences &amp; Ecology</t>
        </is>
      </c>
      <c r="BN881" t="inlineStr">
        <is>
          <t>TB2NT</t>
        </is>
      </c>
      <c r="BS881" t="inlineStr">
        <is>
          <t>2023-10-26</t>
        </is>
      </c>
      <c r="BT881" t="inlineStr">
        <is>
          <t>WOS:000667785000016</t>
        </is>
      </c>
      <c r="BU881">
        <f>HYPERLINK("https%3A%2F%2Fwww.webofscience.com%2Fwos%2Fwoscc%2Ffull-record%2FWOS:000667785000016","View Full Record in Web of Science")</f>
        <v/>
      </c>
    </row>
    <row r="882">
      <c r="A882" t="inlineStr">
        <is>
          <t>J</t>
        </is>
      </c>
      <c r="B882" t="inlineStr">
        <is>
          <t>Othman, M; Latif, MT; Naim, NNM; Zain, SMSM; Khan, MF; Sahani, M; Wahab, MIA; Sofwan, NM; Abd Hamid, HH; Mohamed, AF</t>
        </is>
      </c>
      <c r="F882" t="inlineStr">
        <is>
          <t>Othman, Murnira; Latif, Mohd Talib; Naim, Nur Nadrah Mohd; Zain, Sharifah Mazrah Sayed Mohamed; Khan, Md Firoz; Sahani, Mazrura; Wahab, Muhammad Ikram A.; Sofwan, Nurzawani Md; Abd Hamid, Haris Hafizal; Mohamed, Ahmad Fariz</t>
        </is>
      </c>
      <c r="J882" t="inlineStr">
        <is>
          <t>ATMOSPHERIC ENVIRONMENT</t>
        </is>
      </c>
      <c r="M882" t="inlineStr">
        <is>
          <t>English</t>
        </is>
      </c>
      <c r="N882" t="inlineStr">
        <is>
          <t>Article</t>
        </is>
      </c>
      <c r="T882" t="inlineStr">
        <is>
          <t>Children's exposure to PM2.5 and its chemical constituents in indoor and outdoor schools urban environment</t>
        </is>
      </c>
      <c r="U882" t="inlineStr">
        <is>
          <t>PM2.5 ; School children; Chemical composition; Indoor; Outdoor</t>
        </is>
      </c>
      <c r="V882" t="inlineStr">
        <is>
          <t>POLYCYCLIC AROMATIC-HYDROCARBONS; HEALTH-RISK ASSESSMENT; SOURCE APPORTIONMENT; PARTICULATE MATTER; AIR-QUALITY; ELEMENTAL COMPOSITION; IMPACT; PM10; PAHS; CITY</t>
        </is>
      </c>
      <c r="W882" t="inlineStr">
        <is>
          <t>A school environment with good indoor air quality contributes to the children's performance and learning efficacy. This study aims to determine indoor and outdoor PM2.5 concentrations in school environments and its possible sources and exposure levels. Daily measurements of PM2.5 samples were collected for 24 h using low volume samplers from 19 primary schools in densely populated areas of Kuala Lumpur. Chemical species of the PM2.5 were determined for trace metals, water soluble inorganic ions (WSII) and polycyclic aromatic hydrocarbons (PAHs) for both indoor and outdoor. The results showed that classroom indoor PM2.5 levels had an average concentration of 42.0 +/- 23.1 mu g m(-3), which was not much different from outdoor levels, which have an average concentration of 39.9 +/- 21.9 mu g m(-3). However, there was a significant difference between indoor and outdoor chemical constituents for Fe, Zn, Cu, Mn, Na+, B[b]F and B[a]P (p &lt; 0.05). The major components of PM2.5 mass indoors and outdoors were SO42-(3.9% and 3.6%) and NO3- (2.4% and 2.4%), respectively. The results from Positive Matrix Factorization (PMF) identified building materials (34%) as the major source for indoors, while secondary pollutants (38%) were identified as the major source for outdoors. Hazard quotient (HQ) values for all metals were &lt; 1 indicated low non-carcinogenic risk to school children, while the excess lifetime cancer risk (ELCR) values were in the sequence of Cr &gt; Ni &gt; Cd &gt; Pb. Overall, PM2.5 concentrations impacted the air quality in schools and posed health risks to children, which means measures need to be taken to reduce PM2.5 pollution in school environments.</t>
        </is>
      </c>
      <c r="X882" t="inlineStr">
        <is>
          <t>[Othman, Murnira; Mohamed, Ahmad Fariz] Univ Kebangsaan Malaysia, Inst Environm &amp; Dev LESTARI, Bangi 43600, Selangor, Malaysia; [Othman, Murnira; Sahani, Mazrura; Wahab, Muhammad Ikram A.] Univ Kebangsaan Malaysia, Fac Hlth Sci, Ctr Toxicol &amp; Hlth Risk Studies CORE, Jalan Raja Muda Abdul Aziz, Kuala Lumpur 50300, Malaysia; [Latif, Mohd Talib; Naim, Nur Nadrah Mohd; Sofwan, Nurzawani Md; Abd Hamid, Haris Hafizal] Univ Kebangsaan Malaysia, Fac Sci &amp; Technol, Dept Earth Sci &amp; Environm, Bangi 43600, Selangor, Malaysia; [Zain, Sharifah Mazrah Sayed Mohamed] NIH, Inst Med Res, Minist Hlth Malaysia, Environm Hlth Res Ctr, Shah Alam 40170, Selangor, Malaysia; [Khan, Md Firoz] Univ Malaya, Fac Sci, Dept Chem, Kuala Lumpur 50603, Malaysia; [Sofwan, Nurzawani Md] Univ Teknol MARA, Fac Hlth Sci, Dept Environm Hlth, Sarawak Branch, Samarahan Campus, Kota Samarahan 94300, Sarawak, Malaysia</t>
        </is>
      </c>
      <c r="Y882" t="inlineStr">
        <is>
          <t>Universiti Kebangsaan Malaysia; Universiti Kebangsaan Malaysia; Universiti Kebangsaan Malaysia; Kementerian Kesihatan Malaysia; Universiti Malaya; Universiti Teknologi MARA</t>
        </is>
      </c>
      <c r="Z882" t="inlineStr">
        <is>
          <t>Othman, M (corresponding author), Univ Kebangsaan Malaysia, Inst Environm &amp; Dev LESTARI, Bangi 43600, Selangor, Malaysia.;Othman, M (corresponding author), Univ Kebangsaan Malaysia, Fac Hlth Sci, Ctr Toxicol &amp; Hlth Risk Studies CORE, Jalan Raja Muda Abdul Aziz, Kuala Lumpur 50300, Malaysia.</t>
        </is>
      </c>
      <c r="AA882" t="inlineStr">
        <is>
          <t>murnira@ukm.edu.my</t>
        </is>
      </c>
      <c r="AB882" t="inlineStr">
        <is>
          <t>Sofwan, Nurzawani Md/AAY-5275-2020; Latif, Mohd Talib/E-9560-2010; Mazrah, Sharifah/JEP-4369-2023; Hamid, Haris Hafizal Abd/JGL-9978-2023; Khan, Md Firoz/I-6065-2013</t>
        </is>
      </c>
      <c r="AC882" t="inlineStr">
        <is>
          <t>Sofwan, Nurzawani Md/0000-0001-9497-8170; Latif, Mohd Talib/0000-0003-2339-3321; Khan, Md Firoz/0000-0003-3567-9634; Mohamed, Ahmad Fariz/0000-0002-0018-3092</t>
        </is>
      </c>
      <c r="AD882" t="inlineStr">
        <is>
          <t>Universiti Kebangsaan Malaysia; Ministry of Higher Education [FRGS/1/2015/WAB03/UKM/01/1]; UNICEF [NN-2020-041]</t>
        </is>
      </c>
      <c r="AE882" t="inlineStr">
        <is>
          <t>Universiti Kebangsaan Malaysia; Ministry of Higher Education(Science and Technology Development Fund (STDF)Ministry of Higher Education &amp; Scientific Research (MHESR)); UNICEF</t>
        </is>
      </c>
      <c r="AF882" t="inlineStr">
        <is>
          <t>This study was funded by Universiti Kebangsaan Malaysia and Ministry of Higher Education under research grant FRGS/1/2015/WAB03/UKM/01/1. Special thanks to UNICEF for encouragement of children related studies under research grant (NN-2020-041) and Institute for Medical Research, Ministry of Health Malaysia for the encouragement of PM2.5 research. Sincere appreciation to Dr. Noorlin Mohamed and Assoc. Prof. Dr Nurul Bahiyah Abdul Wahid for instrument analyses and to Dr Rose Norman for proofreading this manuscript.</t>
        </is>
      </c>
      <c r="AH882" t="n">
        <v>66</v>
      </c>
      <c r="AI882" t="n">
        <v>5</v>
      </c>
      <c r="AJ882" t="n">
        <v>5</v>
      </c>
      <c r="AK882" t="n">
        <v>3</v>
      </c>
      <c r="AL882" t="n">
        <v>25</v>
      </c>
      <c r="AM882" t="inlineStr">
        <is>
          <t>PERGAMON-ELSEVIER SCIENCE LTD</t>
        </is>
      </c>
      <c r="AN882" t="inlineStr">
        <is>
          <t>OXFORD</t>
        </is>
      </c>
      <c r="AO882" t="inlineStr">
        <is>
          <t>THE BOULEVARD, LANGFORD LANE, KIDLINGTON, OXFORD OX5 1GB, ENGLAND</t>
        </is>
      </c>
      <c r="AP882" t="inlineStr">
        <is>
          <t>1352-2310</t>
        </is>
      </c>
      <c r="AQ882" t="inlineStr">
        <is>
          <t>1873-2844</t>
        </is>
      </c>
      <c r="AS882" t="inlineStr">
        <is>
          <t>ATMOS ENVIRON</t>
        </is>
      </c>
      <c r="AT882" t="inlineStr">
        <is>
          <t>Atmos. Environ.</t>
        </is>
      </c>
      <c r="AU882" t="inlineStr">
        <is>
          <t>MAR 15</t>
        </is>
      </c>
      <c r="AV882" t="n">
        <v>2022</v>
      </c>
      <c r="AW882" t="n">
        <v>273</v>
      </c>
      <c r="BE882" t="n">
        <v>118963</v>
      </c>
      <c r="BF882" t="inlineStr">
        <is>
          <t>10.1016/j.atmosenv.2022.118963</t>
        </is>
      </c>
      <c r="BG882">
        <f>HYPERLINK("http://dx.doi.org/10.1016/j.atmosenv.2022.118963","http://dx.doi.org/10.1016/j.atmosenv.2022.118963")</f>
        <v/>
      </c>
      <c r="BI882" t="inlineStr">
        <is>
          <t>JAN 2022</t>
        </is>
      </c>
      <c r="BJ882" t="n">
        <v>11</v>
      </c>
      <c r="BK882" t="inlineStr">
        <is>
          <t>Environmental Sciences; Meteorology &amp; Atmospheric Sciences</t>
        </is>
      </c>
      <c r="BL882" t="inlineStr">
        <is>
          <t>Science Citation Index Expanded (SCI-EXPANDED)</t>
        </is>
      </c>
      <c r="BM882" t="inlineStr">
        <is>
          <t>Environmental Sciences &amp; Ecology; Meteorology &amp; Atmospheric Sciences</t>
        </is>
      </c>
      <c r="BN882" t="inlineStr">
        <is>
          <t>0V3UF</t>
        </is>
      </c>
      <c r="BS882" t="inlineStr">
        <is>
          <t>2023-10-26</t>
        </is>
      </c>
      <c r="BT882" t="inlineStr">
        <is>
          <t>WOS:000788270400006</t>
        </is>
      </c>
      <c r="BU882">
        <f>HYPERLINK("https%3A%2F%2Fwww.webofscience.com%2Fwos%2Fwoscc%2Ffull-record%2FWOS:000788270400006","View Full Record in Web of Science")</f>
        <v/>
      </c>
    </row>
    <row r="883">
      <c r="A883" t="inlineStr">
        <is>
          <t>J</t>
        </is>
      </c>
      <c r="B883" t="inlineStr">
        <is>
          <t>Blok, M; Groot, B; Huijg, JM; de Boer, AH</t>
        </is>
      </c>
      <c r="F883" t="inlineStr">
        <is>
          <t>Blok, Marije; Groot, Barbara; Huijg, Johanna M.; de Boer, Alice H.</t>
        </is>
      </c>
      <c r="J883" t="inlineStr">
        <is>
          <t>INTERNATIONAL JOURNAL OF ENVIRONMENTAL RESEARCH AND PUBLIC HEALTH</t>
        </is>
      </c>
      <c r="M883" t="inlineStr">
        <is>
          <t>English</t>
        </is>
      </c>
      <c r="N883" t="inlineStr">
        <is>
          <t>Article</t>
        </is>
      </c>
      <c r="T883" t="inlineStr">
        <is>
          <t>Older Adults' Engagement in Residential Care: Pitfalls, Potentials, and the Role of ICTs</t>
        </is>
      </c>
      <c r="U883" t="inlineStr">
        <is>
          <t>engagement; residential care; long-term care; older adults; ICTs</t>
        </is>
      </c>
      <c r="V883" t="inlineStr">
        <is>
          <t>CENTERED CARE; PERSPECTIVES; DEMENTIA</t>
        </is>
      </c>
      <c r="W883" t="inlineStr">
        <is>
          <t>Over the previous years, the residential care sector has gone through a transition from a rather paternalistic approach towards a more democratic way of caregiving. Nevertheless, many care organizations still find it challenging to engage their residents in the process of care. In this study, we investigated the challenges regarding the engagement of older adults in residential care. As recent studies indicated the increasing opportunities of ICTs, we paid particular attention to this in the process of engagement. We followed a participatory action research approach among caregivers and older adults at a somatic care department in a care residence in the Netherlands. Methods used included 15 participants in two homogeneous group sessions, reflections on action in practice, and one mixed focus group. Our findings show that both caregivers and older adults acknowledge the importance of engagement in daily care. However, their different perspectives on how this should take place, made the actual engagement of older adults a challenge. We determined three dilemmas complicating this engagement in care, and labeled these (1) autonomy versus dependence; (2) personal experiences versus privacy; and (3) happiness versus honesty. We found different ways of how caregivers and older adults deal with these dilemma's in practice and defined these in terms of pitfalls and potentials. ICTs were shown to reinforce both the pitfalls and potentials. Paying attention to these challenges in residential care, including how caregivers and older adults deal with these challenges, will encourage a mutual understanding and actual engagement in decisions on daily care. Further research is recommended on the role of organizations' management, older adults' relatives, or older adults with cognitive impairments.</t>
        </is>
      </c>
      <c r="X883" t="inlineStr">
        <is>
          <t>[Blok, Marije; Groot, Barbara; Huijg, Johanna M.] Leyden Acad Vital &amp; Ageing, Rijnsburgerweg 10, NL-2333 AA Leiden, Netherlands; [Blok, Marije; de Boer, Alice H.] Vrije Univ Amsterdam, Fac Social Sci, Boelelaan 1081, NL-1081 HV Amsterdam, Netherlands; [Groot, Barbara; Huijg, Johanna M.] Leiden Univ, Med Ctr, Dept Publ Hlth Eerstelijnsgeneeskunde, Albinusdreef 2, NL-2333 AA Leiden, Netherlands; [de Boer, Alice H.] Netherlands Inst Social Sci, SCP, Bezuidenhoutseweg 30, NL-2594 AV The Hague, Netherlands</t>
        </is>
      </c>
      <c r="Y883" t="inlineStr">
        <is>
          <t>Vrije Universiteit Amsterdam; Leiden University - Excl LUMC; Leiden University; Leiden University Medical Center (LUMC)</t>
        </is>
      </c>
      <c r="Z883" t="inlineStr">
        <is>
          <t>Blok, M (corresponding author), Leyden Acad Vital &amp; Ageing, Rijnsburgerweg 10, NL-2333 AA Leiden, Netherlands.;Blok, M (corresponding author), Vrije Univ Amsterdam, Fac Social Sci, Boelelaan 1081, NL-1081 HV Amsterdam, Netherlands.</t>
        </is>
      </c>
      <c r="AA883" t="inlineStr">
        <is>
          <t>blok@leydenacademy.nl; groot@leydenacademy.nl; huijg@leydenacademy.nl; a.de.boer@scp.nl</t>
        </is>
      </c>
      <c r="AC883" t="inlineStr">
        <is>
          <t>Groot, Barbara/0000-0001-7495-3048; Blok, Marije/0000-0001-6467-5590</t>
        </is>
      </c>
      <c r="AH883" t="n">
        <v>30</v>
      </c>
      <c r="AI883" t="n">
        <v>1</v>
      </c>
      <c r="AJ883" t="n">
        <v>1</v>
      </c>
      <c r="AK883" t="n">
        <v>0</v>
      </c>
      <c r="AL883" t="n">
        <v>5</v>
      </c>
      <c r="AM883" t="inlineStr">
        <is>
          <t>MDPI</t>
        </is>
      </c>
      <c r="AN883" t="inlineStr">
        <is>
          <t>BASEL</t>
        </is>
      </c>
      <c r="AO883" t="inlineStr">
        <is>
          <t>ST ALBAN-ANLAGE 66, CH-4052 BASEL, SWITZERLAND</t>
        </is>
      </c>
      <c r="AQ883" t="inlineStr">
        <is>
          <t>1660-4601</t>
        </is>
      </c>
      <c r="AS883" t="inlineStr">
        <is>
          <t>INT J ENV RES PUB HE</t>
        </is>
      </c>
      <c r="AT883" t="inlineStr">
        <is>
          <t>Int. J. Environ. Res. Public Health</t>
        </is>
      </c>
      <c r="AU883" t="inlineStr">
        <is>
          <t>MAR</t>
        </is>
      </c>
      <c r="AV883" t="n">
        <v>2022</v>
      </c>
      <c r="AW883" t="n">
        <v>19</v>
      </c>
      <c r="AX883" t="n">
        <v>5</v>
      </c>
      <c r="BE883" t="n">
        <v>2876</v>
      </c>
      <c r="BF883" t="inlineStr">
        <is>
          <t>10.3390/ijerph19052876</t>
        </is>
      </c>
      <c r="BG883">
        <f>HYPERLINK("http://dx.doi.org/10.3390/ijerph19052876","http://dx.doi.org/10.3390/ijerph19052876")</f>
        <v/>
      </c>
      <c r="BJ883" t="n">
        <v>14</v>
      </c>
      <c r="BK883" t="inlineStr">
        <is>
          <t>Environmental Sciences; Public, Environmental &amp; Occupational Health</t>
        </is>
      </c>
      <c r="BL883" t="inlineStr">
        <is>
          <t>Science Citation Index Expanded (SCI-EXPANDED); Social Science Citation Index (SSCI)</t>
        </is>
      </c>
      <c r="BM883" t="inlineStr">
        <is>
          <t>Environmental Sciences &amp; Ecology; Public, Environmental &amp; Occupational Health</t>
        </is>
      </c>
      <c r="BN883" t="inlineStr">
        <is>
          <t>ZT8OE</t>
        </is>
      </c>
      <c r="BO883" t="n">
        <v>35270570</v>
      </c>
      <c r="BP883" t="inlineStr">
        <is>
          <t>Green Published, gold</t>
        </is>
      </c>
      <c r="BS883" t="inlineStr">
        <is>
          <t>2023-10-26</t>
        </is>
      </c>
      <c r="BT883" t="inlineStr">
        <is>
          <t>WOS:000769408900001</t>
        </is>
      </c>
      <c r="BU883">
        <f>HYPERLINK("https%3A%2F%2Fwww.webofscience.com%2Fwos%2Fwoscc%2Ffull-record%2FWOS:000769408900001","View Full Record in Web of Science")</f>
        <v/>
      </c>
    </row>
    <row r="884">
      <c r="A884" t="inlineStr">
        <is>
          <t>J</t>
        </is>
      </c>
      <c r="B884" t="inlineStr">
        <is>
          <t>Yao, Y; Jin, XR; Cao, KX; Zhao, MH; Zhu, TL; Zhang, JF; Zeng, Y</t>
        </is>
      </c>
      <c r="F884" t="inlineStr">
        <is>
          <t>Yao, Yao; Jin, Xurui; Cao, Kaixi; Zhao, Minghao; Zhu, Tinglong; Zhang (Jim), Junfeng; Zeng, Yi</t>
        </is>
      </c>
      <c r="J884" t="inlineStr">
        <is>
          <t>SCIENCE OF THE TOTAL ENVIRONMENT</t>
        </is>
      </c>
      <c r="M884" t="inlineStr">
        <is>
          <t>English</t>
        </is>
      </c>
      <c r="N884" t="inlineStr">
        <is>
          <t>Article</t>
        </is>
      </c>
      <c r="T884" t="inlineStr">
        <is>
          <t>Residential proximity to major roadways and cognitive function among Chinese adults 65 years and older</t>
        </is>
      </c>
      <c r="U884" t="inlineStr">
        <is>
          <t>Cognitive function; Major roadway; Traffic exposure; Older adults; CLHLS</t>
        </is>
      </c>
      <c r="V884" t="inlineStr">
        <is>
          <t>AIR-POLLUTION EXPOSURE; TRAFFIC NOISE; LUNG-FUNCTION; ASSOCIATION; ATHEROSCLEROSIS; IMPAIRMENT; MORTALITY; DEMENTIA; DISEASE</t>
        </is>
      </c>
      <c r="W884" t="inlineStr">
        <is>
          <t>Emerging evidence in North America and Europe suggests that traffic-related air pollution (TRAP) adversely affects cognition. However, little is known about this relationship in people living in low- and middle-income countries (LMICs). It is also unknown whether indoor air pollution can modify the effect of TRAP. We derived data from the Chinese Longitudinal Healthy Longevity Survey (CLHLS), a prospective cohort study, including 11.187 individuals of 82.0 years old (53.9% female). We ascertained residential proximity to major roadways based on self-reports and assessed cognitive function using the Mini-Mental State Examination (MMSE). We used cooking fuel type and home ventilation as proxies for indoor air pollution. We examined the associations between major road proximity and cognitive impairment using multivariable logistic regressions, controlling for demographic, lifestyle, socioeconomic status, and chronic conditions. We did subgroup analyses and assessed the potential interaction effect. The prevalence of cognitive impairment was 33.4%. The adjusted odds ratios of cognitive impairment were 120 (1.05, 1.35), 126 (1.09,1.46), 0.99 (0.84, 1.17), and 1.05 (0.88,1.25) for individuals living &lt;50 m, 50-100 m, 101-200 m, and 201-300 m compared to those living &gt;300 m from a major roadway. In dichotomized analyses, the risk (OR) associated with living closer to roadways was greater in participants who did not implement any ventilation during cooking (compared to those using natural or mechanical ventilation, 1.86 [1.31-2.65] vs. 1.16 [1.03-1.26], P for interaction = 0.001) and in solid fuel users (compared to clean fuel users, 1.37 [1.13-1.67] vs. 1.13 [1.04-1211, P for interaction = 0.028). The associations were robust in a set of sensitivity analyses. The results suggested that living closer to major roadways was associated with an increased risk for cognitive impairment in older adults in China, indicating an adverse TRAP effect. Indoor air pollution appeared to enhance the TRAP effect synergistically. (C) 2020 Elsevier B.V. All rights reserved.</t>
        </is>
      </c>
      <c r="X884" t="inlineStr">
        <is>
          <t>[Yao, Yao; Zeng, Yi] Peking Univ, Natl Sch Dev, Raissun Inst Adv Studies, Ctr Hlth Aging &amp; Dev Studies, Beijing, Peoples R China; [Yao, Yao; Zeng, Yi] Duke Univ, Med Sch, Ctr Study Aging &amp; Human Dev, Durham, NC USA; [Yao, Yao; Zeng, Yi] Duke Univ, Med Sch, Geriatr Div, Durham, NC USA; [Jin, Xurui; Cao, Kaixi; Zhu, Tinglong] Duke Kunshan Univ, Global Hlth Res Ctr, 8 Duke Ave, Kunshan, Jiangsu, Peoples R China; [Zhao, Minghao] Peking Univ, Hlth Sci Ctr, Beijing, Peoples R China; [Zhang (Jim), Junfeng] Duke Univ, Nicholas Sch Environm, Durham, NC 27708 USA; [Zhang (Jim), Junfeng] Duke Univ, Duke Global Hlth Inst, Durham, NC 27708 USA</t>
        </is>
      </c>
      <c r="Y884" t="inlineStr">
        <is>
          <t>Peking University; Duke University; Duke University; Duke Kunshan University; Peking University; Duke University; Duke University</t>
        </is>
      </c>
      <c r="Z884" t="inlineStr">
        <is>
          <t>Zeng, Y (corresponding author), Peking Univ, Natl Sch Dev, Raissun Inst Adv Studies, Ctr Hlth Aging &amp; Dev Studies, Beijing, Peoples R China.;Zhang, JF (corresponding author), Duke Univ, Nicholas Sch Environm, Durham, NC 27708 USA.;Zhang, JF (corresponding author), Duke Univ, Duke Global Hlth Inst, Durham, NC 27708 USA.</t>
        </is>
      </c>
      <c r="AA884" t="inlineStr">
        <is>
          <t>junfeng.zhang@duke.edu; zengyi@nsd.pku.edu.cn</t>
        </is>
      </c>
      <c r="AB884" t="inlineStr">
        <is>
          <t>zhang, junfeng/JHT-7871-2023</t>
        </is>
      </c>
      <c r="AC884" t="inlineStr">
        <is>
          <t>Zhang, Junfeng/0000-0003-3759-6672; Yao, Yao/0000-0002-6723-6152</t>
        </is>
      </c>
      <c r="AD884" t="inlineStr">
        <is>
          <t>National Key Research and Development Program of China [2018YFC2000400]; National Natural Science Foundation of China [81903392, 81941021]; China Postdoctoral Science Foundation [2019M650359]</t>
        </is>
      </c>
      <c r="AE884" t="inlineStr">
        <is>
          <t>National Key Research and Development Program of China; National Natural Science Foundation of China(National Natural Science Foundation of China (NSFC)); China Postdoctoral Science Foundation(China Postdoctoral Science Foundation)</t>
        </is>
      </c>
      <c r="AF884" t="inlineStr">
        <is>
          <t>The research was funded by the National Key Research and Development Program of China (2018YFC2000400), National Natural Science Foundation of China (81903392, 81941021), China Postdoctoral Science Foundation funded project (2019M650359).</t>
        </is>
      </c>
      <c r="AH884" t="n">
        <v>47</v>
      </c>
      <c r="AI884" t="n">
        <v>21</v>
      </c>
      <c r="AJ884" t="n">
        <v>22</v>
      </c>
      <c r="AK884" t="n">
        <v>12</v>
      </c>
      <c r="AL884" t="n">
        <v>59</v>
      </c>
      <c r="AM884" t="inlineStr">
        <is>
          <t>ELSEVIER</t>
        </is>
      </c>
      <c r="AN884" t="inlineStr">
        <is>
          <t>AMSTERDAM</t>
        </is>
      </c>
      <c r="AO884" t="inlineStr">
        <is>
          <t>RADARWEG 29, 1043 NX AMSTERDAM, NETHERLANDS</t>
        </is>
      </c>
      <c r="AP884" t="inlineStr">
        <is>
          <t>0048-9697</t>
        </is>
      </c>
      <c r="AQ884" t="inlineStr">
        <is>
          <t>1879-1026</t>
        </is>
      </c>
      <c r="AS884" t="inlineStr">
        <is>
          <t>SCI TOTAL ENVIRON</t>
        </is>
      </c>
      <c r="AT884" t="inlineStr">
        <is>
          <t>Sci. Total Environ.</t>
        </is>
      </c>
      <c r="AU884" t="inlineStr">
        <is>
          <t>APR 20</t>
        </is>
      </c>
      <c r="AV884" t="n">
        <v>2021</v>
      </c>
      <c r="AW884" t="n">
        <v>766</v>
      </c>
      <c r="BE884" t="n">
        <v>142607</v>
      </c>
      <c r="BF884" t="inlineStr">
        <is>
          <t>10.1016/j.scitotenv.2020.142607</t>
        </is>
      </c>
      <c r="BG884">
        <f>HYPERLINK("http://dx.doi.org/10.1016/j.scitotenv.2020.142607","http://dx.doi.org/10.1016/j.scitotenv.2020.142607")</f>
        <v/>
      </c>
      <c r="BI884" t="inlineStr">
        <is>
          <t>FEB 2021</t>
        </is>
      </c>
      <c r="BJ884" t="n">
        <v>8</v>
      </c>
      <c r="BK884" t="inlineStr">
        <is>
          <t>Environmental Sciences</t>
        </is>
      </c>
      <c r="BL884" t="inlineStr">
        <is>
          <t>Science Citation Index Expanded (SCI-EXPANDED); Social Science Citation Index (SSCI)</t>
        </is>
      </c>
      <c r="BM884" t="inlineStr">
        <is>
          <t>Environmental Sciences &amp; Ecology</t>
        </is>
      </c>
      <c r="BN884" t="inlineStr">
        <is>
          <t>QG6EO</t>
        </is>
      </c>
      <c r="BO884" t="n">
        <v>33097247</v>
      </c>
      <c r="BS884" t="inlineStr">
        <is>
          <t>2023-10-26</t>
        </is>
      </c>
      <c r="BT884" t="inlineStr">
        <is>
          <t>WOS:000617676800033</t>
        </is>
      </c>
      <c r="BU884">
        <f>HYPERLINK("https%3A%2F%2Fwww.webofscience.com%2Fwos%2Fwoscc%2Ffull-record%2FWOS:000617676800033","View Full Record in Web of Science")</f>
        <v/>
      </c>
    </row>
    <row r="885">
      <c r="A885" t="inlineStr">
        <is>
          <t>J</t>
        </is>
      </c>
      <c r="B885" t="inlineStr">
        <is>
          <t>Vojta, S; Betanová, J; Melymuk, L; Komprdová, K; Kohoutek, J; Kukucka, P; Klánová, J</t>
        </is>
      </c>
      <c r="F885" t="inlineStr">
        <is>
          <t>Vojta, Simon; Betanova, Jitka; Melymuk, Lisa; Komprdova, Klara; Kohoutek, Jiri; Kukucka, Petr; Klanova, Jana</t>
        </is>
      </c>
      <c r="J885" t="inlineStr">
        <is>
          <t>CHEMOSPHERE</t>
        </is>
      </c>
      <c r="M885" t="inlineStr">
        <is>
          <t>English</t>
        </is>
      </c>
      <c r="N885" t="inlineStr">
        <is>
          <t>Article</t>
        </is>
      </c>
      <c r="T885" t="inlineStr">
        <is>
          <t>Screening for halogenated flame retardants in European consumer products, building materials and wastes</t>
        </is>
      </c>
      <c r="U885" t="inlineStr">
        <is>
          <t>Building material; Consumer product; Indoor environment; Halogenated flame retardant; Recycled plastic; e-waste</t>
        </is>
      </c>
      <c r="V885" t="inlineStr">
        <is>
          <t>POLYBROMINATED DIPHENYL ETHERS; HOUSE-DUST SAMPLES; INDOOR AIR; FORENSIC MICROSCOPY; DECHLORANE PLUS; HUMAN EXPOSURE; TEST CHAMBER; GREAT-LAKES; PHASE-OUT; HEXABROMOCYCLODODECANE</t>
        </is>
      </c>
      <c r="W885" t="inlineStr">
        <is>
          <t>To fulfill national and international fire safety standards, flame retardants (FRs) are being added to a wide range of consumer products and building materials consisting of flammable materials like plastic, wood and textiles. While the FR composition of some products and materials has been identified in recent years, the limited global coverage of the data and the large diversity in consumer products necessitates more information for an overall picture of the FR composition in common products/materials. To address this issue, 137 individual samples of various consumer products, building materials and wastes were collected. To identify and characterize potential sources of FRs in indoor environment, all samples were analyzed for content of polybrominated diphenyl ethers (PBDEs), hexabromocyclododecanes (HBCDDs) and novel flame retardants (NFRs). The most frequently detected were HBCDDs (85%), with the highest median concentration of M4HBCDDs of 300 mg kg(-1) in polystyrenes. The highest median concentration of Sigma 10PBDEs was found in recycled plastic materials, reaching 4 mg kg-1. The lowest concentrations were observed for NFRs, where the median of Sigma(12)NFRs reached 0.4 mg kg(-1) in the group of electrical &amp; electronic equipment wastes. This suggests that for consumer products and building materials that are currently in-use, legacy compounds still contribute to the overall burden of FRs. Additionally, contrasting patterns of FR composition in recycled and virgin plastics, revealed using principle component analysis (PCA), suggest that legacy flame retardants are reentering the market through recycled products, perpetuating the potential for emissions to indoor environments and thus for human exposure. (C) 2016 Elsevier Ltd. All rights reserved.</t>
        </is>
      </c>
      <c r="X885" t="inlineStr">
        <is>
          <t>[Vojta, Simon; Betanova, Jitka; Melymuk, Lisa; Komprdova, Klara; Kohoutek, Jiri; Kukucka, Petr; Klanova, Jana] Masaryk Univ, Res Ctr Tox Cpds Environm RECETOX, Kamenice 753-5, Brno 62500, Czech Republic</t>
        </is>
      </c>
      <c r="Y885" t="inlineStr">
        <is>
          <t>Masaryk University Brno</t>
        </is>
      </c>
      <c r="Z885" t="inlineStr">
        <is>
          <t>Melymuk, L (corresponding author), Masaryk Univ, Res Ctr Tox Cpds Environm RECETOX, Kamenice 753-5, Brno 62500, Czech Republic.</t>
        </is>
      </c>
      <c r="AA885" t="inlineStr">
        <is>
          <t>melymuk@recetox.muni.cz</t>
        </is>
      </c>
      <c r="AB885" t="inlineStr">
        <is>
          <t>Melymuk, Lisa/AAF-2526-2021; Melymuk, Lisa/H-1061-2017; Klanova, Jana/H-1207-2012; Komprdová, Klára/HJN-3826-2023; Kukucka, Petr/F-7064-2016</t>
        </is>
      </c>
      <c r="AC885" t="inlineStr">
        <is>
          <t>Melymuk, Lisa/0000-0001-6042-7688; Melymuk, Lisa/0000-0001-6042-7688; Klanova, Jana/0000-0002-8818-5307; Kukucka, Petr/0000-0003-1733-8334; Becanova, Jitka/0000-0002-3091-1054; Vojta, Simon/0000-0003-4528-8346</t>
        </is>
      </c>
      <c r="AD885" t="inlineStr">
        <is>
          <t>Czech Ministry of Education, Youth and Sports [LO1214, LM2015051]</t>
        </is>
      </c>
      <c r="AE885" t="inlineStr">
        <is>
          <t>Czech Ministry of Education, Youth and Sports(Ministry of Education, Youth &amp; Sports - Czech Republic)</t>
        </is>
      </c>
      <c r="AF885" t="inlineStr">
        <is>
          <t>The authors thank all volunteers who provided us with the household equipment and building materials and also students (Vera Bacova, Jana Benesova and Hana Liskova) and visiting colleagues from the University of Belgrade (Vesna Antic and Malisa Antic) who helped with sample collection and preparation. This research was supported by the Czech Ministry of Education, Youth and Sports (LO1214 and LM2015051).</t>
        </is>
      </c>
      <c r="AH885" t="n">
        <v>67</v>
      </c>
      <c r="AI885" t="n">
        <v>43</v>
      </c>
      <c r="AJ885" t="n">
        <v>43</v>
      </c>
      <c r="AK885" t="n">
        <v>5</v>
      </c>
      <c r="AL885" t="n">
        <v>115</v>
      </c>
      <c r="AM885" t="inlineStr">
        <is>
          <t>PERGAMON-ELSEVIER SCIENCE LTD</t>
        </is>
      </c>
      <c r="AN885" t="inlineStr">
        <is>
          <t>OXFORD</t>
        </is>
      </c>
      <c r="AO885" t="inlineStr">
        <is>
          <t>THE BOULEVARD, LANGFORD LANE, KIDLINGTON, OXFORD OX5 1GB, ENGLAND</t>
        </is>
      </c>
      <c r="AP885" t="inlineStr">
        <is>
          <t>0045-6535</t>
        </is>
      </c>
      <c r="AQ885" t="inlineStr">
        <is>
          <t>1879-1298</t>
        </is>
      </c>
      <c r="AS885" t="inlineStr">
        <is>
          <t>CHEMOSPHERE</t>
        </is>
      </c>
      <c r="AT885" t="inlineStr">
        <is>
          <t>Chemosphere</t>
        </is>
      </c>
      <c r="AU885" t="inlineStr">
        <is>
          <t>FEB</t>
        </is>
      </c>
      <c r="AV885" t="n">
        <v>2017</v>
      </c>
      <c r="AW885" t="n">
        <v>168</v>
      </c>
      <c r="BC885" t="n">
        <v>457</v>
      </c>
      <c r="BD885" t="n">
        <v>466</v>
      </c>
      <c r="BF885" t="inlineStr">
        <is>
          <t>10.1016/j.chemosphere.2016.11.032</t>
        </is>
      </c>
      <c r="BG885">
        <f>HYPERLINK("http://dx.doi.org/10.1016/j.chemosphere.2016.11.032","http://dx.doi.org/10.1016/j.chemosphere.2016.11.032")</f>
        <v/>
      </c>
      <c r="BJ885" t="n">
        <v>10</v>
      </c>
      <c r="BK885" t="inlineStr">
        <is>
          <t>Environmental Sciences</t>
        </is>
      </c>
      <c r="BL885" t="inlineStr">
        <is>
          <t>Science Citation Index Expanded (SCI-EXPANDED)</t>
        </is>
      </c>
      <c r="BM885" t="inlineStr">
        <is>
          <t>Environmental Sciences &amp; Ecology</t>
        </is>
      </c>
      <c r="BN885" t="inlineStr">
        <is>
          <t>EH6PX</t>
        </is>
      </c>
      <c r="BO885" t="n">
        <v>27855342</v>
      </c>
      <c r="BS885" t="inlineStr">
        <is>
          <t>2023-10-26</t>
        </is>
      </c>
      <c r="BT885" t="inlineStr">
        <is>
          <t>WOS:000391897500055</t>
        </is>
      </c>
      <c r="BU885">
        <f>HYPERLINK("https%3A%2F%2Fwww.webofscience.com%2Fwos%2Fwoscc%2Ffull-record%2FWOS:000391897500055","View Full Record in Web of Science")</f>
        <v/>
      </c>
    </row>
    <row r="886">
      <c r="A886" t="inlineStr">
        <is>
          <t>J</t>
        </is>
      </c>
      <c r="B886" t="inlineStr">
        <is>
          <t>Mitzner, TL; Remillard, ET; Mumma, KT</t>
        </is>
      </c>
      <c r="F886" t="inlineStr">
        <is>
          <t>Mitzner, Tracy L.; Remillard, Elena T.; Mumma, Kara T.</t>
        </is>
      </c>
      <c r="J886" t="inlineStr">
        <is>
          <t>INTERNATIONAL JOURNAL OF ENVIRONMENTAL RESEARCH AND PUBLIC HEALTH</t>
        </is>
      </c>
      <c r="M886" t="inlineStr">
        <is>
          <t>English</t>
        </is>
      </c>
      <c r="N886" t="inlineStr">
        <is>
          <t>Article</t>
        </is>
      </c>
      <c r="T886" t="inlineStr">
        <is>
          <t>Research-Driven Guidelines for Delivering Group Exercise Programs via Videoconferencing to Older Adults</t>
        </is>
      </c>
      <c r="U886" t="inlineStr">
        <is>
          <t>telehealth; telewellness; older adults; mobility disability; exercise; social connectedness</t>
        </is>
      </c>
      <c r="V886" t="inlineStr">
        <is>
          <t>PHYSICAL-ACTIVITY; TAI-CHI; SOCIAL CONNECTEDNESS; PARKINSON DISEASE; PEOPLE; REHABILITATION; INTERVENTIONS; TELEHEALTH; LONELINESS; COMMUNITY</t>
        </is>
      </c>
      <c r="W886" t="inlineStr">
        <is>
          <t>Telehealth holds much potential for supporting older adults' physical and social health. In particular, telewellness interventions to support the physical and social wellness of older adults are needed to overcome participation barriers with in-person programs. This paper presents guidelines for delivering telewellness interventions to older adults, which were informed by a human factors approach to developing a Tele Tai Chi intervention for older adults with mobility disabilities, including reviewing user needs literature and conducting user-centered needs assessment research. From these findings, we developed a protocol and support materials for delivering a telewellness intervention and conducted a feasibility study. We also established an adaptation committee to provide recommendations on the intervention. The outcome of our human factors approach was the establishment of research-driven design guidelines for delivering group exercise programs to older adults using videoconferencing. The guidelines provide direction for designing a telewellness protocol, supporting remote participation, and promoting socialization and engagement. These guidelines can be used to deliver interventions that increase access to socially-engaging, physical activity programs for older adults, which can ultimately help support their physical health, mental health, and quality of life.</t>
        </is>
      </c>
      <c r="X886" t="inlineStr">
        <is>
          <t>[Mitzner, Tracy L.; Remillard, Elena T.; Mumma, Kara T.] Georgia Inst Technol, Ctr Inclus Design &amp; Innovat, Atlanta, GA 30318 USA</t>
        </is>
      </c>
      <c r="Y886" t="inlineStr">
        <is>
          <t>University System of Georgia; Georgia Institute of Technology</t>
        </is>
      </c>
      <c r="Z886" t="inlineStr">
        <is>
          <t>Mitzner, TL (corresponding author), Georgia Inst Technol, Ctr Inclus Design &amp; Innovat, Atlanta, GA 30318 USA.</t>
        </is>
      </c>
      <c r="AA886" t="inlineStr">
        <is>
          <t>tracy@gatech.edu; elena.remillard@design.gatech.edu; kara.mumma@design.gatech.edu</t>
        </is>
      </c>
      <c r="AD886" t="inlineStr">
        <is>
          <t>National Institute on Disability, Independent Living, and Rehabilitation Research (NIDILRR) under the Rehabilitation Engineering Research Center on Technologies to Support Aging-in-Place for People with Long-Term Disabilities (TechSAge) [90REGE0006-01-00]</t>
        </is>
      </c>
      <c r="AE886" t="inlineStr">
        <is>
          <t>National Institute on Disability, Independent Living, and Rehabilitation Research (NIDILRR) under the Rehabilitation Engineering Research Center on Technologies to Support Aging-in-Place for People with Long-Term Disabilities (TechSAge)</t>
        </is>
      </c>
      <c r="AF886" t="inlineStr">
        <is>
          <t>This research was funded by the National Institute on Disability, Independent Living, and Rehabilitation Research (NIDILRR grant number 90REGE0006-01-00) under the auspices of the Rehabilitation Engineering Research Center on Technologies to Support Aging-in-Place for People with Long-Term Disabilities (TechSAge; www.TechAgeRERC.org (accessed on 12 January 2022)) NIDILRR is a Center within the Administration for Community Living (ACL), Department of Health and Human Services (HHS). The contents of this publication do not necessarily represent the policy of NIDILRR, ACL, or HHS, and you should not assume endorsement by the Federal Government.</t>
        </is>
      </c>
      <c r="AH886" t="n">
        <v>63</v>
      </c>
      <c r="AI886" t="n">
        <v>0</v>
      </c>
      <c r="AJ886" t="n">
        <v>0</v>
      </c>
      <c r="AK886" t="n">
        <v>3</v>
      </c>
      <c r="AL886" t="n">
        <v>8</v>
      </c>
      <c r="AM886" t="inlineStr">
        <is>
          <t>MDPI</t>
        </is>
      </c>
      <c r="AN886" t="inlineStr">
        <is>
          <t>BASEL</t>
        </is>
      </c>
      <c r="AO886" t="inlineStr">
        <is>
          <t>ST ALBAN-ANLAGE 66, CH-4052 BASEL, SWITZERLAND</t>
        </is>
      </c>
      <c r="AQ886" t="inlineStr">
        <is>
          <t>1660-4601</t>
        </is>
      </c>
      <c r="AS886" t="inlineStr">
        <is>
          <t>INT J ENV RES PUB HE</t>
        </is>
      </c>
      <c r="AT886" t="inlineStr">
        <is>
          <t>Int. J. Environ. Res. Public Health</t>
        </is>
      </c>
      <c r="AU886" t="inlineStr">
        <is>
          <t>JUL</t>
        </is>
      </c>
      <c r="AV886" t="n">
        <v>2022</v>
      </c>
      <c r="AW886" t="n">
        <v>19</v>
      </c>
      <c r="AX886" t="n">
        <v>13</v>
      </c>
      <c r="BE886" t="n">
        <v>7562</v>
      </c>
      <c r="BF886" t="inlineStr">
        <is>
          <t>10.3390/ijerph19137562</t>
        </is>
      </c>
      <c r="BG886">
        <f>HYPERLINK("http://dx.doi.org/10.3390/ijerph19137562","http://dx.doi.org/10.3390/ijerph19137562")</f>
        <v/>
      </c>
      <c r="BJ886" t="n">
        <v>15</v>
      </c>
      <c r="BK886" t="inlineStr">
        <is>
          <t>Environmental Sciences; Public, Environmental &amp; Occupational Health</t>
        </is>
      </c>
      <c r="BL886" t="inlineStr">
        <is>
          <t>Science Citation Index Expanded (SCI-EXPANDED); Social Science Citation Index (SSCI)</t>
        </is>
      </c>
      <c r="BM886" t="inlineStr">
        <is>
          <t>Environmental Sciences &amp; Ecology; Public, Environmental &amp; Occupational Health</t>
        </is>
      </c>
      <c r="BN886" t="inlineStr">
        <is>
          <t>2U9EB</t>
        </is>
      </c>
      <c r="BO886" t="n">
        <v>35805221</v>
      </c>
      <c r="BP886" t="inlineStr">
        <is>
          <t>gold, Green Published</t>
        </is>
      </c>
      <c r="BS886" t="inlineStr">
        <is>
          <t>2023-10-26</t>
        </is>
      </c>
      <c r="BT886" t="inlineStr">
        <is>
          <t>WOS:000823455200001</t>
        </is>
      </c>
      <c r="BU886">
        <f>HYPERLINK("https%3A%2F%2Fwww.webofscience.com%2Fwos%2Fwoscc%2Ffull-record%2FWOS:000823455200001","View Full Record in Web of Science")</f>
        <v/>
      </c>
    </row>
    <row r="887">
      <c r="A887" t="inlineStr">
        <is>
          <t>J</t>
        </is>
      </c>
      <c r="B887" t="inlineStr">
        <is>
          <t>Homet, K; Kremer, P; Smith, V; Strader, S</t>
        </is>
      </c>
      <c r="F887" t="inlineStr">
        <is>
          <t>Homet, Kate; Kremer, Peleg; Smith, Virginia; Strader, Stephen</t>
        </is>
      </c>
      <c r="J887" t="inlineStr">
        <is>
          <t>FRONTIERS IN ENVIRONMENTAL SCIENCE</t>
        </is>
      </c>
      <c r="M887" t="inlineStr">
        <is>
          <t>English</t>
        </is>
      </c>
      <c r="N887" t="inlineStr">
        <is>
          <t>Article</t>
        </is>
      </c>
      <c r="T887" t="inlineStr">
        <is>
          <t>Multi-variable assessment of green stormwater infrastructure planning across a city landscape: Incorporating social, environmental, built-environment, and maintenance vulnerabilities</t>
        </is>
      </c>
      <c r="U887" t="inlineStr">
        <is>
          <t>green stormwater infrastructure; GSI planning; GSI maintenance; Philadelphia; urban planning</t>
        </is>
      </c>
      <c r="V887" t="inlineStr">
        <is>
          <t>URBAN VULNERABILITY; PERFORMANCE; FRAMEWORK; EXPOSURE; SYSTEMS; HAZARDS; DAMAGE; MODEL; RISK</t>
        </is>
      </c>
      <c r="W887" t="inlineStr">
        <is>
          <t>Green stormwater infrastructure (GSI) is an increasingly popular tool to meet federal water regulations for stormwater quality and quantity, while assuaging urban flooding. While cities across the United States implement GSI into their planning processes, they are also potentially affecting the local communities that are receiving these GSI through social, ecological, physical, and economic impacts. Flooding is impacting urban communities by damaging homes and infrastructure, degrading ecosystems, and exacerbating social inequities. In the planning process, there is an acute need for the consideration of the equitable distribution of GSI in addition to technical and engineering needs. This study examines multiple aspects of vulnerability to local flooding impacts-social, environmental, and infrastructural-across a city landscape to identify those communities that have a greater need for GSI. Given the city of Philadelphia is a leader in GSI implementation in the United States, we use it as our research setting where we create citywide, multifaceted vulnerability indices that account for the spatial distribution of social, built environment, and maintenance vulnerabilities to flooding events. In addition to these indices, a GSI type decision table was created to suggest more equitable placements of different GSI types based on their maintenance needs and expected co-benefits. The results of this study reveal unequal distribution of social and built-environment vulnerabilities in the city at the Census block group scale, with high social vulnerability consistently spread across the central, southwest, and northwest neighborhoods of Philadelphia. Potential areas of severe GSI maintenance impacts appear to be concentrated in the downtown neighborhoods, while overall vulnerability appears elevated throughout the downtown and northwest neighborhoods. These results indicate that some communities in Philadelphia are highly vulnerable and should be prioritized for GSI implementation. In addition, the type of GSI implemented should be optimized to address the specific vulnerability impacts in different areas. A multifaceted vulnerability approach to planning can be applied in multiple areas of climate adaptation equity, with future studies continuing to update and add more dimensions of vulnerability where and when applicable.</t>
        </is>
      </c>
      <c r="X887" t="inlineStr">
        <is>
          <t>[Homet, Kate; Kremer, Peleg; Strader, Stephen] Villanova Univ, Dept Geog &amp; Environm, Villanova, PA 19085 USA; [Smith, Virginia] Villanova Univ, Dept Civil &amp; Environm Engn, Villanova, PA USA</t>
        </is>
      </c>
      <c r="Y887" t="inlineStr">
        <is>
          <t>Villanova University; Villanova University</t>
        </is>
      </c>
      <c r="Z887" t="inlineStr">
        <is>
          <t>Kremer, P (corresponding author), Villanova Univ, Dept Geog &amp; Environm, Villanova, PA 19085 USA.</t>
        </is>
      </c>
      <c r="AA887" t="inlineStr">
        <is>
          <t>peleg.kremer@villanova.edu</t>
        </is>
      </c>
      <c r="AD887" t="inlineStr">
        <is>
          <t>Department of Geography and the Environment at Villanova University; Villanova University's Falvey Memorial Library Scholarship Open Access Reserve (SOAR) Fund</t>
        </is>
      </c>
      <c r="AE887" t="inlineStr">
        <is>
          <t>Department of Geography and the Environment at Villanova University; Villanova University's Falvey Memorial Library Scholarship Open Access Reserve (SOAR) Fund</t>
        </is>
      </c>
      <c r="AF887" t="inlineStr">
        <is>
          <t>The Department of Geography and the Environment at Villanova University supported this study by providing KH with Graduate Assistantship and a Graduate Summer Research Grant. In addition, this work received funding from Villanova University's Falvey Memorial Library Scholarship Open Access Reserve (SOAR) Fund.</t>
        </is>
      </c>
      <c r="AH887" t="n">
        <v>86</v>
      </c>
      <c r="AI887" t="n">
        <v>0</v>
      </c>
      <c r="AJ887" t="n">
        <v>0</v>
      </c>
      <c r="AK887" t="n">
        <v>4</v>
      </c>
      <c r="AL887" t="n">
        <v>16</v>
      </c>
      <c r="AM887" t="inlineStr">
        <is>
          <t>FRONTIERS MEDIA SA</t>
        </is>
      </c>
      <c r="AN887" t="inlineStr">
        <is>
          <t>LAUSANNE</t>
        </is>
      </c>
      <c r="AO887" t="inlineStr">
        <is>
          <t>AVENUE DU TRIBUNAL FEDERAL 34, LAUSANNE, CH-1015, SWITZERLAND</t>
        </is>
      </c>
      <c r="AQ887" t="inlineStr">
        <is>
          <t>2296-665X</t>
        </is>
      </c>
      <c r="AS887" t="inlineStr">
        <is>
          <t>FRONT ENV SCI-SWITZ</t>
        </is>
      </c>
      <c r="AT887" t="inlineStr">
        <is>
          <t>Front. Environ. Sci.</t>
        </is>
      </c>
      <c r="AU887" t="inlineStr">
        <is>
          <t>SEP 1</t>
        </is>
      </c>
      <c r="AV887" t="n">
        <v>2022</v>
      </c>
      <c r="AW887" t="n">
        <v>10</v>
      </c>
      <c r="BE887" t="n">
        <v>958704</v>
      </c>
      <c r="BF887" t="inlineStr">
        <is>
          <t>10.3389/fenvs.2022.958704</t>
        </is>
      </c>
      <c r="BG887">
        <f>HYPERLINK("http://dx.doi.org/10.3389/fenvs.2022.958704","http://dx.doi.org/10.3389/fenvs.2022.958704")</f>
        <v/>
      </c>
      <c r="BJ887" t="n">
        <v>20</v>
      </c>
      <c r="BK887" t="inlineStr">
        <is>
          <t>Environmental Sciences</t>
        </is>
      </c>
      <c r="BL887" t="inlineStr">
        <is>
          <t>Science Citation Index Expanded (SCI-EXPANDED)</t>
        </is>
      </c>
      <c r="BM887" t="inlineStr">
        <is>
          <t>Environmental Sciences &amp; Ecology</t>
        </is>
      </c>
      <c r="BN887" t="inlineStr">
        <is>
          <t>4P3DF</t>
        </is>
      </c>
      <c r="BP887" t="inlineStr">
        <is>
          <t>gold</t>
        </is>
      </c>
      <c r="BS887" t="inlineStr">
        <is>
          <t>2023-10-26</t>
        </is>
      </c>
      <c r="BT887" t="inlineStr">
        <is>
          <t>WOS:000855276800001</t>
        </is>
      </c>
      <c r="BU887">
        <f>HYPERLINK("https%3A%2F%2Fwww.webofscience.com%2Fwos%2Fwoscc%2Ffull-record%2FWOS:000855276800001","View Full Record in Web of Science")</f>
        <v/>
      </c>
    </row>
    <row r="888">
      <c r="A888" t="inlineStr">
        <is>
          <t>J</t>
        </is>
      </c>
      <c r="B888" t="inlineStr">
        <is>
          <t>Demirtepe, H; Melymuk, L; Diamond, ML; Bajard, L; Vojta, S; Prokes, R; Sánka, O; Klánová, J; Murinová, LP; Richterová, D; Rasplová, V; Trnovec, T</t>
        </is>
      </c>
      <c r="F888" t="inlineStr">
        <is>
          <t>Demirtepe, Hale; Melymuk, Lisa; Diamond, Miriam L.; Bajard, Lola; Vojta, Simon; Prokes, Roman; Sanka, Ondrej; Klanova, Jana; Murinova, Lubica Palkovicova; Richterova, Denisa; Rasplova, Vladimira; Trnovec, Tomas</t>
        </is>
      </c>
      <c r="J888" t="inlineStr">
        <is>
          <t>ENVIRONMENT INTERNATIONAL</t>
        </is>
      </c>
      <c r="M888" t="inlineStr">
        <is>
          <t>English</t>
        </is>
      </c>
      <c r="N888" t="inlineStr">
        <is>
          <t>Article</t>
        </is>
      </c>
      <c r="T888" t="inlineStr">
        <is>
          <t>Linking past uses of legacy SVOCs with today's indoor levels and human exposure</t>
        </is>
      </c>
      <c r="U888" t="inlineStr">
        <is>
          <t>Human intake; Indoor environment; Flame retardants; Legacy POPs; PAHs; Risk prioritization</t>
        </is>
      </c>
      <c r="V888" t="inlineStr">
        <is>
          <t>SEMIVOLATILE ORGANIC-COMPOUNDS; POLYCYCLIC AROMATIC-HYDROCARBONS; ORGANOPHOSPHATE FLAME RETARDANTS; POLYBROMINATED DIPHENYL ETHERS; IN-HOUSE DUST; HISTORICAL EMISSION INVENTORY; POLYCHLORINATED-BIPHENYLS; PCB CONGENERS; ORGANOCHLORINE PESTICIDES; SPATIAL-DISTRIBUTION</t>
        </is>
      </c>
      <c r="W888" t="inlineStr">
        <is>
          <t>Semivolatile organic compounds (SVOCs) emitted from consumer products, building materials, and indoor and outdoor activities can be highly persistent in indoor environments. Human exposure to and environmental contamination with polychlorinated biphenyls (PCBs) was previously reported in a region near a former PCB production facility in Slovakia. However, we found that the indoor residential PCB levels did not correlate with the distance from the facility. Rather, indoor levels in this region and those reported in the literature were related to the historic PCB use on a national scale and the inferred presence of primary sources of PCBs in the homes. Other SVOCs had levels linked with either the activities in the home, e.g., polycyclic aromatic hydrocarbons (PAHs) with wood heating; or outdoor activities, e.g., organochlorine pesticides (OCPs) with agricultural land use and building age. We propose a classification framework to prioritize SVOCs for monitoring in indoor environments and to evaluate risks from indoor SVOC exposures. Application of this framework to 88 measured SVOCs identified several PCB congeners (CB-11, -28, -52), hexachlorobenzene (HCB), benzo(a)pyrene, and gamma-HCH as priority compounds based on high exposure and toxicity assessed by means of toxicity reference values (TRVs). Application of the framework to many emerging compounds such as novel flame retardants was not possible because of either no or outdated TRVs. Concurrent identification of seven SVOC groups in indoor environments provided information on their comparative levels and distributions, their sources, and informed our assessment of associated risks.</t>
        </is>
      </c>
      <c r="X888" t="inlineStr">
        <is>
          <t>[Demirtepe, Hale; Melymuk, Lisa; Bajard, Lola; Vojta, Simon; Prokes, Roman; Sanka, Ondrej; Klanova, Jana] Masaryk Univ, RECETOX, Kamenice 753-5,Pavil A29, Brno 62500, Czech Republic; [Diamond, Miriam L.] Univ Toronto, Dept Earth Sci, Toronto, ON, Canada; [Diamond, Miriam L.] Univ Toronto, Dalla Lana Sch Publ Hlth, Toronto, ON, Canada; [Murinova, Lubica Palkovicova; Richterova, Denisa; Rasplova, Vladimira; Trnovec, Tomas] Slovak Med Univ, Fac Publ Hlth, Dept Environm Med, Limbova 12, Bratislava 83303, Slovakia; [Vojta, Simon] Univ Rhode Isl, Grad Sch Oceanog, Narragansett, RI 02882 USA</t>
        </is>
      </c>
      <c r="Y888" t="inlineStr">
        <is>
          <t>Masaryk University Brno; University of Toronto; University of Toronto; Slovak Medical University Bratislava; University of Rhode Island</t>
        </is>
      </c>
      <c r="Z888" t="inlineStr">
        <is>
          <t>Melymuk, L (corresponding author), Masaryk Univ, RECETOX, Kamenice 753-5,Pavil A29, Brno 62500, Czech Republic.</t>
        </is>
      </c>
      <c r="AA888" t="inlineStr">
        <is>
          <t>melymuk@recetox.muni.cz</t>
        </is>
      </c>
      <c r="AB888" t="inlineStr">
        <is>
          <t>Melymuk, Lisa/H-1061-2017; Diamond, Miriam L/D-1770-2013; Klanova, Jana/H-1207-2012; Melymuk, Lisa/AAF-2526-2021</t>
        </is>
      </c>
      <c r="AC888" t="inlineStr">
        <is>
          <t>Melymuk, Lisa/0000-0001-6042-7688; Diamond, Miriam L/0000-0001-6296-6431; Klanova, Jana/0000-0002-8818-5307; Melymuk, Lisa/0000-0001-6042-7688; DEMIRTEPE, HALE/0000-0003-4711-2467; Vojta, Simon/0000-0003-4528-8346; bajard, Lola/0000-0001-9002-7095; Prokes, Roman/0000-0002-0573-843X; Palkovicova Murinova, Lubica/0000-0003-0438-2619</t>
        </is>
      </c>
      <c r="AD888" t="inlineStr">
        <is>
          <t>RECETOX Research Infrastructure [LM2015051, CZ.02.1.01/0.0/0.0/16_013/0001761]; Czech Ministry of Education, Youth and Sports [NPU RECETOX -LO1214]; European Union [733032, 734522]; Slovak Ministry of Health [2012/47-SZU-11]; Center of Excellence of Environmental Health from the European Regional Development Fund [26240120033]</t>
        </is>
      </c>
      <c r="AE888" t="inlineStr">
        <is>
          <t>RECETOX Research Infrastructure; Czech Ministry of Education, Youth and Sports(Ministry of Education, Youth &amp; Sports - Czech Republic); European Union(European Union (EU)); Slovak Ministry of Health; Center of Excellence of Environmental Health from the European Regional Development Fund</t>
        </is>
      </c>
      <c r="AF888" t="inlineStr">
        <is>
          <t>This research was supported by the RECETOX Research Infrastructure (LM2015051 and CZ.02.1.01/0.0/0.0/16_013/0001761), the Czech Ministry of Education, Youth and Sports (NPU RECETOX -LO1214), the European Union's Horizon 2020 research and innovation programme under the Marie Sklodowska-Curie GA No 734522 (INTERWASTE), the Slovak Ministry of Health (2012/47-SZU-11) and in part by Center of Excellence of Environmental Health, ITMS No. 26240120033, based on the supporting operational Research and Development Program financed from the European Regional Development Fund. The research is associated with the European Union's Horizon 2020 research and innovation programme grant agreement GA No 733032 (HBM4EU). We thank all participants for permitting sampling in their residences.</t>
        </is>
      </c>
      <c r="AH888" t="n">
        <v>105</v>
      </c>
      <c r="AI888" t="n">
        <v>21</v>
      </c>
      <c r="AJ888" t="n">
        <v>21</v>
      </c>
      <c r="AK888" t="n">
        <v>6</v>
      </c>
      <c r="AL888" t="n">
        <v>60</v>
      </c>
      <c r="AM888" t="inlineStr">
        <is>
          <t>PERGAMON-ELSEVIER SCIENCE LTD</t>
        </is>
      </c>
      <c r="AN888" t="inlineStr">
        <is>
          <t>OXFORD</t>
        </is>
      </c>
      <c r="AO888" t="inlineStr">
        <is>
          <t>THE BOULEVARD, LANGFORD LANE, KIDLINGTON, OXFORD OX5 1GB, ENGLAND</t>
        </is>
      </c>
      <c r="AP888" t="inlineStr">
        <is>
          <t>0160-4120</t>
        </is>
      </c>
      <c r="AQ888" t="inlineStr">
        <is>
          <t>1873-6750</t>
        </is>
      </c>
      <c r="AS888" t="inlineStr">
        <is>
          <t>ENVIRON INT</t>
        </is>
      </c>
      <c r="AT888" t="inlineStr">
        <is>
          <t>Environ. Int.</t>
        </is>
      </c>
      <c r="AU888" t="inlineStr">
        <is>
          <t>JUN</t>
        </is>
      </c>
      <c r="AV888" t="n">
        <v>2019</v>
      </c>
      <c r="AW888" t="n">
        <v>127</v>
      </c>
      <c r="BC888" t="n">
        <v>653</v>
      </c>
      <c r="BD888" t="n">
        <v>663</v>
      </c>
      <c r="BF888" t="inlineStr">
        <is>
          <t>10.1016/j.envint.2019.04.001</t>
        </is>
      </c>
      <c r="BG888">
        <f>HYPERLINK("http://dx.doi.org/10.1016/j.envint.2019.04.001","http://dx.doi.org/10.1016/j.envint.2019.04.001")</f>
        <v/>
      </c>
      <c r="BJ888" t="n">
        <v>11</v>
      </c>
      <c r="BK888" t="inlineStr">
        <is>
          <t>Environmental Sciences</t>
        </is>
      </c>
      <c r="BL888" t="inlineStr">
        <is>
          <t>Science Citation Index Expanded (SCI-EXPANDED)</t>
        </is>
      </c>
      <c r="BM888" t="inlineStr">
        <is>
          <t>Environmental Sciences &amp; Ecology</t>
        </is>
      </c>
      <c r="BN888" t="inlineStr">
        <is>
          <t>HX4PZ</t>
        </is>
      </c>
      <c r="BO888" t="n">
        <v>30991221</v>
      </c>
      <c r="BP888" t="inlineStr">
        <is>
          <t>gold</t>
        </is>
      </c>
      <c r="BS888" t="inlineStr">
        <is>
          <t>2023-10-26</t>
        </is>
      </c>
      <c r="BT888" t="inlineStr">
        <is>
          <t>WOS:000467383500064</t>
        </is>
      </c>
      <c r="BU888">
        <f>HYPERLINK("https%3A%2F%2Fwww.webofscience.com%2Fwos%2Fwoscc%2Ffull-record%2FWOS:000467383500064","View Full Record in Web of Science")</f>
        <v/>
      </c>
    </row>
    <row r="889">
      <c r="A889" t="inlineStr">
        <is>
          <t>J</t>
        </is>
      </c>
      <c r="B889" t="inlineStr">
        <is>
          <t>Alvarez-García, J; Durán-Sánchez, A; del Río-Rama, MD; Correa-Quezada, R</t>
        </is>
      </c>
      <c r="F889" t="inlineStr">
        <is>
          <t>Alvarez-Garcia, Jose; Duran-Sanchez, Amador; de la Cruz del Rio-Rama, Maria; Correa-Quezada, Ronny</t>
        </is>
      </c>
      <c r="J889" t="inlineStr">
        <is>
          <t>INTERNATIONAL JOURNAL OF ENVIRONMENTAL RESEARCH AND PUBLIC HEALTH</t>
        </is>
      </c>
      <c r="M889" t="inlineStr">
        <is>
          <t>English</t>
        </is>
      </c>
      <c r="N889" t="inlineStr">
        <is>
          <t>Review</t>
        </is>
      </c>
      <c r="T889" t="inlineStr">
        <is>
          <t>Older Adults and Digital Society: Scientific Coverage</t>
        </is>
      </c>
      <c r="U889" t="inlineStr">
        <is>
          <t>older adults; information and communication technologies; ICTs; bibliometric Study; WoS; Scopus; scientific coverage</t>
        </is>
      </c>
      <c r="V889" t="inlineStr">
        <is>
          <t>INFORMATION-TECHNOLOGY; COMMUNICATION TECHNOLOGIES; ASSISTIVE TECHNOLOGY; HEALTH-CARE; ACCEPTANCE; DEFINITION; EDUCATION; INTERNET; OVERLAP; USAGE</t>
        </is>
      </c>
      <c r="W889" t="inlineStr">
        <is>
          <t>While there is a progressive ageing of the population, we are witnessing a rapid development of new information and communication technologies (ICTs). Although for most of society this technology is within reach, there are population segments for whom access is limited, especially adults who are considered of old age. Due to the relevance that the relationship between ICTs and older adults acquires in today's society, it is necessary to carry out an analysis of the scientific literature in order to understand the knowledge structure of this field. In this research, a comparative bibliometric analysis of 172 documents published in the Web of Science (WoS) and Scopus databases was carried out until 2018 and is complemented by a co-citation analysis. The results show that this subject is incipient and is in its exponential growth stage, with two thirds of the production concentrated in the 2012-2018 period. Four out of five authors are transient with a single authorship and the collaboration level is high. The most productive country is Germany followed by the United States and Australia.</t>
        </is>
      </c>
      <c r="X889" t="inlineStr">
        <is>
          <t>[Alvarez-Garcia, Jose; Duran-Sanchez, Amador] Univ Extremadura, Fac Business Finance &amp; Tourism, Financial Econ &amp; Accounting Dept, Caceres 10071, Spain; [de la Cruz del Rio-Rama, Maria] Univ Vigo, Business Org &amp; Mkt Dept, Fac Business Adm &amp; Tourism, Orense 32004, Spain; [Correa-Quezada, Ronny] UTPL, Dept Econ, Loja 1101608, Ecuador</t>
        </is>
      </c>
      <c r="Y889" t="inlineStr">
        <is>
          <t>Universidad de Extremadura; Universidade de Vigo; Universidad Tecnica Particular de Loja</t>
        </is>
      </c>
      <c r="Z889" t="inlineStr">
        <is>
          <t>del Río-Rama, MD (corresponding author), Univ Vigo, Business Org &amp; Mkt Dept, Fac Business Adm &amp; Tourism, Orense 32004, Spain.</t>
        </is>
      </c>
      <c r="AA889" t="inlineStr">
        <is>
          <t>pepealvarez@unex.es; amduransan@unex.es; delrio@uvigo.es; rfcorrea@utpl.edu.ec</t>
        </is>
      </c>
      <c r="AB889" t="inlineStr">
        <is>
          <t>Correa-Quezada, Ronny/V-4870-2018; Álvarez-García, José/X-9341-2019</t>
        </is>
      </c>
      <c r="AC889" t="inlineStr">
        <is>
          <t>Correa-Quezada, Ronny/0000-0003-4613-8331; Álvarez-García, José/0000-0002-0056-5488; Del Rio-Rama, Maria de la Cruz/0000-0002-9396-9341; Duran Sanchez, Amador/0000-0003-2919-8519</t>
        </is>
      </c>
      <c r="AH889" t="n">
        <v>76</v>
      </c>
      <c r="AI889" t="n">
        <v>9</v>
      </c>
      <c r="AJ889" t="n">
        <v>9</v>
      </c>
      <c r="AK889" t="n">
        <v>4</v>
      </c>
      <c r="AL889" t="n">
        <v>28</v>
      </c>
      <c r="AM889" t="inlineStr">
        <is>
          <t>MDPI</t>
        </is>
      </c>
      <c r="AN889" t="inlineStr">
        <is>
          <t>BASEL</t>
        </is>
      </c>
      <c r="AO889" t="inlineStr">
        <is>
          <t>ST ALBAN-ANLAGE 66, CH-4052 BASEL, SWITZERLAND</t>
        </is>
      </c>
      <c r="AQ889" t="inlineStr">
        <is>
          <t>1660-4601</t>
        </is>
      </c>
      <c r="AS889" t="inlineStr">
        <is>
          <t>INT J ENV RES PUB HE</t>
        </is>
      </c>
      <c r="AT889" t="inlineStr">
        <is>
          <t>Int. J. Environ. Res. Public Health</t>
        </is>
      </c>
      <c r="AU889" t="inlineStr">
        <is>
          <t>JUN 1</t>
        </is>
      </c>
      <c r="AV889" t="n">
        <v>2019</v>
      </c>
      <c r="AW889" t="n">
        <v>16</v>
      </c>
      <c r="AX889" t="n">
        <v>11</v>
      </c>
      <c r="BE889" t="n">
        <v>2010</v>
      </c>
      <c r="BF889" t="inlineStr">
        <is>
          <t>10.3390/ijerph16112010</t>
        </is>
      </c>
      <c r="BG889">
        <f>HYPERLINK("http://dx.doi.org/10.3390/ijerph16112010","http://dx.doi.org/10.3390/ijerph16112010")</f>
        <v/>
      </c>
      <c r="BJ889" t="n">
        <v>16</v>
      </c>
      <c r="BK889" t="inlineStr">
        <is>
          <t>Environmental Sciences; Public, Environmental &amp; Occupational Health</t>
        </is>
      </c>
      <c r="BL889" t="inlineStr">
        <is>
          <t>Science Citation Index Expanded (SCI-EXPANDED); Social Science Citation Index (SSCI)</t>
        </is>
      </c>
      <c r="BM889" t="inlineStr">
        <is>
          <t>Environmental Sciences &amp; Ecology; Public, Environmental &amp; Occupational Health</t>
        </is>
      </c>
      <c r="BN889" t="inlineStr">
        <is>
          <t>IE1GB</t>
        </is>
      </c>
      <c r="BO889" t="n">
        <v>31195701</v>
      </c>
      <c r="BP889" t="inlineStr">
        <is>
          <t>gold, Green Published, Green Submitted</t>
        </is>
      </c>
      <c r="BS889" t="inlineStr">
        <is>
          <t>2023-10-26</t>
        </is>
      </c>
      <c r="BT889" t="inlineStr">
        <is>
          <t>WOS:000472132900138</t>
        </is>
      </c>
      <c r="BU889">
        <f>HYPERLINK("https%3A%2F%2Fwww.webofscience.com%2Fwos%2Fwoscc%2Ffull-record%2FWOS:000472132900138","View Full Record in Web of Science")</f>
        <v/>
      </c>
    </row>
    <row r="890">
      <c r="A890" t="inlineStr">
        <is>
          <t>J</t>
        </is>
      </c>
      <c r="B890" t="inlineStr">
        <is>
          <t>Smith, ML; Bergeron, CD; Lachenmayr, S; Eagle, LA; Simon, JR</t>
        </is>
      </c>
      <c r="F890" t="inlineStr">
        <is>
          <t>Smith, Matthew Lee; Bergeron, Caroline D.; Lachenmayr, Sue; Eagle, Leigh Ann; Simon, Judy R.</t>
        </is>
      </c>
      <c r="J890" t="inlineStr">
        <is>
          <t>INTERNATIONAL JOURNAL OF ENVIRONMENTAL RESEARCH AND PUBLIC HEALTH</t>
        </is>
      </c>
      <c r="M890" t="inlineStr">
        <is>
          <t>English</t>
        </is>
      </c>
      <c r="N890" t="inlineStr">
        <is>
          <t>Article</t>
        </is>
      </c>
      <c r="T890" t="inlineStr">
        <is>
          <t>A Brief Intervention for Malnutrition among Older Adults: Stepping Up Your Nutrition</t>
        </is>
      </c>
      <c r="U890" t="inlineStr">
        <is>
          <t>malnutrition; nutrition risk; falls; fall prevention; intervention; older adults</t>
        </is>
      </c>
      <c r="V890" t="inlineStr">
        <is>
          <t>MUSCLE FUNCTION; PROTEIN-INTAKE; COMMUNITY; FALLS; PEOPLE; HEALTH; DEHYDRATION; ASSOCIATION; INJURIES; PROGRAM</t>
        </is>
      </c>
      <c r="W890" t="inlineStr">
        <is>
          <t>Despite a multitude of nutritional risk factors among older adults, there is a lack of community-based programs and activities that screen for malnutrition and address modifiable risk among this vulnerable population. Given the known association of protein and fluid consumption with fall-related risk among older adults and the high prevalence of falls among Americans age 65 years and older each year, a brief intervention was created. Stepping Up Your Nutrition (SUYN) is a 2.5 h workshop developed through a public/private partnership to motivate older adults to reduce their malnutrition risk. The purposes of this naturalistic workshop dissemination were to: (1) describe the SUYN brief intervention; (2) identify participant characteristics associated with malnutrition risk; and (3) identify participant characteristics associated with subsequent participation in Stepping On (SO), an evidence-based fall prevention program. Data were analyzed from 429 SUYN participants, of which 38% (n = 163) subsequently attended SO. As measured by the SCREEN II (R), high and moderate malnutrition risk scores were reported among approximately 71% and 20% of SUYN participants, respectively. Of the SUYN participants with high malnutrition risk, a significantly larger proportion attended a subsequent SO workshop (79.1%) compared to SUYN participants who did not proceed to SO (65.8%) (chi(2) = 8.73, p = 0.013). Findings suggest SUYN may help to identify malnutrition risk among community-dwelling older adults and link them to needed services like evidence-based programs. Efforts are needed to expand the delivery infrastructure of SUYN to reach more at-risk older adults.</t>
        </is>
      </c>
      <c r="X890" t="inlineStr">
        <is>
          <t>[Smith, Matthew Lee; Bergeron, Caroline D.] Texas A&amp;M Univ, Ctr Populat Hlth &amp; Aging, College Stn, TX 77843 USA; [Smith, Matthew Lee] Texas A&amp;M Univ, Sch Publ Hlth, College Stn, TX 77843 USA; [Smith, Matthew Lee] Univ Georgia, Coll Publ Hlth, Athens, GA 30602 USA; [Bergeron, Caroline D.] Inst Natl Sante Publ Quebec, Quebec City, PQ G1V 5B3, Canada; [Lachenmayr, Sue; Eagle, Leigh Ann] Maryland Living Well Ctr Excellence, Salisbury, MD 21804 USA; [Simon, Judy R.] Maryland Dept Aging, Baltimore, MD 21201 USA</t>
        </is>
      </c>
      <c r="Y890" t="inlineStr">
        <is>
          <t>Texas A&amp;M University System; Texas A&amp;M University College Station; Texas A&amp;M University System; Texas A&amp;M University College Station; Texas A&amp;M Health Science Center; University System of Georgia; University of Georgia; Institut national de sante publique du Quebec (INSPQ)</t>
        </is>
      </c>
      <c r="Z890" t="inlineStr">
        <is>
          <t>Smith, ML (corresponding author), Texas A&amp;M Univ, Ctr Populat Hlth &amp; Aging, College Stn, TX 77843 USA.;Smith, ML (corresponding author), Texas A&amp;M Univ, Sch Publ Hlth, College Stn, TX 77843 USA.;Smith, ML (corresponding author), Univ Georgia, Coll Publ Hlth, Athens, GA 30602 USA.</t>
        </is>
      </c>
      <c r="AA890" t="inlineStr">
        <is>
          <t>matthew.smith@tamu.edu; caroline.bergeron@inspq.qc.ca; bslach@earthlink.net; lae2@macinc.org; judy.r.simon@gmail.com</t>
        </is>
      </c>
      <c r="AC890" t="inlineStr">
        <is>
          <t>Bergeron, Caroline D./0000-0002-7238-4213</t>
        </is>
      </c>
      <c r="AD890" t="inlineStr">
        <is>
          <t>Administration for Community Living to the Maryland Department of Aging [90INNU0002]; Abbott Nutrition</t>
        </is>
      </c>
      <c r="AE890" t="inlineStr">
        <is>
          <t>Administration for Community Living to the Maryland Department of Aging; Abbott Nutrition(Abbott Laboratories)</t>
        </is>
      </c>
      <c r="AF890" t="inlineStr">
        <is>
          <t>Funding for this Maryland's Innovations in Nutrition Programs and Services Project was provided by the Administration for Community Living to the Maryland Department of Aging (Grant #90INNU0002). Funding for the initial curriculum development was provided by Abbott Nutrition. Findings from this study do not officially represent those of the funders.</t>
        </is>
      </c>
      <c r="AH890" t="n">
        <v>63</v>
      </c>
      <c r="AI890" t="n">
        <v>10</v>
      </c>
      <c r="AJ890" t="n">
        <v>10</v>
      </c>
      <c r="AK890" t="n">
        <v>3</v>
      </c>
      <c r="AL890" t="n">
        <v>11</v>
      </c>
      <c r="AM890" t="inlineStr">
        <is>
          <t>MDPI</t>
        </is>
      </c>
      <c r="AN890" t="inlineStr">
        <is>
          <t>BASEL</t>
        </is>
      </c>
      <c r="AO890" t="inlineStr">
        <is>
          <t>ST ALBAN-ANLAGE 66, CH-4052 BASEL, SWITZERLAND</t>
        </is>
      </c>
      <c r="AQ890" t="inlineStr">
        <is>
          <t>1660-4601</t>
        </is>
      </c>
      <c r="AS890" t="inlineStr">
        <is>
          <t>INT J ENV RES PUB HE</t>
        </is>
      </c>
      <c r="AT890" t="inlineStr">
        <is>
          <t>Int. J. Environ. Res. Public Health</t>
        </is>
      </c>
      <c r="AU890" t="inlineStr">
        <is>
          <t>MAY</t>
        </is>
      </c>
      <c r="AV890" t="n">
        <v>2020</v>
      </c>
      <c r="AW890" t="n">
        <v>17</v>
      </c>
      <c r="AX890" t="n">
        <v>10</v>
      </c>
      <c r="BE890" t="n">
        <v>3590</v>
      </c>
      <c r="BF890" t="inlineStr">
        <is>
          <t>10.3390/ijerph17103590</t>
        </is>
      </c>
      <c r="BG890">
        <f>HYPERLINK("http://dx.doi.org/10.3390/ijerph17103590","http://dx.doi.org/10.3390/ijerph17103590")</f>
        <v/>
      </c>
      <c r="BJ890" t="n">
        <v>13</v>
      </c>
      <c r="BK890" t="inlineStr">
        <is>
          <t>Environmental Sciences; Public, Environmental &amp; Occupational Health</t>
        </is>
      </c>
      <c r="BL890" t="inlineStr">
        <is>
          <t>Science Citation Index Expanded (SCI-EXPANDED); Social Science Citation Index (SSCI)</t>
        </is>
      </c>
      <c r="BM890" t="inlineStr">
        <is>
          <t>Environmental Sciences &amp; Ecology; Public, Environmental &amp; Occupational Health</t>
        </is>
      </c>
      <c r="BN890" t="inlineStr">
        <is>
          <t>LW7CK</t>
        </is>
      </c>
      <c r="BO890" t="n">
        <v>32443789</v>
      </c>
      <c r="BP890" t="inlineStr">
        <is>
          <t>gold, Green Published</t>
        </is>
      </c>
      <c r="BS890" t="inlineStr">
        <is>
          <t>2023-10-26</t>
        </is>
      </c>
      <c r="BT890" t="inlineStr">
        <is>
          <t>WOS:000539300900247</t>
        </is>
      </c>
      <c r="BU890">
        <f>HYPERLINK("https%3A%2F%2Fwww.webofscience.com%2Fwos%2Fwoscc%2Ffull-record%2FWOS:000539300900247","View Full Record in Web of Science")</f>
        <v/>
      </c>
    </row>
    <row r="891">
      <c r="A891" t="inlineStr">
        <is>
          <t>J</t>
        </is>
      </c>
      <c r="B891" t="inlineStr">
        <is>
          <t>Liu, XY; Li, L; Xiao, JQ; He, CZ; Lyu, XL; Gao, L; Yang, XW; Cui, XG; Fan, LH</t>
        </is>
      </c>
      <c r="F891" t="inlineStr">
        <is>
          <t>Liu Xin Yan; Li Li; Xiao Jia Qing; He Chang Zhi; Lyu Xiu Lin; Gao Lei; Yang Xiao Wei; Cui Xin Gang; Fan Li Hua</t>
        </is>
      </c>
      <c r="J891" t="inlineStr">
        <is>
          <t>BIOMEDICAL AND ENVIRONMENTAL SCIENCES</t>
        </is>
      </c>
      <c r="M891" t="inlineStr">
        <is>
          <t>English</t>
        </is>
      </c>
      <c r="N891" t="inlineStr">
        <is>
          <t>Article</t>
        </is>
      </c>
      <c r="T891" t="inlineStr">
        <is>
          <t>Cognitive Training in Older Adults with Mild Cognitive Impairment</t>
        </is>
      </c>
      <c r="U891" t="inlineStr">
        <is>
          <t>Older adults; Rural; Mild cognitive impairment; Cognitive training; Efficacy</t>
        </is>
      </c>
      <c r="V891" t="inlineStr">
        <is>
          <t>ASSESSMENT LOTCA; INTERVENTIONS; PERFORMANCE; MCI; REHABILITATION; DEMENTIA; IMPACT</t>
        </is>
      </c>
      <c r="W891" t="inlineStr">
        <is>
          <t>Objective We investigated the feasibility and efficacy of cognitive training for older adults in rural settings and with low education levels, who have mild cognitive impairment (MCI). Methods Forty-five older adults (ages &gt;65 years) with MCI were assigned to treatment or control groups, at a 2:1 ratio. Cognitive training occurred in the treatment group for 2 months. The cognitive abilities of the participants were assessed at pre-training, metaphase, and post-training time points, using the Mini-Mental State Examination (MMSE), Montreal Cognitive Assessment (MoCA), Loewenstein Occupational Therapy Cognitive Assessment (LOTCA), and Hamilton Depression Scale (HAM-D). Results Following training, cognitive abilities improved in the treatment group, based on the total scores of all 4 measures, as well as specifically on the MoCA and LOTCA. There were differences in the main effects of group and time point on some subscales, but these differences had little, if any, effect on the overall analyses. Conclusion The present study demonstrated that cognitive training has beneficial effects on attention, language, orientation, visual perception, organization of visual movement, and logical questioning in patients with MCI. Furthermore, the observed effects are long-term changes.</t>
        </is>
      </c>
      <c r="X891" t="inlineStr">
        <is>
          <t>[Liu Xin Yan; Li Li; Gao Lei; Fan Li Hua] Harbin Med Univ, Coll Publ Hlth, Harbin 150086, Heilongjiang, Peoples R China; [Xiao Jia Qing] Heilongjiang Prov Ctr Dis Control &amp; Prevent, Harbin 150040, Heilongjiang, Peoples R China; [He Chang Zhi] Harbin Med Univ, Coll Management Postgrad, Harbin 150086, Heilongjiang, Peoples R China; [Lyu Xiu Lin] Heilongjiang Prov Hosp, Harbin 150040, Heilongjiang, Peoples R China; [Yang Xiao Wei; Cui Xin Gang] Mudanjiang Med Coll, Dept Publ Hlth, Mudanjiang 157000, Heilongjiang, Peoples R China</t>
        </is>
      </c>
      <c r="Y891" t="inlineStr">
        <is>
          <t>Harbin Medical University; Harbin Medical University; Mudanjiang Medical University</t>
        </is>
      </c>
      <c r="Z891" t="inlineStr">
        <is>
          <t>Fan, LH (corresponding author), Harbin Med Univ, Coll Publ Hlth, Harbin 150086, Heilongjiang, Peoples R China.</t>
        </is>
      </c>
      <c r="AA891" t="inlineStr">
        <is>
          <t>lihuafan2012@163.com</t>
        </is>
      </c>
      <c r="AD891" t="inlineStr">
        <is>
          <t>Department of Health, Heilongjiang Province, China</t>
        </is>
      </c>
      <c r="AE891" t="inlineStr">
        <is>
          <t>Department of Health, Heilongjiang Province, China</t>
        </is>
      </c>
      <c r="AF891" t="inlineStr">
        <is>
          <t>This work was supported by the Department of Health, Heilongjiang Province, China. The authors thank the Department of Health, Heilongjiang Province for this support. The authors also thank Chunjie Dai (nurse at the health center in Si Duan village), Yuwen Zou (teacher), and Shulin Wang (director of the health center in Si Duan village) for their contributions to this work.</t>
        </is>
      </c>
      <c r="AH891" t="n">
        <v>36</v>
      </c>
      <c r="AI891" t="n">
        <v>17</v>
      </c>
      <c r="AJ891" t="n">
        <v>18</v>
      </c>
      <c r="AK891" t="n">
        <v>7</v>
      </c>
      <c r="AL891" t="n">
        <v>49</v>
      </c>
      <c r="AM891" t="inlineStr">
        <is>
          <t>CHINESE CENTER DISEASE CONTROL &amp; PREVENTION</t>
        </is>
      </c>
      <c r="AN891" t="inlineStr">
        <is>
          <t>BEIJING</t>
        </is>
      </c>
      <c r="AO891" t="inlineStr">
        <is>
          <t>155 CHANGBAI RD, CHANGPING DISTRICT, BEIJING, 102206, PEOPLES R CHINA</t>
        </is>
      </c>
      <c r="AP891" t="inlineStr">
        <is>
          <t>0895-3988</t>
        </is>
      </c>
      <c r="AS891" t="inlineStr">
        <is>
          <t>BIOMED ENVIRON SCI</t>
        </is>
      </c>
      <c r="AT891" t="inlineStr">
        <is>
          <t>Biomed. Environ. Sci.</t>
        </is>
      </c>
      <c r="AU891" t="inlineStr">
        <is>
          <t>MAY</t>
        </is>
      </c>
      <c r="AV891" t="n">
        <v>2016</v>
      </c>
      <c r="AW891" t="n">
        <v>29</v>
      </c>
      <c r="AX891" t="n">
        <v>5</v>
      </c>
      <c r="BC891" t="n">
        <v>356</v>
      </c>
      <c r="BD891" t="n">
        <v>364</v>
      </c>
      <c r="BF891" t="inlineStr">
        <is>
          <t>10.3967/bes2016.046</t>
        </is>
      </c>
      <c r="BG891">
        <f>HYPERLINK("http://dx.doi.org/10.3967/bes2016.046","http://dx.doi.org/10.3967/bes2016.046")</f>
        <v/>
      </c>
      <c r="BJ891" t="n">
        <v>9</v>
      </c>
      <c r="BK891" t="inlineStr">
        <is>
          <t>Environmental Sciences; Public, Environmental &amp; Occupational Health</t>
        </is>
      </c>
      <c r="BL891" t="inlineStr">
        <is>
          <t>Science Citation Index Expanded (SCI-EXPANDED); Social Science Citation Index (SSCI)</t>
        </is>
      </c>
      <c r="BM891" t="inlineStr">
        <is>
          <t>Environmental Sciences &amp; Ecology; Public, Environmental &amp; Occupational Health</t>
        </is>
      </c>
      <c r="BN891" t="inlineStr">
        <is>
          <t>DV4OU</t>
        </is>
      </c>
      <c r="BO891" t="n">
        <v>27353710</v>
      </c>
      <c r="BS891" t="inlineStr">
        <is>
          <t>2023-10-26</t>
        </is>
      </c>
      <c r="BT891" t="inlineStr">
        <is>
          <t>WOS:000382905700006</t>
        </is>
      </c>
      <c r="BU891">
        <f>HYPERLINK("https%3A%2F%2Fwww.webofscience.com%2Fwos%2Fwoscc%2Ffull-record%2FWOS:000382905700006","View Full Record in Web of Science")</f>
        <v/>
      </c>
    </row>
    <row r="892">
      <c r="A892" t="inlineStr">
        <is>
          <t>J</t>
        </is>
      </c>
      <c r="B892" t="inlineStr">
        <is>
          <t>Gallardo-Alfaro, L; Bibiloni, MD; Mateos, D; Ugarriza, L; Tur, JA</t>
        </is>
      </c>
      <c r="F892" t="inlineStr">
        <is>
          <t>Gallardo-Alfaro, Laura; del Mar Bibiloni, Maria; Mateos, David; Ugarriza, Lucia; Tur, Josep A.</t>
        </is>
      </c>
      <c r="J892" t="inlineStr">
        <is>
          <t>INTERNATIONAL JOURNAL OF ENVIRONMENTAL RESEARCH AND PUBLIC HEALTH</t>
        </is>
      </c>
      <c r="M892" t="inlineStr">
        <is>
          <t>English</t>
        </is>
      </c>
      <c r="N892" t="inlineStr">
        <is>
          <t>Article</t>
        </is>
      </c>
      <c r="T892" t="inlineStr">
        <is>
          <t>Leisure-Time Physical Activity and Metabolic Syndrome in Older Adults</t>
        </is>
      </c>
      <c r="U892" t="inlineStr">
        <is>
          <t>metabolic syndrome; physical activity; leisure-time; older adults</t>
        </is>
      </c>
      <c r="V892" t="inlineStr">
        <is>
          <t>MEDITERRANEAN DIET; ACTIVITY QUESTIONNAIRE; RISK-FACTORS; ALL-CAUSE; VALIDATION; ADHERENCE; EXERCISE; DISEASE; PERSPECTIVES; ASSOCIATION</t>
        </is>
      </c>
      <c r="W892" t="inlineStr">
        <is>
          <t>Background: Metabolic syndrome (MetS) is a cluster of risk factors for cardiovascular disease, atherosclerosis and diabetes mellitus type 2 which may be reduced by practicing regular physical activity. Objective: To assess the leisure-time physical activity (LTPA) of older adults with MetS and without MetS. Methods: Cross-sectional study of older adults (55-80 years old) from Balearic Islands (Spain) with MetS (n = 333; 55% men) and without MetS (n = 144; 43.8% men). LTPA was assessed with the validated Spanish version of the Minnesota LTPA Questionnaire. Two criteria of physically active were used: &gt;150 min/week of moderate physical activity or &gt;75 min/week of vigorous physical activity or a combination of both, and total leisure-time energy expenditure of &gt;300 MET.min/day. Sociodemographic and lifestyle characteristics, anthropometric variables, MetS components, and adherence to the Mediterranean diet (MD) were also measured. Results: MetS subjects showed lower energy expenditure in LTPA, lower adherence to the MD, higher obesity and waist circumference, and were less active than non-MetS peers. LTPA increased as participants got older and there was higher LTPA intensity as educational level increased. Adherence to MD was as high as LTPA was. Conclusions: MetS is associated with physical inactivity and unhealthy diet. To increase LTPA recommendations and raise awareness in the population about the health benefits of PA and high adherence to MD is highly recommended.</t>
        </is>
      </c>
      <c r="X892" t="inlineStr">
        <is>
          <t>[Gallardo-Alfaro, Laura; del Mar Bibiloni, Maria; Mateos, David; Ugarriza, Lucia; Tur, Josep A.] Univ Balearic Isl, Res Grp Community Nutr &amp; Oxidat Stress, IDISBA, Palma De Mallorca 07122, Spain; [Gallardo-Alfaro, Laura; del Mar Bibiloni, Maria; Mateos, David; Ugarriza, Lucia; Tur, Josep A.] CIBEROBN Physiopathol Obes &amp; Nutr, Palma De Mallorca 07122, Spain; [Ugarriza, Lucia] IBSalut, Camp Redo Primary Hlth Care Ctr, Palma De Mallorca 07120, Spain</t>
        </is>
      </c>
      <c r="Y892" t="inlineStr">
        <is>
          <t>Universitat de les Illes Balears; Institut Investigacio Sanitaria Illes Balears (IdISBa); CIBER - Centro de Investigacion Biomedica en Red; CIBEROBN</t>
        </is>
      </c>
      <c r="Z892" t="inlineStr">
        <is>
          <t>Tur, JA (corresponding author), Univ Balearic Isl, Res Grp Community Nutr &amp; Oxidat Stress, IDISBA, Palma De Mallorca 07122, Spain.;Tur, JA (corresponding author), CIBEROBN Physiopathol Obes &amp; Nutr, Palma De Mallorca 07122, Spain.</t>
        </is>
      </c>
      <c r="AA892" t="inlineStr">
        <is>
          <t>lauragala3@gmail.com; mar.bibiloni@uib.es; david-mateos@hotmail.es; luciaugarriza@gmail.com; pep.tur@uib.es</t>
        </is>
      </c>
      <c r="AB892" t="inlineStr">
        <is>
          <t>del Mar Bibiloni, Maria/M-3123-2014; Tur, Josep/AAE-5748-2020; Gallardo-Alfaro, Laura/AAB-3363-2021</t>
        </is>
      </c>
      <c r="AC892" t="inlineStr">
        <is>
          <t>del Mar Bibiloni, Maria/0000-0001-8926-9206; Tur, Josep/0000-0002-6940-0761; Gallardo Alfaro, Laura/0000-0002-5769-706X</t>
        </is>
      </c>
      <c r="AD892" t="inlineStr">
        <is>
          <t>official funding agency for biomedical research of the Spanish government; Institute of Health Carlos III(ISCIII) through the Fondo de Investigacion para la Salud (FIS) - European Regional Development Fund [PI11/01791, PI14/00636, PI17/01827, Red Predimed-RETIC RD06/0045/1004, CIBEROBN CB12/03/30038]; Balearic Islands Gov. [35/2011]; Fundacio La Marato TV3 (Spain) [201630.10]; EU COST Action [CA16112]</t>
        </is>
      </c>
      <c r="AE892" t="inlineStr">
        <is>
          <t>official funding agency for biomedical research of the Spanish government; Institute of Health Carlos III(ISCIII) through the Fondo de Investigacion para la Salud (FIS) - European Regional Development Fund; Balearic Islands Gov.; Fundacio La Marato TV3 (Spain); EU COST Action(European Union (EU)European Cooperation in Science and Technology (COST))</t>
        </is>
      </c>
      <c r="AF892" t="inlineStr">
        <is>
          <t>This study was supported by the official funding agency for biomedical research of the Spanish government, Institute of Health Carlos III(ISCIII) through the Fondo de Investigacion para la Salud (FIS), which is co-funded by the European Regional Development Fund (Projects PI11/01791, PI14/00636 and PI17/01827, Red Predimed-RETIC RD06/0045/1004, and CIBEROBN CB12/03/30038), Grant of support to research groups no. 35/2011 (Balearic Islands Gov.), Fundacio La Marato TV3 (Spain) project ref. 201630.10, and EU COST Action CA16112. The funders had no role in study design, data collection and analysis, decision to publish, or preparation of the manuscript.</t>
        </is>
      </c>
      <c r="AH892" t="n">
        <v>67</v>
      </c>
      <c r="AI892" t="n">
        <v>19</v>
      </c>
      <c r="AJ892" t="n">
        <v>19</v>
      </c>
      <c r="AK892" t="n">
        <v>5</v>
      </c>
      <c r="AL892" t="n">
        <v>22</v>
      </c>
      <c r="AM892" t="inlineStr">
        <is>
          <t>MDPI</t>
        </is>
      </c>
      <c r="AN892" t="inlineStr">
        <is>
          <t>BASEL</t>
        </is>
      </c>
      <c r="AO892" t="inlineStr">
        <is>
          <t>ST ALBAN-ANLAGE 66, CH-4052 BASEL, SWITZERLAND</t>
        </is>
      </c>
      <c r="AQ892" t="inlineStr">
        <is>
          <t>1660-4601</t>
        </is>
      </c>
      <c r="AS892" t="inlineStr">
        <is>
          <t>INT J ENV RES PUB HE</t>
        </is>
      </c>
      <c r="AT892" t="inlineStr">
        <is>
          <t>Int. J. Environ. Res. Public Health</t>
        </is>
      </c>
      <c r="AU892" t="inlineStr">
        <is>
          <t>SEP 2</t>
        </is>
      </c>
      <c r="AV892" t="n">
        <v>2019</v>
      </c>
      <c r="AW892" t="n">
        <v>16</v>
      </c>
      <c r="AX892" t="n">
        <v>18</v>
      </c>
      <c r="BE892" t="n">
        <v>3358</v>
      </c>
      <c r="BF892" t="inlineStr">
        <is>
          <t>10.3390/ijerph16183358</t>
        </is>
      </c>
      <c r="BG892">
        <f>HYPERLINK("http://dx.doi.org/10.3390/ijerph16183358","http://dx.doi.org/10.3390/ijerph16183358")</f>
        <v/>
      </c>
      <c r="BJ892" t="n">
        <v>13</v>
      </c>
      <c r="BK892" t="inlineStr">
        <is>
          <t>Environmental Sciences; Public, Environmental &amp; Occupational Health</t>
        </is>
      </c>
      <c r="BL892" t="inlineStr">
        <is>
          <t>Science Citation Index Expanded (SCI-EXPANDED); Social Science Citation Index (SSCI)</t>
        </is>
      </c>
      <c r="BM892" t="inlineStr">
        <is>
          <t>Environmental Sciences &amp; Ecology; Public, Environmental &amp; Occupational Health</t>
        </is>
      </c>
      <c r="BN892" t="inlineStr">
        <is>
          <t>JC3KV</t>
        </is>
      </c>
      <c r="BO892" t="n">
        <v>31514471</v>
      </c>
      <c r="BP892" t="inlineStr">
        <is>
          <t>gold, Green Published</t>
        </is>
      </c>
      <c r="BS892" t="inlineStr">
        <is>
          <t>2023-10-26</t>
        </is>
      </c>
      <c r="BT892" t="inlineStr">
        <is>
          <t>WOS:000489178500132</t>
        </is>
      </c>
      <c r="BU892">
        <f>HYPERLINK("https%3A%2F%2Fwww.webofscience.com%2Fwos%2Fwoscc%2Ffull-record%2FWOS:000489178500132","View Full Record in Web of Science")</f>
        <v/>
      </c>
    </row>
    <row r="893">
      <c r="A893" t="inlineStr">
        <is>
          <t>J</t>
        </is>
      </c>
      <c r="B893" t="inlineStr">
        <is>
          <t>Choi, YJ; O'Donnell, M; Choi, HB; Jung, HS; Cowlishaw, S</t>
        </is>
      </c>
      <c r="F893" t="inlineStr">
        <is>
          <t>Choi, Yun-Jung; O'Donnell, Meaghan; Choi, Hwa-Bok; Jung, Hae-Sun; Cowlishaw, Sean</t>
        </is>
      </c>
      <c r="J893" t="inlineStr">
        <is>
          <t>INTERNATIONAL JOURNAL OF ENVIRONMENTAL RESEARCH AND PUBLIC HEALTH</t>
        </is>
      </c>
      <c r="M893" t="inlineStr">
        <is>
          <t>English</t>
        </is>
      </c>
      <c r="N893" t="inlineStr">
        <is>
          <t>Article</t>
        </is>
      </c>
      <c r="T893" t="inlineStr">
        <is>
          <t>Associations among Elder Abuse, Depression and PTSD in South Korean Older Adults</t>
        </is>
      </c>
      <c r="U893" t="inlineStr">
        <is>
          <t>depression; elder abuse; mistreatment; older adults; PTSD; senior citizens</t>
        </is>
      </c>
      <c r="V893" t="inlineStr">
        <is>
          <t>PREVALENCE; NEGLECT; SCALE</t>
        </is>
      </c>
      <c r="W893" t="inlineStr">
        <is>
          <t>Increasing attention is being placed on the prevalence of elder abuse and its impact on mental health. This study conducted a survey of 172 elderly people in South Korea to determine the prevalence of elder abuse and the relationships involving elder abuse, depression and posttraumatic stress disorder (PTSD). Participants completed a battery of self-report questionnaires, which included the Korean Geriatric Depression Screening Scale (KGDS) and Impact of Event Scale-Revised Korean version (IES-R-K). Descriptive analyses were conducted to examine the frequency of specific forms of abuse. Logistic regression models were estimated to identify the factors that contributed to risk of abuse exposure and the relationship between exposure and PTSD or depression. The results indicated around 22% of the participants reported abuse exposure, which most commonly included being refused physical contact, verbal threats, and/or being excluded from decision-making about personal issues. Low education and being unmarried, separated or divorced was associated with an increased risk of abuse exposure. There were strong associations between elder abuse and PTSD symptoms, while comparable relationships with depression were weaker and were not robust to the inclusion of control variables. The findings provided empirical support for the relationship between abuse experiences of the elderly and poor mental health and raise important issues for the mental health care of the elderly.</t>
        </is>
      </c>
      <c r="X893" t="inlineStr">
        <is>
          <t>[Choi, Yun-Jung; Choi, Hwa-Bok; Jung, Hae-Sun] Chung Ang Univ, Red Cross Coll Nursing, Seoul 06974, South Korea; [O'Donnell, Meaghan; Cowlishaw, Sean] Univ Melbourne, Dept Psychiat, Phoenix Australia Ctr Posttraumat Mental Hlth, Melbourne, Vic 3053, Australia; [Cowlishaw, Sean] Univ Bristol, Bristol Med Sch, Bristol BS8 2PS, Avon, England</t>
        </is>
      </c>
      <c r="Y893" t="inlineStr">
        <is>
          <t>Chung Ang University; University of Melbourne; University of Bristol</t>
        </is>
      </c>
      <c r="Z893" t="inlineStr">
        <is>
          <t>Choi, YJ (corresponding author), Chung Ang Univ, Red Cross Coll Nursing, Seoul 06974, South Korea.;O'Donnell, M (corresponding author), Univ Melbourne, Dept Psychiat, Phoenix Australia Ctr Posttraumat Mental Hlth, Melbourne, Vic 3053, Australia.</t>
        </is>
      </c>
      <c r="AA893" t="inlineStr">
        <is>
          <t>yunjungchoi@cau.ac.kr; mod@unimelb.edu.au; ghkqhr83@naver.com; haesun710@hanmail.net; sean.cowlishaw@unimelb.edu.au</t>
        </is>
      </c>
      <c r="AB893" t="inlineStr">
        <is>
          <t>Choi, Hwa-Bok/K-5177-2017</t>
        </is>
      </c>
      <c r="AC893" t="inlineStr">
        <is>
          <t>Choi, Hwa-Bok/0000-0003-3706-9629; O'Donnell, Meaghan/0000-0003-4349-0022; Choi, Yun-Jung/0000-0002-0160-8902; Cowlishaw, Sean/0000-0002-8523-3713</t>
        </is>
      </c>
      <c r="AD893" t="inlineStr">
        <is>
          <t>National Research Foundation of Korea (NRF) - Korea government (MSIP) [NRF-2017R1A2B4004438]; Chung-Ang University</t>
        </is>
      </c>
      <c r="AE893" t="inlineStr">
        <is>
          <t>National Research Foundation of Korea (NRF) - Korea government (MSIP)(National Research Foundation of KoreaMinistry of Science, ICT &amp; Future Planning, Republic of Korea); Chung-Ang University(Chung Ang University)</t>
        </is>
      </c>
      <c r="AF893" t="inlineStr">
        <is>
          <t>This research was supported by the National Research Foundation of Korea (NRF) grant funded by the Korea government (MSIP) (No. NRF-2017R1A2B4004438), with additional support from Chung-Ang University Research Grants in 2017.</t>
        </is>
      </c>
      <c r="AH893" t="n">
        <v>16</v>
      </c>
      <c r="AI893" t="n">
        <v>10</v>
      </c>
      <c r="AJ893" t="n">
        <v>10</v>
      </c>
      <c r="AK893" t="n">
        <v>1</v>
      </c>
      <c r="AL893" t="n">
        <v>4</v>
      </c>
      <c r="AM893" t="inlineStr">
        <is>
          <t>MDPI</t>
        </is>
      </c>
      <c r="AN893" t="inlineStr">
        <is>
          <t>BASEL</t>
        </is>
      </c>
      <c r="AO893" t="inlineStr">
        <is>
          <t>ST ALBAN-ANLAGE 66, CH-4052 BASEL, SWITZERLAND</t>
        </is>
      </c>
      <c r="AQ893" t="inlineStr">
        <is>
          <t>1660-4601</t>
        </is>
      </c>
      <c r="AS893" t="inlineStr">
        <is>
          <t>INT J ENV RES PUB HE</t>
        </is>
      </c>
      <c r="AT893" t="inlineStr">
        <is>
          <t>Int. J. Environ. Res. Public Health</t>
        </is>
      </c>
      <c r="AU893" t="inlineStr">
        <is>
          <t>SEP</t>
        </is>
      </c>
      <c r="AV893" t="n">
        <v>2018</v>
      </c>
      <c r="AW893" t="n">
        <v>15</v>
      </c>
      <c r="AX893" t="n">
        <v>9</v>
      </c>
      <c r="BE893" t="n">
        <v>1948</v>
      </c>
      <c r="BF893" t="inlineStr">
        <is>
          <t>10.3390/ijerph15091948</t>
        </is>
      </c>
      <c r="BG893">
        <f>HYPERLINK("http://dx.doi.org/10.3390/ijerph15091948","http://dx.doi.org/10.3390/ijerph15091948")</f>
        <v/>
      </c>
      <c r="BJ893" t="n">
        <v>8</v>
      </c>
      <c r="BK893" t="inlineStr">
        <is>
          <t>Environmental Sciences; Public, Environmental &amp; Occupational Health</t>
        </is>
      </c>
      <c r="BL893" t="inlineStr">
        <is>
          <t>Science Citation Index Expanded (SCI-EXPANDED); Social Science Citation Index (SSCI)</t>
        </is>
      </c>
      <c r="BM893" t="inlineStr">
        <is>
          <t>Environmental Sciences &amp; Ecology; Public, Environmental &amp; Occupational Health</t>
        </is>
      </c>
      <c r="BN893" t="inlineStr">
        <is>
          <t>GV0PX</t>
        </is>
      </c>
      <c r="BO893" t="n">
        <v>30200661</v>
      </c>
      <c r="BP893" t="inlineStr">
        <is>
          <t>Green Published, Green Submitted, gold</t>
        </is>
      </c>
      <c r="BS893" t="inlineStr">
        <is>
          <t>2023-10-26</t>
        </is>
      </c>
      <c r="BT893" t="inlineStr">
        <is>
          <t>WOS:000445765600157</t>
        </is>
      </c>
      <c r="BU893">
        <f>HYPERLINK("https%3A%2F%2Fwww.webofscience.com%2Fwos%2Fwoscc%2Ffull-record%2FWOS:000445765600157","View Full Record in Web of Science")</f>
        <v/>
      </c>
    </row>
    <row r="894">
      <c r="A894" t="inlineStr">
        <is>
          <t>J</t>
        </is>
      </c>
      <c r="B894" t="inlineStr">
        <is>
          <t>Ko, Y; Lee, K</t>
        </is>
      </c>
      <c r="F894" t="inlineStr">
        <is>
          <t>Ko, Young; Lee, Kyounga</t>
        </is>
      </c>
      <c r="J894" t="inlineStr">
        <is>
          <t>INTERNATIONAL JOURNAL OF ENVIRONMENTAL RESEARCH AND PUBLIC HEALTH</t>
        </is>
      </c>
      <c r="M894" t="inlineStr">
        <is>
          <t>English</t>
        </is>
      </c>
      <c r="N894" t="inlineStr">
        <is>
          <t>Article</t>
        </is>
      </c>
      <c r="T894" t="inlineStr">
        <is>
          <t>Social Frailty and Health-Related Quality of Life in Community-Dwelling Older Adults</t>
        </is>
      </c>
      <c r="U894" t="inlineStr">
        <is>
          <t>frailty; social factors; quality of life; older adults; community</t>
        </is>
      </c>
      <c r="V894" t="inlineStr">
        <is>
          <t>AGING-IN-PLACE; PHYSICAL FRAILTY; INTERVENTIONS; DEPRESSION; IMPACT</t>
        </is>
      </c>
      <c r="W894" t="inlineStr">
        <is>
          <t>This study aimed to identify the association between social frailty and health-related quality of life (HRQoL) and to identify the factors influencing HRQoL in community-dwelling older adults in South Korea. This was a secondary analysis of a cross-sectional survey study of 735 older adults. HRQoL was measured using the EuroQoL-5 Dimension, and social frailty was measured using five items. The differences in HRQoL according to sociodemographic characteristics, health-related characteristics, and social frailty of subjects were tested using the Mann-Whitney test, Kruskal-Wallis test, and chi(2) test. A Tobit regression model was used to identify the influencing factor of HRQoL. About 31.0% of the older adults were in a social pre-frailty state, and 48.4% were in a social frailty state. Of the five components of social frailty, going out less compared to the previous year and being alone were frequently observed. Older adults who had social frailty had lower HRQoL scores than those who were robust after controlling for sociodemographic and health-related characteristics (B-T = -0.04, p &lt; 0.001). Researchers need to consider older adults' social frailty as well as health status and sociodemographic status in future interventions to improve the HRQoL of older adults.</t>
        </is>
      </c>
      <c r="X894" t="inlineStr">
        <is>
          <t>[Ko, Young; Lee, Kyounga] Gachon Univ, Coll Nursing, Incheon 21936, South Korea</t>
        </is>
      </c>
      <c r="Y894" t="inlineStr">
        <is>
          <t>Gachon University</t>
        </is>
      </c>
      <c r="Z894" t="inlineStr">
        <is>
          <t>Lee, K (corresponding author), Gachon Univ, Coll Nursing, Incheon 21936, South Korea.</t>
        </is>
      </c>
      <c r="AA894" t="inlineStr">
        <is>
          <t>moodory@gmail.com; kalee613@gachon.ac.kr</t>
        </is>
      </c>
      <c r="AC894" t="inlineStr">
        <is>
          <t>Lee, Kyounga/0000-0003-0550-6070; Ko, Young/0000-0003-2708-8543</t>
        </is>
      </c>
      <c r="AH894" t="n">
        <v>42</v>
      </c>
      <c r="AI894" t="n">
        <v>4</v>
      </c>
      <c r="AJ894" t="n">
        <v>4</v>
      </c>
      <c r="AK894" t="n">
        <v>5</v>
      </c>
      <c r="AL894" t="n">
        <v>21</v>
      </c>
      <c r="AM894" t="inlineStr">
        <is>
          <t>MDPI</t>
        </is>
      </c>
      <c r="AN894" t="inlineStr">
        <is>
          <t>BASEL</t>
        </is>
      </c>
      <c r="AO894" t="inlineStr">
        <is>
          <t>ST ALBAN-ANLAGE 66, CH-4052 BASEL, SWITZERLAND</t>
        </is>
      </c>
      <c r="AQ894" t="inlineStr">
        <is>
          <t>1660-4601</t>
        </is>
      </c>
      <c r="AS894" t="inlineStr">
        <is>
          <t>INT J ENV RES PUB HE</t>
        </is>
      </c>
      <c r="AT894" t="inlineStr">
        <is>
          <t>Int. J. Environ. Res. Public Health</t>
        </is>
      </c>
      <c r="AU894" t="inlineStr">
        <is>
          <t>MAY</t>
        </is>
      </c>
      <c r="AV894" t="n">
        <v>2022</v>
      </c>
      <c r="AW894" t="n">
        <v>19</v>
      </c>
      <c r="AX894" t="n">
        <v>9</v>
      </c>
      <c r="BE894" t="n">
        <v>5659</v>
      </c>
      <c r="BF894" t="inlineStr">
        <is>
          <t>10.3390/ijerph19095659</t>
        </is>
      </c>
      <c r="BG894">
        <f>HYPERLINK("http://dx.doi.org/10.3390/ijerph19095659","http://dx.doi.org/10.3390/ijerph19095659")</f>
        <v/>
      </c>
      <c r="BJ894" t="n">
        <v>11</v>
      </c>
      <c r="BK894" t="inlineStr">
        <is>
          <t>Environmental Sciences; Public, Environmental &amp; Occupational Health</t>
        </is>
      </c>
      <c r="BL894" t="inlineStr">
        <is>
          <t>Science Citation Index Expanded (SCI-EXPANDED); Social Science Citation Index (SSCI)</t>
        </is>
      </c>
      <c r="BM894" t="inlineStr">
        <is>
          <t>Environmental Sciences &amp; Ecology; Public, Environmental &amp; Occupational Health</t>
        </is>
      </c>
      <c r="BN894" t="inlineStr">
        <is>
          <t>1F6CS</t>
        </is>
      </c>
      <c r="BO894" t="n">
        <v>35565056</v>
      </c>
      <c r="BP894" t="inlineStr">
        <is>
          <t>gold, Green Published</t>
        </is>
      </c>
      <c r="BS894" t="inlineStr">
        <is>
          <t>2023-10-26</t>
        </is>
      </c>
      <c r="BT894" t="inlineStr">
        <is>
          <t>WOS:000795255400001</t>
        </is>
      </c>
      <c r="BU894">
        <f>HYPERLINK("https%3A%2F%2Fwww.webofscience.com%2Fwos%2Fwoscc%2Ffull-record%2FWOS:000795255400001","View Full Record in Web of Science")</f>
        <v/>
      </c>
    </row>
    <row r="895">
      <c r="A895" t="inlineStr">
        <is>
          <t>J</t>
        </is>
      </c>
      <c r="B895" t="inlineStr">
        <is>
          <t>Essery, R; Denison-Day, J; Grey, E; Priestley, E; Bradbury, K; Mutrie, N; Western, MJ</t>
        </is>
      </c>
      <c r="F895" t="inlineStr">
        <is>
          <t>Essery, Rosie; Denison-Day, James; Grey, Elisabeth; Priestley, Emma; Bradbury, Katherine; Mutrie, Nanette; Western, Max J.</t>
        </is>
      </c>
      <c r="J895" t="inlineStr">
        <is>
          <t>INTERNATIONAL JOURNAL OF ENVIRONMENTAL RESEARCH AND PUBLIC HEALTH</t>
        </is>
      </c>
      <c r="M895" t="inlineStr">
        <is>
          <t>English</t>
        </is>
      </c>
      <c r="N895" t="inlineStr">
        <is>
          <t>Article</t>
        </is>
      </c>
      <c r="T895" t="inlineStr">
        <is>
          <t>Development of the Digital Assessment of Precise Physical Activity (DAPPA) Tool for Older Adults</t>
        </is>
      </c>
      <c r="U895" t="inlineStr">
        <is>
          <t>physical activity; older adults; measurement; digital health</t>
        </is>
      </c>
      <c r="V895" t="inlineStr">
        <is>
          <t>ACTIVITY QUESTIONNAIRE; PERCEPTIONS; HEALTH; EXERCISE; DISEASE</t>
        </is>
      </c>
      <c r="W895" t="inlineStr">
        <is>
          <t>Physical activity (PA) is central to maintaining health and wellbeing as we age. Valid, reliable measurement tools are vital for understanding, and evaluating PA. There are limited options for comprehensively, accurately and affordably measuring older adults' PA at scale at present. We aimed to develop a digital PA measurement tool specifically for adults aged 65+ using a person-based approach. We collated evidence from target users, field experts and the relevant literature to learn how older adults comprehend PA and would accept a digital tool. Findings suggest that older adults' PA is often integrated into their daily life activities and that commonly applied terminology (e.g., moderate and vigorous) can be difficult to interpret. We also found that there is increasing familiarity with digital platforms amongst older adults, and that technological simplicity is valued. These findings informed the development of a digital tool that asks users to report their activities across key PA domains and dimensions from the previous 7-days. Users found the tool easy to navigate and comprehensive in terms of activity reporting. However, real-world usability testing revealed that users struggled with seven-day recall. Further work will address the identified issues, including creating a single-day reporting option, before commencing work to validate this new tool.</t>
        </is>
      </c>
      <c r="X895" t="inlineStr">
        <is>
          <t>[Essery, Rosie; Denison-Day, James; Priestley, Emma; Bradbury, Katherine] Univ Southampton, Ctr Clin &amp; Community Applicat Hlth Psychol CCCAHP, Southampton SO17 1BJ, Hants, England; [Grey, Elisabeth; Western, Max J.] Univ Bath, Ctr Motivat &amp; Hlth Behav Change, Dept Hlth, Bath BA2 7AY, Avon, England; [Mutrie, Nanette] Univ Edinburgh, Phys Act Hlth Res Ctr PAHRC, Inst Sport Phys Educ &amp; Hlth Sci, Edinburgh EH8 8AQ, Midlothian, Scotland</t>
        </is>
      </c>
      <c r="Y895" t="inlineStr">
        <is>
          <t>University of Southampton; University of Bath; University of Edinburgh</t>
        </is>
      </c>
      <c r="Z895" t="inlineStr">
        <is>
          <t>Western, MJ (corresponding author), Univ Bath, Ctr Motivat &amp; Hlth Behav Change, Dept Hlth, Bath BA2 7AY, Avon, England.</t>
        </is>
      </c>
      <c r="AA895" t="inlineStr">
        <is>
          <t>r.a.essery@soton.ac.uk; j.l.Denison-Day@soton.ac.uk; ebg21@bath.ac.uk; emmaclare.priestley@hotmail.co.uk; kjb1e08@soton.ac.uk; nmutrie@exseed.ed.ac.uk; mjw68@bath.ac.uk</t>
        </is>
      </c>
      <c r="AC895" t="inlineStr">
        <is>
          <t>Grey, Elisabeth/0000-0001-9719-9690; Essery, Rosie/0000-0002-2702-6951; Bradbury, Katherine/0000-0001-5513-7571; Western, Max James/0000-0003-1107-8498</t>
        </is>
      </c>
      <c r="AD895" t="inlineStr">
        <is>
          <t>EPRSC [EP/N027299/1, 532526]; EPSRC [EP/N027299/1] Funding Source: UKRI</t>
        </is>
      </c>
      <c r="AE895" t="inlineStr">
        <is>
          <t>EPRSC(UK Research &amp; Innovation (UKRI)Engineering &amp; Physical Sciences Research Council (EPSRC)); EPSRC(UK Research &amp; Innovation (UKRI)Engineering &amp; Physical Sciences Research Council (EPSRC))</t>
        </is>
      </c>
      <c r="AF895" t="inlineStr">
        <is>
          <t>This research was funded by the EPRSC, disseminated via the Get A Move On (GAMO) Network (grant ref: EP/N027299/1), Project 532526 Feasibility Funding.</t>
        </is>
      </c>
      <c r="AH895" t="n">
        <v>69</v>
      </c>
      <c r="AI895" t="n">
        <v>0</v>
      </c>
      <c r="AJ895" t="n">
        <v>0</v>
      </c>
      <c r="AK895" t="n">
        <v>0</v>
      </c>
      <c r="AL895" t="n">
        <v>1</v>
      </c>
      <c r="AM895" t="inlineStr">
        <is>
          <t>MDPI</t>
        </is>
      </c>
      <c r="AN895" t="inlineStr">
        <is>
          <t>BASEL</t>
        </is>
      </c>
      <c r="AO895" t="inlineStr">
        <is>
          <t>ST ALBAN-ANLAGE 66, CH-4052 BASEL, SWITZERLAND</t>
        </is>
      </c>
      <c r="AQ895" t="inlineStr">
        <is>
          <t>1660-4601</t>
        </is>
      </c>
      <c r="AS895" t="inlineStr">
        <is>
          <t>INT J ENV RES PUB HE</t>
        </is>
      </c>
      <c r="AT895" t="inlineStr">
        <is>
          <t>Int. J. Environ. Res. Public Health</t>
        </is>
      </c>
      <c r="AU895" t="inlineStr">
        <is>
          <t>NOV</t>
        </is>
      </c>
      <c r="AV895" t="n">
        <v>2020</v>
      </c>
      <c r="AW895" t="n">
        <v>17</v>
      </c>
      <c r="AX895" t="n">
        <v>21</v>
      </c>
      <c r="BE895" t="n">
        <v>7949</v>
      </c>
      <c r="BF895" t="inlineStr">
        <is>
          <t>10.3390/ijerph17217949</t>
        </is>
      </c>
      <c r="BG895">
        <f>HYPERLINK("http://dx.doi.org/10.3390/ijerph17217949","http://dx.doi.org/10.3390/ijerph17217949")</f>
        <v/>
      </c>
      <c r="BJ895" t="n">
        <v>20</v>
      </c>
      <c r="BK895" t="inlineStr">
        <is>
          <t>Environmental Sciences; Public, Environmental &amp; Occupational Health</t>
        </is>
      </c>
      <c r="BL895" t="inlineStr">
        <is>
          <t>Science Citation Index Expanded (SCI-EXPANDED); Social Science Citation Index (SSCI)</t>
        </is>
      </c>
      <c r="BM895" t="inlineStr">
        <is>
          <t>Environmental Sciences &amp; Ecology; Public, Environmental &amp; Occupational Health</t>
        </is>
      </c>
      <c r="BN895" t="inlineStr">
        <is>
          <t>OR0AH</t>
        </is>
      </c>
      <c r="BO895" t="n">
        <v>33138167</v>
      </c>
      <c r="BP895" t="inlineStr">
        <is>
          <t>Green Published, Green Accepted, gold</t>
        </is>
      </c>
      <c r="BS895" t="inlineStr">
        <is>
          <t>2023-10-26</t>
        </is>
      </c>
      <c r="BT895" t="inlineStr">
        <is>
          <t>WOS:000589137400001</t>
        </is>
      </c>
      <c r="BU895">
        <f>HYPERLINK("https%3A%2F%2Fwww.webofscience.com%2Fwos%2Fwoscc%2Ffull-record%2FWOS:000589137400001","View Full Record in Web of Science")</f>
        <v/>
      </c>
    </row>
    <row r="896">
      <c r="A896" t="inlineStr">
        <is>
          <t>J</t>
        </is>
      </c>
      <c r="B896" t="inlineStr">
        <is>
          <t>Ulusoy, B; Aslanoglu, R</t>
        </is>
      </c>
      <c r="F896" t="inlineStr">
        <is>
          <t>Ulusoy, Begum; Aslanoglu, Rengin</t>
        </is>
      </c>
      <c r="J896" t="inlineStr">
        <is>
          <t>SUSTAINABILITY</t>
        </is>
      </c>
      <c r="M896" t="inlineStr">
        <is>
          <t>English</t>
        </is>
      </c>
      <c r="N896" t="inlineStr">
        <is>
          <t>Article</t>
        </is>
      </c>
      <c r="T896" t="inlineStr">
        <is>
          <t>Transforming Residential Interiors into Workspaces during the COVID-19 Pandemic</t>
        </is>
      </c>
      <c r="U896" t="inlineStr">
        <is>
          <t>COVID-19; colour scheme; workspaces; residential interiors; new normal</t>
        </is>
      </c>
      <c r="V896" t="inlineStr">
        <is>
          <t>OFFICE INTERIOR; COLOR SCHEMES; ENVIRONMENTAL SENSITIVITY; PERFORMANCE; WORK; MOOD; ARCHITECTURE; CONTEXT; IMPACT; SPACE</t>
        </is>
      </c>
      <c r="W896" t="inlineStr">
        <is>
          <t>Residential interiors (RIs) have been designed by anonymous designers throughout history and have reflected their users' identity, culture, and habits until modern times, although design and architecture courses rarely involve residential interiors in their curriculums. Therefore, decision-makers (architects, interior architects, designers, and users) took them for granted. However, COVID-19 forced revisiting this approach towards RIs and they faced a gap in the literature helping them to design these interiors, especially workspaces, in order to improve their users' experience. In connection with previous studies, which explored creativity in workspaces, this study aims to compile colour-related literature work on workspaces in RIs (WRI) which will require further attention from interior architects to reconsider the discipline under new normal conditions. Providing a framework for WRIs in terms of function and activity might lead to the semantics of RIs in future studies. This study's findings contribute to the interpretation and understanding of new normal workspace interiors after the COVID-19 pandemic so it will be beneficial for decision-makers in addition to researchers who aim to investigate this topic in future studies.</t>
        </is>
      </c>
      <c r="X896" t="inlineStr">
        <is>
          <t>[Ulusoy, Begum] Univ Lincoln, Interior Architecture &amp; Design, Sch Architecture &amp; Built Environm, Lincoln LN6 7TS, England; [Aslanoglu, Rengin] Wroclaw Univ Environm &amp; Life Sci, Inst Spatial Management, Grunwaldzka 55, PL-50357 Wroclaw, Poland</t>
        </is>
      </c>
      <c r="Y896" t="inlineStr">
        <is>
          <t>University of Lincoln; Wroclaw University of Environmental &amp; Life Sciences; Institute of Spatial Management &amp; Housing</t>
        </is>
      </c>
      <c r="Z896" t="inlineStr">
        <is>
          <t>Aslanoglu, R (corresponding author), Wroclaw Univ Environm &amp; Life Sci, Inst Spatial Management, Grunwaldzka 55, PL-50357 Wroclaw, Poland.</t>
        </is>
      </c>
      <c r="AA896" t="inlineStr">
        <is>
          <t>bulusoy@lincoln.ac.uk; rengin.aslanoglu@upwr.edu.pl</t>
        </is>
      </c>
      <c r="AB896" t="inlineStr">
        <is>
          <t>ulusoy, begum/AAT-5604-2020; Aslanoglu, Rengin Kocaoglu/AAM-3798-2020</t>
        </is>
      </c>
      <c r="AC896" t="inlineStr">
        <is>
          <t>ulusoy, begum/0000-0002-5714-6575; Aslanoglu, Rengin Kocaoglu/0000-0002-8002-5069</t>
        </is>
      </c>
      <c r="AD896" t="inlineStr">
        <is>
          <t>Wroclaw University of Environmental and Life Sciences</t>
        </is>
      </c>
      <c r="AE896" t="inlineStr">
        <is>
          <t>Wroclaw University of Environmental and Life Sciences</t>
        </is>
      </c>
      <c r="AF896" t="inlineStr">
        <is>
          <t>The APC is financed by Wroclaw University of Environmental and Life Sciences.</t>
        </is>
      </c>
      <c r="AH896" t="n">
        <v>49</v>
      </c>
      <c r="AI896" t="n">
        <v>1</v>
      </c>
      <c r="AJ896" t="n">
        <v>1</v>
      </c>
      <c r="AK896" t="n">
        <v>1</v>
      </c>
      <c r="AL896" t="n">
        <v>8</v>
      </c>
      <c r="AM896" t="inlineStr">
        <is>
          <t>MDPI</t>
        </is>
      </c>
      <c r="AN896" t="inlineStr">
        <is>
          <t>BASEL</t>
        </is>
      </c>
      <c r="AO896" t="inlineStr">
        <is>
          <t>ST ALBAN-ANLAGE 66, CH-4052 BASEL, SWITZERLAND</t>
        </is>
      </c>
      <c r="AQ896" t="inlineStr">
        <is>
          <t>2071-1050</t>
        </is>
      </c>
      <c r="AS896" t="inlineStr">
        <is>
          <t>SUSTAINABILITY-BASEL</t>
        </is>
      </c>
      <c r="AT896" t="inlineStr">
        <is>
          <t>Sustainability</t>
        </is>
      </c>
      <c r="AU896" t="inlineStr">
        <is>
          <t>JUL</t>
        </is>
      </c>
      <c r="AV896" t="n">
        <v>2022</v>
      </c>
      <c r="AW896" t="n">
        <v>14</v>
      </c>
      <c r="AX896" t="n">
        <v>13</v>
      </c>
      <c r="BE896" t="n">
        <v>8217</v>
      </c>
      <c r="BF896" t="inlineStr">
        <is>
          <t>10.3390/su14138217</t>
        </is>
      </c>
      <c r="BG896">
        <f>HYPERLINK("http://dx.doi.org/10.3390/su14138217","http://dx.doi.org/10.3390/su14138217")</f>
        <v/>
      </c>
      <c r="BJ896" t="n">
        <v>13</v>
      </c>
      <c r="BK896" t="inlineStr">
        <is>
          <t>Green &amp; Sustainable Science &amp; Technology; Environmental Sciences; Environmental Studies</t>
        </is>
      </c>
      <c r="BL896" t="inlineStr">
        <is>
          <t>Science Citation Index Expanded (SCI-EXPANDED); Social Science Citation Index (SSCI)</t>
        </is>
      </c>
      <c r="BM896" t="inlineStr">
        <is>
          <t>Science &amp; Technology - Other Topics; Environmental Sciences &amp; Ecology</t>
        </is>
      </c>
      <c r="BN896" t="inlineStr">
        <is>
          <t>2W0UH</t>
        </is>
      </c>
      <c r="BP896" t="inlineStr">
        <is>
          <t>Green Accepted, gold</t>
        </is>
      </c>
      <c r="BS896" t="inlineStr">
        <is>
          <t>2023-10-26</t>
        </is>
      </c>
      <c r="BT896" t="inlineStr">
        <is>
          <t>WOS:000824249400001</t>
        </is>
      </c>
      <c r="BU896">
        <f>HYPERLINK("https%3A%2F%2Fwww.webofscience.com%2Fwos%2Fwoscc%2Ffull-record%2FWOS:000824249400001","View Full Record in Web of Science")</f>
        <v/>
      </c>
    </row>
    <row r="897">
      <c r="A897" t="inlineStr">
        <is>
          <t>J</t>
        </is>
      </c>
      <c r="B897" t="inlineStr">
        <is>
          <t>Tainio, M; Andersen, ZJ; Nieuwenhuijsen, MJ; Hu, L; de Nazelle, A; An, RP; Garcia, LMT; Goenka, S; Zapata-Diomedi, B; Bull, F; de Sá, TH</t>
        </is>
      </c>
      <c r="F897" t="inlineStr">
        <is>
          <t>Tainio, Marko; Andersen, Zorana Jovanovic; Nieuwenhuijsen, Mark J.; Hu, Liang; de Nazelle, Audrey; An, Ruopeng; Garcia, Leandro M. T.; Goenka, Shifalika; Zapata-Diomedi, Belen; Bull, Fiona; de Sa, Thiago Herick</t>
        </is>
      </c>
      <c r="J897" t="inlineStr">
        <is>
          <t>ENVIRONMENT INTERNATIONAL</t>
        </is>
      </c>
      <c r="M897" t="inlineStr">
        <is>
          <t>English</t>
        </is>
      </c>
      <c r="N897" t="inlineStr">
        <is>
          <t>Review</t>
        </is>
      </c>
      <c r="T897" t="inlineStr">
        <is>
          <t>Air pollution, physical activity and health: A mapping review of the evidence</t>
        </is>
      </c>
      <c r="U897" t="inlineStr">
        <is>
          <t>Air pollutants; Exercise; Active travel; Transport; Environment and public health</t>
        </is>
      </c>
      <c r="V897" t="inlineStr">
        <is>
          <t>FINE PARTICULATE MATTER; SHORT-TERM EXPOSURE; LEISURE-TIME; HEART-DISEASE; EXERCISE PERFORMANCE; BUILT ENVIRONMENT; POPULATION HEALTH; BLOOD-PRESSURE; ROUTE CHOICE; IMPACT</t>
        </is>
      </c>
      <c r="W897" t="inlineStr">
        <is>
          <t>Background: Exposure to air pollution and physical inactivity are both significant risk factors for non-communicable diseases (NCDs). These risk factors are also linked so that the change in exposure in one will impact risks and benefits of the other. These links are well captured in the active transport (walking, cycling) health impact models, in which the increases in active transport leading to increased inhaled dose of air pollution. However, these links are more complex and go beyond the active transport research field. Hence, in this study, we aimed to summarize the empirical evidence on the links between air pollution and physical activity, and their combined effect on individual and population health. Objectives and methods: We conducted a non-systematic mapping review of empirical and modelling evidence of the possible links between exposure to air pollution and physical activity published until Autumn 2019. We reviewed empirical evidence for the (i) impact of exposure to air pollution on physical activity behaviour, (ii) exposure to air pollution while engaged in physical activity and (iii) the short-term and (iv) long-term health effects of air pollution exposure on people engaged in physical activity. In addition, we reviewed (v) public health modelling studies that have quantified the combined effect of air pollution and physical activity. These broad research areas were identified through expert discussions, including two public events performed in health-related conferences. Results and discussion: The current literature suggests that air pollution may decrease physical activity levels during high air pollution episodes or may prevent people from engaging in physical activity overall in highly polluted environments. Several studies have estimated fine particulate matter (PM2.5) exposure in active transport environment in Europe and North-America, but the concentration in other regions, places for physical activity and for other air pollutants are poorly understood. Observational epidemiological studies provide some evidence for a possible interaction between air pollution and physical activity for acute health outcomes, while results for long-term effects are mixed with several studies suggesting small diminishing health gains from physical activity due to exposure to air pollution for long-term outcomes. Public health modelling studies have estimated that in most situations benefits of physical activity outweigh the risks of air pollution, at least in the active transport environment. However, overall evidence on all examined links is weak for low- and middle-income countries, for sensitive subpopulations (children, elderly, pregnant women, people with pre-existing conditions), and for indoor air pollution. Conclusions: Physical activity and air pollution are linked through multiple mechanisms, and these relations could have important implications for public health, especially in locations with high air pollution concentrations. Overall, this review calls for international collaboration between air pollution and physical activity research fields to strengthen the evidence base on the links between both and on how policy options could potentially reduce risks and maximise health benefits.</t>
        </is>
      </c>
      <c r="X897" t="inlineStr">
        <is>
          <t>[Tainio, Marko] Finnish Environm Inst SYKE, Sustainable Urbanisat Programme, Helsinki, Finland; [Tainio, Marko] Polish Acad Sci, Syst Res Inst, Warsaw, Poland; [Andersen, Zorana Jovanovic] Univ Copenhagen, Dept Publ Hlth, Copenhagen, Denmark; [Nieuwenhuijsen, Mark J.] ISGlobal Barcelona Inst Global Hlth, Barcelona, Spain; [Nieuwenhuijsen, Mark J.] Univ Pompeu Fabra, Barcelona, Spain; [Nieuwenhuijsen, Mark J.] CIBER Epidemiol &amp; Salud Publ, Madrid, Spain; [Hu, Liang] Zhejiang Univ, Dept Sport Sci, Hangzhou, Peoples R China; [de Nazelle, Audrey] Imperial Coll London, Ctr Environm Policy, London, England; [An, Ruopeng] Washington Univ St Louis, Brown Sch, St Louis, MO USA; [Garcia, Leandro M. T.] Queens Univ Belfast, Ctr Publ Hlth, Belfast, Antrim, North Ireland; [Goenka, Shifalika] Ctr Chron Dis Control &amp; Publ Hlth Fdn India, New Delhi, India; [Zapata-Diomedi, Belen] RMIT Univ, Ctr Urban Res, Melbourne, Vic, Australia; [Bull, Fiona] WHO, Dept Hlth Promot, Geneva, Switzerland; [de Sa, Thiago Herick] WHO, Dept Environm Climate Change &amp; Hlth, Geneva, Switzerland</t>
        </is>
      </c>
      <c r="Y897" t="inlineStr">
        <is>
          <t>Finnish Environment Institute; Polish Academy of Sciences; Systems Research Institute of the Polish Academy of Sciences; University of Copenhagen; ISGlobal; Pompeu Fabra University; CIBER - Centro de Investigacion Biomedica en Red; CIBERESP; Zhejiang University; Imperial College London; Washington University (WUSTL); Queens University Belfast; Public Health Foundation of India; Royal Melbourne Institute of Technology (RMIT); World Health Organization; World Health Organization</t>
        </is>
      </c>
      <c r="Z897" t="inlineStr">
        <is>
          <t>de Sá, TH (corresponding author), Air Qual &amp; Hlth Unit, Zurich, Switzerland.</t>
        </is>
      </c>
      <c r="AA897" t="inlineStr">
        <is>
          <t>herickdesat@who.int</t>
        </is>
      </c>
      <c r="AB897" t="inlineStr">
        <is>
          <t>New Delhi, CCDC/IWD-9751-2023; Zapata-Diomedi, Belen/HJI-4801-2023; Garcia, Leandro MT/I-7520-2013; Nieuwenhuijsen, Mark J/C-3914-2017</t>
        </is>
      </c>
      <c r="AC897" t="inlineStr">
        <is>
          <t>Zapata-Diomedi, Belen/0000-0002-9238-0375; Garcia, Leandro MT/0000-0001-5947-2617; Nieuwenhuijsen, Mark J/0000-0001-9461-7981; de Nazelle, Audrey/0000-0002-1092-3971; Tainio, Marko/0000-0002-0973-2342</t>
        </is>
      </c>
      <c r="AD897" t="inlineStr">
        <is>
          <t>Medical Research Council [MR/S019669/1] Funding Source: Medline; World Health Organization [001] Funding Source: Medline</t>
        </is>
      </c>
      <c r="AE897" t="inlineStr">
        <is>
          <t>Medical Research Council(UK Research &amp; Innovation (UKRI)Medical Research Council UK (MRC)); World Health Organization(World Health Organization)</t>
        </is>
      </c>
      <c r="AH897" t="n">
        <v>107</v>
      </c>
      <c r="AI897" t="n">
        <v>144</v>
      </c>
      <c r="AJ897" t="n">
        <v>148</v>
      </c>
      <c r="AK897" t="n">
        <v>55</v>
      </c>
      <c r="AL897" t="n">
        <v>281</v>
      </c>
      <c r="AM897" t="inlineStr">
        <is>
          <t>PERGAMON-ELSEVIER SCIENCE LTD</t>
        </is>
      </c>
      <c r="AN897" t="inlineStr">
        <is>
          <t>OXFORD</t>
        </is>
      </c>
      <c r="AO897" t="inlineStr">
        <is>
          <t>THE BOULEVARD, LANGFORD LANE, KIDLINGTON, OXFORD OX5 1GB, ENGLAND</t>
        </is>
      </c>
      <c r="AP897" t="inlineStr">
        <is>
          <t>0160-4120</t>
        </is>
      </c>
      <c r="AQ897" t="inlineStr">
        <is>
          <t>1873-6750</t>
        </is>
      </c>
      <c r="AS897" t="inlineStr">
        <is>
          <t>ENVIRON INT</t>
        </is>
      </c>
      <c r="AT897" t="inlineStr">
        <is>
          <t>Environ. Int.</t>
        </is>
      </c>
      <c r="AU897" t="inlineStr">
        <is>
          <t>FEB</t>
        </is>
      </c>
      <c r="AV897" t="n">
        <v>2021</v>
      </c>
      <c r="AW897" t="n">
        <v>147</v>
      </c>
      <c r="BE897" t="n">
        <v>105954</v>
      </c>
      <c r="BF897" t="inlineStr">
        <is>
          <t>10.1016/j.envint.2020.105954</t>
        </is>
      </c>
      <c r="BG897">
        <f>HYPERLINK("http://dx.doi.org/10.1016/j.envint.2020.105954","http://dx.doi.org/10.1016/j.envint.2020.105954")</f>
        <v/>
      </c>
      <c r="BJ897" t="n">
        <v>15</v>
      </c>
      <c r="BK897" t="inlineStr">
        <is>
          <t>Environmental Sciences</t>
        </is>
      </c>
      <c r="BL897" t="inlineStr">
        <is>
          <t>Science Citation Index Expanded (SCI-EXPANDED)</t>
        </is>
      </c>
      <c r="BM897" t="inlineStr">
        <is>
          <t>Environmental Sciences &amp; Ecology</t>
        </is>
      </c>
      <c r="BN897" t="inlineStr">
        <is>
          <t>QC0PA</t>
        </is>
      </c>
      <c r="BO897" t="n">
        <v>33352412</v>
      </c>
      <c r="BP897" t="inlineStr">
        <is>
          <t>Green Published, gold</t>
        </is>
      </c>
      <c r="BS897" t="inlineStr">
        <is>
          <t>2023-10-26</t>
        </is>
      </c>
      <c r="BT897" t="inlineStr">
        <is>
          <t>WOS:000614535400001</t>
        </is>
      </c>
      <c r="BU897">
        <f>HYPERLINK("https%3A%2F%2Fwww.webofscience.com%2Fwos%2Fwoscc%2Ffull-record%2FWOS:000614535400001","View Full Record in Web of Science")</f>
        <v/>
      </c>
    </row>
    <row r="898">
      <c r="A898" t="inlineStr">
        <is>
          <t>J</t>
        </is>
      </c>
      <c r="B898" t="inlineStr">
        <is>
          <t>Choo, CC; Kuek, JHL; Burton, AAD</t>
        </is>
      </c>
      <c r="F898" t="inlineStr">
        <is>
          <t>Choo, Carol C.; Kuek, Jonathan H. L.; Burton, Andre A. D.</t>
        </is>
      </c>
      <c r="J898" t="inlineStr">
        <is>
          <t>INTERNATIONAL JOURNAL OF ENVIRONMENTAL RESEARCH AND PUBLIC HEALTH</t>
        </is>
      </c>
      <c r="M898" t="inlineStr">
        <is>
          <t>English</t>
        </is>
      </c>
      <c r="N898" t="inlineStr">
        <is>
          <t>Review</t>
        </is>
      </c>
      <c r="T898" t="inlineStr">
        <is>
          <t>Smartphone Applications for Mindfulness Interventions with Suicidality in Asian Older Adults: A Literature Review</t>
        </is>
      </c>
      <c r="U898" t="inlineStr">
        <is>
          <t>suicidality; Asian older adults; smartphone applications; mindfulness</t>
        </is>
      </c>
      <c r="V898" t="inlineStr">
        <is>
          <t>MOBILE MINDFULNESS; APP; STRESS; FEASIBILITY; PREVENTION; DRINKING; THERAPY; USERS; COACH; HELP</t>
        </is>
      </c>
      <c r="W898" t="inlineStr">
        <is>
          <t>Elderly suicide is a rising concern. Despite the advent of mobile technology, there remained a gap in the evidence base as to whether smartphone applications could be used for mindfulness intervention for suicidality in Asian older adults. This paper aimed to review recent research relevant to smartphone applications that could be used in providing mindfulness interventions for suicidality to Asian older adults. The inclusion criteria for this review were papers published in peer-reviewed journals from 2008 to 2018 with the usage of specific search terms, namely, smartphone application', mobile application', and mindfulness', assessed against the inclusion criteria and screened by an experienced Asian clinician to be of clinical utility for mindfulness intervention for suicidality with Asian older adults. Initial search on databases yielded 236 results. A total of 35 full text papers that fit the inclusion criteria were assessed for eligibility and 10 papers were included in the current review. This review highlighted the paucity of rigorous empirically validated research into effective smartphone applications that can be used for mindfulness interventions for suicidality with Asian older adults.</t>
        </is>
      </c>
      <c r="X898" t="inlineStr">
        <is>
          <t>[Choo, Carol C.; Kuek, Jonathan H. L.] James Cook Univ, Coll Healthcare Sci, Singapore 387380, Singapore; [Burton, Andre A. D.] Curtin Univ, Sch Psychol, Perth, WA 6102, Australia</t>
        </is>
      </c>
      <c r="Y898" t="inlineStr">
        <is>
          <t>James Cook University; Curtin University</t>
        </is>
      </c>
      <c r="Z898" t="inlineStr">
        <is>
          <t>Choo, CC (corresponding author), James Cook Univ, Coll Healthcare Sci, Singapore 387380, Singapore.</t>
        </is>
      </c>
      <c r="AA898" t="inlineStr">
        <is>
          <t>carol.choo@jcu.edu.au; hkue4882@uni.sydney.edu.au; andre.burton@postgrad.curtin.edu.au</t>
        </is>
      </c>
      <c r="AB898" t="inlineStr">
        <is>
          <t>Choo, Carol/R-4024-2019</t>
        </is>
      </c>
      <c r="AC898" t="inlineStr">
        <is>
          <t>Choo, Carol/0000-0001-7868-5757; Kuek, Jonathan/0000-0001-8953-9229</t>
        </is>
      </c>
      <c r="AD898" t="inlineStr">
        <is>
          <t>James Cook University Internal Research Grant [IRG20180010]</t>
        </is>
      </c>
      <c r="AE898" t="inlineStr">
        <is>
          <t>James Cook University Internal Research Grant</t>
        </is>
      </c>
      <c r="AF898" t="inlineStr">
        <is>
          <t>Administrative support and publication cost for this work was funded by the James Cook University Internal Research Grant IRG20180010.</t>
        </is>
      </c>
      <c r="AH898" t="n">
        <v>61</v>
      </c>
      <c r="AI898" t="n">
        <v>10</v>
      </c>
      <c r="AJ898" t="n">
        <v>10</v>
      </c>
      <c r="AK898" t="n">
        <v>2</v>
      </c>
      <c r="AL898" t="n">
        <v>14</v>
      </c>
      <c r="AM898" t="inlineStr">
        <is>
          <t>MDPI</t>
        </is>
      </c>
      <c r="AN898" t="inlineStr">
        <is>
          <t>BASEL</t>
        </is>
      </c>
      <c r="AO898" t="inlineStr">
        <is>
          <t>ST ALBAN-ANLAGE 66, CH-4052 BASEL, SWITZERLAND</t>
        </is>
      </c>
      <c r="AQ898" t="inlineStr">
        <is>
          <t>1660-4601</t>
        </is>
      </c>
      <c r="AS898" t="inlineStr">
        <is>
          <t>INT J ENV RES PUB HE</t>
        </is>
      </c>
      <c r="AT898" t="inlineStr">
        <is>
          <t>Int. J. Environ. Res. Public Health</t>
        </is>
      </c>
      <c r="AU898" t="inlineStr">
        <is>
          <t>DEC</t>
        </is>
      </c>
      <c r="AV898" t="n">
        <v>2018</v>
      </c>
      <c r="AW898" t="n">
        <v>15</v>
      </c>
      <c r="AX898" t="n">
        <v>12</v>
      </c>
      <c r="BE898" t="n">
        <v>2810</v>
      </c>
      <c r="BF898" t="inlineStr">
        <is>
          <t>10.3390/ijerph15122810</t>
        </is>
      </c>
      <c r="BG898">
        <f>HYPERLINK("http://dx.doi.org/10.3390/ijerph15122810","http://dx.doi.org/10.3390/ijerph15122810")</f>
        <v/>
      </c>
      <c r="BJ898" t="n">
        <v>11</v>
      </c>
      <c r="BK898" t="inlineStr">
        <is>
          <t>Environmental Sciences; Public, Environmental &amp; Occupational Health</t>
        </is>
      </c>
      <c r="BL898" t="inlineStr">
        <is>
          <t>Science Citation Index Expanded (SCI-EXPANDED); Social Science Citation Index (SSCI)</t>
        </is>
      </c>
      <c r="BM898" t="inlineStr">
        <is>
          <t>Environmental Sciences &amp; Ecology; Public, Environmental &amp; Occupational Health</t>
        </is>
      </c>
      <c r="BN898" t="inlineStr">
        <is>
          <t>HI5XH</t>
        </is>
      </c>
      <c r="BO898" t="n">
        <v>30544738</v>
      </c>
      <c r="BP898" t="inlineStr">
        <is>
          <t>gold, Green Published, Green Accepted</t>
        </is>
      </c>
      <c r="BS898" t="inlineStr">
        <is>
          <t>2023-10-26</t>
        </is>
      </c>
      <c r="BT898" t="inlineStr">
        <is>
          <t>WOS:000456527000201</t>
        </is>
      </c>
      <c r="BU898">
        <f>HYPERLINK("https%3A%2F%2Fwww.webofscience.com%2Fwos%2Fwoscc%2Ffull-record%2FWOS:000456527000201","View Full Record in Web of Science")</f>
        <v/>
      </c>
    </row>
    <row r="899">
      <c r="A899" t="inlineStr">
        <is>
          <t>J</t>
        </is>
      </c>
      <c r="B899" t="inlineStr">
        <is>
          <t>Zhang, CJP; Barnett, A; Johnston, JM; Lai, PC; Lee, RSY; Sit, CHP; Cerin, E</t>
        </is>
      </c>
      <c r="F899" t="inlineStr">
        <is>
          <t>Zhang, Casper J. P.; Barnett, Anthony; Johnston, Janice M.; Lai, Poh-chin; Lee, Ruby S. Y.; Sit, Cindy H. P.; Cerin, Ester</t>
        </is>
      </c>
      <c r="J899" t="inlineStr">
        <is>
          <t>INTERNATIONAL JOURNAL OF ENVIRONMENTAL RESEARCH AND PUBLIC HEALTH</t>
        </is>
      </c>
      <c r="M899" t="inlineStr">
        <is>
          <t>English</t>
        </is>
      </c>
      <c r="N899" t="inlineStr">
        <is>
          <t>Article</t>
        </is>
      </c>
      <c r="T899" t="inlineStr">
        <is>
          <t>Objectively-Measured Neighbourhood Attributes as Correlates and Moderators of Quality of Life in Older Adults with Different Living Arrangements: The ALECS Cross-Sectional Study</t>
        </is>
      </c>
      <c r="U899" t="inlineStr">
        <is>
          <t>geographic information systems; environmental audits; living arrangements; mega-city; walkability; Hong Kong; social support; mental health</t>
        </is>
      </c>
      <c r="V899" t="inlineStr">
        <is>
          <t>PHYSICAL-ACTIVITY; MENTAL-HEALTH; SOCIOECONOMIC-STATUS; GREEN SPACE; ENVIRONMENT; ASSOCIATIONS; WALKING; SATISFACTION; COHESION; PEOPLE</t>
        </is>
      </c>
      <c r="W899" t="inlineStr">
        <is>
          <t>With an ageing world population, preservation of older adults' health and quality of life (QoL) is paramount. Due to lower levels of physical functionality, older adults are particularly susceptible to local environment influences, especially those living alone and lacking family support. Using generalised additive mixed models, we examined associations and confounder-adjusted associations between objectively-measured neighbourhood attributes and QoL domains in 909 Hong Kong Chinese elderly community dwellers. Most examined neighbourhood attributes were not associated with QoL in the whole sample. Neighbourhood residential and entertainment density was curvilinearly and/or linearly related to specific QoL domains. Number of parks was negatively associated with social QoL and having well-treed parks with higher levels of social QoL. Older adults living alone in neighbourhoods with poor access to destinations and few activities in parks showed lower environmental and/or social QoL than their counterparts. Neighbourhood built environment characteristics do not seem to impact Hong Kong older adults' physical and psychological QoL. Medium-to-high density, well-ordered neighbourhoods with optimal mixes of well-treed public open spaces and services meeting their daily needs may significantly contribute to social and environmental QoL in this population and appear particularly important to those living alone.</t>
        </is>
      </c>
      <c r="X899" t="inlineStr">
        <is>
          <t>[Zhang, Casper J. P.; Johnston, Janice M.; Cerin, Ester] Univ Hong Kong, Sch Publ Hlth, Hong Kong, Peoples R China; [Barnett, Anthony; Cerin, Ester] Australian Catholic Univ, Mary MacKillop Inst Hlth Res, Melbourne, Vic 3000, Australia; [Lai, Poh-chin] Univ Hong Kong, Fac Social Sci, Dept Geog, Hong Kong, Peoples R China; [Lee, Ruby S. Y.] Govt Hong Kong Special Adm Reg, Dept Hlth, Elderly Hlth Serv, Hong Kong, Peoples R China; [Sit, Cindy H. P.] Chinese Univ Hong Kong, Fac Educ, Dept Sports Sci &amp; Phys Educ, Hong Kong, Peoples R China</t>
        </is>
      </c>
      <c r="Y899" t="inlineStr">
        <is>
          <t>University of Hong Kong; Australian Catholic University; University of Hong Kong; Chinese University of Hong Kong</t>
        </is>
      </c>
      <c r="Z899" t="inlineStr">
        <is>
          <t>Cerin, E (corresponding author), Univ Hong Kong, Sch Publ Hlth, Hong Kong, Peoples R China.;Cerin, E (corresponding author), Australian Catholic Univ, Mary MacKillop Inst Hlth Res, Melbourne, Vic 3000, Australia.</t>
        </is>
      </c>
      <c r="AA899" t="inlineStr">
        <is>
          <t>casperz1@connect.hku.hk; Anthony.Barnett@acu.edu.au; jjohnsto@hku.hk; pclai@hku.hk; ruby_sy_lee@dh.gov.hk; sithp@cuhk.edu.hk; ecerin@hku.hk</t>
        </is>
      </c>
      <c r="AB899" t="inlineStr">
        <is>
          <t>Cerin, Ester/Z-2011-2019; Cerin, Ester/L-1271-2015; Sit, Cindy/AAY-1056-2020; Barnett, Anthony/A-8205-2019; Lai, Poh Chin/D-4886-2009; Zhang, Casper J. P./AAH-6101-2019; Johnston, Janice Mary/C-4288-2009</t>
        </is>
      </c>
      <c r="AC899" t="inlineStr">
        <is>
          <t>Cerin, Ester/0000-0002-7599-165X; Cerin, Ester/0000-0002-7599-165X; Sit, Cindy/0000-0001-9992-7866; Barnett, Anthony/0000-0002-6320-4073; Zhang, Casper J. P./0000-0003-1047-0287; Johnston, Janice Mary/0000-0002-6624-867X; Lai, PC/0000-0003-2458-5405</t>
        </is>
      </c>
      <c r="AD899" t="inlineStr">
        <is>
          <t>University Grant Committee, Hong Kong [HKU 741511H]; Australian Research Council Future Fellowship [FT14010085]</t>
        </is>
      </c>
      <c r="AE899" t="inlineStr">
        <is>
          <t>University Grant Committee, Hong Kong; Australian Research Council Future Fellowship(Australian Research Council)</t>
        </is>
      </c>
      <c r="AF899" t="inlineStr">
        <is>
          <t>This study received a General Research Fund grant from the University Grant Committee, Hong Kong (HKU 741511H). Ester Cerin is supported by an Australian Research Council Future Fellowship (FT14010085). The funding bodies had no role in the design of the study, interpretation of the data, decision to publish, or writing of the manuscript.</t>
        </is>
      </c>
      <c r="AH899" t="n">
        <v>64</v>
      </c>
      <c r="AI899" t="n">
        <v>17</v>
      </c>
      <c r="AJ899" t="n">
        <v>18</v>
      </c>
      <c r="AK899" t="n">
        <v>9</v>
      </c>
      <c r="AL899" t="n">
        <v>53</v>
      </c>
      <c r="AM899" t="inlineStr">
        <is>
          <t>MDPI</t>
        </is>
      </c>
      <c r="AN899" t="inlineStr">
        <is>
          <t>BASEL</t>
        </is>
      </c>
      <c r="AO899" t="inlineStr">
        <is>
          <t>ST ALBAN-ANLAGE 66, CH-4052 BASEL, SWITZERLAND</t>
        </is>
      </c>
      <c r="AQ899" t="inlineStr">
        <is>
          <t>1660-4601</t>
        </is>
      </c>
      <c r="AS899" t="inlineStr">
        <is>
          <t>INT J ENV RES PUB HE</t>
        </is>
      </c>
      <c r="AT899" t="inlineStr">
        <is>
          <t>Int. J. Environ. Res. Public Health</t>
        </is>
      </c>
      <c r="AU899" t="inlineStr">
        <is>
          <t>MAR 1</t>
        </is>
      </c>
      <c r="AV899" t="n">
        <v>2019</v>
      </c>
      <c r="AW899" t="n">
        <v>16</v>
      </c>
      <c r="AX899" t="n">
        <v>5</v>
      </c>
      <c r="BE899" t="n">
        <v>876</v>
      </c>
      <c r="BF899" t="inlineStr">
        <is>
          <t>10.3390/ijerph16050876</t>
        </is>
      </c>
      <c r="BG899">
        <f>HYPERLINK("http://dx.doi.org/10.3390/ijerph16050876","http://dx.doi.org/10.3390/ijerph16050876")</f>
        <v/>
      </c>
      <c r="BJ899" t="n">
        <v>19</v>
      </c>
      <c r="BK899" t="inlineStr">
        <is>
          <t>Environmental Sciences; Public, Environmental &amp; Occupational Health</t>
        </is>
      </c>
      <c r="BL899" t="inlineStr">
        <is>
          <t>Science Citation Index Expanded (SCI-EXPANDED); Social Science Citation Index (SSCI)</t>
        </is>
      </c>
      <c r="BM899" t="inlineStr">
        <is>
          <t>Environmental Sciences &amp; Ecology; Public, Environmental &amp; Occupational Health</t>
        </is>
      </c>
      <c r="BN899" t="inlineStr">
        <is>
          <t>HQ8HD</t>
        </is>
      </c>
      <c r="BO899" t="n">
        <v>30857372</v>
      </c>
      <c r="BP899" t="inlineStr">
        <is>
          <t>Green Published, gold</t>
        </is>
      </c>
      <c r="BS899" t="inlineStr">
        <is>
          <t>2023-10-26</t>
        </is>
      </c>
      <c r="BT899" t="inlineStr">
        <is>
          <t>WOS:000462664200201</t>
        </is>
      </c>
      <c r="BU899">
        <f>HYPERLINK("https%3A%2F%2Fwww.webofscience.com%2Fwos%2Fwoscc%2Ffull-record%2FWOS:000462664200201","View Full Record in Web of Science")</f>
        <v/>
      </c>
    </row>
    <row r="900">
      <c r="A900" t="inlineStr">
        <is>
          <t>J</t>
        </is>
      </c>
      <c r="B900" t="inlineStr">
        <is>
          <t>Teramura, A; Kimura, Y; Hamada, K; Ishimoto, Y; Kawamori, M</t>
        </is>
      </c>
      <c r="F900" t="inlineStr">
        <is>
          <t>Teramura, Akira; Kimura, Yumi; Hamada, Kosuke; Ishimoto, Yasuko; Kawamori, Masato</t>
        </is>
      </c>
      <c r="J900" t="inlineStr">
        <is>
          <t>INTERNATIONAL JOURNAL OF ENVIRONMENTAL RESEARCH AND PUBLIC HEALTH</t>
        </is>
      </c>
      <c r="M900" t="inlineStr">
        <is>
          <t>English</t>
        </is>
      </c>
      <c r="N900" t="inlineStr">
        <is>
          <t>Article</t>
        </is>
      </c>
      <c r="T900" t="inlineStr">
        <is>
          <t>COVID-19-Related Lifestyle Changes among Community-Dwelling Older Adult Day-Care Users: A Qualitative Study</t>
        </is>
      </c>
      <c r="U900" t="inlineStr">
        <is>
          <t>COVID-19; older adults; lifestyle change</t>
        </is>
      </c>
      <c r="V900" t="inlineStr">
        <is>
          <t>LONELINESS</t>
        </is>
      </c>
      <c r="W900" t="inlineStr">
        <is>
          <t>In Japan, the community-based comprehensive care system is an important initiative. The purpose of this study was to understand COVID-19-related lifestyle changes experienced by older adults who lived in communities and used day-care services. Using a qualitative inductive research method, semi-structured interviews were conducted with 13 older adults who used day-care services in Kyoto City, which assessed lifestyle changes before and after the spread of COVID-19 during March-April 2021. The extracted lifestyle change codes were classified into six categories and 16 subcategories. The data revealed that older adults felt socially isolated and experienced multiple changes in their lives, including limited leisure activities, changes in roles, decreased interpersonal interaction with family and acquaintances, poor diet and sleep quality, and reduced attention to personal appearance and grooming. The findings suggest that during COVID-19, older adults had difficulty adapting to the various changes in their lives and showed a decline in physical and mental functioning. Thus, it is important for day-care facilities to create sustainable spaces in response to the various care needs of community-dwelling older adults whose lifestyles have changed as a result of the COVID-19 situation.</t>
        </is>
      </c>
      <c r="X900" t="inlineStr">
        <is>
          <t>[Teramura, Akira; Kimura, Yumi; Hamada, Kosuke; Kawamori, Masato] Osaka Univ, Grad Sch Human Sci, Osaka 5650871, Japan; [Teramura, Akira] Osaka Hlth Sci Univ, Dept Occupat Therapy, Osaka 5300043, Japan; [Hamada, Kosuke] AICHI Med Coll Phys &amp; Occupat Therapy, Kiyosu 4520931, Japan; [Ishimoto, Yasuko] Kawasaki Univ Med Welf, Dept Hlth &amp; Sports Sci, Kawasaki, Kanagawa 7010193, Japan</t>
        </is>
      </c>
      <c r="Y900" t="inlineStr">
        <is>
          <t>Osaka University</t>
        </is>
      </c>
      <c r="Z900" t="inlineStr">
        <is>
          <t>Teramura, A (corresponding author), Osaka Univ, Grad Sch Human Sci, Osaka 5650871, Japan.;Teramura, A (corresponding author), Osaka Hlth Sci Univ, Dept Occupat Therapy, Osaka 5300043, Japan.</t>
        </is>
      </c>
      <c r="AA900" t="inlineStr">
        <is>
          <t>u402964b@ecs.osaka-u.ac.jp; yumi621@gmail.com; kosuke2379@gmail.com; i-yasu@mw.kawasaki-m.ac.jp; kawaphon@hus.osaka-u.ac.jp</t>
        </is>
      </c>
      <c r="AH900" t="n">
        <v>44</v>
      </c>
      <c r="AI900" t="n">
        <v>6</v>
      </c>
      <c r="AJ900" t="n">
        <v>6</v>
      </c>
      <c r="AK900" t="n">
        <v>5</v>
      </c>
      <c r="AL900" t="n">
        <v>17</v>
      </c>
      <c r="AM900" t="inlineStr">
        <is>
          <t>MDPI</t>
        </is>
      </c>
      <c r="AN900" t="inlineStr">
        <is>
          <t>BASEL</t>
        </is>
      </c>
      <c r="AO900" t="inlineStr">
        <is>
          <t>ST ALBAN-ANLAGE 66, CH-4052 BASEL, SWITZERLAND</t>
        </is>
      </c>
      <c r="AQ900" t="inlineStr">
        <is>
          <t>1660-4601</t>
        </is>
      </c>
      <c r="AS900" t="inlineStr">
        <is>
          <t>INT J ENV RES PUB HE</t>
        </is>
      </c>
      <c r="AT900" t="inlineStr">
        <is>
          <t>Int. J. Environ. Res. Public Health</t>
        </is>
      </c>
      <c r="AU900" t="inlineStr">
        <is>
          <t>JAN</t>
        </is>
      </c>
      <c r="AV900" t="n">
        <v>2022</v>
      </c>
      <c r="AW900" t="n">
        <v>19</v>
      </c>
      <c r="AX900" t="n">
        <v>1</v>
      </c>
      <c r="BE900" t="n">
        <v>256</v>
      </c>
      <c r="BF900" t="inlineStr">
        <is>
          <t>10.3390/ijerph19010256</t>
        </is>
      </c>
      <c r="BG900">
        <f>HYPERLINK("http://dx.doi.org/10.3390/ijerph19010256","http://dx.doi.org/10.3390/ijerph19010256")</f>
        <v/>
      </c>
      <c r="BJ900" t="n">
        <v>11</v>
      </c>
      <c r="BK900" t="inlineStr">
        <is>
          <t>Environmental Sciences; Public, Environmental &amp; Occupational Health</t>
        </is>
      </c>
      <c r="BL900" t="inlineStr">
        <is>
          <t>Science Citation Index Expanded (SCI-EXPANDED); Social Science Citation Index (SSCI)</t>
        </is>
      </c>
      <c r="BM900" t="inlineStr">
        <is>
          <t>Environmental Sciences &amp; Ecology; Public, Environmental &amp; Occupational Health</t>
        </is>
      </c>
      <c r="BN900" t="inlineStr">
        <is>
          <t>YO5CZ</t>
        </is>
      </c>
      <c r="BO900" t="n">
        <v>35010515</v>
      </c>
      <c r="BP900" t="inlineStr">
        <is>
          <t>gold, Green Published</t>
        </is>
      </c>
      <c r="BS900" t="inlineStr">
        <is>
          <t>2023-10-26</t>
        </is>
      </c>
      <c r="BT900" t="inlineStr">
        <is>
          <t>WOS:000747958400001</t>
        </is>
      </c>
      <c r="BU900">
        <f>HYPERLINK("https%3A%2F%2Fwww.webofscience.com%2Fwos%2Fwoscc%2Ffull-record%2FWOS:000747958400001","View Full Record in Web of Science")</f>
        <v/>
      </c>
    </row>
    <row r="901">
      <c r="A901" t="inlineStr">
        <is>
          <t>J</t>
        </is>
      </c>
      <c r="B901" t="inlineStr">
        <is>
          <t>Um, CY; Zhang, N; Kang, K; Na, H; Choi, H; Kim, T</t>
        </is>
      </c>
      <c r="F901" t="inlineStr">
        <is>
          <t>Um, Chai Yoon; Zhang, Ning; Kang, Kyungmo; Na, HooSeung; Choi, Haneul; Kim, Taeyeon</t>
        </is>
      </c>
      <c r="J901" t="inlineStr">
        <is>
          <t>SCIENCE OF THE TOTAL ENVIRONMENT</t>
        </is>
      </c>
      <c r="M901" t="inlineStr">
        <is>
          <t>English</t>
        </is>
      </c>
      <c r="N901" t="inlineStr">
        <is>
          <t>Article</t>
        </is>
      </c>
      <c r="T901" t="inlineStr">
        <is>
          <t>Occupant behavior and indoor particulate concentrations in daycare centers</t>
        </is>
      </c>
      <c r="U901" t="inlineStr">
        <is>
          <t>Daycare center; Indoor air quality; Particulate matter; Occupant behavior; Particle resuspension; Children exposure</t>
        </is>
      </c>
      <c r="V901" t="inlineStr">
        <is>
          <t>ULTRAFINE PARTICLE CONCENTRATIONS; AIR EXCHANGE-RATE; EMISSION CHARACTERISTICS; INHALATION EXPOSURE; OUTDOOR AIR; RESUSPENSION; PENETRATION; VENTILATION; RESIDENCES; POLLUTANTS</t>
        </is>
      </c>
      <c r="W901" t="inlineStr">
        <is>
          <t>'Occupant behavior' is the primary mechanism determining indoor particulate concentrations. Various indoor human activities generate particulate matter. Human-building interactions, such as window opening behavior, change the number of outdoor particulate matter introduces to the building. 'Daycare center' where young children spend considerable time has an occupant schedule distinguished fromother types of buildings. In the study, we analyzed the effects of occupant behavior on indoor particle concentrations in daycare centers by on-site monitoring. The measurements were performed in four daycare centers located in Gyeonggi-do, South Korea. Optical particle counters(OPS, model 3330, TSI Inc., Shoreview, MN, USA) were used for particulate concentration monitoring. The source strengths of particles resuspended by each human activity were calculated, and their contributions to indoor particle concentrations were evaluated. Further, characteristics of human-building interactions and their corresponding impacts on indoor air quality were also analyzed. Results showed that particle resuspension was greater when occupants were awake (mean, 41.0 particles.min(-1)) than when they were asleep (mean, 9.2 particles.min(-1)), and the contribution of occupant status was also higher when awake (37-70% vs. 8-18%) for particles sized (0.3-10.0 mu m). Analyzing five detailed human activities, vacuuming (9.8.107 particles.min(-1)) emitted the highest amount of particulate matter per person, followed by physical activity (4.8.107 particles.min(-1)), sedentary activity (1.9.107 particles. min(-1)), meals (1.9.107 particles. min(-1)), and nap time (8.1.106 particles.min(-1)). The study suggests that vacuuming should be avoided while children are occupied. This research also shows that children could be exposed to high daily average indoor particulate concentration (up to 1217 particles.cm(-3)) when windows were opened for an extended period of time while poor outdoor air quality. These results indicate that indoor air quality can be severely degraded by opening windows without considering the level of outdoor particle concentration.</t>
        </is>
      </c>
      <c r="X901" t="inlineStr">
        <is>
          <t>[Um, Chai Yoon; Zhang, Ning; Kang, Kyungmo; Na, HooSeung; Choi, Haneul; Kim, Taeyeon] Yonsei Univ, Dept Architecture &amp; Architectural Engn, Seoul 03722, South Korea</t>
        </is>
      </c>
      <c r="Y901" t="inlineStr">
        <is>
          <t>Yonsei University</t>
        </is>
      </c>
      <c r="Z901" t="inlineStr">
        <is>
          <t>Kim, T (corresponding author), Yonsei Univ, Dept Architecture &amp; Architectural Engn, Seoul 03722, South Korea.</t>
        </is>
      </c>
      <c r="AA901" t="inlineStr">
        <is>
          <t>tkim@yonsei.ac.kr</t>
        </is>
      </c>
      <c r="AB901" t="inlineStr">
        <is>
          <t>choi, haneul/AAD-7884-2022; Kang, Kyungmo/AAB-7920-2022</t>
        </is>
      </c>
      <c r="AC901" t="inlineStr">
        <is>
          <t>choi, haneul/0000-0003-2519-6348; Kang, Kyungmo/0000-0003-2984-5739</t>
        </is>
      </c>
      <c r="AD901" t="inlineStr">
        <is>
          <t>National Research Council of Science &amp; Technology(NST) - Korea government (MSIP) [QLT-CRC-18-02-KICT]</t>
        </is>
      </c>
      <c r="AE901" t="inlineStr">
        <is>
          <t>National Research Council of Science &amp; Technology(NST) - Korea government (MSIP)(National Research Council of Science &amp; Technology (NST), Republic of Korea)</t>
        </is>
      </c>
      <c r="AF901" t="inlineStr">
        <is>
          <t>This research was supported by the National Research Council of Science &amp; Technology(NST) funded by the Korea government (MSIP) (No. QLT-CRC-18-02-KICT).</t>
        </is>
      </c>
      <c r="AH901" t="n">
        <v>48</v>
      </c>
      <c r="AI901" t="n">
        <v>6</v>
      </c>
      <c r="AJ901" t="n">
        <v>6</v>
      </c>
      <c r="AK901" t="n">
        <v>0</v>
      </c>
      <c r="AL901" t="n">
        <v>11</v>
      </c>
      <c r="AM901" t="inlineStr">
        <is>
          <t>ELSEVIER</t>
        </is>
      </c>
      <c r="AN901" t="inlineStr">
        <is>
          <t>AMSTERDAM</t>
        </is>
      </c>
      <c r="AO901" t="inlineStr">
        <is>
          <t>RADARWEG 29, 1043 NX AMSTERDAM, NETHERLANDS</t>
        </is>
      </c>
      <c r="AP901" t="inlineStr">
        <is>
          <t>0048-9697</t>
        </is>
      </c>
      <c r="AQ901" t="inlineStr">
        <is>
          <t>1879-1026</t>
        </is>
      </c>
      <c r="AS901" t="inlineStr">
        <is>
          <t>SCI TOTAL ENVIRON</t>
        </is>
      </c>
      <c r="AT901" t="inlineStr">
        <is>
          <t>Sci. Total Environ.</t>
        </is>
      </c>
      <c r="AU901" t="inlineStr">
        <is>
          <t>JUN 10</t>
        </is>
      </c>
      <c r="AV901" t="n">
        <v>2022</v>
      </c>
      <c r="AW901" t="n">
        <v>824</v>
      </c>
      <c r="BE901" t="n">
        <v>153206</v>
      </c>
      <c r="BF901" t="inlineStr">
        <is>
          <t>10.1016/j.scitotenv.2022.153206</t>
        </is>
      </c>
      <c r="BG901">
        <f>HYPERLINK("http://dx.doi.org/10.1016/j.scitotenv.2022.153206","http://dx.doi.org/10.1016/j.scitotenv.2022.153206")</f>
        <v/>
      </c>
      <c r="BI901" t="inlineStr">
        <is>
          <t>FEB 2022</t>
        </is>
      </c>
      <c r="BJ901" t="n">
        <v>11</v>
      </c>
      <c r="BK901" t="inlineStr">
        <is>
          <t>Environmental Sciences</t>
        </is>
      </c>
      <c r="BL901" t="inlineStr">
        <is>
          <t>Science Citation Index Expanded (SCI-EXPANDED)</t>
        </is>
      </c>
      <c r="BM901" t="inlineStr">
        <is>
          <t>Environmental Sciences &amp; Ecology</t>
        </is>
      </c>
      <c r="BN901" t="inlineStr">
        <is>
          <t>ZP1BZ</t>
        </is>
      </c>
      <c r="BO901" t="n">
        <v>35101509</v>
      </c>
      <c r="BS901" t="inlineStr">
        <is>
          <t>2023-10-26</t>
        </is>
      </c>
      <c r="BT901" t="inlineStr">
        <is>
          <t>WOS:000766161300001</t>
        </is>
      </c>
      <c r="BU901">
        <f>HYPERLINK("https%3A%2F%2Fwww.webofscience.com%2Fwos%2Fwoscc%2Ffull-record%2FWOS:000766161300001","View Full Record in Web of Science")</f>
        <v/>
      </c>
    </row>
    <row r="902">
      <c r="A902" t="inlineStr">
        <is>
          <t>J</t>
        </is>
      </c>
      <c r="B902" t="inlineStr">
        <is>
          <t>Chia, JATL; Hartanto, A</t>
        </is>
      </c>
      <c r="F902" t="inlineStr">
        <is>
          <t>Chia, Jonathan L.; Hartanto, Andree</t>
        </is>
      </c>
      <c r="J902" t="inlineStr">
        <is>
          <t>INTERNATIONAL JOURNAL OF ENVIRONMENTAL RESEARCH AND PUBLIC HEALTH</t>
        </is>
      </c>
      <c r="M902" t="inlineStr">
        <is>
          <t>English</t>
        </is>
      </c>
      <c r="N902" t="inlineStr">
        <is>
          <t>Article</t>
        </is>
      </c>
      <c r="T902" t="inlineStr">
        <is>
          <t>Older Adult Employment Status and Well-Being: A Longitudinal Bidirectional Analysis</t>
        </is>
      </c>
      <c r="U902" t="inlineStr">
        <is>
          <t>older adults; employment; well-being; longitudinal analysis</t>
        </is>
      </c>
      <c r="V902" t="inlineStr">
        <is>
          <t>MENTAL-HEALTH; AGE; LIFE; UNEMPLOYMENT; RETIREMENT; WORK; PERSONALITY; PERSPECTIVE; ATTITUDES; HAPPINESS</t>
        </is>
      </c>
      <c r="W902" t="inlineStr">
        <is>
          <t>Mixed findings in the literature on the effects of older adult employment on well-being and the reciprocal influence of well-being on employment suggest the need for more careful methodology in teasing out this relationship. Moreover, as previous research has shown that different domains of well-being relate to constructs differently, more nuanced definitions of well-being may be appropriate. The present study examined the longitudinal bidirectional associations of employment and different domains of well-being, controlling for stable within-person variables. The present study sampled older adults from the Midlife Development in the US study at three timepoints on employment status and well-being, specifically psychological, social, and subjective well-being. A Random-Intercept Cross-lagged Panel Model (RI-CLPM) approach was employed to determine the longitudinal bidirectional influence of employment and domains of well-being. Results showed that employment status was not associated with various well-being domains at a later time point. Results also showed that greater well-being, specifically in meaningfulness of society and personal growth, was associated with being employed at a later time point.</t>
        </is>
      </c>
      <c r="X902" t="inlineStr">
        <is>
          <t>[Chia, Jonathan L.; Hartanto, Andree] Singapore Management Univ, Sch Social Sci, Singapore 178903, Singapore</t>
        </is>
      </c>
      <c r="Y902" t="inlineStr">
        <is>
          <t>Singapore Management University</t>
        </is>
      </c>
      <c r="Z902" t="inlineStr">
        <is>
          <t>Chia, JATL (corresponding author), Singapore Management Univ, Sch Social Sci, Singapore 178903, Singapore.</t>
        </is>
      </c>
      <c r="AA902" t="inlineStr">
        <is>
          <t>jschia.2021@phdps.smu.edu.sg</t>
        </is>
      </c>
      <c r="AC902" t="inlineStr">
        <is>
          <t>Chia, Jonathan/0000-0002-1055-5056</t>
        </is>
      </c>
      <c r="AD902" t="inlineStr">
        <is>
          <t>Lee Kong Chian Fund for Research Excellence; John D. Catherine T. MacArthur Foundation Research Network on Successful Midlife Development; National Institute on Aging [P01-AG020166, U19-AG051426, T32-AG000204]</t>
        </is>
      </c>
      <c r="AE902" t="inlineStr">
        <is>
          <t>Lee Kong Chian Fund for Research Excellence; John D. Catherine T. MacArthur Foundation Research Network on Successful Midlife Development; National Institute on Aging(United States Department of Health &amp; Human ServicesNational Institutes of Health (NIH) - USANIH National Institute on Aging (NIA))</t>
        </is>
      </c>
      <c r="AF902" t="inlineStr">
        <is>
          <t>This research was supported by the Lee Kong Chian Fund for Research Excellence awarded to A.H. The MIDUS I study was supported by a grant from the John D. Catherine T. MacArthur Foundation Research Network on Successful Midlife Development. The MIDUS II and MIDUS III was supported by the National Institute on Aging (P01-AG020166, U19-AG051426, T32-AG000204) to conduct a longitudinal follow-up of the MIDUS I study.</t>
        </is>
      </c>
      <c r="AH902" t="n">
        <v>83</v>
      </c>
      <c r="AI902" t="n">
        <v>3</v>
      </c>
      <c r="AJ902" t="n">
        <v>3</v>
      </c>
      <c r="AK902" t="n">
        <v>3</v>
      </c>
      <c r="AL902" t="n">
        <v>27</v>
      </c>
      <c r="AM902" t="inlineStr">
        <is>
          <t>MDPI</t>
        </is>
      </c>
      <c r="AN902" t="inlineStr">
        <is>
          <t>BASEL</t>
        </is>
      </c>
      <c r="AO902" t="inlineStr">
        <is>
          <t>ST ALBAN-ANLAGE 66, CH-4052 BASEL, SWITZERLAND</t>
        </is>
      </c>
      <c r="AQ902" t="inlineStr">
        <is>
          <t>1660-4601</t>
        </is>
      </c>
      <c r="AS902" t="inlineStr">
        <is>
          <t>INT J ENV RES PUB HE</t>
        </is>
      </c>
      <c r="AT902" t="inlineStr">
        <is>
          <t>Int. J. Environ. Res. Public Health</t>
        </is>
      </c>
      <c r="AU902" t="inlineStr">
        <is>
          <t>DEC</t>
        </is>
      </c>
      <c r="AV902" t="n">
        <v>2021</v>
      </c>
      <c r="AW902" t="n">
        <v>18</v>
      </c>
      <c r="AX902" t="n">
        <v>23</v>
      </c>
      <c r="BE902" t="n">
        <v>12533</v>
      </c>
      <c r="BF902" t="inlineStr">
        <is>
          <t>10.3390/ijerph182312533</t>
        </is>
      </c>
      <c r="BG902">
        <f>HYPERLINK("http://dx.doi.org/10.3390/ijerph182312533","http://dx.doi.org/10.3390/ijerph182312533")</f>
        <v/>
      </c>
      <c r="BJ902" t="n">
        <v>19</v>
      </c>
      <c r="BK902" t="inlineStr">
        <is>
          <t>Environmental Sciences; Public, Environmental &amp; Occupational Health</t>
        </is>
      </c>
      <c r="BL902" t="inlineStr">
        <is>
          <t>Science Citation Index Expanded (SCI-EXPANDED); Social Science Citation Index (SSCI)</t>
        </is>
      </c>
      <c r="BM902" t="inlineStr">
        <is>
          <t>Environmental Sciences &amp; Ecology; Public, Environmental &amp; Occupational Health</t>
        </is>
      </c>
      <c r="BN902" t="inlineStr">
        <is>
          <t>XW2LM</t>
        </is>
      </c>
      <c r="BO902" t="n">
        <v>34886258</v>
      </c>
      <c r="BP902" t="inlineStr">
        <is>
          <t>Green Published, gold</t>
        </is>
      </c>
      <c r="BS902" t="inlineStr">
        <is>
          <t>2023-10-26</t>
        </is>
      </c>
      <c r="BT902" t="inlineStr">
        <is>
          <t>WOS:000735457400001</t>
        </is>
      </c>
      <c r="BU902">
        <f>HYPERLINK("https%3A%2F%2Fwww.webofscience.com%2Fwos%2Fwoscc%2Ffull-record%2FWOS:000735457400001","View Full Record in Web of Science")</f>
        <v/>
      </c>
    </row>
    <row r="903">
      <c r="A903" t="inlineStr">
        <is>
          <t>J</t>
        </is>
      </c>
      <c r="B903" t="inlineStr">
        <is>
          <t>Chen, XW; de Vries, S; Assmuth, T; Dick, J; Hermans, T; Hertel, O; Jensen, A; Jones, L; Kabisch, S; Lanki, T; Lehmann, I; Maskell, L; Norton, L; Reis, S</t>
        </is>
      </c>
      <c r="F903" t="inlineStr">
        <is>
          <t>Chen, Xianwen; de Vries, Sjerp; Assmuth, Timo; Dick, Jan; Hermans, Tia; Hertel, Ole; Jensen, Anne; Jones, Laurence; Kabisch, Sigrun; Lanki, Timo; Lehmann, Irina; Maskell, Lindsay; Norton, Lisa; Reis, Stefan</t>
        </is>
      </c>
      <c r="J903" t="inlineStr">
        <is>
          <t>SCIENCE OF THE TOTAL ENVIRONMENT</t>
        </is>
      </c>
      <c r="M903" t="inlineStr">
        <is>
          <t>English</t>
        </is>
      </c>
      <c r="N903" t="inlineStr">
        <is>
          <t>Review</t>
        </is>
      </c>
      <c r="T903" t="inlineStr">
        <is>
          <t>Research challenges for cultural ecosystem services and public health in (peri-)urban environments</t>
        </is>
      </c>
      <c r="U903" t="inlineStr">
        <is>
          <t>Cultural ecosystem services; Public health; Urban green/blue infrastructure; Nature-based solutions</t>
        </is>
      </c>
      <c r="V903" t="inlineStr">
        <is>
          <t>URBAN GREEN-SPACE; NATURAL ENVIRONMENTS; BENEFITS; ACCESSIBILITY; INEQUALITIES; RECREATION; DEPRESSION; FRAMEWORK; EXPOSURE; DISEASE</t>
        </is>
      </c>
      <c r="W903" t="inlineStr">
        <is>
          <t>Urbanization is a global trend, and consequently the quality of urban environments is increasingly important for human health and wellbeing. Urban life-style is typically associated with low physical activity and sometimes with high mental stress, both contributing to an increasing burden of diseases. Nature-based solutions that make effective use of ecosystem services, particularly of cultural ecosystem services (CES), can provide vital building blocks to address these challenges. This paper argues that, the salutogenic, i.e. health-promoting effects of CES have so far not been adequately recognised and deserve more explicit attention in order to enhance decision making around health and wellbeing in urban areas. However, a number of research challenges will need to be addressed to reveal the mechanisms, which underpin delivery of urban CES. These include: causal chains of supply and demand, equity, and equality of public health benefits promoted. Methodological challenges in quantifying these are discussed. The paper is highly relevant for policy makers within and beyond Europe, and also serves as a review for current researchers and as a roadmap to future short- and long-term research opportunities. (C) 2018 The Authors. Published by Elsevier B.V.</t>
        </is>
      </c>
      <c r="X903" t="inlineStr">
        <is>
          <t>[Chen, Xianwen] Norwegian Inst Nat Res, Dept Landscape Ecol, NINA, Gaustadalleen 21, N-0349 Oslo, Norway; [de Vries, Sjerp; Hermans, Tia] Wageningen Univ &amp; Res, Wageningen Environm Res, POB 47, NL-6700 AA Wageningen, Netherlands; [Assmuth, Timo] Finnish Environm Inst SYKE, POB 140, FI-00251 Helsinki, Finland; [Hertel, Ole] Aarhus Univ, Dept Environm Sci Atmospher Chem &amp; Phys Atmospher, Frederiksborgvej 399,Bldg 7413,D1-21, DK-4000 Roskilde, Denmark; [Jensen, Anne] Aarhus Univ, Dept Environm Sci Enviromental Social Sci, Frederiksborgvej 399,Bldg 7420,K1-13, DK-4000 Roskilde, Denmark; [Jones, Laurence] Environm Ctr Wales, Ctr Ecol &amp; Hydrol, Deiniol Rd, Bangor LL57 2UW, Gwynedd, Wales; [Kabisch, Sigrun] UFZ Helmholtz Ctr Environm Res, Dept Urban &amp; Environm Sociol, Permoserstr 15, D-04318 Leipzig, Germany; [Lanki, Timo] Natl Inst Hlth &amp; Welf THL, Dept Hlth Secur, POB 95, FI-70701 Kuopio, Finland; [Lanki, Timo] Univ Eastern Finland, Inst Publ Hlth &amp; Clin Nutr, Kuopio, Finland; [Lehmann, Irina] Charite Univ Med Berlin, Berlin Inst Hlth, Berlin, Germany; [Maskell, Lindsay; Norton, Lisa] Lancaster Environm Ctr, Ctr Ecol &amp; Hydrol, Lib Ave, Lancaster LA1 4AP, England; [Dick, Jan; Reis, Stefan] Ctr Ecol &amp; Hydrol, Bush Estate, Penicuik EH26 0QB, Midlothian, Scotland; [Reis, Stefan] Univ Exeter, Med Sch, Truro TR1 3HD, England</t>
        </is>
      </c>
      <c r="Y903" t="inlineStr">
        <is>
          <t>Norwegian Institute Nature Research; Wageningen University &amp; Research; Finnish Environment Institute; Aarhus University; Aarhus University; UK Centre for Ecology &amp; Hydrology (UKCEH); Helmholtz Association; Helmholtz Center for Environmental Research (UFZ); Finland National Institute for Health &amp; Welfare; University of Eastern Finland; Berlin Institute of Health; Free University of Berlin; Humboldt University of Berlin; Charite Universitatsmedizin Berlin; UK Centre for Ecology &amp; Hydrology (UKCEH); Lancaster University; UK Centre for Ecology &amp; Hydrology (UKCEH); University of Exeter</t>
        </is>
      </c>
      <c r="Z903" t="inlineStr">
        <is>
          <t>Chen, XW (corresponding author), Norwegian Inst Nat Res, Dept Landscape Ecol, NINA, Gaustadalleen 21, N-0349 Oslo, Norway.</t>
        </is>
      </c>
      <c r="AA903" t="inlineStr">
        <is>
          <t>xianwen.chen@nina.no; sjerp.devries@wur.nl; timo.assmuth@ymparisto.fi; jand@ceh.ac.uk; tia.hermans@wur.nl; oh@envs.au.dk; aj@envs.au.dk; lj@ceh.ac.uk; sigrun.kabisch@ufz.de; timo.lanki@thl.fi; irina.lehmann@bihealth.de; lcma@ceh.ac.uk; lrn@ceh.ac.uk; srei@ceh.ac.uk</t>
        </is>
      </c>
      <c r="AB903" t="inlineStr">
        <is>
          <t>Raaschou-Nielsen, Ole/GOK-0338-2022; Kabisch, Sigrun/ABF-1749-2021; de vries, sjerp/F-6225-2012; jam, amir/O-6460-2019; Jones, Laurence/A-3900-2011; Reis, Stefan/E-4713-2011; Hertel, Ole/L-4346-2013</t>
        </is>
      </c>
      <c r="AC903" t="inlineStr">
        <is>
          <t>Raaschou-Nielsen, Ole/0000-0002-1223-0909; de vries, sjerp/0000-0002-0525-6967; Jones, Laurence/0000-0002-4379-9006; Reis, Stefan/0000-0003-2428-8320; Dick, Jan/0000-0002-4180-9338; Hertel, Ole/0000-0003-0972-7735; Lehmann, Irina/0000-0001-8875-5587; Chen, Xianwen/0000-0001-9262-2568; Jensen, Anne/0000-0001-8311-8693</t>
        </is>
      </c>
      <c r="AD903" t="inlineStr">
        <is>
          <t>Partnership for European Environmental Research (PEER); Strategic Institute (SIS) programme of the Research Council of Norway [160022/F40]; Nordic Welf Air Project - Nord Forsk's Nordic Programme on Health and Welfare [75007]; BERTHA Project - Novo Nordic Foundation [27864]; Natural Environment Research Council [NE/R016429/1]; NERC [ceh020011] Funding Source: UKRI</t>
        </is>
      </c>
      <c r="AE903" t="inlineStr">
        <is>
          <t>Partnership for European Environmental Research (PEER); Strategic Institute (SIS) programme of the Research Council of Norway; Nordic Welf Air Project - Nord Forsk's Nordic Programme on Health and Welfare; BERTHA Project - Novo Nordic Foundation; Natural Environment Research Council(UK Research &amp; Innovation (UKRI)Natural Environment Research Council (NERC)); NERC(UK Research &amp; Innovation (UKRI)Natural Environment Research Council (NERC))</t>
        </is>
      </c>
      <c r="AF903" t="inlineStr">
        <is>
          <t>All authors, except T. Lanki, received internal funding from Partnership for European Environmental Research (PEER), where their employers are part of. X. Chen acknowledges funding from the Strategic Institute (SIS) programme of the Research Council of Norway (grant no. 160022/F40) for the URBAN SIS project. A. Jensen was supported by the Nordic Welf Air Project (project no. 75007: Understanding the link between Air pollution and Distribution of related Health Impacts and Welfare in the Nordic countries) funded by Nord Forsk's Nordic Programme on Health and Welfare. O. Hertel was supported by the BERTHA Project (project no. 27864: Big Data Center for Environment and Health) funded by Novo Nordic Foundation under 812 Challenge Programme: Big Data in BioMedicine. The contributions of J. Dick, L. Jones. L. Maskell, L. Norton, and S. Reis were supported by the Natural Environment Research Council award number NE/R016429/1 as part of the UK-SCaPE programme delivering UK National Capability.</t>
        </is>
      </c>
      <c r="AH903" t="n">
        <v>97</v>
      </c>
      <c r="AI903" t="n">
        <v>59</v>
      </c>
      <c r="AJ903" t="n">
        <v>59</v>
      </c>
      <c r="AK903" t="n">
        <v>11</v>
      </c>
      <c r="AL903" t="n">
        <v>236</v>
      </c>
      <c r="AM903" t="inlineStr">
        <is>
          <t>ELSEVIER SCIENCE BV</t>
        </is>
      </c>
      <c r="AN903" t="inlineStr">
        <is>
          <t>AMSTERDAM</t>
        </is>
      </c>
      <c r="AO903" t="inlineStr">
        <is>
          <t>PO BOX 211, 1000 AE AMSTERDAM, NETHERLANDS</t>
        </is>
      </c>
      <c r="AP903" t="inlineStr">
        <is>
          <t>0048-9697</t>
        </is>
      </c>
      <c r="AQ903" t="inlineStr">
        <is>
          <t>1879-1026</t>
        </is>
      </c>
      <c r="AS903" t="inlineStr">
        <is>
          <t>SCI TOTAL ENVIRON</t>
        </is>
      </c>
      <c r="AT903" t="inlineStr">
        <is>
          <t>Sci. Total Environ.</t>
        </is>
      </c>
      <c r="AU903" t="inlineStr">
        <is>
          <t>FEB 15</t>
        </is>
      </c>
      <c r="AV903" t="n">
        <v>2019</v>
      </c>
      <c r="AW903" t="n">
        <v>651</v>
      </c>
      <c r="AY903" t="n">
        <v>2</v>
      </c>
      <c r="BC903" t="n">
        <v>2118</v>
      </c>
      <c r="BD903" t="n">
        <v>2129</v>
      </c>
      <c r="BF903" t="inlineStr">
        <is>
          <t>10.1016/j.scitotenv.2018.09.030</t>
        </is>
      </c>
      <c r="BG903">
        <f>HYPERLINK("http://dx.doi.org/10.1016/j.scitotenv.2018.09.030","http://dx.doi.org/10.1016/j.scitotenv.2018.09.030")</f>
        <v/>
      </c>
      <c r="BJ903" t="n">
        <v>12</v>
      </c>
      <c r="BK903" t="inlineStr">
        <is>
          <t>Environmental Sciences</t>
        </is>
      </c>
      <c r="BL903" t="inlineStr">
        <is>
          <t>Science Citation Index Expanded (SCI-EXPANDED); Social Science Citation Index (SSCI)</t>
        </is>
      </c>
      <c r="BM903" t="inlineStr">
        <is>
          <t>Environmental Sciences &amp; Ecology</t>
        </is>
      </c>
      <c r="BN903" t="inlineStr">
        <is>
          <t>HA8PB</t>
        </is>
      </c>
      <c r="BO903" t="n">
        <v>30321733</v>
      </c>
      <c r="BP903" t="inlineStr">
        <is>
          <t>Green Published, Green Accepted</t>
        </is>
      </c>
      <c r="BS903" t="inlineStr">
        <is>
          <t>2023-10-26</t>
        </is>
      </c>
      <c r="BT903" t="inlineStr">
        <is>
          <t>WOS:000450551600045</t>
        </is>
      </c>
      <c r="BU903">
        <f>HYPERLINK("https%3A%2F%2Fwww.webofscience.com%2Fwos%2Fwoscc%2Ffull-record%2FWOS:000450551600045","View Full Record in Web of Science")</f>
        <v/>
      </c>
    </row>
    <row r="904">
      <c r="A904" t="inlineStr">
        <is>
          <t>J</t>
        </is>
      </c>
      <c r="B904" t="inlineStr">
        <is>
          <t>Wang, J; Yu, JB; Zhao, XG</t>
        </is>
      </c>
      <c r="F904" t="inlineStr">
        <is>
          <t>Wang, Jin; Yu, Jiabin; Zhao, Xiaoguang</t>
        </is>
      </c>
      <c r="J904" t="inlineStr">
        <is>
          <t>INTERNATIONAL JOURNAL OF ENVIRONMENTAL RESEARCH AND PUBLIC HEALTH</t>
        </is>
      </c>
      <c r="M904" t="inlineStr">
        <is>
          <t>English</t>
        </is>
      </c>
      <c r="N904" t="inlineStr">
        <is>
          <t>Article</t>
        </is>
      </c>
      <c r="T904" t="inlineStr">
        <is>
          <t>Is Subjective Age Associated with Physical Fitness in Community-Dwelling Older Adults?</t>
        </is>
      </c>
      <c r="U904" t="inlineStr">
        <is>
          <t>subjective age; physical fitness; physical activity; older adults; health outcomes</t>
        </is>
      </c>
      <c r="V904" t="inlineStr">
        <is>
          <t>FEELING YOUNGER; MORBIDITY; STRENGTH; FRAILTY; SPEED</t>
        </is>
      </c>
      <c r="W904" t="inlineStr">
        <is>
          <t>Although subjective age has been associated with a range of health-related outcomes, there has been little systematic study on the relationship between the subjective age and physical fitness in a given population. The purpose of this study was to determine the prospective association between subjective age and physical fitness in community-dwelling older adults. A sample of 276 older people who lived in the community was studied. Subjective age was measured by a face-to-face interview. Grip strength, balancing on one leg with eyes open, the 30 s chair stand test, 4 m habitual walk, and 6 min walk test were measured to reflect physical fitness. Results indicated that the felt younger older adults had a higher level of physical fitness compared to their felt older and felt the same counterparts. Multiple linear regression analysis indicated that all the measured physical fitness items were significantly associated with subjective age in older men. All of the measured physical fitness items except for the 4 m habitual walk were remarkably related to subjective age in older women. The findings suggest that subjective age is closely associated with physical fitness in community-dwelling older adults. Much attention should be paid to the promotion of physical fitness to improve the subjective age of older adults.</t>
        </is>
      </c>
      <c r="X904" t="inlineStr">
        <is>
          <t>[Wang, Jin; Yu, Jiabin; Zhao, Xiaoguang] Ningbo Univ, Fac Sport Sci, Ningbo 315211, Peoples R China; [Yu, Jiabin; Zhao, Xiaoguang] Ningbo Univ, Res Acad Grand Hlth, Ningbo 315211, Peoples R China</t>
        </is>
      </c>
      <c r="Y904" t="inlineStr">
        <is>
          <t>Ningbo University; Ningbo University</t>
        </is>
      </c>
      <c r="Z904" t="inlineStr">
        <is>
          <t>Zhao, XG (corresponding author), Ningbo Univ, Fac Sport Sci, Ningbo 315211, Peoples R China.;Zhao, XG (corresponding author), Ningbo Univ, Res Acad Grand Hlth, Ningbo 315211, Peoples R China.</t>
        </is>
      </c>
      <c r="AA904" t="inlineStr">
        <is>
          <t>wangjin@nbu.edu.cn; yujiabin@nbu.edu.cn; zhaoxiaoguang@nbu.edu.cn</t>
        </is>
      </c>
      <c r="AB904" t="inlineStr">
        <is>
          <t>Zhao, Xiaoguang/HGA-4357-2022</t>
        </is>
      </c>
      <c r="AC904" t="inlineStr">
        <is>
          <t>Zhao, Xiaoguang/0000-0003-4347-5885</t>
        </is>
      </c>
      <c r="AD904" t="inlineStr">
        <is>
          <t>Zhejiang Philosophical and Social Science Program [21NDJC004Z]; Fundamental Research Funds for the Provincial Universities of Zhejiang [SJWY2020005]</t>
        </is>
      </c>
      <c r="AE904" t="inlineStr">
        <is>
          <t>Zhejiang Philosophical and Social Science Program; Fundamental Research Funds for the Provincial Universities of Zhejiang</t>
        </is>
      </c>
      <c r="AF904" t="inlineStr">
        <is>
          <t>The work was sponsored by the Zhejiang Philosophical and Social Science Program (grant number 21NDJC004Z) and the Fundamental Research Funds for the Provincial Universities of Zhejiang (grant number SJWY2020005).</t>
        </is>
      </c>
      <c r="AH904" t="n">
        <v>45</v>
      </c>
      <c r="AI904" t="n">
        <v>4</v>
      </c>
      <c r="AJ904" t="n">
        <v>4</v>
      </c>
      <c r="AK904" t="n">
        <v>4</v>
      </c>
      <c r="AL904" t="n">
        <v>18</v>
      </c>
      <c r="AM904" t="inlineStr">
        <is>
          <t>MDPI</t>
        </is>
      </c>
      <c r="AN904" t="inlineStr">
        <is>
          <t>BASEL</t>
        </is>
      </c>
      <c r="AO904" t="inlineStr">
        <is>
          <t>ST ALBAN-ANLAGE 66, CH-4052 BASEL, SWITZERLAND</t>
        </is>
      </c>
      <c r="AQ904" t="inlineStr">
        <is>
          <t>1660-4601</t>
        </is>
      </c>
      <c r="AS904" t="inlineStr">
        <is>
          <t>INT J ENV RES PUB HE</t>
        </is>
      </c>
      <c r="AT904" t="inlineStr">
        <is>
          <t>Int. J. Environ. Res. Public Health</t>
        </is>
      </c>
      <c r="AU904" t="inlineStr">
        <is>
          <t>JUN</t>
        </is>
      </c>
      <c r="AV904" t="n">
        <v>2022</v>
      </c>
      <c r="AW904" t="n">
        <v>19</v>
      </c>
      <c r="AX904" t="n">
        <v>11</v>
      </c>
      <c r="BE904" t="n">
        <v>6841</v>
      </c>
      <c r="BF904" t="inlineStr">
        <is>
          <t>10.3390/ijerph19116841</t>
        </is>
      </c>
      <c r="BG904">
        <f>HYPERLINK("http://dx.doi.org/10.3390/ijerph19116841","http://dx.doi.org/10.3390/ijerph19116841")</f>
        <v/>
      </c>
      <c r="BJ904" t="n">
        <v>10</v>
      </c>
      <c r="BK904" t="inlineStr">
        <is>
          <t>Environmental Sciences; Public, Environmental &amp; Occupational Health</t>
        </is>
      </c>
      <c r="BL904" t="inlineStr">
        <is>
          <t>Science Citation Index Expanded (SCI-EXPANDED); Social Science Citation Index (SSCI)</t>
        </is>
      </c>
      <c r="BM904" t="inlineStr">
        <is>
          <t>Environmental Sciences &amp; Ecology; Public, Environmental &amp; Occupational Health</t>
        </is>
      </c>
      <c r="BN904" t="inlineStr">
        <is>
          <t>1Z5AK</t>
        </is>
      </c>
      <c r="BO904" t="n">
        <v>35682424</v>
      </c>
      <c r="BP904" t="inlineStr">
        <is>
          <t>Green Published, gold</t>
        </is>
      </c>
      <c r="BS904" t="inlineStr">
        <is>
          <t>2023-10-26</t>
        </is>
      </c>
      <c r="BT904" t="inlineStr">
        <is>
          <t>WOS:000808837100001</t>
        </is>
      </c>
      <c r="BU904">
        <f>HYPERLINK("https%3A%2F%2Fwww.webofscience.com%2Fwos%2Fwoscc%2Ffull-record%2FWOS:000808837100001","View Full Record in Web of Science")</f>
        <v/>
      </c>
    </row>
    <row r="905">
      <c r="A905" t="inlineStr">
        <is>
          <t>J</t>
        </is>
      </c>
      <c r="B905" t="inlineStr">
        <is>
          <t>Zhong, JNM; Latif, MT; Mohamad, N; Abd Wahid, NB; Dominick, D; Juahir, H</t>
        </is>
      </c>
      <c r="F905" t="inlineStr">
        <is>
          <t>Zhong, Jafon Ng Mum; Latif, Mohd Talib; Mohamad, Noorlin; Abd Wahid, Nurul Bahiyah; Dominick, Doreena; Juahir, Hafizan</t>
        </is>
      </c>
      <c r="J905" t="inlineStr">
        <is>
          <t>ENVIRONMENTAL FORENSICS</t>
        </is>
      </c>
      <c r="M905" t="inlineStr">
        <is>
          <t>English</t>
        </is>
      </c>
      <c r="N905" t="inlineStr">
        <is>
          <t>Article</t>
        </is>
      </c>
      <c r="T905" t="inlineStr">
        <is>
          <t>Source Apportionment of Particulate Matter (PM10) and Indoor Dust in a University Building</t>
        </is>
      </c>
      <c r="U905" t="inlineStr">
        <is>
          <t>multiple linear regression (MLR); ions; indoor dust; heavy metals; chemometrics; principle component analysis (PCA); particulate matter (PM10)</t>
        </is>
      </c>
      <c r="V905" t="inlineStr">
        <is>
          <t>POLYCYCLIC AROMATIC-HYDROCARBONS; PRINCIPAL COMPONENT SCORES; HONG-KONG; ELEMENTAL COMPOSITION; METAL LEVELS; OUTDOOR AIR; INDUSTRIAL-AREA; AMBIENT PM2.5; HEAVY-METALS; TRACE-METALS</t>
        </is>
      </c>
      <c r="W905" t="inlineStr">
        <is>
          <t>A study on source apportionment of indoor dust and particulate matter (PM10) composition was conducted in a university building by using chemometrics. The objective of this study was to investigate the potential sources of selected heavy metals and ionic species in PM10 and indoor dust. PM10 samples were collected using a low-volume sampler (LVS) and indoor dust was collected using a soft brush. Inductively coupled plasma spectrometry (ICP-MS) was used to determine the concentration of heavy metals, while the concentration of cations and anions was determined by atomic absorption spectrometer (AAS) and ion chromatography (IC), respectively. The concentration of PM10 recorded in the building throughout the sampling period ranged from 20 +/- 10 mu gm(-3) to 80 +/- 33 mu gm(-3). The composition of heavy metals in PM10 and indoor dust were dominated by zinc (Zn), followed by lead (Pb), copper (Cu), and cadmium (Cd). Principle component analysis (PCA) and multiple linear regression (MLR) showed that the main sources of pollutants in PM10 came from indoor renovations (73.83%), vehicle emissions (16.38%), earth crust sources (9.68%), and other outdoor sources (0.11%). For indoor dust, the pollutant source was mainly earth crust. This study suggests that chemometrics can be used for forensic investigation to determine the possible sources of indoor contaminants within a public building.</t>
        </is>
      </c>
      <c r="X905" t="inlineStr">
        <is>
          <t>[Zhong, Jafon Ng Mum; Latif, Mohd Talib; Mohamad, Noorlin; Abd Wahid, Nurul Bahiyah] Univ Kebangsaan Malaysia, Fac Sci &amp; Technol, Sch Environm &amp; Nat Resource Sci, Bangi, Malaysia; [Mohamad, Noorlin] Univ Malaysia Terengganu, Fac Sci &amp; Technol, Dept Engn Sci, Terengganu, Malaysia; [Abd Wahid, Nurul Bahiyah] Univ Pendidikan Sultan Idris, Fac Sci &amp; Math, Dept Biol, Perak, Malaysia; [Dominick, Doreena; Juahir, Hafizan] Univ Putra Malaysia, Fac Environm Studies, Dept Environm Sci, Serdang, Malaysia</t>
        </is>
      </c>
      <c r="Y905" t="inlineStr">
        <is>
          <t>Universiti Kebangsaan Malaysia; Universiti Malaysia Terengganu; Universiti Pendidikan Sultan Idris; Universiti Putra Malaysia</t>
        </is>
      </c>
      <c r="Z905" t="inlineStr">
        <is>
          <t>Latif, MT (corresponding author), Univ Kebangsaan Malaysia, Fac Sci &amp; Technol, Sch Environm &amp; Nat Resource Sci, Bangi 43600, Selangor, Malaysia.</t>
        </is>
      </c>
      <c r="AA905" t="inlineStr">
        <is>
          <t>talib@ukm.my</t>
        </is>
      </c>
      <c r="AB905" t="inlineStr">
        <is>
          <t>Abd Wahid, Nurul Bahiyah/ADX-6808-2022; Lee, Muhammad Hisyam/G-1914-2017; Latif, Mohd Talib/E-9560-2010; Juahir, Hafizan/Q-5262-2019; Juahir, Hafizan/T-7065-2019</t>
        </is>
      </c>
      <c r="AC905" t="inlineStr">
        <is>
          <t>Abd Wahid, Nurul Bahiyah/0000-0003-3494-3560; Lee, Muhammad Hisyam/0000-0002-3700-2363; Latif, Mohd Talib/0000-0003-2339-3321; JUAHIR, HAFIZAN/0000-0003-3763-4309</t>
        </is>
      </c>
      <c r="AD905" t="inlineStr">
        <is>
          <t>Universiti Kebangsaan Malaysia [UKM-GUP-2012-067]; Ministry of Education for Fundamental Research Grant Scheme [FRGS/1/2013/STWN01/UKM/02/2]</t>
        </is>
      </c>
      <c r="AE905" t="inlineStr">
        <is>
          <t>Universiti Kebangsaan Malaysia; Ministry of Education for Fundamental Research Grant Scheme</t>
        </is>
      </c>
      <c r="AF905" t="inlineStr">
        <is>
          <t>The authors thank Universiti Kebangsaan Malaysia for the Research University Grant (UKM-GUP-2012-067) and Ministry of Education for Fundamental Research Grant Scheme (FRGS/1/2013/STWN01/UKM/02/2).</t>
        </is>
      </c>
      <c r="AH905" t="n">
        <v>54</v>
      </c>
      <c r="AI905" t="n">
        <v>18</v>
      </c>
      <c r="AJ905" t="n">
        <v>18</v>
      </c>
      <c r="AK905" t="n">
        <v>4</v>
      </c>
      <c r="AL905" t="n">
        <v>51</v>
      </c>
      <c r="AM905" t="inlineStr">
        <is>
          <t>TAYLOR &amp; FRANCIS LTD</t>
        </is>
      </c>
      <c r="AN905" t="inlineStr">
        <is>
          <t>ABINGDON</t>
        </is>
      </c>
      <c r="AO905" t="inlineStr">
        <is>
          <t>4 PARK SQUARE, MILTON PARK, ABINGDON OX14 4RN, OXON, ENGLAND</t>
        </is>
      </c>
      <c r="AP905" t="inlineStr">
        <is>
          <t>1527-5922</t>
        </is>
      </c>
      <c r="AQ905" t="inlineStr">
        <is>
          <t>1527-5930</t>
        </is>
      </c>
      <c r="AS905" t="inlineStr">
        <is>
          <t>ENVIRON FORENSICS</t>
        </is>
      </c>
      <c r="AT905" t="inlineStr">
        <is>
          <t>Environ. Forensics</t>
        </is>
      </c>
      <c r="AU905" t="inlineStr">
        <is>
          <t>JAN 2</t>
        </is>
      </c>
      <c r="AV905" t="n">
        <v>2014</v>
      </c>
      <c r="AW905" t="n">
        <v>15</v>
      </c>
      <c r="AX905" t="n">
        <v>1</v>
      </c>
      <c r="BC905" t="n">
        <v>8</v>
      </c>
      <c r="BD905" t="n">
        <v>16</v>
      </c>
      <c r="BF905" t="inlineStr">
        <is>
          <t>10.1080/15275922.2013.872712</t>
        </is>
      </c>
      <c r="BG905">
        <f>HYPERLINK("http://dx.doi.org/10.1080/15275922.2013.872712","http://dx.doi.org/10.1080/15275922.2013.872712")</f>
        <v/>
      </c>
      <c r="BJ905" t="n">
        <v>9</v>
      </c>
      <c r="BK905" t="inlineStr">
        <is>
          <t>Environmental Sciences</t>
        </is>
      </c>
      <c r="BL905" t="inlineStr">
        <is>
          <t>Science Citation Index Expanded (SCI-EXPANDED)</t>
        </is>
      </c>
      <c r="BM905" t="inlineStr">
        <is>
          <t>Environmental Sciences &amp; Ecology</t>
        </is>
      </c>
      <c r="BN905" t="inlineStr">
        <is>
          <t>AD7YP</t>
        </is>
      </c>
      <c r="BS905" t="inlineStr">
        <is>
          <t>2023-10-26</t>
        </is>
      </c>
      <c r="BT905" t="inlineStr">
        <is>
          <t>WOS:000333483700003</t>
        </is>
      </c>
      <c r="BU905">
        <f>HYPERLINK("https%3A%2F%2Fwww.webofscience.com%2Fwos%2Fwoscc%2Ffull-record%2FWOS:000333483700003","View Full Record in Web of Science")</f>
        <v/>
      </c>
    </row>
    <row r="906">
      <c r="A906" t="inlineStr">
        <is>
          <t>J</t>
        </is>
      </c>
      <c r="B906" t="inlineStr">
        <is>
          <t>Khare, S; Chatterjee, A</t>
        </is>
      </c>
      <c r="F906" t="inlineStr">
        <is>
          <t>Khare, Sakshi; Chatterjee, Amit</t>
        </is>
      </c>
      <c r="J906" t="inlineStr">
        <is>
          <t>ENVIRONMENT DEVELOPMENT AND SUSTAINABILITY</t>
        </is>
      </c>
      <c r="M906" t="inlineStr">
        <is>
          <t>English</t>
        </is>
      </c>
      <c r="N906" t="inlineStr">
        <is>
          <t>Article; Early Access</t>
        </is>
      </c>
      <c r="T906" t="inlineStr">
        <is>
          <t>The relationship between urban built environment and happiness in Bhopal, India</t>
        </is>
      </c>
      <c r="U906" t="inlineStr">
        <is>
          <t>Happiness; Urbanisation; Built environment; Sentiment analysis; Bhopal; Social media; Mental health</t>
        </is>
      </c>
      <c r="V906" t="inlineStr">
        <is>
          <t>LIFE; QUALITY; CITIES; HAPPY</t>
        </is>
      </c>
      <c r="W906" t="inlineStr">
        <is>
          <t>Happiness is a tool that can contribute towards the betterment of mental illness and is often linked to the well-being of a place. As per the study, nearly five per cent of Indians have a mental illness, with one in every five requiring psychiatric counselling. The tangible built environment and intangible components significantly affect human happiness. The question arises is whether and to what extent do these components of the urban environment affect happiness. The present paper examines the association between the urban built environment and the happiness of a city, taking Bhopal (a fast-growing metropolis in India with a population of 1.79 million according to the 2011 census) as a case study. Based on available data, seven parameters have been selected under urban built environment, the tangible-the 'body' characteristics (public transport, open space, air quality, vegetation index, air pollution, slum, safety and security, and population density), and happiness, the intangible 'soul', which has been studied via sentiment analysis using Twitter data. The focus of this paper, thus, shifts the focus from the relationship between happiness and socioeconomic factors to a broader understanding of the association between seven 'body' variables and their relationship with the intangible 'soul'. It attempts to establish these relation characteristics using regression analysis. The findings suggest that security fears, distance from open spaces, and distance from slums are among the major determinants of happiness. A sense of positivity is also evident among the people living in high-density areas. The present research can help policymakers to understand citizens' sentiments and integrate these with urban development initiatives for the built environment, building a happy city.</t>
        </is>
      </c>
      <c r="X906" t="inlineStr">
        <is>
          <t>[Khare, Sakshi] Sch Planning &amp; Architecture, Bhopal, India; [Chatterjee, Amit] Visva Bharati, Dept Geog, Santini Ketan, India</t>
        </is>
      </c>
      <c r="Y906" t="inlineStr">
        <is>
          <t>School of Planning &amp; Architecture, Bhopal; Visva Bharati University</t>
        </is>
      </c>
      <c r="Z906" t="inlineStr">
        <is>
          <t>Chatterjee, A (corresponding author), Visva Bharati, Dept Geog, Santini Ketan, India.</t>
        </is>
      </c>
      <c r="AA906" t="inlineStr">
        <is>
          <t>sakshikvv@gmail.com; amit.chatterjee@visva-bharati.ac.in</t>
        </is>
      </c>
      <c r="AH906" t="n">
        <v>56</v>
      </c>
      <c r="AI906" t="n">
        <v>0</v>
      </c>
      <c r="AJ906" t="n">
        <v>0</v>
      </c>
      <c r="AK906" t="n">
        <v>6</v>
      </c>
      <c r="AL906" t="n">
        <v>6</v>
      </c>
      <c r="AM906" t="inlineStr">
        <is>
          <t>SPRINGER</t>
        </is>
      </c>
      <c r="AN906" t="inlineStr">
        <is>
          <t>DORDRECHT</t>
        </is>
      </c>
      <c r="AO906" t="inlineStr">
        <is>
          <t>VAN GODEWIJCKSTRAAT 30, 3311 GZ DORDRECHT, NETHERLANDS</t>
        </is>
      </c>
      <c r="AP906" t="inlineStr">
        <is>
          <t>1387-585X</t>
        </is>
      </c>
      <c r="AQ906" t="inlineStr">
        <is>
          <t>1573-2975</t>
        </is>
      </c>
      <c r="AS906" t="inlineStr">
        <is>
          <t>ENVIRON DEV SUSTAIN</t>
        </is>
      </c>
      <c r="AT906" t="inlineStr">
        <is>
          <t>Environ. Dev. Sustain.</t>
        </is>
      </c>
      <c r="AU906" t="inlineStr">
        <is>
          <t>2023 JUL 10</t>
        </is>
      </c>
      <c r="AV906" t="n">
        <v>2023</v>
      </c>
      <c r="BF906" t="inlineStr">
        <is>
          <t>10.1007/s10668-023-03539-9</t>
        </is>
      </c>
      <c r="BG906">
        <f>HYPERLINK("http://dx.doi.org/10.1007/s10668-023-03539-9","http://dx.doi.org/10.1007/s10668-023-03539-9")</f>
        <v/>
      </c>
      <c r="BI906" t="inlineStr">
        <is>
          <t>JUL 2023</t>
        </is>
      </c>
      <c r="BJ906" t="n">
        <v>16</v>
      </c>
      <c r="BK906" t="inlineStr">
        <is>
          <t>Green &amp; Sustainable Science &amp; Technology; Environmental Sciences</t>
        </is>
      </c>
      <c r="BL906" t="inlineStr">
        <is>
          <t>Science Citation Index Expanded (SCI-EXPANDED)</t>
        </is>
      </c>
      <c r="BM906" t="inlineStr">
        <is>
          <t>Science &amp; Technology - Other Topics; Environmental Sciences &amp; Ecology</t>
        </is>
      </c>
      <c r="BN906" t="inlineStr">
        <is>
          <t>L8GL4</t>
        </is>
      </c>
      <c r="BS906" t="inlineStr">
        <is>
          <t>2023-10-26</t>
        </is>
      </c>
      <c r="BT906" t="inlineStr">
        <is>
          <t>WOS:001025589100001</t>
        </is>
      </c>
      <c r="BU906">
        <f>HYPERLINK("https%3A%2F%2Fwww.webofscience.com%2Fwos%2Fwoscc%2Ffull-record%2FWOS:001025589100001","View Full Record in Web of Science")</f>
        <v/>
      </c>
    </row>
    <row r="907">
      <c r="A907" t="inlineStr">
        <is>
          <t>J</t>
        </is>
      </c>
      <c r="B907" t="inlineStr">
        <is>
          <t>Lee, H; Mayer, H</t>
        </is>
      </c>
      <c r="F907" t="inlineStr">
        <is>
          <t>Lee, Hyunjung; Mayer, Helmut</t>
        </is>
      </c>
      <c r="J907" t="inlineStr">
        <is>
          <t>INTERNATIONAL JOURNAL OF BIOMETEOROLOGY</t>
        </is>
      </c>
      <c r="M907" t="inlineStr">
        <is>
          <t>English</t>
        </is>
      </c>
      <c r="N907" t="inlineStr">
        <is>
          <t>Article</t>
        </is>
      </c>
      <c r="T907" t="inlineStr">
        <is>
          <t>Validation of the mean radiant temperature simulated by the RayMan software in urban environments</t>
        </is>
      </c>
      <c r="U907" t="inlineStr">
        <is>
          <t>RayMan software package; Validations; T-mrt; PET; Urban environment</t>
        </is>
      </c>
      <c r="V907" t="inlineStr">
        <is>
          <t>HUMAN COMFORT CONDITIONS; HUMAN THERMAL COMFORT; BIOCLIMATE; FREIBURG; ATTENDANCE; DISTRICT; SUMMER; FLUXES; SPACES; HOT</t>
        </is>
      </c>
      <c r="W907" t="inlineStr">
        <is>
          <t>The RayMan software is worldwide applied in investigations on different issues in human-biometeorology. However, only the simulated mean radiant temperature (T (mrt)) has been validated so far in a few case studies. They are based on T (mrt) values, which were experimentally determined in urban environments by use of a globe thermometer or applying the six-directional method. This study analyses previous T (mrt) validations in a comparative manner. Their results are extended by a recent validation of T (mrt) in an urban micro-environment in Freiburg (southwest Germany), which can be regarded as relatively heterogeneous due to different shading intensities by tree crowns. In addition, a validation of the physiologically equivalent temperature (PET) simulated by RayMan is conducted for the first time. The validations are based on experimentally determined T (mrt) and PET values, which were calculated from measured meteorological variables in the daytime of a clear-sky summer day. In total, the validation results show that RayMan is capable of simulating T (mrt) satisfactorily under relatively homogeneous site conditions. However, the inaccuracy of simulated T (mrt) is increasing with lower sun elevation and growing heterogeneity of the simulation site. As T (mrt) represents the meteorological variable that mostly governs PET in the daytime of clear-sky summer days, the accuracy of simulated T (mrt) is mainly responsible for the accuracy of simulated PET. The T (mrt) validations result in some recommendations, which concern an update of physical principles applied in the RayMan software to simulate the short- and long-wave radiant flux densities, especially from vertical building walls and tree crowns.</t>
        </is>
      </c>
      <c r="X907" t="inlineStr">
        <is>
          <t>[Lee, Hyunjung; Mayer, Helmut] Albert Ludwigs Univ Freiburg, Chair Environm Meteorol, Werthmannstr 10, D-79085 Freiburg, Germany</t>
        </is>
      </c>
      <c r="Y907" t="inlineStr">
        <is>
          <t>University of Freiburg</t>
        </is>
      </c>
      <c r="Z907" t="inlineStr">
        <is>
          <t>Lee, H (corresponding author), Albert Ludwigs Univ Freiburg, Chair Environm Meteorol, Werthmannstr 10, D-79085 Freiburg, Germany.</t>
        </is>
      </c>
      <c r="AA907" t="inlineStr">
        <is>
          <t>catharina96@gmail.com</t>
        </is>
      </c>
      <c r="AB907" t="inlineStr">
        <is>
          <t>Lee, Hyunjung/AEC-9393-2022</t>
        </is>
      </c>
      <c r="AC907" t="inlineStr">
        <is>
          <t>Lee, Hyunjung/0000-0002-5909-8984</t>
        </is>
      </c>
      <c r="AH907" t="n">
        <v>51</v>
      </c>
      <c r="AI907" t="n">
        <v>72</v>
      </c>
      <c r="AJ907" t="n">
        <v>72</v>
      </c>
      <c r="AK907" t="n">
        <v>5</v>
      </c>
      <c r="AL907" t="n">
        <v>37</v>
      </c>
      <c r="AM907" t="inlineStr">
        <is>
          <t>SPRINGER</t>
        </is>
      </c>
      <c r="AN907" t="inlineStr">
        <is>
          <t>NEW YORK</t>
        </is>
      </c>
      <c r="AO907" t="inlineStr">
        <is>
          <t>ONE NEW YORK PLAZA, SUITE 4600, NEW YORK, NY, UNITED STATES</t>
        </is>
      </c>
      <c r="AP907" t="inlineStr">
        <is>
          <t>0020-7128</t>
        </is>
      </c>
      <c r="AQ907" t="inlineStr">
        <is>
          <t>1432-1254</t>
        </is>
      </c>
      <c r="AS907" t="inlineStr">
        <is>
          <t>INT J BIOMETEOROL</t>
        </is>
      </c>
      <c r="AT907" t="inlineStr">
        <is>
          <t>Int. J. Biometeorol.</t>
        </is>
      </c>
      <c r="AU907" t="inlineStr">
        <is>
          <t>NOV</t>
        </is>
      </c>
      <c r="AV907" t="n">
        <v>2016</v>
      </c>
      <c r="AW907" t="n">
        <v>60</v>
      </c>
      <c r="AX907" t="n">
        <v>11</v>
      </c>
      <c r="BC907" t="n">
        <v>1775</v>
      </c>
      <c r="BD907" t="n">
        <v>1785</v>
      </c>
      <c r="BF907" t="inlineStr">
        <is>
          <t>10.1007/s00484-016-1166-3</t>
        </is>
      </c>
      <c r="BG907">
        <f>HYPERLINK("http://dx.doi.org/10.1007/s00484-016-1166-3","http://dx.doi.org/10.1007/s00484-016-1166-3")</f>
        <v/>
      </c>
      <c r="BJ907" t="n">
        <v>11</v>
      </c>
      <c r="BK907" t="inlineStr">
        <is>
          <t>Biophysics; Environmental Sciences; Meteorology &amp; Atmospheric Sciences; Physiology</t>
        </is>
      </c>
      <c r="BL907" t="inlineStr">
        <is>
          <t>Science Citation Index Expanded (SCI-EXPANDED)</t>
        </is>
      </c>
      <c r="BM907" t="inlineStr">
        <is>
          <t>Biophysics; Environmental Sciences &amp; Ecology; Meteorology &amp; Atmospheric Sciences; Physiology</t>
        </is>
      </c>
      <c r="BN907" t="inlineStr">
        <is>
          <t>EB3NY</t>
        </is>
      </c>
      <c r="BO907" t="n">
        <v>27061289</v>
      </c>
      <c r="BS907" t="inlineStr">
        <is>
          <t>2023-10-26</t>
        </is>
      </c>
      <c r="BT907" t="inlineStr">
        <is>
          <t>WOS:000387273200014</t>
        </is>
      </c>
      <c r="BU907">
        <f>HYPERLINK("https%3A%2F%2Fwww.webofscience.com%2Fwos%2Fwoscc%2Ffull-record%2FWOS:000387273200014","View Full Record in Web of Science")</f>
        <v/>
      </c>
    </row>
    <row r="908">
      <c r="A908" t="inlineStr">
        <is>
          <t>J</t>
        </is>
      </c>
      <c r="B908" t="inlineStr">
        <is>
          <t>Zhong, LX; Yuan, J; Fleck, B</t>
        </is>
      </c>
      <c r="F908" t="inlineStr">
        <is>
          <t>Zhong, Lexuan; Yuan, Jing; Fleck, Brian</t>
        </is>
      </c>
      <c r="J908" t="inlineStr">
        <is>
          <t>SUSTAINABILITY</t>
        </is>
      </c>
      <c r="M908" t="inlineStr">
        <is>
          <t>English</t>
        </is>
      </c>
      <c r="N908" t="inlineStr">
        <is>
          <t>Article</t>
        </is>
      </c>
      <c r="T908" t="inlineStr">
        <is>
          <t>Indoor Environmental Quality Evaluation of Lecture Classrooms in an Institutional Building in a Cold Climate</t>
        </is>
      </c>
      <c r="U908" t="inlineStr">
        <is>
          <t>indoor environmental quality (IEQ); lecture classrooms; HVAC systems; ventilation; correlation; artificial neural network</t>
        </is>
      </c>
      <c r="V908" t="inlineStr">
        <is>
          <t>PERCEIVED AIR-QUALITY; THERMAL COMFORT; RESIDENTIAL INDOOR; COGNITIVE FUNCTION; CO2 CONCENTRATIONS; VENTILATION RATES; PERFORMANCE; OUTDOOR; OCCUPANTS; HEALTH</t>
        </is>
      </c>
      <c r="W908" t="inlineStr">
        <is>
          <t>In this paper, ventilation, indoor air quality (IAQ), thermal and acoustic conditions, and lighting were studied to evaluate the indoor environmental quality (IEQ) in an institutional building at the University of Alberta in Edmonton, Canada. This study examined IEQ parameters, including pressure, illuminance, acoustics, carbon dioxide (CO2) concentration, temperature, and humidity, with appropriate monitors allocated during a lecture (duration 50 min or 80 min) in four lecture classrooms repeatedly (N = 99) from October 2018 to March 2019 with the objectives of providing a comprehensive analysis of interactions between IEQ parameters. The classroom environments were maintained at 23 +/- 1 degrees C and 33% +/- 3% RH during two-season measurements. Indoor mean CO2 concentrations were 550-1055 ppm, and a mean sound level of 58 +/- 3 dBA was observed. The air change rates were configured at 1.3-6.5 per hour based on continuous CO2 measurements and occupant loads in the lectures. A variance analysis indicated that the within-lecture classroom variations in most IEQ parameters exceeded between-lecture classrooms. A multilayer artificial neural network (ANN) model was developed on the basis of feedforward networks with a backpropagation algorithm. ANN results demonstrated the importance of the sequence of covariates on indoor conditions (temperature, RH, and CO2 level): Air change rate (ACR) &gt; room operations (occupant number and light system) &gt; outdoor conditions.</t>
        </is>
      </c>
      <c r="X908" t="inlineStr">
        <is>
          <t>[Zhong, Lexuan; Yuan, Jing; Fleck, Brian] Univ Alberta, Dept Mech Engn, Edmonton, AB T6G IH9, Canada; [Yuan, Jing] Yangtze Normal Univ, Green intelligence Environm Sch, Chongqing 408100, Peoples R China</t>
        </is>
      </c>
      <c r="Y908" t="inlineStr">
        <is>
          <t>University of Alberta; Yangtze Normal University</t>
        </is>
      </c>
      <c r="Z908" t="inlineStr">
        <is>
          <t>Zhong, LX (corresponding author), Univ Alberta, Dept Mech Engn, Edmonton, AB T6G IH9, Canada.</t>
        </is>
      </c>
      <c r="AA908" t="inlineStr">
        <is>
          <t>lexuan.zhong@ualberta.ca; 20180014@yznu.cn; bfleck@ualberta.ca</t>
        </is>
      </c>
      <c r="AB908" t="inlineStr">
        <is>
          <t>Zhong, Lexuan/L-1250-2018; Fleck, Brian/G-2420-2017</t>
        </is>
      </c>
      <c r="AC908" t="inlineStr">
        <is>
          <t>Zhong, Lexuan/0000-0001-5211-8826; Fleck, Brian/0000-0002-2747-3719</t>
        </is>
      </c>
      <c r="AD908" t="inlineStr">
        <is>
          <t>Natural Sciences and Engineering Research Council of Canada (NSERC); University of Alberta</t>
        </is>
      </c>
      <c r="AE908" t="inlineStr">
        <is>
          <t>Natural Sciences and Engineering Research Council of Canada (NSERC)(Natural Sciences and Engineering Research Council of Canada (NSERC)); University of Alberta(University of Alberta)</t>
        </is>
      </c>
      <c r="AF908" t="inlineStr">
        <is>
          <t>This research was funded by the Natural Sciences and Engineering Research Council of Canada (NSERC) and the Dean's Research Awards program provided by the University of Alberta.</t>
        </is>
      </c>
      <c r="AH908" t="n">
        <v>61</v>
      </c>
      <c r="AI908" t="n">
        <v>27</v>
      </c>
      <c r="AJ908" t="n">
        <v>28</v>
      </c>
      <c r="AK908" t="n">
        <v>0</v>
      </c>
      <c r="AL908" t="n">
        <v>31</v>
      </c>
      <c r="AM908" t="inlineStr">
        <is>
          <t>MDPI</t>
        </is>
      </c>
      <c r="AN908" t="inlineStr">
        <is>
          <t>BASEL</t>
        </is>
      </c>
      <c r="AO908" t="inlineStr">
        <is>
          <t>ST ALBAN-ANLAGE 66, CH-4052 BASEL, SWITZERLAND</t>
        </is>
      </c>
      <c r="AQ908" t="inlineStr">
        <is>
          <t>2071-1050</t>
        </is>
      </c>
      <c r="AS908" t="inlineStr">
        <is>
          <t>SUSTAINABILITY-BASEL</t>
        </is>
      </c>
      <c r="AT908" t="inlineStr">
        <is>
          <t>Sustainability</t>
        </is>
      </c>
      <c r="AU908" t="inlineStr">
        <is>
          <t>DEC</t>
        </is>
      </c>
      <c r="AV908" t="n">
        <v>2019</v>
      </c>
      <c r="AW908" t="n">
        <v>11</v>
      </c>
      <c r="AX908" t="n">
        <v>23</v>
      </c>
      <c r="BE908" t="n">
        <v>6591</v>
      </c>
      <c r="BF908" t="inlineStr">
        <is>
          <t>10.3390/su11236591</t>
        </is>
      </c>
      <c r="BG908">
        <f>HYPERLINK("http://dx.doi.org/10.3390/su11236591","http://dx.doi.org/10.3390/su11236591")</f>
        <v/>
      </c>
      <c r="BJ908" t="n">
        <v>16</v>
      </c>
      <c r="BK908" t="inlineStr">
        <is>
          <t>Green &amp; Sustainable Science &amp; Technology; Environmental Sciences; Environmental Studies</t>
        </is>
      </c>
      <c r="BL908" t="inlineStr">
        <is>
          <t>Science Citation Index Expanded (SCI-EXPANDED); Social Science Citation Index (SSCI)</t>
        </is>
      </c>
      <c r="BM908" t="inlineStr">
        <is>
          <t>Science &amp; Technology - Other Topics; Environmental Sciences &amp; Ecology</t>
        </is>
      </c>
      <c r="BN908" t="inlineStr">
        <is>
          <t>KD9MV</t>
        </is>
      </c>
      <c r="BP908" t="inlineStr">
        <is>
          <t>gold, Green Published</t>
        </is>
      </c>
      <c r="BS908" t="inlineStr">
        <is>
          <t>2023-10-26</t>
        </is>
      </c>
      <c r="BT908" t="inlineStr">
        <is>
          <t>WOS:000508186400063</t>
        </is>
      </c>
      <c r="BU908">
        <f>HYPERLINK("https%3A%2F%2Fwww.webofscience.com%2Fwos%2Fwoscc%2Ffull-record%2FWOS:000508186400063","View Full Record in Web of Science")</f>
        <v/>
      </c>
    </row>
    <row r="909">
      <c r="A909" t="inlineStr">
        <is>
          <t>J</t>
        </is>
      </c>
      <c r="B909" t="inlineStr">
        <is>
          <t>Nardocci, AC; Nogueira, T; Piai, KD; Cavendish, TA; Kumar, P</t>
        </is>
      </c>
      <c r="F909" t="inlineStr">
        <is>
          <t>Nardocci, Adelaide Cassia; Nogueira, Thiago; Piai, Kamila de Almeida; Cavendish, Thais Araujo; Kumar, Prashant</t>
        </is>
      </c>
      <c r="J909" t="inlineStr">
        <is>
          <t>CURRENT OPINION IN ENVIRONMENTAL SCIENCE &amp; HEALTH</t>
        </is>
      </c>
      <c r="M909" t="inlineStr">
        <is>
          <t>English</t>
        </is>
      </c>
      <c r="N909" t="inlineStr">
        <is>
          <t>Article</t>
        </is>
      </c>
      <c r="T909" t="inlineStr">
        <is>
          <t>Indoor environment exposure and children?s health</t>
        </is>
      </c>
      <c r="U909" t="inlineStr">
        <is>
          <t>Household air pollution; Respiratory effects; Birth outcomes; In- terventions; Public policy</t>
        </is>
      </c>
      <c r="W909" t="inlineStr">
        <is>
          <t>Children are exposed to outdoor and indoor air pollution. In comparison to adults, they are more vulnerable to the effects of exposure to harmful chemicals from air pollutants. This article aims to evaluate and present the current advances on the impact of indoor air pollution on children under 19 years old. Assessing the exposure of children is complex because indoor air pollution is affected by many factors - types of cooking fuel and cookstoves, indoor ventilation, geographical and meteorological conditions, and exposure time. The most addressed health effects in literature are respiratory and birth outcomes. However, most of them reported difficulties in performing a meta-analysis due to the small number of studies on the personal exposure of children. Limited effectiveness of specific interventions at the household level points out the need for integrated and sustained public policies over time, associated with regulatory measures on pollutants emissions.</t>
        </is>
      </c>
      <c r="X909" t="inlineStr">
        <is>
          <t>[Nardocci, Adelaide Cassia; Nogueira, Thiago] Univ Sao Paulo, Fac Saude Publ, Dept Saude Ambiental, Sao Paulo, Brazil; [Piai, Kamila de Almeida] Univ Sao Paulo, Fac Saude Publ, Programa PosGrad Saude Publ, Sao Paulo, Brazil; [Cavendish, Thais Araujo] Univ Sao Paulo, Fac Saude Publ, Programa PosGrad Saude Global &amp; Sustentabilidade, Sao Paulo, Brazil; [Kumar, Prashant] Univ Surrey, Fac Engn &amp; Phys Sci, Global Ctr Clean Air Res GCARE, Sch Sustainabil Civil &amp; Environm Engn, Guildford GU2 7XH, England</t>
        </is>
      </c>
      <c r="Y909" t="inlineStr">
        <is>
          <t>Universidade de Sao Paulo; Universidade de Sao Paulo; Universidade de Sao Paulo; University of Surrey</t>
        </is>
      </c>
      <c r="Z909" t="inlineStr">
        <is>
          <t>Nardocci, AC (corresponding author), Univ Sao Paulo, Fac Saude Publ, Dept Saude Ambiental, Sao Paulo, Brazil.</t>
        </is>
      </c>
      <c r="AA909" t="inlineStr">
        <is>
          <t>nardocci@usp.br</t>
        </is>
      </c>
      <c r="AB909" t="inlineStr">
        <is>
          <t>Piai, Kamila de Almeida/AAF-8509-2021; Kumar, Prashant/C-6357-2011</t>
        </is>
      </c>
      <c r="AC909" t="inlineStr">
        <is>
          <t>Piai, Kamila de Almeida/0000-0002-8583-309X; Kumar, Prashant/0000-0002-2462-4411; Nardocci, Adelaide Cassia/0000-0002-0961-4725</t>
        </is>
      </c>
      <c r="AH909" t="n">
        <v>53</v>
      </c>
      <c r="AI909" t="n">
        <v>1</v>
      </c>
      <c r="AJ909" t="n">
        <v>1</v>
      </c>
      <c r="AK909" t="n">
        <v>9</v>
      </c>
      <c r="AL909" t="n">
        <v>9</v>
      </c>
      <c r="AM909" t="inlineStr">
        <is>
          <t>ELSEVIER</t>
        </is>
      </c>
      <c r="AN909" t="inlineStr">
        <is>
          <t>AMSTERDAM</t>
        </is>
      </c>
      <c r="AO909" t="inlineStr">
        <is>
          <t>RADARWEG 29, 1043 NX AMSTERDAM, NETHERLANDS</t>
        </is>
      </c>
      <c r="AP909" t="inlineStr">
        <is>
          <t>2468-5844</t>
        </is>
      </c>
      <c r="AS909" t="inlineStr">
        <is>
          <t>CURR OPIN ENV SCI HL</t>
        </is>
      </c>
      <c r="AT909" t="inlineStr">
        <is>
          <t>Curr. Opin. Environ. Sci. Health</t>
        </is>
      </c>
      <c r="AU909" t="inlineStr">
        <is>
          <t>APR</t>
        </is>
      </c>
      <c r="AV909" t="n">
        <v>2023</v>
      </c>
      <c r="AW909" t="n">
        <v>32</v>
      </c>
      <c r="BE909" t="n">
        <v>100449</v>
      </c>
      <c r="BF909" t="inlineStr">
        <is>
          <t>10.1016/j.coesh.2023.100449</t>
        </is>
      </c>
      <c r="BG909">
        <f>HYPERLINK("http://dx.doi.org/10.1016/j.coesh.2023.100449","http://dx.doi.org/10.1016/j.coesh.2023.100449")</f>
        <v/>
      </c>
      <c r="BI909" t="inlineStr">
        <is>
          <t>FEB 2023</t>
        </is>
      </c>
      <c r="BJ909" t="n">
        <v>8</v>
      </c>
      <c r="BK909" t="inlineStr">
        <is>
          <t>Environmental Sciences; Public, Environmental &amp; Occupational Health</t>
        </is>
      </c>
      <c r="BL909" t="inlineStr">
        <is>
          <t>Emerging Sources Citation Index (ESCI)</t>
        </is>
      </c>
      <c r="BM909" t="inlineStr">
        <is>
          <t>Environmental Sciences &amp; Ecology; Public, Environmental &amp; Occupational Health</t>
        </is>
      </c>
      <c r="BN909" t="inlineStr">
        <is>
          <t>D0IX9</t>
        </is>
      </c>
      <c r="BS909" t="inlineStr">
        <is>
          <t>2023-10-26</t>
        </is>
      </c>
      <c r="BT909" t="inlineStr">
        <is>
          <t>WOS:000965661000001</t>
        </is>
      </c>
      <c r="BU909">
        <f>HYPERLINK("https%3A%2F%2Fwww.webofscience.com%2Fwos%2Fwoscc%2Ffull-record%2FWOS:000965661000001","View Full Record in Web of Science")</f>
        <v/>
      </c>
    </row>
    <row r="910">
      <c r="A910" t="inlineStr">
        <is>
          <t>J</t>
        </is>
      </c>
      <c r="B910" t="inlineStr">
        <is>
          <t>Mohammadabadi, A; Rahnama, S; Afshari, A</t>
        </is>
      </c>
      <c r="F910" t="inlineStr">
        <is>
          <t>Mohammadabadi, Abolfazl; Rahnama, Samira; Afshari, Alireza</t>
        </is>
      </c>
      <c r="J910" t="inlineStr">
        <is>
          <t>SUSTAINABILITY</t>
        </is>
      </c>
      <c r="M910" t="inlineStr">
        <is>
          <t>English</t>
        </is>
      </c>
      <c r="N910" t="inlineStr">
        <is>
          <t>Article</t>
        </is>
      </c>
      <c r="T910" t="inlineStr">
        <is>
          <t>Indoor Occupancy Detection Based on Environmental Data Using CNN-XGboost Model: Experimental Validation in a Residential Building</t>
        </is>
      </c>
      <c r="U910" t="inlineStr">
        <is>
          <t>occupancy detection; machine learning; CNN-XGboost; residential buildings; mechanical ventilation; indoor climate data</t>
        </is>
      </c>
      <c r="V910" t="inlineStr">
        <is>
          <t>PREDICTIVE CONTROL; DEEP; ROOM</t>
        </is>
      </c>
      <c r="W910" t="inlineStr">
        <is>
          <t>Indoor occupancy prediction can play a vital role in the energy-efficient operation of building engineering systems and maintaining satisfactory indoor climate conditions at the lowest possible energy use by operating these systems on the basis of occupancy data. Many methods have been proposed to predict occupancy in residential buildings according to different data types, e.g., digital cameras, motion sensors, and indoor climate sensors. Among these proposed methods, those with indoor climate data as input have received significant interest due to their less intrusive and cost-effective approach. This paper proposes a deep learning method called CNN-XGBoost to predict occupancy using indoor climate data and compares the performance of the proposed method with a range of supervised and unsupervised machine learning algorithms plus artificial neural network algorithms. The comparison is performed using mean absolute error, confusion matrix, and F-1 score. Indoor climate data used in this work are CO2, relative humidity, and temperature measured by sensors for 13 days in December 2021. We used inexpensive sensors in different rooms of a residential building with a balanced mechanical ventilation system located in northwest Copenhagen, Denmark. The proposed algorithm consists of two parts: a convolutional neural network that learns the features of the input data and a scalable end-to-end tree-boosting classifier. The result indicates that CNN-XGBoost outperforms other algorithms in predicting occupancy levels in all rooms of the test building. In this experiment, we achieved the highest accuracy in occupancy detection using inexpensive indoor climate sensors in a mechanically ventilated residential building with minimum privacy invasion.</t>
        </is>
      </c>
      <c r="X910" t="inlineStr">
        <is>
          <t>[Mohammadabadi, Abolfazl] Sapienza Univ Rome, Dept Stat Sci, I-00185 Rome, Italy; [Rahnama, Samira; Afshari, Alireza] Aalborg Univ, Dept Built Environm, DK-2450 Copenhagen, Denmark</t>
        </is>
      </c>
      <c r="Y910" t="inlineStr">
        <is>
          <t>Sapienza University Rome; Aalborg University</t>
        </is>
      </c>
      <c r="Z910" t="inlineStr">
        <is>
          <t>Mohammadabadi, A (corresponding author), Sapienza Univ Rome, Dept Stat Sci, I-00185 Rome, Italy.</t>
        </is>
      </c>
      <c r="AA910" t="inlineStr">
        <is>
          <t>abolfazlm13@gmail.com</t>
        </is>
      </c>
      <c r="AD910" t="inlineStr">
        <is>
          <t>Energy Technology Development and Demonstration Program (EUDP) [64018-0501]</t>
        </is>
      </c>
      <c r="AE910" t="inlineStr">
        <is>
          <t>Energy Technology Development and Demonstration Program (EUDP)</t>
        </is>
      </c>
      <c r="AF910" t="inlineStr">
        <is>
          <t>This research work was conducted as part of a project called SmartVENT. The Energy Technology Development and Demonstration Program (EUDP) financially supported this work (Journal No. 64018-0501).</t>
        </is>
      </c>
      <c r="AH910" t="n">
        <v>49</v>
      </c>
      <c r="AI910" t="n">
        <v>1</v>
      </c>
      <c r="AJ910" t="n">
        <v>1</v>
      </c>
      <c r="AK910" t="n">
        <v>2</v>
      </c>
      <c r="AL910" t="n">
        <v>9</v>
      </c>
      <c r="AM910" t="inlineStr">
        <is>
          <t>MDPI</t>
        </is>
      </c>
      <c r="AN910" t="inlineStr">
        <is>
          <t>BASEL</t>
        </is>
      </c>
      <c r="AO910" t="inlineStr">
        <is>
          <t>ST ALBAN-ANLAGE 66, CH-4052 BASEL, SWITZERLAND</t>
        </is>
      </c>
      <c r="AQ910" t="inlineStr">
        <is>
          <t>2071-1050</t>
        </is>
      </c>
      <c r="AS910" t="inlineStr">
        <is>
          <t>SUSTAINABILITY-BASEL</t>
        </is>
      </c>
      <c r="AT910" t="inlineStr">
        <is>
          <t>Sustainability</t>
        </is>
      </c>
      <c r="AU910" t="inlineStr">
        <is>
          <t>NOV</t>
        </is>
      </c>
      <c r="AV910" t="n">
        <v>2022</v>
      </c>
      <c r="AW910" t="n">
        <v>14</v>
      </c>
      <c r="AX910" t="n">
        <v>21</v>
      </c>
      <c r="BE910" t="n">
        <v>14644</v>
      </c>
      <c r="BF910" t="inlineStr">
        <is>
          <t>10.3390/su142114644</t>
        </is>
      </c>
      <c r="BG910">
        <f>HYPERLINK("http://dx.doi.org/10.3390/su142114644","http://dx.doi.org/10.3390/su142114644")</f>
        <v/>
      </c>
      <c r="BJ910" t="n">
        <v>17</v>
      </c>
      <c r="BK910" t="inlineStr">
        <is>
          <t>Green &amp; Sustainable Science &amp; Technology; Environmental Sciences; Environmental Studies</t>
        </is>
      </c>
      <c r="BL910" t="inlineStr">
        <is>
          <t>Science Citation Index Expanded (SCI-EXPANDED); Social Science Citation Index (SSCI)</t>
        </is>
      </c>
      <c r="BM910" t="inlineStr">
        <is>
          <t>Science &amp; Technology - Other Topics; Environmental Sciences &amp; Ecology</t>
        </is>
      </c>
      <c r="BN910" t="inlineStr">
        <is>
          <t>6I4UK</t>
        </is>
      </c>
      <c r="BP910" t="inlineStr">
        <is>
          <t>Green Published, gold</t>
        </is>
      </c>
      <c r="BS910" t="inlineStr">
        <is>
          <t>2023-10-26</t>
        </is>
      </c>
      <c r="BT910" t="inlineStr">
        <is>
          <t>WOS:000886123400001</t>
        </is>
      </c>
      <c r="BU910">
        <f>HYPERLINK("https%3A%2F%2Fwww.webofscience.com%2Fwos%2Fwoscc%2Ffull-record%2FWOS:000886123400001","View Full Record in Web of Science")</f>
        <v/>
      </c>
    </row>
    <row r="911">
      <c r="A911" t="inlineStr">
        <is>
          <t>J</t>
        </is>
      </c>
      <c r="B911" t="inlineStr">
        <is>
          <t>Saraga, DE; Volanis, L; Maggos, T; Vasilakos, C; Bairachtari, K; Helmis, CG</t>
        </is>
      </c>
      <c r="F911" t="inlineStr">
        <is>
          <t>Saraga, Dikaia E.; Volanis, Lefteris; Maggos, Thomas; Vasilakos, Christos; Bairachtari, Kyriaki; Helmis, Costas G.</t>
        </is>
      </c>
      <c r="J911" t="inlineStr">
        <is>
          <t>ATMOSPHERIC POLLUTION RESEARCH</t>
        </is>
      </c>
      <c r="M911" t="inlineStr">
        <is>
          <t>English</t>
        </is>
      </c>
      <c r="N911" t="inlineStr">
        <is>
          <t>Article</t>
        </is>
      </c>
      <c r="T911" t="inlineStr">
        <is>
          <t>Workplace personal exposure to respirable PM fraction: a study in sixteen indoor environments</t>
        </is>
      </c>
      <c r="U911" t="inlineStr">
        <is>
          <t>Exposure; respirable particles; working places; ventilation rate</t>
        </is>
      </c>
      <c r="V911" t="inlineStr">
        <is>
          <t>DIFFERENT MICROENVIRONMENTS; ULTRAFINE PARTICLES; PM2.5; DETERMINANTS; INFILTRATION; ATHENS</t>
        </is>
      </c>
      <c r="W911" t="inlineStr">
        <is>
          <t>The present paper focuses on respirable particulate matter (RPM) measurements conducted at the breathing zone of adult volunteers in sixteen different working environments: two offices, a house, a chemical laboratory, a nonsmoking shop, a pharmacy store, a car garage, a hairdresser's store, a photocopy store, a taxi, a gym, a mall, a restaurant, a bar, a kiosk and a school. The sixteen different cases were categorized according to the location, the type of the activities taking place indoors, the number of occupants, the proximity to heavy traffic roads, the ventilation pattern etc. According to the results, the maximum particle concentration (in average 285 mu g m(-3)) was recorded at the hairdresser store while the minimum concentration was measured in the cases of the housewife and the employee in the non-smoking shop (in average 30 mu g m(-3)). The results indicated smoking as a factor which strongly influences the exposure levels of both smokers and passive smokers. Furthermore, it was found that the building ventilation pattern comprises an important factor influencing the exposure levels especially in cases of buildings with great number of visitors (resuspension) and smoking.</t>
        </is>
      </c>
      <c r="X911" t="inlineStr">
        <is>
          <t>[Saraga, Dikaia E.; Maggos, Thomas; Vasilakos, Christos; Bairachtari, Kyriaki] Natl Ctr Sci Res Demokritos, INRASTES, Environm Res Lab, Athens 15310, Greece; [Volanis, Lefteris; Helmis, Costas G.] Univ Athens, Fac Phys, Dept Environm Phys &amp; Meteorol, Athens 15784, Greece</t>
        </is>
      </c>
      <c r="Y911" t="inlineStr">
        <is>
          <t>National Centre of Scientific Research Demokritos; National &amp; Kapodistrian University of Athens</t>
        </is>
      </c>
      <c r="Z911" t="inlineStr">
        <is>
          <t>Saraga, DE (corresponding author), Natl Ctr Sci Res Demokritos, INRASTES, Environm Res Lab, POB 60228, Athens 15310, Greece.</t>
        </is>
      </c>
      <c r="AA911" t="inlineStr">
        <is>
          <t>dsaraga@ipta.demokritos.gr</t>
        </is>
      </c>
      <c r="AB911" t="inlineStr">
        <is>
          <t>Maggos, Thomas/AAI-8935-2020; Saraga, Dikaia/AAA-1111-2019; Helmis, Costas G./A-1304-2008</t>
        </is>
      </c>
      <c r="AC911" t="inlineStr">
        <is>
          <t>Saraga, Dikaia/0000-0002-8877-0776; MAGGOS, THOMAS/0000-0002-1193-4402; Vasilakos, Christos/0000-0001-9159-6556</t>
        </is>
      </c>
      <c r="AH911" t="n">
        <v>27</v>
      </c>
      <c r="AI911" t="n">
        <v>18</v>
      </c>
      <c r="AJ911" t="n">
        <v>18</v>
      </c>
      <c r="AK911" t="n">
        <v>0</v>
      </c>
      <c r="AL911" t="n">
        <v>27</v>
      </c>
      <c r="AM911" t="inlineStr">
        <is>
          <t>TURKISH NATL COMMITTEE AIR POLLUTION RES &amp; CONTROL-TUNCAP</t>
        </is>
      </c>
      <c r="AN911" t="inlineStr">
        <is>
          <t>BUCA</t>
        </is>
      </c>
      <c r="AO911" t="inlineStr">
        <is>
          <t>DOKUZ EYLUL UNIV, DEPT ENVIRONMENTAL ENGINEERING, TINAZTEPE CAMPUS, BUCA, IZMIR 35160, TURKEY</t>
        </is>
      </c>
      <c r="AP911" t="inlineStr">
        <is>
          <t>1309-1042</t>
        </is>
      </c>
      <c r="AS911" t="inlineStr">
        <is>
          <t>ATMOS POLLUT RES</t>
        </is>
      </c>
      <c r="AT911" t="inlineStr">
        <is>
          <t>Atmos. Pollut. Res.</t>
        </is>
      </c>
      <c r="AU911" t="inlineStr">
        <is>
          <t>JUL</t>
        </is>
      </c>
      <c r="AV911" t="n">
        <v>2014</v>
      </c>
      <c r="AW911" t="n">
        <v>5</v>
      </c>
      <c r="AX911" t="n">
        <v>3</v>
      </c>
      <c r="BC911" t="n">
        <v>431</v>
      </c>
      <c r="BD911" t="n">
        <v>437</v>
      </c>
      <c r="BF911" t="inlineStr">
        <is>
          <t>10.5094/APR.2014.050</t>
        </is>
      </c>
      <c r="BG911">
        <f>HYPERLINK("http://dx.doi.org/10.5094/APR.2014.050","http://dx.doi.org/10.5094/APR.2014.050")</f>
        <v/>
      </c>
      <c r="BJ911" t="n">
        <v>7</v>
      </c>
      <c r="BK911" t="inlineStr">
        <is>
          <t>Environmental Sciences</t>
        </is>
      </c>
      <c r="BL911" t="inlineStr">
        <is>
          <t>Science Citation Index Expanded (SCI-EXPANDED)</t>
        </is>
      </c>
      <c r="BM911" t="inlineStr">
        <is>
          <t>Environmental Sciences &amp; Ecology</t>
        </is>
      </c>
      <c r="BN911" t="inlineStr">
        <is>
          <t>AU0FQ</t>
        </is>
      </c>
      <c r="BP911" t="inlineStr">
        <is>
          <t>hybrid</t>
        </is>
      </c>
      <c r="BS911" t="inlineStr">
        <is>
          <t>2023-10-26</t>
        </is>
      </c>
      <c r="BT911" t="inlineStr">
        <is>
          <t>WOS:000345299400010</t>
        </is>
      </c>
      <c r="BU911">
        <f>HYPERLINK("https%3A%2F%2Fwww.webofscience.com%2Fwos%2Fwoscc%2Ffull-record%2FWOS:000345299400010","View Full Record in Web of Science")</f>
        <v/>
      </c>
    </row>
    <row r="912">
      <c r="A912" t="inlineStr">
        <is>
          <t>J</t>
        </is>
      </c>
      <c r="B912" t="inlineStr">
        <is>
          <t>Falch, C; Alves, G</t>
        </is>
      </c>
      <c r="F912" t="inlineStr">
        <is>
          <t>Falch, Catharine; Alves, Gilberto</t>
        </is>
      </c>
      <c r="J912" t="inlineStr">
        <is>
          <t>INTERNATIONAL JOURNAL OF ENVIRONMENTAL RESEARCH AND PUBLIC HEALTH</t>
        </is>
      </c>
      <c r="M912" t="inlineStr">
        <is>
          <t>English</t>
        </is>
      </c>
      <c r="N912" t="inlineStr">
        <is>
          <t>Review</t>
        </is>
      </c>
      <c r="T912" t="inlineStr">
        <is>
          <t>Pharmacists' Role in Older Adults' Medication Regimen Complexity: A Systematic Review</t>
        </is>
      </c>
      <c r="U912" t="inlineStr">
        <is>
          <t>older adults; medication regimen complexity; pharmacist; systematic review</t>
        </is>
      </c>
      <c r="V912" t="inlineStr">
        <is>
          <t>PEOPLE; POLYPHARMACY; VALIDATION; OUTCOMES; PHARMACOTHERAPY; OPPORTUNITIES; INTERVENTION; ASSOCIATION; DISCHARGE; QUALITY</t>
        </is>
      </c>
      <c r="W912" t="inlineStr">
        <is>
          <t>Medication regimen complexity (MRC) may influence health outcomes, such as hospitalisation, hospital readmission and medication adherence. Pharmacists have been referred to as health professionals with the opportunity to act on MRC reduction. This study aimed to investigate pharmacists' role in studies about older adults' medication regimen complexity. A literature search was performed in PubMed, Web of Science and the Cochrane Library-CENTRAL-up to October 2019. Out of 653 potentially relevant studies, 17 articles met the inclusion criteria for this review. Most studies used the 65-item medication regimen complexity index (MRCI) to assess medication complexity. Pharmacists' role was mainly confined to data collection. It seems that pharmacists' active role in older adults' medication complexity has not been studied in depth so far. However, the few existing interventional ones suggest that, after previous training, regimen simplification is feasible.</t>
        </is>
      </c>
      <c r="X912" t="inlineStr">
        <is>
          <t>[Falch, Catharine; Alves, Gilberto] Univ Beira Interior, CICS UBI Hlth Sci Res Ctr, Av Infante D Henrique, P-6200506 Covilha, Portugal</t>
        </is>
      </c>
      <c r="Y912" t="inlineStr">
        <is>
          <t>Universidade da Beira Interior</t>
        </is>
      </c>
      <c r="Z912" t="inlineStr">
        <is>
          <t>Alves, G (corresponding author), Univ Beira Interior, CICS UBI Hlth Sci Res Ctr, Av Infante D Henrique, P-6200506 Covilha, Portugal.</t>
        </is>
      </c>
      <c r="AA912" t="inlineStr">
        <is>
          <t>cathyfalch@gmail.com; gilberto@fcsaude.ubi.pt</t>
        </is>
      </c>
      <c r="AB912" t="inlineStr">
        <is>
          <t>Falcão, Amílcar Celta/HHY-7322-2022</t>
        </is>
      </c>
      <c r="AC912" t="inlineStr">
        <is>
          <t>Falcão, Amílcar Celta/0000-0002-3854-6549</t>
        </is>
      </c>
      <c r="AH912" t="n">
        <v>54</v>
      </c>
      <c r="AI912" t="n">
        <v>5</v>
      </c>
      <c r="AJ912" t="n">
        <v>5</v>
      </c>
      <c r="AK912" t="n">
        <v>0</v>
      </c>
      <c r="AL912" t="n">
        <v>1</v>
      </c>
      <c r="AM912" t="inlineStr">
        <is>
          <t>MDPI</t>
        </is>
      </c>
      <c r="AN912" t="inlineStr">
        <is>
          <t>BASEL</t>
        </is>
      </c>
      <c r="AO912" t="inlineStr">
        <is>
          <t>ST ALBAN-ANLAGE 66, CH-4052 BASEL, SWITZERLAND</t>
        </is>
      </c>
      <c r="AQ912" t="inlineStr">
        <is>
          <t>1660-4601</t>
        </is>
      </c>
      <c r="AS912" t="inlineStr">
        <is>
          <t>INT J ENV RES PUB HE</t>
        </is>
      </c>
      <c r="AT912" t="inlineStr">
        <is>
          <t>Int. J. Environ. Res. Public Health</t>
        </is>
      </c>
      <c r="AU912" t="inlineStr">
        <is>
          <t>AUG</t>
        </is>
      </c>
      <c r="AV912" t="n">
        <v>2021</v>
      </c>
      <c r="AW912" t="n">
        <v>18</v>
      </c>
      <c r="AX912" t="n">
        <v>16</v>
      </c>
      <c r="BE912" t="n">
        <v>8824</v>
      </c>
      <c r="BF912" t="inlineStr">
        <is>
          <t>10.3390/ijerph18168824</t>
        </is>
      </c>
      <c r="BG912">
        <f>HYPERLINK("http://dx.doi.org/10.3390/ijerph18168824","http://dx.doi.org/10.3390/ijerph18168824")</f>
        <v/>
      </c>
      <c r="BJ912" t="n">
        <v>17</v>
      </c>
      <c r="BK912" t="inlineStr">
        <is>
          <t>Environmental Sciences; Public, Environmental &amp; Occupational Health</t>
        </is>
      </c>
      <c r="BL912" t="inlineStr">
        <is>
          <t>Science Citation Index Expanded (SCI-EXPANDED); Social Science Citation Index (SSCI)</t>
        </is>
      </c>
      <c r="BM912" t="inlineStr">
        <is>
          <t>Environmental Sciences &amp; Ecology; Public, Environmental &amp; Occupational Health</t>
        </is>
      </c>
      <c r="BN912" t="inlineStr">
        <is>
          <t>UI5JG</t>
        </is>
      </c>
      <c r="BO912" t="n">
        <v>34444572</v>
      </c>
      <c r="BP912" t="inlineStr">
        <is>
          <t>Green Published, gold</t>
        </is>
      </c>
      <c r="BS912" t="inlineStr">
        <is>
          <t>2023-10-26</t>
        </is>
      </c>
      <c r="BT912" t="inlineStr">
        <is>
          <t>WOS:000690642600001</t>
        </is>
      </c>
      <c r="BU912">
        <f>HYPERLINK("https%3A%2F%2Fwww.webofscience.com%2Fwos%2Fwoscc%2Ffull-record%2FWOS:000690642600001","View Full Record in Web of Science")</f>
        <v/>
      </c>
    </row>
    <row r="913">
      <c r="A913" t="inlineStr">
        <is>
          <t>J</t>
        </is>
      </c>
      <c r="B913" t="inlineStr">
        <is>
          <t>Xie, BQ; Ma, CJ; Wang, JQ</t>
        </is>
      </c>
      <c r="F913" t="inlineStr">
        <is>
          <t>Xie, Boqin; Ma, Chenjuan; Wang, Junqiao</t>
        </is>
      </c>
      <c r="J913" t="inlineStr">
        <is>
          <t>INTERNATIONAL JOURNAL OF ENVIRONMENTAL RESEARCH AND PUBLIC HEALTH</t>
        </is>
      </c>
      <c r="M913" t="inlineStr">
        <is>
          <t>English</t>
        </is>
      </c>
      <c r="N913" t="inlineStr">
        <is>
          <t>Article</t>
        </is>
      </c>
      <c r="T913" t="inlineStr">
        <is>
          <t>Independent and Combined Relationships of Perceived Neighborhood Social Cohesion and Physical Frailty on Functional Disability in Community-Dwelling Older Adults</t>
        </is>
      </c>
      <c r="U913" t="inlineStr">
        <is>
          <t>functional disability; physical frailty; perceived neighborhood social cohesion; healthy aging</t>
        </is>
      </c>
      <c r="V913" t="inlineStr">
        <is>
          <t>HEALTH-CARE; DETERMINANTS; DISORDER; ASSOCIATION; DEPRIVATION; ENVIRONMENT; PREVALENCE; MORTALITY; WALKING; MODIFY</t>
        </is>
      </c>
      <c r="W913" t="inlineStr">
        <is>
          <t>Functional disability and physical frailty (PF) are debilitating geriatric conditions. Previous studies have suggested both perceived neighborhood social cohesion (PNSC) and PF can influence functional disability and may have an interactive effect too. This cross-sectional study aims to examine the independent and combined relationships of PF and PNSC on functional disability in community-dwelling older adults in Shanghai, China. A total of 1616 older adults aged &gt;= 75 years were recruited using multistage sampling. Results showed that prefrailty, frailty (using the modified frailty phenotype criteria), and low PNSC (measured by the Neighborhood Cohesion Scale) were independently associated with increased likelihood of functional disability after adjustment of covariates. To evaluate the combined relationships of PF and PNSC, participants were classified into six groups based on their levels of PF and PNSC. The probability of frail older adults with low PNSC having functional disability stood out compared with the robust older adults with high PNSC. Our findings suggest the importance of high PNSC as a protective factor of maintaining functional ability. Future longitudinal studies are needed to identify the role of PNSC in the development of functional disability among frail older adults.</t>
        </is>
      </c>
      <c r="X913" t="inlineStr">
        <is>
          <t>[Xie, Boqin; Wang, Junqiao] Fudan Univ, Sch Nursing, 305 Rd Fenglin, Shanghai 200032, Peoples R China; [Ma, Chenjuan] NYU, Rory Meyers Coll Nursing, New York, NY 10010 USA</t>
        </is>
      </c>
      <c r="Y913" t="inlineStr">
        <is>
          <t>Fudan University; New York University</t>
        </is>
      </c>
      <c r="Z913" t="inlineStr">
        <is>
          <t>Wang, JQ (corresponding author), Fudan Univ, Sch Nursing, 305 Rd Fenglin, Shanghai 200032, Peoples R China.</t>
        </is>
      </c>
      <c r="AA913" t="inlineStr">
        <is>
          <t>xieboqin@fudan.edu.cn; cm4215@nyu.edu; junqwang@fudan.edu.cn</t>
        </is>
      </c>
      <c r="AB913" t="inlineStr">
        <is>
          <t>Wang, Junqiao/N-2398-2019</t>
        </is>
      </c>
      <c r="AC913" t="inlineStr">
        <is>
          <t>Wang, Junqiao/0000-0002-3819-3966; xie, Boqin/0000-0002-2622-6222</t>
        </is>
      </c>
      <c r="AD913" t="inlineStr">
        <is>
          <t>Fudan University Fu-Xing Nursing Research Fund [FNF201807, SCF400201E/026]; Fudan University Construction of First-class Discipline of Nursing: Geriatric nursing and community-care [FNSYL202005]</t>
        </is>
      </c>
      <c r="AE913" t="inlineStr">
        <is>
          <t>Fudan University Fu-Xing Nursing Research Fund; Fudan University Construction of First-class Discipline of Nursing: Geriatric nursing and community-care</t>
        </is>
      </c>
      <c r="AF913" t="inlineStr">
        <is>
          <t>This research was funded by Fudan University Fu-Xing Nursing Research Fund, Grant numbers: FNF201807; SCF400201E/026; Fudan University Construction of First-class Discipline of Nursing: Geriatric nursing and community-care, Grant number: FNSYL202005.</t>
        </is>
      </c>
      <c r="AH913" t="n">
        <v>55</v>
      </c>
      <c r="AI913" t="n">
        <v>2</v>
      </c>
      <c r="AJ913" t="n">
        <v>2</v>
      </c>
      <c r="AK913" t="n">
        <v>2</v>
      </c>
      <c r="AL913" t="n">
        <v>12</v>
      </c>
      <c r="AM913" t="inlineStr">
        <is>
          <t>MDPI</t>
        </is>
      </c>
      <c r="AN913" t="inlineStr">
        <is>
          <t>BASEL</t>
        </is>
      </c>
      <c r="AO913" t="inlineStr">
        <is>
          <t>ST ALBAN-ANLAGE 66, CH-4052 BASEL, SWITZERLAND</t>
        </is>
      </c>
      <c r="AQ913" t="inlineStr">
        <is>
          <t>1660-4601</t>
        </is>
      </c>
      <c r="AS913" t="inlineStr">
        <is>
          <t>INT J ENV RES PUB HE</t>
        </is>
      </c>
      <c r="AT913" t="inlineStr">
        <is>
          <t>Int. J. Environ. Res. Public Health</t>
        </is>
      </c>
      <c r="AU913" t="inlineStr">
        <is>
          <t>AUG</t>
        </is>
      </c>
      <c r="AV913" t="n">
        <v>2020</v>
      </c>
      <c r="AW913" t="n">
        <v>17</v>
      </c>
      <c r="AX913" t="n">
        <v>16</v>
      </c>
      <c r="BE913" t="n">
        <v>5912</v>
      </c>
      <c r="BF913" t="inlineStr">
        <is>
          <t>10.3390/ijerph17165912</t>
        </is>
      </c>
      <c r="BG913">
        <f>HYPERLINK("http://dx.doi.org/10.3390/ijerph17165912","http://dx.doi.org/10.3390/ijerph17165912")</f>
        <v/>
      </c>
      <c r="BJ913" t="n">
        <v>12</v>
      </c>
      <c r="BK913" t="inlineStr">
        <is>
          <t>Environmental Sciences; Public, Environmental &amp; Occupational Health</t>
        </is>
      </c>
      <c r="BL913" t="inlineStr">
        <is>
          <t>Science Citation Index Expanded (SCI-EXPANDED); Social Science Citation Index (SSCI)</t>
        </is>
      </c>
      <c r="BM913" t="inlineStr">
        <is>
          <t>Environmental Sciences &amp; Ecology; Public, Environmental &amp; Occupational Health</t>
        </is>
      </c>
      <c r="BN913" t="inlineStr">
        <is>
          <t>NI1LJ</t>
        </is>
      </c>
      <c r="BO913" t="n">
        <v>32824033</v>
      </c>
      <c r="BP913" t="inlineStr">
        <is>
          <t>gold, Green Published</t>
        </is>
      </c>
      <c r="BS913" t="inlineStr">
        <is>
          <t>2023-10-26</t>
        </is>
      </c>
      <c r="BT913" t="inlineStr">
        <is>
          <t>WOS:000565119100001</t>
        </is>
      </c>
      <c r="BU913">
        <f>HYPERLINK("https%3A%2F%2Fwww.webofscience.com%2Fwos%2Fwoscc%2Ffull-record%2FWOS:000565119100001","View Full Record in Web of Science")</f>
        <v/>
      </c>
    </row>
    <row r="914">
      <c r="A914" t="inlineStr">
        <is>
          <t>J</t>
        </is>
      </c>
      <c r="B914" t="inlineStr">
        <is>
          <t>Cosma, C; Cucos-Dinu, A; Papp, B; Begy, R; Sainz, C</t>
        </is>
      </c>
      <c r="F914" t="inlineStr">
        <is>
          <t>Cosma, Constantin; Cucos-Dinu, Alexandra; Papp, Botond; Begy, Robert; Sainz, Carlos</t>
        </is>
      </c>
      <c r="J914" t="inlineStr">
        <is>
          <t>JOURNAL OF ENVIRONMENTAL RADIOACTIVITY</t>
        </is>
      </c>
      <c r="M914" t="inlineStr">
        <is>
          <t>English</t>
        </is>
      </c>
      <c r="N914" t="inlineStr">
        <is>
          <t>Article</t>
        </is>
      </c>
      <c r="T914" t="inlineStr">
        <is>
          <t>Soil and building material as main sources of indoor radon in Baita-Stei radon prone area (Romania)</t>
        </is>
      </c>
      <c r="U914" t="inlineStr">
        <is>
          <t>Indoor radon; Soil radon; Soil permeability; Radon potential; Radon prone area; Radon risk</t>
        </is>
      </c>
      <c r="V914" t="inlineStr">
        <is>
          <t>RISK-ASSESSMENT; EMANATION; DWELLINGS; URANIUM; TRANSYLVANIA; COEFFICIENT</t>
        </is>
      </c>
      <c r="W914" t="inlineStr">
        <is>
          <t>Radon contributes to over than 50% of the natural radiation dose received by people. In radon risk areas this contribution can be as high as 90-95%, leading to an exposure to natural radiation 5-10 times higher than normal. This work presents results from radon measurements (indoor, soil and exhalation from building materials) in Baita-Stei, a former uranium exploitation area in NW Romania. In this region, indoor radon concentrations found were as high as 5000 Bq m(-3) and soil radon levels ranged from 20 to 500 kBq m(-3). An important contribution from building materials to indoor radon was also observed. Our results indicate two independent sources of indoor radon in the surveyed houses of this region. One source is coming from the soil and regular building materials, and the second source being uranium waste and local radium reached material used in building construction. The soil as source of indoor radon shows high radon potential in 80% of the investigated area. Some local building materials reveal high radon exhalation rate (up to 80 mBq kg(-1) h(-1) from a sandy-gravel material, ten times higher than normal material). These measurements were used for the radon risk classification of this area by combining the radon potential of the soil with the additional component from building materials. Our results indicate that Baita-Stei area can be categorized as a radon prone area. Crown Copyright (C) 2012 Published by Elsevier Ltd. All rights reserved.</t>
        </is>
      </c>
      <c r="X914" t="inlineStr">
        <is>
          <t>[Cosma, Constantin; Cucos-Dinu, Alexandra; Papp, Botond; Begy, Robert; Sainz, Carlos] Univ Babes Bolyai, Fac Environm Sci &amp; Engn, RO-400294 Cluj Napoca, Romania; [Sainz, Carlos] Univ Cantabria, Fac Med, Dept Med Phys, ES-39011 Santander, Spain</t>
        </is>
      </c>
      <c r="Y914" t="inlineStr">
        <is>
          <t>Babes Bolyai University from Cluj; Universidad de Cantabria</t>
        </is>
      </c>
      <c r="Z914" t="inlineStr">
        <is>
          <t>Papp, B (corresponding author), Univ Babes Bolyai, Fac Environm Sci &amp; Engn, RO-400294 Cluj Napoca, Romania.</t>
        </is>
      </c>
      <c r="AA914" t="inlineStr">
        <is>
          <t>papp.botond@ubbcluj.ro</t>
        </is>
      </c>
      <c r="AC914" t="inlineStr">
        <is>
          <t>Sainz Fernandez, Carlos/0000-0003-2029-4512; Papp, Botond/0000-0003-1981-5165; Cucos (Dinu), Alexandra/0000-0001-6466-121X</t>
        </is>
      </c>
      <c r="AD914" t="inlineStr">
        <is>
          <t>European Regional Development Fund; [586-12487]; [160/15.06.2010]</t>
        </is>
      </c>
      <c r="AE914" t="inlineStr">
        <is>
          <t>European Regional Development Fund(European Union (EU)); ;</t>
        </is>
      </c>
      <c r="AF914" t="inlineStr">
        <is>
          <t>This work represents a part of research study supported by the project 586-12487, Contract No. 160/15.06.2010 with the title IMPLEMENTATION OF RADON REMEDIATION TECHNIQUES IN DWELLINGS OF BAITA URANIUM MINE AREA/IRART of the Sectoral Operational Programme Increase of Economic Competitiveness co-financed by The European Regional Development Fund.</t>
        </is>
      </c>
      <c r="AH914" t="n">
        <v>28</v>
      </c>
      <c r="AI914" t="n">
        <v>70</v>
      </c>
      <c r="AJ914" t="n">
        <v>70</v>
      </c>
      <c r="AK914" t="n">
        <v>0</v>
      </c>
      <c r="AL914" t="n">
        <v>27</v>
      </c>
      <c r="AM914" t="inlineStr">
        <is>
          <t>ELSEVIER SCI LTD</t>
        </is>
      </c>
      <c r="AN914" t="inlineStr">
        <is>
          <t>OXFORD</t>
        </is>
      </c>
      <c r="AO914" t="inlineStr">
        <is>
          <t>THE BOULEVARD, LANGFORD LANE, KIDLINGTON, OXFORD OX5 1GB, OXON, ENGLAND</t>
        </is>
      </c>
      <c r="AP914" t="inlineStr">
        <is>
          <t>0265-931X</t>
        </is>
      </c>
      <c r="AQ914" t="inlineStr">
        <is>
          <t>1879-1700</t>
        </is>
      </c>
      <c r="AS914" t="inlineStr">
        <is>
          <t>J ENVIRON RADIOACTIV</t>
        </is>
      </c>
      <c r="AT914" t="inlineStr">
        <is>
          <t>J. Environ. Radioact.</t>
        </is>
      </c>
      <c r="AU914" t="inlineStr">
        <is>
          <t>FEB</t>
        </is>
      </c>
      <c r="AV914" t="n">
        <v>2013</v>
      </c>
      <c r="AW914" t="n">
        <v>116</v>
      </c>
      <c r="BC914" t="n">
        <v>174</v>
      </c>
      <c r="BD914" t="n">
        <v>179</v>
      </c>
      <c r="BF914" t="inlineStr">
        <is>
          <t>10.1016/j.jenvrad.2012.09.006</t>
        </is>
      </c>
      <c r="BG914">
        <f>HYPERLINK("http://dx.doi.org/10.1016/j.jenvrad.2012.09.006","http://dx.doi.org/10.1016/j.jenvrad.2012.09.006")</f>
        <v/>
      </c>
      <c r="BJ914" t="n">
        <v>6</v>
      </c>
      <c r="BK914" t="inlineStr">
        <is>
          <t>Environmental Sciences</t>
        </is>
      </c>
      <c r="BL914" t="inlineStr">
        <is>
          <t>Science Citation Index Expanded (SCI-EXPANDED)</t>
        </is>
      </c>
      <c r="BM914" t="inlineStr">
        <is>
          <t>Environmental Sciences &amp; Ecology</t>
        </is>
      </c>
      <c r="BN914" t="inlineStr">
        <is>
          <t>090UN</t>
        </is>
      </c>
      <c r="BO914" t="n">
        <v>23164693</v>
      </c>
      <c r="BS914" t="inlineStr">
        <is>
          <t>2023-10-26</t>
        </is>
      </c>
      <c r="BT914" t="inlineStr">
        <is>
          <t>WOS:000315005600023</t>
        </is>
      </c>
      <c r="BU914">
        <f>HYPERLINK("https%3A%2F%2Fwww.webofscience.com%2Fwos%2Fwoscc%2Ffull-record%2FWOS:000315005600023","View Full Record in Web of Science")</f>
        <v/>
      </c>
    </row>
    <row r="915">
      <c r="A915" t="inlineStr">
        <is>
          <t>J</t>
        </is>
      </c>
      <c r="B915" t="inlineStr">
        <is>
          <t>Liagkouridis, L; Cousins, AP; Cousins, IT</t>
        </is>
      </c>
      <c r="F915" t="inlineStr">
        <is>
          <t>Liagkouridis, Loannis; Cousins, Anna Palm; Cousins, Ian T.</t>
        </is>
      </c>
      <c r="J915" t="inlineStr">
        <is>
          <t>SCIENCE OF THE TOTAL ENVIRONMENT</t>
        </is>
      </c>
      <c r="M915" t="inlineStr">
        <is>
          <t>English</t>
        </is>
      </c>
      <c r="N915" t="inlineStr">
        <is>
          <t>Article</t>
        </is>
      </c>
      <c r="T915" t="inlineStr">
        <is>
          <t>Physical-chemical properties and evaluative fate modelling of 'emerging' and 'novel' brominated and organophosphorus flame retardants in the indoor and outdoor environment</t>
        </is>
      </c>
      <c r="U915" t="inlineStr">
        <is>
          <t>BFRs; OPFRs; Indoor fate; Persistence; Physical-chemical properties</t>
        </is>
      </c>
      <c r="V915" t="inlineStr">
        <is>
          <t>DECABROMINATED DIPHENYL ETHERS; HIGH-QUALITY PREDICTIONS; CALCULATOR-THE NEED; PHYSICOCHEMICAL PROPERTIES; ORGANIC-CHEMICALS; PERSISTENCE; SOLUBILITY; TRANSPORT; TOXICITY; AIR</t>
        </is>
      </c>
      <c r="W915" t="inlineStr">
        <is>
          <t>Several groups of flame retardants (FRs) have entered the market in recent years as replacements for polybrominated diphenyl ethers (PBDEs), but little is known about their physical-chemical properties or their environmental transport and fate. Here we make best estimates of the physical-chemical properties and undertake evaluative modelling assessments (indoors and outdoors) for 35 so-called 'novel' and 'emerging' brominated flame retardants (BFRs) and 22 organophosphorus flame retardants (OPFRs). A QSPR (Quantitative Structure-Property Relationship) based technique is used to reduce uncertainty in physical-chemical properties and to aid property selection for modelling, but it is evident that more, high quality property data are required for improving future assessments. Evaluative modelling results show that many of the alternative FRs, mainly alternative BFRs and some of the halogenated OPFRs, behave similarly to the PBDEs both indoors and outdoors. These alternative FRs exhibit high overall persistence (Pov), long-range transport potential (LRTP) and POP-like behaviour and on that basis cannot be regarded as suitable replacements to PBDEs. A group of low molecular weight alternative BFRs and non-halogenated OPFRs show a potentially better environmental performance based on Pov and LRTP metrics. Results must be interpreted with caution though since there are significant uncertainties and limited data to allow for thorough model evaluation. Additional environmental parameters such as toxicity and bioaccumulative potential as well as functionality issues should be considered in an industrial substitution strategy. (C) 2015 Elsevier B.V. All rights reserved.</t>
        </is>
      </c>
      <c r="X915" t="inlineStr">
        <is>
          <t>[Liagkouridis, Loannis; Cousins, Ian T.] Stockholm Univ, Dept Environm Sci &amp; Analyt Chem ACES, SE-10691 Stockholm, Sweden; [Liagkouridis, Loannis; Cousins, Anna Palm] IVL Swedish Environm Res Inst, SE-10031 Stockholm, Sweden</t>
        </is>
      </c>
      <c r="Y915" t="inlineStr">
        <is>
          <t>Stockholm University; IVL Swedish Environmental Research Institute</t>
        </is>
      </c>
      <c r="Z915" t="inlineStr">
        <is>
          <t>Liagkouridis, L (corresponding author), Stockholm Univ, Dept Environm Sci &amp; Analyt Chem ACES, SE-10691 Stockholm, Sweden.</t>
        </is>
      </c>
      <c r="AA915" t="inlineStr">
        <is>
          <t>ioannis.liagkouridis@aces.su.se</t>
        </is>
      </c>
      <c r="AB915" t="inlineStr">
        <is>
          <t>Cousins, Ian/AAS-2316-2020; Cousins, Ian/A-6944-2008</t>
        </is>
      </c>
      <c r="AC915" t="inlineStr">
        <is>
          <t>Cousins, Ian/0000-0002-7035-8660; Cousins, Ian/0000-0002-7035-8660</t>
        </is>
      </c>
      <c r="AD915" t="inlineStr">
        <is>
          <t>European Commission, 7th Framework Programme under the E.U. Marie Curie Initial Training Network INFLAME [264600]</t>
        </is>
      </c>
      <c r="AE915" t="inlineStr">
        <is>
          <t>European Commission, 7th Framework Programme under the E.U. Marie Curie Initial Training Network INFLAME</t>
        </is>
      </c>
      <c r="AF915" t="inlineStr">
        <is>
          <t>This study was financed by the European Commission, 7th Framework Programme under the E.U. Marie Curie Initial Training Network INFLAME (grant agreement No. 264600).</t>
        </is>
      </c>
      <c r="AH915" t="n">
        <v>45</v>
      </c>
      <c r="AI915" t="n">
        <v>63</v>
      </c>
      <c r="AJ915" t="n">
        <v>66</v>
      </c>
      <c r="AK915" t="n">
        <v>5</v>
      </c>
      <c r="AL915" t="n">
        <v>191</v>
      </c>
      <c r="AM915" t="inlineStr">
        <is>
          <t>ELSEVIER</t>
        </is>
      </c>
      <c r="AN915" t="inlineStr">
        <is>
          <t>AMSTERDAM</t>
        </is>
      </c>
      <c r="AO915" t="inlineStr">
        <is>
          <t>RADARWEG 29, 1043 NX AMSTERDAM, NETHERLANDS</t>
        </is>
      </c>
      <c r="AP915" t="inlineStr">
        <is>
          <t>0048-9697</t>
        </is>
      </c>
      <c r="AQ915" t="inlineStr">
        <is>
          <t>1879-1026</t>
        </is>
      </c>
      <c r="AS915" t="inlineStr">
        <is>
          <t>SCI TOTAL ENVIRON</t>
        </is>
      </c>
      <c r="AT915" t="inlineStr">
        <is>
          <t>Sci. Total Environ.</t>
        </is>
      </c>
      <c r="AU915" t="inlineStr">
        <is>
          <t>AUG 15</t>
        </is>
      </c>
      <c r="AV915" t="n">
        <v>2015</v>
      </c>
      <c r="AW915" t="n">
        <v>524</v>
      </c>
      <c r="BC915" t="n">
        <v>416</v>
      </c>
      <c r="BD915" t="n">
        <v>426</v>
      </c>
      <c r="BF915" t="inlineStr">
        <is>
          <t>10.1016/j.scitotenv.2015.02.106</t>
        </is>
      </c>
      <c r="BG915">
        <f>HYPERLINK("http://dx.doi.org/10.1016/j.scitotenv.2015.02.106","http://dx.doi.org/10.1016/j.scitotenv.2015.02.106")</f>
        <v/>
      </c>
      <c r="BJ915" t="n">
        <v>11</v>
      </c>
      <c r="BK915" t="inlineStr">
        <is>
          <t>Environmental Sciences</t>
        </is>
      </c>
      <c r="BL915" t="inlineStr">
        <is>
          <t>Science Citation Index Expanded (SCI-EXPANDED)</t>
        </is>
      </c>
      <c r="BM915" t="inlineStr">
        <is>
          <t>Environmental Sciences &amp; Ecology</t>
        </is>
      </c>
      <c r="BN915" t="inlineStr">
        <is>
          <t>CI8GZ</t>
        </is>
      </c>
      <c r="BO915" t="n">
        <v>25933174</v>
      </c>
      <c r="BS915" t="inlineStr">
        <is>
          <t>2023-10-26</t>
        </is>
      </c>
      <c r="BT915" t="inlineStr">
        <is>
          <t>WOS:000355010400042</t>
        </is>
      </c>
      <c r="BU915">
        <f>HYPERLINK("https%3A%2F%2Fwww.webofscience.com%2Fwos%2Fwoscc%2Ffull-record%2FWOS:000355010400042","View Full Record in Web of Science")</f>
        <v/>
      </c>
    </row>
    <row r="916">
      <c r="A916" t="inlineStr">
        <is>
          <t>J</t>
        </is>
      </c>
      <c r="B916" t="inlineStr">
        <is>
          <t>Kulimbet, M; Glushkova, N; Snitz, B; Tsoy, R; Adambekov, S; Talbott, E; Mereke, A; Wu, M; Zhumagaliuly, A; Karaca, F; Chang, YF; Turuspekova, S; Sekikawa, A; Davletov, K</t>
        </is>
      </c>
      <c r="F916" t="inlineStr">
        <is>
          <t>Kulimbet, Mukhtar; Glushkova, Natalya; Snitz, Beth; Tsoy, Radmila; Adambekov, Shalkar; Talbott, Evelyn; Mereke, Alibek; Wu, Minjie; Zhumagaliuly, Abzal; Karaca, Ferhat; Chang, Yuefang; Turuspekova, Saule; Sekikawa, Akira; Davletov, Kairat</t>
        </is>
      </c>
      <c r="J916" t="inlineStr">
        <is>
          <t>INTERNATIONAL JOURNAL OF ENVIRONMENTAL RESEARCH AND PUBLIC HEALTH</t>
        </is>
      </c>
      <c r="M916" t="inlineStr">
        <is>
          <t>English</t>
        </is>
      </c>
      <c r="N916" t="inlineStr">
        <is>
          <t>Article</t>
        </is>
      </c>
      <c r="T916" t="inlineStr">
        <is>
          <t>Neuropsychological Assessment of Community-Dwelling Older Adults in Almaty, Kazakhstan</t>
        </is>
      </c>
      <c r="U916" t="inlineStr">
        <is>
          <t>cognitive impairment; dementia; neuropsychological test battery; normative data; Kazakhstan; older adults</t>
        </is>
      </c>
      <c r="V916" t="inlineStr">
        <is>
          <t>MINI-MENTAL-STATE; COGNITIVE PERFORMANCE; EDUCATION; PREVENTION; DEMENTIA; NORMS; AGE</t>
        </is>
      </c>
      <c r="W916" t="inlineStr">
        <is>
          <t>Cognitive impairment in older adults is a major public concern for Kazakhstan's aging population. We aimed to (1) administer a neuropsychological test battery (NTB) in domains relevant to aging-associated cognitive impairment in a sample of adults aged 60+ without dementia in Almaty, Kazakhstan; (2) investigate the associations between demographic factors and test performance; and (3) provide information on the distribution of NTB scores as preliminary local normative data relevant for this population. A cross-sectional evaluation of 276 participants aged 60+ in Almaty, Kazakhstan, was conducted using cognitive instruments including tests of memory, attention, language, executive functions, visuospatial abilities, and processing speed. Multiple linear regression analyses were used to examine the association of demographic factors with neuropsychological test performance. The results from the regression analysis showed that those who are younger, have more years of education, are women, and are of Russian ethnicity had significantly better performance. The current study illustrated (1) the feasibility of administering the NTB to older adults in the general population in Kazakhstan; (2) the preliminary local normative neuropsychological measures; and (3) their independent associations with age, education, gender, and ethnicity. The findings are a platform for future research on dementia and cognitive impairment in older adults in Kazakhstan.</t>
        </is>
      </c>
      <c r="X916" t="inlineStr">
        <is>
          <t>[Kulimbet, Mukhtar; Glushkova, Natalya; Adambekov, Shalkar; Mereke, Alibek] Al Farabi Kazakh Natl Univ, Dept Epidemiol Biostat &amp; Evidence Based Med, Alma Ata 050040, Kazakhstan; [Kulimbet, Mukhtar; Glushkova, Natalya; Davletov, Kairat] Asfendiyarov Kazakh Natl Med Univ, Hlth Res Ctr, Alma Ata 050000, Kazakhstan; [Snitz, Beth] Univ Pittsburgh, Dept Neurol, Pittsburgh, PA 15237 USA; [Tsoy, Radmila; Turuspekova, Saule] Asfendiyarov Kazakh Natl Med Univ, Dept Nervous Dis, Alma Ata 050000, Kazakhstan; [Talbott, Evelyn; Sekikawa, Akira] Univ Pittsburgh, Sch Publ Hlth, Dept Epidemiol, Pittsburgh, PA 15213 USA; [Wu, Minjie] Univ Pittsburgh, Dept Psychiat, Pittsburgh, PA 15213 USA; [Zhumagaliuly, Abzal] Asfendiyarov Kazakh Natl Med Univ, Publ Hlth Dept, Alma Ata 050040, Kazakhstan; [Karaca, Ferhat] Nazarbayev Univ, Sch Engn &amp; Digital Sci, Dept Civil &amp; Environm Engn, Environm &amp; Resource Efficiency Cluster, Nur Sultan 010000, Kazakhstan; [Chang, Yuefang] Univ Pittsburgh, Sch Med, Dept Neurosurg, Pittsburgh, PA 15213 USA</t>
        </is>
      </c>
      <c r="Y916" t="inlineStr">
        <is>
          <t>Al-Farabi Kazakh National University; Asfendiyarov Kazakh National Medical University; Pennsylvania Commonwealth System of Higher Education (PCSHE); University of Pittsburgh; Asfendiyarov Kazakh National Medical University; Pennsylvania Commonwealth System of Higher Education (PCSHE); University of Pittsburgh; Pennsylvania Commonwealth System of Higher Education (PCSHE); University of Pittsburgh; Asfendiyarov Kazakh National Medical University; Nazarbayev University; Pennsylvania Commonwealth System of Higher Education (PCSHE); University of Pittsburgh</t>
        </is>
      </c>
      <c r="Z916" t="inlineStr">
        <is>
          <t>Sekikawa, A (corresponding author), Univ Pittsburgh, Sch Publ Hlth, Dept Epidemiol, Pittsburgh, PA 15213 USA.</t>
        </is>
      </c>
      <c r="AA916" t="inlineStr">
        <is>
          <t>akira@pitt.edu</t>
        </is>
      </c>
      <c r="AB916" t="inlineStr">
        <is>
          <t>Glushkova, Natalya/ABI-1866-2020; Kulimbet, Mukhtar/AAR-3059-2021; Davletov, Kairat/S-1792-2016; Davletov, Kairat/JDD-4419-2023; Tsoy, Radmila/A-1168-2016</t>
        </is>
      </c>
      <c r="AC916" t="inlineStr">
        <is>
          <t>Glushkova, Natalya/0000-0003-1400-8436; Kulimbet, Mukhtar/0000-0003-4399-700X; Tsoy, Radmila/0000-0002-1450-9604; Turuspekova, Saule/0000-0002-4593-3053; Adambekov, Shalkar/0000-0001-7797-0337; Karaca, Ferhat/0000-0002-9604-9348</t>
        </is>
      </c>
      <c r="AD916" t="inlineStr">
        <is>
          <t>National Institute of Environmental Health Sciences (NIEHS); National Institutes of Health in the US [R21 ES029734]</t>
        </is>
      </c>
      <c r="AE916" t="inlineStr">
        <is>
          <t>National Institute of Environmental Health Sciences (NIEHS)(United States Department of Health &amp; Human ServicesNational Institutes of Health (NIH) - USANIH National Institute of Environmental Health Sciences (NIEHS)); National Institutes of Health in the US(United States Department of Health &amp; Human ServicesNational Institutes of Health (NIH) - USA)</t>
        </is>
      </c>
      <c r="AF916" t="inlineStr">
        <is>
          <t>This study was supported by the National Institute of Environmental Health Sciences (NIEHS), National Institutes of Health in the US (R21 ES029734).</t>
        </is>
      </c>
      <c r="AH916" t="n">
        <v>35</v>
      </c>
      <c r="AI916" t="n">
        <v>0</v>
      </c>
      <c r="AJ916" t="n">
        <v>0</v>
      </c>
      <c r="AK916" t="n">
        <v>0</v>
      </c>
      <c r="AL916" t="n">
        <v>1</v>
      </c>
      <c r="AM916" t="inlineStr">
        <is>
          <t>MDPI</t>
        </is>
      </c>
      <c r="AN916" t="inlineStr">
        <is>
          <t>BASEL</t>
        </is>
      </c>
      <c r="AO916" t="inlineStr">
        <is>
          <t>ST ALBAN-ANLAGE 66, CH-4052 BASEL, SWITZERLAND</t>
        </is>
      </c>
      <c r="AQ916" t="inlineStr">
        <is>
          <t>1660-4601</t>
        </is>
      </c>
      <c r="AS916" t="inlineStr">
        <is>
          <t>INT J ENV RES PUB HE</t>
        </is>
      </c>
      <c r="AT916" t="inlineStr">
        <is>
          <t>Int. J. Environ. Res. Public Health</t>
        </is>
      </c>
      <c r="AU916" t="inlineStr">
        <is>
          <t>DEC</t>
        </is>
      </c>
      <c r="AV916" t="n">
        <v>2022</v>
      </c>
      <c r="AW916" t="n">
        <v>19</v>
      </c>
      <c r="AX916" t="n">
        <v>23</v>
      </c>
      <c r="BE916" t="n">
        <v>16189</v>
      </c>
      <c r="BF916" t="inlineStr">
        <is>
          <t>10.3390/ijerph192316189</t>
        </is>
      </c>
      <c r="BG916">
        <f>HYPERLINK("http://dx.doi.org/10.3390/ijerph192316189","http://dx.doi.org/10.3390/ijerph192316189")</f>
        <v/>
      </c>
      <c r="BJ916" t="n">
        <v>10</v>
      </c>
      <c r="BK916" t="inlineStr">
        <is>
          <t>Environmental Sciences; Public, Environmental &amp; Occupational Health</t>
        </is>
      </c>
      <c r="BL916" t="inlineStr">
        <is>
          <t>Science Citation Index Expanded (SCI-EXPANDED); Social Science Citation Index (SSCI)</t>
        </is>
      </c>
      <c r="BM916" t="inlineStr">
        <is>
          <t>Environmental Sciences &amp; Ecology; Public, Environmental &amp; Occupational Health</t>
        </is>
      </c>
      <c r="BN916" t="inlineStr">
        <is>
          <t>6Y8GZ</t>
        </is>
      </c>
      <c r="BO916" t="n">
        <v>36498262</v>
      </c>
      <c r="BP916" t="inlineStr">
        <is>
          <t>Green Published, gold</t>
        </is>
      </c>
      <c r="BS916" t="inlineStr">
        <is>
          <t>2023-10-26</t>
        </is>
      </c>
      <c r="BT916" t="inlineStr">
        <is>
          <t>WOS:000897328200001</t>
        </is>
      </c>
      <c r="BU916">
        <f>HYPERLINK("https%3A%2F%2Fwww.webofscience.com%2Fwos%2Fwoscc%2Ffull-record%2FWOS:000897328200001","View Full Record in Web of Science")</f>
        <v/>
      </c>
    </row>
    <row r="917">
      <c r="A917" t="inlineStr">
        <is>
          <t>J</t>
        </is>
      </c>
      <c r="B917" t="inlineStr">
        <is>
          <t>McCormack, GR; McLaren, L; Salvo, G; Blackstaffe, A</t>
        </is>
      </c>
      <c r="F917" t="inlineStr">
        <is>
          <t>McCormack, Gavin R.; McLaren, Lindsay; Salvo, Grazia; Blackstaffe, Anita</t>
        </is>
      </c>
      <c r="J917" t="inlineStr">
        <is>
          <t>INTERNATIONAL JOURNAL OF ENVIRONMENTAL RESEARCH AND PUBLIC HEALTH</t>
        </is>
      </c>
      <c r="M917" t="inlineStr">
        <is>
          <t>English</t>
        </is>
      </c>
      <c r="N917" t="inlineStr">
        <is>
          <t>Article</t>
        </is>
      </c>
      <c r="T917" t="inlineStr">
        <is>
          <t>Changes in Objectively-Determined Walkability and Physical Activity in Adults: A Quasi-Longitudinal Residential Relocation Study</t>
        </is>
      </c>
      <c r="U917" t="inlineStr">
        <is>
          <t>built environment; residential relocation; natural experiment; longitudinal; physical activity; walkability; walking; cycling; neighbourhood</t>
        </is>
      </c>
      <c r="V917" t="inlineStr">
        <is>
          <t>BUILT ENVIRONMENT; WALK SCORE(R); NEIGHBORHOOD DESIGN; PROPENSITY SCORE; TRAVEL BEHAVIOR; SELF-SELECTION; OBESITY; IMPACT; BIAS</t>
        </is>
      </c>
      <c r="W917" t="inlineStr">
        <is>
          <t>Causal evidence for the built environment's role in supporting physical activity is needed to inform land use and transportation policies. This quasi-longitudinal residential relocation study compared within-person changes in self-reported transportation walking, transportation cycling, and overall physical activity during the past 12 months among adults who did and did not move to a different neighbourhood. In 2014, a random sample of adults from 12 neighbourhoods (Calgary, AB, Canada) with varying urban form and socioeconomic status provided complete self-administered questionnaire data (n = 915). Participants, some of whom moved neighbourhood during the past 12 months (n = 95), reported their perceived change in transportation walking and cycling, and overall physical activity during that period. The questionnaire also captured residential self-selection, and sociodemographic and health characteristics. Walk Scores (R) were linked to each participant's current and previous neighbourhood and three groups identified: walkability improvers (n = 48); decliners (n = 47), and; maintainers (n = 820). Perceived change in physical activity was compared between the three groups using propensity score covariate-adjusted Firth logistic regression (odds ratios: OR). Compared with walkability maintainers, walkability decliners (OR 4.37) and improvers (OR 4.14) were more likely (p &lt; 0.05) to report an increase in their transportation walking since moving neighbourhood, while walkability decliners were also more likely (OR 3.17) to report decreasing their transportation walking since moving. Walkability improvers were more likely than maintainers to increase their transportation cycling since moving neighbourhood (OR 4.22). Temporal changes in neighbourhood walkability resulting from residential relocation appear to be associated with reported temporal changes in transportation walking and cycling in adults.</t>
        </is>
      </c>
      <c r="X917" t="inlineStr">
        <is>
          <t>[McCormack, Gavin R.; McLaren, Lindsay; Salvo, Grazia; Blackstaffe, Anita] Univ Calgary, Cumming Sch Med, Dept Community Hlth Sci, Calgary, AB T2N 1N4, Canada</t>
        </is>
      </c>
      <c r="Y917" t="inlineStr">
        <is>
          <t>University of Calgary</t>
        </is>
      </c>
      <c r="Z917" t="inlineStr">
        <is>
          <t>McCormack, GR (corresponding author), Univ Calgary, Cumming Sch Med, Dept Community Hlth Sci, Calgary, AB T2N 1N4, Canada.</t>
        </is>
      </c>
      <c r="AA917" t="inlineStr">
        <is>
          <t>gmccorma@ucalgary.ca; lmclaren@ucalgary.ca; grazia.salvo@ucalgary.ca; ambortni@ucalgary.ca</t>
        </is>
      </c>
      <c r="AB917" t="inlineStr">
        <is>
          <t>McCormack, Gavin/JHU-7490-2023</t>
        </is>
      </c>
      <c r="AD917" t="inlineStr">
        <is>
          <t>Canadian Institutes of Health Research (CIHR) [MOP-126133]; CIHR [MSH-130162]; Applied Public Health Chair award - CIHR (Institute of Population and Public Health); Applied Public Health Chair award - CIHR (Institute of Musculoskeletal Health and Arthritis); Public Health Agency of Canada; Alberta Innovates-Health Solutions</t>
        </is>
      </c>
      <c r="AE917" t="inlineStr">
        <is>
          <t>Canadian Institutes of Health Research (CIHR)(Canadian Institutes of Health Research (CIHR)); CIHR(Canadian Institutes of Health Research (CIHR)); Applied Public Health Chair award - CIHR (Institute of Population and Public Health); Applied Public Health Chair award - CIHR (Institute of Musculoskeletal Health and Arthritis); Public Health Agency of Canada; Alberta Innovates-Health Solutions</t>
        </is>
      </c>
      <c r="AF917" t="inlineStr">
        <is>
          <t>This study was part of the Pathways to Health project funded by the Canadian Institutes of Health Research (CIHR; MOP-126133). Gavin McCormack is supported by a CIHR New Investigator Award (MSH-130162). Lindsay McLaren is supported by an Applied Public Health Chair award funded by CIHR (Institute of Population and Public Health and Institute of Musculoskeletal Health and Arthritis), the Public Health Agency of Canada, and Alberta Innovates-Health Solutions.</t>
        </is>
      </c>
      <c r="AH917" t="n">
        <v>39</v>
      </c>
      <c r="AI917" t="n">
        <v>20</v>
      </c>
      <c r="AJ917" t="n">
        <v>20</v>
      </c>
      <c r="AK917" t="n">
        <v>1</v>
      </c>
      <c r="AL917" t="n">
        <v>6</v>
      </c>
      <c r="AM917" t="inlineStr">
        <is>
          <t>MDPI</t>
        </is>
      </c>
      <c r="AN917" t="inlineStr">
        <is>
          <t>BASEL</t>
        </is>
      </c>
      <c r="AO917" t="inlineStr">
        <is>
          <t>ST ALBAN-ANLAGE 66, CH-4052 BASEL, SWITZERLAND</t>
        </is>
      </c>
      <c r="AP917" t="inlineStr">
        <is>
          <t>1660-4601</t>
        </is>
      </c>
      <c r="AS917" t="inlineStr">
        <is>
          <t>INT J ENV RES PUB HE</t>
        </is>
      </c>
      <c r="AT917" t="inlineStr">
        <is>
          <t>Int. J. Environ. Res. Public Health</t>
        </is>
      </c>
      <c r="AU917" t="inlineStr">
        <is>
          <t>MAY</t>
        </is>
      </c>
      <c r="AV917" t="n">
        <v>2017</v>
      </c>
      <c r="AW917" t="n">
        <v>14</v>
      </c>
      <c r="AX917" t="n">
        <v>5</v>
      </c>
      <c r="BE917" t="n">
        <v>551</v>
      </c>
      <c r="BF917" t="inlineStr">
        <is>
          <t>10.3390/ijerph14050551</t>
        </is>
      </c>
      <c r="BG917">
        <f>HYPERLINK("http://dx.doi.org/10.3390/ijerph14050551","http://dx.doi.org/10.3390/ijerph14050551")</f>
        <v/>
      </c>
      <c r="BJ917" t="n">
        <v>13</v>
      </c>
      <c r="BK917" t="inlineStr">
        <is>
          <t>Environmental Sciences; Public, Environmental &amp; Occupational Health</t>
        </is>
      </c>
      <c r="BL917" t="inlineStr">
        <is>
          <t>Science Citation Index Expanded (SCI-EXPANDED); Social Science Citation Index (SSCI)</t>
        </is>
      </c>
      <c r="BM917" t="inlineStr">
        <is>
          <t>Environmental Sciences &amp; Ecology; Public, Environmental &amp; Occupational Health</t>
        </is>
      </c>
      <c r="BN917" t="inlineStr">
        <is>
          <t>EY6PT</t>
        </is>
      </c>
      <c r="BO917" t="n">
        <v>28531149</v>
      </c>
      <c r="BP917" t="inlineStr">
        <is>
          <t>gold, Green Published, Green Submitted</t>
        </is>
      </c>
      <c r="BS917" t="inlineStr">
        <is>
          <t>2023-10-26</t>
        </is>
      </c>
      <c r="BT917" t="inlineStr">
        <is>
          <t>WOS:000404106400098</t>
        </is>
      </c>
      <c r="BU917">
        <f>HYPERLINK("https%3A%2F%2Fwww.webofscience.com%2Fwos%2Fwoscc%2Ffull-record%2FWOS:000404106400098","View Full Record in Web of Science")</f>
        <v/>
      </c>
    </row>
    <row r="918">
      <c r="A918" t="inlineStr">
        <is>
          <t>J</t>
        </is>
      </c>
      <c r="B918" t="inlineStr">
        <is>
          <t>Wang, CL; Sheng, YL; Wang, JM; Wang, YY; Wang, P; Huang, L</t>
        </is>
      </c>
      <c r="F918" t="inlineStr">
        <is>
          <t>Wang, Chenglong; Sheng, Yunliang; Wang, Jiaming; Wang, Yiyi; Wang, Peng; Huang, Lei</t>
        </is>
      </c>
      <c r="J918" t="inlineStr">
        <is>
          <t>REMOTE SENSING</t>
        </is>
      </c>
      <c r="M918" t="inlineStr">
        <is>
          <t>English</t>
        </is>
      </c>
      <c r="N918" t="inlineStr">
        <is>
          <t>Article</t>
        </is>
      </c>
      <c r="T918" t="inlineStr">
        <is>
          <t>Air Pollution and Human Health: Investigating the Moderating Effect of the Built Environment</t>
        </is>
      </c>
      <c r="U918" t="inlineStr">
        <is>
          <t>built environment; human health; air pollution; GIS; moderating effect</t>
        </is>
      </c>
      <c r="V918" t="inlineStr">
        <is>
          <t>POPULATION-DENSITY; DAILY MORTALITY; HEAT WAVES; URBAN; CHINA; PARTICIPANTS; COMFORT; DISEASE; PM2.5</t>
        </is>
      </c>
      <c r="W918" t="inlineStr">
        <is>
          <t>Air pollution seriously threatens human health and even causes mortality. It is necessary to explore effective prevention methods to mitigate the adverse effect of air pollution. Shaping a reasonable built environment has the potential to benefit human health. In this context, this study quantified the built environment, air pollution, and mortality at 1 km x 1 km grid cells. The moderating effect model was used to explore how built environment factors affect the impact of air pollution on cause-specific mortality and the heterogeneity in different areas classified by building density and height. Consequently, we found that greenness played an important role in mitigating the effect of ozone (O-3) and nitrogen dioxide (NO2) on mortality. Water area and diversity of land cover can reduce the effect of fine particulate matter (PM2.5) and NO2 on mortality. Additionally, gas stations, edge density (ED), perimeter-area fractal dimension (PAFRAC), and patch density (PD) can reduce the effect of NO2 on mortality. There is heterogeneity in the moderating effect of the built environment for different cause-specific mortality and areas classified by building density and height. This study can provide support for urban planners to mitigate the adverse effect of air pollution from the perspective of the built environment.</t>
        </is>
      </c>
      <c r="X918" t="inlineStr">
        <is>
          <t>[Wang, Chenglong; Sheng, Yunliang; Wang, Peng] Jiangsu Univ, Fac Civil Engn &amp; Mech, Zhenjiang 212013, Jiangsu, Peoples R China; [Wang, Jiaming; Wang, Yiyi; Wang, Peng; Huang, Lei] Nanjing Univ, Sch Environm, State Key Lab Pollut Control &amp; Resource Reuse, Nanjing 210023, Peoples R China</t>
        </is>
      </c>
      <c r="Y918" t="inlineStr">
        <is>
          <t>Jiangsu University; Nanjing University</t>
        </is>
      </c>
      <c r="Z918" t="inlineStr">
        <is>
          <t>Wang, P (corresponding author), Jiangsu Univ, Fac Civil Engn &amp; Mech, Zhenjiang 212013, Jiangsu, Peoples R China.;Wang, P (corresponding author), Nanjing Univ, Sch Environm, State Key Lab Pollut Control &amp; Resource Reuse, Nanjing 210023, Peoples R China.</t>
        </is>
      </c>
      <c r="AA918" t="inlineStr">
        <is>
          <t>upesawcl@stmail.ujs.edu.cn; upesasyl@stmail.ujs.edu.cn; jiamingwang@smail.nju.edu.cn; wangyiyi@nju.edu.cn; upeswp@ujs.edu.cn; huanglei@nju.edu.cn</t>
        </is>
      </c>
      <c r="AB918" t="inlineStr">
        <is>
          <t>huang, lynn/GXG-2281-2022; wang, yiyi/GWZ-5830-2022</t>
        </is>
      </c>
      <c r="AC918" t="inlineStr">
        <is>
          <t>Wang, Peng/0000-0003-3639-6126</t>
        </is>
      </c>
      <c r="AD918" t="inlineStr">
        <is>
          <t>National Natural Science Foundation of China [51908249]; Natural Science Foundation of the Jiangsu Higher Education Institutions of China [19KIB560012]; High-level Scientific Research Foundation for the introduction of talent for Jiangsu University [18JDG038]; Innovative Approaches Special Project of the Ministry of Science and Technology of China [2020IM020300]</t>
        </is>
      </c>
      <c r="AE918" t="inlineStr">
        <is>
          <t>National Natural Science Foundation of China(National Natural Science Foundation of China (NSFC)); Natural Science Foundation of the Jiangsu Higher Education Institutions of China(National Natural Science Foundation of China (NSFC)); High-level Scientific Research Foundation for the introduction of talent for Jiangsu University; Innovative Approaches Special Project of the Ministry of Science and Technology of China</t>
        </is>
      </c>
      <c r="AF918" t="inlineStr">
        <is>
          <t>This work was supported by the National Natural Science Foundation of China [Grant No. 51908249], the Natural Science Foundation of the Jiangsu Higher Education Institutions of China [Grant No. 19KIB560012], the High-level Scientific Research Foundation for the introduction of talent for Jiangsu University [Grant No. 18JDG038], and the Innovative Approaches Special Project of the Ministry of Science and Technology of China [Grant No. 2020IM020300].</t>
        </is>
      </c>
      <c r="AH918" t="n">
        <v>52</v>
      </c>
      <c r="AI918" t="n">
        <v>6</v>
      </c>
      <c r="AJ918" t="n">
        <v>6</v>
      </c>
      <c r="AK918" t="n">
        <v>27</v>
      </c>
      <c r="AL918" t="n">
        <v>79</v>
      </c>
      <c r="AM918" t="inlineStr">
        <is>
          <t>MDPI</t>
        </is>
      </c>
      <c r="AN918" t="inlineStr">
        <is>
          <t>BASEL</t>
        </is>
      </c>
      <c r="AO918" t="inlineStr">
        <is>
          <t>ST ALBAN-ANLAGE 66, CH-4052 BASEL, SWITZERLAND</t>
        </is>
      </c>
      <c r="AQ918" t="inlineStr">
        <is>
          <t>2072-4292</t>
        </is>
      </c>
      <c r="AS918" t="inlineStr">
        <is>
          <t>REMOTE SENS-BASEL</t>
        </is>
      </c>
      <c r="AT918" t="inlineStr">
        <is>
          <t>Remote Sens.</t>
        </is>
      </c>
      <c r="AU918" t="inlineStr">
        <is>
          <t>AUG</t>
        </is>
      </c>
      <c r="AV918" t="n">
        <v>2022</v>
      </c>
      <c r="AW918" t="n">
        <v>14</v>
      </c>
      <c r="AX918" t="n">
        <v>15</v>
      </c>
      <c r="BE918" t="n">
        <v>3703</v>
      </c>
      <c r="BF918" t="inlineStr">
        <is>
          <t>10.3390/rs14153703</t>
        </is>
      </c>
      <c r="BG918">
        <f>HYPERLINK("http://dx.doi.org/10.3390/rs14153703","http://dx.doi.org/10.3390/rs14153703")</f>
        <v/>
      </c>
      <c r="BJ918" t="n">
        <v>18</v>
      </c>
      <c r="BK918" t="inlineStr">
        <is>
          <t>Environmental Sciences; Geosciences, Multidisciplinary; Remote Sensing; Imaging Science &amp; Photographic Technology</t>
        </is>
      </c>
      <c r="BL918" t="inlineStr">
        <is>
          <t>Science Citation Index Expanded (SCI-EXPANDED)</t>
        </is>
      </c>
      <c r="BM918" t="inlineStr">
        <is>
          <t>Environmental Sciences &amp; Ecology; Geology; Remote Sensing; Imaging Science &amp; Photographic Technology</t>
        </is>
      </c>
      <c r="BN918" t="inlineStr">
        <is>
          <t>3S9JK</t>
        </is>
      </c>
      <c r="BP918" t="inlineStr">
        <is>
          <t>gold</t>
        </is>
      </c>
      <c r="BS918" t="inlineStr">
        <is>
          <t>2023-10-26</t>
        </is>
      </c>
      <c r="BT918" t="inlineStr">
        <is>
          <t>WOS:000839903300001</t>
        </is>
      </c>
      <c r="BU918">
        <f>HYPERLINK("https%3A%2F%2Fwww.webofscience.com%2Fwos%2Fwoscc%2Ffull-record%2FWOS:000839903300001","View Full Record in Web of Science")</f>
        <v/>
      </c>
    </row>
    <row r="919">
      <c r="A919" t="inlineStr">
        <is>
          <t>J</t>
        </is>
      </c>
      <c r="B919" t="inlineStr">
        <is>
          <t>Ortegon-Sanchez, A; Vaughan, L; Christie, N; McEachan, RRC</t>
        </is>
      </c>
      <c r="F919" t="inlineStr">
        <is>
          <t>Ortegon-Sanchez, Adriana; Vaughan, Laura; Christie, Nicola; McEachan, Rosemary R. C.</t>
        </is>
      </c>
      <c r="J919" t="inlineStr">
        <is>
          <t>INTERNATIONAL JOURNAL OF ENVIRONMENTAL RESEARCH AND PUBLIC HEALTH</t>
        </is>
      </c>
      <c r="M919" t="inlineStr">
        <is>
          <t>English</t>
        </is>
      </c>
      <c r="N919" t="inlineStr">
        <is>
          <t>Review</t>
        </is>
      </c>
      <c r="T919" t="inlineStr">
        <is>
          <t>Shaping Pathways to Child Health: A Systematic Review of Street-Scale Interventions in City Streets</t>
        </is>
      </c>
      <c r="U919" t="inlineStr">
        <is>
          <t>built environment; streets; interventions; children; deprivation; health; playstreets; play streets</t>
        </is>
      </c>
      <c r="V919" t="inlineStr">
        <is>
          <t>GREEN SPACE; PHYSICAL-ACTIVITY; NEIGHBORHOOD; DETERMINANTS; SCHOOL; IMPACT</t>
        </is>
      </c>
      <c r="W919" t="inlineStr">
        <is>
          <t>Street-level built environment factors, for example, walking infrastructure, building density, availability of public transport, and proliferation of fast-food outlets can impact on health by influencing our ability to engage in healthy behaviour. Unhealthy environments are often clustered in deprived areas, thus interventions to improve the built environments may improve health and reduce inequalities. The aim of this review was to identify whether street-level built environment interventions can improve children's health in high income countries. A secondary aim was to describe key built environment elements targeted in interventions and research gaps. A systematic review of published literature was conducted by a multi-disciplinary team. Ten intervention papers were included. Physical activity or play was the only health outcome assessed. Most interventions described temporary changes including closure of streets to traffic (N = 6), which were mainly located in deprived neighbourhoods, or the addition of technology to 'gamify' active travel to school (N = 2). Two studies reported permanent changes to street design. There was limited evidence that closing streets to traffic was associated with increases in activity or play and inconclusive evidence with changes to street design and using technology to gamify active travel. Our ability to draw conclusions was hampered by inadequate study designs. Description of interventions was poor. Rigorous evaluation of built environment interventions remains challenging. We recommend a multi-disciplinary approach to evaluation, explicit reporting of built environment indicators targeted in interventions and offer solutions to others working in this area.</t>
        </is>
      </c>
      <c r="X919" t="inlineStr">
        <is>
          <t>[Ortegon-Sanchez, Adriana; Christie, Nicola] UCL, Dept Civil Environm &amp; Geomat Engn, Ctr Transport Studies, London WC1E 6BT, England; [Vaughan, Laura] UCL, Space Syntax Lab, Bartlett Sch Architecture, London WC1E 6BT, England; [McEachan, Rosemary R. C.] Bradford Teaching Hosp NHS Fdn Trust, Bradford Inst Hlth Res, Bradford BD9 6RJ, W Yorkshire, England</t>
        </is>
      </c>
      <c r="Y919" t="inlineStr">
        <is>
          <t>University of London; University College London; University of London; University College London</t>
        </is>
      </c>
      <c r="Z919" t="inlineStr">
        <is>
          <t>Ortegon-Sanchez, A (corresponding author), UCL, Dept Civil Environm &amp; Geomat Engn, Ctr Transport Studies, London WC1E 6BT, England.;McEachan, RRC (corresponding author), Bradford Teaching Hosp NHS Fdn Trust, Bradford Inst Hlth Res, Bradford BD9 6RJ, W Yorkshire, England.</t>
        </is>
      </c>
      <c r="AA919" t="inlineStr">
        <is>
          <t>adriana.ortegon.10@ucl.ac.uk; l.vaughan@ucl.ac.uk; nicola.christie@ucl.ac.uk; rosie.mceachan@bthft.nhs.uk</t>
        </is>
      </c>
      <c r="AC919" t="inlineStr">
        <is>
          <t>Christie, Nicola/0000-0001-7152-5240; Vaughan, Laura/0000-0003-0315-2977; McEachan, Rosemary/0000-0003-1302-6675</t>
        </is>
      </c>
      <c r="AD919" t="inlineStr">
        <is>
          <t>UK Prevention Research Partnership - British Heart Foundation [MR/S037527/1]; Cancer Research UK; Chief Scientist Office of the Scottish Government Health and Social Care Directorates; Engineering and Physical Sciences Research Council; Economic and Social Research Council; Health and Social Care Research and Development Division (Welsh Government); Medical Research Council; National Institute for Health Research; Natural Environment; National Institute for Health Research Applied Research Collaboration for Yorkshire and Humber [NIHR200166]</t>
        </is>
      </c>
      <c r="AE919" t="inlineStr">
        <is>
          <t>UK Prevention Research Partnership - British Heart Foundation; Cancer Research UK(Cancer Research UK); Chief Scientist Office of the Scottish Government Health and Social Care Directorates; Engineering and Physical Sciences Research Council(UK Research &amp; Innovation (UKRI)Engineering &amp; Physical Sciences Research Council (EPSRC)); Economic and Social Research Council(UK Research &amp; Innovation (UKRI)Economic &amp; Social Research Council (ESRC)); Health and Social Care Research and Development Division (Welsh Government); Medical Research Council(UK Research &amp; Innovation (UKRI)Medical Research Council UK (MRC)); National Institute for Health Research(National Institutes of Health Research (NIHR)); Natural Environment; National Institute for Health Research Applied Research Collaboration for Yorkshire and Humber</t>
        </is>
      </c>
      <c r="AF919" t="inlineStr">
        <is>
          <t>This work was supported by the UK Prevention Research Partnership (MR/S037527/1), which is funded by the British Heart Foundation, Cancer Research UK, Chief Scientist Office of the Scottish Government Health and Social Care Directorates, Engineering and Physical Sciences Research Council, Economic and Social Research Council, Health and Social Care Research and Development Division (Welsh Government), Medical Research Council, National Institute for Health Research, Natural Environment. The funders had no role in study design, data collection and analysis, decision to publish, or preparation of the manuscript. R.R.C.M. is supported by the National Institute for Health Research Applied Research Collaboration for Yorkshire and Humber (NIHR200166). The views expressed in this paper are those of the authors and not necessarily those of the NIHR or UK Department of Health and Social Care.</t>
        </is>
      </c>
      <c r="AH919" t="n">
        <v>40</v>
      </c>
      <c r="AI919" t="n">
        <v>2</v>
      </c>
      <c r="AJ919" t="n">
        <v>2</v>
      </c>
      <c r="AK919" t="n">
        <v>17</v>
      </c>
      <c r="AL919" t="n">
        <v>38</v>
      </c>
      <c r="AM919" t="inlineStr">
        <is>
          <t>MDPI</t>
        </is>
      </c>
      <c r="AN919" t="inlineStr">
        <is>
          <t>BASEL</t>
        </is>
      </c>
      <c r="AO919" t="inlineStr">
        <is>
          <t>ST ALBAN-ANLAGE 66, CH-4052 BASEL, SWITZERLAND</t>
        </is>
      </c>
      <c r="AQ919" t="inlineStr">
        <is>
          <t>1660-4601</t>
        </is>
      </c>
      <c r="AS919" t="inlineStr">
        <is>
          <t>INT J ENV RES PUB HE</t>
        </is>
      </c>
      <c r="AT919" t="inlineStr">
        <is>
          <t>Int. J. Environ. Res. Public Health</t>
        </is>
      </c>
      <c r="AU919" t="inlineStr">
        <is>
          <t>MAY</t>
        </is>
      </c>
      <c r="AV919" t="n">
        <v>2022</v>
      </c>
      <c r="AW919" t="n">
        <v>19</v>
      </c>
      <c r="AX919" t="n">
        <v>9</v>
      </c>
      <c r="BE919" t="n">
        <v>5227</v>
      </c>
      <c r="BF919" t="inlineStr">
        <is>
          <t>10.3390/ijerph19095227</t>
        </is>
      </c>
      <c r="BG919">
        <f>HYPERLINK("http://dx.doi.org/10.3390/ijerph19095227","http://dx.doi.org/10.3390/ijerph19095227")</f>
        <v/>
      </c>
      <c r="BJ919" t="n">
        <v>21</v>
      </c>
      <c r="BK919" t="inlineStr">
        <is>
          <t>Environmental Sciences; Public, Environmental &amp; Occupational Health</t>
        </is>
      </c>
      <c r="BL919" t="inlineStr">
        <is>
          <t>Science Citation Index Expanded (SCI-EXPANDED); Social Science Citation Index (SSCI)</t>
        </is>
      </c>
      <c r="BM919" t="inlineStr">
        <is>
          <t>Environmental Sciences &amp; Ecology; Public, Environmental &amp; Occupational Health</t>
        </is>
      </c>
      <c r="BN919" t="inlineStr">
        <is>
          <t>1L4ZJ</t>
        </is>
      </c>
      <c r="BO919" t="n">
        <v>35564621</v>
      </c>
      <c r="BP919" t="inlineStr">
        <is>
          <t>Green Published, gold</t>
        </is>
      </c>
      <c r="BS919" t="inlineStr">
        <is>
          <t>2023-10-26</t>
        </is>
      </c>
      <c r="BT919" t="inlineStr">
        <is>
          <t>WOS:000799298000001</t>
        </is>
      </c>
      <c r="BU919">
        <f>HYPERLINK("https%3A%2F%2Fwww.webofscience.com%2Fwos%2Fwoscc%2Ffull-record%2FWOS:000799298000001","View Full Record in Web of Science")</f>
        <v/>
      </c>
    </row>
    <row r="920">
      <c r="A920" t="inlineStr">
        <is>
          <t>J</t>
        </is>
      </c>
      <c r="B920" t="inlineStr">
        <is>
          <t>Yoon, H; Lee, WS; Kim, KB; Moon, J</t>
        </is>
      </c>
      <c r="F920" t="inlineStr">
        <is>
          <t>Yoon, Hyejin; Lee, Won Seok; Kim, Kyoung-Bae; Moon, Joonho</t>
        </is>
      </c>
      <c r="J920" t="inlineStr">
        <is>
          <t>INTERNATIONAL JOURNAL OF ENVIRONMENTAL RESEARCH AND PUBLIC HEALTH</t>
        </is>
      </c>
      <c r="M920" t="inlineStr">
        <is>
          <t>English</t>
        </is>
      </c>
      <c r="N920" t="inlineStr">
        <is>
          <t>Article</t>
        </is>
      </c>
      <c r="T920" t="inlineStr">
        <is>
          <t>Effects of Leisure Participation on Life Satisfaction in Older Korean Adults: A Panel Analysis</t>
        </is>
      </c>
      <c r="U920" t="inlineStr">
        <is>
          <t>older adults; leisure participation; life satisfaction; panel analysis</t>
        </is>
      </c>
      <c r="V920" t="inlineStr">
        <is>
          <t>PHYSICAL-ACTIVITY; ENGAGEMENT; MORTALITY; BENEFITS</t>
        </is>
      </c>
      <c r="W920" t="inlineStr">
        <is>
          <t>South Koreans' life expectancy has dramatically increased over the last four decades. However, the life satisfaction index of older Korean adults has been in the bottom third globally. The large majority of older Koreans spend most of the day watching television at home. However, concrete evidence regarding the effects of leisure involvement on older adults' quality of later life is scant. Only a few existing studies have examined the link via cross-sectional survey data. Thus, the purpose of this study was to investigate whether meaningful leisure participation outside the home in older age plays an essential role in improving life satisfaction. To achieve the research aim, nationally representative panel data from the Korea Employment Information Service were used for the data analysis. The results indicated that social and productive leisure participation in religious activity, social gatherings, and volunteering was significantly related to quality of life in older adults. Moreover, frequent participation in travel and cultural activities outside the home were positively related to life satisfaction. These findings suggest that participation in meaningful leisure activities is a critical factor contributing to subjective well-being and good mental health in older Korean adults and should be encouraged.</t>
        </is>
      </c>
      <c r="X920" t="inlineStr">
        <is>
          <t>[Yoon, Hyejin] Baewha Womens Univ, Dept Global Tourism, 34 Pirundae Ro 1 Gil, Seoul 03039, South Korea; [Lee, Won Seok] Kyonggi Univ, Dept Tourism &amp; Recreat, 24,Kyonggidae Ro 9 Gil, Seoul 03746, South Korea; [Kim, Kyoung-Bae] Hanyang Univ, Tourism Res Inst, Coll Social Sci 413, 222 Wangsimni Ro, Seoul 04763, South Korea; [Moon, Joonho] Kangwon Natl Univ, Dept Tourism Adm, 1 Kangwondaehak Gil, Chunchon 24341, Kangwon Do, South Korea</t>
        </is>
      </c>
      <c r="Y920" t="inlineStr">
        <is>
          <t>Kyonggi University; Hanyang University; Kangwon National University</t>
        </is>
      </c>
      <c r="Z920" t="inlineStr">
        <is>
          <t>Kim, KB (corresponding author), Hanyang Univ, Tourism Res Inst, Coll Social Sci 413, 222 Wangsimni Ro, Seoul 04763, South Korea.</t>
        </is>
      </c>
      <c r="AA920" t="inlineStr">
        <is>
          <t>hyejin@baewha.ac.kr; lws798@kgu.ac.kr; kenneth7@hanyang.ac.kr; joonhomoon0412@gmail.com</t>
        </is>
      </c>
      <c r="AB920" t="inlineStr">
        <is>
          <t>Kim, Kyoung-Bae/AAL-8029-2020; Moon, Joonho/AAE-6212-2022</t>
        </is>
      </c>
      <c r="AC920" t="inlineStr">
        <is>
          <t>Kim, Kyoung-Bae/0000-0002-9165-0580;</t>
        </is>
      </c>
      <c r="AD920" t="inlineStr">
        <is>
          <t>Ministry of Education of the Republic of Korea; National Research Foundation of Korea [NRF-2019S1A5C2A02082896]; National Research Foundation of Korea [2019S1A5C2A02082896] Funding Source: Korea Institute of Science &amp; Technology Information (KISTI), National Science &amp; Technology Information Service (NTIS)</t>
        </is>
      </c>
      <c r="AE920" t="inlineStr">
        <is>
          <t>Ministry of Education of the Republic of Korea(Ministry of Education (MOE), Republic of Korea); National Research Foundation of Korea(National Research Foundation of Korea); National Research Foundation of Korea(National Research Foundation of Korea)</t>
        </is>
      </c>
      <c r="AF920" t="inlineStr">
        <is>
          <t>This work was supported by the Ministry of Education of the Republic of Korea and the National Research Foundation of Korea (NRF-2019S1A5C2A02082896)</t>
        </is>
      </c>
      <c r="AH920" t="n">
        <v>44</v>
      </c>
      <c r="AI920" t="n">
        <v>18</v>
      </c>
      <c r="AJ920" t="n">
        <v>18</v>
      </c>
      <c r="AK920" t="n">
        <v>0</v>
      </c>
      <c r="AL920" t="n">
        <v>21</v>
      </c>
      <c r="AM920" t="inlineStr">
        <is>
          <t>MDPI</t>
        </is>
      </c>
      <c r="AN920" t="inlineStr">
        <is>
          <t>BASEL</t>
        </is>
      </c>
      <c r="AO920" t="inlineStr">
        <is>
          <t>ST ALBAN-ANLAGE 66, CH-4052 BASEL, SWITZERLAND</t>
        </is>
      </c>
      <c r="AQ920" t="inlineStr">
        <is>
          <t>1660-4601</t>
        </is>
      </c>
      <c r="AS920" t="inlineStr">
        <is>
          <t>INT J ENV RES PUB HE</t>
        </is>
      </c>
      <c r="AT920" t="inlineStr">
        <is>
          <t>Int. J. Environ. Res. Public Health</t>
        </is>
      </c>
      <c r="AU920" t="inlineStr">
        <is>
          <t>JUN</t>
        </is>
      </c>
      <c r="AV920" t="n">
        <v>2020</v>
      </c>
      <c r="AW920" t="n">
        <v>17</v>
      </c>
      <c r="AX920" t="n">
        <v>12</v>
      </c>
      <c r="BE920" t="n">
        <v>4402</v>
      </c>
      <c r="BF920" t="inlineStr">
        <is>
          <t>10.3390/ijerph17124402</t>
        </is>
      </c>
      <c r="BG920">
        <f>HYPERLINK("http://dx.doi.org/10.3390/ijerph17124402","http://dx.doi.org/10.3390/ijerph17124402")</f>
        <v/>
      </c>
      <c r="BJ920" t="n">
        <v>9</v>
      </c>
      <c r="BK920" t="inlineStr">
        <is>
          <t>Environmental Sciences; Public, Environmental &amp; Occupational Health</t>
        </is>
      </c>
      <c r="BL920" t="inlineStr">
        <is>
          <t>Science Citation Index Expanded (SCI-EXPANDED); Social Science Citation Index (SSCI)</t>
        </is>
      </c>
      <c r="BM920" t="inlineStr">
        <is>
          <t>Environmental Sciences &amp; Ecology; Public, Environmental &amp; Occupational Health</t>
        </is>
      </c>
      <c r="BN920" t="inlineStr">
        <is>
          <t>MT1DT</t>
        </is>
      </c>
      <c r="BO920" t="n">
        <v>32575433</v>
      </c>
      <c r="BP920" t="inlineStr">
        <is>
          <t>gold, Green Published</t>
        </is>
      </c>
      <c r="BS920" t="inlineStr">
        <is>
          <t>2023-10-26</t>
        </is>
      </c>
      <c r="BT920" t="inlineStr">
        <is>
          <t>WOS:000554709700001</t>
        </is>
      </c>
      <c r="BU920">
        <f>HYPERLINK("https%3A%2F%2Fwww.webofscience.com%2Fwos%2Fwoscc%2Ffull-record%2FWOS:000554709700001","View Full Record in Web of Science")</f>
        <v/>
      </c>
    </row>
    <row r="921">
      <c r="A921" t="inlineStr">
        <is>
          <t>J</t>
        </is>
      </c>
      <c r="B921" t="inlineStr">
        <is>
          <t>Raiden, A; King, A</t>
        </is>
      </c>
      <c r="F921" t="inlineStr">
        <is>
          <t>Raiden, Ani; King, Andrew</t>
        </is>
      </c>
      <c r="J921" t="inlineStr">
        <is>
          <t>RESOURCES CONSERVATION AND RECYCLING</t>
        </is>
      </c>
      <c r="M921" t="inlineStr">
        <is>
          <t>English</t>
        </is>
      </c>
      <c r="N921" t="inlineStr">
        <is>
          <t>Article</t>
        </is>
      </c>
      <c r="T921" t="inlineStr">
        <is>
          <t>Social value, organisational learning, and the sustainable development goals in the built environment</t>
        </is>
      </c>
      <c r="U921" t="inlineStr">
        <is>
          <t>Social value; Organisational learning; Partnership; Nexus; Built environment</t>
        </is>
      </c>
      <c r="W921" t="inlineStr">
        <is>
          <t>Social value in the built environment refers to the social impact any organisation, project or program in that industry makes to the lives of the stakeholders affected by its activities. Social value is a national/ organisation level practical vehicle for realising the United Nation's Sustainable Development Goals (SDGs). It is particularly relevant in the context of the continued increase in the global development of the built environment through construction and infrastructure projects involving many different stakeholders. We examine clients', consultant, local authority, and contractors' social value organisational learning journeys and reveal how they have transformed their systems towards more sustainable production. We also show how their efforts collectively align to achieve social value and thus realise the SDGs beyond what any individual project or initiative would be able to deliver alone. We present a transformative case study of social value in practice, which has a partnership model at its heart, and the potential to inform future methodologies for business and community engagement to improve social outcomes. We demonstrate the considerable organisational learning effort that is made with the aim to achieve a variety of SDGs through a value-based approach to business and interorganisational relations. In our work, it is the contractors who play a central role in bringing together the different influences and managing agency-structure interplay within this social practice. The partnership approach explored in this paper offers a way to ensure more efficient use of resources in the hugely important development of the built environment.</t>
        </is>
      </c>
      <c r="X921" t="inlineStr">
        <is>
          <t>[Raiden, Ani] Nottingham Trent Univ, Nottingham Business Sch, 50 Shakespeare St, Nottingham NG1 4FQ, England; [King, Andrew] Nottingham Trent Univ, Sch Architecture Design &amp; Built Environm, 50 Shakespeare St, Nottingham NG1 4FQ, England</t>
        </is>
      </c>
      <c r="Y921" t="inlineStr">
        <is>
          <t>University of Nottingham; Nottingham Trent University; Nottingham Trent University</t>
        </is>
      </c>
      <c r="Z921" t="inlineStr">
        <is>
          <t>Raiden, A (corresponding author), Nottingham Trent Univ, Nottingham Business Sch, 50 Shakespeare St, Nottingham NG1 4FQ, England.</t>
        </is>
      </c>
      <c r="AA921" t="inlineStr">
        <is>
          <t>ani.raiden@ntu.ac.uk; andrew.king@ntu.ac.uk</t>
        </is>
      </c>
      <c r="AB921" t="inlineStr">
        <is>
          <t>king, Andrew/JJF-7846-2023</t>
        </is>
      </c>
      <c r="AC921" t="inlineStr">
        <is>
          <t>Raiden, Ani/0000-0001-7176-1139</t>
        </is>
      </c>
      <c r="AH921" t="n">
        <v>48</v>
      </c>
      <c r="AI921" t="n">
        <v>12</v>
      </c>
      <c r="AJ921" t="n">
        <v>12</v>
      </c>
      <c r="AK921" t="n">
        <v>10</v>
      </c>
      <c r="AL921" t="n">
        <v>20</v>
      </c>
      <c r="AM921" t="inlineStr">
        <is>
          <t>ELSEVIER</t>
        </is>
      </c>
      <c r="AN921" t="inlineStr">
        <is>
          <t>AMSTERDAM</t>
        </is>
      </c>
      <c r="AO921" t="inlineStr">
        <is>
          <t>RADARWEG 29, 1043 NX AMSTERDAM, NETHERLANDS</t>
        </is>
      </c>
      <c r="AP921" t="inlineStr">
        <is>
          <t>0921-3449</t>
        </is>
      </c>
      <c r="AQ921" t="inlineStr">
        <is>
          <t>1879-0658</t>
        </is>
      </c>
      <c r="AS921" t="inlineStr">
        <is>
          <t>RESOUR CONSERV RECY</t>
        </is>
      </c>
      <c r="AT921" t="inlineStr">
        <is>
          <t>Resour. Conserv. Recycl.</t>
        </is>
      </c>
      <c r="AU921" t="inlineStr">
        <is>
          <t>SEP</t>
        </is>
      </c>
      <c r="AV921" t="n">
        <v>2021</v>
      </c>
      <c r="AW921" t="n">
        <v>172</v>
      </c>
      <c r="BE921" t="n">
        <v>105663</v>
      </c>
      <c r="BF921" t="inlineStr">
        <is>
          <t>10.1016/j.resconrec.2021.105663</t>
        </is>
      </c>
      <c r="BG921">
        <f>HYPERLINK("http://dx.doi.org/10.1016/j.resconrec.2021.105663","http://dx.doi.org/10.1016/j.resconrec.2021.105663")</f>
        <v/>
      </c>
      <c r="BI921" t="inlineStr">
        <is>
          <t>MAY 2021</t>
        </is>
      </c>
      <c r="BJ921" t="n">
        <v>9</v>
      </c>
      <c r="BK921" t="inlineStr">
        <is>
          <t>Engineering, Environmental; Environmental Sciences</t>
        </is>
      </c>
      <c r="BL921" t="inlineStr">
        <is>
          <t>Science Citation Index Expanded (SCI-EXPANDED); Social Science Citation Index (SSCI)</t>
        </is>
      </c>
      <c r="BM921" t="inlineStr">
        <is>
          <t>Engineering; Environmental Sciences &amp; Ecology</t>
        </is>
      </c>
      <c r="BN921" t="inlineStr">
        <is>
          <t>TF4PL</t>
        </is>
      </c>
      <c r="BP921" t="inlineStr">
        <is>
          <t>Green Accepted</t>
        </is>
      </c>
      <c r="BS921" t="inlineStr">
        <is>
          <t>2023-10-26</t>
        </is>
      </c>
      <c r="BT921" t="inlineStr">
        <is>
          <t>WOS:000670700700005</t>
        </is>
      </c>
      <c r="BU921">
        <f>HYPERLINK("https%3A%2F%2Fwww.webofscience.com%2Fwos%2Fwoscc%2Ffull-record%2FWOS:000670700700005","View Full Record in Web of Science")</f>
        <v/>
      </c>
    </row>
    <row r="922">
      <c r="A922" t="inlineStr">
        <is>
          <t>J</t>
        </is>
      </c>
      <c r="B922" t="inlineStr">
        <is>
          <t>Soll-Morka, A; Kurpas, D</t>
        </is>
      </c>
      <c r="F922" t="inlineStr">
        <is>
          <t>Soll-Morka, Aneta; Kurpas, Donata</t>
        </is>
      </c>
      <c r="J922" t="inlineStr">
        <is>
          <t>INTERNATIONAL JOURNAL OF ENVIRONMENTAL RESEARCH AND PUBLIC HEALTH</t>
        </is>
      </c>
      <c r="M922" t="inlineStr">
        <is>
          <t>English</t>
        </is>
      </c>
      <c r="N922" t="inlineStr">
        <is>
          <t>Article</t>
        </is>
      </c>
      <c r="T922" t="inlineStr">
        <is>
          <t>The Degree of Meeting the Needs of Older People with Frailty Syndrome in the Residential Environment in Relation to Interventions-Experimental Study</t>
        </is>
      </c>
      <c r="U922" t="inlineStr">
        <is>
          <t>aging; frailty syndrome; diet; physical activity; older adults; unmet needs</t>
        </is>
      </c>
      <c r="V922" t="inlineStr">
        <is>
          <t>PHYSICAL-ACTIVITY; ACCUMULATION; COMBINATION; ADULTS</t>
        </is>
      </c>
      <c r="W922" t="inlineStr">
        <is>
          <t>The study aimed to determine the degree of satisfaction with health, psychological, environmental, and social needs and to determine the effects of a nutritional intervention, physical activity, and comprehensive activity (nutritional intervention plus physical activity) on the degree of satisfaction of the needs of older people with frailty syndrome (FS). The study included 188 residents (140 women and 48 men) and was conducted using the Fried scale and Camberwell's modified brief needs assessment. In addition, data were collected on age, sex, educational level, type of the previous occupation, marital status, remaining in a relationship, co-residents, place of residence, work status, financial situation, and help with housework. Intervention groups were formed: G1-diet, G2-physical activity, G3-comprehensive therapy, and G4-control. Stage 1 (T1)-3 months after the first examination, stage 2 (T2)-after another three months, the measurements from stage 0. In all groups, the majority were women, respondents with a low or medium level of education in relationships. The degree of need satisfaction in groups G2, G3, and G4 depended on the measurement time (p = 0.019, p = 0.007, p = 0.016). The introduction of physical activity and physical activity in combination with dietary changes most effectively influenced the increase in the level of need satisfaction in elderly patients with frailty.</t>
        </is>
      </c>
      <c r="X922" t="inlineStr">
        <is>
          <t>[Soll-Morka, Aneta] Univ Opole, Inst Hlth Sci, PL-45040 Opole, Poland; [Kurpas, Donata] Wroclaw Med Univ, Dept Family Med, PL-50367 Wroclaw, Poland</t>
        </is>
      </c>
      <c r="Y922" t="inlineStr">
        <is>
          <t>University of Opole; Wroclaw Medical University</t>
        </is>
      </c>
      <c r="Z922" t="inlineStr">
        <is>
          <t>Soll-Morka, A (corresponding author), Univ Opole, Inst Hlth Sci, PL-45040 Opole, Poland.</t>
        </is>
      </c>
      <c r="AA922" t="inlineStr">
        <is>
          <t>aneta.sollmorka@uni.opole.pl</t>
        </is>
      </c>
      <c r="AB922" t="inlineStr">
        <is>
          <t>Kurpas, Donata/I-7054-2013</t>
        </is>
      </c>
      <c r="AC922" t="inlineStr">
        <is>
          <t>Kurpas, Donata/0000-0002-6996-8920</t>
        </is>
      </c>
      <c r="AD922" t="inlineStr">
        <is>
          <t>European Union [664367]; Ministry of Science and Higher Education in Poland</t>
        </is>
      </c>
      <c r="AE922" t="inlineStr">
        <is>
          <t>European Union(European Union (EU)); Ministry of Science and Higher Education in Poland(Ministry of Science and Higher Education, Poland)</t>
        </is>
      </c>
      <c r="AF922" t="inlineStr">
        <is>
          <t>This paper is part of the project/joint action '664367/FOCUS' which has received funding from the European Union's Health Programme (2014-2020) and Ministry of Science and Higher Education in Poland (funding in years 2015-2018 allocated for the international co-financed project).</t>
        </is>
      </c>
      <c r="AH922" t="n">
        <v>33</v>
      </c>
      <c r="AI922" t="n">
        <v>0</v>
      </c>
      <c r="AJ922" t="n">
        <v>0</v>
      </c>
      <c r="AK922" t="n">
        <v>3</v>
      </c>
      <c r="AL922" t="n">
        <v>3</v>
      </c>
      <c r="AM922" t="inlineStr">
        <is>
          <t>MDPI</t>
        </is>
      </c>
      <c r="AN922" t="inlineStr">
        <is>
          <t>BASEL</t>
        </is>
      </c>
      <c r="AO922" t="inlineStr">
        <is>
          <t>ST ALBAN-ANLAGE 66, CH-4052 BASEL, SWITZERLAND</t>
        </is>
      </c>
      <c r="AQ922" t="inlineStr">
        <is>
          <t>1660-4601</t>
        </is>
      </c>
      <c r="AS922" t="inlineStr">
        <is>
          <t>INT J ENV RES PUB HE</t>
        </is>
      </c>
      <c r="AT922" t="inlineStr">
        <is>
          <t>Int. J. Environ. Res. Public Health</t>
        </is>
      </c>
      <c r="AU922" t="inlineStr">
        <is>
          <t>SEP</t>
        </is>
      </c>
      <c r="AV922" t="n">
        <v>2022</v>
      </c>
      <c r="AW922" t="n">
        <v>19</v>
      </c>
      <c r="AX922" t="n">
        <v>18</v>
      </c>
      <c r="BE922" t="n">
        <v>11682</v>
      </c>
      <c r="BF922" t="inlineStr">
        <is>
          <t>10.3390/ijerph191811682</t>
        </is>
      </c>
      <c r="BG922">
        <f>HYPERLINK("http://dx.doi.org/10.3390/ijerph191811682","http://dx.doi.org/10.3390/ijerph191811682")</f>
        <v/>
      </c>
      <c r="BJ922" t="n">
        <v>12</v>
      </c>
      <c r="BK922" t="inlineStr">
        <is>
          <t>Environmental Sciences; Public, Environmental &amp; Occupational Health</t>
        </is>
      </c>
      <c r="BL922" t="inlineStr">
        <is>
          <t>Science Citation Index Expanded (SCI-EXPANDED); Social Science Citation Index (SSCI)</t>
        </is>
      </c>
      <c r="BM922" t="inlineStr">
        <is>
          <t>Environmental Sciences &amp; Ecology; Public, Environmental &amp; Occupational Health</t>
        </is>
      </c>
      <c r="BN922" t="inlineStr">
        <is>
          <t>4R0GQ</t>
        </is>
      </c>
      <c r="BO922" t="n">
        <v>36141956</v>
      </c>
      <c r="BP922" t="inlineStr">
        <is>
          <t>gold, Green Published</t>
        </is>
      </c>
      <c r="BS922" t="inlineStr">
        <is>
          <t>2023-10-26</t>
        </is>
      </c>
      <c r="BT922" t="inlineStr">
        <is>
          <t>WOS:000856451600001</t>
        </is>
      </c>
      <c r="BU922">
        <f>HYPERLINK("https%3A%2F%2Fwww.webofscience.com%2Fwos%2Fwoscc%2Ffull-record%2FWOS:000856451600001","View Full Record in Web of Science")</f>
        <v/>
      </c>
    </row>
    <row r="923">
      <c r="A923" t="inlineStr">
        <is>
          <t>J</t>
        </is>
      </c>
      <c r="B923" t="inlineStr">
        <is>
          <t>Hayashi, Y; Schmidt, SM; Fange, AM; Hoshi, T; Ikaga, T</t>
        </is>
      </c>
      <c r="F923" t="inlineStr">
        <is>
          <t>Hayashi, Yukie; Schmidt, Steven M.; Fange, Agneta Malmgren; Hoshi, Tanji; Ikaga, Toshiharu</t>
        </is>
      </c>
      <c r="J923" t="inlineStr">
        <is>
          <t>INTERNATIONAL JOURNAL OF ENVIRONMENTAL RESEARCH AND PUBLIC HEALTH</t>
        </is>
      </c>
      <c r="M923" t="inlineStr">
        <is>
          <t>English</t>
        </is>
      </c>
      <c r="N923" t="inlineStr">
        <is>
          <t>Article</t>
        </is>
      </c>
      <c r="T923" t="inlineStr">
        <is>
          <t>Lower Physical Performance in Colder Seasons and Colder Houses: Evidence from a Field Study on Older People Living in the Community</t>
        </is>
      </c>
      <c r="U923" t="inlineStr">
        <is>
          <t>indoor thermal environment; field study; frail; physical strength examination</t>
        </is>
      </c>
      <c r="V923" t="inlineStr">
        <is>
          <t>HANDGRIP STRENGTH; BLOOD-PRESSURE; INDOOR TEMPERATURE; BODY-TEMPERATURE; MUSCLE STRENGTH; GRIP STRENGTH; MOBILITY; FALLS; TRAJECTORIES; POPULATION</t>
        </is>
      </c>
      <c r="W923" t="inlineStr">
        <is>
          <t>The aim of this paper was to explore the effect of seasonal temperature differences and cold indoor environment in winter on the physical performance of older people living in the community based on a field study. We recruited 162 home-dwelling older people from a rehabilitation facility in the Osaka prefecture, Japan; physical performance data were available from 98/162 (60.5%). At the same time, for some participants, a questionnaire survey and a measurement of the indoor temperature of individual houses were conducted. The analysis showed that there were seasonal trends in the physical performance of older people and that physical performance was worse in the winter compared with the autumn. Furthermore, people living in colder houses had worse physical performance. The findings indicate that keeping the house warm in the winter can help to maintain physical performance.</t>
        </is>
      </c>
      <c r="X923" t="inlineStr">
        <is>
          <t>[Hayashi, Yukie; Ikaga, Toshiharu] Keio Univ, Grad Sch Sci &amp; Technol, Sch Sci Open &amp; Environm Syst, Kohoku Ku, Hiyoshi 3 14, Yokohama, Kanagawa 2238522, Japan; [Schmidt, Steven M.; Fange, Agneta Malmgren] Lund Univ, Dept Hlth Sci, Fac Med, Box 157, S-22100 Lund, Sweden; [Hoshi, Tanji] Tokyo Metropolitan Univ, Dept Urban Sci, Minamiosawa 1 1, Hachioji, Tokyo 1920397, Japan</t>
        </is>
      </c>
      <c r="Y923" t="inlineStr">
        <is>
          <t>Keio University; Lund University; Tokyo Metropolitan University</t>
        </is>
      </c>
      <c r="Z923" t="inlineStr">
        <is>
          <t>Hayashi, Y (corresponding author), Keio Univ, Grad Sch Sci &amp; Technol, Sch Sci Open &amp; Environm Syst, Kohoku Ku, Hiyoshi 3 14, Yokohama, Kanagawa 2238522, Japan.</t>
        </is>
      </c>
      <c r="AA923" t="inlineStr">
        <is>
          <t>yukie1222@z2.keio.jp; steven.schmidt@med.lu.se; agneta.malmgren_fange@med.lu.se; star@onyx.dti.ne.jp; ikaga@sd.keio.ac.jp</t>
        </is>
      </c>
      <c r="AB923" t="inlineStr">
        <is>
          <t>; IKAGA, Toshiharu/G-8095-2014</t>
        </is>
      </c>
      <c r="AC923" t="inlineStr">
        <is>
          <t>Malmgren Fange, Agneta/0000-0002-3165-1856; Schmidt, Steven M./0000-0002-0878-735X; IKAGA, Toshiharu/0000-0002-3451-5614</t>
        </is>
      </c>
      <c r="AD923" t="inlineStr">
        <is>
          <t>Ministry of Health of Health, Labor, and Welfare; Ministry of Education, Culture, Sports, Science and Technology; Swedish Research Council for Health, Working Life and Welfare (FORTE) [2006-1613]; [23246102]; [17J00520]; Grants-in-Aid for Scientific Research [17H06151, 17J00520] Funding Source: KAKEN</t>
        </is>
      </c>
      <c r="AE923" t="inlineStr">
        <is>
          <t>Ministry of Health of Health, Labor, and Welfare; Ministry of Education, Culture, Sports, Science and Technology(Ministry of Education, Culture, Sports, Science and Technology, Japan (MEXT)); Swedish Research Council for Health, Working Life and Welfare (FORTE); ; ; Grants-in-Aid for Scientific Research(Ministry of Education, Culture, Sports, Science and Technology, Japan (MEXT)Japan Society for the Promotion of ScienceGrants-in-Aid for Scientific Research (KAKENHI))</t>
        </is>
      </c>
      <c r="AF923" t="inlineStr">
        <is>
          <t>This study was supported in part by a Grant-in-Aid for Scientific for Scientific Research (A) (No. 23246102; Principal Investigator: Toshiharu Ikaga), a Grant-in-Aid for JSPS Research Fellow (No. 17J00520), a Ministry of Health of Health, Labor, and Welfare Grant-in-Aid for a consignment study of geriatric health care business promotion (Principal Investigator. Tanji Hoshi), and a Ministry of Education, Culture, Sports, Science and Technology Grant-in-Aid for the Program for Leading Graduate Schools. Parts of this work were accomplished within the context of the Centre for Aging and Supportive Environments (CASE) at Lund University, Sweden, financed by the Swedish Research Council for Health, Working Life and Welfare (FORTE) (2006-1613). The authors wish to thank all the participants in the study and all the staff in the rehabilitation facility involved in the data collection.</t>
        </is>
      </c>
      <c r="AH923" t="n">
        <v>37</v>
      </c>
      <c r="AI923" t="n">
        <v>15</v>
      </c>
      <c r="AJ923" t="n">
        <v>15</v>
      </c>
      <c r="AK923" t="n">
        <v>0</v>
      </c>
      <c r="AL923" t="n">
        <v>10</v>
      </c>
      <c r="AM923" t="inlineStr">
        <is>
          <t>MDPI</t>
        </is>
      </c>
      <c r="AN923" t="inlineStr">
        <is>
          <t>BASEL</t>
        </is>
      </c>
      <c r="AO923" t="inlineStr">
        <is>
          <t>ST ALBAN-ANLAGE 66, CH-4052 BASEL, SWITZERLAND</t>
        </is>
      </c>
      <c r="AP923" t="inlineStr">
        <is>
          <t>1660-4601</t>
        </is>
      </c>
      <c r="AS923" t="inlineStr">
        <is>
          <t>INT J ENV RES PUB HE</t>
        </is>
      </c>
      <c r="AT923" t="inlineStr">
        <is>
          <t>Int. J. Environ. Res. Public Health</t>
        </is>
      </c>
      <c r="AU923" t="inlineStr">
        <is>
          <t>JUN</t>
        </is>
      </c>
      <c r="AV923" t="n">
        <v>2017</v>
      </c>
      <c r="AW923" t="n">
        <v>14</v>
      </c>
      <c r="AX923" t="n">
        <v>6</v>
      </c>
      <c r="BE923" t="n">
        <v>651</v>
      </c>
      <c r="BF923" t="inlineStr">
        <is>
          <t>10.3390/ijerph14060651</t>
        </is>
      </c>
      <c r="BG923">
        <f>HYPERLINK("http://dx.doi.org/10.3390/ijerph14060651","http://dx.doi.org/10.3390/ijerph14060651")</f>
        <v/>
      </c>
      <c r="BJ923" t="n">
        <v>9</v>
      </c>
      <c r="BK923" t="inlineStr">
        <is>
          <t>Environmental Sciences; Public, Environmental &amp; Occupational Health</t>
        </is>
      </c>
      <c r="BL923" t="inlineStr">
        <is>
          <t>Science Citation Index Expanded (SCI-EXPANDED); Social Science Citation Index (SSCI)</t>
        </is>
      </c>
      <c r="BM923" t="inlineStr">
        <is>
          <t>Environmental Sciences &amp; Ecology; Public, Environmental &amp; Occupational Health</t>
        </is>
      </c>
      <c r="BN923" t="inlineStr">
        <is>
          <t>EY6QF</t>
        </is>
      </c>
      <c r="BO923" t="n">
        <v>28629127</v>
      </c>
      <c r="BP923" t="inlineStr">
        <is>
          <t>Green Published, Green Submitted, gold</t>
        </is>
      </c>
      <c r="BS923" t="inlineStr">
        <is>
          <t>2023-10-26</t>
        </is>
      </c>
      <c r="BT923" t="inlineStr">
        <is>
          <t>WOS:000404107600099</t>
        </is>
      </c>
      <c r="BU923">
        <f>HYPERLINK("https%3A%2F%2Fwww.webofscience.com%2Fwos%2Fwoscc%2Ffull-record%2FWOS:000404107600099","View Full Record in Web of Science")</f>
        <v/>
      </c>
    </row>
    <row r="924">
      <c r="A924" t="inlineStr">
        <is>
          <t>J</t>
        </is>
      </c>
      <c r="B924" t="inlineStr">
        <is>
          <t>Mathis, A; Rooks, R; Kruger, D</t>
        </is>
      </c>
      <c r="F924" t="inlineStr">
        <is>
          <t>Mathis, Arlesia; Rooks, Ronica; Kruger, Daniel</t>
        </is>
      </c>
      <c r="J924" t="inlineStr">
        <is>
          <t>INTERNATIONAL JOURNAL OF ENVIRONMENTAL RESEARCH AND PUBLIC HEALTH</t>
        </is>
      </c>
      <c r="M924" t="inlineStr">
        <is>
          <t>English</t>
        </is>
      </c>
      <c r="N924" t="inlineStr">
        <is>
          <t>Article</t>
        </is>
      </c>
      <c r="T924" t="inlineStr">
        <is>
          <t>Improving the Neighborhood Environment for Urban Older Adults: Social Context and Self-Rated Health</t>
        </is>
      </c>
      <c r="U924" t="inlineStr">
        <is>
          <t>neighborhoods; older adults; urban health; social capital; crime</t>
        </is>
      </c>
      <c r="V924" t="inlineStr">
        <is>
          <t>DEPRESSIVE SYMPTOMS; PERCEPTIONS; DISCRIMINATION; INCOME</t>
        </is>
      </c>
      <c r="W924" t="inlineStr">
        <is>
          <t>Objective: By 2030, older adults will account for 20% of the U.S. population. Over 80% of older adults live in urban areas. This study examines associations between neighborhood environment and self-rated health (SRH) among urban older adults. Methods: We selected 217 individuals aged 65+ living in a deindustrialized Midwestern city who answered questions on the 2009 Speak to Your Health survey. The relationship between neighborhood environment and self-rated health (SRH) was analyzed using regression and GIS models. Neighborhood variables included social support and participation, perceived racism and crime. Additional models included actual crime indices to compare differences between perceived and actual crime. Results: Seniors who have poor SRH are 21% more likely to report fear of crime than seniors with excellent SRH (p = 0.01). Additional analyses revealed Black seniors are 7% less likely to participate in social activities (p = 0.005) and 4% more likely to report experiencing racism (p &lt; 0.001). Discussion: Given the increasing numbers of older adults living in urban neighborhoods, studies such as this one are important for well-being among seniors. Mitigating environmental influences in the neighborhood which are associated with poor SRH may allow urban older adults to maintain health and reduce disability.</t>
        </is>
      </c>
      <c r="X924" t="inlineStr">
        <is>
          <t>[Mathis, Arlesia] Florida A&amp;M Univ, Inst Publ Hlth, 1515 MLK Blvd, Tallahassee, FL 32307 USA; [Rooks, Ronica] Univ Colorado, Dept Hlth &amp; Behav Sci, POB 173364,CB 188, Denver, CO 80217 USA; [Kruger, Daniel] Univ Michigan, Sch Publ Hlth, Prevent Res Ctr Michigan, 1420 Washington Hts, Ann Arbor, MI 48109 USA</t>
        </is>
      </c>
      <c r="Y924" t="inlineStr">
        <is>
          <t>State University System of Florida; Florida A&amp;M University; University of Colorado System; University of Colorado Denver; University of Michigan System; University of Michigan</t>
        </is>
      </c>
      <c r="Z924" t="inlineStr">
        <is>
          <t>Mathis, A (corresponding author), Florida A&amp;M Univ, Inst Publ Hlth, 1515 MLK Blvd, Tallahassee, FL 32307 USA.</t>
        </is>
      </c>
      <c r="AA924" t="inlineStr">
        <is>
          <t>arlesia.mathis@famu.edu; ronica.rooks@ucdenver.edu; kruger@umich.edu</t>
        </is>
      </c>
      <c r="AB924" t="inlineStr">
        <is>
          <t>Rooks, Ronica N./AAK-9703-2021</t>
        </is>
      </c>
      <c r="AD924" t="inlineStr">
        <is>
          <t>National Institute on Minority Health and Health Disparities (NIMHD) of National Institutes of Health [G12MD007582]; Prevention Research Center of Michigan (Centers for Disease Control and Prevention Grant) [U48/DP000055]; Genesee County Health Department; National Institute on Minority Health and Health Disparities (NIMHD) of the National Institutes of Health (NIH/NCRR/RCMI) [G12 RR03020]</t>
        </is>
      </c>
      <c r="AE924" t="inlineStr">
        <is>
          <t>National Institute on Minority Health and Health Disparities (NIMHD) of National Institutes of Health; Prevention Research Center of Michigan (Centers for Disease Control and Prevention Grant); Genesee County Health Department; National Institute on Minority Health and Health Disparities (NIMHD) of the National Institutes of Health (NIH/NCRR/RCMI)</t>
        </is>
      </c>
      <c r="AF924" t="inlineStr">
        <is>
          <t>This study was supported by the National Institute on Minority Health and Health Disparities (NIMHD) of the National Institutes of Health under Award Number G12MD007582 (previous award NIH/NCRR/RCMI G12 RR03020). The content is solely the responsibility of the authors and does not necessarily represent the official views of the National Institutes of Health. The Speak to Your Health! Community survey was supported by the Prevention Research Center of Michigan (Centers for Disease Control and Prevention Grant N. U48/DP000055), and the Genesee County Health Department. We would also like to thank the Michigan Center for Urban African-American Aging Research, the PRC Survey Committee members and all those who participated in the project for their assistance.</t>
        </is>
      </c>
      <c r="AH924" t="n">
        <v>29</v>
      </c>
      <c r="AI924" t="n">
        <v>18</v>
      </c>
      <c r="AJ924" t="n">
        <v>19</v>
      </c>
      <c r="AK924" t="n">
        <v>2</v>
      </c>
      <c r="AL924" t="n">
        <v>28</v>
      </c>
      <c r="AM924" t="inlineStr">
        <is>
          <t>MDPI</t>
        </is>
      </c>
      <c r="AN924" t="inlineStr">
        <is>
          <t>BASEL</t>
        </is>
      </c>
      <c r="AO924" t="inlineStr">
        <is>
          <t>ST ALBAN-ANLAGE 66, CH-4052 BASEL, SWITZERLAND</t>
        </is>
      </c>
      <c r="AP924" t="inlineStr">
        <is>
          <t>1660-4601</t>
        </is>
      </c>
      <c r="AS924" t="inlineStr">
        <is>
          <t>INT J ENV RES PUB HE</t>
        </is>
      </c>
      <c r="AT924" t="inlineStr">
        <is>
          <t>Int. J. Environ. Res. Public Health</t>
        </is>
      </c>
      <c r="AU924" t="inlineStr">
        <is>
          <t>JAN</t>
        </is>
      </c>
      <c r="AV924" t="n">
        <v>2016</v>
      </c>
      <c r="AW924" t="n">
        <v>13</v>
      </c>
      <c r="AX924" t="n">
        <v>1</v>
      </c>
      <c r="BE924" t="n">
        <v>3</v>
      </c>
      <c r="BF924" t="inlineStr">
        <is>
          <t>10.3390/ijerph13010003</t>
        </is>
      </c>
      <c r="BG924">
        <f>HYPERLINK("http://dx.doi.org/10.3390/ijerph13010003","http://dx.doi.org/10.3390/ijerph13010003")</f>
        <v/>
      </c>
      <c r="BJ924" t="n">
        <v>13</v>
      </c>
      <c r="BK924" t="inlineStr">
        <is>
          <t>Environmental Sciences; Public, Environmental &amp; Occupational Health</t>
        </is>
      </c>
      <c r="BL924" t="inlineStr">
        <is>
          <t>Science Citation Index Expanded (SCI-EXPANDED); Social Science Citation Index (SSCI)</t>
        </is>
      </c>
      <c r="BM924" t="inlineStr">
        <is>
          <t>Environmental Sciences &amp; Ecology; Public, Environmental &amp; Occupational Health</t>
        </is>
      </c>
      <c r="BN924" t="inlineStr">
        <is>
          <t>DJ4OO</t>
        </is>
      </c>
      <c r="BO924" t="n">
        <v>26703659</v>
      </c>
      <c r="BP924" t="inlineStr">
        <is>
          <t>Green Published, gold, Green Submitted</t>
        </is>
      </c>
      <c r="BS924" t="inlineStr">
        <is>
          <t>2023-10-26</t>
        </is>
      </c>
      <c r="BT924" t="inlineStr">
        <is>
          <t>WOS:000374186100122</t>
        </is>
      </c>
      <c r="BU924">
        <f>HYPERLINK("https%3A%2F%2Fwww.webofscience.com%2Fwos%2Fwoscc%2Ffull-record%2FWOS:000374186100122","View Full Record in Web of Science")</f>
        <v/>
      </c>
    </row>
    <row r="925">
      <c r="A925" t="inlineStr">
        <is>
          <t>J</t>
        </is>
      </c>
      <c r="B925" t="inlineStr">
        <is>
          <t>Chen, LS; Zhang, Z</t>
        </is>
      </c>
      <c r="F925" t="inlineStr">
        <is>
          <t>Chen, Lanshuang; Zhang, Zhen</t>
        </is>
      </c>
      <c r="J925" t="inlineStr">
        <is>
          <t>INTERNATIONAL JOURNAL OF ENVIRONMENTAL RESEARCH AND PUBLIC HEALTH</t>
        </is>
      </c>
      <c r="M925" t="inlineStr">
        <is>
          <t>English</t>
        </is>
      </c>
      <c r="N925" t="inlineStr">
        <is>
          <t>Article</t>
        </is>
      </c>
      <c r="T925" t="inlineStr">
        <is>
          <t>Community Participation and Subjective Well-Being of Older Adults: The Roles of Sense of Community and Neuroticism</t>
        </is>
      </c>
      <c r="U925" t="inlineStr">
        <is>
          <t>community participation; subjective well-being; sense of community; neuroticism; older adults</t>
        </is>
      </c>
      <c r="V925" t="inlineStr">
        <is>
          <t>PERCEIVED RESIDENTIAL ENVIRONMENT; AGING IN-PLACE; LIFE SATISFACTION; SOCIAL-PARTICIPATION; PSYCHOLOGICAL SENSE; DEPRESSIVE SYMPTOMS; COLLECTIVE EFFICACY; MEDIATING ROLE; HEALTH; ENGAGEMENT</t>
        </is>
      </c>
      <c r="W925" t="inlineStr">
        <is>
          <t>Participation in community affairs and activities is beneficial to the mental health of older adults. The current study attempted to confirm the mediating role of sense of community (SoC) between community participation (CP) and subjective well-being (SWB), and the moderating role of neuroticism between CP and SoC. A total of 465 older adults aged &gt;= 65 years from China participated in both two-wave online surveys. The self-developed Community Participation questionnaire, the SoC scale, and the Neuroticism subscale were used to assess CP, SoC, and neuroticism, respectively. The four indicators of SWB were assessed by the Satisfaction with Life Scale, Positive Affect and Negative Affect Schedule, and the Center for Epidemiological Studies-Depression scale. The results revealed that CP was associated with three indicators of SWB including life satisfaction, positive affect, and depressive symptoms, SoC mediated the above associations, and neuroticism negatively moderated the association between CP and SoC, after controlling for age, sex, education, spouse status, monthly income, and physical health. CP enhances older adults' SWB through increasing their SoC. When compared to those older adults with a higher score of neuroticism, the enhancing effect of CP on SoC is stronger for those with lower scores of neuroticism.</t>
        </is>
      </c>
      <c r="X925" t="inlineStr">
        <is>
          <t>[Chen, Lanshuang; Zhang, Zhen] Chinese Acad Sci, Inst Psychol, Key Lab Behav Sci, Beijing 100101, Peoples R China; [Chen, Lanshuang; Zhang, Zhen] Univ Chinese Acad Sci, Dept Psychol, Beijing 100049, Peoples R China</t>
        </is>
      </c>
      <c r="Y925" t="inlineStr">
        <is>
          <t>Chinese Academy of Sciences; Institute of Psychology, CAS; Chinese Academy of Sciences; University of Chinese Academy of Sciences, CAS</t>
        </is>
      </c>
      <c r="Z925" t="inlineStr">
        <is>
          <t>Zhang, Z (corresponding author), Chinese Acad Sci, Inst Psychol, Key Lab Behav Sci, Beijing 100101, Peoples R China.;Zhang, Z (corresponding author), Univ Chinese Acad Sci, Dept Psychol, Beijing 100049, Peoples R China.</t>
        </is>
      </c>
      <c r="AA925" t="inlineStr">
        <is>
          <t>chenls@psych.ac.cn; zhangz@psych.ac.cn</t>
        </is>
      </c>
      <c r="AD925" t="inlineStr">
        <is>
          <t>National Natural Science Foundation of China [71774157]; Independent Deployment Foundation of Institute of Psychology of Chinese Academy of Sciences [E0CX083008]; Key project of CAS Key Laboratory of Behavioral Science, Institute of Psychology [Y5CX052003]</t>
        </is>
      </c>
      <c r="AE925" t="inlineStr">
        <is>
          <t>National Natural Science Foundation of China(National Natural Science Foundation of China (NSFC)); Independent Deployment Foundation of Institute of Psychology of Chinese Academy of Sciences; Key project of CAS Key Laboratory of Behavioral Science, Institute of Psychology</t>
        </is>
      </c>
      <c r="AF925" t="inlineStr">
        <is>
          <t>The study was funded by the National Natural Science Foundation of China (Grant No. 71774157), Independent Deployment Foundation of Institute of Psychology of Chinese Academy of Sciences (Grant No. E0CX083008), and Key project of CAS Key Laboratory of Behavioral Science, Institute of Psychology (Grant No. Y5CX052003).</t>
        </is>
      </c>
      <c r="AH925" t="n">
        <v>76</v>
      </c>
      <c r="AI925" t="n">
        <v>1</v>
      </c>
      <c r="AJ925" t="n">
        <v>1</v>
      </c>
      <c r="AK925" t="n">
        <v>7</v>
      </c>
      <c r="AL925" t="n">
        <v>18</v>
      </c>
      <c r="AM925" t="inlineStr">
        <is>
          <t>MDPI</t>
        </is>
      </c>
      <c r="AN925" t="inlineStr">
        <is>
          <t>BASEL</t>
        </is>
      </c>
      <c r="AO925" t="inlineStr">
        <is>
          <t>ST ALBAN-ANLAGE 66, CH-4052 BASEL, SWITZERLAND</t>
        </is>
      </c>
      <c r="AQ925" t="inlineStr">
        <is>
          <t>1660-4601</t>
        </is>
      </c>
      <c r="AS925" t="inlineStr">
        <is>
          <t>INT J ENV RES PUB HE</t>
        </is>
      </c>
      <c r="AT925" t="inlineStr">
        <is>
          <t>Int. J. Environ. Res. Public Health</t>
        </is>
      </c>
      <c r="AU925" t="inlineStr">
        <is>
          <t>MAR</t>
        </is>
      </c>
      <c r="AV925" t="n">
        <v>2022</v>
      </c>
      <c r="AW925" t="n">
        <v>19</v>
      </c>
      <c r="AX925" t="n">
        <v>6</v>
      </c>
      <c r="BE925" t="n">
        <v>3261</v>
      </c>
      <c r="BF925" t="inlineStr">
        <is>
          <t>10.3390/ijerph19063261</t>
        </is>
      </c>
      <c r="BG925">
        <f>HYPERLINK("http://dx.doi.org/10.3390/ijerph19063261","http://dx.doi.org/10.3390/ijerph19063261")</f>
        <v/>
      </c>
      <c r="BJ925" t="n">
        <v>14</v>
      </c>
      <c r="BK925" t="inlineStr">
        <is>
          <t>Environmental Sciences; Public, Environmental &amp; Occupational Health</t>
        </is>
      </c>
      <c r="BL925" t="inlineStr">
        <is>
          <t>Science Citation Index Expanded (SCI-EXPANDED); Social Science Citation Index (SSCI)</t>
        </is>
      </c>
      <c r="BM925" t="inlineStr">
        <is>
          <t>Environmental Sciences &amp; Ecology; Public, Environmental &amp; Occupational Health</t>
        </is>
      </c>
      <c r="BN925" t="inlineStr">
        <is>
          <t>0C8HT</t>
        </is>
      </c>
      <c r="BO925" t="n">
        <v>35328950</v>
      </c>
      <c r="BP925" t="inlineStr">
        <is>
          <t>gold, Green Published</t>
        </is>
      </c>
      <c r="BS925" t="inlineStr">
        <is>
          <t>2023-10-26</t>
        </is>
      </c>
      <c r="BT925" t="inlineStr">
        <is>
          <t>WOS:000775548500001</t>
        </is>
      </c>
      <c r="BU925">
        <f>HYPERLINK("https%3A%2F%2Fwww.webofscience.com%2Fwos%2Fwoscc%2Ffull-record%2FWOS:000775548500001","View Full Record in Web of Science")</f>
        <v/>
      </c>
    </row>
    <row r="926">
      <c r="A926" t="inlineStr">
        <is>
          <t>J</t>
        </is>
      </c>
      <c r="B926" t="inlineStr">
        <is>
          <t>Hystad, P; Davies, HW; Frank, L; Van Loon, J; Gehring, U; Tamburic, L; Brauer, M</t>
        </is>
      </c>
      <c r="F926" t="inlineStr">
        <is>
          <t>Hystad, Perry; Davies, Hugh W.; Frank, Lawrence; Van Loon, Josh; Gehring, Ulrike; Tamburic, Lillian; Brauer, Michael</t>
        </is>
      </c>
      <c r="J926" t="inlineStr">
        <is>
          <t>ENVIRONMENTAL HEALTH PERSPECTIVES</t>
        </is>
      </c>
      <c r="M926" t="inlineStr">
        <is>
          <t>English</t>
        </is>
      </c>
      <c r="N926" t="inlineStr">
        <is>
          <t>Article</t>
        </is>
      </c>
      <c r="T926" t="inlineStr">
        <is>
          <t>Residential Greenness and Birth Outcomes: Evaluating the Influence of Spatially Correlated Built-Environment Factors</t>
        </is>
      </c>
      <c r="V926" t="inlineStr">
        <is>
          <t>AIR-POLLUTION; PHYSICAL-ACTIVITY; SURROUNDING GREENNESS; PREGNANCY OUTCOMES; EXPOSURE; SPACE; HEALTH; NOISE; STRESS; WEIGHT</t>
        </is>
      </c>
      <c r="W926" t="inlineStr">
        <is>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 OBJECTIVES: We aimed to investigate associations between residential greenness and birth outcomes and evaluate the influence of spatially correlated built environment factors on these associations. 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 RESULTS: An interquartile increase in greenness (0.1 in residential NDVI) was associated with higher term birth weight (20.6 g; 95% CI: 16.5, 24.7) and decreases in the likelihood of small for gestational age, very preterm (&lt; 30 weeks), and moderately preterm (30-36 weeks) birth. Associations were robust to adjustment for air pollution and noise exposures, neighborhood walkability, and park proximity. 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is>
      </c>
      <c r="X926" t="inlineStr">
        <is>
          <t>[Hystad, Perry] Oregon State Univ, Coll Publ Hlth &amp; Human Sci, Corvallis, OR 97331 USA; [Davies, Hugh W.; Frank, Lawrence; Van Loon, Josh; Tamburic, Lillian; Brauer, Michael] Univ British Columbia, Sch Populat &amp; Publ Hlth, Vancouver, BC V5Z 1M9, Canada; [Frank, Lawrence] Univ British Columbia, Sch Community &amp; Reg Planning, Vancouver, BC V5Z 1M9, Canada; [Gehring, Ulrike] Univ Utrecht, Inst Risk Assessment Sci, Utrecht, Netherlands</t>
        </is>
      </c>
      <c r="Y926" t="inlineStr">
        <is>
          <t>Oregon State University; University of British Columbia; University of British Columbia; Utrecht University</t>
        </is>
      </c>
      <c r="Z926" t="inlineStr">
        <is>
          <t>Hystad, P (corresponding author), Coll Publ Hlth &amp; Human Sci, Sch Biol &amp; Populat Hlth Sci, 20C Milam Hall, Corvallis, OR 97331 USA.</t>
        </is>
      </c>
      <c r="AA926" t="inlineStr">
        <is>
          <t>perry.hystad@oregonstate.edu</t>
        </is>
      </c>
      <c r="AB926" t="inlineStr">
        <is>
          <t>davies, hugh/AAJ-9990-2020; Brauer, Michael/Y-2810-2019</t>
        </is>
      </c>
      <c r="AC926" t="inlineStr">
        <is>
          <t>Brauer, Michael/0000-0002-9103-9343; Davies, Hugh/0000-0001-8258-6890; Gehring, Ulrike/0000-0003-3612-5780</t>
        </is>
      </c>
      <c r="AD926" t="inlineStr">
        <is>
          <t>Health Canada</t>
        </is>
      </c>
      <c r="AE926" t="inlineStr">
        <is>
          <t>Health Canada</t>
        </is>
      </c>
      <c r="AF926" t="inlineStr">
        <is>
          <t>This research was supported in part by Health Canada via an agreement with the British Columbia Centre for Disease Control to the Border Air Quality Study.</t>
        </is>
      </c>
      <c r="AH926" t="n">
        <v>50</v>
      </c>
      <c r="AI926" t="n">
        <v>175</v>
      </c>
      <c r="AJ926" t="n">
        <v>179</v>
      </c>
      <c r="AK926" t="n">
        <v>0</v>
      </c>
      <c r="AL926" t="n">
        <v>81</v>
      </c>
      <c r="AM926" t="inlineStr">
        <is>
          <t>US DEPT HEALTH HUMAN SCIENCES PUBLIC HEALTH SCIENCE</t>
        </is>
      </c>
      <c r="AN926" t="inlineStr">
        <is>
          <t>RES TRIANGLE PK</t>
        </is>
      </c>
      <c r="AO926" t="inlineStr">
        <is>
          <t>NATL INST HEALTH, NATL INST ENVIRONMENTAL HEALTH SCIENCES, PO BOX 12233, RES TRIANGLE PK, NC 27709-2233 USA</t>
        </is>
      </c>
      <c r="AP926" t="inlineStr">
        <is>
          <t>0091-6765</t>
        </is>
      </c>
      <c r="AQ926" t="inlineStr">
        <is>
          <t>1552-9924</t>
        </is>
      </c>
      <c r="AS926" t="inlineStr">
        <is>
          <t>ENVIRON HEALTH PERSP</t>
        </is>
      </c>
      <c r="AT926" t="inlineStr">
        <is>
          <t>Environ. Health Perspect.</t>
        </is>
      </c>
      <c r="AU926" t="inlineStr">
        <is>
          <t>OCT</t>
        </is>
      </c>
      <c r="AV926" t="n">
        <v>2014</v>
      </c>
      <c r="AW926" t="n">
        <v>122</v>
      </c>
      <c r="AX926" t="n">
        <v>10</v>
      </c>
      <c r="BC926" t="n">
        <v>1095</v>
      </c>
      <c r="BD926" t="n">
        <v>1102</v>
      </c>
      <c r="BF926" t="inlineStr">
        <is>
          <t>10.1289/ehp.1308049</t>
        </is>
      </c>
      <c r="BG926">
        <f>HYPERLINK("http://dx.doi.org/10.1289/ehp.1308049","http://dx.doi.org/10.1289/ehp.1308049")</f>
        <v/>
      </c>
      <c r="BJ926" t="n">
        <v>8</v>
      </c>
      <c r="BK926" t="inlineStr">
        <is>
          <t>Environmental Sciences; Public, Environmental &amp; Occupational Health; Toxicology</t>
        </is>
      </c>
      <c r="BL926" t="inlineStr">
        <is>
          <t>Science Citation Index Expanded (SCI-EXPANDED); Social Science Citation Index (SSCI)</t>
        </is>
      </c>
      <c r="BM926" t="inlineStr">
        <is>
          <t>Environmental Sciences &amp; Ecology; Public, Environmental &amp; Occupational Health; Toxicology</t>
        </is>
      </c>
      <c r="BN926" t="inlineStr">
        <is>
          <t>AQ9BO</t>
        </is>
      </c>
      <c r="BO926" t="n">
        <v>25014041</v>
      </c>
      <c r="BP926" t="inlineStr">
        <is>
          <t>gold, Green Published, Green Submitted</t>
        </is>
      </c>
      <c r="BS926" t="inlineStr">
        <is>
          <t>2023-10-26</t>
        </is>
      </c>
      <c r="BT926" t="inlineStr">
        <is>
          <t>WOS:000343136200022</t>
        </is>
      </c>
      <c r="BU926">
        <f>HYPERLINK("https%3A%2F%2Fwww.webofscience.com%2Fwos%2Fwoscc%2Ffull-record%2FWOS:000343136200022","View Full Record in Web of Science")</f>
        <v/>
      </c>
    </row>
    <row r="927">
      <c r="A927" t="inlineStr">
        <is>
          <t>J</t>
        </is>
      </c>
      <c r="B927" t="inlineStr">
        <is>
          <t>Dolnikova, E; Katunsky, D</t>
        </is>
      </c>
      <c r="F927" t="inlineStr">
        <is>
          <t>Dolnikova, Erika; Katunsky, Dusan</t>
        </is>
      </c>
      <c r="J927" t="inlineStr">
        <is>
          <t>ENVIRONMENTS</t>
        </is>
      </c>
      <c r="M927" t="inlineStr">
        <is>
          <t>English</t>
        </is>
      </c>
      <c r="N927" t="inlineStr">
        <is>
          <t>Article</t>
        </is>
      </c>
      <c r="T927" t="inlineStr">
        <is>
          <t>Visual Comfort Assessment in an Industrial Environment: A Case Study</t>
        </is>
      </c>
      <c r="U927" t="inlineStr">
        <is>
          <t>visual comfort; daylighting; simulation; industry; halls; environment</t>
        </is>
      </c>
      <c r="V927" t="inlineStr">
        <is>
          <t>SYSTEM APPROACH</t>
        </is>
      </c>
      <c r="W927" t="inlineStr">
        <is>
          <t>Air, water, soil, and light are important factors in the environment. Light is the only elementary part of life that has become an almost irreplaceable part of life. Because man is more connected with the interior, the task is to ensure that natural daylight in the interior is as high as possible. Industrial lighting is currently at a level that in many cases does not meet the requirements of legislation and standards. Optimal environmental conditions depend on the purpose for which the environment is intended. Since toplighting is largely involved in the overall lighting climate, the purpose of this paper is to evaluate the visual comfort in a selected industrial hall with two types of glazing at the saddle skylight. In the study, measured values in the hall were used as boundary conditions in the simulation program Radiance The program evaluated the visual comfort for two types of sky by the Guth VCP method. The results show that the use of diffuse glazing instead of simple wire glazing reduces the brightness and glare levels, but that people's satisfaction with visual comfort is greater with wire glazing. Furthermore, the model of the hall can be used to calculate light conditions for other types of arches as well as to compare other types of skylights. An alternative to diffusing glazing could also be verified for side windows.</t>
        </is>
      </c>
      <c r="X927" t="inlineStr">
        <is>
          <t>[Dolnikova, Erika] Tech Univ Kosice, Fac Civil Engn, Inst Architectural Engn, Dept Bldg Phys, Kosice 04200, Slovakia; [Katunsky, Dusan] Tech Univ Kosice, Fac Civil Engn, Inst Architectural Engn, Dept Architecture &amp; Bldg Struct, Kosice 04200, Slovakia</t>
        </is>
      </c>
      <c r="Y927" t="inlineStr">
        <is>
          <t>Technical University Kosice; Technical University Kosice</t>
        </is>
      </c>
      <c r="Z927" t="inlineStr">
        <is>
          <t>Dolnikova, E (corresponding author), Tech Univ Kosice, Fac Civil Engn, Inst Architectural Engn, Dept Bldg Phys, Kosice 04200, Slovakia.</t>
        </is>
      </c>
      <c r="AA927" t="inlineStr">
        <is>
          <t>erika.dolnikova@tuke.sk; dusan.katunsky@tuke.sk</t>
        </is>
      </c>
      <c r="AB927" t="inlineStr">
        <is>
          <t>Katunský, Dušan/C-1009-2018; Dolnikova, Erika/AAI-2455-2019</t>
        </is>
      </c>
      <c r="AC927" t="inlineStr">
        <is>
          <t>Katunský, Dušan/0000-0002-6436-5792;</t>
        </is>
      </c>
      <c r="AD927" t="inlineStr">
        <is>
          <t>VEGA of Scientific Grant Agency [1/0674/18]; Ministry of Education, Science, Research, and Sport of the Slovak Republic; Slovak Academy of Sciences</t>
        </is>
      </c>
      <c r="AE927" t="inlineStr">
        <is>
          <t>VEGA of Scientific Grant Agency; Ministry of Education, Science, Research, and Sport of the Slovak Republic; Slovak Academy of Sciences(Slovak Academy of Sciences)</t>
        </is>
      </c>
      <c r="AF927" t="inlineStr">
        <is>
          <t>This research was funded VEGA 1/0674/18 of Scientific Grant Agency, the Ministry of Education, Science, Research, and Sport of the Slovak Republic and the Slovak Academy of Sciences.</t>
        </is>
      </c>
      <c r="AH927" t="n">
        <v>31</v>
      </c>
      <c r="AI927" t="n">
        <v>2</v>
      </c>
      <c r="AJ927" t="n">
        <v>2</v>
      </c>
      <c r="AK927" t="n">
        <v>1</v>
      </c>
      <c r="AL927" t="n">
        <v>11</v>
      </c>
      <c r="AM927" t="inlineStr">
        <is>
          <t>MDPI</t>
        </is>
      </c>
      <c r="AN927" t="inlineStr">
        <is>
          <t>BASEL</t>
        </is>
      </c>
      <c r="AO927" t="inlineStr">
        <is>
          <t>ST ALBAN-ANLAGE 66, CH-4052 BASEL, SWITZERLAND</t>
        </is>
      </c>
      <c r="AP927" t="inlineStr">
        <is>
          <t>2076-3298</t>
        </is>
      </c>
      <c r="AS927" t="inlineStr">
        <is>
          <t>ENVIRONMENTS</t>
        </is>
      </c>
      <c r="AT927" t="inlineStr">
        <is>
          <t>Environments</t>
        </is>
      </c>
      <c r="AU927" t="inlineStr">
        <is>
          <t>MAY</t>
        </is>
      </c>
      <c r="AV927" t="n">
        <v>2019</v>
      </c>
      <c r="AW927" t="n">
        <v>6</v>
      </c>
      <c r="AX927" t="n">
        <v>5</v>
      </c>
      <c r="BE927" t="n">
        <v>54</v>
      </c>
      <c r="BF927" t="inlineStr">
        <is>
          <t>10.3390/environments6050054</t>
        </is>
      </c>
      <c r="BG927">
        <f>HYPERLINK("http://dx.doi.org/10.3390/environments6050054","http://dx.doi.org/10.3390/environments6050054")</f>
        <v/>
      </c>
      <c r="BJ927" t="n">
        <v>10</v>
      </c>
      <c r="BK927" t="inlineStr">
        <is>
          <t>Environmental Sciences</t>
        </is>
      </c>
      <c r="BL927" t="inlineStr">
        <is>
          <t>Emerging Sources Citation Index (ESCI)</t>
        </is>
      </c>
      <c r="BM927" t="inlineStr">
        <is>
          <t>Environmental Sciences &amp; Ecology</t>
        </is>
      </c>
      <c r="BN927" t="inlineStr">
        <is>
          <t>IC4SX</t>
        </is>
      </c>
      <c r="BP927" t="inlineStr">
        <is>
          <t>gold, Green Submitted</t>
        </is>
      </c>
      <c r="BS927" t="inlineStr">
        <is>
          <t>2023-10-26</t>
        </is>
      </c>
      <c r="BT927" t="inlineStr">
        <is>
          <t>WOS:000470956800006</t>
        </is>
      </c>
      <c r="BU927">
        <f>HYPERLINK("https%3A%2F%2Fwww.webofscience.com%2Fwos%2Fwoscc%2Ffull-record%2FWOS:000470956800006","View Full Record in Web of Science")</f>
        <v/>
      </c>
    </row>
    <row r="928">
      <c r="A928" t="inlineStr">
        <is>
          <t>J</t>
        </is>
      </c>
      <c r="B928" t="inlineStr">
        <is>
          <t>Kim, U; Lee, J; He, SY</t>
        </is>
      </c>
      <c r="F928" t="inlineStr">
        <is>
          <t>Kim, UnHyo; Lee, Jeongwoo; He, Sylvia Y.</t>
        </is>
      </c>
      <c r="J928" t="inlineStr">
        <is>
          <t>INTERNATIONAL JOURNAL OF ENVIRONMENTAL RESEARCH AND PUBLIC HEALTH</t>
        </is>
      </c>
      <c r="M928" t="inlineStr">
        <is>
          <t>English</t>
        </is>
      </c>
      <c r="N928" t="inlineStr">
        <is>
          <t>Article</t>
        </is>
      </c>
      <c r="T928" t="inlineStr">
        <is>
          <t>Pedestrianization Impacts on Air Quality Perceptions and Environment Satisfaction: The Case of Regenerated Streets in Downtown Seoul</t>
        </is>
      </c>
      <c r="U928" t="inlineStr">
        <is>
          <t>pedestrianization; walking environment; air-quality perception; satisfaction; greenway</t>
        </is>
      </c>
      <c r="V928" t="inlineStr">
        <is>
          <t>URBAN DESIGN QUALITIES; BUILT ENVIRONMENT; WALKING; TRAVEL; CITY; WALKABILITY; ATTRIBUTES; BENEFITS; FEATURES; HEALTH</t>
        </is>
      </c>
      <c r="W928" t="inlineStr">
        <is>
          <t>Previous studies have investigated the increased volume of pedestrians to establish success rates of the pedestrian-friendly policy after a street redesign intervention. However, few studies have focused on the effect of street regeneration on air quality perception and user satisfaction. The influence of the physical environment on street vitality may vary, depending on area context and regional factors. A comprehensive understanding of effective interventions could increase pedestrians' satisfaction with their walking environment. This study examines the effect of pedestrianization on individuals' air quality perception and satisfaction, based on three regenerated streets in Seoul, Korea. We analyzed data from 672 questionnaires administered after the pedestrianization project. We used a subset of variables in a binary logistic regression model to understand general determinants of user satisfaction toward their walking environment. Our case study contributes to the verification of pedestrianization effects on air quality perceptions. Results show that overall satisfaction could be acquired through positive perceptions of air quality, as achieved through pedestrianization of streets. Moreover, pedestrian satisfaction varies according to the purpose, activities and health-related behaviors and attitudes. The interrelationships between environmental health, activity, satisfaction and quality of life provide design insights to consider when implementing pedestrianization projects in the future.</t>
        </is>
      </c>
      <c r="X928" t="inlineStr">
        <is>
          <t>[Kim, UnHyo; Lee, Jeongwoo] Chung Ang Univ, Dept Urban Design &amp; Stud, Seoul 06974, South Korea; [He, Sylvia Y.] Chinese Univ Hong Kong, Dept Geog &amp; Resource Management, Hong Kong, Peoples R China</t>
        </is>
      </c>
      <c r="Y928" t="inlineStr">
        <is>
          <t>Chung Ang University; Chinese University of Hong Kong</t>
        </is>
      </c>
      <c r="Z928" t="inlineStr">
        <is>
          <t>Lee, J (corresponding author), Chung Ang Univ, Dept Urban Design &amp; Stud, Seoul 06974, South Korea.</t>
        </is>
      </c>
      <c r="AA928" t="inlineStr">
        <is>
          <t>freddie3944@gmail.com; jeongwoo@cau.ac.kr; sylviahe@cuhk.edu.hk</t>
        </is>
      </c>
      <c r="AB928" t="inlineStr">
        <is>
          <t>He, Sylvia/L-8576-2016; He, Sylvia/AAI-8127-2020; Lee, Jeongwoo/ADY-5825-2022</t>
        </is>
      </c>
      <c r="AC928" t="inlineStr">
        <is>
          <t>He, Sylvia/0000-0001-7198-7760;</t>
        </is>
      </c>
      <c r="AD928" t="inlineStr">
        <is>
          <t>Chung-Ang University; National Research Foundation of Korea (NRF) - Korean government [2019R1C1C1011089]; National Research Foundation of Korea [2019R1C1C1011089] Funding Source: Korea Institute of Science &amp; Technology Information (KISTI), National Science &amp; Technology Information Service (NTIS)</t>
        </is>
      </c>
      <c r="AE928" t="inlineStr">
        <is>
          <t>Chung-Ang University(Chung Ang University); National Research Foundation of Korea (NRF) - Korean government; National Research Foundation of Korea(National Research Foundation of Korea)</t>
        </is>
      </c>
      <c r="AF928" t="inlineStr">
        <is>
          <t>This research was supported by the Chung-Ang University Research Grants in 2019. This research was also supported by the National Research Foundation of Korea (NRF) grant funded by the Korean government (No. 2019R1C1C1011089).</t>
        </is>
      </c>
      <c r="AH928" t="n">
        <v>81</v>
      </c>
      <c r="AI928" t="n">
        <v>4</v>
      </c>
      <c r="AJ928" t="n">
        <v>4</v>
      </c>
      <c r="AK928" t="n">
        <v>4</v>
      </c>
      <c r="AL928" t="n">
        <v>24</v>
      </c>
      <c r="AM928" t="inlineStr">
        <is>
          <t>MDPI</t>
        </is>
      </c>
      <c r="AN928" t="inlineStr">
        <is>
          <t>BASEL</t>
        </is>
      </c>
      <c r="AO928" t="inlineStr">
        <is>
          <t>ST ALBAN-ANLAGE 66, CH-4052 BASEL, SWITZERLAND</t>
        </is>
      </c>
      <c r="AQ928" t="inlineStr">
        <is>
          <t>1660-4601</t>
        </is>
      </c>
      <c r="AS928" t="inlineStr">
        <is>
          <t>INT J ENV RES PUB HE</t>
        </is>
      </c>
      <c r="AT928" t="inlineStr">
        <is>
          <t>Int. J. Environ. Res. Public Health</t>
        </is>
      </c>
      <c r="AU928" t="inlineStr">
        <is>
          <t>OCT</t>
        </is>
      </c>
      <c r="AV928" t="n">
        <v>2021</v>
      </c>
      <c r="AW928" t="n">
        <v>18</v>
      </c>
      <c r="AX928" t="n">
        <v>19</v>
      </c>
      <c r="BE928" t="n">
        <v>10225</v>
      </c>
      <c r="BF928" t="inlineStr">
        <is>
          <t>10.3390/ijerph181910225</t>
        </is>
      </c>
      <c r="BG928">
        <f>HYPERLINK("http://dx.doi.org/10.3390/ijerph181910225","http://dx.doi.org/10.3390/ijerph181910225")</f>
        <v/>
      </c>
      <c r="BJ928" t="n">
        <v>16</v>
      </c>
      <c r="BK928" t="inlineStr">
        <is>
          <t>Environmental Sciences; Public, Environmental &amp; Occupational Health</t>
        </is>
      </c>
      <c r="BL928" t="inlineStr">
        <is>
          <t>Science Citation Index Expanded (SCI-EXPANDED); Social Science Citation Index (SSCI)</t>
        </is>
      </c>
      <c r="BM928" t="inlineStr">
        <is>
          <t>Environmental Sciences &amp; Ecology; Public, Environmental &amp; Occupational Health</t>
        </is>
      </c>
      <c r="BN928" t="inlineStr">
        <is>
          <t>WH9BG</t>
        </is>
      </c>
      <c r="BO928" t="n">
        <v>34639525</v>
      </c>
      <c r="BP928" t="inlineStr">
        <is>
          <t>Green Published, gold</t>
        </is>
      </c>
      <c r="BS928" t="inlineStr">
        <is>
          <t>2023-10-26</t>
        </is>
      </c>
      <c r="BT928" t="inlineStr">
        <is>
          <t>WOS:000707963500001</t>
        </is>
      </c>
      <c r="BU928">
        <f>HYPERLINK("https%3A%2F%2Fwww.webofscience.com%2Fwos%2Fwoscc%2Ffull-record%2FWOS:000707963500001","View Full Record in Web of Science")</f>
        <v/>
      </c>
    </row>
    <row r="929">
      <c r="A929" t="inlineStr">
        <is>
          <t>J</t>
        </is>
      </c>
      <c r="B929" t="inlineStr">
        <is>
          <t>Wu, JL; Weng, WG</t>
        </is>
      </c>
      <c r="F929" t="inlineStr">
        <is>
          <t>Wu, Jialin; Weng, Wenguo</t>
        </is>
      </c>
      <c r="J929" t="inlineStr">
        <is>
          <t>ENVIRONMENTAL RESEARCH</t>
        </is>
      </c>
      <c r="M929" t="inlineStr">
        <is>
          <t>English</t>
        </is>
      </c>
      <c r="N929" t="inlineStr">
        <is>
          <t>Article</t>
        </is>
      </c>
      <c r="T929" t="inlineStr">
        <is>
          <t>COVID-19 virus released from larynx might cause a higher exposure dose in indoor environment</t>
        </is>
      </c>
      <c r="U929" t="inlineStr">
        <is>
          <t>COVID-19; Virus-containing particles; Larynx; Droplet; Exposure dose</t>
        </is>
      </c>
      <c r="V929" t="inlineStr">
        <is>
          <t>AIR-FLOW; PARTICLE DEPOSITION; VENTILATION RATES; TRANSMISSION</t>
        </is>
      </c>
      <c r="W929" t="inlineStr">
        <is>
          <t>COVID-19 virus can replicate in the infected individual's larynx independently, which is different from other viruses that replicate in lungs only, e.g. SARS. It might contribute to the fast spread of COVID-19. However, there are few scientific reports about quantitative comparison of COVID-19 exposure dose (inhalation dose and adhesion dose) for the susceptible individual when the viruses were released from the larynx or lungs. In this paper, a typical numerical model was built based on a breathing human model with real respiratory tract. By using a computational fluid dynamics (CFD) method, two kinds of virus released sites in the infected individual's respiratory tract (larynx, lungs), seven kinds of particle sizes between 1 and 50 mu m, three kinds of expiratory flow rates: calm (10 L/min), moderate (30 L/min) and intense (90 L/min) were used to compare the particle deposition proportion and escape proportion. The inhalation dose and the adhesion dose of the susceptible individual were quantified. The results showed that COVID-19 virus-containing droplets and aerosols might be released into the environment at higher proportions (39.1%-44.2%) than viruses that replicate in lungs only (15.3%-37.1%). The exposure doses (inhalation dose and adhesion dose) of the susceptible individual in different situations were discussed. The susceptible individual suffered a higher exposure dose when the viruses were released from the larynx rather than lungs (the difference for 1 mu m particles was 1.2-2.2 times). This study provides a possible explanation for the higher transmission risk of COVID-19 virus compared to other viruses and some control advice of COVID-19 in typical indoor environments were also discussed.</t>
        </is>
      </c>
      <c r="X929" t="inlineStr">
        <is>
          <t>[Wu, Jialin; Weng, Wenguo] Tsinghua Univ, Inst Publ Safety Res, Dept Engn Phys, Beijing 100084, Peoples R China; [Wu, Jialin; Weng, Wenguo] Tsinghua Univ, Beijing Key Lab City Integrated Emergency Respons, Beijing 100084, Peoples R China</t>
        </is>
      </c>
      <c r="Y929" t="inlineStr">
        <is>
          <t>Tsinghua University; Tsinghua University</t>
        </is>
      </c>
      <c r="Z929" t="inlineStr">
        <is>
          <t>Weng, WG (corresponding author), Tsinghua Univ, Inst Publ Safety Res, Dept Engn Phys, Beijing 100084, Peoples R China.</t>
        </is>
      </c>
      <c r="AA929" t="inlineStr">
        <is>
          <t>wgweng@tsinghua.edu.cn</t>
        </is>
      </c>
      <c r="AC929" t="inlineStr">
        <is>
          <t>Wu, Jialin/0000-0002-7995-3220</t>
        </is>
      </c>
      <c r="AD929" t="inlineStr">
        <is>
          <t>National Science Fund for Distinguished Young Scholars of China [71725006]; National Natural Science Foundation of China [72034004, 91846301]</t>
        </is>
      </c>
      <c r="AE929" t="inlineStr">
        <is>
          <t>National Science Fund for Distinguished Young Scholars of China(National Natural Science Foundation of China (NSFC)National Science Fund for Distinguished Young Scholars); National Natural Science Foundation of China(National Natural Science Foundation of China (NSFC))</t>
        </is>
      </c>
      <c r="AF929" t="inlineStr">
        <is>
          <t>This study was supported by National Science Fund for Distinguished Young Scholars of China (Grant No 71725006) , and National Natural Science Foundation of China (Grant No. 72034004 and 91846301) . The authors are deeply grateful to these supports. The authors are also thankful to Chang Xu for the human model with respiratory tract.</t>
        </is>
      </c>
      <c r="AH929" t="n">
        <v>51</v>
      </c>
      <c r="AI929" t="n">
        <v>15</v>
      </c>
      <c r="AJ929" t="n">
        <v>15</v>
      </c>
      <c r="AK929" t="n">
        <v>3</v>
      </c>
      <c r="AL929" t="n">
        <v>35</v>
      </c>
      <c r="AM929" t="inlineStr">
        <is>
          <t>ACADEMIC PRESS INC ELSEVIER SCIENCE</t>
        </is>
      </c>
      <c r="AN929" t="inlineStr">
        <is>
          <t>SAN DIEGO</t>
        </is>
      </c>
      <c r="AO929" t="inlineStr">
        <is>
          <t>525 B ST, STE 1900, SAN DIEGO, CA 92101-4495 USA</t>
        </is>
      </c>
      <c r="AP929" t="inlineStr">
        <is>
          <t>0013-9351</t>
        </is>
      </c>
      <c r="AQ929" t="inlineStr">
        <is>
          <t>1096-0953</t>
        </is>
      </c>
      <c r="AS929" t="inlineStr">
        <is>
          <t>ENVIRON RES</t>
        </is>
      </c>
      <c r="AT929" t="inlineStr">
        <is>
          <t>Environ. Res.</t>
        </is>
      </c>
      <c r="AU929" t="inlineStr">
        <is>
          <t>AUG</t>
        </is>
      </c>
      <c r="AV929" t="n">
        <v>2021</v>
      </c>
      <c r="AW929" t="n">
        <v>199</v>
      </c>
      <c r="BE929" t="n">
        <v>111361</v>
      </c>
      <c r="BF929" t="inlineStr">
        <is>
          <t>10.1016/j.envres.2021.111361</t>
        </is>
      </c>
      <c r="BG929">
        <f>HYPERLINK("http://dx.doi.org/10.1016/j.envres.2021.111361","http://dx.doi.org/10.1016/j.envres.2021.111361")</f>
        <v/>
      </c>
      <c r="BI929" t="inlineStr">
        <is>
          <t>MAY 2021</t>
        </is>
      </c>
      <c r="BJ929" t="n">
        <v>8</v>
      </c>
      <c r="BK929" t="inlineStr">
        <is>
          <t>Environmental Sciences; Public, Environmental &amp; Occupational Health</t>
        </is>
      </c>
      <c r="BL929" t="inlineStr">
        <is>
          <t>Science Citation Index Expanded (SCI-EXPANDED)</t>
        </is>
      </c>
      <c r="BM929" t="inlineStr">
        <is>
          <t>Environmental Sciences &amp; Ecology; Public, Environmental &amp; Occupational Health</t>
        </is>
      </c>
      <c r="BN929" t="inlineStr">
        <is>
          <t>SV3LA</t>
        </is>
      </c>
      <c r="BO929" t="n">
        <v>34029546</v>
      </c>
      <c r="BP929" t="inlineStr">
        <is>
          <t>Green Published, Bronze</t>
        </is>
      </c>
      <c r="BS929" t="inlineStr">
        <is>
          <t>2023-10-26</t>
        </is>
      </c>
      <c r="BT929" t="inlineStr">
        <is>
          <t>WOS:000663722800004</t>
        </is>
      </c>
      <c r="BU929">
        <f>HYPERLINK("https%3A%2F%2Fwww.webofscience.com%2Fwos%2Fwoscc%2Ffull-record%2FWOS:000663722800004","View Full Record in Web of Science")</f>
        <v/>
      </c>
    </row>
    <row r="930">
      <c r="A930" t="inlineStr">
        <is>
          <t>J</t>
        </is>
      </c>
      <c r="B930" t="inlineStr">
        <is>
          <t>Kim, YR; Jung, HS</t>
        </is>
      </c>
      <c r="F930" t="inlineStr">
        <is>
          <t>Kim, You-Ri; Jung, Hye-Sun</t>
        </is>
      </c>
      <c r="J930" t="inlineStr">
        <is>
          <t>INTERNATIONAL JOURNAL OF ENVIRONMENTAL RESEARCH AND PUBLIC HEALTH</t>
        </is>
      </c>
      <c r="M930" t="inlineStr">
        <is>
          <t>English</t>
        </is>
      </c>
      <c r="N930" t="inlineStr">
        <is>
          <t>Article</t>
        </is>
      </c>
      <c r="T930" t="inlineStr">
        <is>
          <t>Effects of Social Interaction and Depression on Homeboundness in Community-Dwelling Older Adults Living Alone</t>
        </is>
      </c>
      <c r="U930" t="inlineStr">
        <is>
          <t>older adults; homebound; social contact</t>
        </is>
      </c>
      <c r="V930" t="inlineStr">
        <is>
          <t>PREVALENCE; HEALTH</t>
        </is>
      </c>
      <c r="W930" t="inlineStr">
        <is>
          <t>This study examines the levels of social interaction, depression, and homeboundness, and the effects of social interaction and depression on homeboundness in community-dwelling older adults living alone. Survey data were collected from 6444 older adults aged 65 and over, living alone, who registered for individualized home care services at 42 public health centers in Gyeonggi Province. A total of 5996 participants with complete questionnaire data were included in the analysis. The mean social interaction score was 2.90 out of 6, and the mean depression score was 6.21 out of 15. The mean homeboundness score was 0.42 out of 2. A hierarchical multiple regression analysis was performed with general characteristics, health factors, social interaction, and depression to identify their effects on homeboundness. In general characteristics and health factors, homeboundness is associated with decreasing social interaction (beta = 0.17, p &lt; 0.001) and increasing depression (beta = 0.25, p &lt; 0.001) in older adults living alone. Homeboundness was severe among participants aged 80 and over (beta = 0.04, p = 0.015) and those with several chronic diseases (beta = 0.04, p &lt; 0.001), falling history (beta = 0.14, p &lt; 0.001), and lack of exercise (beta = -0.20, p &lt; 0.001). Thus, interventions that target social interaction, depression, and health functions are important for this demographic.</t>
        </is>
      </c>
      <c r="X930" t="inlineStr">
        <is>
          <t>[Kim, You-Ri; Jung, Hye-Sun] Catholic Univ Korea, Coll Med, Dept Prevent Med, 222 Banpo Daero, Seoul 06591, South Korea</t>
        </is>
      </c>
      <c r="Y930" t="inlineStr">
        <is>
          <t>Catholic University of Korea</t>
        </is>
      </c>
      <c r="Z930" t="inlineStr">
        <is>
          <t>Jung, HS (corresponding author), Catholic Univ Korea, Coll Med, Dept Prevent Med, 222 Banpo Daero, Seoul 06591, South Korea.</t>
        </is>
      </c>
      <c r="AA930" t="inlineStr">
        <is>
          <t>yooul.k111@gmail.com; hyesun@catholic.ac.kr</t>
        </is>
      </c>
      <c r="AC930" t="inlineStr">
        <is>
          <t>Jung, Hye-Sun/0000-0002-9808-7217</t>
        </is>
      </c>
      <c r="AH930" t="n">
        <v>38</v>
      </c>
      <c r="AI930" t="n">
        <v>3</v>
      </c>
      <c r="AJ930" t="n">
        <v>3</v>
      </c>
      <c r="AK930" t="n">
        <v>2</v>
      </c>
      <c r="AL930" t="n">
        <v>8</v>
      </c>
      <c r="AM930" t="inlineStr">
        <is>
          <t>MDPI</t>
        </is>
      </c>
      <c r="AN930" t="inlineStr">
        <is>
          <t>BASEL</t>
        </is>
      </c>
      <c r="AO930" t="inlineStr">
        <is>
          <t>ST ALBAN-ANLAGE 66, CH-4052 BASEL, SWITZERLAND</t>
        </is>
      </c>
      <c r="AQ930" t="inlineStr">
        <is>
          <t>1660-4601</t>
        </is>
      </c>
      <c r="AS930" t="inlineStr">
        <is>
          <t>INT J ENV RES PUB HE</t>
        </is>
      </c>
      <c r="AT930" t="inlineStr">
        <is>
          <t>Int. J. Environ. Res. Public Health</t>
        </is>
      </c>
      <c r="AU930" t="inlineStr">
        <is>
          <t>MAR</t>
        </is>
      </c>
      <c r="AV930" t="n">
        <v>2022</v>
      </c>
      <c r="AW930" t="n">
        <v>19</v>
      </c>
      <c r="AX930" t="n">
        <v>6</v>
      </c>
      <c r="BE930" t="n">
        <v>3608</v>
      </c>
      <c r="BF930" t="inlineStr">
        <is>
          <t>10.3390/ijerph19063608</t>
        </is>
      </c>
      <c r="BG930">
        <f>HYPERLINK("http://dx.doi.org/10.3390/ijerph19063608","http://dx.doi.org/10.3390/ijerph19063608")</f>
        <v/>
      </c>
      <c r="BJ930" t="n">
        <v>12</v>
      </c>
      <c r="BK930" t="inlineStr">
        <is>
          <t>Environmental Sciences; Public, Environmental &amp; Occupational Health</t>
        </is>
      </c>
      <c r="BL930" t="inlineStr">
        <is>
          <t>Science Citation Index Expanded (SCI-EXPANDED); Social Science Citation Index (SSCI)</t>
        </is>
      </c>
      <c r="BM930" t="inlineStr">
        <is>
          <t>Environmental Sciences &amp; Ecology; Public, Environmental &amp; Occupational Health</t>
        </is>
      </c>
      <c r="BN930" t="inlineStr">
        <is>
          <t>0C4SG</t>
        </is>
      </c>
      <c r="BO930" t="n">
        <v>35329295</v>
      </c>
      <c r="BP930" t="inlineStr">
        <is>
          <t>gold, Green Published</t>
        </is>
      </c>
      <c r="BS930" t="inlineStr">
        <is>
          <t>2023-10-26</t>
        </is>
      </c>
      <c r="BT930" t="inlineStr">
        <is>
          <t>WOS:000775304400001</t>
        </is>
      </c>
      <c r="BU930">
        <f>HYPERLINK("https%3A%2F%2Fwww.webofscience.com%2Fwos%2Fwoscc%2Ffull-record%2FWOS:000775304400001","View Full Record in Web of Science")</f>
        <v/>
      </c>
    </row>
    <row r="931">
      <c r="A931" t="inlineStr">
        <is>
          <t>J</t>
        </is>
      </c>
      <c r="B931" t="inlineStr">
        <is>
          <t>Lee, KI</t>
        </is>
      </c>
      <c r="F931" t="inlineStr">
        <is>
          <t>Lee, Kyu-In</t>
        </is>
      </c>
      <c r="J931" t="inlineStr">
        <is>
          <t>SUSTAINABILITY</t>
        </is>
      </c>
      <c r="M931" t="inlineStr">
        <is>
          <t>English</t>
        </is>
      </c>
      <c r="N931" t="inlineStr">
        <is>
          <t>Article</t>
        </is>
      </c>
      <c r="T931" t="inlineStr">
        <is>
          <t>Improvement of Indoor Thermal Environments through Green Refurbishment</t>
        </is>
      </c>
      <c r="U931" t="inlineStr">
        <is>
          <t>building performance; energy simulation; green refurbishment; green retrofit; monitoring experiment</t>
        </is>
      </c>
      <c r="V931" t="inlineStr">
        <is>
          <t>BUILDINGS; CONSUMPTION; RETROFIT; COMFORT</t>
        </is>
      </c>
      <c r="W931" t="inlineStr">
        <is>
          <t>This study investigates the performance of the green refurbishment of existing buildings. Two ordinary rooms in an existing building were chosen for examination. Refurbishment measures such as additional insulation, high-performance glazing, and air-tightening were applied to the control room. Temperature and electricity use were monitored to identify heating performance in winter and then compared with a baseline. The results of the field tests showed that green refurbishment significantly improved heating performance. Lowered heating load and electricity use with increased airtightness were also verified through building performance simulations. The empirical investigation suggests a predictive model to obtain indoor minimum temperatures as a function of outdoor temperature swings.</t>
        </is>
      </c>
      <c r="X931" t="inlineStr">
        <is>
          <t>[Lee, Kyu-In] Ajou Univ, Dept Architecture, Suwon 16499, South Korea</t>
        </is>
      </c>
      <c r="Y931" t="inlineStr">
        <is>
          <t>Ajou University</t>
        </is>
      </c>
      <c r="Z931" t="inlineStr">
        <is>
          <t>Lee, KI (corresponding author), Ajou Univ, Dept Architecture, Suwon 16499, South Korea.</t>
        </is>
      </c>
      <c r="AA931" t="inlineStr">
        <is>
          <t>kyuinlee@ajou.ac.kr</t>
        </is>
      </c>
      <c r="AD931" t="inlineStr">
        <is>
          <t>National research Foundation of Korea (NRF) - Korean government (MEST) [NRF-2015R1A2A2A01008454, NRF-2019R1A2C1009130]</t>
        </is>
      </c>
      <c r="AE931" t="inlineStr">
        <is>
          <t>National research Foundation of Korea (NRF) - Korean government (MEST)(Ministry of Education, Science &amp; Technology (MEST), Republic of KoreaNational Research Foundation of KoreaKorean Government)</t>
        </is>
      </c>
      <c r="AF931" t="inlineStr">
        <is>
          <t>This work was supported by the National research Foundation of Korea (NRF) grants funded by the Korean government (MEST) (NRF-2015R1A2A2A01008454 and NRF-2019R1A2C1009130).</t>
        </is>
      </c>
      <c r="AH931" t="n">
        <v>35</v>
      </c>
      <c r="AI931" t="n">
        <v>1</v>
      </c>
      <c r="AJ931" t="n">
        <v>1</v>
      </c>
      <c r="AK931" t="n">
        <v>1</v>
      </c>
      <c r="AL931" t="n">
        <v>4</v>
      </c>
      <c r="AM931" t="inlineStr">
        <is>
          <t>MDPI</t>
        </is>
      </c>
      <c r="AN931" t="inlineStr">
        <is>
          <t>BASEL</t>
        </is>
      </c>
      <c r="AO931" t="inlineStr">
        <is>
          <t>ST ALBAN-ANLAGE 66, CH-4052 BASEL, SWITZERLAND</t>
        </is>
      </c>
      <c r="AQ931" t="inlineStr">
        <is>
          <t>2071-1050</t>
        </is>
      </c>
      <c r="AS931" t="inlineStr">
        <is>
          <t>SUSTAINABILITY-BASEL</t>
        </is>
      </c>
      <c r="AT931" t="inlineStr">
        <is>
          <t>Sustainability</t>
        </is>
      </c>
      <c r="AU931" t="inlineStr">
        <is>
          <t>JUN</t>
        </is>
      </c>
      <c r="AV931" t="n">
        <v>2020</v>
      </c>
      <c r="AW931" t="n">
        <v>12</v>
      </c>
      <c r="AX931" t="n">
        <v>12</v>
      </c>
      <c r="BE931" t="n">
        <v>4933</v>
      </c>
      <c r="BF931" t="inlineStr">
        <is>
          <t>10.3390/su12124933</t>
        </is>
      </c>
      <c r="BG931">
        <f>HYPERLINK("http://dx.doi.org/10.3390/su12124933","http://dx.doi.org/10.3390/su12124933")</f>
        <v/>
      </c>
      <c r="BJ931" t="n">
        <v>16</v>
      </c>
      <c r="BK931" t="inlineStr">
        <is>
          <t>Green &amp; Sustainable Science &amp; Technology; Environmental Sciences; Environmental Studies</t>
        </is>
      </c>
      <c r="BL931" t="inlineStr">
        <is>
          <t>Science Citation Index Expanded (SCI-EXPANDED); Social Science Citation Index (SSCI)</t>
        </is>
      </c>
      <c r="BM931" t="inlineStr">
        <is>
          <t>Science &amp; Technology - Other Topics; Environmental Sciences &amp; Ecology</t>
        </is>
      </c>
      <c r="BN931" t="inlineStr">
        <is>
          <t>MR4MU</t>
        </is>
      </c>
      <c r="BP931" t="inlineStr">
        <is>
          <t>gold, Green Published</t>
        </is>
      </c>
      <c r="BS931" t="inlineStr">
        <is>
          <t>2023-10-26</t>
        </is>
      </c>
      <c r="BT931" t="inlineStr">
        <is>
          <t>WOS:000553564100001</t>
        </is>
      </c>
      <c r="BU931">
        <f>HYPERLINK("https%3A%2F%2Fwww.webofscience.com%2Fwos%2Fwoscc%2Ffull-record%2FWOS:000553564100001","View Full Record in Web of Science")</f>
        <v/>
      </c>
    </row>
    <row r="932">
      <c r="A932" t="inlineStr">
        <is>
          <t>J</t>
        </is>
      </c>
      <c r="B932" t="inlineStr">
        <is>
          <t>Oppert, JM; Charles, MA; Charreire, H; Menai, M; De Bourdeaudhuij, I; Brage, S; de Lauzon-Guillain, B; Fagherazzi, G; Balkau, B</t>
        </is>
      </c>
      <c r="F932" t="inlineStr">
        <is>
          <t>Oppert, Jean-Michel; Charles, Marie-Aline; Charreire, Helene; Menai, Mehdi; De Bourdeaudhuij, Ilse; Brage, Soren; de Lauzon-Guillain, Blandine; Fagherazzi, Guy; Balkau, Beverley</t>
        </is>
      </c>
      <c r="J932" t="inlineStr">
        <is>
          <t>INTERNATIONAL JOURNAL OF ENVIRONMENTAL RESEARCH AND PUBLIC HEALTH</t>
        </is>
      </c>
      <c r="M932" t="inlineStr">
        <is>
          <t>English</t>
        </is>
      </c>
      <c r="N932" t="inlineStr">
        <is>
          <t>Article</t>
        </is>
      </c>
      <c r="T932" t="inlineStr">
        <is>
          <t>Home and Work Physical Activity Environments: Associations with Cardiorespiratory Fitness and Physical Activity Level in French Women</t>
        </is>
      </c>
      <c r="U932" t="inlineStr">
        <is>
          <t>home environment; workplace environment; physical activity; physical fitness; aerobic capacity; accelerometer; heart rate; questionnaire</t>
        </is>
      </c>
      <c r="V932" t="inlineStr">
        <is>
          <t>HEART-RATE; EXERCISE EQUIPMENT; HEALTH; VALIDITY; WEIGHT; DESIGN; RISK; TIME</t>
        </is>
      </c>
      <c r="W932" t="inlineStr">
        <is>
          <t>The influence of the physical activity environment in the home and at work on cardiorespiratory fitness (CRF) and objectively-measured physical activity has not been extensively studied. We recruited 147 women with a (mean +/- SD) age of 54 +/- 7 years and without evidence of chronic disease. The physical activity environment was assessed by self-report (Assessing Levels of PHysical Activity or ALPHA questionnaire), CRF using a submaximal step test, usual physical activity using combined heart rate and accelerometry, as well as by a validated questionnaire (Recent Physical Activity Questionnaire). Summary scores of the home environment and the work environment derived from the ALPHA questionnaire were positively correlated with CRF after adjustment for age (r = 0.18, p = 0.03 and r = 0.28, p &lt; 0.01, respectively). Women owning a bicycle or having a garden (which may prompt physical activity) had higher CRF; those with a bicycle at home also had a higher physical activity energy expenditure. Similarly, women who had access to fitness equipment at work had higher CRF. In conclusion, these results provide new insights into potential environmental influences on physical capacity and physical activity that could inform the design of physical activity promotion strategies.</t>
        </is>
      </c>
      <c r="X932" t="inlineStr">
        <is>
          <t>[Oppert, Jean-Michel] Univ Paris 06, Sorbonne Univ, Pitie Salpetriere Hosp,Dept Nutr, Assistance Publ Hop Paris,Inst Cardiometab &amp; Nutr, F-75013 Paris, France; [Oppert, Jean-Michel; Menai, Mehdi] Univ Paris 13, Sorbonne Paris Cite Epidemiol &amp; Stat Res Ctr, Nutr Epidemiol Res Team EREN, Inserm U1153,Inra U1125,CNAM, F-93017 Bobigny, France; [Charles, Marie-Aline; de Lauzon-Guillain, Blandine] Paris Descartes Univ France, INSERM, Early Origin Child Hlth &amp; Dev Team ORCHAD, Epidemiol &amp; Biostat Sorbonne Paris Cite Res Ctr U, F-75014 Paris, France; [Charreire, Helene] Univ Paris Est, UPEC, Lab Urba Urbanism Inst Paris, F-94010 Creteil, France; [De Bourdeaudhuij, Ilse] Univ Ghent, Fac Med &amp; Hlth Sci, Dept Movement &amp; Sports Sci, Watersportlaan 2, B-9000 Ghent, Belgium; [Brage, Soren] Univ Cambridge, Inst Metab Sci, MRC Epidemiol Unit, Addenbrookes Hosp, Box 285,Hills Rd, Cambridge CB2 0QQ, England; [Fagherazzi, Guy; Balkau, Beverley] Univ Paris South, INSERM, UMR S 1018, CESP, F-94807 Villejuif, France; [Fagherazzi, Guy; Balkau, Beverley] Univ St Quentin En Yvelines, INSERM, UMR S 1018, CESP, F-94807 Villejuif, France</t>
        </is>
      </c>
      <c r="Y932" t="inlineStr">
        <is>
          <t>UDICE-French Research Universities; Sorbonne Universite; Assistance Publique Hopitaux Paris (APHP); Hopital Universitaire Saint-Antoine - APHP; Aix-Marseille Universite; Assistance Publique-Hopitaux de Marseille; Hopital Universitaire Pitie-Salpetriere - APHP; INRAE; heSam Universite; Conservatoire National Arts &amp; Metiers (CNAM); UDICE-French Research Universities; Universite Paris Cite; Institut National de la Sante et de la Recherche Medicale (Inserm); Universite Paris 13; UDICE-French Research Universities; Universite Paris Cite; Institut National de la Sante et de la Recherche Medicale (Inserm); Universite Paris-Est-Creteil-Val-de-Marne (UPEC); Universite Gustave-Eiffel; Ghent University; University of Cambridge; Cambridge University Hospitals NHS Foundation Trust; Addenbrooke's Hospital; UDICE-French Research Universities; Universite Paris Saclay; Institut National de la Sante et de la Recherche Medicale (Inserm); Institut National de la Sante et de la Recherche Medicale (Inserm); UDICE-French Research Universities; Universite Paris Saclay</t>
        </is>
      </c>
      <c r="Z932" t="inlineStr">
        <is>
          <t>Oppert, JM (corresponding author), Univ Paris 06, Sorbonne Univ, Pitie Salpetriere Hosp,Dept Nutr, Assistance Publ Hop Paris,Inst Cardiometab &amp; Nutr, F-75013 Paris, France.;Oppert, JM (corresponding author), Univ Paris 13, Sorbonne Paris Cite Epidemiol &amp; Stat Res Ctr, Nutr Epidemiol Res Team EREN, Inserm U1153,Inra U1125,CNAM, F-93017 Bobigny, France.</t>
        </is>
      </c>
      <c r="AA932" t="inlineStr">
        <is>
          <t>jean-michel.oppert@aphp.fr; marie-aline.charles@inserm.fr; helene.charreire@u-pec.fr; menai.mehdi0@gmail.com; ilse.debourdeaudhuij@UGent.be; soren.brage@mrc-epid.cam.ac.uk; blandine.delauzon@inserm.fr; guy.fagherazzi@gustaveroussy.fr; beverley.balkau@inserm.fr</t>
        </is>
      </c>
      <c r="AB932" t="inlineStr">
        <is>
          <t>Charles, Marie Aline/S-1866-2019; Fagherazzi, Guy/P-3534-2017; Oppert, Jean-Michel/F-2810-2017; Charreire, Helene/F-3037-2017; De+Bourdeaudhuij, Ilse/AAC-5528-2019; de Lauzon-Guillain, Blandine/P-4659-2016; Brage, Soren/C-6415-2013; Fagherazzi, Guy/ABB-2555-2020; Charles, Marie Aline/F-8567-2017</t>
        </is>
      </c>
      <c r="AC932" t="inlineStr">
        <is>
          <t>Charles, Marie Aline/0000-0003-4025-4390; Fagherazzi, Guy/0000-0001-5033-5966; Charreire, Helene/0000-0002-1260-9812; De+Bourdeaudhuij, Ilse/0000-0001-9969-7597; de Lauzon-Guillain, Blandine/0000-0001-5887-8842; Brage, Soren/0000-0002-1265-7355; Fagherazzi, Guy/0000-0001-5033-5966; Charles, Marie Aline/0000-0003-4025-4390</t>
        </is>
      </c>
      <c r="AD932" t="inlineStr">
        <is>
          <t>European Union of the European Community [LSHM-CT-2006-037197]; UK Medical Research Council [MC_UU_12015/3]; Medical Research Council [MC_UU_12015/3, MC_U106179473] Funding Source: researchfish; MRC [MC_U106179473, MC_UU_12015/3] Funding Source: UKRI</t>
        </is>
      </c>
      <c r="AE932" t="inlineStr">
        <is>
          <t>European Union of the European Community; UK Medical Research Council(UK Research &amp; Innovation (UKRI)Medical Research Council UK (MRC)); Medical Research Council(UK Research &amp; Innovation (UKRI)Medical Research Council UK (MRC)); MRC(UK Research &amp; Innovation (UKRI)Medical Research Council UK (MRC))</t>
        </is>
      </c>
      <c r="AF932" t="inlineStr">
        <is>
          <t>The InterAct study received funding from the European Union (Integrated Project LSHM-CT-2006-037197 in the Framework Programme 6 of the European Community). The work of SB was supported by the UK Medical Research Council (MC_UU_12015/3). No funds were received for covering the costs to publish in open access. Gael Dos Santos, Elodie Gibert, Vanessa Lizon and Toni Afiate are gratefully acknowledged for their assistance in data collection and the first steps of data analysis. We thank the Physical Activity Technical Team (MRC Epidemiology Unit, Cambridge, UK) for processing the Actiheart data.</t>
        </is>
      </c>
      <c r="AH932" t="n">
        <v>39</v>
      </c>
      <c r="AI932" t="n">
        <v>5</v>
      </c>
      <c r="AJ932" t="n">
        <v>6</v>
      </c>
      <c r="AK932" t="n">
        <v>1</v>
      </c>
      <c r="AL932" t="n">
        <v>13</v>
      </c>
      <c r="AM932" t="inlineStr">
        <is>
          <t>MDPI</t>
        </is>
      </c>
      <c r="AN932" t="inlineStr">
        <is>
          <t>BASEL</t>
        </is>
      </c>
      <c r="AO932" t="inlineStr">
        <is>
          <t>ST ALBAN-ANLAGE 66, CH-4052 BASEL, SWITZERLAND</t>
        </is>
      </c>
      <c r="AP932" t="inlineStr">
        <is>
          <t>1660-4601</t>
        </is>
      </c>
      <c r="AS932" t="inlineStr">
        <is>
          <t>INT J ENV RES PUB HE</t>
        </is>
      </c>
      <c r="AT932" t="inlineStr">
        <is>
          <t>Int. J. Environ. Res. Public Health</t>
        </is>
      </c>
      <c r="AU932" t="inlineStr">
        <is>
          <t>AUG</t>
        </is>
      </c>
      <c r="AV932" t="n">
        <v>2016</v>
      </c>
      <c r="AW932" t="n">
        <v>13</v>
      </c>
      <c r="AX932" t="n">
        <v>8</v>
      </c>
      <c r="BE932" t="n">
        <v>824</v>
      </c>
      <c r="BF932" t="inlineStr">
        <is>
          <t>10.3390/ijerph13080824</t>
        </is>
      </c>
      <c r="BG932">
        <f>HYPERLINK("http://dx.doi.org/10.3390/ijerph13080824","http://dx.doi.org/10.3390/ijerph13080824")</f>
        <v/>
      </c>
      <c r="BJ932" t="n">
        <v>11</v>
      </c>
      <c r="BK932" t="inlineStr">
        <is>
          <t>Environmental Sciences; Public, Environmental &amp; Occupational Health</t>
        </is>
      </c>
      <c r="BL932" t="inlineStr">
        <is>
          <t>Science Citation Index Expanded (SCI-EXPANDED); Social Science Citation Index (SSCI)</t>
        </is>
      </c>
      <c r="BM932" t="inlineStr">
        <is>
          <t>Environmental Sciences &amp; Ecology; Public, Environmental &amp; Occupational Health</t>
        </is>
      </c>
      <c r="BN932" t="inlineStr">
        <is>
          <t>DU8KV</t>
        </is>
      </c>
      <c r="BO932" t="n">
        <v>27537900</v>
      </c>
      <c r="BP932" t="inlineStr">
        <is>
          <t>gold, Green Published</t>
        </is>
      </c>
      <c r="BS932" t="inlineStr">
        <is>
          <t>2023-10-26</t>
        </is>
      </c>
      <c r="BT932" t="inlineStr">
        <is>
          <t>WOS:000382462900079</t>
        </is>
      </c>
      <c r="BU932">
        <f>HYPERLINK("https%3A%2F%2Fwww.webofscience.com%2Fwos%2Fwoscc%2Ffull-record%2FWOS:000382462900079","View Full Record in Web of Science")</f>
        <v/>
      </c>
    </row>
    <row r="933">
      <c r="A933" t="inlineStr">
        <is>
          <t>J</t>
        </is>
      </c>
      <c r="B933" t="inlineStr">
        <is>
          <t>Zhou, TY; Yuan, XM; Ma, XJ</t>
        </is>
      </c>
      <c r="F933" t="inlineStr">
        <is>
          <t>Zhou, Tong-Yue; Yuan, Xiao-Mei; Ma, Xiao-Jun</t>
        </is>
      </c>
      <c r="J933" t="inlineStr">
        <is>
          <t>INTERNATIONAL JOURNAL OF ENVIRONMENTAL RESEARCH AND PUBLIC HEALTH</t>
        </is>
      </c>
      <c r="M933" t="inlineStr">
        <is>
          <t>English</t>
        </is>
      </c>
      <c r="N933" t="inlineStr">
        <is>
          <t>Article</t>
        </is>
      </c>
      <c r="T933" t="inlineStr">
        <is>
          <t>Canan Outdoor Multisurface Terrain Enhance the Effects of Fall Prevention Exercise in Older Adults? A Randomized Controlled Trial</t>
        </is>
      </c>
      <c r="U933" t="inlineStr">
        <is>
          <t>irregular terrain; fall prevention; aging; environment intervention; walking ability; balance ability</t>
        </is>
      </c>
      <c r="V933" t="inlineStr">
        <is>
          <t>OBSTACLE COURSE; RISK-FACTORS; GO TEST; BALANCE; RELIABILITY; MOBILITY; WALKING; VALIDITY; GAIT; ENVIRONMENT</t>
        </is>
      </c>
      <c r="W933" t="inlineStr">
        <is>
          <t>Walking on complex surface conditions in outdoor environments is important for active aging. This study aimed at examining whether fall prevention exercise integrated with an outdoor multisurface terrain compared with indoor solid ground was more beneficial for older adults. Twenty-two older nursing home residents were randomly assigned to outdoor multisurface terrain (n = 11, 79.5 +/- 2.1 years) or indoor solid ground (n = 11, 78.8 +/- 5.2 years) groups. Training occurred five times per week (30 min) for 3 weeks. The following performance test outcomes were measured: 10 m walk test (10 mWT), multisurface terrain walk test (MTWT), 2 min walk test (2 MWT), timed up and go test (TUGT), single-leg standing test with eyes open (SLSTEO), single-leg standing test with eyes closed (SLSTEC), and closed cycles test (CCT). Compared with baseline, the outdoor multisurface terrain training significantly improved performance in all tests (p &lt; 0.01). The improvements of the outdoor multisurface terrain group after intervention were significantly higher than those of the indoor solid group in the 10 mWT (p = 0.049), MTWT (p = 0.02), and 2 MWT (p = 0.000). Exercise combined with outdoor multisurface terrain training may be an efficacious approach and a feasible environmental intervention for fall prevention in older adults.</t>
        </is>
      </c>
      <c r="X933" t="inlineStr">
        <is>
          <t>[Zhou, Tong-Yue; Yuan, Xiao-Mei] South China Univ Technol, Sch Architecture, State Key Lab Subtrop Bldg Sci, Guangzhou 501640, Peoples R China; [Ma, Xiao-Jun] South China Univ Technol, Sch Phys Educ, Guangzhou 501640, Peoples R China</t>
        </is>
      </c>
      <c r="Y933" t="inlineStr">
        <is>
          <t>South China University of Technology; South China University of Technology</t>
        </is>
      </c>
      <c r="Z933" t="inlineStr">
        <is>
          <t>Yuan, XM (corresponding author), South China Univ Technol, Sch Architecture, State Key Lab Subtrop Bldg Sci, Guangzhou 501640, Peoples R China.;Ma, XJ (corresponding author), South China Univ Technol, Sch Phys Educ, Guangzhou 501640, Peoples R China.</t>
        </is>
      </c>
      <c r="AA933" t="inlineStr">
        <is>
          <t>artyzhou@mail.scut.edu.cn; xmyuan@scut.edu.cn; maxj@scut.edu.cn</t>
        </is>
      </c>
      <c r="AC933" t="inlineStr">
        <is>
          <t>Zhou, Tongyue/0000-0002-2966-0913</t>
        </is>
      </c>
      <c r="AD933" t="inlineStr">
        <is>
          <t>China National Key Research and Development Program</t>
        </is>
      </c>
      <c r="AE933" t="inlineStr">
        <is>
          <t>China National Key Research and Development Program</t>
        </is>
      </c>
      <c r="AF933" t="inlineStr">
        <is>
          <t>This research was funded by China National Key Research and Development Program (Project No.2017YFC0702905-03).</t>
        </is>
      </c>
      <c r="AH933" t="n">
        <v>41</v>
      </c>
      <c r="AI933" t="n">
        <v>4</v>
      </c>
      <c r="AJ933" t="n">
        <v>4</v>
      </c>
      <c r="AK933" t="n">
        <v>0</v>
      </c>
      <c r="AL933" t="n">
        <v>13</v>
      </c>
      <c r="AM933" t="inlineStr">
        <is>
          <t>MDPI</t>
        </is>
      </c>
      <c r="AN933" t="inlineStr">
        <is>
          <t>BASEL</t>
        </is>
      </c>
      <c r="AO933" t="inlineStr">
        <is>
          <t>ST ALBAN-ANLAGE 66, CH-4052 BASEL, SWITZERLAND</t>
        </is>
      </c>
      <c r="AQ933" t="inlineStr">
        <is>
          <t>1660-4601</t>
        </is>
      </c>
      <c r="AS933" t="inlineStr">
        <is>
          <t>INT J ENV RES PUB HE</t>
        </is>
      </c>
      <c r="AT933" t="inlineStr">
        <is>
          <t>Int. J. Environ. Res. Public Health</t>
        </is>
      </c>
      <c r="AU933" t="inlineStr">
        <is>
          <t>OCT</t>
        </is>
      </c>
      <c r="AV933" t="n">
        <v>2020</v>
      </c>
      <c r="AW933" t="n">
        <v>17</v>
      </c>
      <c r="AX933" t="n">
        <v>19</v>
      </c>
      <c r="BE933" t="n">
        <v>7023</v>
      </c>
      <c r="BF933" t="inlineStr">
        <is>
          <t>10.3390/ijerph17197023</t>
        </is>
      </c>
      <c r="BG933">
        <f>HYPERLINK("http://dx.doi.org/10.3390/ijerph17197023","http://dx.doi.org/10.3390/ijerph17197023")</f>
        <v/>
      </c>
      <c r="BJ933" t="n">
        <v>12</v>
      </c>
      <c r="BK933" t="inlineStr">
        <is>
          <t>Environmental Sciences; Public, Environmental &amp; Occupational Health</t>
        </is>
      </c>
      <c r="BL933" t="inlineStr">
        <is>
          <t>Science Citation Index Expanded (SCI-EXPANDED); Social Science Citation Index (SSCI)</t>
        </is>
      </c>
      <c r="BM933" t="inlineStr">
        <is>
          <t>Environmental Sciences &amp; Ecology; Public, Environmental &amp; Occupational Health</t>
        </is>
      </c>
      <c r="BN933" t="inlineStr">
        <is>
          <t>OO1QA</t>
        </is>
      </c>
      <c r="BO933" t="n">
        <v>32992927</v>
      </c>
      <c r="BP933" t="inlineStr">
        <is>
          <t>gold, Green Published</t>
        </is>
      </c>
      <c r="BS933" t="inlineStr">
        <is>
          <t>2023-10-26</t>
        </is>
      </c>
      <c r="BT933" t="inlineStr">
        <is>
          <t>WOS:000587159900001</t>
        </is>
      </c>
      <c r="BU933">
        <f>HYPERLINK("https%3A%2F%2Fwww.webofscience.com%2Fwos%2Fwoscc%2Ffull-record%2FWOS:000587159900001","View Full Record in Web of Science")</f>
        <v/>
      </c>
    </row>
    <row r="934">
      <c r="A934" t="inlineStr">
        <is>
          <t>J</t>
        </is>
      </c>
      <c r="B934" t="inlineStr">
        <is>
          <t>Mentese, S; Mirici, NA; Elbir, T; Palaz, E; Mumcuoglu, DT; Cotuker, O; Bakar, C; Oymak, S; Otkun, MT</t>
        </is>
      </c>
      <c r="F934" t="inlineStr">
        <is>
          <t>Mentese, Sibel; Mirici, Nihal Arzu; Elbir, Tolga; Palaz, Elif; Mumcuoglu, Deniz Tasdibi; Cotuker, Osman; Bakar, Coskun; Oymak, Sibel; Otkun, Muserref Tatman</t>
        </is>
      </c>
      <c r="J934" t="inlineStr">
        <is>
          <t>ATMOSPHERIC POLLUTION RESEARCH</t>
        </is>
      </c>
      <c r="M934" t="inlineStr">
        <is>
          <t>English</t>
        </is>
      </c>
      <c r="N934" t="inlineStr">
        <is>
          <t>Article</t>
        </is>
      </c>
      <c r="T934" t="inlineStr">
        <is>
          <t>A long-term multi-parametric monitoring study: Indoor air quality (IAQ) and the sources of the pollutants, prevalence of sick building syndrome (SBS) symptoms, and respiratory health indicators</t>
        </is>
      </c>
      <c r="U934" t="inlineStr">
        <is>
          <t>Canakkale; Indoor air quality; Respiratory function; Respiratory health; Sick building syndrome</t>
        </is>
      </c>
      <c r="V934" t="inlineStr">
        <is>
          <t>VOLATILE ORGANIC-COMPOUNDS; HOUSEHOLD PRODUCTS; EXPOSURE ASSESSMENT; URBAN ENVIRONMENTS; THERMAL COMFORT; CARBON-DIOXIDE; FUNGAL GROWTH; POLLUTION; ASSOCIATION; FORMALDEHYDE</t>
        </is>
      </c>
      <c r="W934" t="inlineStr">
        <is>
          <t>Poor indoor air quality (IAQ) can cause several respiratory diseases and symptoms. In this study, IAQ of 121 homes located in 3 different towns of Canakkale, Turkey was monitored throughout a year. Target air pollutants were particulate matter, volatile organic compounds (VOCs), bioaerosols, and Carbon dioxide (CO2), as well as air temperature and humidity. Moreover, pulmonary functions of the occupants were measured on a monthly basis. Also, occurrence of sick building syndrome (SBS) symptoms and other health related data were gathered from the occupants by a detailed questionnaire. The SBS is a situation related to indoor air pollution in which the occupants of a building experience health or comfort related adverse effects that appear to be associated directly to the time spent in the sick building. Results of this study showed that the highest indoor air pollutant levels were observed in Can town and the lowest levels were observed in Central town. Indoor levels of bioaerosols, particulate matter, benzene, Cladosporium spp., and Penicillium spp. as well as pulmonary functions of the occupants showed statistically significant differences between the locations of the homes (p &lt; 0.001). Factor analysis implied that both indoor and outdoor originated sources contributed to IAQ. Even though the predominant SBS symptoms varied seasonally and spatially among the study sites, fatigue, cold-flu like symptoms, and difficulty in concentration occurred frequently. Correlations were found among the occurrence of SBS symptoms, measured IAQ parameters, and personal factors (p &lt; 0.05). Performing more studies from the health and IAQ points of view improve public awareness.</t>
        </is>
      </c>
      <c r="X934" t="inlineStr">
        <is>
          <t>[Mentese, Sibel; Palaz, Elif; Mumcuoglu, Deniz Tasdibi; Cotuker, Osman] Canakkale Onsekiz Mart Univ, Dept Environm Engn, Canakkale, Turkey; [Mirici, Nihal Arzu] Canakkale Onsekiz Mart Univ, Dept Resp Dis, Fac Med, Canakkale, Turkey; [Elbir, Tolga; Palaz, Elif] Dokuz Eylul Univ, Fac Engn, Dept Environm Engn, Tinaztepe Campus, Izmir, Turkey; [Bakar, Coskun; Oymak, Sibel] Canakkale Onsekiz Mart Univ, Fac Med, Dept Publ Hlth, Canakkale, Turkey; [Otkun, Muserref Tatman] Canakkale Onsekiz Mart Univ, Dept Med Microbiol, Fac Med, Canakkale, Turkey</t>
        </is>
      </c>
      <c r="Y934" t="inlineStr">
        <is>
          <t>Canakkale Onsekiz Mart University; Canakkale Onsekiz Mart University; Dokuz Eylul University; Canakkale Onsekiz Mart University; Canakkale Onsekiz Mart University</t>
        </is>
      </c>
      <c r="Z934" t="inlineStr">
        <is>
          <t>Mentese, S (corresponding author), Canakkale Onsekiz Mart Univ, Dept Environm Engn, Fac Engn, Terzioglu Campus, TR-17100 Canakkale, Turkey.</t>
        </is>
      </c>
      <c r="AA934" t="inlineStr">
        <is>
          <t>sibelmentese@gmail.com</t>
        </is>
      </c>
      <c r="AB934" t="inlineStr">
        <is>
          <t>Elbir, Tolga/JCN-8004-2023; Bakar, Coskun/AAA-2928-2021</t>
        </is>
      </c>
      <c r="AC934" t="inlineStr">
        <is>
          <t>Elbir, Tolga/0000-0001-6760-3955; Mentese, Sibel/0000-0002-0395-3603</t>
        </is>
      </c>
      <c r="AD934" t="inlineStr">
        <is>
          <t>Scientific and Technological Research Council of Turkey (TUBITAK) [112Y059]</t>
        </is>
      </c>
      <c r="AE934" t="inlineStr">
        <is>
          <t>Scientific and Technological Research Council of Turkey (TUBITAK)(Turkiye Bilimsel ve Teknolojik Arastirma Kurumu (TUBITAK))</t>
        </is>
      </c>
      <c r="AF934" t="inlineStr">
        <is>
          <t>This study was supported by Scientific and Technological Research Council of Turkey (TUBITAK). Project no: 112Y059. Project team thanks to local authorities and the participants of the study.</t>
        </is>
      </c>
      <c r="AH934" t="n">
        <v>89</v>
      </c>
      <c r="AI934" t="n">
        <v>44</v>
      </c>
      <c r="AJ934" t="n">
        <v>44</v>
      </c>
      <c r="AK934" t="n">
        <v>1</v>
      </c>
      <c r="AL934" t="n">
        <v>39</v>
      </c>
      <c r="AM934" t="inlineStr">
        <is>
          <t>TURKISH NATL COMMITTEE AIR POLLUTION RES &amp; CONTROL-TUNCAP</t>
        </is>
      </c>
      <c r="AN934" t="inlineStr">
        <is>
          <t>BUCA</t>
        </is>
      </c>
      <c r="AO934" t="inlineStr">
        <is>
          <t>DOKUZ EYLUL UNIV, DEPT ENVIRONMENTAL ENGINEERING, TINAZTEPE CAMPUS, BUCA, IZMIR 35160, TURKEY</t>
        </is>
      </c>
      <c r="AP934" t="inlineStr">
        <is>
          <t>1309-1042</t>
        </is>
      </c>
      <c r="AS934" t="inlineStr">
        <is>
          <t>ATMOS POLLUT RES</t>
        </is>
      </c>
      <c r="AT934" t="inlineStr">
        <is>
          <t>Atmos. Pollut. Res.</t>
        </is>
      </c>
      <c r="AU934" t="inlineStr">
        <is>
          <t>DEC</t>
        </is>
      </c>
      <c r="AV934" t="n">
        <v>2020</v>
      </c>
      <c r="AW934" t="n">
        <v>11</v>
      </c>
      <c r="AX934" t="n">
        <v>12</v>
      </c>
      <c r="BA934" t="inlineStr">
        <is>
          <t>SI</t>
        </is>
      </c>
      <c r="BC934" t="n">
        <v>2270</v>
      </c>
      <c r="BD934" t="n">
        <v>2281</v>
      </c>
      <c r="BF934" t="inlineStr">
        <is>
          <t>10.1016/j.apr.2020.07.016</t>
        </is>
      </c>
      <c r="BG934">
        <f>HYPERLINK("http://dx.doi.org/10.1016/j.apr.2020.07.016","http://dx.doi.org/10.1016/j.apr.2020.07.016")</f>
        <v/>
      </c>
      <c r="BJ934" t="n">
        <v>12</v>
      </c>
      <c r="BK934" t="inlineStr">
        <is>
          <t>Environmental Sciences</t>
        </is>
      </c>
      <c r="BL934" t="inlineStr">
        <is>
          <t>Science Citation Index Expanded (SCI-EXPANDED)</t>
        </is>
      </c>
      <c r="BM934" t="inlineStr">
        <is>
          <t>Environmental Sciences &amp; Ecology</t>
        </is>
      </c>
      <c r="BN934" t="inlineStr">
        <is>
          <t>OY0FI</t>
        </is>
      </c>
      <c r="BS934" t="inlineStr">
        <is>
          <t>2023-10-26</t>
        </is>
      </c>
      <c r="BT934" t="inlineStr">
        <is>
          <t>WOS:000593929700003</t>
        </is>
      </c>
      <c r="BU934">
        <f>HYPERLINK("https%3A%2F%2Fwww.webofscience.com%2Fwos%2Fwoscc%2Ffull-record%2FWOS:000593929700003","View Full Record in Web of Science")</f>
        <v/>
      </c>
    </row>
    <row r="935">
      <c r="A935" t="inlineStr">
        <is>
          <t>J</t>
        </is>
      </c>
      <c r="B935" t="inlineStr">
        <is>
          <t>Cheng, JCP; Kwok, HHL; Li, ATY; Tong, JCK; Lau, AKH</t>
        </is>
      </c>
      <c r="F935" t="inlineStr">
        <is>
          <t>Cheng, Jack C. P.; Kwok, Helen H. L.; Li, Alison T. Y.; Tong, Jimmy C. K.; Lau, Alexis K. H.</t>
        </is>
      </c>
      <c r="J935" t="inlineStr">
        <is>
          <t>SCIENCE OF THE TOTAL ENVIRONMENT</t>
        </is>
      </c>
      <c r="M935" t="inlineStr">
        <is>
          <t>English</t>
        </is>
      </c>
      <c r="N935" t="inlineStr">
        <is>
          <t>Article</t>
        </is>
      </c>
      <c r="T935" t="inlineStr">
        <is>
          <t>Sensitivity analysis of influence factors on multi-zone indoor airflow CFD simulation</t>
        </is>
      </c>
      <c r="U935" t="inlineStr">
        <is>
          <t>Building information modeling; Computational fluid dynamics; Indoor air quality; Indoor partition; Solar analysis; Thermal comfort</t>
        </is>
      </c>
      <c r="V935" t="inlineStr">
        <is>
          <t>VENTILATION; MODELS; ENVIRONMENT; PARAMETERS; IMPACT; ROOM</t>
        </is>
      </c>
      <c r="W935" t="inlineStr">
        <is>
          <t>Computational fluid dynamics (CFD) is a powerful tool for performing indoor airflow analysis. The simulation results are usually validated with measurement results for accuracy in reflecting reality. When conducting CFD for simulating air flow in a multiple-zone indoor environment with different boundary conditions in different regions, the validation of the CFD model becomes sophisticated. To improve the accuracy of the simulation, boundary conditions need to be adjusted based on how significant the influence factors are affecting the multi-zone CFD model, which few studies have been conducted on. The objective of this study is to investigate the impact of influence factors on temperature and carbon dioxide concentration distribution of a validated CFD model of a typical office floor using ANSYS Fluent. This study provides insights on how to fine-tune a complex model to reflect the actual air flow and how the air quality and human comfort in different zones on the same floor could be affected by influence factors. The influence factors investigated are: (1) size of door gaps, (2) solar radiation and (3) number and orientation of occupants. The velocity variations caused by different door gap sizes were studied for improving multi-zone simulation accuracy by adjusting door gap sizes. To study the significant impact of solar heat onmulti-zone environment, the sensitivity of different regions of the office floor to solar heat amount and distribution was analyzed by conducting solar analysis under different weather conditions. Impact of occupants on temperature and carbon dioxide concentration distributions in multi-zone environment were investigated by considering different numbers and facing directions of occupants indifferent regions of the office floor. In addition, this study demonstrates how to modify the influence factors efficiently using building information modeling (BIM). (C) 2020 Elsevier B.V. All rights reserved.</t>
        </is>
      </c>
      <c r="X935" t="inlineStr">
        <is>
          <t>[Cheng, Jack C. P.; Kwok, Helen H. L.] Hong Kong Univ Sci &amp; Technol, Dept Civil &amp; Environm Engn, Kowloon, Clear Water Bay,Room 3575,Main Acad Bldg, Hong Kong, Peoples R China; [Li, Alison T. Y.; Lau, Alexis K. H.] Hong Kong Univ Sci &amp; Technol, Div Environm &amp; Sustainabil, Kowloon, Clear Water Bay, Hong Kong, Peoples R China; [Tong, Jimmy C. K.] Ove Arup &amp; Partners Hong Kong Ltd, Kowloon Tong, Kowloon, Level 5 Festival Walk,80 Tat Chee Ave, Hong Kong, Peoples R China</t>
        </is>
      </c>
      <c r="Y935" t="inlineStr">
        <is>
          <t>Hong Kong University of Science &amp; Technology; Hong Kong University of Science &amp; Technology</t>
        </is>
      </c>
      <c r="Z935" t="inlineStr">
        <is>
          <t>Kwok, HHL (corresponding author), Hong Kong Univ Sci &amp; Technol, Dept Civil &amp; Environm Engn, Kowloon, Clear Water Bay,Room 3575,Main Acad Bldg, Hong Kong, Peoples R China.</t>
        </is>
      </c>
      <c r="AA935" t="inlineStr">
        <is>
          <t>cejcheng@ust.hk; hlkwokab@connect.ust.hk; alison.li@connect.ust.hk; jimmy.tong@arup.com; alau@ust.hk</t>
        </is>
      </c>
      <c r="AB935" t="inlineStr">
        <is>
          <t>Tong, Jimmy Chun Kuen/JBJ-9211-2023; Lau, Alexis K/D-7914-2013</t>
        </is>
      </c>
      <c r="AC935" t="inlineStr">
        <is>
          <t>Tong, Jimmy Chun Kuen/0000-0003-2793-1123; Lau, Alexis K/0000-0003-3802-828X; Kwok, Helen Hoi Ling/0000-0002-7179-9281</t>
        </is>
      </c>
      <c r="AH935" t="n">
        <v>28</v>
      </c>
      <c r="AI935" t="n">
        <v>10</v>
      </c>
      <c r="AJ935" t="n">
        <v>10</v>
      </c>
      <c r="AK935" t="n">
        <v>3</v>
      </c>
      <c r="AL935" t="n">
        <v>60</v>
      </c>
      <c r="AM935" t="inlineStr">
        <is>
          <t>ELSEVIER</t>
        </is>
      </c>
      <c r="AN935" t="inlineStr">
        <is>
          <t>AMSTERDAM</t>
        </is>
      </c>
      <c r="AO935" t="inlineStr">
        <is>
          <t>RADARWEG 29, 1043 NX AMSTERDAM, NETHERLANDS</t>
        </is>
      </c>
      <c r="AP935" t="inlineStr">
        <is>
          <t>0048-9697</t>
        </is>
      </c>
      <c r="AQ935" t="inlineStr">
        <is>
          <t>1879-1026</t>
        </is>
      </c>
      <c r="AS935" t="inlineStr">
        <is>
          <t>SCI TOTAL ENVIRON</t>
        </is>
      </c>
      <c r="AT935" t="inlineStr">
        <is>
          <t>Sci. Total Environ.</t>
        </is>
      </c>
      <c r="AU935" t="inlineStr">
        <is>
          <t>MAR 20</t>
        </is>
      </c>
      <c r="AV935" t="n">
        <v>2021</v>
      </c>
      <c r="AW935" t="n">
        <v>761</v>
      </c>
      <c r="BE935" t="n">
        <v>143298</v>
      </c>
      <c r="BF935" t="inlineStr">
        <is>
          <t>10.1016/j.scitotenv.2020.143298</t>
        </is>
      </c>
      <c r="BG935">
        <f>HYPERLINK("http://dx.doi.org/10.1016/j.scitotenv.2020.143298","http://dx.doi.org/10.1016/j.scitotenv.2020.143298")</f>
        <v/>
      </c>
      <c r="BI935" t="inlineStr">
        <is>
          <t>JAN 2021</t>
        </is>
      </c>
      <c r="BJ935" t="n">
        <v>17</v>
      </c>
      <c r="BK935" t="inlineStr">
        <is>
          <t>Environmental Sciences</t>
        </is>
      </c>
      <c r="BL935" t="inlineStr">
        <is>
          <t>Science Citation Index Expanded (SCI-EXPANDED)</t>
        </is>
      </c>
      <c r="BM935" t="inlineStr">
        <is>
          <t>Environmental Sciences &amp; Ecology</t>
        </is>
      </c>
      <c r="BN935" t="inlineStr">
        <is>
          <t>PS2TS</t>
        </is>
      </c>
      <c r="BO935" t="n">
        <v>33229090</v>
      </c>
      <c r="BS935" t="inlineStr">
        <is>
          <t>2023-10-26</t>
        </is>
      </c>
      <c r="BT935" t="inlineStr">
        <is>
          <t>WOS:000607780900099</t>
        </is>
      </c>
      <c r="BU935">
        <f>HYPERLINK("https%3A%2F%2Fwww.webofscience.com%2Fwos%2Fwoscc%2Ffull-record%2FWOS:000607780900099","View Full Record in Web of Science")</f>
        <v/>
      </c>
    </row>
    <row r="936">
      <c r="A936" t="inlineStr">
        <is>
          <t>J</t>
        </is>
      </c>
      <c r="B936" t="inlineStr">
        <is>
          <t>Lauinger, D; Billy, RG; Vásquez, F; Müller, DB</t>
        </is>
      </c>
      <c r="F936" t="inlineStr">
        <is>
          <t>Lauinger, Dirk; Billy, Romain G.; Vasquez, Felipe; Muller, Daniel B.</t>
        </is>
      </c>
      <c r="J936" t="inlineStr">
        <is>
          <t>JOURNAL OF INDUSTRIAL ECOLOGY</t>
        </is>
      </c>
      <c r="M936" t="inlineStr">
        <is>
          <t>English</t>
        </is>
      </c>
      <c r="N936" t="inlineStr">
        <is>
          <t>Article</t>
        </is>
      </c>
      <c r="T936" t="inlineStr">
        <is>
          <t>A general framework for stock dynamics of populations and built and natural environments</t>
        </is>
      </c>
      <c r="U936" t="inlineStr">
        <is>
          <t>demographic metabolism; industrial ecology; material and energy flow analysis; population dynamics; socio-economic metabolism; stock dynamics</t>
        </is>
      </c>
      <c r="W936" t="inlineStr">
        <is>
          <t>Sustainable development involves a responsible management of the interactions between humans and their built and natural environment. From a physical perspective, the interactions can be characterized as stocks and flows of energy and matter within and between these spheres. Understanding the dynamics of the stocks is essential to enable their responsible management. A large number of independent disciplines study the dynamics of individual stocks with specific methods. The resulting fragmentation of methods hampers interdisciplinary learning, including the integration of more specialized discipline-specific models into more encompassing ones. Here, we develop a general mathematical framework for dynamic stock models based on balance, intrinsic, and model-approach equations. We use the framework to classify a variety of stock models from different disciplines and discuss their applicability. The framework provides a common language for the interdisciplinary analysis of coupled human-environment systems. This article met the requirements for a gold-gold JIE data openness badge described at http://jie.click/badges.</t>
        </is>
      </c>
      <c r="X936" t="inlineStr">
        <is>
          <t>[Lauinger, Dirk] Ecole Polytech Fed Lausanne EPFL, Risk Analyt &amp; Optimizat Chair, Coll Management Technol, Lausanne, Switzerland; [Billy, Romain G.; Muller, Daniel B.] Norwegian Univ Sci &amp; Technol NTNU, Ind Ecol Programme, Dept Energy &amp; Proc Engn, Hogskoleringen 5, Trondheim, Norway; [Vasquez, Felipe] Compromiso Empresarial Reciclaje CEMPRE Colombia, Knowledge Ctr, Bogota, Colombia</t>
        </is>
      </c>
      <c r="Y936" t="inlineStr">
        <is>
          <t>Swiss Federal Institutes of Technology Domain; Ecole Polytechnique Federale de Lausanne; Norwegian University of Science &amp; Technology (NTNU)</t>
        </is>
      </c>
      <c r="Z936" t="inlineStr">
        <is>
          <t>Müller, DB (corresponding author), Norwegian Univ Sci &amp; Technol NTNU, Ind Ecol Programme, Dept Energy &amp; Proc Engn, Hogskoleringen 5, Trondheim, Norway.;Lauinger, D (corresponding author), EPFL CDM MTEI RAO, ODY 119 Odyssea Stn 5, CH-1015 Lausanne, Switzerland.</t>
        </is>
      </c>
      <c r="AA936" t="inlineStr">
        <is>
          <t>dirk.lauinger@epfl.ch; daniel.mueller@ntnu.no</t>
        </is>
      </c>
      <c r="AB936" t="inlineStr">
        <is>
          <t>Vasquez, Felipe/B-6987-2016; Billy, Romain/IYS-2462-2023</t>
        </is>
      </c>
      <c r="AC936" t="inlineStr">
        <is>
          <t>Vasquez, Felipe/0000-0003-2834-7818; Billy, Romain/0000-0002-4693-2722; Lauinger, Dirk/0000-0003-0561-9120</t>
        </is>
      </c>
      <c r="AH936" t="n">
        <v>64</v>
      </c>
      <c r="AI936" t="n">
        <v>4</v>
      </c>
      <c r="AJ936" t="n">
        <v>4</v>
      </c>
      <c r="AK936" t="n">
        <v>1</v>
      </c>
      <c r="AL936" t="n">
        <v>9</v>
      </c>
      <c r="AM936" t="inlineStr">
        <is>
          <t>WILEY</t>
        </is>
      </c>
      <c r="AN936" t="inlineStr">
        <is>
          <t>HOBOKEN</t>
        </is>
      </c>
      <c r="AO936" t="inlineStr">
        <is>
          <t>111 RIVER ST, HOBOKEN 07030-5774, NJ USA</t>
        </is>
      </c>
      <c r="AP936" t="inlineStr">
        <is>
          <t>1088-1980</t>
        </is>
      </c>
      <c r="AQ936" t="inlineStr">
        <is>
          <t>1530-9290</t>
        </is>
      </c>
      <c r="AS936" t="inlineStr">
        <is>
          <t>J IND ECOL</t>
        </is>
      </c>
      <c r="AT936" t="inlineStr">
        <is>
          <t>J. Ind. Ecol.</t>
        </is>
      </c>
      <c r="AU936" t="inlineStr">
        <is>
          <t>OCT</t>
        </is>
      </c>
      <c r="AV936" t="n">
        <v>2021</v>
      </c>
      <c r="AW936" t="n">
        <v>25</v>
      </c>
      <c r="AX936" t="n">
        <v>5</v>
      </c>
      <c r="BC936" t="n">
        <v>1136</v>
      </c>
      <c r="BD936" t="n">
        <v>1146</v>
      </c>
      <c r="BF936" t="inlineStr">
        <is>
          <t>10.1111/jiec.13117</t>
        </is>
      </c>
      <c r="BG936">
        <f>HYPERLINK("http://dx.doi.org/10.1111/jiec.13117","http://dx.doi.org/10.1111/jiec.13117")</f>
        <v/>
      </c>
      <c r="BI936" t="inlineStr">
        <is>
          <t>MAR 2021</t>
        </is>
      </c>
      <c r="BJ936" t="n">
        <v>11</v>
      </c>
      <c r="BK936" t="inlineStr">
        <is>
          <t>Green &amp; Sustainable Science &amp; Technology; Engineering, Environmental; Environmental Sciences</t>
        </is>
      </c>
      <c r="BL936" t="inlineStr">
        <is>
          <t>Science Citation Index Expanded (SCI-EXPANDED); Social Science Citation Index (SSCI)</t>
        </is>
      </c>
      <c r="BM936" t="inlineStr">
        <is>
          <t>Science &amp; Technology - Other Topics; Engineering; Environmental Sciences &amp; Ecology</t>
        </is>
      </c>
      <c r="BN936" t="inlineStr">
        <is>
          <t>WM2BN</t>
        </is>
      </c>
      <c r="BP936" t="inlineStr">
        <is>
          <t>Green Published, hybrid</t>
        </is>
      </c>
      <c r="BS936" t="inlineStr">
        <is>
          <t>2023-10-26</t>
        </is>
      </c>
      <c r="BT936" t="inlineStr">
        <is>
          <t>WOS:000634491500001</t>
        </is>
      </c>
      <c r="BU936">
        <f>HYPERLINK("https%3A%2F%2Fwww.webofscience.com%2Fwos%2Fwoscc%2Ffull-record%2FWOS:000634491500001","View Full Record in Web of Science")</f>
        <v/>
      </c>
    </row>
    <row r="937">
      <c r="A937" t="inlineStr">
        <is>
          <t>J</t>
        </is>
      </c>
      <c r="B937" t="inlineStr">
        <is>
          <t>Lu, QO; Jung, CC; Chao, HR; Chen, PS; Lee, CW; Tran, QTP; Ciou, JY; Chang, WH</t>
        </is>
      </c>
      <c r="F937" t="inlineStr">
        <is>
          <t>Lu, Quang-Oai; Jung, Chien-Cheng; Chao, How-Ran; Chen, Pei-Shih; Lee, Chia-Wei; Tran, Quynh Thi Phuong; Ciou, Jyun-Yi; Chang, Wei -Hsiang</t>
        </is>
      </c>
      <c r="J937" t="inlineStr">
        <is>
          <t>ENVIRONMENT INTERNATIONAL</t>
        </is>
      </c>
      <c r="M937" t="inlineStr">
        <is>
          <t>English</t>
        </is>
      </c>
      <c r="N937" t="inlineStr">
        <is>
          <t>Article</t>
        </is>
      </c>
      <c r="T937" t="inlineStr">
        <is>
          <t>Investigating the associations between organophosphate flame retardants (OPFRs) and fine particles in paired indoor and outdoor air: A probabilistic prediction model for deriving OPFRs in indoor environments</t>
        </is>
      </c>
      <c r="U937" t="inlineStr">
        <is>
          <t>PM2; 5; Organophosphate flame retardants (OPFRs); Building type; Seasonal trends; Human activity; Interior decorating materials; Generalized Linear; non-Linear Model</t>
        </is>
      </c>
      <c r="V937" t="inlineStr">
        <is>
          <t>POLYCYCLIC AROMATIC-HYDROCARBONS; SEMIVOLATILE ORGANIC-COMPOUNDS; PHTHALATE-ESTERS; AMBIENT PM2.5; PENTABDE REPLACEMENT; DIPHENYL PHOSPHATE; PARTICULATE MATTER; PERSONAL EXPOSURE; CONSUMER PRODUCTS; NEPAL IMPLICATION</t>
        </is>
      </c>
      <c r="W937" t="inlineStr">
        <is>
          <t>Contaminants of emerging concern such as organophosphate flame retardants (OPFRs) are associated with at-mospheric fine particles (PM2.5), which pose the greatest health risk in the world. However, few surveys have explored the interaction between PM2.5 and OPFRs in residential paired indoor/outdoor environments. 11 pri-ority OPFRs and PM2.5 were investigated across 178 paired indoor and outdoor air samples taken from 89 children's households in southern Taiwan, across cold and warm seasons. This involved exploring their associ-ations with building characteristics, interior materials, and human activities. We developed a probabilistic predictive model for indoor OPFRs based on the indoor/outdoor (I/O) ratio of contaminants and an air quality index. The significant associations of paired indoor/outdoor OPFRs and PM2.5 were explored. The indoor level of OPFRs was greater than that of outdoor households, contrasting with PM2.5. The I/O OPFRs ratio was higher than 1 (except for TEHP, EHDPP, and TCP), which suggests that the sources of OPFRs were primarily emitted from indoors. Indoor TCEP was significantly positively associated with indoor and outdoor PM2.5. The OPFR level detected in apartments was higher than in houses due to the greater decoration, furniture and electronic devices. However, this was not the case for PM2.5. TCIPP was the dominant compound in paired indoor and outdoor air. The indoor OPFR predictive model obtained a high accuracy with an R2 value of 0.87. The material used in mattresses, the use of purifiers and heaters, and the total material area were the main influencing factors for indoor OPFRs in households. These findings could provide important evidence of the interaction between paired indoor/outdoor OPFRs and PM2.5 and interior equipment in different building types. In addition, it could prevent the potential risks posed by indoor/outdoor air pollutants and eliminate OPFR emissions through the selection of better construction and building materials.</t>
        </is>
      </c>
      <c r="X937" t="inlineStr">
        <is>
          <t>[Lu, Quang-Oai; Ciou, Jyun-Yi] Natl Cheng Kung Univ, Coll Med, Dept Environm &amp; Occupat Hlth, Tainan 704, Taiwan; [Jung, Chien-Cheng] China Med Univ, Dept Publ Hlth, Taichung 406, Taiwan; [Chao, How-Ran] Natl Pingtung Univ Sci &amp; Technol, Dept Environm Sci &amp; Engn, Neipu 912, Pingtung County, Taiwan; [Chen, Pei-Shih] Kaohsiung Med Univ, Coll Hlth Sci, Dept Publ Hlth, Kaohsiung 807, Taiwan; [Lee, Chia-Wei] Natl Kaohsiung Univ Sci &amp; Technol, Dept Safety Hlth &amp; Environm Engn, Kaohsiung 824, Taiwan; [Tran, Quynh Thi Phuong] Ton Duc Thang Univ, Fac Environm &amp; Labour Safety, Ho Chi Minh City, Vietnam; [Chang, Wei -Hsiang] Natl Cheng Kung Univ, Coll Med, Dept Food Safety Hyg &amp; Risk Management, Tainan 704, Taiwan; [Chang, Wei -Hsiang] Natl Cheng Kung Univ, Coll Med, Res Ctr Environm Trace Tox Subst, Tainan 704, Taiwan; [Chang, Wei -Hsiang] 138 Sheng Li Rd, Tainan 70403, Taiwan</t>
        </is>
      </c>
      <c r="Y937" t="inlineStr">
        <is>
          <t>National Cheng Kung University; China Medical University Taiwan; National Pingtung University Science &amp; Technology; Kaohsiung Medical University; National Kaohsiung University of Science &amp; Technology; Ton Duc Thang University; National Cheng Kung University; National Cheng Kung University</t>
        </is>
      </c>
      <c r="Z937" t="inlineStr">
        <is>
          <t>Chang, WH (corresponding author), 138 Sheng Li Rd, Tainan 70403, Taiwan.</t>
        </is>
      </c>
      <c r="AA937" t="inlineStr">
        <is>
          <t>whchang@mail.ncku.edu.tw</t>
        </is>
      </c>
      <c r="AB937" t="inlineStr">
        <is>
          <t>CHANG, WEI-HSIANG/ABA-5393-2020; Lu, Quang-Oai/HZJ-8549-2023</t>
        </is>
      </c>
      <c r="AC937" t="inlineStr">
        <is>
          <t>Lu, Quang-Oai/0000-0003-3464-603X; Chao, How-Ran/0000-0001-6492-6417</t>
        </is>
      </c>
      <c r="AH937" t="n">
        <v>93</v>
      </c>
      <c r="AI937" t="n">
        <v>2</v>
      </c>
      <c r="AJ937" t="n">
        <v>2</v>
      </c>
      <c r="AK937" t="n">
        <v>20</v>
      </c>
      <c r="AL937" t="n">
        <v>25</v>
      </c>
      <c r="AM937" t="inlineStr">
        <is>
          <t>PERGAMON-ELSEVIER SCIENCE LTD</t>
        </is>
      </c>
      <c r="AN937" t="inlineStr">
        <is>
          <t>OXFORD</t>
        </is>
      </c>
      <c r="AO937" t="inlineStr">
        <is>
          <t>THE BOULEVARD, LANGFORD LANE, KIDLINGTON, OXFORD OX5 1GB, ENGLAND</t>
        </is>
      </c>
      <c r="AP937" t="inlineStr">
        <is>
          <t>0160-4120</t>
        </is>
      </c>
      <c r="AQ937" t="inlineStr">
        <is>
          <t>1873-6750</t>
        </is>
      </c>
      <c r="AS937" t="inlineStr">
        <is>
          <t>ENVIRON INT</t>
        </is>
      </c>
      <c r="AT937" t="inlineStr">
        <is>
          <t>Environ. Int.</t>
        </is>
      </c>
      <c r="AU937" t="inlineStr">
        <is>
          <t>APR</t>
        </is>
      </c>
      <c r="AV937" t="n">
        <v>2023</v>
      </c>
      <c r="AW937" t="n">
        <v>174</v>
      </c>
      <c r="BE937" t="n">
        <v>107871</v>
      </c>
      <c r="BF937" t="inlineStr">
        <is>
          <t>10.1016/j.envint.2023.107871</t>
        </is>
      </c>
      <c r="BG937">
        <f>HYPERLINK("http://dx.doi.org/10.1016/j.envint.2023.107871","http://dx.doi.org/10.1016/j.envint.2023.107871")</f>
        <v/>
      </c>
      <c r="BI937" t="inlineStr">
        <is>
          <t>MAR 2023</t>
        </is>
      </c>
      <c r="BJ937" t="n">
        <v>12</v>
      </c>
      <c r="BK937" t="inlineStr">
        <is>
          <t>Environmental Sciences</t>
        </is>
      </c>
      <c r="BL937" t="inlineStr">
        <is>
          <t>Science Citation Index Expanded (SCI-EXPANDED)</t>
        </is>
      </c>
      <c r="BM937" t="inlineStr">
        <is>
          <t>Environmental Sciences &amp; Ecology</t>
        </is>
      </c>
      <c r="BN937" t="inlineStr">
        <is>
          <t>A4AI1</t>
        </is>
      </c>
      <c r="BO937" t="n">
        <v>36931197</v>
      </c>
      <c r="BP937" t="inlineStr">
        <is>
          <t>gold</t>
        </is>
      </c>
      <c r="BS937" t="inlineStr">
        <is>
          <t>2023-10-26</t>
        </is>
      </c>
      <c r="BT937" t="inlineStr">
        <is>
          <t>WOS:000954567500001</t>
        </is>
      </c>
      <c r="BU937">
        <f>HYPERLINK("https%3A%2F%2Fwww.webofscience.com%2Fwos%2Fwoscc%2Ffull-record%2FWOS:000954567500001","View Full Record in Web of Science")</f>
        <v/>
      </c>
    </row>
    <row r="938">
      <c r="A938" t="inlineStr">
        <is>
          <t>J</t>
        </is>
      </c>
      <c r="B938" t="inlineStr">
        <is>
          <t>Rahman, ML; Moore, A; Smith, M; Lieswyn, J; Mandic, S</t>
        </is>
      </c>
      <c r="F938" t="inlineStr">
        <is>
          <t>Rahman, Mohammad Lutfur; Moore, Antoni; Smith, Melody; Lieswyn, John; Mandic, Sandra</t>
        </is>
      </c>
      <c r="J938" t="inlineStr">
        <is>
          <t>INTERNATIONAL JOURNAL OF ENVIRONMENTAL RESEARCH AND PUBLIC HEALTH</t>
        </is>
      </c>
      <c r="M938" t="inlineStr">
        <is>
          <t>English</t>
        </is>
      </c>
      <c r="N938" t="inlineStr">
        <is>
          <t>Article</t>
        </is>
      </c>
      <c r="T938" t="inlineStr">
        <is>
          <t>A Conceptual Framework for Modelling Safe Walking and Cycling Routes to High Schools</t>
        </is>
      </c>
      <c r="U938" t="inlineStr">
        <is>
          <t>school; safe route; active transport; walking; cycling; built environment; traffic safety; framework; adolescents</t>
        </is>
      </c>
      <c r="V938" t="inlineStr">
        <is>
          <t>ENVIRONMENT WALKABILITY SCALE; PHYSICAL-ACTIVITY; ACTIVE TRANSPORTATION; BUILT ENVIRONMENT; URBAN FORM; LOCAL NEIGHBORHOOD; ELEMENTARY-SCHOOL; REPORT CARD; BODY-FAT; ADOLESCENTS</t>
        </is>
      </c>
      <c r="W938" t="inlineStr">
        <is>
          <t>Active transport to or from school presents an opportunity for adolescents to engage in daily physical activity. Multiple factors influence whether adolescents actively travel to/from school. Creating safe walking and cycling routes to school is a promising strategy to increase rates of active transport. This article presents a comprehensive conceptual framework for modelling safe walking and cycling routes to high schools. The framework has been developed based on several existing relevant frameworks including (a) ecological models, (b) the Five Es (engineering, education, enforcement, encouragement, and evaluation) framework of transport planning, and (c) a travel mode choice framework for school travel. The framework identifies built environment features (land use mix, pedestrian/cycling infrastructure, neighbourhood aesthetics, and accessibility to local facilities) and traffic safety factors (traffic volume and speed, safe road crossings, and quality of path surface) to be considered when modelling safe walking/cycling routes to high schools. Future research should test this framework using real-world data in different geographical settings and with a combination of tools for the assessment of both macro-scale and micro-scale built environment features. To be effective, the modelling and creation of safe routes to high schools should be complemented by other interventions, including education, enforcement, and encouragement in order to minimise safety concerns and promote active transport.</t>
        </is>
      </c>
      <c r="X938" t="inlineStr">
        <is>
          <t>[Rahman, Mohammad Lutfur; Mandic, Sandra] Univ Otago, Sch Phys Educ Sport &amp; Exercise Sci, Act Living Lab, POB 56, Dunedin 9054, New Zealand; [Moore, Antoni] Univ Otago, Sch Surveying, POB 56, Dunedin 9054, New Zealand; [Smith, Melody] Univ Auckland, Fac Med &amp; Hlth Sci, Sch Nursing, Private Bag 92019, Auckland 1142, New Zealand; [Lieswyn, John] ViaStr Ltd, 284 Kilmore St, Christchurch 8011, New Zealand; [Mandic, Sandra] Univ Otago, Ctr Sustainabil, POB 56, Dunedin 9054, New Zealand</t>
        </is>
      </c>
      <c r="Y938" t="inlineStr">
        <is>
          <t>University of Otago; University of Otago; University of Auckland; University of Otago</t>
        </is>
      </c>
      <c r="Z938" t="inlineStr">
        <is>
          <t>Rahman, ML (corresponding author), Univ Otago, Sch Phys Educ Sport &amp; Exercise Sci, Act Living Lab, POB 56, Dunedin 9054, New Zealand.</t>
        </is>
      </c>
      <c r="AA938" t="inlineStr">
        <is>
          <t>rahlu731@student.otago.ac.nz; tony.moore@otago.ac.nz; melody.smith@auckland.ac.nz; john@viastrada.nz; sandra.mandic@otago.ac.nz</t>
        </is>
      </c>
      <c r="AB938" t="inlineStr">
        <is>
          <t>Smith, Melody/AAP-9986-2021; Rahman, Mohammad Lutfur/AAV-1238-2020; Mandic, Sandra/F-2689-2016</t>
        </is>
      </c>
      <c r="AC938" t="inlineStr">
        <is>
          <t>Smith, Melody/0000-0002-0987-2564; Mandic, Sandra/0000-0003-4126-8874; Moore, Antoni/0000-0001-7738-2308; Rahman, Mohammad Lutfur/0000-0003-4908-8448</t>
        </is>
      </c>
      <c r="AD938" t="inlineStr">
        <is>
          <t>Health Research Council Project Grant [19/173]; Division of Science and School of Physical Education, Sport and Exercise Sciences, University of Otago</t>
        </is>
      </c>
      <c r="AE938" t="inlineStr">
        <is>
          <t>Health Research Council Project Grant; Division of Science and School of Physical Education, Sport and Exercise Sciences, University of Otago</t>
        </is>
      </c>
      <c r="AF938" t="inlineStr">
        <is>
          <t>This research has been conducted as part of the Built Environment and Active Transport to School (BEATS) Natural Experiment funded by a Health Research Council Project Grant (19/173) and internal grants from the Division of Science and School of Physical Education, Sport and Exercise Sciences, University of Otago.</t>
        </is>
      </c>
      <c r="AH938" t="n">
        <v>113</v>
      </c>
      <c r="AI938" t="n">
        <v>14</v>
      </c>
      <c r="AJ938" t="n">
        <v>14</v>
      </c>
      <c r="AK938" t="n">
        <v>4</v>
      </c>
      <c r="AL938" t="n">
        <v>20</v>
      </c>
      <c r="AM938" t="inlineStr">
        <is>
          <t>MDPI</t>
        </is>
      </c>
      <c r="AN938" t="inlineStr">
        <is>
          <t>BASEL</t>
        </is>
      </c>
      <c r="AO938" t="inlineStr">
        <is>
          <t>ST ALBAN-ANLAGE 66, CH-4052 BASEL, SWITZERLAND</t>
        </is>
      </c>
      <c r="AQ938" t="inlineStr">
        <is>
          <t>1660-4601</t>
        </is>
      </c>
      <c r="AS938" t="inlineStr">
        <is>
          <t>INT J ENV RES PUB HE</t>
        </is>
      </c>
      <c r="AT938" t="inlineStr">
        <is>
          <t>Int. J. Environ. Res. Public Health</t>
        </is>
      </c>
      <c r="AU938" t="inlineStr">
        <is>
          <t>MAY</t>
        </is>
      </c>
      <c r="AV938" t="n">
        <v>2020</v>
      </c>
      <c r="AW938" t="n">
        <v>17</v>
      </c>
      <c r="AX938" t="n">
        <v>9</v>
      </c>
      <c r="BE938" t="n">
        <v>3318</v>
      </c>
      <c r="BF938" t="inlineStr">
        <is>
          <t>10.3390/ijerph17093318</t>
        </is>
      </c>
      <c r="BG938">
        <f>HYPERLINK("http://dx.doi.org/10.3390/ijerph17093318","http://dx.doi.org/10.3390/ijerph17093318")</f>
        <v/>
      </c>
      <c r="BJ938" t="n">
        <v>16</v>
      </c>
      <c r="BK938" t="inlineStr">
        <is>
          <t>Environmental Sciences; Public, Environmental &amp; Occupational Health</t>
        </is>
      </c>
      <c r="BL938" t="inlineStr">
        <is>
          <t>Science Citation Index Expanded (SCI-EXPANDED); Social Science Citation Index (SSCI)</t>
        </is>
      </c>
      <c r="BM938" t="inlineStr">
        <is>
          <t>Environmental Sciences &amp; Ecology; Public, Environmental &amp; Occupational Health</t>
        </is>
      </c>
      <c r="BN938" t="inlineStr">
        <is>
          <t>LR5OY</t>
        </is>
      </c>
      <c r="BO938" t="n">
        <v>32397592</v>
      </c>
      <c r="BP938" t="inlineStr">
        <is>
          <t>Green Published, gold</t>
        </is>
      </c>
      <c r="BS938" t="inlineStr">
        <is>
          <t>2023-10-26</t>
        </is>
      </c>
      <c r="BT938" t="inlineStr">
        <is>
          <t>WOS:000535745400342</t>
        </is>
      </c>
      <c r="BU938">
        <f>HYPERLINK("https%3A%2F%2Fwww.webofscience.com%2Fwos%2Fwoscc%2Ffull-record%2FWOS:000535745400342","View Full Record in Web of Science")</f>
        <v/>
      </c>
    </row>
    <row r="939">
      <c r="A939" t="inlineStr">
        <is>
          <t>J</t>
        </is>
      </c>
      <c r="B939" t="inlineStr">
        <is>
          <t>Vo, MTH; Nakamura, K; Seino, K; Vo, TV</t>
        </is>
      </c>
      <c r="F939" t="inlineStr">
        <is>
          <t>Vo, Man Thi Hue; Nakamura, Keiko; Seino, Kaoruko; Vo, Thang Van</t>
        </is>
      </c>
      <c r="J939" t="inlineStr">
        <is>
          <t>INTERNATIONAL JOURNAL OF ENVIRONMENTAL RESEARCH AND PUBLIC HEALTH</t>
        </is>
      </c>
      <c r="M939" t="inlineStr">
        <is>
          <t>English</t>
        </is>
      </c>
      <c r="N939" t="inlineStr">
        <is>
          <t>Article</t>
        </is>
      </c>
      <c r="T939" t="inlineStr">
        <is>
          <t>Greater Risk of Negative Health Outcomes of Older Adults Living Alone in Vietnam: A Community Survey</t>
        </is>
      </c>
      <c r="U939" t="inlineStr">
        <is>
          <t>older adult; living alone; health; outcome</t>
        </is>
      </c>
      <c r="V939" t="inlineStr">
        <is>
          <t>COGNITIVE FUNCTION; PEOPLE; LONELINESS</t>
        </is>
      </c>
      <c r="W939" t="inlineStr">
        <is>
          <t>In modern Asian societies, there has been a shift in the living arrangements of older adults away from living with others. Knowing the health characteristics of individuals living alone can help identify high-risk groups. This cross-sectional study aimed to describe characteristics of the Vietnamese older adults and to investigate the association between living alone and their reported health outcomes by utilizing survey data of individuals aged &gt;= 60 years in Vietnam in 2018. The community survey included questions about sociodemographic factors, living arrangement, and self-reported physical functional status. Multivariate logistic regression was used to examine whether or not living alone was a predictor of health outcomes. Of 725 study participants, 8.9% lived alone. These participants were more likely to be female, aged 70-79 years, living in rural areas, and currently single or previously married. After adjusting for covariates, older adults who were living alone were more likely to have arthritis (adjusted odds ratio [AOR] = 1.95, 95% confidence interval [CI]: 1.10-3.45), a history of falling (AOR = 2.44, 95% CI: 1.02-5.82), visual difficulties (AOR = 1.89, 95% CI: 1.04-3.41), feelings of loneliness (AOR = 1.95, 95% CI: 1.10-3.47), and high fear of falling (AOR = 1.88, 95% CI: 1.02-3.46). Older adults living alone in Vietnam were at greater risk of negative health consequences than those living with others. Screening and providing adequate social support for this specific population is important in preventing the adverse effects of solitary living among these older adults.</t>
        </is>
      </c>
      <c r="X939" t="inlineStr">
        <is>
          <t>[Vo, Man Thi Hue; Nakamura, Keiko; Seino, Kaoruko] Tokyo Med &amp; Dent Univ, Dept Global Hlth Entrepreneurship, Tokyo 1138519, Japan; [Nakamura, Keiko] WHO Collaborating Ctr Hlth Cities &amp; Urban Policy, Tokyo 1138519, Japan; [Vo, Thang Van] Hue Univ, Univ Med &amp; Pharm, Fac Publ Hlth, Hue 530000, Vietnam; [Vo, Thang Van] Hue Univ, Univ Med &amp; Pharm, Inst Community Hlth Res, Hue 530000, Vietnam</t>
        </is>
      </c>
      <c r="Y939" t="inlineStr">
        <is>
          <t>Tokyo Medical &amp; Dental University (TMDU); Hue University; Hue University</t>
        </is>
      </c>
      <c r="Z939" t="inlineStr">
        <is>
          <t>Nakamura, K (corresponding author), Tokyo Med &amp; Dent Univ, Dept Global Hlth Entrepreneurship, Tokyo 1138519, Japan.;Nakamura, K (corresponding author), WHO Collaborating Ctr Hlth Cities &amp; Urban Policy, Tokyo 1138519, Japan.</t>
        </is>
      </c>
      <c r="AA939" t="inlineStr">
        <is>
          <t>vovanthang147@hueuni.edu.vn</t>
        </is>
      </c>
      <c r="AC939" t="inlineStr">
        <is>
          <t>Nakamura, Keiko/0000-0002-9119-4730; VO VAN, THANG/0000-0003-2018-0371; Vo, Thi Hue Man/0000-0002-7424-4855</t>
        </is>
      </c>
      <c r="AD939" t="inlineStr">
        <is>
          <t>Institute for Community Health Research, University of Medicine and Pharmacy, Hue University</t>
        </is>
      </c>
      <c r="AE939" t="inlineStr">
        <is>
          <t>Institute for Community Health Research, University of Medicine and Pharmacy, Hue University</t>
        </is>
      </c>
      <c r="AF939" t="inlineStr">
        <is>
          <t>This work was supported by the grant of Institute for Community Health Research, University of Medicine and Pharmacy, Hue University.</t>
        </is>
      </c>
      <c r="AH939" t="n">
        <v>31</v>
      </c>
      <c r="AI939" t="n">
        <v>3</v>
      </c>
      <c r="AJ939" t="n">
        <v>3</v>
      </c>
      <c r="AK939" t="n">
        <v>2</v>
      </c>
      <c r="AL939" t="n">
        <v>8</v>
      </c>
      <c r="AM939" t="inlineStr">
        <is>
          <t>MDPI</t>
        </is>
      </c>
      <c r="AN939" t="inlineStr">
        <is>
          <t>BASEL</t>
        </is>
      </c>
      <c r="AO939" t="inlineStr">
        <is>
          <t>ST ALBAN-ANLAGE 66, CH-4052 BASEL, SWITZERLAND</t>
        </is>
      </c>
      <c r="AQ939" t="inlineStr">
        <is>
          <t>1660-4601</t>
        </is>
      </c>
      <c r="AS939" t="inlineStr">
        <is>
          <t>INT J ENV RES PUB HE</t>
        </is>
      </c>
      <c r="AT939" t="inlineStr">
        <is>
          <t>Int. J. Environ. Res. Public Health</t>
        </is>
      </c>
      <c r="AU939" t="inlineStr">
        <is>
          <t>NOV</t>
        </is>
      </c>
      <c r="AV939" t="n">
        <v>2021</v>
      </c>
      <c r="AW939" t="n">
        <v>18</v>
      </c>
      <c r="AX939" t="n">
        <v>21</v>
      </c>
      <c r="BE939" t="n">
        <v>11115</v>
      </c>
      <c r="BF939" t="inlineStr">
        <is>
          <t>10.3390/ijerph182111115</t>
        </is>
      </c>
      <c r="BG939">
        <f>HYPERLINK("http://dx.doi.org/10.3390/ijerph182111115","http://dx.doi.org/10.3390/ijerph182111115")</f>
        <v/>
      </c>
      <c r="BJ939" t="n">
        <v>9</v>
      </c>
      <c r="BK939" t="inlineStr">
        <is>
          <t>Environmental Sciences; Public, Environmental &amp; Occupational Health</t>
        </is>
      </c>
      <c r="BL939" t="inlineStr">
        <is>
          <t>Science Citation Index Expanded (SCI-EXPANDED); Social Science Citation Index (SSCI)</t>
        </is>
      </c>
      <c r="BM939" t="inlineStr">
        <is>
          <t>Environmental Sciences &amp; Ecology; Public, Environmental &amp; Occupational Health</t>
        </is>
      </c>
      <c r="BN939" t="inlineStr">
        <is>
          <t>WX5IK</t>
        </is>
      </c>
      <c r="BO939" t="n">
        <v>34769635</v>
      </c>
      <c r="BP939" t="inlineStr">
        <is>
          <t>Green Published, gold</t>
        </is>
      </c>
      <c r="BS939" t="inlineStr">
        <is>
          <t>2023-10-26</t>
        </is>
      </c>
      <c r="BT939" t="inlineStr">
        <is>
          <t>WOS:000718629300001</t>
        </is>
      </c>
      <c r="BU939">
        <f>HYPERLINK("https%3A%2F%2Fwww.webofscience.com%2Fwos%2Fwoscc%2Ffull-record%2FWOS:000718629300001","View Full Record in Web of Science")</f>
        <v/>
      </c>
    </row>
    <row r="940">
      <c r="A940" t="inlineStr">
        <is>
          <t>J</t>
        </is>
      </c>
      <c r="B940" t="inlineStr">
        <is>
          <t>Neckel, A; Toscan, PC; Kujawa, HA; Bodah, BW; Korcelski, C; Maculan, LS; Silva, CCOD; Goncalves, AC; Snak, A; Dal Moro, L; Silva, LFO</t>
        </is>
      </c>
      <c r="F940" t="inlineStr">
        <is>
          <t>Neckel, Alcindo; Toscan, Paloma Carollo; Kujawa, Henrique Aniceto; Bodah, Brian William; Korcelski, Cleiton; Maculan, Laercio Stolfo; Silva, Caliane Christie Oliveira de Almeida; Goncalves Junior, Affonso Celso; Snak, Aline; Dal Moro, Leila; Silva, Luis F. O.</t>
        </is>
      </c>
      <c r="J940" t="inlineStr">
        <is>
          <t>ENVIRONMENTAL SCIENCE AND POLLUTION RESEARCH</t>
        </is>
      </c>
      <c r="M940" t="inlineStr">
        <is>
          <t>English</t>
        </is>
      </c>
      <c r="N940" t="inlineStr">
        <is>
          <t>Article</t>
        </is>
      </c>
      <c r="T940" t="inlineStr">
        <is>
          <t>Hazardous elements in urban cemeteries and possible architectural design solutions for a more sustainable environment</t>
        </is>
      </c>
      <c r="U940" t="inlineStr">
        <is>
          <t>Cemetery's soils; Metallic contaminants; Non-metallic elements; Technical solutions; Vertical cemetery</t>
        </is>
      </c>
      <c r="V940" t="inlineStr">
        <is>
          <t>INFORMATION MODELING BIM; HUMAN HEALTH-RISK; COPPER</t>
        </is>
      </c>
      <c r="W940" t="inlineStr">
        <is>
          <t>The general objective of this study is to identify the presence of hazardous elements in the soils of five urban cemeteries in the city of Passo Fundo, in southern Brazil, and to design solutions (architecturally) for future cemeteries to be more sustainable by mitigating toxicological risks to the population residing in the area. A total of 250 soil samples were obtained from points within the cemeteries and in areas surrounding the two oldest cemeteries at a distance of up to 400 m. Twelve architects who design cemeteries primarily focused on sustainability were interviewed, and presented their suggestions for sustainable urban cemetery design. The Building Information Modeling (BIM) computer modeling system was utilized to present a visual representation of suggested architectural features by these architects. The concentration of Pb in the vicinity of cemeteries deserves special attention, as concentrations of this neurotoxin exceed the federal limits set by Brazil. Soil Pb values were found to exceed the limit of 72 mg kg(-1) up to a distance of 400 m from the walls of cemeteries A and B, indicating the presence of a danger to human health even at greater distances. This manuscript highlights construction features that enable future burial structures to adequately mitigate the very real problem of contaminants entering the environment from current cemetery design. Two-thirds of the technicians interviewed for this manuscript, each of whom specialize in Brazilian cemetery design, highlighted the importance of revitalizing urban vegetation both when constructing and revitalizing urban vertical cemeteries.</t>
        </is>
      </c>
      <c r="X940" t="inlineStr">
        <is>
          <t>[Neckel, Alcindo; Toscan, Paloma Carollo; Bodah, Brian William; Korcelski, Cleiton; Maculan, Laercio Stolfo; Silva, Caliane Christie Oliveira de Almeida; Dal Moro, Leila] Atitus Educ, BR-99070220 Passo Fundo, RS, Brazil; [Kujawa, Henrique Aniceto] Univ Perugia, Piazza Univ 1, I-06123 Perugia, Italy; [Bodah, Brian William] Thaines &amp; Bodah Ctr Educ &amp; Dev, 840 South Meadowlark Lane, Othello, WA 99344 USA; [Bodah, Brian William] Yakima Valley Coll, Workforce Educ Program, South 16th Ave &amp; Nob Hill Blvd, Yakima, WA 98902 USA; [Bodah, Brian William] Yakima Valley Coll, Appl Baccalaureate Program, South 16th Ave &amp; Nob Hill Blvd, Yakima, WA 98902 USA; [Goncalves Junior, Affonso Celso; Snak, Aline] State Univ Western Parana UNIOESTE, Ctr Med &amp; Pharmaceut Sci, 1619 R, BR-85819110 Cascavel, PR, Brazil; [Silva, Luis F. O.] Univ La Costa, Dept Civil &amp; Environm Engn, CUC, Calle 58 55-66, Barranquilla, Atlantico, Colombia</t>
        </is>
      </c>
      <c r="Y940" t="inlineStr">
        <is>
          <t>University of Perugia; Universidade Estadual do Oeste do Parana; Universidad de la Costa</t>
        </is>
      </c>
      <c r="Z940" t="inlineStr">
        <is>
          <t>Neckel, A (corresponding author), Atitus Educ, BR-99070220 Passo Fundo, RS, Brazil.</t>
        </is>
      </c>
      <c r="AA940" t="inlineStr">
        <is>
          <t>alcindo.neckel@atitus.edu.br</t>
        </is>
      </c>
      <c r="AB940" t="inlineStr">
        <is>
          <t>Neckel, Alcindo/AAN-4623-2020; Dal Moro, Leila/ABA-6444-2020; Silva, Luis F. O./S-9681-2017; ALMEIDA, CALIANE C. O./F-6560-2012</t>
        </is>
      </c>
      <c r="AC940" t="inlineStr">
        <is>
          <t>Neckel, Alcindo/0000-0001-5435-3096; Dal Moro, Leila/0000-0003-0456-4260; Silva, Luis F. O./0000-0001-7678-9130; ALMEIDA, CALIANE C. O./0000-0002-8477-389X</t>
        </is>
      </c>
      <c r="AD940" t="inlineStr">
        <is>
          <t>National Council for Scientific and Technological Development (CNPq)</t>
        </is>
      </c>
      <c r="AE940" t="inlineStr">
        <is>
          <t>National Council for Scientific and Technological Development (CNPq)(Conselho Nacional de Desenvolvimento Cientifico e Tecnologico (CNPQ))</t>
        </is>
      </c>
      <c r="AF940" t="inlineStr">
        <is>
          <t>National Council for Scientific and Technological Development (CNPq).</t>
        </is>
      </c>
      <c r="AH940" t="n">
        <v>64</v>
      </c>
      <c r="AI940" t="n">
        <v>0</v>
      </c>
      <c r="AJ940" t="n">
        <v>0</v>
      </c>
      <c r="AK940" t="n">
        <v>3</v>
      </c>
      <c r="AL940" t="n">
        <v>4</v>
      </c>
      <c r="AM940" t="inlineStr">
        <is>
          <t>SPRINGER HEIDELBERG</t>
        </is>
      </c>
      <c r="AN940" t="inlineStr">
        <is>
          <t>HEIDELBERG</t>
        </is>
      </c>
      <c r="AO940" t="inlineStr">
        <is>
          <t>TIERGARTENSTRASSE 17, D-69121 HEIDELBERG, GERMANY</t>
        </is>
      </c>
      <c r="AP940" t="inlineStr">
        <is>
          <t>0944-1344</t>
        </is>
      </c>
      <c r="AQ940" t="inlineStr">
        <is>
          <t>1614-7499</t>
        </is>
      </c>
      <c r="AS940" t="inlineStr">
        <is>
          <t>ENVIRON SCI POLLUT R</t>
        </is>
      </c>
      <c r="AT940" t="inlineStr">
        <is>
          <t>Environ. Sci. Pollut. Res.</t>
        </is>
      </c>
      <c r="AU940" t="inlineStr">
        <is>
          <t>APR</t>
        </is>
      </c>
      <c r="AV940" t="n">
        <v>2023</v>
      </c>
      <c r="AW940" t="n">
        <v>30</v>
      </c>
      <c r="AX940" t="n">
        <v>17</v>
      </c>
      <c r="BC940" t="n">
        <v>50675</v>
      </c>
      <c r="BD940" t="n">
        <v>50689</v>
      </c>
      <c r="BF940" t="inlineStr">
        <is>
          <t>10.1007/s11356-023-25891-z</t>
        </is>
      </c>
      <c r="BG940">
        <f>HYPERLINK("http://dx.doi.org/10.1007/s11356-023-25891-z","http://dx.doi.org/10.1007/s11356-023-25891-z")</f>
        <v/>
      </c>
      <c r="BI940" t="inlineStr">
        <is>
          <t>FEB 2023</t>
        </is>
      </c>
      <c r="BJ940" t="n">
        <v>15</v>
      </c>
      <c r="BK940" t="inlineStr">
        <is>
          <t>Environmental Sciences</t>
        </is>
      </c>
      <c r="BL940" t="inlineStr">
        <is>
          <t>Science Citation Index Expanded (SCI-EXPANDED)</t>
        </is>
      </c>
      <c r="BM940" t="inlineStr">
        <is>
          <t>Environmental Sciences &amp; Ecology</t>
        </is>
      </c>
      <c r="BN940" t="inlineStr">
        <is>
          <t>Q0NZ6</t>
        </is>
      </c>
      <c r="BO940" t="n">
        <v>36800092</v>
      </c>
      <c r="BP940" t="inlineStr">
        <is>
          <t>Green Published, Bronze</t>
        </is>
      </c>
      <c r="BS940" t="inlineStr">
        <is>
          <t>2023-10-26</t>
        </is>
      </c>
      <c r="BT940" t="inlineStr">
        <is>
          <t>WOS:000934659600009</t>
        </is>
      </c>
      <c r="BU940">
        <f>HYPERLINK("https%3A%2F%2Fwww.webofscience.com%2Fwos%2Fwoscc%2Ffull-record%2FWOS:000934659600009","View Full Record in Web of Science")</f>
        <v/>
      </c>
    </row>
    <row r="941">
      <c r="A941" t="inlineStr">
        <is>
          <t>J</t>
        </is>
      </c>
      <c r="B941" t="inlineStr">
        <is>
          <t>Guo, M; Yu, W; Zhang, S; Wang, H; Wei, S</t>
        </is>
      </c>
      <c r="F941" t="inlineStr">
        <is>
          <t>Guo, Miao; Yu, Wei; Zhang, Sheng; Wang, Han; Wei, Shen</t>
        </is>
      </c>
      <c r="J941" t="inlineStr">
        <is>
          <t>ENVIRONMENTAL SCIENCE AND POLLUTION RESEARCH</t>
        </is>
      </c>
      <c r="M941" t="inlineStr">
        <is>
          <t>English</t>
        </is>
      </c>
      <c r="N941" t="inlineStr">
        <is>
          <t>Article</t>
        </is>
      </c>
      <c r="T941" t="inlineStr">
        <is>
          <t>A numerical model predicting indoor volatile organic compound Volatile Organic Compounds emissions from multiple building materials</t>
        </is>
      </c>
      <c r="U941" t="inlineStr">
        <is>
          <t>Volatile Organic Compounds; Multiple dry building materials; Dynamic model; Initial concentration; Diffusion coefficient; Partition coefficient</t>
        </is>
      </c>
      <c r="V941" t="inlineStr">
        <is>
          <t>C-HISTORY METHOD; VOC EMISSIONS; PARTITION-COEFFICIENTS; DIFFUSION-COEFFICIENTS; FORMALDEHYDE; SIMULATION; BEHAVIOR; EXPOSURE</t>
        </is>
      </c>
      <c r="W941" t="inlineStr">
        <is>
          <t>There have been many studies on the model of volatile organic compound (VOC) emissions from individual dry building material and have been validated in the chamber. Actually, VOC emitted from multiple dry building materials simultaneously indoor. The concentration of VOC indoor increases and will inhibit the VOC emission of dry building materials indoor. This paper developed a new model predicting indoor VOC concentrations caused by simultaneous emissions from multiple dry building materials, with a consideration of impact from dynamic VOC concentrations on the emission rate. The model has been used to predict the VOC emissions from a combination of medium-density fiberboard (MDF) and consolidated compound floor (CCF) simultaneously. The study demonstrated a good prediction performance of the newly proposed model, against field experimental data. The study also showed that when multiple dry building materials emit pollutants in a common space, a mutual inhibition effect could be observed. Furthermore, when multiple dry building materials emit VOC simultaneously, the change of VOC concentrations in the air followed the trends of VOC emissions from building materials with higher initial concentration (C-0), diffusion coefficient (D-m), and the partition coefficient (K-ma).</t>
        </is>
      </c>
      <c r="X941" t="inlineStr">
        <is>
          <t>[Guo, Miao; Yu, Wei; Zhang, Sheng; Wang, Han] Chongqing Univ, Minist Educ, Joint Int Res Lab Green Bldg &amp; Built Environm, Chongqing 400045, Peoples R China; [Guo, Miao; Yu, Wei; Zhang, Sheng; Wang, Han] Chongqing Univ, Minist Sci &amp; Technol, Natl Ctr Int Res Low Carbon &amp; Green Bldg, Chongqing 400045, Peoples R China; [Yu, Wei] Sch Urban Construct &amp; Environm Engn, Chongqing Univ, Campus B, Chongqing 400045, Peoples R China; [Zhang, Sheng] Shenzhen Municipal Design &amp; Res Inst Co Ltd, Shenzhen, Guangdong, Peoples R China; [Wei, Shen] UCL, Bartlett Sch Construct &amp; Project Management, London WC1E 7HB, England</t>
        </is>
      </c>
      <c r="Y941" t="inlineStr">
        <is>
          <t>Chongqing University; Chongqing University; Chongqing University; University of London; University College London</t>
        </is>
      </c>
      <c r="Z941" t="inlineStr">
        <is>
          <t>Yu, W (corresponding author), Chongqing Univ, Minist Educ, Joint Int Res Lab Green Bldg &amp; Built Environm, Chongqing 400045, Peoples R China.;Yu, W (corresponding author), Chongqing Univ, Minist Sci &amp; Technol, Natl Ctr Int Res Low Carbon &amp; Green Bldg, Chongqing 400045, Peoples R China.;Yu, W (corresponding author), Sch Urban Construct &amp; Environm Engn, Chongqing Univ, Campus B, Chongqing 400045, Peoples R China.</t>
        </is>
      </c>
      <c r="AA941" t="inlineStr">
        <is>
          <t>yuweixscq@126.com</t>
        </is>
      </c>
      <c r="AC941" t="inlineStr">
        <is>
          <t>Wei, Shen/0000-0001-9644-5095</t>
        </is>
      </c>
      <c r="AD941" t="inlineStr">
        <is>
          <t>National Key Research and Development Program of China [2017YFC0702700]; 111 Project [B13041]; Fundamental Research Funds for the Central Universities [2018CDJDCH0015]</t>
        </is>
      </c>
      <c r="AE941" t="inlineStr">
        <is>
          <t>National Key Research and Development Program of China; 111 Project(Ministry of Education, China - 111 Project); Fundamental Research Funds for the Central Universities(Fundamental Research Funds for the Central Universities)</t>
        </is>
      </c>
      <c r="AF941" t="inlineStr">
        <is>
          <t>This work was supported by the National Key Research and Development Program of China [grant number 2017YFC0702700]; The 111 Project [grant number B13041]; and the Fundamental Research Funds for the Central Universities [Project NO.2018CDJDCH0015].</t>
        </is>
      </c>
      <c r="AH941" t="n">
        <v>34</v>
      </c>
      <c r="AI941" t="n">
        <v>8</v>
      </c>
      <c r="AJ941" t="n">
        <v>8</v>
      </c>
      <c r="AK941" t="n">
        <v>5</v>
      </c>
      <c r="AL941" t="n">
        <v>60</v>
      </c>
      <c r="AM941" t="inlineStr">
        <is>
          <t>SPRINGER HEIDELBERG</t>
        </is>
      </c>
      <c r="AN941" t="inlineStr">
        <is>
          <t>HEIDELBERG</t>
        </is>
      </c>
      <c r="AO941" t="inlineStr">
        <is>
          <t>TIERGARTENSTRASSE 17, D-69121 HEIDELBERG, GERMANY</t>
        </is>
      </c>
      <c r="AP941" t="inlineStr">
        <is>
          <t>0944-1344</t>
        </is>
      </c>
      <c r="AQ941" t="inlineStr">
        <is>
          <t>1614-7499</t>
        </is>
      </c>
      <c r="AS941" t="inlineStr">
        <is>
          <t>ENVIRON SCI POLLUT R</t>
        </is>
      </c>
      <c r="AT941" t="inlineStr">
        <is>
          <t>Environ. Sci. Pollut. Res.</t>
        </is>
      </c>
      <c r="AU941" t="inlineStr">
        <is>
          <t>JAN</t>
        </is>
      </c>
      <c r="AV941" t="n">
        <v>2020</v>
      </c>
      <c r="AW941" t="n">
        <v>27</v>
      </c>
      <c r="AX941" t="n">
        <v>1</v>
      </c>
      <c r="BA941" t="inlineStr">
        <is>
          <t>SI</t>
        </is>
      </c>
      <c r="BC941" t="n">
        <v>587</v>
      </c>
      <c r="BD941" t="n">
        <v>596</v>
      </c>
      <c r="BF941" t="inlineStr">
        <is>
          <t>10.1007/s11356-019-06890-5</t>
        </is>
      </c>
      <c r="BG941">
        <f>HYPERLINK("http://dx.doi.org/10.1007/s11356-019-06890-5","http://dx.doi.org/10.1007/s11356-019-06890-5")</f>
        <v/>
      </c>
      <c r="BI941" t="inlineStr">
        <is>
          <t>DEC 2019</t>
        </is>
      </c>
      <c r="BJ941" t="n">
        <v>10</v>
      </c>
      <c r="BK941" t="inlineStr">
        <is>
          <t>Environmental Sciences</t>
        </is>
      </c>
      <c r="BL941" t="inlineStr">
        <is>
          <t>Science Citation Index Expanded (SCI-EXPANDED)</t>
        </is>
      </c>
      <c r="BM941" t="inlineStr">
        <is>
          <t>Environmental Sciences &amp; Ecology</t>
        </is>
      </c>
      <c r="BN941" t="inlineStr">
        <is>
          <t>KN4ZO</t>
        </is>
      </c>
      <c r="BO941" t="n">
        <v>31808084</v>
      </c>
      <c r="BP941" t="inlineStr">
        <is>
          <t>Green Submitted</t>
        </is>
      </c>
      <c r="BS941" t="inlineStr">
        <is>
          <t>2023-10-26</t>
        </is>
      </c>
      <c r="BT941" t="inlineStr">
        <is>
          <t>WOS:000501135000013</t>
        </is>
      </c>
      <c r="BU941">
        <f>HYPERLINK("https%3A%2F%2Fwww.webofscience.com%2Fwos%2Fwoscc%2Ffull-record%2FWOS:000501135000013","View Full Record in Web of Science")</f>
        <v/>
      </c>
    </row>
    <row r="942">
      <c r="A942" t="inlineStr">
        <is>
          <t>J</t>
        </is>
      </c>
      <c r="B942" t="inlineStr">
        <is>
          <t>Altmeier, D; Thiel, A; Frahsa, A</t>
        </is>
      </c>
      <c r="F942" t="inlineStr">
        <is>
          <t>Altmeier, Dorothee; Thiel, Ansgar; Frahsa, Annika</t>
        </is>
      </c>
      <c r="J942" t="inlineStr">
        <is>
          <t>INTERNATIONAL JOURNAL OF ENVIRONMENTAL RESEARCH AND PUBLIC HEALTH</t>
        </is>
      </c>
      <c r="M942" t="inlineStr">
        <is>
          <t>English</t>
        </is>
      </c>
      <c r="N942" t="inlineStr">
        <is>
          <t>Article</t>
        </is>
      </c>
      <c r="T942" t="inlineStr">
        <is>
          <t>'All We Have to Decide Is What to Do with the Time That Is Given to Us' a Photovoice Study on Physical Activity in Nursing Homes</t>
        </is>
      </c>
      <c r="U942" t="inlineStr">
        <is>
          <t>older adults; Photovoice; nursing homes; physical activity; CBPR; nursing staff</t>
        </is>
      </c>
      <c r="V942" t="inlineStr">
        <is>
          <t>OLDER-ADULTS; TOTAL INSTITUTION; RESIDENTS; FACILITATORS; EMPOWERMENT; PERCEPTIONS; DEMENTIA; BARRIERS; BEHAVIOR; EXPLORE</t>
        </is>
      </c>
      <c r="W942" t="inlineStr">
        <is>
          <t>(1) Background: Despite high prevalence of physical inactivity and sedentariness among nursing home residents, research on the influence of environments on this topic remains scarce. This Photovoice study explores how structural and social environments relate to residents' everyday physical activity (PA). (2) Methods: 27 residents, staff, and significant others conducted Photovoice in eight nursing homes in Germany to document factors facilitating or hindering PA. Photographs were discussed with the participants in eight focus groups and analysed using thematic analysis. (3) Results: 169 photographs (between 8 and 42per home) were categorized into three thematic groups: (1) 'architectural challenges for PA promotion in nursing homes'; (2) 'opportunities and limitations of using daily work equipment for PA promotion'; (3) 'social incentives for PA promotion'. Photographs' foci in the homes differed considerably between participant groups. Staff primarily chose environmental constructions and aids that they perceived to enable residents' PA. Residents were more likely to express affections and emotions that would encourage them to be active. (4) Conclusions: PA promotion research in this setting should be sensitive to diverse perceptions of different stakeholder groups and existing power imbalances. Interventions are needed that integrate residents' needs and train staff on how to consider residents' perspectives.</t>
        </is>
      </c>
      <c r="X942" t="inlineStr">
        <is>
          <t>[Altmeier, Dorothee; Thiel, Ansgar; Frahsa, Annika] Univ Tubingen, Inst Sport Sci, D-72072 Tubingen, Germany; [Frahsa, Annika] Univ Bern, Inst Social &amp; Prevent Med, CH-3012 Bern, Switzerland</t>
        </is>
      </c>
      <c r="Y942" t="inlineStr">
        <is>
          <t>Eberhard Karls University of Tubingen; University of Bern</t>
        </is>
      </c>
      <c r="Z942" t="inlineStr">
        <is>
          <t>Frahsa, A (corresponding author), Univ Tubingen, Inst Sport Sci, D-72072 Tubingen, Germany.;Frahsa, A (corresponding author), Univ Bern, Inst Social &amp; Prevent Med, CH-3012 Bern, Switzerland.</t>
        </is>
      </c>
      <c r="AA942" t="inlineStr">
        <is>
          <t>dorothee.altmeier@uni-tuebingen.de; ansgar.thiel@uni-tuebingen.de; Annika.frahsa@ispm.unibe.ch</t>
        </is>
      </c>
      <c r="AB942" t="inlineStr">
        <is>
          <t>Frahsa, Annika/P-7574-2019</t>
        </is>
      </c>
      <c r="AC942" t="inlineStr">
        <is>
          <t>Frahsa, Annika/0000-0002-0207-3989</t>
        </is>
      </c>
      <c r="AD942" t="inlineStr">
        <is>
          <t>German Federal Ministry of Health [2019-2022, ZMVI1-2519FSB114]</t>
        </is>
      </c>
      <c r="AE942" t="inlineStr">
        <is>
          <t>German Federal Ministry of Health</t>
        </is>
      </c>
      <c r="AF942" t="inlineStr">
        <is>
          <t>This research was funded by German Federal Ministry of Health 2019-2022, grant no. ZMVI1-2519FSB114.</t>
        </is>
      </c>
      <c r="AH942" t="n">
        <v>57</v>
      </c>
      <c r="AI942" t="n">
        <v>4</v>
      </c>
      <c r="AJ942" t="n">
        <v>4</v>
      </c>
      <c r="AK942" t="n">
        <v>3</v>
      </c>
      <c r="AL942" t="n">
        <v>6</v>
      </c>
      <c r="AM942" t="inlineStr">
        <is>
          <t>MDPI</t>
        </is>
      </c>
      <c r="AN942" t="inlineStr">
        <is>
          <t>BASEL</t>
        </is>
      </c>
      <c r="AO942" t="inlineStr">
        <is>
          <t>ST ALBAN-ANLAGE 66, CH-4052 BASEL, SWITZERLAND</t>
        </is>
      </c>
      <c r="AQ942" t="inlineStr">
        <is>
          <t>1660-4601</t>
        </is>
      </c>
      <c r="AS942" t="inlineStr">
        <is>
          <t>INT J ENV RES PUB HE</t>
        </is>
      </c>
      <c r="AT942" t="inlineStr">
        <is>
          <t>Int. J. Environ. Res. Public Health</t>
        </is>
      </c>
      <c r="AU942" t="inlineStr">
        <is>
          <t>MAY</t>
        </is>
      </c>
      <c r="AV942" t="n">
        <v>2021</v>
      </c>
      <c r="AW942" t="n">
        <v>18</v>
      </c>
      <c r="AX942" t="n">
        <v>10</v>
      </c>
      <c r="BE942" t="n">
        <v>5481</v>
      </c>
      <c r="BF942" t="inlineStr">
        <is>
          <t>10.3390/ijerph18105481</t>
        </is>
      </c>
      <c r="BG942">
        <f>HYPERLINK("http://dx.doi.org/10.3390/ijerph18105481","http://dx.doi.org/10.3390/ijerph18105481")</f>
        <v/>
      </c>
      <c r="BJ942" t="n">
        <v>16</v>
      </c>
      <c r="BK942" t="inlineStr">
        <is>
          <t>Environmental Sciences; Public, Environmental &amp; Occupational Health</t>
        </is>
      </c>
      <c r="BL942" t="inlineStr">
        <is>
          <t>Science Citation Index Expanded (SCI-EXPANDED); Social Science Citation Index (SSCI)</t>
        </is>
      </c>
      <c r="BM942" t="inlineStr">
        <is>
          <t>Environmental Sciences &amp; Ecology; Public, Environmental &amp; Occupational Health</t>
        </is>
      </c>
      <c r="BN942" t="inlineStr">
        <is>
          <t>SI6FE</t>
        </is>
      </c>
      <c r="BO942" t="n">
        <v>34065443</v>
      </c>
      <c r="BP942" t="inlineStr">
        <is>
          <t>gold, Green Published</t>
        </is>
      </c>
      <c r="BS942" t="inlineStr">
        <is>
          <t>2023-10-26</t>
        </is>
      </c>
      <c r="BT942" t="inlineStr">
        <is>
          <t>WOS:000654921200001</t>
        </is>
      </c>
      <c r="BU942">
        <f>HYPERLINK("https%3A%2F%2Fwww.webofscience.com%2Fwos%2Fwoscc%2Ffull-record%2FWOS:000654921200001","View Full Record in Web of Science")</f>
        <v/>
      </c>
    </row>
    <row r="943">
      <c r="A943" t="inlineStr">
        <is>
          <t>J</t>
        </is>
      </c>
      <c r="B943" t="inlineStr">
        <is>
          <t>Gao, Q; Zang, EM; Bi, J; Dubrow, R; Lowe, SR; Chen, HS; Zeng, Y; Shi, LH; Chen, K</t>
        </is>
      </c>
      <c r="F943" t="inlineStr">
        <is>
          <t>Gao, Qi; Zang, Emma; Bi, Jun; Dubrow, Robert; Lowe, Sarah R.; Chen, Huashuai; Zeng, Yi; Shi, Liuhua; Chen, Kai</t>
        </is>
      </c>
      <c r="J943" t="inlineStr">
        <is>
          <t>ENVIRONMENT INTERNATIONAL</t>
        </is>
      </c>
      <c r="M943" t="inlineStr">
        <is>
          <t>English</t>
        </is>
      </c>
      <c r="N943" t="inlineStr">
        <is>
          <t>Article</t>
        </is>
      </c>
      <c r="T943" t="inlineStr">
        <is>
          <t>Long-term ozone exposure and cognitive impairment among Chinese older adults: A cohort study</t>
        </is>
      </c>
      <c r="U943" t="inlineStr">
        <is>
          <t>Ozone; Long-term exposure; Cognitive impairment; Older adults; Cohort study</t>
        </is>
      </c>
      <c r="V943" t="inlineStr">
        <is>
          <t>MINI-MENTAL-STATE; AIR-POLLUTION; ALZHEIMERS-DISEASE; SYSTEMATIC ANALYSIS; LIPID-PEROXIDATION; GLOBAL BURDEN; RISK-FACTORS; MORTALITY; DEMENTIA; POPULATION</t>
        </is>
      </c>
      <c r="W943" t="inlineStr">
        <is>
          <t>Ambient particulate matter pollution has been linked to impaired cognitive performance, but the effect of ambient ozone exposure on cognitive function remains largely unknown. We examined the association of long-term ozone exposure with the risk of cognitive impairment among a national representative cohort of 9,544 Chinese older adults (aged 65 years and over) with baseline normal cognition from the Chinese Longitudinal Healthy Longevity Survey (2005-2018). The ozone exposure of each participant was measured by annual mean ozone concentrations for the county of residence. Cognitive function was assessed by the Chinese version of the Mini-Mental State Examination (MMSE). We defined cognitive impairment as an MMSE score below 18 points accompanied by an MMSE score that declined &gt;= 4 points from baseline. Cox proportional hazards models were applied to explore the association of ozone exposure with cognitive impairment. During the mean follow-up time of 6.5 years, 2,601 older adults developed cognitive impairment. Each 10-mu g/m(3) increase in annual mean ozone exposure was associated with a 10.4% increased risk of cognitive impairment. The exposure-response relationship between ozone exposure and risk of cognitive impairment showed a linear trend. Sensitivity analyses revealed the association to be robust. We found that older adults from Eastern, Central, and Southern China were particularly susceptible. Our results show that ozone is a risk factor for late-life cognitive decline. Reducing ambient ozone pollution may help delay the onset of cognitive impairment among older adults.</t>
        </is>
      </c>
      <c r="X943" t="inlineStr">
        <is>
          <t>[Gao, Qi; Bi, Jun] Nanjing Univ, Sch Environm, State Key Lab Pollut Control &amp; Resource Reuse, Nanjing, Peoples R China; [Gao, Qi; Dubrow, Robert; Chen, Kai] Yale Sch Publ Hlth, Dept Environm Hlth Sci, New Haven, CT 06510 USA; [Gao, Qi; Dubrow, Robert; Lowe, Sarah R.; Chen, Kai] Yale Sch Publ Hlth, Yale Ctr Climate Change &amp; Hlth, New Haven, CT USA; [Zang, Emma] Yale Univ, Dept Sociol, New Haven, CT USA; [Lowe, Sarah R.] Yale Sch Publ Hlth, Dept Social &amp; Behav Sci, New Haven, CT USA; [Chen, Huashuai] Xiangtan Univ, Business Sch, Xiangtan, Hunan, Peoples R China; [Chen, Huashuai; Zeng, Yi] Duke Med Sch, Ctr Study Aging &amp; Human Dev, Durham, NC USA; [Zeng, Yi] Peking Univ, Ctr Hlth Aging &amp; Dev Studies, Natl Sch Dev, Raissun Inst Adv Studies, Beijing, Peoples R China; [Shi, Liuhua] Emory Univ, Rollins Sch Publ Hlth, Gangarosa Dept Environm Hlth, Atlanta, GA 30322 USA</t>
        </is>
      </c>
      <c r="Y943" t="inlineStr">
        <is>
          <t>Nanjing University; Yale University; Yale University; Yale University; Yale University; Xiangtan University; Duke University; Peking University; Emory University; Rollins School Public Health</t>
        </is>
      </c>
      <c r="Z943" t="inlineStr">
        <is>
          <t>Bi, J (corresponding author), Nanjing Univ, Sch Environm, State Key Lab Pollut Control &amp; Resource Reuse, Nanjing, Peoples R China.;Chen, K (corresponding author), Yale Sch Publ Hlth, Dept Environm Hlth Sci, New Haven, CT 06510 USA.</t>
        </is>
      </c>
      <c r="AA943" t="inlineStr">
        <is>
          <t>jbi@nju.edu.cn; kai.chen@yale.edu</t>
        </is>
      </c>
      <c r="AB943" t="inlineStr">
        <is>
          <t>chen, kai/IWV-0528-2023; Chen, Kai/Y-2226-2018</t>
        </is>
      </c>
      <c r="AC943" t="inlineStr">
        <is>
          <t>Chen, Kai/0000-0002-0164-1112</t>
        </is>
      </c>
      <c r="AD943" t="inlineStr">
        <is>
          <t>National Natural Science Foundation of China [71921003]; U.S. National Institute of Aging (NIA) [1R21AG074238-01]; United Nations Fund for Population Activities (UNFPA); National Social Science Fund of China; Hong Kong Research Grant Council; Research Education Core of the Claude D. Pepper Older Americans Independence Center at Yale School of Medicine [P30AG021342]; Eunice Kennedy Shriver National Institute of Child Health and Human Development [5-R25-HD083146]; High Tide Foundation; Early-Career Research Fellowship from the Gulf Research Program of the National Academies of Sciences, Engineering, and Medicine; HERCULES Center at Emory University [P30 ES019776]; Goizueta Alzheimer's Disease Research Center (ADRC) at Emory University [P50 AG025688]</t>
        </is>
      </c>
      <c r="AE943" t="inlineStr">
        <is>
          <t>National Natural Science Foundation of China(National Natural Science Foundation of China (NSFC)); U.S. National Institute of Aging (NIA); United Nations Fund for Population Activities (UNFPA); National Social Science Fund of China; Hong Kong Research Grant Council(Hong Kong Research Grants Council); Research Education Core of the Claude D. Pepper Older Americans Independence Center at Yale School of Medicine; Eunice Kennedy Shriver National Institute of Child Health and Human Development(United States Department of Health &amp; Human ServicesNational Institutes of Health (NIH) - USANIH Eunice Kennedy Shriver National Institute of Child Health &amp; Human Development (NICHD)); High Tide Foundation; Early-Career Research Fellowship from the Gulf Research Program of the National Academies of Sciences, Engineering, and Medicine; HERCULES Center at Emory University; Goizueta Alzheimer's Disease Research Center (ADRC) at Emory University</t>
        </is>
      </c>
      <c r="AF943" t="inlineStr">
        <is>
          <t>This work was supported by the National Natural Science Foundation of China (71921003). The Chinese Longitudinal Healthy Longevity Survey (CLHLS), which provided the data analyzed in this paper, is jointly supported by funds from the U.S. National Institute of Aging (NIA), the United Nations Fund for Population Activities (UNFPA), the National Social Science Fund of China, the National Natural Science Foundation of China, and Hong Kong Research Grant Council. E.Z. received support from the U.S. National Institute of Aging (1R21AG074238-01), the Research Education Core of the Claude D. Pepper Older Americans Independence Center at Yale School of Medicine (P30AG021342), and the Eunice Kennedy Shriver National Institute of Child Health and Human Development (5-R25-HD083146). R.D. received funding support from the High Tide Foundation. S.L. is supported by an Early-Career Research Fellowship from the Gulf Research Program of the National Academies of Sciences, Engineering, and Medicine. L.S. received support from the HERCULES Center (P30 ES019776) and the Goizueta Alzheimer's Disease Research Center (ADRC) at Emory University (P50 AG025688). The content is solely the responsibility of the authors and does not necessarily represent the official views of the funding sources.</t>
        </is>
      </c>
      <c r="AH943" t="n">
        <v>65</v>
      </c>
      <c r="AI943" t="n">
        <v>16</v>
      </c>
      <c r="AJ943" t="n">
        <v>17</v>
      </c>
      <c r="AK943" t="n">
        <v>8</v>
      </c>
      <c r="AL943" t="n">
        <v>54</v>
      </c>
      <c r="AM943" t="inlineStr">
        <is>
          <t>PERGAMON-ELSEVIER SCIENCE LTD</t>
        </is>
      </c>
      <c r="AN943" t="inlineStr">
        <is>
          <t>OXFORD</t>
        </is>
      </c>
      <c r="AO943" t="inlineStr">
        <is>
          <t>THE BOULEVARD, LANGFORD LANE, KIDLINGTON, OXFORD OX5 1GB, ENGLAND</t>
        </is>
      </c>
      <c r="AP943" t="inlineStr">
        <is>
          <t>0160-4120</t>
        </is>
      </c>
      <c r="AQ943" t="inlineStr">
        <is>
          <t>1873-6750</t>
        </is>
      </c>
      <c r="AS943" t="inlineStr">
        <is>
          <t>ENVIRON INT</t>
        </is>
      </c>
      <c r="AT943" t="inlineStr">
        <is>
          <t>Environ. Int.</t>
        </is>
      </c>
      <c r="AU943" t="inlineStr">
        <is>
          <t>FEB</t>
        </is>
      </c>
      <c r="AV943" t="n">
        <v>2022</v>
      </c>
      <c r="AW943" t="n">
        <v>160</v>
      </c>
      <c r="BE943" t="n">
        <v>107072</v>
      </c>
      <c r="BF943" t="inlineStr">
        <is>
          <t>10.1016/j.envint.2021.107072</t>
        </is>
      </c>
      <c r="BG943">
        <f>HYPERLINK("http://dx.doi.org/10.1016/j.envint.2021.107072","http://dx.doi.org/10.1016/j.envint.2021.107072")</f>
        <v/>
      </c>
      <c r="BI943" t="inlineStr">
        <is>
          <t>JAN 2022</t>
        </is>
      </c>
      <c r="BJ943" t="n">
        <v>11</v>
      </c>
      <c r="BK943" t="inlineStr">
        <is>
          <t>Environmental Sciences</t>
        </is>
      </c>
      <c r="BL943" t="inlineStr">
        <is>
          <t>Science Citation Index Expanded (SCI-EXPANDED); Social Science Citation Index (SSCI)</t>
        </is>
      </c>
      <c r="BM943" t="inlineStr">
        <is>
          <t>Environmental Sciences &amp; Ecology</t>
        </is>
      </c>
      <c r="BN943" t="inlineStr">
        <is>
          <t>YM3XO</t>
        </is>
      </c>
      <c r="BO943" t="n">
        <v>34979350</v>
      </c>
      <c r="BP943" t="inlineStr">
        <is>
          <t>gold, Green Accepted</t>
        </is>
      </c>
      <c r="BS943" t="inlineStr">
        <is>
          <t>2023-10-26</t>
        </is>
      </c>
      <c r="BT943" t="inlineStr">
        <is>
          <t>WOS:000746511100008</t>
        </is>
      </c>
      <c r="BU943">
        <f>HYPERLINK("https%3A%2F%2Fwww.webofscience.com%2Fwos%2Fwoscc%2Ffull-record%2FWOS:000746511100008","View Full Record in Web of Science")</f>
        <v/>
      </c>
    </row>
    <row r="944">
      <c r="A944" t="inlineStr">
        <is>
          <t>J</t>
        </is>
      </c>
      <c r="B944" t="inlineStr">
        <is>
          <t>Chau, PH; Yip, PSF; Lau, EHY; Ip, YT; Law, FYW; Ho, RTH; Leung, AYM; Wong, JYH; Woo, J</t>
        </is>
      </c>
      <c r="F944" t="inlineStr">
        <is>
          <t>Chau, Pui Hing; Yip, Paul Siu Fai; Lau, Eric Ho Yin; Ip, Yee Ting; Law, Frances Yik Wa; Ho, Rainbow Tin Hung; Leung, Angela Yee Man; Wong, Janet Yuen Ha; Woo, Jean</t>
        </is>
      </c>
      <c r="J944" t="inlineStr">
        <is>
          <t>INTERNATIONAL JOURNAL OF ENVIRONMENTAL RESEARCH AND PUBLIC HEALTH</t>
        </is>
      </c>
      <c r="M944" t="inlineStr">
        <is>
          <t>English</t>
        </is>
      </c>
      <c r="N944" t="inlineStr">
        <is>
          <t>Article</t>
        </is>
      </c>
      <c r="T944" t="inlineStr">
        <is>
          <t>Hot Weather and Suicide Deaths among Older Adults in Hong Kong, 1976-2014: A Retrospective Study</t>
        </is>
      </c>
      <c r="U944" t="inlineStr">
        <is>
          <t>Suicide; temperature; weather; older adults; Hong Kong</t>
        </is>
      </c>
      <c r="V944" t="inlineStr">
        <is>
          <t>METEOROLOGICAL FACTORS; AMBIENT-TEMPERATURE; ASSOCIATION; MORTALITY; RATES; POPULATION; BEHAVIOR; VIOLENT; SEASONALITY; SUNSHINE</t>
        </is>
      </c>
      <c r="W944" t="inlineStr">
        <is>
          <t>Findings of the association between hot weather and suicide in a subtropical city such as Hong Kong are inconsistent. This study aimed to revisit the association by identifying meteorological risk factors for older-adult suicides in Hong Kong using a time-series approach. A retrospective study was conducted on older-adult (aged &gt;= 65) suicide deaths in Hong Kong from 1976 to 2014. Suicides were classified into those involving violent methods and those involving nonviolent methods. Meteorological data, including ambient temperature, were retrieved. Transfer function time-series models were fitted. In total, 7314 older-adult suicide deaths involving violent methods and 630 involving nonviolent methods were recorded. For violent-method suicides, a monthly average daily minimum ambient temperature was determined to best predict the monthly rate, and a daily maximum ambient temperature of 30.3 degrees C was considered the threshold. For suicide deaths involving nonviolent methods, the number of days in a month for which the daily maximum ambient temperature exceeded 32.7 degrees C could best predict the monthly rate. Higher ambient temperature was associated with more older-adult suicide deaths, both from violent and nonviolent methods. Weather-focused preventive measures for older-adult suicides are necessary, such as the provision of more public air-conditioned areas where older adults can shelter from extreme hot weather.</t>
        </is>
      </c>
      <c r="X944" t="inlineStr">
        <is>
          <t>[Chau, Pui Hing; Wong, Janet Yuen Ha] Univ Hong Kong, Sch Nursing, Hong Kong, Peoples R China; [Chau, Pui Hing; Yip, Paul Siu Fai; Law, Frances Yik Wa] Univ Hong Kong, Hong Kong Jockey Club Ctr Suicide Res &amp; Prevent, Hong Kong, Peoples R China; [Yip, Paul Siu Fai; Law, Frances Yik Wa; Ho, Rainbow Tin Hung] Univ Hong Kong, Dept Social Work &amp; Social Adm, Hong Kong, Peoples R China; [Lau, Eric Ho Yin] Univ Hong Kong, Sch Publ Hlth, Hong Kong, Peoples R China; [Ip, Yee Ting] Duchess Kent Childrens Hosp Sandy Bay, Hong Kong, Peoples R China; [Ho, Rainbow Tin Hung] Univ Hong Kong, Ctr Bebavioral Hlth, Hong Kong, Peoples R China; [Leung, Angela Yee Man] Hong Kong Polytech Univ, Sch Nursing, Hong Kong, Peoples R China; [Woo, Jean] Chinese Univ Hong Kong, Dept Med &amp; Therapeut, Hong Kong, Peoples R China</t>
        </is>
      </c>
      <c r="Y944" t="inlineStr">
        <is>
          <t>University of Hong Kong; University of Hong Kong; University of Hong Kong; University of Hong Kong; University of Hong Kong; Hong Kong Polytechnic University; Chinese University of Hong Kong</t>
        </is>
      </c>
      <c r="Z944" t="inlineStr">
        <is>
          <t>Chau, PH (corresponding author), Univ Hong Kong, Sch Nursing, Hong Kong, Peoples R China.;Chau, PH (corresponding author), Univ Hong Kong, Hong Kong Jockey Club Ctr Suicide Res &amp; Prevent, Hong Kong, Peoples R China.</t>
        </is>
      </c>
      <c r="AA944" t="inlineStr">
        <is>
          <t>phchau@graduate.hku.hk; sfpyip@hku.hk; tinho@hku.hk; ehylau@hku.hk; flawhk@hku.hk; iyt003@ha.org.hk; angleung@hku.hk; janetyh@hku.hk; jeanwoowong@cuhk.edu.hk</t>
        </is>
      </c>
      <c r="AB944" t="inlineStr">
        <is>
          <t>Chau, Pui Hing/A-2290-2010; Woo, Jean/K-2625-2014; Ho, Rainbow Tin Hung/A-8705-2012; Lau, Eric/AAJ-6588-2021; Wong, Janet Yuen Ha/F-4433-2011; Leung, Angela YM/C-4768-2009</t>
        </is>
      </c>
      <c r="AC944" t="inlineStr">
        <is>
          <t>Woo, Jean/0000-0001-7593-3081; Ho, Rainbow Tin Hung/0000-0002-6173-621X; Lau, Eric/0000-0002-6688-9637; Wong, Janet Yuen Ha/0000-0002-3000-4577; Leung, Angela YM/0000-0002-9836-1925; Ip, Yee Ting/0000-0002-9511-3352</t>
        </is>
      </c>
      <c r="AD944" t="inlineStr">
        <is>
          <t>Health and Medical Research Fund [14151741]; Food and Health Bureau of the Hong Kong Special Administrative Region Government</t>
        </is>
      </c>
      <c r="AE944" t="inlineStr">
        <is>
          <t>Health and Medical Research Fund; Food and Health Bureau of the Hong Kong Special Administrative Region Government</t>
        </is>
      </c>
      <c r="AF944" t="inlineStr">
        <is>
          <t>This work was funded by the Health and Medical Research Fund (no. 14151741) of the Food and Health Bureau of the Hong Kong Special Administrative Region Government.</t>
        </is>
      </c>
      <c r="AH944" t="n">
        <v>47</v>
      </c>
      <c r="AI944" t="n">
        <v>8</v>
      </c>
      <c r="AJ944" t="n">
        <v>8</v>
      </c>
      <c r="AK944" t="n">
        <v>1</v>
      </c>
      <c r="AL944" t="n">
        <v>14</v>
      </c>
      <c r="AM944" t="inlineStr">
        <is>
          <t>MDPI</t>
        </is>
      </c>
      <c r="AN944" t="inlineStr">
        <is>
          <t>BASEL</t>
        </is>
      </c>
      <c r="AO944" t="inlineStr">
        <is>
          <t>ST ALBAN-ANLAGE 66, CH-4052 BASEL, SWITZERLAND</t>
        </is>
      </c>
      <c r="AQ944" t="inlineStr">
        <is>
          <t>1660-4601</t>
        </is>
      </c>
      <c r="AS944" t="inlineStr">
        <is>
          <t>INT J ENV RES PUB HE</t>
        </is>
      </c>
      <c r="AT944" t="inlineStr">
        <is>
          <t>Int. J. Environ. Res. Public Health</t>
        </is>
      </c>
      <c r="AU944" t="inlineStr">
        <is>
          <t>MAY</t>
        </is>
      </c>
      <c r="AV944" t="n">
        <v>2020</v>
      </c>
      <c r="AW944" t="n">
        <v>17</v>
      </c>
      <c r="AX944" t="n">
        <v>10</v>
      </c>
      <c r="BE944" t="n">
        <v>3449</v>
      </c>
      <c r="BF944" t="inlineStr">
        <is>
          <t>10.3390/ijerph17103449</t>
        </is>
      </c>
      <c r="BG944">
        <f>HYPERLINK("http://dx.doi.org/10.3390/ijerph17103449","http://dx.doi.org/10.3390/ijerph17103449")</f>
        <v/>
      </c>
      <c r="BJ944" t="n">
        <v>16</v>
      </c>
      <c r="BK944" t="inlineStr">
        <is>
          <t>Environmental Sciences; Public, Environmental &amp; Occupational Health</t>
        </is>
      </c>
      <c r="BL944" t="inlineStr">
        <is>
          <t>Science Citation Index Expanded (SCI-EXPANDED); Social Science Citation Index (SSCI)</t>
        </is>
      </c>
      <c r="BM944" t="inlineStr">
        <is>
          <t>Environmental Sciences &amp; Ecology; Public, Environmental &amp; Occupational Health</t>
        </is>
      </c>
      <c r="BN944" t="inlineStr">
        <is>
          <t>LW7CK</t>
        </is>
      </c>
      <c r="BO944" t="n">
        <v>32429190</v>
      </c>
      <c r="BP944" t="inlineStr">
        <is>
          <t>Green Published, gold</t>
        </is>
      </c>
      <c r="BS944" t="inlineStr">
        <is>
          <t>2023-10-26</t>
        </is>
      </c>
      <c r="BT944" t="inlineStr">
        <is>
          <t>WOS:000539300900106</t>
        </is>
      </c>
      <c r="BU944">
        <f>HYPERLINK("https%3A%2F%2Fwww.webofscience.com%2Fwos%2Fwoscc%2Ffull-record%2FWOS:000539300900106","View Full Record in Web of Science")</f>
        <v/>
      </c>
    </row>
    <row r="945">
      <c r="A945" t="inlineStr">
        <is>
          <t>J</t>
        </is>
      </c>
      <c r="B945" t="inlineStr">
        <is>
          <t>Lin, HH; Chang, KH; Tseng, CH; Lee, YS; Hung, CH</t>
        </is>
      </c>
      <c r="F945" t="inlineStr">
        <is>
          <t>Lin, Hsiao-Hsien; Chang, Ko-Hsin; Tseng, Chih-Hung; Lee, Yueh-Shiu; Hung, Chih-Hsiang</t>
        </is>
      </c>
      <c r="J945" t="inlineStr">
        <is>
          <t>INTERNATIONAL JOURNAL OF ENVIRONMENTAL RESEARCH AND PUBLIC HEALTH</t>
        </is>
      </c>
      <c r="M945" t="inlineStr">
        <is>
          <t>English</t>
        </is>
      </c>
      <c r="N945" t="inlineStr">
        <is>
          <t>Article</t>
        </is>
      </c>
      <c r="T945" t="inlineStr">
        <is>
          <t>Can the Development of Religious and Cultural Tourism Build a Sustainable and Friendly Life and Leisure Environment for the Elderly and Promote Physical and Mental Health?</t>
        </is>
      </c>
      <c r="U945" t="inlineStr">
        <is>
          <t>religious culture; senior citizens; leisure satisfaction; physical and mental health; development balance</t>
        </is>
      </c>
      <c r="V945" t="inlineStr">
        <is>
          <t>QUALITY-OF-LIFE; RESIDENT ATTITUDES; SATISFACTION; TIME</t>
        </is>
      </c>
      <c r="W945" t="inlineStr">
        <is>
          <t>From the perspective of satisfaction, physical and mental health, and re-travel, this study explored whether the development of religious and cultural tourism could construct a sustainable and friendly life and leisure environment for the elderly to promote physical and mental health. This research adopted a mixed method, collected 700 questionnaires, used SPSS 22.0 statistical software, and analyzed basic statistics, t-test, and PPMCC test. Then, the researchers conducted semi-structured interviews, collected the opinions of six interviewees, and finally analyzed with multiple checks Law discussion. The results found that people of different genders and stakeholders had different opinions about DIY activities on leisure satisfaction, featured itineraries, relaxation areas, signs and instructions, community association and service center services, historical landmarks, and public transportation. They found people's life satisfaction in physical and mental health was increased, their headaches or pressures on the top of their heads were relieved, backache problems were reduced, and they were no longer anxious and lost tempers. They had a greater willingness to revisit some places and share experiences. This study found significant differences among these topics (p &lt; 0.01). Women, residents, and tourists had different opinions. In addition, although the natural environment landscape and feelings have the greatest influence, the better the physical and mental health was improved, the better the willingness to travel. However, the more perfect the local construction and development, the less favorable to attract people to engage in leisure activities or tourism consumption.</t>
        </is>
      </c>
      <c r="X945" t="inlineStr">
        <is>
          <t>[Lin, Hsiao-Hsien] Jiaying Univ, Sch Phys Educ, Meizhou 514015, Peoples R China; [Chang, Ko-Hsin] Chinese Culture Univ, Dept Phys Educ, Taipei 111396, Taiwan; [Tseng, Chih-Hung] Asia Univ, Dept Leisure &amp; Recreat Management, Taichung 41354, Taiwan; [Lee, Yueh-Shiu] Natl Penghu Univ Sci &amp; Technol, Gen Educ Ctr, Kaohsiung 88000, Taiwan; [Hung, Chih-Hsiang] Taipei Med Univ, Ctr Gen Educ, Taipei 11031, Taiwan</t>
        </is>
      </c>
      <c r="Y945" t="inlineStr">
        <is>
          <t>Jiaying University; Asia University Taiwan; Taipei Medical University</t>
        </is>
      </c>
      <c r="Z945" t="inlineStr">
        <is>
          <t>Hung, CH (corresponding author), Taipei Med Univ, Ctr Gen Educ, Taipei 11031, Taiwan.</t>
        </is>
      </c>
      <c r="AA945" t="inlineStr">
        <is>
          <t>chrishome12001@yahoo.com.tw; zkx2@ulive.pccu.edu.tw; boy217010@hotmail.com; leeys@gms.npu.edu.tw; sean0326@tmu.edu.tw</t>
        </is>
      </c>
      <c r="AB945" t="inlineStr">
        <is>
          <t>Lin, Hsiao Hsien/AEH-2149-2022</t>
        </is>
      </c>
      <c r="AC945" t="inlineStr">
        <is>
          <t>Lin, Hsiao Hsien/0000-0001-8360-3998</t>
        </is>
      </c>
      <c r="AH945" t="n">
        <v>78</v>
      </c>
      <c r="AI945" t="n">
        <v>11</v>
      </c>
      <c r="AJ945" t="n">
        <v>11</v>
      </c>
      <c r="AK945" t="n">
        <v>3</v>
      </c>
      <c r="AL945" t="n">
        <v>34</v>
      </c>
      <c r="AM945" t="inlineStr">
        <is>
          <t>MDPI</t>
        </is>
      </c>
      <c r="AN945" t="inlineStr">
        <is>
          <t>BASEL</t>
        </is>
      </c>
      <c r="AO945" t="inlineStr">
        <is>
          <t>ST ALBAN-ANLAGE 66, CH-4052 BASEL, SWITZERLAND</t>
        </is>
      </c>
      <c r="AQ945" t="inlineStr">
        <is>
          <t>1660-4601</t>
        </is>
      </c>
      <c r="AS945" t="inlineStr">
        <is>
          <t>INT J ENV RES PUB HE</t>
        </is>
      </c>
      <c r="AT945" t="inlineStr">
        <is>
          <t>Int. J. Environ. Res. Public Health</t>
        </is>
      </c>
      <c r="AU945" t="inlineStr">
        <is>
          <t>NOV</t>
        </is>
      </c>
      <c r="AV945" t="n">
        <v>2021</v>
      </c>
      <c r="AW945" t="n">
        <v>18</v>
      </c>
      <c r="AX945" t="n">
        <v>22</v>
      </c>
      <c r="BE945" t="n">
        <v>11989</v>
      </c>
      <c r="BF945" t="inlineStr">
        <is>
          <t>10.3390/ijerph182211989</t>
        </is>
      </c>
      <c r="BG945">
        <f>HYPERLINK("http://dx.doi.org/10.3390/ijerph182211989","http://dx.doi.org/10.3390/ijerph182211989")</f>
        <v/>
      </c>
      <c r="BJ945" t="n">
        <v>17</v>
      </c>
      <c r="BK945" t="inlineStr">
        <is>
          <t>Environmental Sciences; Public, Environmental &amp; Occupational Health</t>
        </is>
      </c>
      <c r="BL945" t="inlineStr">
        <is>
          <t>Science Citation Index Expanded (SCI-EXPANDED); Social Science Citation Index (SSCI)</t>
        </is>
      </c>
      <c r="BM945" t="inlineStr">
        <is>
          <t>Environmental Sciences &amp; Ecology; Public, Environmental &amp; Occupational Health</t>
        </is>
      </c>
      <c r="BN945" t="inlineStr">
        <is>
          <t>XK2HX</t>
        </is>
      </c>
      <c r="BO945" t="n">
        <v>34831742</v>
      </c>
      <c r="BP945" t="inlineStr">
        <is>
          <t>gold, Green Published</t>
        </is>
      </c>
      <c r="BS945" t="inlineStr">
        <is>
          <t>2023-10-26</t>
        </is>
      </c>
      <c r="BT945" t="inlineStr">
        <is>
          <t>WOS:000727293900001</t>
        </is>
      </c>
      <c r="BU945">
        <f>HYPERLINK("https%3A%2F%2Fwww.webofscience.com%2Fwos%2Fwoscc%2Ffull-record%2FWOS:000727293900001","View Full Record in Web of Science")</f>
        <v/>
      </c>
    </row>
    <row r="946">
      <c r="A946" t="inlineStr">
        <is>
          <t>J</t>
        </is>
      </c>
      <c r="B946" t="inlineStr">
        <is>
          <t>Terry, AC; Carslaw, N; Ashmore, M; Dimitroulopoulou, S; Carslaw, DC</t>
        </is>
      </c>
      <c r="F946" t="inlineStr">
        <is>
          <t>Terry, Andrew C.; Carslaw, Nicola; Ashmore, Mike; Dimitroulopoulou, Sani; Carslaw, David C.</t>
        </is>
      </c>
      <c r="J946" t="inlineStr">
        <is>
          <t>ATMOSPHERIC ENVIRONMENT</t>
        </is>
      </c>
      <c r="M946" t="inlineStr">
        <is>
          <t>English</t>
        </is>
      </c>
      <c r="N946" t="inlineStr">
        <is>
          <t>Article</t>
        </is>
      </c>
      <c r="T946" t="inlineStr">
        <is>
          <t>Occupant exposure to indoor air pollutants in modern European offices: An integrated modelling approach</t>
        </is>
      </c>
      <c r="U946" t="inlineStr">
        <is>
          <t>Indoor air chemistry; INDAIR-CHEM; Ozone; Limonene; Cleaning; Heat-wave</t>
        </is>
      </c>
      <c r="V946" t="inlineStr">
        <is>
          <t>MASTER CHEMICAL MECHANISM; BUILDING-RELATED SYMPTOMS; MCM V3 PART; TROPOSPHERIC DEGRADATION; PROTOCOL; HEALTH; FORMALDEHYDE; POLLUTION; OZONE; UK</t>
        </is>
      </c>
      <c r="W946" t="inlineStr">
        <is>
          <t>A new model (INDAIR-CHEM) has been developed by combining a detailed indoor air chemistry model with a physical and probabilistic multi-compartment indoor/outdoor air exposure model. The detailed indoor air chemistry model was used to produce a simplified chemistry scheme for INDAIR-CHEM, which performs well for key indoor air pollutants under a range of conditions when compared to the parent model. INDAIR-CHEM was used to compare indoor pollutant concentrations in naturally ventilated offices in 8 European cities for typical outdoor conditions in summer, with those experienced during the European heat-wave in August 2003 for different air exchange rates. We also investigated the effect of cleaning with limonene based products on the subsequent exposure to secondary reaction products from limonene degradation. Extreme climatic conditions, such as a heat-wave which often leads to poor outdoor air quality, can increase personal exposure to both primary and secondary species indoors. Occupant exposure to indoor air pollutants may also be exacerbated by poor ventilation in offices. Reduced ventilation reduces maximum exposure to ozone, as there is less ingress from outdoors, but allows secondary species to persist indoors for much longer. The balance between these two processes may mean that cumulative exposures for office workers increase as ventilation decreases. Cleaning staff are at lower risk of exposure to secondary oxidation products if they clean before office hours rather than after office hours, since ozone is generally at lower outdoor (and hence indoor) concentrations during the early morning compared to late afternoon. However, from the viewpoint of office workers, reduced exposure would occur if cleaning was performed at the end of the working day. (C) 2013 Elsevier Ltd. All rights reserved.</t>
        </is>
      </c>
      <c r="X946" t="inlineStr">
        <is>
          <t>[Terry, Andrew C.; Carslaw, Nicola] Univ York, Dept Environm, York YO10 5DD, N Yorkshire, England; [Ashmore, Mike] Univ York, Stockholm Environm Inst, York YO10 5DD, N Yorkshire, England; [Dimitroulopoulou, Sani] Univ West Macedonia, Dept Mech Engn, Kozani, Greece; [Carslaw, David C.] Kings Coll London, Environm Res Grp, London SE1 9NH, England</t>
        </is>
      </c>
      <c r="Y946" t="inlineStr">
        <is>
          <t>University of York - UK; University of York - UK; University of London; King's College London</t>
        </is>
      </c>
      <c r="Z946" t="inlineStr">
        <is>
          <t>Carslaw, N (corresponding author), Univ York, Dept Environm, York YO10 5DD, N Yorkshire, England.</t>
        </is>
      </c>
      <c r="AA946" t="inlineStr">
        <is>
          <t>andrew.terry@york.ac.uk; nicola.carslaw@york.ac.uk; mike.ashmore@york.ac.uk; sanidimi@grnail.com; david.carslaw@kcl.ac.uk</t>
        </is>
      </c>
      <c r="AB946" t="inlineStr">
        <is>
          <t>Carslaw, David/S-1146-2019; Carslaw, Nicola/A-7228-2008</t>
        </is>
      </c>
      <c r="AC946" t="inlineStr">
        <is>
          <t>Carslaw, David/0000-0003-0991-950X; Carslaw, Nicola/0000-0002-5290-4779; Dimitroulopoulou, Sani/0000-0001-9913-1526</t>
        </is>
      </c>
      <c r="AD946" t="inlineStr">
        <is>
          <t>OFFICAIR (On the reduction of health effects from combined exposure to indoor air pollutants in modern offices); European Union [265267]</t>
        </is>
      </c>
      <c r="AE946" t="inlineStr">
        <is>
          <t>OFFICAIR (On the reduction of health effects from combined exposure to indoor air pollutants in modern offices); European Union(European Union (EU))</t>
        </is>
      </c>
      <c r="AF946" t="inlineStr">
        <is>
          <t>This work was supported (in part) from the project OFFICAIR (On the reduction of health effects from combined exposure to indoor air pollutants in modern offices) funded by the European Union 7th Framework (Agreement 265267) under the Theme: ENV.2010.1.2.2-1</t>
        </is>
      </c>
      <c r="AH946" t="n">
        <v>35</v>
      </c>
      <c r="AI946" t="n">
        <v>24</v>
      </c>
      <c r="AJ946" t="n">
        <v>24</v>
      </c>
      <c r="AK946" t="n">
        <v>0</v>
      </c>
      <c r="AL946" t="n">
        <v>54</v>
      </c>
      <c r="AM946" t="inlineStr">
        <is>
          <t>PERGAMON-ELSEVIER SCIENCE LTD</t>
        </is>
      </c>
      <c r="AN946" t="inlineStr">
        <is>
          <t>OXFORD</t>
        </is>
      </c>
      <c r="AO946" t="inlineStr">
        <is>
          <t>THE BOULEVARD, LANGFORD LANE, KIDLINGTON, OXFORD OX5 1GB, ENGLAND</t>
        </is>
      </c>
      <c r="AP946" t="inlineStr">
        <is>
          <t>1352-2310</t>
        </is>
      </c>
      <c r="AQ946" t="inlineStr">
        <is>
          <t>1873-2844</t>
        </is>
      </c>
      <c r="AS946" t="inlineStr">
        <is>
          <t>ATMOS ENVIRON</t>
        </is>
      </c>
      <c r="AT946" t="inlineStr">
        <is>
          <t>Atmos. Environ.</t>
        </is>
      </c>
      <c r="AU946" t="inlineStr">
        <is>
          <t>JAN</t>
        </is>
      </c>
      <c r="AV946" t="n">
        <v>2014</v>
      </c>
      <c r="AW946" t="n">
        <v>82</v>
      </c>
      <c r="BC946" t="n">
        <v>9</v>
      </c>
      <c r="BD946" t="n">
        <v>16</v>
      </c>
      <c r="BF946" t="inlineStr">
        <is>
          <t>10.1016/j.atmosenv.2013.09.042</t>
        </is>
      </c>
      <c r="BG946">
        <f>HYPERLINK("http://dx.doi.org/10.1016/j.atmosenv.2013.09.042","http://dx.doi.org/10.1016/j.atmosenv.2013.09.042")</f>
        <v/>
      </c>
      <c r="BJ946" t="n">
        <v>8</v>
      </c>
      <c r="BK946" t="inlineStr">
        <is>
          <t>Environmental Sciences; Meteorology &amp; Atmospheric Sciences</t>
        </is>
      </c>
      <c r="BL946" t="inlineStr">
        <is>
          <t>Science Citation Index Expanded (SCI-EXPANDED)</t>
        </is>
      </c>
      <c r="BM946" t="inlineStr">
        <is>
          <t>Environmental Sciences &amp; Ecology; Meteorology &amp; Atmospheric Sciences</t>
        </is>
      </c>
      <c r="BN946" t="inlineStr">
        <is>
          <t>292EY</t>
        </is>
      </c>
      <c r="BS946" t="inlineStr">
        <is>
          <t>2023-10-26</t>
        </is>
      </c>
      <c r="BT946" t="inlineStr">
        <is>
          <t>WOS:000329886200002</t>
        </is>
      </c>
      <c r="BU946">
        <f>HYPERLINK("https%3A%2F%2Fwww.webofscience.com%2Fwos%2Fwoscc%2Ffull-record%2FWOS:000329886200002","View Full Record in Web of Science")</f>
        <v/>
      </c>
    </row>
    <row r="947">
      <c r="A947" t="inlineStr">
        <is>
          <t>J</t>
        </is>
      </c>
      <c r="B947" t="inlineStr">
        <is>
          <t>Kärnä, E; Aavikko, L; Rohner, R; Gallistl, V; Pihlainen, K; Müller, C; Ehlers, A; Bevilacqua, R; Strano, S; Maranesi, E; Cerna, K; Hengl, L; Kolland, F; Waldenberger, F; Naegele, G; Park, S; Hess, M; Reuter, V; Frewer-Graumann, S; Korjonen-Kuusipuro, K</t>
        </is>
      </c>
      <c r="F947" t="inlineStr">
        <is>
          <t>Kaernae, Eija; Aavikko, Lotta; Rohner, Rebekka; Gallistl, Vera; Pihlainen, Kaisa; Mueller, Claudia; Ehlers, Anja; Bevilacqua, Roberta; Strano, Stefano; Maranesi, Elvira; Cerna, Katerina; Hengl, Lisa; Kolland, Franz; Waldenberger, Franz; Naegele, Gerd; Park, Sieun; Hess, Moritz; Reuter, Verena; Frewer-Graumann, Susanne; Korjonen-Kuusipuro, Kristiina</t>
        </is>
      </c>
      <c r="J947" t="inlineStr">
        <is>
          <t>INTERNATIONAL JOURNAL OF ENVIRONMENTAL RESEARCH AND PUBLIC HEALTH</t>
        </is>
      </c>
      <c r="M947" t="inlineStr">
        <is>
          <t>English</t>
        </is>
      </c>
      <c r="N947" t="inlineStr">
        <is>
          <t>Article</t>
        </is>
      </c>
      <c r="T947" t="inlineStr">
        <is>
          <t>A Multilevel Model of Older Adults' Appropriation of ICT and Acquisition of Digital Literacy</t>
        </is>
      </c>
      <c r="U947" t="inlineStr">
        <is>
          <t>older adults; digital literacy; digital skills training; multilevel model</t>
        </is>
      </c>
      <c r="V947" t="inlineStr">
        <is>
          <t>DIVIDE; TECHNOLOGY; MEDIA</t>
        </is>
      </c>
      <c r="W947" t="inlineStr">
        <is>
          <t>Digital literacy refers to a set of competencies related to the skilled use of computers and information technology. Low digital skills can be a barrier for older adults' full participation in a digital society, and COVID-19 has increased this risk of social exclusion. Older adults' digital inclusion is a complex process that consists of the interplay of structural and individual factors. The ACCESS project unwrapped the complexity of the process and developed an innovative, multilevel model that illustrates how societal, institutional, material and pedagogical aspects shape adults' appropriation of digital literacy. A holistic model describes factors contributing to older adults' digital literacy, acknowledging sociocultural contexts, environments, learning settings and instruction practices for learning digital literacy. Instead of seeing older adults' reasons for learning digital skills purely as individual choice, this model recognizes the interpersonal, institutional and societal aspects that implicitly or explicitly influence older adults' acquisition of digital literacy. The results offer a tool for stakeholders, the research community, companies, designers and other relevant stakeholders to consider digital skills and the given support. It demands diverse communication between different stakeholders about the things that should be discussed when organizing digital support in digitalized societies.</t>
        </is>
      </c>
      <c r="X947" t="inlineStr">
        <is>
          <t>[Kaernae, Eija; Aavikko, Lotta; Pihlainen, Kaisa] Univ Eastern Finland, Sch Educ Sci &amp; Psychol, Joensuu 80101, Finland; [Rohner, Rebekka; Gallistl, Vera; Hengl, Lisa; Kolland, Franz] Karl Landsteiner Univ Hlth Sci, Div Gerontol &amp; Hlth Res, A-3500 Krems An Der Donau, Austria; [Mueller, Claudia] Univ Siegen, Esp IT Ageing Soc, Informat Syst, D-57072 Siegen, Germany; [Ehlers, Anja; Naegele, Gerd; Reuter, Verena] Tech Univ Dortmund, Inst Gerontol, Res Assoc Gerontol FfG, D-44339 Dortmund, Germany; [Bevilacqua, Roberta; Strano, Stefano; Maranesi, Elvira] IRCCS INRCA, Sci Direct, I-60124 Ancona, Italy; [Cerna, Katerina] Gothenburg Univ, Dept Appl IT, MDI Div, S-41314 Gothenburg, Sweden; [Waldenberger, Franz; Park, Sieun] German Inst Japanese Studies, Tokyo 1020094, Japan; [Hess, Moritz] Univ Appl Sci, Hsch Niederrhein, D-47805 Krefeld, Germany; [Frewer-Graumann, Susanne] FOM Univ Appl Sci, Div Hlth &amp; Social Affairs, D-48155 Munster, Germany; [Korjonen-Kuusipuro, Kristiina] South Eastern Finland Univ Appl Sci, Juvenia Youth Res &amp; Dev Ctr, Mikkeli 50101, Finland</t>
        </is>
      </c>
      <c r="Y947" t="inlineStr">
        <is>
          <t>University of Eastern Finland; Universitat Siegen; Dortmund University of Technology; IRCCS INRCA; Royal Institute of Technology; University of Gothenburg; South-Eastern Finland University of Applied Sciences</t>
        </is>
      </c>
      <c r="Z947" t="inlineStr">
        <is>
          <t>Bevilacqua, R (corresponding author), IRCCS INRCA, Sci Direct, I-60124 Ancona, Italy.</t>
        </is>
      </c>
      <c r="AA947" t="inlineStr">
        <is>
          <t>r.bevilacqua@inrca.it</t>
        </is>
      </c>
      <c r="AB947" t="inlineStr">
        <is>
          <t>Maranesi, Elvira/K-2828-2018; Bevilacqua, Roberta/AAB-7631-2019</t>
        </is>
      </c>
      <c r="AC947" t="inlineStr">
        <is>
          <t>Maranesi, Elvira/0000-0002-2414-3773; Bevilacqua, Roberta/0000-0002-3851-3552; Pihlainen, Kaisa/0000-0001-9437-4481; Aavikko, Lotta/0000-0002-4527-9709; Karna, Eija/0000-0001-8107-3604</t>
        </is>
      </c>
      <c r="AH947" t="n">
        <v>66</v>
      </c>
      <c r="AI947" t="n">
        <v>0</v>
      </c>
      <c r="AJ947" t="n">
        <v>0</v>
      </c>
      <c r="AK947" t="n">
        <v>25</v>
      </c>
      <c r="AL947" t="n">
        <v>42</v>
      </c>
      <c r="AM947" t="inlineStr">
        <is>
          <t>MDPI</t>
        </is>
      </c>
      <c r="AN947" t="inlineStr">
        <is>
          <t>BASEL</t>
        </is>
      </c>
      <c r="AO947" t="inlineStr">
        <is>
          <t>ST ALBAN-ANLAGE 66, CH-4052 BASEL, SWITZERLAND</t>
        </is>
      </c>
      <c r="AQ947" t="inlineStr">
        <is>
          <t>1660-4601</t>
        </is>
      </c>
      <c r="AS947" t="inlineStr">
        <is>
          <t>INT J ENV RES PUB HE</t>
        </is>
      </c>
      <c r="AT947" t="inlineStr">
        <is>
          <t>Int. J. Environ. Res. Public Health</t>
        </is>
      </c>
      <c r="AU947" t="inlineStr">
        <is>
          <t>DEC</t>
        </is>
      </c>
      <c r="AV947" t="n">
        <v>2022</v>
      </c>
      <c r="AW947" t="n">
        <v>19</v>
      </c>
      <c r="AX947" t="n">
        <v>23</v>
      </c>
      <c r="BE947" t="n">
        <v>15714</v>
      </c>
      <c r="BF947" t="inlineStr">
        <is>
          <t>10.3390/ijerph192315714</t>
        </is>
      </c>
      <c r="BG947">
        <f>HYPERLINK("http://dx.doi.org/10.3390/ijerph192315714","http://dx.doi.org/10.3390/ijerph192315714")</f>
        <v/>
      </c>
      <c r="BJ947" t="n">
        <v>14</v>
      </c>
      <c r="BK947" t="inlineStr">
        <is>
          <t>Environmental Sciences; Public, Environmental &amp; Occupational Health</t>
        </is>
      </c>
      <c r="BL947" t="inlineStr">
        <is>
          <t>Science Citation Index Expanded (SCI-EXPANDED); Social Science Citation Index (SSCI)</t>
        </is>
      </c>
      <c r="BM947" t="inlineStr">
        <is>
          <t>Environmental Sciences &amp; Ecology; Public, Environmental &amp; Occupational Health</t>
        </is>
      </c>
      <c r="BN947" t="inlineStr">
        <is>
          <t>6X5UD</t>
        </is>
      </c>
      <c r="BO947" t="n">
        <v>36497789</v>
      </c>
      <c r="BP947" t="inlineStr">
        <is>
          <t>gold, Green Published</t>
        </is>
      </c>
      <c r="BS947" t="inlineStr">
        <is>
          <t>2023-10-26</t>
        </is>
      </c>
      <c r="BT947" t="inlineStr">
        <is>
          <t>WOS:000896477200001</t>
        </is>
      </c>
      <c r="BU947">
        <f>HYPERLINK("https%3A%2F%2Fwww.webofscience.com%2Fwos%2Fwoscc%2Ffull-record%2FWOS:000896477200001","View Full Record in Web of Science")</f>
        <v/>
      </c>
    </row>
    <row r="948">
      <c r="A948" t="inlineStr">
        <is>
          <t>J</t>
        </is>
      </c>
      <c r="B948" t="inlineStr">
        <is>
          <t>Huang, ZS; Liu, YF; Pan, C; Wang, Y; Yu, H; He, W</t>
        </is>
      </c>
      <c r="F948" t="inlineStr">
        <is>
          <t>Huang, Zishuo; Liu, Yingfang; Pan, Chen; Wang, Yi; Yu, Hang; He, Wei</t>
        </is>
      </c>
      <c r="J948" t="inlineStr">
        <is>
          <t>JOURNAL OF CLEANER PRODUCTION</t>
        </is>
      </c>
      <c r="M948" t="inlineStr">
        <is>
          <t>English</t>
        </is>
      </c>
      <c r="N948" t="inlineStr">
        <is>
          <t>Article</t>
        </is>
      </c>
      <c r="T948" t="inlineStr">
        <is>
          <t>Energy-saving effects of yard spaces considering spatiotemporal activity patterns of rural Chinese farm households</t>
        </is>
      </c>
      <c r="U948" t="inlineStr">
        <is>
          <t>Farmhouse; Indoor and outdoor space; Thermal environment; Space occupation; Energy saving</t>
        </is>
      </c>
      <c r="V948" t="inlineStr">
        <is>
          <t>OCCUPANTS BEHAVIORS; SIMULATION</t>
        </is>
      </c>
      <c r="W948" t="inlineStr">
        <is>
          <t>The space-occupation behavior of rural residents can occur in an indoor air-conditioned environment or a courtyard natural environment. High-quality outdoor environments can attract residents to spend more time in the outdoor space, thereby reducing the use of indoor space and building energy consumption. Quantifying the complementary effects of indoor and outdoor spaces on the thermal environmental quality is fundamental in detecting the potential of behavioral activities in building energy-saving. This study on Chinese farmhouses and resident space-occupation behavior in nine districts across various climatic zones investigated the typical farmhouse physical models and resident occupancy rates. Indoor temperature and humidity parameters without air conditioning were simulated, and the predicted indoor and outdoor mean thermal sensation votes were measured and compared hourly. The number of hours of indoor space out of comfort zone but yard space in comfort zone were calculated and analyzed. Finally, the air conditioning energy consumption of farmhouses with and without yard spaces was calculated and compared, considering the difference in spatiotemporal behavior in various rural buildings. The results indicated that yard spaces in rural buildings had a complementary effect on thermal comfort environment provision and have the potential to reduce building energy consumption of farmhouses by 7.21%-33.99%.</t>
        </is>
      </c>
      <c r="X948" t="inlineStr">
        <is>
          <t>[Huang, Zishuo; Liu, Yingfang; Pan, Chen; Wang, Yi] Tongji Univ, Coll Architecture &amp; Urban Planning, Shanghai 200092, Peoples R China; [Yu, Hang] Tongji Univ, Sch Mech Engn, Shanghai 200092, Peoples R China; [He, Wei] State Grid Jiangxi Elect Power Res Inst, Nanchang 330096, Peoples R China</t>
        </is>
      </c>
      <c r="Y948" t="inlineStr">
        <is>
          <t>Tongji University; Tongji University</t>
        </is>
      </c>
      <c r="Z948" t="inlineStr">
        <is>
          <t>Huang, ZS (corresponding author), Tongji Univ, Coll Architecture &amp; Urban Planning, Shanghai 200092, Peoples R China.</t>
        </is>
      </c>
      <c r="AA948" t="inlineStr">
        <is>
          <t>huangzish@tongji.edu.cn</t>
        </is>
      </c>
      <c r="AB948" t="inlineStr">
        <is>
          <t>Yu, Hang/JDD-6220-2023</t>
        </is>
      </c>
      <c r="AC948" t="inlineStr">
        <is>
          <t>Huang, Zishuo/0000-0002-7754-0449</t>
        </is>
      </c>
      <c r="AD948" t="inlineStr">
        <is>
          <t>National Natural Science Foundation of China [52008294]; State Grid Corporation of China Science and Technology Project ? [521820210009]</t>
        </is>
      </c>
      <c r="AE948" t="inlineStr">
        <is>
          <t>National Natural Science Foundation of China(National Natural Science Foundation of China (NSFC)); State Grid Corporation of China Science and Technology Project ?</t>
        </is>
      </c>
      <c r="AF948" t="inlineStr">
        <is>
          <t>Acknowledgments We thank the National Natural Science Foundation of China (No. 52008294) and State Grid Corporation of China Science and Technology Project ?Cloud-side smart energy service platform-based designing and controlling method research of rural integrated energy system? (521820210009) for their subsidies.</t>
        </is>
      </c>
      <c r="AH948" t="n">
        <v>23</v>
      </c>
      <c r="AI948" t="n">
        <v>7</v>
      </c>
      <c r="AJ948" t="n">
        <v>7</v>
      </c>
      <c r="AK948" t="n">
        <v>17</v>
      </c>
      <c r="AL948" t="n">
        <v>44</v>
      </c>
      <c r="AM948" t="inlineStr">
        <is>
          <t>ELSEVIER SCI LTD</t>
        </is>
      </c>
      <c r="AN948" t="inlineStr">
        <is>
          <t>OXFORD</t>
        </is>
      </c>
      <c r="AO948" t="inlineStr">
        <is>
          <t>THE BOULEVARD, LANGFORD LANE, KIDLINGTON, OXFORD OX5 1GB, OXON, ENGLAND</t>
        </is>
      </c>
      <c r="AP948" t="inlineStr">
        <is>
          <t>0959-6526</t>
        </is>
      </c>
      <c r="AQ948" t="inlineStr">
        <is>
          <t>1879-1786</t>
        </is>
      </c>
      <c r="AS948" t="inlineStr">
        <is>
          <t>J CLEAN PROD</t>
        </is>
      </c>
      <c r="AT948" t="inlineStr">
        <is>
          <t>J. Clean Prod.</t>
        </is>
      </c>
      <c r="AU948" t="inlineStr">
        <is>
          <t>JUN 25</t>
        </is>
      </c>
      <c r="AV948" t="n">
        <v>2022</v>
      </c>
      <c r="AW948" t="n">
        <v>355</v>
      </c>
      <c r="BE948" t="n">
        <v>131843</v>
      </c>
      <c r="BF948" t="inlineStr">
        <is>
          <t>10.1016/j.jclepro.2022.131843</t>
        </is>
      </c>
      <c r="BG948">
        <f>HYPERLINK("http://dx.doi.org/10.1016/j.jclepro.2022.131843","http://dx.doi.org/10.1016/j.jclepro.2022.131843")</f>
        <v/>
      </c>
      <c r="BI948" t="inlineStr">
        <is>
          <t>APR 2022</t>
        </is>
      </c>
      <c r="BJ948" t="n">
        <v>10</v>
      </c>
      <c r="BK948" t="inlineStr">
        <is>
          <t>Green &amp; Sustainable Science &amp; Technology; Engineering, Environmental; Environmental Sciences</t>
        </is>
      </c>
      <c r="BL948" t="inlineStr">
        <is>
          <t>Science Citation Index Expanded (SCI-EXPANDED)</t>
        </is>
      </c>
      <c r="BM948" t="inlineStr">
        <is>
          <t>Science &amp; Technology - Other Topics; Engineering; Environmental Sciences &amp; Ecology</t>
        </is>
      </c>
      <c r="BN948" t="inlineStr">
        <is>
          <t>1T4CV</t>
        </is>
      </c>
      <c r="BS948" t="inlineStr">
        <is>
          <t>2023-10-26</t>
        </is>
      </c>
      <c r="BT948" t="inlineStr">
        <is>
          <t>WOS:000804679700001</t>
        </is>
      </c>
      <c r="BU948">
        <f>HYPERLINK("https%3A%2F%2Fwww.webofscience.com%2Fwos%2Fwoscc%2Ffull-record%2FWOS:000804679700001","View Full Record in Web of Science")</f>
        <v/>
      </c>
    </row>
    <row r="949">
      <c r="A949" t="inlineStr">
        <is>
          <t>J</t>
        </is>
      </c>
      <c r="B949" t="inlineStr">
        <is>
          <t>Dragioti, E; Gerdle, B; Levin, LÅ; Bernfort, L; Dong, HJ</t>
        </is>
      </c>
      <c r="F949" t="inlineStr">
        <is>
          <t>Dragioti, Elena; Gerdle, Bjorn; Levin, Lars-Ake; Bernfort, Lars; Dong, Huan-Ji</t>
        </is>
      </c>
      <c r="J949" t="inlineStr">
        <is>
          <t>INTERNATIONAL JOURNAL OF ENVIRONMENTAL RESEARCH AND PUBLIC HEALTH</t>
        </is>
      </c>
      <c r="M949" t="inlineStr">
        <is>
          <t>English</t>
        </is>
      </c>
      <c r="N949" t="inlineStr">
        <is>
          <t>Article</t>
        </is>
      </c>
      <c r="T949" t="inlineStr">
        <is>
          <t>Association between Participation Activities, Pain Severity, and Psychological Distress in Old Age: A Population-Based Study of Swedish Older Adults</t>
        </is>
      </c>
      <c r="U949" t="inlineStr">
        <is>
          <t>participation; older adults; leisure activity; psychological distress; gender; body mass index</t>
        </is>
      </c>
      <c r="W949" t="inlineStr">
        <is>
          <t>Although chronic pain is common in old age, previous studies on participation activities in old age seldom consider pain aspects and its related consequences. This study analyses associations between participation activities, pain severity, and psychological distress in an aging population of Swedish older adults (N = 6611). We examined older adults' participation in five common leisure activities using the Multidimensional Pain Inventory (MPI), sociodemographic factors, pain severity, weight status, comorbidities, and pain-related psychological distress (anxiety, depression, insomnia severity, and pain catastrophising). We found that gender, body mass index (BMI) levels, and psychological distress factors significantly affected older adults' participation in leisure activities. Pain severity and multimorbidity were not significantly associated with older adults' participation in leisure activities nor with gender stratification in generalised linear regression models. The potentially modifiable factors, such as high levels of BMI and psychological distress, affected activity participation in men and women differently. Health professionals and social workers should consider gender and target potentially modifiable factors such as weight status and psychological distress to increase older adults' participation in leisure activities.</t>
        </is>
      </c>
      <c r="X949" t="inlineStr">
        <is>
          <t>[Dragioti, Elena; Gerdle, Bjorn; Dong, Huan-Ji] Linkoping Univ, Pain &amp; Rehabil Ctr, Dept Hlth Med &amp; Caring Sci, SE-58185 Linkoping, Sweden; [Levin, Lars-Ake; Bernfort, Lars] Linkoping Univ, Dept Hlth Med &amp; Caring Sci, Div Hlth Care Anal, SE-58185 Linkoping, Sweden</t>
        </is>
      </c>
      <c r="Y949" t="inlineStr">
        <is>
          <t>Linkoping University; Linkoping University</t>
        </is>
      </c>
      <c r="Z949" t="inlineStr">
        <is>
          <t>Dong, HJ (corresponding author), Linkoping Univ, Pain &amp; Rehabil Ctr, Dept Hlth Med &amp; Caring Sci, SE-58185 Linkoping, Sweden.</t>
        </is>
      </c>
      <c r="AA949" t="inlineStr">
        <is>
          <t>elena.dragioti@liu.se; bjorn.gerdle@liu.se; lars-ake.levin@liu.se; lars.bernfort@liu.se; huanji.dong@liu.se</t>
        </is>
      </c>
      <c r="AB949" t="inlineStr">
        <is>
          <t>Dong, Huan-Ji/ISS-2051-2023; Dong, Huan-Ji/AAI-4085-2020</t>
        </is>
      </c>
      <c r="AC949" t="inlineStr">
        <is>
          <t>Dong, Huan-Ji/0000-0001-7051-1234; Dong, Huan-Ji/0000-0001-7051-1234; Gerdle, Bjorn/0000-0002-4316-1264; Dragioti, Elena/0000-0001-9019-4125</t>
        </is>
      </c>
      <c r="AD949" t="inlineStr">
        <is>
          <t>Grunenthal Sweden AB</t>
        </is>
      </c>
      <c r="AE949" t="inlineStr">
        <is>
          <t>Grunenthal Sweden AB</t>
        </is>
      </c>
      <c r="AF949" t="inlineStr">
        <is>
          <t>The present study was sponsored by a grant from Grunenthal Sweden AB. The sponsor of the study had no role in the study design, data collection, data analysis, data interpretation, writing of the report, or the decision to submit for publication.</t>
        </is>
      </c>
      <c r="AH949" t="n">
        <v>74</v>
      </c>
      <c r="AI949" t="n">
        <v>3</v>
      </c>
      <c r="AJ949" t="n">
        <v>3</v>
      </c>
      <c r="AK949" t="n">
        <v>11</v>
      </c>
      <c r="AL949" t="n">
        <v>28</v>
      </c>
      <c r="AM949" t="inlineStr">
        <is>
          <t>MDPI</t>
        </is>
      </c>
      <c r="AN949" t="inlineStr">
        <is>
          <t>BASEL</t>
        </is>
      </c>
      <c r="AO949" t="inlineStr">
        <is>
          <t>ST ALBAN-ANLAGE 66, CH-4052 BASEL, SWITZERLAND</t>
        </is>
      </c>
      <c r="AQ949" t="inlineStr">
        <is>
          <t>1660-4601</t>
        </is>
      </c>
      <c r="AS949" t="inlineStr">
        <is>
          <t>INT J ENV RES PUB HE</t>
        </is>
      </c>
      <c r="AT949" t="inlineStr">
        <is>
          <t>Int. J. Environ. Res. Public Health</t>
        </is>
      </c>
      <c r="AU949" t="inlineStr">
        <is>
          <t>MAR</t>
        </is>
      </c>
      <c r="AV949" t="n">
        <v>2021</v>
      </c>
      <c r="AW949" t="n">
        <v>18</v>
      </c>
      <c r="AX949" t="n">
        <v>6</v>
      </c>
      <c r="BE949" t="n">
        <v>2795</v>
      </c>
      <c r="BF949" t="inlineStr">
        <is>
          <t>10.3390/ijerph18062795</t>
        </is>
      </c>
      <c r="BG949">
        <f>HYPERLINK("http://dx.doi.org/10.3390/ijerph18062795","http://dx.doi.org/10.3390/ijerph18062795")</f>
        <v/>
      </c>
      <c r="BJ949" t="n">
        <v>14</v>
      </c>
      <c r="BK949" t="inlineStr">
        <is>
          <t>Environmental Sciences; Public, Environmental &amp; Occupational Health</t>
        </is>
      </c>
      <c r="BL949" t="inlineStr">
        <is>
          <t>Science Citation Index Expanded (SCI-EXPANDED); Social Science Citation Index (SSCI)</t>
        </is>
      </c>
      <c r="BM949" t="inlineStr">
        <is>
          <t>Environmental Sciences &amp; Ecology; Public, Environmental &amp; Occupational Health</t>
        </is>
      </c>
      <c r="BN949" t="inlineStr">
        <is>
          <t>RL8EM</t>
        </is>
      </c>
      <c r="BO949" t="n">
        <v>33801881</v>
      </c>
      <c r="BP949" t="inlineStr">
        <is>
          <t>Green Published, gold</t>
        </is>
      </c>
      <c r="BS949" t="inlineStr">
        <is>
          <t>2023-10-26</t>
        </is>
      </c>
      <c r="BT949" t="inlineStr">
        <is>
          <t>WOS:000639199200001</t>
        </is>
      </c>
      <c r="BU949">
        <f>HYPERLINK("https%3A%2F%2Fwww.webofscience.com%2Fwos%2Fwoscc%2Ffull-record%2FWOS:000639199200001","View Full Record in Web of Science")</f>
        <v/>
      </c>
    </row>
    <row r="950">
      <c r="A950" t="inlineStr">
        <is>
          <t>J</t>
        </is>
      </c>
      <c r="B950" t="inlineStr">
        <is>
          <t>Chen, CH; Haron, SH</t>
        </is>
      </c>
      <c r="F950" t="inlineStr">
        <is>
          <t>Chen, Chuhan; Haron, Syarmila Hany</t>
        </is>
      </c>
      <c r="J950" t="inlineStr">
        <is>
          <t>SUSTAINABILITY</t>
        </is>
      </c>
      <c r="M950" t="inlineStr">
        <is>
          <t>English</t>
        </is>
      </c>
      <c r="N950" t="inlineStr">
        <is>
          <t>Article</t>
        </is>
      </c>
      <c r="T950" t="inlineStr">
        <is>
          <t>The Influence of Multistakeholder Value Cognition and Risk Attitudes on Sustainable Interior Landscape Design Decisions</t>
        </is>
      </c>
      <c r="U950" t="inlineStr">
        <is>
          <t>sustainable interior landscape design; multistakeholder; value cognition; risk attitude; decision process</t>
        </is>
      </c>
      <c r="V950" t="inlineStr">
        <is>
          <t>PERCEIVED RISK; FRAMEWORK; CONSTRUCTION; STRATEGIES; AWARENESS; PURCHASE; PRICE</t>
        </is>
      </c>
      <c r="W950" t="inlineStr">
        <is>
          <t>With the increasing demand for interior landscapes, sustainable interior landscape design (SILD) has become part of a desirable lifestyle. However, consumer attitudes and a lack of consciousness and understanding of SILD have led to potentially negative impacts on design decisions regarding the use of sustainability in SILD. This study recruited 405 stakeholders to explore the relationships among value cognition, risk attitude, and decision intention. The value-attitude-behavior (VAB) model method was adopted to evaluate stakeholders' cognitions and attitudes toward sustainable design and factors that influence sustainable design practices. The results demonstrated a positive correlation between multistakeholders' value cognition, risk attitude, and SILD decisions. The relationship between value cognition and SILD decision intention is mediated by risk attitude. Furthermore, the value cognition of multistakeholders impacts risk attitude on the practice of SILD, thus changing design decisions. These findings provide insights into the sustainability of interior landscapes and design, particularly in terms of addressing diverse needs within multistakeholder practices.</t>
        </is>
      </c>
      <c r="X950" t="inlineStr">
        <is>
          <t>[Chen, Chuhan; Haron, Syarmila Hany] Univ Sains Malaysia, Sch Housing Bldg &amp; Planning, Gelugor 11800, Malaysia</t>
        </is>
      </c>
      <c r="Y950" t="inlineStr">
        <is>
          <t>Universiti Sains Malaysia</t>
        </is>
      </c>
      <c r="Z950" t="inlineStr">
        <is>
          <t>Chen, CH; Haron, SH (corresponding author), Univ Sains Malaysia, Sch Housing Bldg &amp; Planning, Gelugor 11800, Malaysia.</t>
        </is>
      </c>
      <c r="AA950" t="inlineStr">
        <is>
          <t>chuhan@student.usm.my; syarmilahany@usm.my</t>
        </is>
      </c>
      <c r="AB950" t="inlineStr">
        <is>
          <t>Haron, Syarmila/IXW-7441-2023</t>
        </is>
      </c>
      <c r="AC950" t="inlineStr">
        <is>
          <t>Haron, Syarmila/0000-0002-9276-933X</t>
        </is>
      </c>
      <c r="AD950" t="inlineStr">
        <is>
          <t>School of Housing, Building and Planning</t>
        </is>
      </c>
      <c r="AE950" t="inlineStr">
        <is>
          <t>School of Housing, Building and Planning</t>
        </is>
      </c>
      <c r="AF950" t="inlineStr">
        <is>
          <t>The support of the School of Housing, Building and Planning is acknowledged.</t>
        </is>
      </c>
      <c r="AH950" t="n">
        <v>77</v>
      </c>
      <c r="AI950" t="n">
        <v>0</v>
      </c>
      <c r="AJ950" t="n">
        <v>0</v>
      </c>
      <c r="AK950" t="n">
        <v>10</v>
      </c>
      <c r="AL950" t="n">
        <v>15</v>
      </c>
      <c r="AM950" t="inlineStr">
        <is>
          <t>MDPI</t>
        </is>
      </c>
      <c r="AN950" t="inlineStr">
        <is>
          <t>BASEL</t>
        </is>
      </c>
      <c r="AO950" t="inlineStr">
        <is>
          <t>ST ALBAN-ANLAGE 66, CH-4052 BASEL, SWITZERLAND</t>
        </is>
      </c>
      <c r="AQ950" t="inlineStr">
        <is>
          <t>2071-1050</t>
        </is>
      </c>
      <c r="AS950" t="inlineStr">
        <is>
          <t>SUSTAINABILITY-BASEL</t>
        </is>
      </c>
      <c r="AT950" t="inlineStr">
        <is>
          <t>Sustainability</t>
        </is>
      </c>
      <c r="AU950" t="inlineStr">
        <is>
          <t>FEB</t>
        </is>
      </c>
      <c r="AV950" t="n">
        <v>2023</v>
      </c>
      <c r="AW950" t="n">
        <v>15</v>
      </c>
      <c r="AX950" t="n">
        <v>3</v>
      </c>
      <c r="BE950" t="n">
        <v>2743</v>
      </c>
      <c r="BF950" t="inlineStr">
        <is>
          <t>10.3390/su15032743</t>
        </is>
      </c>
      <c r="BG950">
        <f>HYPERLINK("http://dx.doi.org/10.3390/su15032743","http://dx.doi.org/10.3390/su15032743")</f>
        <v/>
      </c>
      <c r="BJ950" t="n">
        <v>22</v>
      </c>
      <c r="BK950" t="inlineStr">
        <is>
          <t>Green &amp; Sustainable Science &amp; Technology; Environmental Sciences; Environmental Studies</t>
        </is>
      </c>
      <c r="BL950" t="inlineStr">
        <is>
          <t>Science Citation Index Expanded (SCI-EXPANDED); Social Science Citation Index (SSCI)</t>
        </is>
      </c>
      <c r="BM950" t="inlineStr">
        <is>
          <t>Science &amp; Technology - Other Topics; Environmental Sciences &amp; Ecology</t>
        </is>
      </c>
      <c r="BN950" t="inlineStr">
        <is>
          <t>8Y7XB</t>
        </is>
      </c>
      <c r="BP950" t="inlineStr">
        <is>
          <t>gold</t>
        </is>
      </c>
      <c r="BS950" t="inlineStr">
        <is>
          <t>2023-10-26</t>
        </is>
      </c>
      <c r="BT950" t="inlineStr">
        <is>
          <t>WOS:000932906800001</t>
        </is>
      </c>
      <c r="BU950">
        <f>HYPERLINK("https%3A%2F%2Fwww.webofscience.com%2Fwos%2Fwoscc%2Ffull-record%2FWOS:000932906800001","View Full Record in Web of Science")</f>
        <v/>
      </c>
    </row>
    <row r="951">
      <c r="A951" t="inlineStr">
        <is>
          <t>J</t>
        </is>
      </c>
      <c r="B951" t="inlineStr">
        <is>
          <t>Nakajima, Y; Schmidt, SM; Faege, AM; Ono, M; Ikaga, T</t>
        </is>
      </c>
      <c r="F951" t="inlineStr">
        <is>
          <t>Nakajima, Yukie; Schmidt, Steven M.; Faege, Agneta Malmgren; Ono, Mari; Ikaga, Toshiharu</t>
        </is>
      </c>
      <c r="J951" t="inlineStr">
        <is>
          <t>INTERNATIONAL JOURNAL OF ENVIRONMENTAL RESEARCH AND PUBLIC HEALTH</t>
        </is>
      </c>
      <c r="M951" t="inlineStr">
        <is>
          <t>English</t>
        </is>
      </c>
      <c r="N951" t="inlineStr">
        <is>
          <t>Article</t>
        </is>
      </c>
      <c r="T951" t="inlineStr">
        <is>
          <t>Relationship between Perceived Indoor Temperature and Self-Reported Risk for Frailty among Community-Dwelling Older People</t>
        </is>
      </c>
      <c r="U951" t="inlineStr">
        <is>
          <t>home; old age; winter season; economic satisfaction; fall risk</t>
        </is>
      </c>
      <c r="V951" t="inlineStr">
        <is>
          <t>QUALITY-OF-LIFE; CAREGIVER BURDEN; PHYSICAL-ACTIVITY; FAMILY CAREGIVERS; HOMEBOUND STATUS; ELDERLY-PEOPLE; ADULTS; HEALTH; PREVALENCE; MORTALITY</t>
        </is>
      </c>
      <c r="W951" t="inlineStr">
        <is>
          <t>This study investigated the relationship between perceived indoor temperature in winter and frailty among community-dwelling older people. This cross-sectional study included 342 people 65 years and older in Japan. Participants answered questions about demographics, frailty, housing, and perceived indoor temperature in winter. Participants were grouped based on perceived indoor temperature (Cold or Warm) and economic satisfaction (Unsatisfied or Satisfied). Differences in the frailty index between perceived indoor temperature groups and economic satisfaction groups were tested by using ANCOVA and MANCOVA. An interaction effect showed that people in the Cold Group and unsatisfied with their economic status had significantly higher frailty index scores (F(1, 336) = 5.95, p = 0.015). Furthermore, the frailty index subscale of fall risk was the specific indicator of frailty that accounted for this significant relationship. While previous research has shown the risks related to cold indoor temperature in homes, interestingly among those who reported cold homes, only those who were not satisfied with their economic situation reported being at increased risk for frailty. This highlights the potential importance of preventing fuel poverty to prevent frailty.</t>
        </is>
      </c>
      <c r="X951" t="inlineStr">
        <is>
          <t>[Nakajima, Yukie; Schmidt, Steven M.; Ono, Mari] Keio Univ, Grad Sch Sci &amp; Technol, Sch Sci Open &amp; Environm Syst, Kohoku Ku, Hiyoshi 3 14 1, Yokohama, Kanagawa 2238522, Japan; [Nakajima, Yukie] Japan Soc Promot Sci, Chiyoda Ku, Koujimachi 5 3 1, Tokyo 1020083, Japan; [Schmidt, Steven M.; Faege, Agneta Malmgren] Lund Univ, Dept Hlth Sci, Fac Med, Box 157, S-22100 Lund, Sweden; [Ikaga, Toshiharu] Keio Univ, Fac Sci &amp; Technol, Dept Syst Design Engn, Kohoku Ku, Hiyoshi 3 14 1, Yokohama, Kanagawa 2238522, Japan</t>
        </is>
      </c>
      <c r="Y951" t="inlineStr">
        <is>
          <t>Keio University; Japan Society for the Promotion of Science; Lund University; Keio University</t>
        </is>
      </c>
      <c r="Z951" t="inlineStr">
        <is>
          <t>Nakajima, Y (corresponding author), Keio Univ, Grad Sch Sci &amp; Technol, Sch Sci Open &amp; Environm Syst, Kohoku Ku, Hiyoshi 3 14 1, Yokohama, Kanagawa 2238522, Japan.;Nakajima, Y (corresponding author), Japan Soc Promot Sci, Chiyoda Ku, Koujimachi 5 3 1, Tokyo 1020083, Japan.</t>
        </is>
      </c>
      <c r="AA951" t="inlineStr">
        <is>
          <t>yukie1222@z2.keio.jp; steven.schmidt@med.lu.se; agneta.malmgren_fange@med.lu.se; onomari@a6.keio.jp; ikaga@sd.keio.ac.jp</t>
        </is>
      </c>
      <c r="AB951" t="inlineStr">
        <is>
          <t>; IKAGA, Toshiharu/G-8095-2014</t>
        </is>
      </c>
      <c r="AC951" t="inlineStr">
        <is>
          <t>Nakajima, Yukie/0000-0003-2889-9137; IKAGA, Toshiharu/0000-0002-3451-5614; Malmgren Fange, Agneta/0000-0002-3165-1856; Schmidt, Steven M./0000-0002-0878-735X</t>
        </is>
      </c>
      <c r="AD951" t="inlineStr">
        <is>
          <t>JSPS KAKENHI [JP17H06161, JP26249083, JP17J00520]; MHLW; MEXT; Faculty of Medicine at Lund University</t>
        </is>
      </c>
      <c r="AE951" t="inlineStr">
        <is>
          <t>JSPS KAKENHI(Ministry of Education, Culture, Sports, Science and Technology, Japan (MEXT)Japan Society for the Promotion of ScienceGrants-in-Aid for Scientific Research (KAKENHI)); MHLW(Ministry of Health, Labour and Welfare, Japan); MEXT(Ministry of Education, Culture, Sports, Science and Technology, Japan (MEXT)); Faculty of Medicine at Lund University</t>
        </is>
      </c>
      <c r="AF951" t="inlineStr">
        <is>
          <t>This study was supported in part by a JSPS KAKENHI (Grant Numbers JP17H06161, JP26249083, JP17J00520), a MHLW Grant-in-Aid for consignment study of geriatric health care business promotion (Principal Investigator: Prof. Tanji Hoshi), and a MEXT Grant-in-Aid for the Program for Leading Graduate Schools. Funding was also received from the Faculty of Medicine at Lund University, in terms of research time for A.M.F.</t>
        </is>
      </c>
      <c r="AH951" t="n">
        <v>52</v>
      </c>
      <c r="AI951" t="n">
        <v>10</v>
      </c>
      <c r="AJ951" t="n">
        <v>10</v>
      </c>
      <c r="AK951" t="n">
        <v>1</v>
      </c>
      <c r="AL951" t="n">
        <v>7</v>
      </c>
      <c r="AM951" t="inlineStr">
        <is>
          <t>MDPI</t>
        </is>
      </c>
      <c r="AN951" t="inlineStr">
        <is>
          <t>BASEL</t>
        </is>
      </c>
      <c r="AO951" t="inlineStr">
        <is>
          <t>ST ALBAN-ANLAGE 66, CH-4052 BASEL, SWITZERLAND</t>
        </is>
      </c>
      <c r="AQ951" t="inlineStr">
        <is>
          <t>1660-4601</t>
        </is>
      </c>
      <c r="AS951" t="inlineStr">
        <is>
          <t>INT J ENV RES PUB HE</t>
        </is>
      </c>
      <c r="AT951" t="inlineStr">
        <is>
          <t>Int. J. Environ. Res. Public Health</t>
        </is>
      </c>
      <c r="AU951" t="inlineStr">
        <is>
          <t>FEB 2</t>
        </is>
      </c>
      <c r="AV951" t="n">
        <v>2019</v>
      </c>
      <c r="AW951" t="n">
        <v>16</v>
      </c>
      <c r="AX951" t="n">
        <v>4</v>
      </c>
      <c r="BE951" t="n">
        <v>613</v>
      </c>
      <c r="BF951" t="inlineStr">
        <is>
          <t>10.3390/ijerph16040613</t>
        </is>
      </c>
      <c r="BG951">
        <f>HYPERLINK("http://dx.doi.org/10.3390/ijerph16040613","http://dx.doi.org/10.3390/ijerph16040613")</f>
        <v/>
      </c>
      <c r="BJ951" t="n">
        <v>12</v>
      </c>
      <c r="BK951" t="inlineStr">
        <is>
          <t>Environmental Sciences; Public, Environmental &amp; Occupational Health</t>
        </is>
      </c>
      <c r="BL951" t="inlineStr">
        <is>
          <t>Science Citation Index Expanded (SCI-EXPANDED); Social Science Citation Index (SSCI)</t>
        </is>
      </c>
      <c r="BM951" t="inlineStr">
        <is>
          <t>Environmental Sciences &amp; Ecology; Public, Environmental &amp; Occupational Health</t>
        </is>
      </c>
      <c r="BN951" t="inlineStr">
        <is>
          <t>HO3FK</t>
        </is>
      </c>
      <c r="BO951" t="n">
        <v>30791516</v>
      </c>
      <c r="BP951" t="inlineStr">
        <is>
          <t>Green Published, Green Submitted, gold</t>
        </is>
      </c>
      <c r="BS951" t="inlineStr">
        <is>
          <t>2023-10-26</t>
        </is>
      </c>
      <c r="BT951" t="inlineStr">
        <is>
          <t>WOS:000460804900092</t>
        </is>
      </c>
      <c r="BU951">
        <f>HYPERLINK("https%3A%2F%2Fwww.webofscience.com%2Fwos%2Fwoscc%2Ffull-record%2FWOS:000460804900092","View Full Record in Web of Science")</f>
        <v/>
      </c>
    </row>
    <row r="952">
      <c r="A952" t="inlineStr">
        <is>
          <t>J</t>
        </is>
      </c>
      <c r="B952" t="inlineStr">
        <is>
          <t>Batista-Rodríguez, JA; López-Saucedo, FJ; Almaguer-Carmenates, Y; Motas-Ortíz, JL; Nerio-Rocha, J</t>
        </is>
      </c>
      <c r="F952" t="inlineStr">
        <is>
          <t>Batista-Rodriguez, J. A.; Lopez-Saucedo, F. J.; Almaguer-Carmenates, Y.; Motas-Ortiz, J. L.; Nerio-Rocha, J.</t>
        </is>
      </c>
      <c r="J952" t="inlineStr">
        <is>
          <t>INTERNATIONAL JOURNAL OF ENVIRONMENTAL SCIENCE AND TECHNOLOGY</t>
        </is>
      </c>
      <c r="M952" t="inlineStr">
        <is>
          <t>English</t>
        </is>
      </c>
      <c r="N952" t="inlineStr">
        <is>
          <t>Article</t>
        </is>
      </c>
      <c r="T952" t="inlineStr">
        <is>
          <t>Assessment by portable gamma spectrometry of the radiological hazard associated with built environments in northeastern Mexico</t>
        </is>
      </c>
      <c r="U952" t="inlineStr">
        <is>
          <t>Built environment; Gamma-ray spectrometry; Indoor radiation level; Outdoor radiation level; Radiological hazard</t>
        </is>
      </c>
      <c r="V952" t="inlineStr">
        <is>
          <t>NATURAL RADIATION-EXPOSURE; MAGNETIC-SUSCEPTIBILITY; BACKGROUND-RADIATION; RADIOACTIVITY; SEDIMENTS; INDOOR; RISK; AREA</t>
        </is>
      </c>
      <c r="W952" t="inlineStr">
        <is>
          <t>The radiological hazard associated with the buildings of Nueva Rosita (northeastern Mexico) was assessed by gamma spectrometry measurements. Using a Handheld Gamma-Ray Spectrometer, the potassium, uranium, and thorium concentrations were measured. Also, four radiological indices are calculated: the absorbed dose rate (D), the annual effective dose equivalent (E), the hazard index (H), and the excess lifetime cancer risk (ELCR). Inside and outside of public buildings and dwellings, urban space gamma-ray measurements were carried out. According to the year they were built, the public buildings and dwellings of Nueva Rosita were classified into three groups (new, moderately old, and old buildings). Using the activity concentration of radioelements and calculated radiological hazard indices, the studied environments were classified into three classes of radiological hazards. This last classification was carried out by comparing the values of radionuclides and indices with world averages. Class 1 characterizes the environments with a low radiological hazard, class 2, the environments with a moderate radiological hazard, and class 3, the environments with a high radiological hazard. The highest hazard is located indoors in buildings and the lowest hazard occurs in urban spaces. The old buildings have the highest hazard both indoors and outdoors, due to the high content of uranium (102-111 Bq kg(-1)) and thorium (70-144 Bq kg(-1)) and the values of D (84-261 nGy h(-1)), E (0.1-1.28 mSv y(-1)), H (0.5-1.09), and ELCR (0.35-4.48 x 10(-3)) that can exceed up to four times their world average.</t>
        </is>
      </c>
      <c r="X952" t="inlineStr">
        <is>
          <t>[Batista-Rodriguez, J. A.; Lopez-Saucedo, F. J.; Almaguer-Carmenates, Y.; Motas-Ortiz, J. L.; Nerio-Rocha, J.] Univ Autonoma Coahuila, Escuela Super Ingn, Blvd Licenciado Adolfo Lopez Mateos S-N, Nueva Rosita, Coahuila, Mexico</t>
        </is>
      </c>
      <c r="Y952" t="inlineStr">
        <is>
          <t>Universidad Autonoma de Coahuila</t>
        </is>
      </c>
      <c r="Z952" t="inlineStr">
        <is>
          <t>Batista-Rodríguez, JA (corresponding author), Univ Autonoma Coahuila, Escuela Super Ingn, Blvd Licenciado Adolfo Lopez Mateos S-N, Nueva Rosita, Coahuila, Mexico.</t>
        </is>
      </c>
      <c r="AA952" t="inlineStr">
        <is>
          <t>josebatista@uadec.edu.mx</t>
        </is>
      </c>
      <c r="AC952" t="inlineStr">
        <is>
          <t>ALMAGUER CARMENATES, YURI/0000-0003-4011-2069; Batista Rodriguez, Jose Alberto/0000-0002-2222-2582</t>
        </is>
      </c>
      <c r="AD952" t="inlineStr">
        <is>
          <t>Autonomous University of Coahuila; Higher School of Engineering</t>
        </is>
      </c>
      <c r="AE952" t="inlineStr">
        <is>
          <t>Autonomous University of Coahuila; Higher School of Engineering</t>
        </is>
      </c>
      <c r="AF952" t="inlineStr">
        <is>
          <t>We thank the Autonomous University of Coahuila and particularly the Higher School of Engineering for their support of this research.</t>
        </is>
      </c>
      <c r="AH952" t="n">
        <v>39</v>
      </c>
      <c r="AI952" t="n">
        <v>0</v>
      </c>
      <c r="AJ952" t="n">
        <v>0</v>
      </c>
      <c r="AK952" t="n">
        <v>2</v>
      </c>
      <c r="AL952" t="n">
        <v>9</v>
      </c>
      <c r="AM952" t="inlineStr">
        <is>
          <t>SPRINGER</t>
        </is>
      </c>
      <c r="AN952" t="inlineStr">
        <is>
          <t>NEW YORK</t>
        </is>
      </c>
      <c r="AO952" t="inlineStr">
        <is>
          <t>ONE NEW YORK PLAZA, SUITE 4600, NEW YORK, NY, UNITED STATES</t>
        </is>
      </c>
      <c r="AP952" t="inlineStr">
        <is>
          <t>1735-1472</t>
        </is>
      </c>
      <c r="AQ952" t="inlineStr">
        <is>
          <t>1735-2630</t>
        </is>
      </c>
      <c r="AS952" t="inlineStr">
        <is>
          <t>INT J ENVIRON SCI TE</t>
        </is>
      </c>
      <c r="AT952" t="inlineStr">
        <is>
          <t>Int. J. Environ. Sci. Technol.</t>
        </is>
      </c>
      <c r="AU952" t="inlineStr">
        <is>
          <t>SEP</t>
        </is>
      </c>
      <c r="AV952" t="n">
        <v>2022</v>
      </c>
      <c r="AW952" t="n">
        <v>19</v>
      </c>
      <c r="AX952" t="n">
        <v>9</v>
      </c>
      <c r="BC952" t="n">
        <v>8645</v>
      </c>
      <c r="BD952" t="n">
        <v>8660</v>
      </c>
      <c r="BF952" t="inlineStr">
        <is>
          <t>10.1007/s13762-021-03737-w</t>
        </is>
      </c>
      <c r="BG952">
        <f>HYPERLINK("http://dx.doi.org/10.1007/s13762-021-03737-w","http://dx.doi.org/10.1007/s13762-021-03737-w")</f>
        <v/>
      </c>
      <c r="BI952" t="inlineStr">
        <is>
          <t>OCT 2021</t>
        </is>
      </c>
      <c r="BJ952" t="n">
        <v>16</v>
      </c>
      <c r="BK952" t="inlineStr">
        <is>
          <t>Environmental Sciences</t>
        </is>
      </c>
      <c r="BL952" t="inlineStr">
        <is>
          <t>Science Citation Index Expanded (SCI-EXPANDED)</t>
        </is>
      </c>
      <c r="BM952" t="inlineStr">
        <is>
          <t>Environmental Sciences &amp; Ecology</t>
        </is>
      </c>
      <c r="BN952" t="inlineStr">
        <is>
          <t>3W3QN</t>
        </is>
      </c>
      <c r="BS952" t="inlineStr">
        <is>
          <t>2023-10-26</t>
        </is>
      </c>
      <c r="BT952" t="inlineStr">
        <is>
          <t>WOS:000710057300003</t>
        </is>
      </c>
      <c r="BU952">
        <f>HYPERLINK("https%3A%2F%2Fwww.webofscience.com%2Fwos%2Fwoscc%2Ffull-record%2FWOS:000710057300003","View Full Record in Web of Science")</f>
        <v/>
      </c>
    </row>
    <row r="953">
      <c r="A953" t="inlineStr">
        <is>
          <t>J</t>
        </is>
      </c>
      <c r="B953" t="inlineStr">
        <is>
          <t>Chu, YQ; Zhang, H</t>
        </is>
      </c>
      <c r="F953" t="inlineStr">
        <is>
          <t>Chu, Yongqiang; Zhang, Huan</t>
        </is>
      </c>
      <c r="J953" t="inlineStr">
        <is>
          <t>INTERNATIONAL JOURNAL OF ENVIRONMENTAL RESEARCH AND PUBLIC HEALTH</t>
        </is>
      </c>
      <c r="M953" t="inlineStr">
        <is>
          <t>English</t>
        </is>
      </c>
      <c r="N953" t="inlineStr">
        <is>
          <t>Article</t>
        </is>
      </c>
      <c r="T953" t="inlineStr">
        <is>
          <t>Do Age-Friendly Community Policy Efforts Matter in China? An Analysis Based on Five-Year Developmental Plan for Population Aging</t>
        </is>
      </c>
      <c r="U953" t="inlineStr">
        <is>
          <t>age-friendly community; social participation; policy efforts; older adults; physical environment; China</t>
        </is>
      </c>
      <c r="V953" t="inlineStr">
        <is>
          <t>SOCIAL-PARTICIPATION; CITY GOVERNMENTS; OLDER-ADULTS; COORDINATION; INNOVATION; PERFORMANCE; MANAGEMENT; HEALTH; CITIES; URBAN</t>
        </is>
      </c>
      <c r="W953" t="inlineStr">
        <is>
          <t>(1) Background: The study will examine whether local governments' policy efforts on age-friendly communities (AFC) promote older adults' social participation in China. The extensive scope of AFC makes measuring policy efforts very challenging. The study attempts to introduce the developmental planning and goal-setting theory in public policy literature to answer this question. (2) Methods: We look at the Eleventh Five-Year Developmental Plan for Population Aging in subnational governments and CHARLS (the China Health and Retirement Longitudinal Study) baseline dataset from 2011, with data on policy strength and social participation of older adults. By using multilevel linear models, we regress social participation at the individual level on the policy strength of age-friendly communities at the provincial level. (3) Results: The results show that policy strength on AFC does vary substantially among provinces within China. And the interaction between policy strength of physical environment of local governments and community infrastructures is positively associated with social participation of rural older adults in China. (4) Conclusions: We conclude that policy efforts of local governments on the physical environment of age-friendly communities have effectively promoted the social participation of rural older adults in China. Policy makers could integrate physical infrastructures into their rural revitalization strategy to improve the wellbeing of Chinese older adults.</t>
        </is>
      </c>
      <c r="X953" t="inlineStr">
        <is>
          <t>[Chu, Yongqiang] Guangdong Univ Finance &amp; Econ, Inst Talent Assessment &amp; Dev Guangdong Hongkong M, Guangzhou 510320, Peoples R China; [Zhang, Huan] Beijing Normal Univ, Sch Social Dev &amp; Publ Policy, Beijing 100875, Peoples R China</t>
        </is>
      </c>
      <c r="Y953" t="inlineStr">
        <is>
          <t>Guangdong University of Finance &amp; Economics; Beijing Normal University</t>
        </is>
      </c>
      <c r="Z953" t="inlineStr">
        <is>
          <t>Zhang, H (corresponding author), Beijing Normal Univ, Sch Social Dev &amp; Publ Policy, Beijing 100875, Peoples R China.</t>
        </is>
      </c>
      <c r="AA953" t="inlineStr">
        <is>
          <t>zhanghuan@bnu.edu.cn</t>
        </is>
      </c>
      <c r="AC953" t="inlineStr">
        <is>
          <t>Zhang, Huan/0000-0002-7284-235X</t>
        </is>
      </c>
      <c r="AD953" t="inlineStr">
        <is>
          <t>Guangzhou Philosophy and Social Science Foundation [2022GZYB55]; Guangdong Basic and Applied Basic Research Foundation [2021A1515110877]; Department of Education of Guangdong Province [2020WQNCX020]</t>
        </is>
      </c>
      <c r="AE953" t="inlineStr">
        <is>
          <t>Guangzhou Philosophy and Social Science Foundation; Guangdong Basic and Applied Basic Research Foundation; Department of Education of Guangdong Province(National Natural Science Foundation of Guangdong Province)</t>
        </is>
      </c>
      <c r="AF953" t="inlineStr">
        <is>
          <t>This research was funded by Guangzhou Philosophy and Social Science Foundation, grant number 2022GZYB55, Guangdong Basic and Applied Basic Research Foundation, grant number 2021A1515110877, and the Department of Education of Guangdong Province, grant number 2020WQNCX020.</t>
        </is>
      </c>
      <c r="AH953" t="n">
        <v>38</v>
      </c>
      <c r="AI953" t="n">
        <v>2</v>
      </c>
      <c r="AJ953" t="n">
        <v>2</v>
      </c>
      <c r="AK953" t="n">
        <v>11</v>
      </c>
      <c r="AL953" t="n">
        <v>26</v>
      </c>
      <c r="AM953" t="inlineStr">
        <is>
          <t>MDPI</t>
        </is>
      </c>
      <c r="AN953" t="inlineStr">
        <is>
          <t>BASEL</t>
        </is>
      </c>
      <c r="AO953" t="inlineStr">
        <is>
          <t>ST ALBAN-ANLAGE 66, CH-4052 BASEL, SWITZERLAND</t>
        </is>
      </c>
      <c r="AQ953" t="inlineStr">
        <is>
          <t>1660-4601</t>
        </is>
      </c>
      <c r="AS953" t="inlineStr">
        <is>
          <t>INT J ENV RES PUB HE</t>
        </is>
      </c>
      <c r="AT953" t="inlineStr">
        <is>
          <t>Int. J. Environ. Res. Public Health</t>
        </is>
      </c>
      <c r="AU953" t="inlineStr">
        <is>
          <t>OCT</t>
        </is>
      </c>
      <c r="AV953" t="n">
        <v>2022</v>
      </c>
      <c r="AW953" t="n">
        <v>19</v>
      </c>
      <c r="AX953" t="n">
        <v>20</v>
      </c>
      <c r="BE953" t="n">
        <v>13551</v>
      </c>
      <c r="BF953" t="inlineStr">
        <is>
          <t>10.3390/ijerph192013551</t>
        </is>
      </c>
      <c r="BG953">
        <f>HYPERLINK("http://dx.doi.org/10.3390/ijerph192013551","http://dx.doi.org/10.3390/ijerph192013551")</f>
        <v/>
      </c>
      <c r="BJ953" t="n">
        <v>15</v>
      </c>
      <c r="BK953" t="inlineStr">
        <is>
          <t>Environmental Sciences; Public, Environmental &amp; Occupational Health</t>
        </is>
      </c>
      <c r="BL953" t="inlineStr">
        <is>
          <t>Science Citation Index Expanded (SCI-EXPANDED); Social Science Citation Index (SSCI)</t>
        </is>
      </c>
      <c r="BM953" t="inlineStr">
        <is>
          <t>Environmental Sciences &amp; Ecology; Public, Environmental &amp; Occupational Health</t>
        </is>
      </c>
      <c r="BN953" t="inlineStr">
        <is>
          <t>5S6PB</t>
        </is>
      </c>
      <c r="BO953" t="n">
        <v>36294133</v>
      </c>
      <c r="BP953" t="inlineStr">
        <is>
          <t>gold, Green Published</t>
        </is>
      </c>
      <c r="BS953" t="inlineStr">
        <is>
          <t>2023-10-26</t>
        </is>
      </c>
      <c r="BT953" t="inlineStr">
        <is>
          <t>WOS:000875308200001</t>
        </is>
      </c>
      <c r="BU953">
        <f>HYPERLINK("https%3A%2F%2Fwww.webofscience.com%2Fwos%2Fwoscc%2Ffull-record%2FWOS:000875308200001","View Full Record in Web of Science")</f>
        <v/>
      </c>
    </row>
    <row r="954">
      <c r="A954" t="inlineStr">
        <is>
          <t>J</t>
        </is>
      </c>
      <c r="B954" t="inlineStr">
        <is>
          <t>Mhatre, P; Gedam, VV; Unnikrishnan, S; Raut, RD</t>
        </is>
      </c>
      <c r="F954" t="inlineStr">
        <is>
          <t>Mhatre, Purva; Gedam, Vidyadhar V.; Unnikrishnan, Seema; Raut, Rakesh D.</t>
        </is>
      </c>
      <c r="J954" t="inlineStr">
        <is>
          <t>JOURNAL OF CLEANER PRODUCTION</t>
        </is>
      </c>
      <c r="M954" t="inlineStr">
        <is>
          <t>English</t>
        </is>
      </c>
      <c r="N954" t="inlineStr">
        <is>
          <t>Article</t>
        </is>
      </c>
      <c r="T954" t="inlineStr">
        <is>
          <t>Circular economy adoption barriers in built environment- a case of emerging economy</t>
        </is>
      </c>
      <c r="U954" t="inlineStr">
        <is>
          <t>Circular economy; Built environment; Barriers; DEMATEL; Sustainable development</t>
        </is>
      </c>
      <c r="V954" t="inlineStr">
        <is>
          <t>DEMOLITION WASTE; SUPPLY CHAIN; STEEL REUSE; CONSTRUCTION; MANAGEMENT; LESSONS; SYSTEM; CHINA; STRATEGIES; FRAMEWORK</t>
        </is>
      </c>
      <c r="W954" t="inlineStr">
        <is>
          <t>Built environment consumes vast volumes of natural resources and also poses several environmental threats owing to mining, construction emissions, and waste disposal processes. Thus, it is imperative that the principles of circular economy (CE) be adopted to enable the recirculation of resources back to the construction system. However, in the emerging economies, owing to numerous barriers, the momentum for achieving accountable progress towards CE adoption in the construction sector has not been adequate. This research article aims to understand &amp; examine the factors that obstruct the incorporation of CE in the built environment or the con-struction sector in India. A total of sixteen barriers hampering the adoption of CE in built environment are identified and categorised under six categories of economic, environmental, technical, societal, governmental, and behavioral barriers. The research uses Decision-Making Trial and Evaluation Laboratory (DEMATEL) method to analyse the barriers and develop a cause-effect relationship among them. This study reveals that the most predominant barrier to adopting CE in the Indian construction sector is an environmental barrier. The lack of environmentally safe material recovery processes and high operating costs for running a circular supply chain are other significant barriers. Authors further stress on the interdependence of factors and propose appropriate enablers to facilitate CE in built environment. The study's findings are intended to enable policy and decision-makers of the built environment to implement CE effectively.</t>
        </is>
      </c>
      <c r="X954" t="inlineStr">
        <is>
          <t>[Mhatre, Purva; Gedam, Vidyadhar V.; Unnikrishnan, Seema] Natl Inst Ind Engn NITIE, Sustainabil Management Area, Mumbai 400087, India; [Raut, Rakesh D.] Natl Inst Ind Engn NITIE, Operat &amp; Supply Chain Management, Room 515,ALB Bldg,5th Floor,Vihar Lake,87, Mumbai, India</t>
        </is>
      </c>
      <c r="Y954" t="inlineStr">
        <is>
          <t>National Institute of Industrial Engineering (NITIE); National Institute of Industrial Engineering (NITIE)</t>
        </is>
      </c>
      <c r="Z954" t="inlineStr">
        <is>
          <t>Gedam, VV (corresponding author), Natl Inst Ind Engn NITIE, Sustainabil Management Area, Mumbai 400087, India.</t>
        </is>
      </c>
      <c r="AA954" t="inlineStr">
        <is>
          <t>Purva.Mhatre.2019@nitie.ac.in; vgedam@nitie.ac.in; seemaunnikrishnan@nitie.ac.in; rakeshraut09@gmail.com</t>
        </is>
      </c>
      <c r="AC954" t="inlineStr">
        <is>
          <t>Raut, Rakesh/0000-0002-0469-1326</t>
        </is>
      </c>
      <c r="AH954" t="n">
        <v>131</v>
      </c>
      <c r="AI954" t="n">
        <v>3</v>
      </c>
      <c r="AJ954" t="n">
        <v>3</v>
      </c>
      <c r="AK954" t="n">
        <v>16</v>
      </c>
      <c r="AL954" t="n">
        <v>16</v>
      </c>
      <c r="AM954" t="inlineStr">
        <is>
          <t>ELSEVIER SCI LTD</t>
        </is>
      </c>
      <c r="AN954" t="inlineStr">
        <is>
          <t>OXFORD</t>
        </is>
      </c>
      <c r="AO954" t="inlineStr">
        <is>
          <t>THE BOULEVARD, LANGFORD LANE, KIDLINGTON, OXFORD OX5 1GB, OXON, ENGLAND</t>
        </is>
      </c>
      <c r="AP954" t="inlineStr">
        <is>
          <t>0959-6526</t>
        </is>
      </c>
      <c r="AQ954" t="inlineStr">
        <is>
          <t>1879-1786</t>
        </is>
      </c>
      <c r="AS954" t="inlineStr">
        <is>
          <t>J CLEAN PROD</t>
        </is>
      </c>
      <c r="AT954" t="inlineStr">
        <is>
          <t>J. Clean Prod.</t>
        </is>
      </c>
      <c r="AU954" t="inlineStr">
        <is>
          <t>MAR 15</t>
        </is>
      </c>
      <c r="AV954" t="n">
        <v>2023</v>
      </c>
      <c r="AW954" t="n">
        <v>392</v>
      </c>
      <c r="BE954" t="n">
        <v>136201</v>
      </c>
      <c r="BF954" t="inlineStr">
        <is>
          <t>10.1016/j.jclepro.2023.136201</t>
        </is>
      </c>
      <c r="BG954">
        <f>HYPERLINK("http://dx.doi.org/10.1016/j.jclepro.2023.136201","http://dx.doi.org/10.1016/j.jclepro.2023.136201")</f>
        <v/>
      </c>
      <c r="BI954" t="inlineStr">
        <is>
          <t>FEB 2023</t>
        </is>
      </c>
      <c r="BJ954" t="n">
        <v>20</v>
      </c>
      <c r="BK954" t="inlineStr">
        <is>
          <t>Green &amp; Sustainable Science &amp; Technology; Engineering, Environmental; Environmental Sciences</t>
        </is>
      </c>
      <c r="BL954" t="inlineStr">
        <is>
          <t>Science Citation Index Expanded (SCI-EXPANDED)</t>
        </is>
      </c>
      <c r="BM954" t="inlineStr">
        <is>
          <t>Science &amp; Technology - Other Topics; Engineering; Environmental Sciences &amp; Ecology</t>
        </is>
      </c>
      <c r="BN954" t="inlineStr">
        <is>
          <t>C7ZD6</t>
        </is>
      </c>
      <c r="BS954" t="inlineStr">
        <is>
          <t>2023-10-26</t>
        </is>
      </c>
      <c r="BT954" t="inlineStr">
        <is>
          <t>WOS:000964046100001</t>
        </is>
      </c>
      <c r="BU954">
        <f>HYPERLINK("https%3A%2F%2Fwww.webofscience.com%2Fwos%2Fwoscc%2Ffull-record%2FWOS:000964046100001","View Full Record in Web of Science")</f>
        <v/>
      </c>
    </row>
    <row r="955">
      <c r="A955" t="inlineStr">
        <is>
          <t>J</t>
        </is>
      </c>
      <c r="B955" t="inlineStr">
        <is>
          <t>Chan, KT; Algood, C; Prifti, A; Zidan, T</t>
        </is>
      </c>
      <c r="F955" t="inlineStr">
        <is>
          <t>Chan, Keith T.; Algood, Carl; Prifti, Andreana; Zidan, Tarek</t>
        </is>
      </c>
      <c r="J955" t="inlineStr">
        <is>
          <t>INTERNATIONAL JOURNAL OF ENVIRONMENTAL RESEARCH AND PUBLIC HEALTH</t>
        </is>
      </c>
      <c r="M955" t="inlineStr">
        <is>
          <t>English</t>
        </is>
      </c>
      <c r="N955" t="inlineStr">
        <is>
          <t>Article</t>
        </is>
      </c>
      <c r="T955" t="inlineStr">
        <is>
          <t>Cross-Cultural Measurement Invariance of a Measure of Disability for White, Black, Hispanic and Asian Older Adults</t>
        </is>
      </c>
      <c r="U955" t="inlineStr">
        <is>
          <t>disability; race; ethnicity; measurement; older adults</t>
        </is>
      </c>
      <c r="W955" t="inlineStr">
        <is>
          <t>Introduction: This study aims to determine the cross-cultural measurement equivalence of the Washington Group General Measure of Disability for older adults. Materials and Methods: This study used the 2012 California Health Interview Survey. The sample included 14,115 non-Hispanic White, Black, Hispanic and Asian adults aged 65 and older. Analysis was conducted using multi-group confirmatory factor analysis (CFA), parallel and Tau-equivalent tests. Results: The results indicated that the measure was valid for use with older adults (Satorra Bentler chi(2) = 13.27, df = 3, p = 0.005, GFI = 0.996). Multi-group CFA indicated comparisons were valid between Whites with Blacks, and Hispanics with Asians. Cognitive disability was associated with independent living disability for Whites and Blacks, and with sensory disability for Hispanics and Asians. Conclusions: Findings indicated the measure is valid for cross-cultural comparison for certain racial/ethnic groups. Further research is needed to understand differences in associations of cognitive decline with other areas of disability for older adults.</t>
        </is>
      </c>
      <c r="X955" t="inlineStr">
        <is>
          <t>[Chan, Keith T.] CUNY Hunter Coll, Silberman Sch Social Work, 2180 3rd Ave, New York, NY 10035 USA; [Algood, Carl] Univ Maryland, Sch Social Work, Baltimore, MD 21201 USA; [Prifti, Andreana] SUNY Albany, Coll Arts &amp; Sci, Albany, NY 12222 USA; [Zidan, Tarek] Indiana Univ, Sch Social Work, South Bend, IN 46634 USA</t>
        </is>
      </c>
      <c r="Y955" t="inlineStr">
        <is>
          <t>City University of New York (CUNY) System; Hunter College (CUNY); University System of Maryland; University of Maryland Baltimore; State University of New York (SUNY) System; State University of New York (SUNY) Albany; Indiana University System; Indiana University South Bend</t>
        </is>
      </c>
      <c r="Z955" t="inlineStr">
        <is>
          <t>Chan, KT (corresponding author), CUNY Hunter Coll, Silberman Sch Social Work, 2180 3rd Ave, New York, NY 10035 USA.</t>
        </is>
      </c>
      <c r="AA955" t="inlineStr">
        <is>
          <t>greystar999@gmail.com; algoodcl@gmail.com; andrianaprifti@gmail.com; tzidan@iu.edu</t>
        </is>
      </c>
      <c r="AC955" t="inlineStr">
        <is>
          <t>Algood, Carl/0000-0003-0603-0262; Chan, Keith/0000-0001-8951-5622; Zidan, Dr. Tarek/0000-0003-2220-0751</t>
        </is>
      </c>
      <c r="AD955" t="inlineStr">
        <is>
          <t>NIH National Institute of Minority Health and Health Disparities Loan Repayment Program Award; Rutgers University Asian Resource Centers for Minority Aging Research Center under NIH/NIA [P30-AG0059304]; Health and Aging Policy Fellowship; John A. Hartford Foundation; West Health; Atlantic Philanthropies; US Veterans Health Administration; National Institute on Disability, Independent Living, and Rehabilitation Research/Administration for Community Living</t>
        </is>
      </c>
      <c r="AE955" t="inlineStr">
        <is>
          <t>NIH National Institute of Minority Health and Health Disparities Loan Repayment Program Award; Rutgers University Asian Resource Centers for Minority Aging Research Center under NIH/NIA; Health and Aging Policy Fellowship; John A. Hartford Foundation; West Health; Atlantic Philanthropies; US Veterans Health Administration; National Institute on Disability, Independent Living, and Rehabilitation Research/Administration for Community Living</t>
        </is>
      </c>
      <c r="AF955" t="inlineStr">
        <is>
          <t>Keith Chan as PI of this study was supported through funding from the NIH National Institute of Minority Health and Health Disparities Loan Repayment Program Award, the Rutgers University Asian Resource Centers for Minority Aging Research Center under NIH/NIA Grant P30-AG0059304, and the Health and Aging Policy Fellowship co-funded by The John A. Hartford Foundation, West Health, The Atlantic Philanthropies, the US Veterans Health Administration, the National Institute on Disability, Independent Living, and Rehabilitation Research/Administration for Community Living. The contents of this article are solely the responsibility of the authors and do not necessarily represent the official views of the different funders.</t>
        </is>
      </c>
      <c r="AH955" t="n">
        <v>42</v>
      </c>
      <c r="AI955" t="n">
        <v>2</v>
      </c>
      <c r="AJ955" t="n">
        <v>2</v>
      </c>
      <c r="AK955" t="n">
        <v>0</v>
      </c>
      <c r="AL955" t="n">
        <v>2</v>
      </c>
      <c r="AM955" t="inlineStr">
        <is>
          <t>MDPI</t>
        </is>
      </c>
      <c r="AN955" t="inlineStr">
        <is>
          <t>BASEL</t>
        </is>
      </c>
      <c r="AO955" t="inlineStr">
        <is>
          <t>ST ALBAN-ANLAGE 66, CH-4052 BASEL, SWITZERLAND</t>
        </is>
      </c>
      <c r="AQ955" t="inlineStr">
        <is>
          <t>1660-4601</t>
        </is>
      </c>
      <c r="AS955" t="inlineStr">
        <is>
          <t>INT J ENV RES PUB HE</t>
        </is>
      </c>
      <c r="AT955" t="inlineStr">
        <is>
          <t>Int. J. Environ. Res. Public Health</t>
        </is>
      </c>
      <c r="AU955" t="inlineStr">
        <is>
          <t>FEB</t>
        </is>
      </c>
      <c r="AV955" t="n">
        <v>2021</v>
      </c>
      <c r="AW955" t="n">
        <v>18</v>
      </c>
      <c r="AX955" t="n">
        <v>4</v>
      </c>
      <c r="BE955" t="n">
        <v>1401</v>
      </c>
      <c r="BF955" t="inlineStr">
        <is>
          <t>10.3390/ijerph18041401</t>
        </is>
      </c>
      <c r="BG955">
        <f>HYPERLINK("http://dx.doi.org/10.3390/ijerph18041401","http://dx.doi.org/10.3390/ijerph18041401")</f>
        <v/>
      </c>
      <c r="BJ955" t="n">
        <v>14</v>
      </c>
      <c r="BK955" t="inlineStr">
        <is>
          <t>Environmental Sciences; Public, Environmental &amp; Occupational Health</t>
        </is>
      </c>
      <c r="BL955" t="inlineStr">
        <is>
          <t>Science Citation Index Expanded (SCI-EXPANDED); Social Science Citation Index (SSCI)</t>
        </is>
      </c>
      <c r="BM955" t="inlineStr">
        <is>
          <t>Environmental Sciences &amp; Ecology; Public, Environmental &amp; Occupational Health</t>
        </is>
      </c>
      <c r="BN955" t="inlineStr">
        <is>
          <t>QP1IG</t>
        </is>
      </c>
      <c r="BO955" t="n">
        <v>33546272</v>
      </c>
      <c r="BP955" t="inlineStr">
        <is>
          <t>Green Published, gold</t>
        </is>
      </c>
      <c r="BS955" t="inlineStr">
        <is>
          <t>2023-10-26</t>
        </is>
      </c>
      <c r="BT955" t="inlineStr">
        <is>
          <t>WOS:000623589500001</t>
        </is>
      </c>
      <c r="BU955">
        <f>HYPERLINK("https%3A%2F%2Fwww.webofscience.com%2Fwos%2Fwoscc%2Ffull-record%2FWOS:000623589500001","View Full Record in Web of Science")</f>
        <v/>
      </c>
    </row>
    <row r="956">
      <c r="A956" t="inlineStr">
        <is>
          <t>J</t>
        </is>
      </c>
      <c r="B956" t="inlineStr">
        <is>
          <t>Opoku, A</t>
        </is>
      </c>
      <c r="F956" t="inlineStr">
        <is>
          <t>Opoku, Alex</t>
        </is>
      </c>
      <c r="J956" t="inlineStr">
        <is>
          <t>RESOURCES CONSERVATION AND RECYCLING</t>
        </is>
      </c>
      <c r="M956" t="inlineStr">
        <is>
          <t>English</t>
        </is>
      </c>
      <c r="N956" t="inlineStr">
        <is>
          <t>Article</t>
        </is>
      </c>
      <c r="T956" t="inlineStr">
        <is>
          <t>Biodiversity and the built environment: Implications for the Sustainable Development Goals (SDGs)</t>
        </is>
      </c>
      <c r="U956" t="inlineStr">
        <is>
          <t>Biodiversity; Built environment; Construction industry; Sustainable development goals; SDG 15</t>
        </is>
      </c>
      <c r="V956" t="inlineStr">
        <is>
          <t>URBAN; CITIES; GREEN; CHALLENGES; ECOLOGY; HABITAT; SPACE; AREAS</t>
        </is>
      </c>
      <c r="W956" t="inlineStr">
        <is>
          <t>Recent major global environmental initiatives toward a more sustainable society are the Sustainable Development Goals (SDGs), the New Urban Agenda (NUA) and the Paris Agreement. The built environment has been recognised as a major contributor to loss of biodiversity and should therefore play a major role in a sustainable world where ecological values are enhanced. There should be a smooth interaction between the built environment and the natural environment because humanity and nature are the usual victims of loss of biodiversity. The purpose of this paper is to examine the link between the Built Environment, Biodiversity and the Sustainable Development Goals. The paper explores the role of a sustainable built environment towards biodiversity conservation which is central to the realisation of the SDGs in general and SDG 15 in particular. The paper adopts a qualitative research methodology using knowledge generation workshop involving 16 experts from both academia and industry. The results show that, even though the built environment has a negative impact on biodiversity, it also has the greatest opportunity to integrate biodiversity into all development projects. Reducing the impact of the built environment on biodiversity should be an integral part of policies and strategies towards a sustainable built environment. All key built environment stakeholders need to engage in raising awareness of the effects of biodiversity loss as a result of construction activities, on the health and wellbeing of mankind. The value of this paper is to help decision-makers such as government agencies, industry players and non-governmental organisations to understand the contributions of the built environment towards biodiversity conservation in achieving the SDGs.</t>
        </is>
      </c>
      <c r="X956" t="inlineStr">
        <is>
          <t>[Opoku, Alex] UCL, UCL Bartlett Sch Construct &amp; Project Management, 1-19 Torrington Pl, London WC1E 7HB, England</t>
        </is>
      </c>
      <c r="Y956" t="inlineStr">
        <is>
          <t>University of London; University College London</t>
        </is>
      </c>
      <c r="Z956" t="inlineStr">
        <is>
          <t>Opoku, A (corresponding author), UCL, UCL Bartlett Sch Construct &amp; Project Management, 1-19 Torrington Pl, London WC1E 7HB, England.</t>
        </is>
      </c>
      <c r="AA956" t="inlineStr">
        <is>
          <t>alex.opoku@ucl.ac.uk</t>
        </is>
      </c>
      <c r="AB956" t="inlineStr">
        <is>
          <t>Opoku, Alex/H-9180-2018</t>
        </is>
      </c>
      <c r="AC956" t="inlineStr">
        <is>
          <t>Opoku, Alex/0000-0002-5973-512X</t>
        </is>
      </c>
      <c r="AH956" t="n">
        <v>49</v>
      </c>
      <c r="AI956" t="n">
        <v>90</v>
      </c>
      <c r="AJ956" t="n">
        <v>93</v>
      </c>
      <c r="AK956" t="n">
        <v>16</v>
      </c>
      <c r="AL956" t="n">
        <v>138</v>
      </c>
      <c r="AM956" t="inlineStr">
        <is>
          <t>ELSEVIER SCIENCE BV</t>
        </is>
      </c>
      <c r="AN956" t="inlineStr">
        <is>
          <t>AMSTERDAM</t>
        </is>
      </c>
      <c r="AO956" t="inlineStr">
        <is>
          <t>PO BOX 211, 1000 AE AMSTERDAM, NETHERLANDS</t>
        </is>
      </c>
      <c r="AP956" t="inlineStr">
        <is>
          <t>0921-3449</t>
        </is>
      </c>
      <c r="AQ956" t="inlineStr">
        <is>
          <t>1879-0658</t>
        </is>
      </c>
      <c r="AS956" t="inlineStr">
        <is>
          <t>RESOUR CONSERV RECY</t>
        </is>
      </c>
      <c r="AT956" t="inlineStr">
        <is>
          <t>Resour. Conserv. Recycl.</t>
        </is>
      </c>
      <c r="AU956" t="inlineStr">
        <is>
          <t>FEB</t>
        </is>
      </c>
      <c r="AV956" t="n">
        <v>2019</v>
      </c>
      <c r="AW956" t="n">
        <v>141</v>
      </c>
      <c r="BC956" t="n">
        <v>1</v>
      </c>
      <c r="BD956" t="n">
        <v>7</v>
      </c>
      <c r="BF956" t="inlineStr">
        <is>
          <t>10.1016/j.resconrec.2018.10.011</t>
        </is>
      </c>
      <c r="BG956">
        <f>HYPERLINK("http://dx.doi.org/10.1016/j.resconrec.2018.10.011","http://dx.doi.org/10.1016/j.resconrec.2018.10.011")</f>
        <v/>
      </c>
      <c r="BJ956" t="n">
        <v>7</v>
      </c>
      <c r="BK956" t="inlineStr">
        <is>
          <t>Engineering, Environmental; Environmental Sciences</t>
        </is>
      </c>
      <c r="BL956" t="inlineStr">
        <is>
          <t>Science Citation Index Expanded (SCI-EXPANDED)</t>
        </is>
      </c>
      <c r="BM956" t="inlineStr">
        <is>
          <t>Engineering; Environmental Sciences &amp; Ecology</t>
        </is>
      </c>
      <c r="BN956" t="inlineStr">
        <is>
          <t>HF8BQ</t>
        </is>
      </c>
      <c r="BP956" t="inlineStr">
        <is>
          <t>Green Submitted</t>
        </is>
      </c>
      <c r="BS956" t="inlineStr">
        <is>
          <t>2023-10-26</t>
        </is>
      </c>
      <c r="BT956" t="inlineStr">
        <is>
          <t>WOS:000454466300001</t>
        </is>
      </c>
      <c r="BU956">
        <f>HYPERLINK("https%3A%2F%2Fwww.webofscience.com%2Fwos%2Fwoscc%2Ffull-record%2FWOS:000454466300001","View Full Record in Web of Science")</f>
        <v/>
      </c>
    </row>
    <row r="957">
      <c r="A957" t="inlineStr">
        <is>
          <t>J</t>
        </is>
      </c>
      <c r="B957" t="inlineStr">
        <is>
          <t>Lee, S</t>
        </is>
      </c>
      <c r="F957" t="inlineStr">
        <is>
          <t>Lee, Sangwan</t>
        </is>
      </c>
      <c r="J957" t="inlineStr">
        <is>
          <t>SUSTAINABILITY</t>
        </is>
      </c>
      <c r="M957" t="inlineStr">
        <is>
          <t>English</t>
        </is>
      </c>
      <c r="N957" t="inlineStr">
        <is>
          <t>Article</t>
        </is>
      </c>
      <c r="T957" t="inlineStr">
        <is>
          <t>Exploring Associations between Multimodality and Built Environment Characteristics in the U.S</t>
        </is>
      </c>
      <c r="U957" t="inlineStr">
        <is>
          <t>multimodality; built environment; planning; U; S; nationwide analysis</t>
        </is>
      </c>
      <c r="V957" t="inlineStr">
        <is>
          <t>DIVERSE REGIONS; TRAVEL; TRANSPORTATION; DIVERSIFICATION; ENTROPY; LIFE</t>
        </is>
      </c>
      <c r="W957" t="inlineStr">
        <is>
          <t>This study demonstrated associations between multimodality and built environment characteristics, and proposed policy implications for fostering multimodal travel behaviors. It conducted a U.S. nationwide analysis using ordinary least square regression and gradient boosting decision tree regressor models with American Community Survey 2015-2019 5-year estimates and the United States Environmental Protection Agency Smart Location Database version 3.0. Notable findings were as follows: First, built environment characteristics were found to be statistically significant predictors of multimodality across the U.S. Second, certain features were identified as having considerable importance, specifically including population density, regional accessibility, walkability index, and network density, all of which should be given particular attention by transportation and land-use planners. Third, the non-linear effects of built environment characteristics on multimodality suggested an effective range to encourage multimodal transportation choice behaviors in various situations. The findings can guide the development of effective strategies to transform the built environment, which may subsequently be used to minimize reliance on automobiles and promote people to travel more sustainably.</t>
        </is>
      </c>
      <c r="X957" t="inlineStr">
        <is>
          <t>[Lee, Sangwan] Portland State Univ, Nohad A Toulan Sch Urban Studies &amp; Planning, 506 SW Mill St, Portland, OR 97201 USA</t>
        </is>
      </c>
      <c r="Y957" t="inlineStr">
        <is>
          <t>Portland State University</t>
        </is>
      </c>
      <c r="Z957" t="inlineStr">
        <is>
          <t>Lee, S (corresponding author), Portland State Univ, Nohad A Toulan Sch Urban Studies &amp; Planning, 506 SW Mill St, Portland, OR 97201 USA.</t>
        </is>
      </c>
      <c r="AA957" t="inlineStr">
        <is>
          <t>sangwan@pdx.edu</t>
        </is>
      </c>
      <c r="AC957" t="inlineStr">
        <is>
          <t>Lee, Sangwan/0000-0001-8039-6655</t>
        </is>
      </c>
      <c r="AH957" t="n">
        <v>75</v>
      </c>
      <c r="AI957" t="n">
        <v>4</v>
      </c>
      <c r="AJ957" t="n">
        <v>4</v>
      </c>
      <c r="AK957" t="n">
        <v>3</v>
      </c>
      <c r="AL957" t="n">
        <v>7</v>
      </c>
      <c r="AM957" t="inlineStr">
        <is>
          <t>MDPI</t>
        </is>
      </c>
      <c r="AN957" t="inlineStr">
        <is>
          <t>BASEL</t>
        </is>
      </c>
      <c r="AO957" t="inlineStr">
        <is>
          <t>ST ALBAN-ANLAGE 66, CH-4052 BASEL, SWITZERLAND</t>
        </is>
      </c>
      <c r="AQ957" t="inlineStr">
        <is>
          <t>2071-1050</t>
        </is>
      </c>
      <c r="AS957" t="inlineStr">
        <is>
          <t>SUSTAINABILITY-BASEL</t>
        </is>
      </c>
      <c r="AT957" t="inlineStr">
        <is>
          <t>Sustainability</t>
        </is>
      </c>
      <c r="AU957" t="inlineStr">
        <is>
          <t>JUN</t>
        </is>
      </c>
      <c r="AV957" t="n">
        <v>2022</v>
      </c>
      <c r="AW957" t="n">
        <v>14</v>
      </c>
      <c r="AX957" t="n">
        <v>11</v>
      </c>
      <c r="BE957" t="n">
        <v>6629</v>
      </c>
      <c r="BF957" t="inlineStr">
        <is>
          <t>10.3390/su14116629</t>
        </is>
      </c>
      <c r="BG957">
        <f>HYPERLINK("http://dx.doi.org/10.3390/su14116629","http://dx.doi.org/10.3390/su14116629")</f>
        <v/>
      </c>
      <c r="BJ957" t="n">
        <v>16</v>
      </c>
      <c r="BK957" t="inlineStr">
        <is>
          <t>Green &amp; Sustainable Science &amp; Technology; Environmental Sciences; Environmental Studies</t>
        </is>
      </c>
      <c r="BL957" t="inlineStr">
        <is>
          <t>Science Citation Index Expanded (SCI-EXPANDED); Social Science Citation Index (SSCI)</t>
        </is>
      </c>
      <c r="BM957" t="inlineStr">
        <is>
          <t>Science &amp; Technology - Other Topics; Environmental Sciences &amp; Ecology</t>
        </is>
      </c>
      <c r="BN957" t="inlineStr">
        <is>
          <t>1Z3ZK</t>
        </is>
      </c>
      <c r="BP957" t="inlineStr">
        <is>
          <t>gold, Green Published</t>
        </is>
      </c>
      <c r="BS957" t="inlineStr">
        <is>
          <t>2023-10-26</t>
        </is>
      </c>
      <c r="BT957" t="inlineStr">
        <is>
          <t>WOS:000808766700001</t>
        </is>
      </c>
      <c r="BU957">
        <f>HYPERLINK("https%3A%2F%2Fwww.webofscience.com%2Fwos%2Fwoscc%2Ffull-record%2FWOS:000808766700001","View Full Record in Web of Science")</f>
        <v/>
      </c>
    </row>
    <row r="958">
      <c r="A958" t="inlineStr">
        <is>
          <t>J</t>
        </is>
      </c>
      <c r="B958" t="inlineStr">
        <is>
          <t>Viola, S; Diano, D</t>
        </is>
      </c>
      <c r="F958" t="inlineStr">
        <is>
          <t>Viola, Serena; Diano, Donatella</t>
        </is>
      </c>
      <c r="J958" t="inlineStr">
        <is>
          <t>SUSTAINABILITY</t>
        </is>
      </c>
      <c r="M958" t="inlineStr">
        <is>
          <t>English</t>
        </is>
      </c>
      <c r="N958" t="inlineStr">
        <is>
          <t>Article</t>
        </is>
      </c>
      <c r="T958" t="inlineStr">
        <is>
          <t>Repurposing the Built Environment: Emerging Challenges and Key Entry Points for Future Research</t>
        </is>
      </c>
      <c r="U958" t="inlineStr">
        <is>
          <t>built environment; repurposing; values; resources; effectiveness</t>
        </is>
      </c>
      <c r="V958" t="inlineStr">
        <is>
          <t>ADAPTIVE REUSE; SUSTAINABILITY; URBAN</t>
        </is>
      </c>
      <c r="W958" t="inlineStr">
        <is>
          <t>The built environment faces challenges in all three dimensions of sustainable development-economic, social, and environmental. The increasing loss of functionality is a cross-sectional issue affecting buildings and settlements and their layering of social, spatial, and cultural processes. Based on a critical review, this paper aims to bridge the gap between international charters and ongoing research for built environments losing their original uses. Three emerging challenges to sustainability in repurposing are outlined from the debate, checking their incidence on research: (a) values preservation, (b) resources optimization, (c) systems effectiveness promotion. Experiences of conversion and regeneration in Japan, the Netherlands, Australia, Hong Kong City, and the USA are taken into account with the aim of comparing approaches, methods, and results. The discussion highlights three key entry points for future research on built environments: (1) communities involvement: new alliances between stakeholders, (2) the potential of technologies: combining resources' protection and affordability, and (3) renewed productivity to preserve values and uses.</t>
        </is>
      </c>
      <c r="X958" t="inlineStr">
        <is>
          <t>[Viola, Serena; Diano, Donatella] Univ Napoli Federico II, DiARC, I-80100 Naples, NA, Italy</t>
        </is>
      </c>
      <c r="Y958" t="inlineStr">
        <is>
          <t>University of Naples Federico II</t>
        </is>
      </c>
      <c r="Z958" t="inlineStr">
        <is>
          <t>Viola, S (corresponding author), Univ Napoli Federico II, DiARC, I-80100 Naples, NA, Italy.</t>
        </is>
      </c>
      <c r="AA958" t="inlineStr">
        <is>
          <t>serena.viola@unina.it</t>
        </is>
      </c>
      <c r="AH958" t="n">
        <v>66</v>
      </c>
      <c r="AI958" t="n">
        <v>5</v>
      </c>
      <c r="AJ958" t="n">
        <v>5</v>
      </c>
      <c r="AK958" t="n">
        <v>2</v>
      </c>
      <c r="AL958" t="n">
        <v>11</v>
      </c>
      <c r="AM958" t="inlineStr">
        <is>
          <t>MDPI</t>
        </is>
      </c>
      <c r="AN958" t="inlineStr">
        <is>
          <t>BASEL</t>
        </is>
      </c>
      <c r="AO958" t="inlineStr">
        <is>
          <t>ST ALBAN-ANLAGE 66, CH-4052 BASEL, SWITZERLAND</t>
        </is>
      </c>
      <c r="AQ958" t="inlineStr">
        <is>
          <t>2071-1050</t>
        </is>
      </c>
      <c r="AS958" t="inlineStr">
        <is>
          <t>SUSTAINABILITY-BASEL</t>
        </is>
      </c>
      <c r="AT958" t="inlineStr">
        <is>
          <t>Sustainability</t>
        </is>
      </c>
      <c r="AU958" t="inlineStr">
        <is>
          <t>SEP 1</t>
        </is>
      </c>
      <c r="AV958" t="n">
        <v>2019</v>
      </c>
      <c r="AW958" t="n">
        <v>11</v>
      </c>
      <c r="AX958" t="n">
        <v>17</v>
      </c>
      <c r="BE958" t="n">
        <v>4669</v>
      </c>
      <c r="BF958" t="inlineStr">
        <is>
          <t>10.3390/su11174669</t>
        </is>
      </c>
      <c r="BG958">
        <f>HYPERLINK("http://dx.doi.org/10.3390/su11174669","http://dx.doi.org/10.3390/su11174669")</f>
        <v/>
      </c>
      <c r="BJ958" t="n">
        <v>19</v>
      </c>
      <c r="BK958" t="inlineStr">
        <is>
          <t>Green &amp; Sustainable Science &amp; Technology; Environmental Sciences; Environmental Studies</t>
        </is>
      </c>
      <c r="BL958" t="inlineStr">
        <is>
          <t>Science Citation Index Expanded (SCI-EXPANDED); Social Science Citation Index (SSCI)</t>
        </is>
      </c>
      <c r="BM958" t="inlineStr">
        <is>
          <t>Science &amp; Technology - Other Topics; Environmental Sciences &amp; Ecology</t>
        </is>
      </c>
      <c r="BN958" t="inlineStr">
        <is>
          <t>IZ1WC</t>
        </is>
      </c>
      <c r="BP958" t="inlineStr">
        <is>
          <t>gold, Green Published</t>
        </is>
      </c>
      <c r="BS958" t="inlineStr">
        <is>
          <t>2023-10-26</t>
        </is>
      </c>
      <c r="BT958" t="inlineStr">
        <is>
          <t>WOS:000486877700157</t>
        </is>
      </c>
      <c r="BU958">
        <f>HYPERLINK("https%3A%2F%2Fwww.webofscience.com%2Fwos%2Fwoscc%2Ffull-record%2FWOS:000486877700157","View Full Record in Web of Science")</f>
        <v/>
      </c>
    </row>
    <row r="959">
      <c r="A959" t="inlineStr">
        <is>
          <t>J</t>
        </is>
      </c>
      <c r="B959" t="inlineStr">
        <is>
          <t>Ogundele, LT; Olasinde, RT; Owoade, OK; Olise, FS</t>
        </is>
      </c>
      <c r="F959" t="inlineStr">
        <is>
          <t>Ogundele, Lasun T.; Olasinde, Roseline T.; Owoade, Oyediran K.; Olise, Felix S.</t>
        </is>
      </c>
      <c r="J959" t="inlineStr">
        <is>
          <t>EARTH SYSTEMS AND ENVIRONMENT</t>
        </is>
      </c>
      <c r="M959" t="inlineStr">
        <is>
          <t>English</t>
        </is>
      </c>
      <c r="N959" t="inlineStr">
        <is>
          <t>Article</t>
        </is>
      </c>
      <c r="T959" t="inlineStr">
        <is>
          <t>Composition and Source Identification of Chemical Species in Dust from Selected Indoor Environments in Ile-Ife, Nigeria</t>
        </is>
      </c>
      <c r="U959" t="inlineStr">
        <is>
          <t>Indoor dust; Compositions; PCFA; Sources; Windblown soil</t>
        </is>
      </c>
      <c r="W959" t="inlineStr">
        <is>
          <t>This study presents the elemental compositions and concentrations of indoor dust and identifies the major sources in some selected indoor environments in Ile-Ife, Nigeria. The dust samples were collected from 16 indoor environments comprising offices, churches, residential and staff quarters using a cyclonic high power vacuum cleaner. The dust samples were analyzed for elemental concentrations using x-ray fluorescences. The data sets were analyzed for the possible sources and their contributions using Principal Component Factor Analysis (PCFA). The result showed that dust samples contained several elements: K, Ca, Ti, Mn, Fe, Ni, Cu, Zn, Ga, As, Rb, Sr, Se, Zr, V, and Sc. The PCFA identified three factors with the percentage variance of 92, 77, 71 and 68%, for the office, church, residential, and staff quarters, respectively, for the combined elemental data of each of the site classes. The identified sources were track-in-soil, road and windblown soil dust, paint debris, household dust from personal care materials, cooking, and cleaning activities. The unintentional track-in-soil due to mobility of the occupants, structural materials, and outdoor air was the major sources contributing to the indoor dust.</t>
        </is>
      </c>
      <c r="X959" t="inlineStr">
        <is>
          <t>[Ogundele, Lasun T.; Olasinde, Roseline T.; Owoade, Oyediran K.; Olise, Felix S.] Obafemi Awolowo Univ, Dept Phys &amp; Engn Phys, Environm Res Lab ERL, Ife, Nigeria; [Ogundele, Lasun T.] Univ Med Sci, Dept Phys, Ondo, Nigeria</t>
        </is>
      </c>
      <c r="Y959" t="inlineStr">
        <is>
          <t>Obafemi Awolowo University</t>
        </is>
      </c>
      <c r="Z959" t="inlineStr">
        <is>
          <t>Ogundele, LT (corresponding author), Obafemi Awolowo Univ, Dept Phys &amp; Engn Phys, Environm Res Lab ERL, Ife, Nigeria.;Ogundele, LT (corresponding author), Univ Med Sci, Dept Phys, Ondo, Nigeria.</t>
        </is>
      </c>
      <c r="AA959" t="inlineStr">
        <is>
          <t>logundele@unimed.edu.ng</t>
        </is>
      </c>
      <c r="AC959" t="inlineStr">
        <is>
          <t>OLISE, Felix/0000-0002-8077-2259</t>
        </is>
      </c>
      <c r="AH959" t="n">
        <v>37</v>
      </c>
      <c r="AI959" t="n">
        <v>5</v>
      </c>
      <c r="AJ959" t="n">
        <v>5</v>
      </c>
      <c r="AK959" t="n">
        <v>0</v>
      </c>
      <c r="AL959" t="n">
        <v>2</v>
      </c>
      <c r="AM959" t="inlineStr">
        <is>
          <t>SPRINGER INTERNATIONAL PUBLISHING AG</t>
        </is>
      </c>
      <c r="AN959" t="inlineStr">
        <is>
          <t>CHAM</t>
        </is>
      </c>
      <c r="AO959" t="inlineStr">
        <is>
          <t>GEWERBESTRASSE 11, CHAM, CH-6330, SWITZERLAND</t>
        </is>
      </c>
      <c r="AP959" t="inlineStr">
        <is>
          <t>2509-9426</t>
        </is>
      </c>
      <c r="AQ959" t="inlineStr">
        <is>
          <t>2509-9434</t>
        </is>
      </c>
      <c r="AS959" t="inlineStr">
        <is>
          <t>EARTH SYST ENVIRON</t>
        </is>
      </c>
      <c r="AT959" t="inlineStr">
        <is>
          <t>Earth Syst. Environ.</t>
        </is>
      </c>
      <c r="AU959" t="inlineStr">
        <is>
          <t>OCT</t>
        </is>
      </c>
      <c r="AV959" t="n">
        <v>2018</v>
      </c>
      <c r="AW959" t="n">
        <v>2</v>
      </c>
      <c r="AX959" t="n">
        <v>2</v>
      </c>
      <c r="BC959" t="n">
        <v>323</v>
      </c>
      <c r="BD959" t="n">
        <v>330</v>
      </c>
      <c r="BF959" t="inlineStr">
        <is>
          <t>10.1007/s41748-018-0052-z</t>
        </is>
      </c>
      <c r="BG959">
        <f>HYPERLINK("http://dx.doi.org/10.1007/s41748-018-0052-z","http://dx.doi.org/10.1007/s41748-018-0052-z")</f>
        <v/>
      </c>
      <c r="BJ959" t="n">
        <v>8</v>
      </c>
      <c r="BK959" t="inlineStr">
        <is>
          <t>Environmental Sciences; Geosciences, Multidisciplinary; Meteorology &amp; Atmospheric Sciences</t>
        </is>
      </c>
      <c r="BL959" t="inlineStr">
        <is>
          <t>Emerging Sources Citation Index (ESCI)</t>
        </is>
      </c>
      <c r="BM959" t="inlineStr">
        <is>
          <t>Environmental Sciences &amp; Ecology; Geology; Meteorology &amp; Atmospheric Sciences</t>
        </is>
      </c>
      <c r="BN959" t="inlineStr">
        <is>
          <t>VJ1LN</t>
        </is>
      </c>
      <c r="BS959" t="inlineStr">
        <is>
          <t>2023-10-26</t>
        </is>
      </c>
      <c r="BT959" t="inlineStr">
        <is>
          <t>WOS:000538755300011</t>
        </is>
      </c>
      <c r="BU959">
        <f>HYPERLINK("https%3A%2F%2Fwww.webofscience.com%2Fwos%2Fwoscc%2Ffull-record%2FWOS:000538755300011","View Full Record in Web of Science")</f>
        <v/>
      </c>
    </row>
    <row r="960">
      <c r="A960" t="inlineStr">
        <is>
          <t>J</t>
        </is>
      </c>
      <c r="B960" t="inlineStr">
        <is>
          <t>Lin, CY; Park, JH; Hsueh, MC; Lai, TF; Liao, Y</t>
        </is>
      </c>
      <c r="F960" t="inlineStr">
        <is>
          <t>Lin, Chien-Yu; Park, Jong-Hwan; Hsueh, Ming-Chun; Lai, Ting-Fu; Liao, Yung</t>
        </is>
      </c>
      <c r="J960" t="inlineStr">
        <is>
          <t>SUSTAINABILITY</t>
        </is>
      </c>
      <c r="M960" t="inlineStr">
        <is>
          <t>English</t>
        </is>
      </c>
      <c r="N960" t="inlineStr">
        <is>
          <t>Article</t>
        </is>
      </c>
      <c r="T960" t="inlineStr">
        <is>
          <t>Are Area-Level Crimes Associated with Older Adults' Physical Activity and Sedentary Behavior?</t>
        </is>
      </c>
      <c r="U960" t="inlineStr">
        <is>
          <t>crime safety; physical activity recommendations; sedentary behavior; older adults</t>
        </is>
      </c>
      <c r="V960" t="inlineStr">
        <is>
          <t>ENVIRONMENTAL-FACTORS; NEIGHBORHOOD; WALKING; HEALTH; RELIABILITY; VALIDITY; CHINESE; TIME</t>
        </is>
      </c>
      <c r="W960" t="inlineStr">
        <is>
          <t>There is limited evidence for the associations of area-level crime with older adults' physical activity and sedentary behavior, especially in Asia. This study explored the association of area-level crime with older adults' active and sedentary behavior. A telephone-based survey of Taiwanese seniors was conducted in September-November of 2017. Data related to sociodemographic factors, residential neighborhood (objectively recorded area-level crime incidence), and time spent in physical activity and sedentary behavior, were obtained from 1068 older adults. Adjusted binary logistic regression was analyzed. Fully adjusted analyses showed older adults living in neighborhoods with a higher incidence of drug crime (odds ratio, OR = 0.71, 95% confidence interval, CI = 0.52-0.96), car theft (OR = 0.70, 95% CI 0.51-0.95), and locomotive theft (OR = 0.69, 95% CI 0.51-0.94) were found to be less likely to achieve the recommendation on physical activity. In addition, those living in neighborhoods with a higher incidence of theft (OR = 1.93, 95% CI 1.05-3.55), drug crime (OR = 1.93, 95% CI 1.05-3.55), breaking and entering (OR = 2.04, 95% CI 1.11-3.76), and rape (OR = 2.20, 95% CI 1.20-4.06) were more likely to have more sedentary time. There were sex differences in the association of area-level crime incidence with physical activity and sedentary behavior. These findings suggest that crime prevention should be considered when designing physical activity and sedentary behavior interventions for older adults.</t>
        </is>
      </c>
      <c r="X960" t="inlineStr">
        <is>
          <t>[Lin, Chien-Yu] Waseda Univ, Grad Sch Sport Sci, 2-579-15 Mikajima, Tokorozawa, Saitama 3591192, Japan; [Lin, Chien-Yu] Natl Taiwan Univ, Inst Hlth Behav &amp; Community Sci, 17 Xu Zhou Rd, Taipei 10055, Taiwan; [Park, Jong-Hwan] Pusan Natl Univ Hosp, Biomed Res Inst, Hlth Convergence Med Res Grp, 179 Gudeok Ro, Busan 49241, South Korea; [Hsueh, Ming-Chun] Natl Taiwan Normal Univ, Dept Phys Educ, 162,Heping East Rd Sect 1, Taipei 106, Taiwan; [Lai, Ting-Fu; Liao, Yung] Natl Taiwan Normal Univ, Dept Hlth Promot &amp; Hlth Educ, 162,Heping East Rd Sect 1, Taipei 106, Taiwan</t>
        </is>
      </c>
      <c r="Y960" t="inlineStr">
        <is>
          <t>Waseda University; National Taiwan University; Pusan National University; Pusan National University Hospital; National Taiwan Normal University; National Taiwan Normal University</t>
        </is>
      </c>
      <c r="Z960" t="inlineStr">
        <is>
          <t>Liao, Y (corresponding author), Natl Taiwan Normal Univ, Dept Hlth Promot &amp; Hlth Educ, 162,Heping East Rd Sect 1, Taipei 106, Taiwan.</t>
        </is>
      </c>
      <c r="AA960" t="inlineStr">
        <is>
          <t>chienyulin@ntu.edu.tw; jpark@pnuh.co.kr; boxeo@ntnu.edu.tw; ted971345@gmail.com; liaoyung@ntnu.edu.tw</t>
        </is>
      </c>
      <c r="AB960" t="inlineStr">
        <is>
          <t>lai, ting/HGD-7592-2022</t>
        </is>
      </c>
      <c r="AC960" t="inlineStr">
        <is>
          <t>Hsueh, Ming-Chun/0000-0001-6723-9487; Park, Jong-Hwan/0000-0003-2815-7248; Lin, Chien-Yu/0000-0002-5263-8730; Liao, Yung/0000-0002-4401-8275</t>
        </is>
      </c>
      <c r="AD960" t="inlineStr">
        <is>
          <t>Ministry of Science and Technology of Taiwan [MOST 107-2410-H-003-117-MY2]; Global Research Network program through the Ministry of Education of the Republic of Korea; National Research Foundation of Korea (NRF) [NRF-2017S1A2A2038558]; National Research Foundation of Korea [2017S1A2A2038558] Funding Source: Korea Institute of Science &amp; Technology Information (KISTI), National Science &amp; Technology Information Service (NTIS)</t>
        </is>
      </c>
      <c r="AE960" t="inlineStr">
        <is>
          <t>Ministry of Science and Technology of Taiwan(Ministry of Science and Technology, Taiwan); Global Research Network program through the Ministry of Education of the Republic of Korea(Ministry of Education (MOE), Republic of Korea); National Research Foundation of Korea (NRF)(National Research Foundation of Korea); National Research Foundation of Korea(National Research Foundation of Korea)</t>
        </is>
      </c>
      <c r="AF960" t="inlineStr">
        <is>
          <t>Liao had a personal grant from the Ministry of Science and Technology of Taiwan (MOST 107-2410-H-003-117-MY2). This work was supported by a Global Research Network program through the Ministry of Education of the Republic of Korea and the National Research Foundation of Korea (NRF-Project number: NRF-2017S1A2A2038558).</t>
        </is>
      </c>
      <c r="AH960" t="n">
        <v>33</v>
      </c>
      <c r="AI960" t="n">
        <v>4</v>
      </c>
      <c r="AJ960" t="n">
        <v>4</v>
      </c>
      <c r="AK960" t="n">
        <v>0</v>
      </c>
      <c r="AL960" t="n">
        <v>4</v>
      </c>
      <c r="AM960" t="inlineStr">
        <is>
          <t>MDPI</t>
        </is>
      </c>
      <c r="AN960" t="inlineStr">
        <is>
          <t>BASEL</t>
        </is>
      </c>
      <c r="AO960" t="inlineStr">
        <is>
          <t>ST ALBAN-ANLAGE 66, CH-4052 BASEL, SWITZERLAND</t>
        </is>
      </c>
      <c r="AQ960" t="inlineStr">
        <is>
          <t>2071-1050</t>
        </is>
      </c>
      <c r="AS960" t="inlineStr">
        <is>
          <t>SUSTAINABILITY-BASEL</t>
        </is>
      </c>
      <c r="AT960" t="inlineStr">
        <is>
          <t>Sustainability</t>
        </is>
      </c>
      <c r="AU960" t="inlineStr">
        <is>
          <t>MAY 1</t>
        </is>
      </c>
      <c r="AV960" t="n">
        <v>2019</v>
      </c>
      <c r="AW960" t="n">
        <v>11</v>
      </c>
      <c r="AX960" t="n">
        <v>9</v>
      </c>
      <c r="BE960" t="n">
        <v>2454</v>
      </c>
      <c r="BF960" t="inlineStr">
        <is>
          <t>10.3390/su11092454</t>
        </is>
      </c>
      <c r="BG960">
        <f>HYPERLINK("http://dx.doi.org/10.3390/su11092454","http://dx.doi.org/10.3390/su11092454")</f>
        <v/>
      </c>
      <c r="BJ960" t="n">
        <v>9</v>
      </c>
      <c r="BK960" t="inlineStr">
        <is>
          <t>Green &amp; Sustainable Science &amp; Technology; Environmental Sciences; Environmental Studies</t>
        </is>
      </c>
      <c r="BL960" t="inlineStr">
        <is>
          <t>Science Citation Index Expanded (SCI-EXPANDED); Social Science Citation Index (SSCI)</t>
        </is>
      </c>
      <c r="BM960" t="inlineStr">
        <is>
          <t>Science &amp; Technology - Other Topics; Environmental Sciences &amp; Ecology</t>
        </is>
      </c>
      <c r="BN960" t="inlineStr">
        <is>
          <t>IA4FF</t>
        </is>
      </c>
      <c r="BP960" t="inlineStr">
        <is>
          <t>Green Submitted, gold</t>
        </is>
      </c>
      <c r="BS960" t="inlineStr">
        <is>
          <t>2023-10-26</t>
        </is>
      </c>
      <c r="BT960" t="inlineStr">
        <is>
          <t>WOS:000469518700002</t>
        </is>
      </c>
      <c r="BU960">
        <f>HYPERLINK("https%3A%2F%2Fwww.webofscience.com%2Fwos%2Fwoscc%2Ffull-record%2FWOS:000469518700002","View Full Record in Web of Science")</f>
        <v/>
      </c>
    </row>
    <row r="961">
      <c r="A961" t="inlineStr">
        <is>
          <t>J</t>
        </is>
      </c>
      <c r="B961" t="inlineStr">
        <is>
          <t>Kan, ZH; Kwan, MP; Ng, MK; Tieben, H</t>
        </is>
      </c>
      <c r="F961" t="inlineStr">
        <is>
          <t>Kan, Zihan; Kwan, Mei-Po; Ng, Mee Kam; Tieben, Hendrik</t>
        </is>
      </c>
      <c r="J961" t="inlineStr">
        <is>
          <t>INTERNATIONAL JOURNAL OF ENVIRONMENTAL RESEARCH AND PUBLIC HEALTH</t>
        </is>
      </c>
      <c r="M961" t="inlineStr">
        <is>
          <t>English</t>
        </is>
      </c>
      <c r="N961" t="inlineStr">
        <is>
          <t>Article</t>
        </is>
      </c>
      <c r="T961" t="inlineStr">
        <is>
          <t>The Impacts of Housing Characteristics and Built-Environment Features on Mental Health</t>
        </is>
      </c>
      <c r="U961" t="inlineStr">
        <is>
          <t>housing characteristics; built environment; mental health; structural equation modeling</t>
        </is>
      </c>
      <c r="V961" t="inlineStr">
        <is>
          <t>GREEN SPACES; PERCEIVED NOISE; HONG-KONG; DEPRESSION; COMMUNITY; DENSITY; QUALITY; ASSOCIATIONS; PREVALENCE; PERCEPTION</t>
        </is>
      </c>
      <c r="W961" t="inlineStr">
        <is>
          <t>In this study, we examined the relationships between housing characteristics, neighborhood built-environment features, and people's mental health in Hong Kong, an Asian city well known for its high-density and high-rise housing. The potential mediating effects of people's perceived living environment were also considered in the analysis. We collected data from 221 participants from two communities in Hong Kong, i.e., Sham Shui Po (SSP) and Tin Shui Wai (TSW), using a stratified random sampling approach. Big datasets were also used to derive relevant built-environment features at the street block level. We used structural equation modeling to explore the complex relationships among housing characteristics, built-environment features, and mental health. The results indicate that the associations between built-environment quality and people's mental health are weak. For communities with relatively poor housing conditions (i.e., SSP in this study), the impact of housing characteristics on mental health may be more direct; for communities with relatively good housing conditions (i.e., TSW in this study), the effect of housing characteristics on mental health may be indirect. Our findings shed light on the importance of considering different contexts in developing policies related to housing and built environment and mental health.</t>
        </is>
      </c>
      <c r="X961" t="inlineStr">
        <is>
          <t>[Kan, Zihan; Kwan, Mei-Po] Chinese Univ Hong Kong, Inst Space &amp; Earth Informat Sci, Shatin, Hong Kong, Peoples R China; [Kwan, Mei-Po; Ng, Mee Kam] Chinese Univ Hong Kong, Dept Geog &amp; Resource Management, Shatin, Hong Kong, Peoples R China; [Tieben, Hendrik] Chinese Univ Hong Kong, Sch Architecture, Hong Kong, Peoples R China</t>
        </is>
      </c>
      <c r="Y961" t="inlineStr">
        <is>
          <t>Chinese University of Hong Kong; Chinese University of Hong Kong; Chinese University of Hong Kong</t>
        </is>
      </c>
      <c r="Z961" t="inlineStr">
        <is>
          <t>Kwan, MP (corresponding author), Chinese Univ Hong Kong, Inst Space &amp; Earth Informat Sci, Shatin, Hong Kong, Peoples R China.;Kwan, MP (corresponding author), Chinese Univ Hong Kong, Dept Geog &amp; Resource Management, Shatin, Hong Kong, Peoples R China.</t>
        </is>
      </c>
      <c r="AA961" t="inlineStr">
        <is>
          <t>zihankan@cuhk.edu.hk; mpkwan@cuhk.edu.hk; meekng@cuhk.edu.hk; hktieben@cuhk.edu.hk</t>
        </is>
      </c>
      <c r="AB961" t="inlineStr">
        <is>
          <t>Ng, Mee Kam/JAC-2757-2023; Kwan, Mei-Po/S-4162-2016</t>
        </is>
      </c>
      <c r="AC961" t="inlineStr">
        <is>
          <t>Ng, Mee Kam/0000-0003-2599-098X; Tieben, Hendrik/0000-0001-9088-752X; Kwan, Mei-Po/0000-0001-8602-9258</t>
        </is>
      </c>
      <c r="AD961" t="inlineStr">
        <is>
          <t>RGC Postdoctoral Fellowship - Research Grants Council of Hong Kong [PDFS-2021-4S08]; Hong Kong Research Grants Council [14605920, C4023-20GF]; Research Committee on Research Sustainability of Major Research Grants Council Funding Schemes of the Chinese University of Hong Kong [3133239, 3133240]</t>
        </is>
      </c>
      <c r="AE961" t="inlineStr">
        <is>
          <t>RGC Postdoctoral Fellowship - Research Grants Council of Hong Kong; Hong Kong Research Grants Council(Hong Kong Research Grants Council); Research Committee on Research Sustainability of Major Research Grants Council Funding Schemes of the Chinese University of Hong Kong</t>
        </is>
      </c>
      <c r="AF961" t="inlineStr">
        <is>
          <t>This study was supported by an RGC Postdoctoral Fellowship awarded by the Research Grants Council of Hong Kong (PDFS-2021-4S08, approved in April 2020), grants from the Hong Kong Research Grants Council (General Research Fund Grant no. 14605920, approved in June 2020; Collaborative Research Fund Grant no. C4023-20GF, approved in January 2021), and grants from the Research Committee on Research Sustainability of Major Research Grants Council Funding Schemes of the Chinese University of Hong Kong (Project codes: 3133239, 3133240, approved in August 2019).</t>
        </is>
      </c>
      <c r="AH961" t="n">
        <v>71</v>
      </c>
      <c r="AI961" t="n">
        <v>6</v>
      </c>
      <c r="AJ961" t="n">
        <v>7</v>
      </c>
      <c r="AK961" t="n">
        <v>24</v>
      </c>
      <c r="AL961" t="n">
        <v>85</v>
      </c>
      <c r="AM961" t="inlineStr">
        <is>
          <t>MDPI</t>
        </is>
      </c>
      <c r="AN961" t="inlineStr">
        <is>
          <t>BASEL</t>
        </is>
      </c>
      <c r="AO961" t="inlineStr">
        <is>
          <t>ST ALBAN-ANLAGE 66, CH-4052 BASEL, SWITZERLAND</t>
        </is>
      </c>
      <c r="AQ961" t="inlineStr">
        <is>
          <t>1660-4601</t>
        </is>
      </c>
      <c r="AS961" t="inlineStr">
        <is>
          <t>INT J ENV RES PUB HE</t>
        </is>
      </c>
      <c r="AT961" t="inlineStr">
        <is>
          <t>Int. J. Environ. Res. Public Health</t>
        </is>
      </c>
      <c r="AU961" t="inlineStr">
        <is>
          <t>MAY</t>
        </is>
      </c>
      <c r="AV961" t="n">
        <v>2022</v>
      </c>
      <c r="AW961" t="n">
        <v>19</v>
      </c>
      <c r="AX961" t="n">
        <v>9</v>
      </c>
      <c r="BE961" t="n">
        <v>5143</v>
      </c>
      <c r="BF961" t="inlineStr">
        <is>
          <t>10.3390/ijerph19095143</t>
        </is>
      </c>
      <c r="BG961">
        <f>HYPERLINK("http://dx.doi.org/10.3390/ijerph19095143","http://dx.doi.org/10.3390/ijerph19095143")</f>
        <v/>
      </c>
      <c r="BJ961" t="n">
        <v>19</v>
      </c>
      <c r="BK961" t="inlineStr">
        <is>
          <t>Environmental Sciences; Public, Environmental &amp; Occupational Health</t>
        </is>
      </c>
      <c r="BL961" t="inlineStr">
        <is>
          <t>Science Citation Index Expanded (SCI-EXPANDED); Social Science Citation Index (SSCI)</t>
        </is>
      </c>
      <c r="BM961" t="inlineStr">
        <is>
          <t>Environmental Sciences &amp; Ecology; Public, Environmental &amp; Occupational Health</t>
        </is>
      </c>
      <c r="BN961" t="inlineStr">
        <is>
          <t>1E4JF</t>
        </is>
      </c>
      <c r="BO961" t="n">
        <v>35564537</v>
      </c>
      <c r="BP961" t="inlineStr">
        <is>
          <t>Green Published, gold</t>
        </is>
      </c>
      <c r="BS961" t="inlineStr">
        <is>
          <t>2023-10-26</t>
        </is>
      </c>
      <c r="BT961" t="inlineStr">
        <is>
          <t>WOS:000794456300001</t>
        </is>
      </c>
      <c r="BU961">
        <f>HYPERLINK("https%3A%2F%2Fwww.webofscience.com%2Fwos%2Fwoscc%2Ffull-record%2FWOS:000794456300001","View Full Record in Web of Science")</f>
        <v/>
      </c>
    </row>
    <row r="962">
      <c r="A962" t="inlineStr">
        <is>
          <t>J</t>
        </is>
      </c>
      <c r="B962" t="inlineStr">
        <is>
          <t>Yokoyama, K; Ihira, H; Matsuzaki-Kihara, Y; Mizumoto, A; Miyajima, R; Sasaki, T; Kozuka, N; Ikeda, N</t>
        </is>
      </c>
      <c r="F962" t="inlineStr">
        <is>
          <t>Yokoyama, Kazuki; Ihira, Hikaru; Matsuzaki-Kihara, Yuriko; Mizumoto, Atsushi; Miyajima, Ryo; Sasaki, Takeshi; Kozuka, Naoki; Ikeda, Nozomu</t>
        </is>
      </c>
      <c r="J962" t="inlineStr">
        <is>
          <t>INTERNATIONAL JOURNAL OF ENVIRONMENTAL RESEARCH AND PUBLIC HEALTH</t>
        </is>
      </c>
      <c r="M962" t="inlineStr">
        <is>
          <t>English</t>
        </is>
      </c>
      <c r="N962" t="inlineStr">
        <is>
          <t>Article</t>
        </is>
      </c>
      <c r="T962" t="inlineStr">
        <is>
          <t>Association between Productive Roles and Frailty Factors among Community-Dwelling Older Adults: A Cross-Sectional Analysis</t>
        </is>
      </c>
      <c r="U962" t="inlineStr">
        <is>
          <t>older adults; productive roles; work; employment; frailty</t>
        </is>
      </c>
      <c r="V962" t="inlineStr">
        <is>
          <t>DEPRESSION; HEALTH; RETIREMENT</t>
        </is>
      </c>
      <c r="W962" t="inlineStr">
        <is>
          <t>The employment rate of older people in Japan is expected to increase in the future owing to the increase in the retirement age. Preventing frailty is imperative to maintaining productive roles of older adults. Therefore, this study aimed to examine the association between productive roles and frailty factors among community-dwelling older adults. A total of 135 older adults, enrolled in 2017, participated in the study. Productive roles and domains related to frailty were measured. We measured usual gait speed and grip strength for the physical domain; Mini-Mental State Examination (MMSE) and Geriatric Depression Scale (GDS-15) scores for the cognitive and mental domains; and social role and group activity for the social domain. Multivariate-adjusted logistic regression models revealed that having productive roles was associated with faster usual gait speed (odds ratios [OR] = 1.05; 95% confidence interval [CI], 1.01-1.08; p = 0.005) and lower GDS-15 score (OR = 0.79; 95% CI, 0.64-0.97; p = 0.023). These results suggest that health promotion to maintain gait speed and prevent depressive symptoms may contribute to maintaining productivity in community-dwelling older adults.</t>
        </is>
      </c>
      <c r="X962" t="inlineStr">
        <is>
          <t>[Yokoyama, Kazuki; Ikeda, Nozomu] Sapporo Med Univ, Sch Hlth Sci, Dept Occupat Therapy, Sapporo, Hokkaido 0608556, Japan; [Ihira, Hikaru; Sasaki, Takeshi; Kozuka, Naoki] Sapporo Med Univ, Sch Hlth Sci, Dept Phys Therapy, Sapporo, Hokkaido 0608556, Japan; [Matsuzaki-Kihara, Yuriko] Japan Hlth Care Univ, Dept Rehabil, Sapporo, Hokkaido 0620053, Japan; [Mizumoto, Atsushi] Hokkaido Bunkyo Univ, Fac Human Sci, Dept Phys Therapy, Eniwa 0611449, Japan; [Miyajima, Ryo] Ebetsu City Hosp, Ebetsu, Hokkaido 0678585, Japan</t>
        </is>
      </c>
      <c r="Y962" t="inlineStr">
        <is>
          <t>Sapporo Medical University; Sapporo Medical University</t>
        </is>
      </c>
      <c r="Z962" t="inlineStr">
        <is>
          <t>Yokoyama, K (corresponding author), Sapporo Med Univ, Sch Hlth Sci, Dept Occupat Therapy, Sapporo, Hokkaido 0608556, Japan.</t>
        </is>
      </c>
      <c r="AA962" t="inlineStr">
        <is>
          <t>k.yokoyama@sapmed.ac.jp</t>
        </is>
      </c>
      <c r="AB962" t="inlineStr">
        <is>
          <t>Yokoyama, Kazuki/ITV-9540-2023</t>
        </is>
      </c>
      <c r="AC962" t="inlineStr">
        <is>
          <t>Yokoyama, Kazuki/0000-0001-9865-7200; Kihara, Yuriko/0000-0002-3697-4646</t>
        </is>
      </c>
      <c r="AD962" t="inlineStr">
        <is>
          <t>Japan Agency for Medical Research and Development [20dk0207027h0005]; academic grant of Sapporo Medical University [2200265]</t>
        </is>
      </c>
      <c r="AE962" t="inlineStr">
        <is>
          <t>Japan Agency for Medical Research and Development(Japan Agency for Medical Research and Development (AMED)); academic grant of Sapporo Medical University</t>
        </is>
      </c>
      <c r="AF962" t="inlineStr">
        <is>
          <t>This research was funded by the Japan Agency for Medical Research and Development (Research Project No. 20dk0207027h0005) and academic grant of Sapporo Medical University (Grant Number 2200265).</t>
        </is>
      </c>
      <c r="AH962" t="n">
        <v>39</v>
      </c>
      <c r="AI962" t="n">
        <v>0</v>
      </c>
      <c r="AJ962" t="n">
        <v>0</v>
      </c>
      <c r="AK962" t="n">
        <v>3</v>
      </c>
      <c r="AL962" t="n">
        <v>7</v>
      </c>
      <c r="AM962" t="inlineStr">
        <is>
          <t>MDPI</t>
        </is>
      </c>
      <c r="AN962" t="inlineStr">
        <is>
          <t>BASEL</t>
        </is>
      </c>
      <c r="AO962" t="inlineStr">
        <is>
          <t>ST ALBAN-ANLAGE 66, CH-4052 BASEL, SWITZERLAND</t>
        </is>
      </c>
      <c r="AQ962" t="inlineStr">
        <is>
          <t>1660-4601</t>
        </is>
      </c>
      <c r="AS962" t="inlineStr">
        <is>
          <t>INT J ENV RES PUB HE</t>
        </is>
      </c>
      <c r="AT962" t="inlineStr">
        <is>
          <t>Int. J. Environ. Res. Public Health</t>
        </is>
      </c>
      <c r="AU962" t="inlineStr">
        <is>
          <t>SEP</t>
        </is>
      </c>
      <c r="AV962" t="n">
        <v>2022</v>
      </c>
      <c r="AW962" t="n">
        <v>19</v>
      </c>
      <c r="AX962" t="n">
        <v>17</v>
      </c>
      <c r="BE962" t="n">
        <v>10838</v>
      </c>
      <c r="BF962" t="inlineStr">
        <is>
          <t>10.3390/ijerph191710838</t>
        </is>
      </c>
      <c r="BG962">
        <f>HYPERLINK("http://dx.doi.org/10.3390/ijerph191710838","http://dx.doi.org/10.3390/ijerph191710838")</f>
        <v/>
      </c>
      <c r="BJ962" t="n">
        <v>9</v>
      </c>
      <c r="BK962" t="inlineStr">
        <is>
          <t>Environmental Sciences; Public, Environmental &amp; Occupational Health</t>
        </is>
      </c>
      <c r="BL962" t="inlineStr">
        <is>
          <t>Science Citation Index Expanded (SCI-EXPANDED); Social Science Citation Index (SSCI)</t>
        </is>
      </c>
      <c r="BM962" t="inlineStr">
        <is>
          <t>Environmental Sciences &amp; Ecology; Public, Environmental &amp; Occupational Health</t>
        </is>
      </c>
      <c r="BN962" t="inlineStr">
        <is>
          <t>4J3NP</t>
        </is>
      </c>
      <c r="BO962" t="n">
        <v>36078554</v>
      </c>
      <c r="BP962" t="inlineStr">
        <is>
          <t>Green Published, gold</t>
        </is>
      </c>
      <c r="BS962" t="inlineStr">
        <is>
          <t>2023-10-26</t>
        </is>
      </c>
      <c r="BT962" t="inlineStr">
        <is>
          <t>WOS:000851173400001</t>
        </is>
      </c>
      <c r="BU962">
        <f>HYPERLINK("https%3A%2F%2Fwww.webofscience.com%2Fwos%2Fwoscc%2Ffull-record%2FWOS:000851173400001","View Full Record in Web of Science")</f>
        <v/>
      </c>
    </row>
    <row r="963">
      <c r="A963" t="inlineStr">
        <is>
          <t>J</t>
        </is>
      </c>
      <c r="B963" t="inlineStr">
        <is>
          <t>Pluzaric, J; Barac, I; Ilakovac, V; Lovric, R; Farcic, N; Mudri, Z; Barisic, M; Pavlic, I</t>
        </is>
      </c>
      <c r="F963" t="inlineStr">
        <is>
          <t>Pluzaric, Jadranka; Barac, Ivana; Ilakovac, Vesna; Lovric, Robert; Farcic, Nikolina; Mudri, Zeljko; Barisic, Marija; Pavlic, Ivana</t>
        </is>
      </c>
      <c r="J963" t="inlineStr">
        <is>
          <t>SUSTAINABILITY</t>
        </is>
      </c>
      <c r="M963" t="inlineStr">
        <is>
          <t>English</t>
        </is>
      </c>
      <c r="N963" t="inlineStr">
        <is>
          <t>Article</t>
        </is>
      </c>
      <c r="T963" t="inlineStr">
        <is>
          <t>Connectedness and Successful Aging of Older Adults in Croatia</t>
        </is>
      </c>
      <c r="U963" t="inlineStr">
        <is>
          <t>connectedness; older adults; self-perception; successful aging; sustainability</t>
        </is>
      </c>
      <c r="V963" t="inlineStr">
        <is>
          <t>QUALITY-OF-LIFE; SATISFACTION; PERSPECTIVE; ROWE; AGE</t>
        </is>
      </c>
      <c r="W963" t="inlineStr">
        <is>
          <t>Connectedness is a multidimensional human experience that is essential to successful aging. The aims of this cross-sectional study were to assess connectedness and self-perception of successful aging in older people, to examine whether there are differences in relation to basic characteristics, and to examine whether there is a connection between connectedness and self-perception of successful aging. The respondents were elderly people in the Republic of Croatia. Data were collected using two validated scales: Croatian versions of the Register-Connectedness Scale for Older Adults and the Self-Assessment Scale of Successful Aging. The study included 824 respondents, of which 319 (38.7%) were men and 505 (61.3%) were women. The median age was 72 years. The median connectivity of the respondents was 8.9 (IQR= 7.6-10.2), and the median rating of successful aging was 3.25 (IQR = 1-5). Spearman's correlation coefficient ? (p value) was 0.585 (&lt;0.001). Connectivity was rated better by respondents with a higher level of education, who were married, resided in their own homes, used modern technologies, and were active in the community. There is a significant positive association between connectedness and the self-perception of successful aging overall, as well as in all individual connectedness domains.</t>
        </is>
      </c>
      <c r="X963" t="inlineStr">
        <is>
          <t>[Pluzaric, Jadranka; Barac, Ivana; Lovric, Robert; Farcic, Nikolina; Mudri, Zeljko; Barisic, Marija; Pavlic, Ivana] Josip Juraj Strossmayer Univ Osijek, Fac Dent Med &amp; Hlth Osijek, Nursing Inst Prof Radivoje Radic, Osijek 31000, Croatia; [Pluzaric, Jadranka; Ilakovac, Vesna] Josip Juraj Strossmayer Univ Osijek, Fac Med, Osijek 31000, Croatia; [Farcic, Nikolina] Univ Hosp Ctr Osijek, Dept Surg, Osijek 31000, Croatia</t>
        </is>
      </c>
      <c r="Y963" t="inlineStr">
        <is>
          <t>University of JJ Strossmayer Osijek; University of JJ Strossmayer Osijek</t>
        </is>
      </c>
      <c r="Z963" t="inlineStr">
        <is>
          <t>Barac, I (corresponding author), Josip Juraj Strossmayer Univ Osijek, Fac Dent Med &amp; Hlth Osijek, Nursing Inst Prof Radivoje Radic, Osijek 31000, Croatia.</t>
        </is>
      </c>
      <c r="AA963" t="inlineStr">
        <is>
          <t>ibarac@fdmz.hr</t>
        </is>
      </c>
      <c r="AB963" t="inlineStr">
        <is>
          <t>Barać, Ivana/AAB-4996-2021; Mudri, Željko/ADV-0651-2022</t>
        </is>
      </c>
      <c r="AC963" t="inlineStr">
        <is>
          <t>Barać, Ivana/0000-0001-7539-2019; Mudri, Željko/0000-0002-5599-0561</t>
        </is>
      </c>
      <c r="AD963" t="inlineStr">
        <is>
          <t>We would like to thank the 3rd year nursing students for their administrative and technical support and the participants for their participation in the study.</t>
        </is>
      </c>
      <c r="AE963" t="inlineStr">
        <is>
          <t>We would like to thank the 3rd year nursing students for their administrative and technical support and the participants for their participation in the study.</t>
        </is>
      </c>
      <c r="AF963" t="inlineStr">
        <is>
          <t>We would like to thank the 3rd year nursing students for their administrative and technical support and the participants for their participation in the study.</t>
        </is>
      </c>
      <c r="AH963" t="n">
        <v>70</v>
      </c>
      <c r="AI963" t="n">
        <v>0</v>
      </c>
      <c r="AJ963" t="n">
        <v>0</v>
      </c>
      <c r="AK963" t="n">
        <v>1</v>
      </c>
      <c r="AL963" t="n">
        <v>1</v>
      </c>
      <c r="AM963" t="inlineStr">
        <is>
          <t>MDPI</t>
        </is>
      </c>
      <c r="AN963" t="inlineStr">
        <is>
          <t>BASEL</t>
        </is>
      </c>
      <c r="AO963" t="inlineStr">
        <is>
          <t>ST ALBAN-ANLAGE 66, CH-4052 BASEL, SWITZERLAND</t>
        </is>
      </c>
      <c r="AQ963" t="inlineStr">
        <is>
          <t>2071-1050</t>
        </is>
      </c>
      <c r="AS963" t="inlineStr">
        <is>
          <t>SUSTAINABILITY-BASEL</t>
        </is>
      </c>
      <c r="AT963" t="inlineStr">
        <is>
          <t>Sustainability</t>
        </is>
      </c>
      <c r="AU963" t="inlineStr">
        <is>
          <t>JUL</t>
        </is>
      </c>
      <c r="AV963" t="n">
        <v>2023</v>
      </c>
      <c r="AW963" t="n">
        <v>15</v>
      </c>
      <c r="AX963" t="n">
        <v>14</v>
      </c>
      <c r="BE963" t="n">
        <v>10843</v>
      </c>
      <c r="BF963" t="inlineStr">
        <is>
          <t>10.3390/su151410843</t>
        </is>
      </c>
      <c r="BG963">
        <f>HYPERLINK("http://dx.doi.org/10.3390/su151410843","http://dx.doi.org/10.3390/su151410843")</f>
        <v/>
      </c>
      <c r="BJ963" t="n">
        <v>16</v>
      </c>
      <c r="BK963" t="inlineStr">
        <is>
          <t>Green &amp; Sustainable Science &amp; Technology; Environmental Sciences; Environmental Studies</t>
        </is>
      </c>
      <c r="BL963" t="inlineStr">
        <is>
          <t>Science Citation Index Expanded (SCI-EXPANDED); Social Science Citation Index (SSCI)</t>
        </is>
      </c>
      <c r="BM963" t="inlineStr">
        <is>
          <t>Science &amp; Technology - Other Topics; Environmental Sciences &amp; Ecology</t>
        </is>
      </c>
      <c r="BN963" t="inlineStr">
        <is>
          <t>S5AW4</t>
        </is>
      </c>
      <c r="BP963" t="inlineStr">
        <is>
          <t>gold</t>
        </is>
      </c>
      <c r="BS963" t="inlineStr">
        <is>
          <t>2023-10-26</t>
        </is>
      </c>
      <c r="BT963" t="inlineStr">
        <is>
          <t>WOS:001071302400001</t>
        </is>
      </c>
      <c r="BU963">
        <f>HYPERLINK("https%3A%2F%2Fwww.webofscience.com%2Fwos%2Fwoscc%2Ffull-record%2FWOS:001071302400001","View Full Record in Web of Science")</f>
        <v/>
      </c>
    </row>
    <row r="964">
      <c r="A964" t="inlineStr">
        <is>
          <t>J</t>
        </is>
      </c>
      <c r="B964" t="inlineStr">
        <is>
          <t>Quesada-Molina, F; Astudillo-Cordero, S</t>
        </is>
      </c>
      <c r="F964" t="inlineStr">
        <is>
          <t>Quesada-Molina, Felipe; Astudillo-Cordero, Sebastian</t>
        </is>
      </c>
      <c r="J964" t="inlineStr">
        <is>
          <t>SUSTAINABILITY</t>
        </is>
      </c>
      <c r="M964" t="inlineStr">
        <is>
          <t>English</t>
        </is>
      </c>
      <c r="N964" t="inlineStr">
        <is>
          <t>Article</t>
        </is>
      </c>
      <c r="T964" t="inlineStr">
        <is>
          <t>Indoor Environmental Quality Assessment Model (IEQ) for Houses</t>
        </is>
      </c>
      <c r="U964" t="inlineStr">
        <is>
          <t>indoor environmental quality; building sustainability assessment systems; weighted IEQ assessment scales</t>
        </is>
      </c>
      <c r="V964" t="inlineStr">
        <is>
          <t>SUSTAINABILITY ASSESSMENT; ASSESSMENT SYSTEM; BUILDINGS; PERFORMANCE; HEALTH; TOOL</t>
        </is>
      </c>
      <c r="W964" t="inlineStr">
        <is>
          <t>Housing and its indoor environment influence its inhabitants' comfort, productivity, and health. For this reason, it is becoming increasingly important to investigate the factors that affect indoor environmental quality. Thus, numerous sustainability assessment systems have been developed to evaluate building performance. This paper presents a model for evaluating the indoor environment of housing located in the Biobio region of Chile, integrating aspects that influence its overall quality. The research methodology proposes a strategy to identify appropriate evaluation criteria and contextualized standards. The application of the model made it possible to identify the level of performance of studio dwellings for each category, namely air quality, thermal comfort, acoustics, and lighting, as well as the overall evaluation of the IEQ. The results reflect that the lowest levels of performance in the three houses were with respect to the acoustic evaluation criteria, while the highest levels of performance were for the air quality evaluation criteria.</t>
        </is>
      </c>
      <c r="X964" t="inlineStr">
        <is>
          <t>[Quesada-Molina, Felipe; Astudillo-Cordero, Sebastian] Univ Cuenca, Fac Architecture &amp; Urbanism, Cuenca 010203, Ecuador</t>
        </is>
      </c>
      <c r="Y964" t="inlineStr">
        <is>
          <t>Universidad de Cuenca</t>
        </is>
      </c>
      <c r="Z964" t="inlineStr">
        <is>
          <t>Quesada-Molina, F (corresponding author), Univ Cuenca, Fac Architecture &amp; Urbanism, Cuenca 010203, Ecuador.</t>
        </is>
      </c>
      <c r="AA964" t="inlineStr">
        <is>
          <t>felipe.quesada@ucuenca.edu.ec</t>
        </is>
      </c>
      <c r="AB964" t="inlineStr">
        <is>
          <t>; Quesada Molina, Felipe/N-2882-2015</t>
        </is>
      </c>
      <c r="AC964" t="inlineStr">
        <is>
          <t>Astudillo, Sebastian/0000-0002-0616-938X; Quesada Molina, Felipe/0000-0002-6931-0192</t>
        </is>
      </c>
      <c r="AD964" t="inlineStr">
        <is>
          <t>Vice-rectorate of Research of the University of Cuenca, Cuenca-Ecuador [2040000 07 1636]; Vice-rectorate of Research of the University of Cuenca</t>
        </is>
      </c>
      <c r="AE964" t="inlineStr">
        <is>
          <t>Vice-rectorate of Research of the University of Cuenca, Cuenca-Ecuador; Vice-rectorate of Research of the University of Cuenca</t>
        </is>
      </c>
      <c r="AF964" t="inlineStr">
        <is>
          <t>The project Contextualization of Sustainable Indicators for Neighborhoods in the city of Cuenca-Ecuador was funded by the Vice-rectorate of Research of the University of Cuenca, Cuenca-Ecuador. Grant number 2040000 07 1636. And The APC was funded by the Vice-rectorate of Research of the University of Cuenca.</t>
        </is>
      </c>
      <c r="AH964" t="n">
        <v>51</v>
      </c>
      <c r="AI964" t="n">
        <v>2</v>
      </c>
      <c r="AJ964" t="n">
        <v>2</v>
      </c>
      <c r="AK964" t="n">
        <v>9</v>
      </c>
      <c r="AL964" t="n">
        <v>11</v>
      </c>
      <c r="AM964" t="inlineStr">
        <is>
          <t>MDPI</t>
        </is>
      </c>
      <c r="AN964" t="inlineStr">
        <is>
          <t>BASEL</t>
        </is>
      </c>
      <c r="AO964" t="inlineStr">
        <is>
          <t>ST ALBAN-ANLAGE 66, CH-4052 BASEL, SWITZERLAND</t>
        </is>
      </c>
      <c r="AQ964" t="inlineStr">
        <is>
          <t>2071-1050</t>
        </is>
      </c>
      <c r="AS964" t="inlineStr">
        <is>
          <t>SUSTAINABILITY-BASEL</t>
        </is>
      </c>
      <c r="AT964" t="inlineStr">
        <is>
          <t>Sustainability</t>
        </is>
      </c>
      <c r="AU964" t="inlineStr">
        <is>
          <t>JAN</t>
        </is>
      </c>
      <c r="AV964" t="n">
        <v>2023</v>
      </c>
      <c r="AW964" t="n">
        <v>15</v>
      </c>
      <c r="AX964" t="n">
        <v>2</v>
      </c>
      <c r="BE964" t="n">
        <v>1276</v>
      </c>
      <c r="BF964" t="inlineStr">
        <is>
          <t>10.3390/su15021276</t>
        </is>
      </c>
      <c r="BG964">
        <f>HYPERLINK("http://dx.doi.org/10.3390/su15021276","http://dx.doi.org/10.3390/su15021276")</f>
        <v/>
      </c>
      <c r="BJ964" t="n">
        <v>18</v>
      </c>
      <c r="BK964" t="inlineStr">
        <is>
          <t>Green &amp; Sustainable Science &amp; Technology; Environmental Sciences; Environmental Studies</t>
        </is>
      </c>
      <c r="BL964" t="inlineStr">
        <is>
          <t>Science Citation Index Expanded (SCI-EXPANDED); Social Science Citation Index (SSCI)</t>
        </is>
      </c>
      <c r="BM964" t="inlineStr">
        <is>
          <t>Science &amp; Technology - Other Topics; Environmental Sciences &amp; Ecology</t>
        </is>
      </c>
      <c r="BN964" t="inlineStr">
        <is>
          <t>8E3HS</t>
        </is>
      </c>
      <c r="BP964" t="inlineStr">
        <is>
          <t>gold</t>
        </is>
      </c>
      <c r="BS964" t="inlineStr">
        <is>
          <t>2023-10-26</t>
        </is>
      </c>
      <c r="BT964" t="inlineStr">
        <is>
          <t>WOS:000918869400001</t>
        </is>
      </c>
      <c r="BU964">
        <f>HYPERLINK("https%3A%2F%2Fwww.webofscience.com%2Fwos%2Fwoscc%2Ffull-record%2FWOS:000918869400001","View Full Record in Web of Science")</f>
        <v/>
      </c>
    </row>
    <row r="965">
      <c r="A965" t="inlineStr">
        <is>
          <t>J</t>
        </is>
      </c>
      <c r="B965" t="inlineStr">
        <is>
          <t>Le, HTK; Buehler, R; Hankey, S</t>
        </is>
      </c>
      <c r="F965" t="inlineStr">
        <is>
          <t>Le, Huyen T. K.; Buehler, Ralph; Hankey, Steve</t>
        </is>
      </c>
      <c r="J965" t="inlineStr">
        <is>
          <t>ENVIRONMENTAL HEALTH PERSPECTIVES</t>
        </is>
      </c>
      <c r="M965" t="inlineStr">
        <is>
          <t>English</t>
        </is>
      </c>
      <c r="N965" t="inlineStr">
        <is>
          <t>Article</t>
        </is>
      </c>
      <c r="T965" t="inlineStr">
        <is>
          <t>Correlates of the Built Environment and Active Travel: Evidence from 20 US Metropolitan Areas</t>
        </is>
      </c>
      <c r="V965" t="inlineStr">
        <is>
          <t>PHYSICAL-ACTIVITY; HEALTH-BENEFITS; AIR-POLLUTION; DEMAND; NEIGHBORHOOD; TRANSPORT; WALKING; MODELS; EXPOSURE; POLICIES</t>
        </is>
      </c>
      <c r="W965" t="inlineStr">
        <is>
          <t>BACKGROUND: Walking and bicycling are health-promoting and environmentally friendly alternatives to the automobile. Previous studies that explore correlates of active travel and the built environment are for a single metropolitan statistical area (MSA) and results often vary among MSAs. OBJECTIVES: Our goal was to model the relationship between the built environment and active travel for 20 MSAs spanning the continental United States. METHODS: We sourced and processed pedestrian and bicycle traffic counts for 20 U.S. MSAs (n = 4,593 count locations), with 1-17 y of data available for each count location and the earliest and latest years of data collection being 1999 and 2016, respectively. Then, we tabulated land use, transport, and sociodemographic variables at 12 buffer sizes (100-3,000 m) for each count location. We employed stepwise linear regression to develop predictive models for morning and afternoon peak-period bicycle and pedestrian traffic volumes. RESULTS: Built environment features were significant predictors of active travel across all models. Areas with easy access to water and green space, high concentration of jobs, and high rates of active commuting were associated with higher bicycle and pedestrian volumes. Bicycle facilities (e.g., bike lanes, shared lane markings, off-street trails) were correlated with higher bicycle volumes. All models demonstrated reasonable goodness-of-lit for both bicyclists (adj-R-2: 0.46-0.61) and pedestrians (adj-R-2: 0.42-0.72). Cross-validation results showed that the afternoon peak-period models were more reliable than morning models, CONCLUSIONS: To our knowledge, this is the first study to model multi-city trends in bicycling and walking traffic volumes with the goal of developing generalized estimates of the impact of the built environment on active travel. Our models could be used for exposure assessment (e.g., crashes, air pollution) to inform design of health-promoting cities.</t>
        </is>
      </c>
      <c r="X965" t="inlineStr">
        <is>
          <t>[Le, Huyen T. K.; Hankey, Steve] Virginia Tech, Sch Publ &amp; Int Affairs, 140 Otey St, Blacksburg, VA 24061 USA; [Buehler, Ralph] Virginia Tech, Sch Publ &amp; Int Affairs, Alexandria, VA USA</t>
        </is>
      </c>
      <c r="Y965" t="inlineStr">
        <is>
          <t>Virginia Polytechnic Institute &amp; State University; Virginia Polytechnic Institute &amp; State University</t>
        </is>
      </c>
      <c r="Z965" t="inlineStr">
        <is>
          <t>Le, HTK (corresponding author), Virginia Tech, Sch Publ &amp; Int Affairs, 140 Otey St, Blacksburg, VA 24061 USA.</t>
        </is>
      </c>
      <c r="AA965" t="inlineStr">
        <is>
          <t>hankey@vt.edu</t>
        </is>
      </c>
      <c r="AB965" t="inlineStr">
        <is>
          <t>Le, Huyen/T-9415-2019</t>
        </is>
      </c>
      <c r="AC965" t="inlineStr">
        <is>
          <t>Le, Huyen/0000-0001-9873-1669; Buehler, Ralph/0000-0002-1254-2224</t>
        </is>
      </c>
      <c r="AD965" t="inlineStr">
        <is>
          <t>Mid-Atlantic Transportation Sustainability University Transportation Center (MATS-UTC)</t>
        </is>
      </c>
      <c r="AE965" t="inlineStr">
        <is>
          <t>Mid-Atlantic Transportation Sustainability University Transportation Center (MATS-UTC)</t>
        </is>
      </c>
      <c r="AF965" t="inlineStr">
        <is>
          <t>We thank K. Nordback, H. Hagedorn, M. Watkins, and B. Johnson and the staff from all participating metropolitan statistical areas (MSAs) for their support in preparing traffic count data. We thank the editor and reviewers for providing feedback that greatly improved the quality of our work. This study was funded by the Mid-Atlantic Transportation Sustainability University Transportation Center (MATS-UTC).</t>
        </is>
      </c>
      <c r="AH965" t="n">
        <v>53</v>
      </c>
      <c r="AI965" t="n">
        <v>35</v>
      </c>
      <c r="AJ965" t="n">
        <v>35</v>
      </c>
      <c r="AK965" t="n">
        <v>4</v>
      </c>
      <c r="AL965" t="n">
        <v>36</v>
      </c>
      <c r="AM965" t="inlineStr">
        <is>
          <t>US DEPT HEALTH HUMAN SCIENCES PUBLIC HEALTH SCIENCE</t>
        </is>
      </c>
      <c r="AN965" t="inlineStr">
        <is>
          <t>RES TRIANGLE PK</t>
        </is>
      </c>
      <c r="AO965" t="inlineStr">
        <is>
          <t>NATL INST HEALTH, NATL INST ENVIRONMENTAL HEALTH SCIENCES, PO BOX 12233, RES TRIANGLE PK, NC 27709-2233 USA</t>
        </is>
      </c>
      <c r="AP965" t="inlineStr">
        <is>
          <t>0091-6765</t>
        </is>
      </c>
      <c r="AQ965" t="inlineStr">
        <is>
          <t>1552-9924</t>
        </is>
      </c>
      <c r="AS965" t="inlineStr">
        <is>
          <t>ENVIRON HEALTH PERSP</t>
        </is>
      </c>
      <c r="AT965" t="inlineStr">
        <is>
          <t>Environ. Health Perspect.</t>
        </is>
      </c>
      <c r="AU965" t="inlineStr">
        <is>
          <t>JUL</t>
        </is>
      </c>
      <c r="AV965" t="n">
        <v>2018</v>
      </c>
      <c r="AW965" t="n">
        <v>126</v>
      </c>
      <c r="AX965" t="n">
        <v>7</v>
      </c>
      <c r="BE965" t="n">
        <v>77011</v>
      </c>
      <c r="BF965" t="inlineStr">
        <is>
          <t>10.1289/EHP3389</t>
        </is>
      </c>
      <c r="BG965">
        <f>HYPERLINK("http://dx.doi.org/10.1289/EHP3389","http://dx.doi.org/10.1289/EHP3389")</f>
        <v/>
      </c>
      <c r="BJ965" t="n">
        <v>13</v>
      </c>
      <c r="BK965" t="inlineStr">
        <is>
          <t>Environmental Sciences; Public, Environmental &amp; Occupational Health; Toxicology</t>
        </is>
      </c>
      <c r="BL965" t="inlineStr">
        <is>
          <t>Science Citation Index Expanded (SCI-EXPANDED); Social Science Citation Index (SSCI)</t>
        </is>
      </c>
      <c r="BM965" t="inlineStr">
        <is>
          <t>Environmental Sciences &amp; Ecology; Public, Environmental &amp; Occupational Health; Toxicology</t>
        </is>
      </c>
      <c r="BN965" t="inlineStr">
        <is>
          <t>GO6IF</t>
        </is>
      </c>
      <c r="BO965" t="n">
        <v>30073954</v>
      </c>
      <c r="BP965" t="inlineStr">
        <is>
          <t>gold, Green Published</t>
        </is>
      </c>
      <c r="BS965" t="inlineStr">
        <is>
          <t>2023-10-26</t>
        </is>
      </c>
      <c r="BT965" t="inlineStr">
        <is>
          <t>WOS:000440142600012</t>
        </is>
      </c>
      <c r="BU965">
        <f>HYPERLINK("https%3A%2F%2Fwww.webofscience.com%2Fwos%2Fwoscc%2Ffull-record%2FWOS:000440142600012","View Full Record in Web of Science")</f>
        <v/>
      </c>
    </row>
    <row r="966">
      <c r="A966" t="inlineStr">
        <is>
          <t>J</t>
        </is>
      </c>
      <c r="B966" t="inlineStr">
        <is>
          <t>Wong, NH; He, YE; Nguyen, NS; Raghavan, SV; Martin, M; Hii, DJC; Yu, ZQ; Deng, JY</t>
        </is>
      </c>
      <c r="F966" t="inlineStr">
        <is>
          <t>Wong, Nyuk Hien; He, Yueer; Ngoc Son Nguyen; Raghavan, Srivatsan, V; Martin, Miguel; Hii, Daniel Jun Chung; Yu, Zhongqi; Deng, Jiyu</t>
        </is>
      </c>
      <c r="J966" t="inlineStr">
        <is>
          <t>URBAN CLIMATE</t>
        </is>
      </c>
      <c r="M966" t="inlineStr">
        <is>
          <t>English</t>
        </is>
      </c>
      <c r="N966" t="inlineStr">
        <is>
          <t>Article</t>
        </is>
      </c>
      <c r="T966" t="inlineStr">
        <is>
          <t>An integrated multiscale urban microclimate model for the urban thermal environment</t>
        </is>
      </c>
      <c r="U966" t="inlineStr">
        <is>
          <t>Multi-scale; Multi-physics; Urban microclimate; Virtual buildings and modelling; Field measurement</t>
        </is>
      </c>
      <c r="V966" t="inlineStr">
        <is>
          <t>HEAT-ISLAND; MITIGATION STRATEGIES; WIND ENVIRONMENT; STREET CANYON; CANOPY MODEL; CFD ANALYSIS; IMPACT; COMFORT; CLIMATE; TEMPERATURE</t>
        </is>
      </c>
      <c r="W966" t="inlineStr">
        <is>
          <t>An urban microclimate model integrated with the mesoscale, local scale, microscale and building scale models is presented for the urban thermal environment and urban heat island (UHI) mitigation study. This integrated multi-scale and multi-physics urban microclimate model takes the impacts on the urban microclimate of multiple physical processes of regional climate, urban climate, building and pavement material properties, and anthropogenic heat into account. This objective is achieved by coupling weather and energy models, the weather research forecasting (WRF), OpenFOAM and EnergyPlus. This study presents a method of distributing initial and boundary conditions from mesoscale into microscale through the integration of building thermal behaviour and microclimate. We further examine the integrated model by taking the Kent Ridge campus of National University of Singapore (NUS) as a test case. The preliminary application focuses on the assessment of weather conditions at the local scale and the feasibility of using mesoscale WRF outputs as inputs for the CFD model.</t>
        </is>
      </c>
      <c r="X966" t="inlineStr">
        <is>
          <t>[Wong, Nyuk Hien; He, Yueer; Martin, Miguel; Hii, Daniel Jun Chung; Yu, Zhongqi; Deng, Jiyu] Natl Univ Singapore, Sch Design &amp; Environm, Singapore, Singapore; [He, Yueer] Shenzhen Univ, Sch Architecture &amp; Urban Planning, Shenzhen, Peoples R China; [Ngoc Son Nguyen; Raghavan, Srivatsan, V] Natl Univ Singapore, Trop Marine Sci Inst, Singapore, Singapore</t>
        </is>
      </c>
      <c r="Y966" t="inlineStr">
        <is>
          <t>National University of Singapore; Shenzhen University; National University of Singapore</t>
        </is>
      </c>
      <c r="Z966" t="inlineStr">
        <is>
          <t>He, YE (corresponding author), 3688 Nanhai Ave, Shenzhen, Guangdong, Peoples R China.</t>
        </is>
      </c>
      <c r="AA966" t="inlineStr">
        <is>
          <t>heyueersurprise@163.com</t>
        </is>
      </c>
      <c r="AC966" t="inlineStr">
        <is>
          <t>Martin, Miguel/0000-0003-2673-6844; Deng, Ji-Yu/0000-0001-8201-7831</t>
        </is>
      </c>
      <c r="AD966" t="inlineStr">
        <is>
          <t>Office of the Deputy President (Research &amp; Technology) at National University of Singapore within the Virtual Campus project - Development of a Multiscale Urban Microclimate Model for NUS Campus Thermal Environment [WBS R296-000-186-133]</t>
        </is>
      </c>
      <c r="AE966" t="inlineStr">
        <is>
          <t>Office of the Deputy President (Research &amp; Technology) at National University of Singapore within the Virtual Campus project - Development of a Multiscale Urban Microclimate Model for NUS Campus Thermal Environment</t>
        </is>
      </c>
      <c r="AF966" t="inlineStr">
        <is>
          <t>This work is supported by the Office of the Deputy President (Research &amp; Technology) at National University of Singapore within the Virtual Campus project - Development of a Multiscale Urban Microclimate Model for NUS Campus Thermal Environment (WBS R296-000-186-133). Authors would like to express special thanks to Kajima Technical Research Institute of Singapore for the contribution of the terrain data. Thanks are due to all the Virtual Campus team members for their great contributions. Authors also appreciate constructive comments from all the reviewers that helped to improve this manuscript.</t>
        </is>
      </c>
      <c r="AH966" t="n">
        <v>51</v>
      </c>
      <c r="AI966" t="n">
        <v>26</v>
      </c>
      <c r="AJ966" t="n">
        <v>27</v>
      </c>
      <c r="AK966" t="n">
        <v>29</v>
      </c>
      <c r="AL966" t="n">
        <v>125</v>
      </c>
      <c r="AM966" t="inlineStr">
        <is>
          <t>ELSEVIER</t>
        </is>
      </c>
      <c r="AN966" t="inlineStr">
        <is>
          <t>AMSTERDAM</t>
        </is>
      </c>
      <c r="AO966" t="inlineStr">
        <is>
          <t>RADARWEG 29, 1043 NX AMSTERDAM, NETHERLANDS</t>
        </is>
      </c>
      <c r="AP966" t="inlineStr">
        <is>
          <t>2212-0955</t>
        </is>
      </c>
      <c r="AS966" t="inlineStr">
        <is>
          <t>URBAN CLIM</t>
        </is>
      </c>
      <c r="AT966" t="inlineStr">
        <is>
          <t>Urban CLim.</t>
        </is>
      </c>
      <c r="AU966" t="inlineStr">
        <is>
          <t>JAN</t>
        </is>
      </c>
      <c r="AV966" t="n">
        <v>2021</v>
      </c>
      <c r="AW966" t="n">
        <v>35</v>
      </c>
      <c r="BE966" t="n">
        <v>100730</v>
      </c>
      <c r="BF966" t="inlineStr">
        <is>
          <t>10.1016/j.uclim.2020.100730</t>
        </is>
      </c>
      <c r="BG966">
        <f>HYPERLINK("http://dx.doi.org/10.1016/j.uclim.2020.100730","http://dx.doi.org/10.1016/j.uclim.2020.100730")</f>
        <v/>
      </c>
      <c r="BJ966" t="n">
        <v>17</v>
      </c>
      <c r="BK966" t="inlineStr">
        <is>
          <t>Environmental Sciences; Meteorology &amp; Atmospheric Sciences</t>
        </is>
      </c>
      <c r="BL966" t="inlineStr">
        <is>
          <t>Science Citation Index Expanded (SCI-EXPANDED)</t>
        </is>
      </c>
      <c r="BM966" t="inlineStr">
        <is>
          <t>Environmental Sciences &amp; Ecology; Meteorology &amp; Atmospheric Sciences</t>
        </is>
      </c>
      <c r="BN966" t="inlineStr">
        <is>
          <t>QA7QC</t>
        </is>
      </c>
      <c r="BS966" t="inlineStr">
        <is>
          <t>2023-10-26</t>
        </is>
      </c>
      <c r="BT966" t="inlineStr">
        <is>
          <t>WOS:000613634900003</t>
        </is>
      </c>
      <c r="BU966">
        <f>HYPERLINK("https%3A%2F%2Fwww.webofscience.com%2Fwos%2Fwoscc%2Ffull-record%2FWOS:000613634900003","View Full Record in Web of Science")</f>
        <v/>
      </c>
    </row>
    <row r="967">
      <c r="A967" t="inlineStr">
        <is>
          <t>J</t>
        </is>
      </c>
      <c r="B967" t="inlineStr">
        <is>
          <t>Ceñido, JF; Freeman, C; Bazargan-Hejazi, S</t>
        </is>
      </c>
      <c r="F967" t="inlineStr">
        <is>
          <t>Cenido, Joshua F.; Freeman, C.; Bazargan-Hejazi, Shahrzad</t>
        </is>
      </c>
      <c r="J967" t="inlineStr">
        <is>
          <t>INTERNATIONAL JOURNAL OF ENVIRONMENTAL RESEARCH AND PUBLIC HEALTH</t>
        </is>
      </c>
      <c r="M967" t="inlineStr">
        <is>
          <t>English</t>
        </is>
      </c>
      <c r="N967" t="inlineStr">
        <is>
          <t>Article</t>
        </is>
      </c>
      <c r="T967" t="inlineStr">
        <is>
          <t>Environmental Interventions for Physical and Mental Health: Challenges and Opportunities for Greater Los Angeles</t>
        </is>
      </c>
      <c r="U967" t="inlineStr">
        <is>
          <t>active living; built environment; health equity; health outcomes; mental health; neighborhood; urban design; walkability</t>
        </is>
      </c>
      <c r="V967" t="inlineStr">
        <is>
          <t>BUILT ENVIRONMENT; NEIGHBORHOOD WALKABILITY; SOCIAL SUPPORT; GREEN SPACES; CITY; IMPACT; CRIME; GENTRIFICATION; INFRASTRUCTURE; SANITATION</t>
        </is>
      </c>
      <c r="W967" t="inlineStr">
        <is>
          <t>The fields of urban planning and public health were conceived under the same pressures and goals at their inception in the 17th and 18th centuries and continue to address the health concerns of an ever-increasing urban population. While the mutual need that both philosophies have for each other becomes more tangible through research and practice, the application of their interrelatedness continues to benefit residents and visitors of mindfully-built environments. In health-conscious Los Angeles, there lacks a comprehensive assessment of health-centered considerations being implemented by those entrusted with the responsibility of shaping our cities. As a greater majority of the world's population moves into urban settings, built environment interventions play a progressively vital role in addressing physical and mental health concerns. This piece hopes to bring to attention the need for focused and dynamic approaches in addressing health concerns by means of design, planning, and policy, by focusing on the challenges and opportunities faced by the geographic and human resources of the Greater Los Angeles area.</t>
        </is>
      </c>
      <c r="X967" t="inlineStr">
        <is>
          <t>[Cenido, Joshua F.; Bazargan-Hejazi, Shahrzad] Charles R Drew Univ Med &amp; Sci, Coll Med, 1731 E 120th St, Los Angeles, CA 90059 USA; [Cenido, Joshua F.] Los Angeles Cty Dept Mental Hlth, 550 S Vermont Ave, Los Angeles, CA 90020 USA; [Freeman, C.] Los Angeles Cty Med Assoc, 1055 W 7th St,Suite 2290, Los Angeles, CA 90017 USA; [Bazargan-Hejazi, Shahrzad] Univ Calif Los Angeles, David Geffen Sch Med, 10833 Le Conte Ave, Los Angeles, CA 90095 USA</t>
        </is>
      </c>
      <c r="Y967" t="inlineStr">
        <is>
          <t>Charles R. Drew University of Medicine &amp; Science; University of California System; University of California Los Angeles; University of California Los Angeles Medical Center; David Geffen School of Medicine at UCLA</t>
        </is>
      </c>
      <c r="Z967" t="inlineStr">
        <is>
          <t>Ceñido, JF (corresponding author), Charles R Drew Univ Med &amp; Sci, Coll Med, 1731 E 120th St, Los Angeles, CA 90059 USA.;Ceñido, JF (corresponding author), Los Angeles Cty Dept Mental Hlth, 550 S Vermont Ave, Los Angeles, CA 90020 USA.</t>
        </is>
      </c>
      <c r="AA967" t="inlineStr">
        <is>
          <t>joshuacenido@cdrewu.edu; cfreemanmdmba@hotmail.com; shahrzadbazargan@cdrewu.edu</t>
        </is>
      </c>
      <c r="AC967" t="inlineStr">
        <is>
          <t>Cenido, Joshua/0000-0002-7137-6780</t>
        </is>
      </c>
      <c r="AD967" t="inlineStr">
        <is>
          <t>NIH National Center for Advancing Translational Science (NCATS) UCLA CTSI Grant [UL1TR001881]</t>
        </is>
      </c>
      <c r="AE967" t="inlineStr">
        <is>
          <t>NIH National Center for Advancing Translational Science (NCATS) UCLA CTSI Grant(United States Department of Health &amp; Human ServicesNational Institutes of Health (NIH) - USANIH National Center for Advancing Translational Sciences (NCATS))</t>
        </is>
      </c>
      <c r="AF967" t="inlineStr">
        <is>
          <t>Work on this paper was supported partly by NIH National Center for Advancing Translational Science (NCATS) UCLA CTSI Grant Number UL1TR001881.</t>
        </is>
      </c>
      <c r="AH967" t="n">
        <v>102</v>
      </c>
      <c r="AI967" t="n">
        <v>2</v>
      </c>
      <c r="AJ967" t="n">
        <v>2</v>
      </c>
      <c r="AK967" t="n">
        <v>5</v>
      </c>
      <c r="AL967" t="n">
        <v>26</v>
      </c>
      <c r="AM967" t="inlineStr">
        <is>
          <t>MDPI</t>
        </is>
      </c>
      <c r="AN967" t="inlineStr">
        <is>
          <t>BASEL</t>
        </is>
      </c>
      <c r="AO967" t="inlineStr">
        <is>
          <t>ST ALBAN-ANLAGE 66, CH-4052 BASEL, SWITZERLAND</t>
        </is>
      </c>
      <c r="AQ967" t="inlineStr">
        <is>
          <t>1660-4601</t>
        </is>
      </c>
      <c r="AS967" t="inlineStr">
        <is>
          <t>INT J ENV RES PUB HE</t>
        </is>
      </c>
      <c r="AT967" t="inlineStr">
        <is>
          <t>Int. J. Environ. Res. Public Health</t>
        </is>
      </c>
      <c r="AU967" t="inlineStr">
        <is>
          <t>JUN 2</t>
        </is>
      </c>
      <c r="AV967" t="n">
        <v>2019</v>
      </c>
      <c r="AW967" t="n">
        <v>16</v>
      </c>
      <c r="AX967" t="n">
        <v>12</v>
      </c>
      <c r="BE967" t="n">
        <v>2180</v>
      </c>
      <c r="BF967" t="inlineStr">
        <is>
          <t>10.3390/ijerph16122180</t>
        </is>
      </c>
      <c r="BG967">
        <f>HYPERLINK("http://dx.doi.org/10.3390/ijerph16122180","http://dx.doi.org/10.3390/ijerph16122180")</f>
        <v/>
      </c>
      <c r="BJ967" t="n">
        <v>14</v>
      </c>
      <c r="BK967" t="inlineStr">
        <is>
          <t>Environmental Sciences; Public, Environmental &amp; Occupational Health</t>
        </is>
      </c>
      <c r="BL967" t="inlineStr">
        <is>
          <t>Science Citation Index Expanded (SCI-EXPANDED); Social Science Citation Index (SSCI)</t>
        </is>
      </c>
      <c r="BM967" t="inlineStr">
        <is>
          <t>Environmental Sciences &amp; Ecology; Public, Environmental &amp; Occupational Health</t>
        </is>
      </c>
      <c r="BN967" t="inlineStr">
        <is>
          <t>IG4CA</t>
        </is>
      </c>
      <c r="BO967" t="n">
        <v>31226746</v>
      </c>
      <c r="BP967" t="inlineStr">
        <is>
          <t>Green Published, Green Submitted, gold</t>
        </is>
      </c>
      <c r="BS967" t="inlineStr">
        <is>
          <t>2023-10-26</t>
        </is>
      </c>
      <c r="BT967" t="inlineStr">
        <is>
          <t>WOS:000473750500114</t>
        </is>
      </c>
      <c r="BU967">
        <f>HYPERLINK("https%3A%2F%2Fwww.webofscience.com%2Fwos%2Fwoscc%2Ffull-record%2FWOS:000473750500114","View Full Record in Web of Science")</f>
        <v/>
      </c>
    </row>
    <row r="968">
      <c r="A968" t="inlineStr">
        <is>
          <t>J</t>
        </is>
      </c>
      <c r="B968" t="inlineStr">
        <is>
          <t>Zheng, HL; Krishnan, V; Walker, S; Loomans, M; Zeiler, W</t>
        </is>
      </c>
      <c r="F968" t="inlineStr">
        <is>
          <t>Zheng, Hailin; Krishnan, Vinayak; Walker, Shalika; Loomans, Marcel; Zeiler, Wim</t>
        </is>
      </c>
      <c r="J968" t="inlineStr">
        <is>
          <t>ENVIRONMENT INTERNATIONAL</t>
        </is>
      </c>
      <c r="M968" t="inlineStr">
        <is>
          <t>English</t>
        </is>
      </c>
      <c r="N968" t="inlineStr">
        <is>
          <t>Article</t>
        </is>
      </c>
      <c r="T968" t="inlineStr">
        <is>
          <t>Laboratory evaluation of low-cost air quality monitors and single sensors for monitoring typical indoor emission events in Dutch daycare centers</t>
        </is>
      </c>
      <c r="U968" t="inlineStr">
        <is>
          <t>Indoor air quality; Daycare center; Indoor exposure monitoring; Low-cost monitor; centers</t>
        </is>
      </c>
      <c r="V968" t="inlineStr">
        <is>
          <t>VOLATILE ORGANIC-COMPOUNDS; PARTICULATE MATTER; RISK-ASSESSMENT; OUTDOOR AIR; EXPOSURE; CHILD; HEALTH; VENTILATION; PM2.5; CALIBRATION</t>
        </is>
      </c>
      <c r="W968" t="inlineStr">
        <is>
          <t>Daycare centers (DCCs) are where infants and toddlers (0-4 years old) spend the most time besides their homes. Given their higher susceptibility to the effects of air pollutants, as compared to older children and adults, indoor air quality (IAQ) is regarded as an essential parameter to monitor in DCCs. Recent advances in IAQ monitoring technologies have enabled the deployment of low-cost air quality monitors (LCMs) and single sensors (LCSs) to continuously monitor various indoor environments, and their performance testing should also be performed in the intended indoor applications. To our knowledge, there is no study evaluating the application of LCMs/LCSs in DCCs scenarios yet. Therefore, this study is aimed to assess the response of five types of LCMs (previously not tested) and five LCSs to typical DCCs emission activities in detecting multiple IAQ parameters, i.e., particulate matter, carbon dioxide, total volatile organic compounds, temperature, and relative humidity. These LCMs/LCSs were compared to outcomes from research-grade instruments (RGIs). All the experiments were performed in a climate chamber, where three kinds of typical activities (background; arts-and-crafts; cleaning; [in a total of 32 events]) were simulated by recruited subjects at two typical indoor climatic conditions (cool and dry [20 +/- 1 degrees C &amp; 40 +/- 10%], warm and humid [26 +/- 1 degrees C &amp; 70 +/- 5%]). Results showed that tested LCMs had the ability to capture DCCs activities by simultaneously monitoring multiple IAQ parameters, and LCMs/LCSs revealed a strong correlation with RGIs in most events (R-2 values from 0.7 to 1), but, for some events, the magnitude of responses varied widely. Sensirion SCD41, an emerging CO2 sensor built on the photoacoustic sensing principle, had a more accurate performance than all tested NDIR-based CO2 sensors/monitors. In general, the study implies that the selection of LCMs/LCSs for a specific application of interest should be based on emission characteristics and space conditions.</t>
        </is>
      </c>
      <c r="X968" t="inlineStr">
        <is>
          <t>[Zheng, Hailin; Krishnan, Vinayak; Walker, Shalika; Loomans, Marcel; Zeiler, Wim] Eindhoven Univ Technol, Dept Built Environm, Eindhoven, Netherlands</t>
        </is>
      </c>
      <c r="Y968" t="inlineStr">
        <is>
          <t>Eindhoven University of Technology</t>
        </is>
      </c>
      <c r="Z968" t="inlineStr">
        <is>
          <t>Zheng, HL (corresponding author), Eindhoven Univ Technol, Dept Built Environm, Eindhoven, Netherlands.</t>
        </is>
      </c>
      <c r="AA968" t="inlineStr">
        <is>
          <t>h.zheng1@tue.nl</t>
        </is>
      </c>
      <c r="AB968" t="inlineStr">
        <is>
          <t>Zheng, Hailin/IXN-3101-2023</t>
        </is>
      </c>
      <c r="AC968" t="inlineStr">
        <is>
          <t>Zheng, Hailin/0000-0002-5773-385X</t>
        </is>
      </c>
      <c r="AH968" t="n">
        <v>109</v>
      </c>
      <c r="AI968" t="n">
        <v>3</v>
      </c>
      <c r="AJ968" t="n">
        <v>3</v>
      </c>
      <c r="AK968" t="n">
        <v>5</v>
      </c>
      <c r="AL968" t="n">
        <v>20</v>
      </c>
      <c r="AM968" t="inlineStr">
        <is>
          <t>PERGAMON-ELSEVIER SCIENCE LTD</t>
        </is>
      </c>
      <c r="AN968" t="inlineStr">
        <is>
          <t>OXFORD</t>
        </is>
      </c>
      <c r="AO968" t="inlineStr">
        <is>
          <t>THE BOULEVARD, LANGFORD LANE, KIDLINGTON, OXFORD OX5 1GB, ENGLAND</t>
        </is>
      </c>
      <c r="AP968" t="inlineStr">
        <is>
          <t>0160-4120</t>
        </is>
      </c>
      <c r="AQ968" t="inlineStr">
        <is>
          <t>1873-6750</t>
        </is>
      </c>
      <c r="AS968" t="inlineStr">
        <is>
          <t>ENVIRON INT</t>
        </is>
      </c>
      <c r="AT968" t="inlineStr">
        <is>
          <t>Environ. Int.</t>
        </is>
      </c>
      <c r="AU968" t="inlineStr">
        <is>
          <t>AUG</t>
        </is>
      </c>
      <c r="AV968" t="n">
        <v>2022</v>
      </c>
      <c r="AW968" t="n">
        <v>166</v>
      </c>
      <c r="BE968" t="n">
        <v>107372</v>
      </c>
      <c r="BF968" t="inlineStr">
        <is>
          <t>10.1016/j.envint.2022.107372</t>
        </is>
      </c>
      <c r="BG968">
        <f>HYPERLINK("http://dx.doi.org/10.1016/j.envint.2022.107372","http://dx.doi.org/10.1016/j.envint.2022.107372")</f>
        <v/>
      </c>
      <c r="BI968" t="inlineStr">
        <is>
          <t>JUN 2022</t>
        </is>
      </c>
      <c r="BJ968" t="n">
        <v>22</v>
      </c>
      <c r="BK968" t="inlineStr">
        <is>
          <t>Environmental Sciences</t>
        </is>
      </c>
      <c r="BL968" t="inlineStr">
        <is>
          <t>Science Citation Index Expanded (SCI-EXPANDED)</t>
        </is>
      </c>
      <c r="BM968" t="inlineStr">
        <is>
          <t>Environmental Sciences &amp; Ecology</t>
        </is>
      </c>
      <c r="BN968" t="inlineStr">
        <is>
          <t>3L5UE</t>
        </is>
      </c>
      <c r="BO968" t="n">
        <v>35777114</v>
      </c>
      <c r="BP968" t="inlineStr">
        <is>
          <t>Green Published, gold</t>
        </is>
      </c>
      <c r="BS968" t="inlineStr">
        <is>
          <t>2023-10-26</t>
        </is>
      </c>
      <c r="BT968" t="inlineStr">
        <is>
          <t>WOS:000834826400005</t>
        </is>
      </c>
      <c r="BU968">
        <f>HYPERLINK("https%3A%2F%2Fwww.webofscience.com%2Fwos%2Fwoscc%2Ffull-record%2FWOS:000834826400005","View Full Record in Web of Science")</f>
        <v/>
      </c>
    </row>
    <row r="969">
      <c r="A969" t="inlineStr">
        <is>
          <t>J</t>
        </is>
      </c>
      <c r="B969" t="inlineStr">
        <is>
          <t>Wang, C; Qin, HM; Zhao, KG; Dong, PL; Yang, XB; Zhou, GQ; Xi, XH</t>
        </is>
      </c>
      <c r="F969" t="inlineStr">
        <is>
          <t>Wang, Cheng; Qin, Haiming; Zhao, Kaiguang; Dong, Pinliang; Yang, Xuebo; Zhou, Guoqing; Xi, Xiaohuan</t>
        </is>
      </c>
      <c r="J969" t="inlineStr">
        <is>
          <t>REMOTE SENSING</t>
        </is>
      </c>
      <c r="M969" t="inlineStr">
        <is>
          <t>English</t>
        </is>
      </c>
      <c r="N969" t="inlineStr">
        <is>
          <t>Article</t>
        </is>
      </c>
      <c r="T969" t="inlineStr">
        <is>
          <t>Assessing the Impact of the Built-Up Environment on Nighttime Lights in China</t>
        </is>
      </c>
      <c r="U969" t="inlineStr">
        <is>
          <t>nighttime lights; GLAS; LiDAR; land cover; built-up environment</t>
        </is>
      </c>
      <c r="V969" t="inlineStr">
        <is>
          <t>VERTICAL STRUCTURE; CITY LIGHTS; GLAS DATA; LAND-USE; POLLUTION; CONSUMPTION; POPULATION; IMAGERY; WORLD; AREA</t>
        </is>
      </c>
      <c r="W969" t="inlineStr">
        <is>
          <t>Figuring out the effect of the built-up environment on artificial light at night is essential for better understanding nighttime luminosity in both socioeconomic and ecological perspectives. However, there are few studies linking artificial surface properties to nighttime light (NTL). This study uses a statistical method to investigate effects of construction region environments on nighttime brightness and its variation with building height and regional economic development level. First, we extracted footprint-level target heights from Geoscience Laser Altimeter System (GLAS) waveform light detection and ranging (LiDAR) data. Then, we proposed a set of built-up environment properties, including building coverage, vegetation fraction, building height, and surface-area index, and then extracted these properties from GLAS-derived height, GlobeLand30 land-cover data, and DMSP/OLS radiance-calibrated NTL data. Next, the effects of non-building areas on NTL data were removed based on a supervised method. Finally, linear regression analyses were conducted to analyze the relationships between nighttime lights and built-up environment properties. Results showed that building coverage and vegetation fraction have weak correlations with nighttime lights (R-2 &lt; 0.2), building height has a moderate correlation with nighttime lights (R-2 = 0.48), and surface-area index has a significant correlation with nighttime lights (R-2 = 0.64). The results suggest that surface-area index is a more reasonable measure for estimating light number and intensity of NTL because it takes into account both building coverage and height, i.e., building surface area. Meanwhile, building height contributed to nighttime lights greater than building coverage. Further analysis showed the correlation between NTL and surface-area index becomes stronger with the increase of building height, while it is the weakest when the regional economic development level is the highest. In conclusion, these results can help us better understand the determinants of nighttime lights.</t>
        </is>
      </c>
      <c r="X969" t="inlineStr">
        <is>
          <t>[Wang, Cheng; Yang, Xuebo; Xi, Xiaohuan] Chinese Acad Sci, Inst Remote Sensing &amp; Digital Earth, Key Lab Digital Earth Sci, Beijing 100094, Peoples R China; [Wang, Cheng; Yang, Xuebo] Univ Chinese Acad Sci, Beijing 100049, Peoples R China; [Qin, Haiming] Chinese Acad Sci, State Key Lab Urban &amp; Reg Ecol, Res Ctr Ecoenvironm Sci, Beijing 100085, Peoples R China; [Zhao, Kaiguang] Ohio State Univ, Ohio Agr Res &amp; Dev Ctr, Wooster, OH 44691 USA; [Dong, Pinliang] Univ North Texas, Dept Geog &amp; Environm, Denton, TX 76203 USA; [Zhou, Guoqing] Guilin Univ Technol, Guangxi Key Lab Spatial Informat &amp; Geomat, Guilin 541004, Peoples R China</t>
        </is>
      </c>
      <c r="Y969" t="inlineStr">
        <is>
          <t>Chinese Academy of Sciences; The Institute of Remote Sensing &amp; Digital Earth, CAS; Chinese Academy of Sciences; University of Chinese Academy of Sciences, CAS; Chinese Academy of Sciences; Research Center for Eco-Environmental Sciences (RCEES); University System of Ohio; Ohio State University; University of North Texas System; University of North Texas Denton; Guilin University of Technology</t>
        </is>
      </c>
      <c r="Z969" t="inlineStr">
        <is>
          <t>Qin, HM (corresponding author), Chinese Acad Sci, State Key Lab Urban &amp; Reg Ecol, Res Ctr Ecoenvironm Sci, Beijing 100085, Peoples R China.</t>
        </is>
      </c>
      <c r="AA969" t="inlineStr">
        <is>
          <t>hmqin@rcees.ac.cn</t>
        </is>
      </c>
      <c r="AB969" t="inlineStr">
        <is>
          <t>Zhou, Guoqing/AAY-2007-2020; Zhao, Kaiguang/D-1172-2010; Yang, Xuebo/ABF-3337-2020</t>
        </is>
      </c>
      <c r="AC969" t="inlineStr">
        <is>
          <t>Zhou, Guoqing/0000-0001-8295-0496; xi, xiao huan/0000-0001-6979-170X; Zhao, Kaiguang/0000-0001-5858-4967; Yang, Xuebo/0000-0002-0949-0179</t>
        </is>
      </c>
      <c r="AD969" t="inlineStr">
        <is>
          <t>Youth Innovation Promotion Association CAS [2019130]</t>
        </is>
      </c>
      <c r="AE969" t="inlineStr">
        <is>
          <t>Youth Innovation Promotion Association CAS</t>
        </is>
      </c>
      <c r="AF969" t="inlineStr">
        <is>
          <t>This research was funded by Youth Innovation Promotion Association CAS, grant number 2019130.</t>
        </is>
      </c>
      <c r="AH969" t="n">
        <v>39</v>
      </c>
      <c r="AI969" t="n">
        <v>6</v>
      </c>
      <c r="AJ969" t="n">
        <v>6</v>
      </c>
      <c r="AK969" t="n">
        <v>6</v>
      </c>
      <c r="AL969" t="n">
        <v>27</v>
      </c>
      <c r="AM969" t="inlineStr">
        <is>
          <t>MDPI</t>
        </is>
      </c>
      <c r="AN969" t="inlineStr">
        <is>
          <t>BASEL</t>
        </is>
      </c>
      <c r="AO969" t="inlineStr">
        <is>
          <t>ST ALBAN-ANLAGE 66, CH-4052 BASEL, SWITZERLAND</t>
        </is>
      </c>
      <c r="AP969" t="inlineStr">
        <is>
          <t>2072-4292</t>
        </is>
      </c>
      <c r="AS969" t="inlineStr">
        <is>
          <t>REMOTE SENS-BASEL</t>
        </is>
      </c>
      <c r="AT969" t="inlineStr">
        <is>
          <t>Remote Sens.</t>
        </is>
      </c>
      <c r="AU969" t="inlineStr">
        <is>
          <t>JUL 2</t>
        </is>
      </c>
      <c r="AV969" t="n">
        <v>2019</v>
      </c>
      <c r="AW969" t="n">
        <v>11</v>
      </c>
      <c r="AX969" t="n">
        <v>14</v>
      </c>
      <c r="BE969" t="n">
        <v>1712</v>
      </c>
      <c r="BF969" t="inlineStr">
        <is>
          <t>10.3390/rs11141712</t>
        </is>
      </c>
      <c r="BG969">
        <f>HYPERLINK("http://dx.doi.org/10.3390/rs11141712","http://dx.doi.org/10.3390/rs11141712")</f>
        <v/>
      </c>
      <c r="BJ969" t="n">
        <v>16</v>
      </c>
      <c r="BK969" t="inlineStr">
        <is>
          <t>Environmental Sciences; Geosciences, Multidisciplinary; Remote Sensing; Imaging Science &amp; Photographic Technology</t>
        </is>
      </c>
      <c r="BL969" t="inlineStr">
        <is>
          <t>Science Citation Index Expanded (SCI-EXPANDED)</t>
        </is>
      </c>
      <c r="BM969" t="inlineStr">
        <is>
          <t>Environmental Sciences &amp; Ecology; Geology; Remote Sensing; Imaging Science &amp; Photographic Technology</t>
        </is>
      </c>
      <c r="BN969" t="inlineStr">
        <is>
          <t>IQ1RK</t>
        </is>
      </c>
      <c r="BP969" t="inlineStr">
        <is>
          <t>gold, Green Published</t>
        </is>
      </c>
      <c r="BS969" t="inlineStr">
        <is>
          <t>2023-10-26</t>
        </is>
      </c>
      <c r="BT969" t="inlineStr">
        <is>
          <t>WOS:000480527800082</t>
        </is>
      </c>
      <c r="BU969">
        <f>HYPERLINK("https%3A%2F%2Fwww.webofscience.com%2Fwos%2Fwoscc%2Ffull-record%2FWOS:000480527800082","View Full Record in Web of Science")</f>
        <v/>
      </c>
    </row>
    <row r="970">
      <c r="A970" t="inlineStr">
        <is>
          <t>J</t>
        </is>
      </c>
      <c r="B970" t="inlineStr">
        <is>
          <t>Manca, S; Cerina, V; Tobia, V; Sacchi, S; Fornara, F</t>
        </is>
      </c>
      <c r="F970" t="inlineStr">
        <is>
          <t>Manca, Sara; Cerina, Veronica; Tobia, Valentina; Sacchi, Simona; Fornara, Ferdinando</t>
        </is>
      </c>
      <c r="J970" t="inlineStr">
        <is>
          <t>SUSTAINABILITY</t>
        </is>
      </c>
      <c r="M970" t="inlineStr">
        <is>
          <t>English</t>
        </is>
      </c>
      <c r="N970" t="inlineStr">
        <is>
          <t>Review</t>
        </is>
      </c>
      <c r="T970" t="inlineStr">
        <is>
          <t>The Effect of School Design on Users' Responses: A Systematic Review (2008-2017)</t>
        </is>
      </c>
      <c r="U970" t="inlineStr">
        <is>
          <t>school architectural features; psychological responses; learning space; students' performance; users' wellbeing</t>
        </is>
      </c>
      <c r="V970" t="inlineStr">
        <is>
          <t>PHYSICAL-ENVIRONMENT; TEACHERS PERCEPTIONS; ELEMENTARY-SCHOOLS; STUDENTS; QUALITY; ARCHITECTURE; PERFORMANCE; EDUCATION; HEALTH; ERGONOMICS</t>
        </is>
      </c>
      <c r="W970" t="inlineStr">
        <is>
          <t>This systematic review focused on the effect of the educational environment design on students' and teachers' performance, satisfaction, and wellbeing. Starting from a bulk of 1307 articles, a set of N = 68 empirical papers was selected and organized on the basis of four different content clusters, i.e., architectural building design and aesthetic features, indoor environmental features, classroom design, and school green spaces/outdoor spaces. From the analysis of research findings, the key role of pleasant, warm, and flexible learning environments emerged, for promoting both wellbeing and performance of users. More specifically, the presence of charming colors and pictures, ergonomic furniture, and adequate acoustic, thermal comfort, ventilation, and natural lighting have emerged as important features that school designers should care for. Furthermore, an integration of both indoor and outdoor learning situations showed to be effective for improving students' learning and wellbeing.</t>
        </is>
      </c>
      <c r="X970" t="inlineStr">
        <is>
          <t>[Manca, Sara; Cerina, Veronica; Fornara, Ferdinando] Univ Cagliari, Dept Educ, Psychol, Philosophy, I-09123 Cagliari, Italy; [Tobia, Valentina] Univ Vita Salute San Raffaele, Dept Psychol, I-20132 Milan, Italy; [Sacchi, Simona] Univ Milano Bicocca, Dept Psychol, I-20126 Milan, Italy</t>
        </is>
      </c>
      <c r="Y970" t="inlineStr">
        <is>
          <t>University of Cagliari; Vita-Salute San Raffaele University; University of Milano-Bicocca</t>
        </is>
      </c>
      <c r="Z970" t="inlineStr">
        <is>
          <t>Manca, S (corresponding author), Univ Cagliari, Dept Educ, Psychol, Philosophy, I-09123 Cagliari, Italy.</t>
        </is>
      </c>
      <c r="AA970" t="inlineStr">
        <is>
          <t>saramanca@email.it; veronica.cerina@gmail.com; valentina.tobia@unisr.it; simona.sacchi@unimib.it; ffornara@unica.it</t>
        </is>
      </c>
      <c r="AB970" t="inlineStr">
        <is>
          <t>fornara, ferdinando/E-7242-2017; Tobia, Valentina/M-3409-2016</t>
        </is>
      </c>
      <c r="AC970" t="inlineStr">
        <is>
          <t>fornara, ferdinando/0000-0002-9742-8147; Tobia, Valentina/0000-0001-8041-8113; MANCA, SARA/0000-0002-1616-2464</t>
        </is>
      </c>
      <c r="AD970" t="inlineStr">
        <is>
          <t>Iscol@ Project (Autonomous Region of Sardinia, Italy, Regional Council Deliberation) [10/15]</t>
        </is>
      </c>
      <c r="AE970" t="inlineStr">
        <is>
          <t>Iscol@ Project (Autonomous Region of Sardinia, Italy, Regional Council Deliberation)</t>
        </is>
      </c>
      <c r="AF970" t="inlineStr">
        <is>
          <t>This research was funded by the Iscol@ Project (Autonomous Region of Sardinia, Italy, Regional Council Deliberation n. 10/15, 28/03/2014); .</t>
        </is>
      </c>
      <c r="AH970" t="n">
        <v>90</v>
      </c>
      <c r="AI970" t="n">
        <v>5</v>
      </c>
      <c r="AJ970" t="n">
        <v>5</v>
      </c>
      <c r="AK970" t="n">
        <v>5</v>
      </c>
      <c r="AL970" t="n">
        <v>72</v>
      </c>
      <c r="AM970" t="inlineStr">
        <is>
          <t>MDPI</t>
        </is>
      </c>
      <c r="AN970" t="inlineStr">
        <is>
          <t>BASEL</t>
        </is>
      </c>
      <c r="AO970" t="inlineStr">
        <is>
          <t>ST ALBAN-ANLAGE 66, CH-4052 BASEL, SWITZERLAND</t>
        </is>
      </c>
      <c r="AQ970" t="inlineStr">
        <is>
          <t>2071-1050</t>
        </is>
      </c>
      <c r="AS970" t="inlineStr">
        <is>
          <t>SUSTAINABILITY-BASEL</t>
        </is>
      </c>
      <c r="AT970" t="inlineStr">
        <is>
          <t>Sustainability</t>
        </is>
      </c>
      <c r="AU970" t="inlineStr">
        <is>
          <t>APR</t>
        </is>
      </c>
      <c r="AV970" t="n">
        <v>2020</v>
      </c>
      <c r="AW970" t="n">
        <v>12</v>
      </c>
      <c r="AX970" t="n">
        <v>8</v>
      </c>
      <c r="BE970" t="n">
        <v>3453</v>
      </c>
      <c r="BF970" t="inlineStr">
        <is>
          <t>10.3390/su12083453</t>
        </is>
      </c>
      <c r="BG970">
        <f>HYPERLINK("http://dx.doi.org/10.3390/su12083453","http://dx.doi.org/10.3390/su12083453")</f>
        <v/>
      </c>
      <c r="BJ970" t="n">
        <v>37</v>
      </c>
      <c r="BK970" t="inlineStr">
        <is>
          <t>Green &amp; Sustainable Science &amp; Technology; Environmental Sciences; Environmental Studies</t>
        </is>
      </c>
      <c r="BL970" t="inlineStr">
        <is>
          <t>Science Citation Index Expanded (SCI-EXPANDED); Social Science Citation Index (SSCI)</t>
        </is>
      </c>
      <c r="BM970" t="inlineStr">
        <is>
          <t>Science &amp; Technology - Other Topics; Environmental Sciences &amp; Ecology</t>
        </is>
      </c>
      <c r="BN970" t="inlineStr">
        <is>
          <t>LR3MY</t>
        </is>
      </c>
      <c r="BP970" t="inlineStr">
        <is>
          <t>gold</t>
        </is>
      </c>
      <c r="BS970" t="inlineStr">
        <is>
          <t>2023-10-26</t>
        </is>
      </c>
      <c r="BT970" t="inlineStr">
        <is>
          <t>WOS:000535598700386</t>
        </is>
      </c>
      <c r="BU970">
        <f>HYPERLINK("https%3A%2F%2Fwww.webofscience.com%2Fwos%2Fwoscc%2Ffull-record%2FWOS:000535598700386","View Full Record in Web of Science")</f>
        <v/>
      </c>
    </row>
    <row r="971">
      <c r="A971" t="inlineStr">
        <is>
          <t>J</t>
        </is>
      </c>
      <c r="B971" t="inlineStr">
        <is>
          <t>Loder, AKF; Gspurning, J; Paier, C; van Poppel, MNM</t>
        </is>
      </c>
      <c r="F971" t="inlineStr">
        <is>
          <t>Loder, Alexander Karl Ferdinand; Gspurning, Josef; Paier, Christoph; van Poppel, Mireille Nicoline Maria</t>
        </is>
      </c>
      <c r="J971" t="inlineStr">
        <is>
          <t>INTERNATIONAL JOURNAL OF ENVIRONMENTAL RESEARCH AND PUBLIC HEALTH</t>
        </is>
      </c>
      <c r="M971" t="inlineStr">
        <is>
          <t>English</t>
        </is>
      </c>
      <c r="N971" t="inlineStr">
        <is>
          <t>Article</t>
        </is>
      </c>
      <c r="T971" t="inlineStr">
        <is>
          <t>Objective and Perceived Neighborhood Greenness of Students Differ in Their Agreement in Home and Study Environments</t>
        </is>
      </c>
      <c r="U971" t="inlineStr">
        <is>
          <t>neighborhood greenness; environmental psychology; public health; sedentariness; green space; built environment; natural environment; Austria</t>
        </is>
      </c>
      <c r="W971" t="inlineStr">
        <is>
          <t>Research has reported the associations between objective or subjective neighborhood greenness and health, with low agreement between the greenness scores. College students are prone to poor health, and data are lacking on home and university environments. We studied the agreement between greenness parameters and the associations of objective greenness with health in different locations. Three hundred and seventy-seven college students were recruited, with a mean age of 24 years, in the city of Graz, Austria. Objective and perceived greenness was assessed at home and at university. Health measures included the WHO-5 questionnaire for mental health, the IPAQ questionnaire (short) for physical activity and sedentariness, and body mass index. Per location, quintile pairs of objective and perceived greenness were classified into underestimates, correct estimates or overestimates. Interrater reliability and correlation analyses revealed agreement between greenness scores at home but not at university. ANOVA models only showed poorer mental health for students underestimating greenness at university (M = 51.38, SD = 2.84) compared to those with correct estimates (M = 61.03, SD = 1.85). Agreement between greenness scores at home but not at university was obtained, and mental health was related to the perception of greenness at university. We conclude that reliable and corresponding methods for greenness scores need to be developed.</t>
        </is>
      </c>
      <c r="X971" t="inlineStr">
        <is>
          <t>[Loder, Alexander Karl Ferdinand; Paier, Christoph; van Poppel, Mireille Nicoline Maria] Karl Franzens Univ Graz, Inst Sport Sci, A-8010 Graz, Austria; [Loder, Alexander Karl Ferdinand] Univ Mus &amp; Performing Arts Graz, Staff Dept Qual Management, A-8010 Graz, Austria; [Gspurning, Josef] Karl Franzens Univ Graz, Inst Geog &amp; Reg Sci, A-8010 Graz, Austria</t>
        </is>
      </c>
      <c r="Y971" t="inlineStr">
        <is>
          <t>University of Graz; University of Graz</t>
        </is>
      </c>
      <c r="Z971" t="inlineStr">
        <is>
          <t>Loder, AKF (corresponding author), Karl Franzens Univ Graz, Inst Sport Sci, A-8010 Graz, Austria.;Loder, AKF (corresponding author), Univ Mus &amp; Performing Arts Graz, Staff Dept Qual Management, A-8010 Graz, Austria.</t>
        </is>
      </c>
      <c r="AA971" t="inlineStr">
        <is>
          <t>alexlode@live.at; josef.gspurning@uni-graz.at; christoph.paier@edu.uni-graz.at; mireille.van-poppel@uni-graz.at</t>
        </is>
      </c>
      <c r="AC971" t="inlineStr">
        <is>
          <t>Van Poppel, Mireille/0000-0001-5694-4324; Gspurning, Josef/0000-0001-7199-758X; Loder, Alexander Karl Ferdinand/0009-0008-8906-8410</t>
        </is>
      </c>
      <c r="AH971" t="n">
        <v>47</v>
      </c>
      <c r="AI971" t="n">
        <v>4</v>
      </c>
      <c r="AJ971" t="n">
        <v>4</v>
      </c>
      <c r="AK971" t="n">
        <v>2</v>
      </c>
      <c r="AL971" t="n">
        <v>27</v>
      </c>
      <c r="AM971" t="inlineStr">
        <is>
          <t>MDPI</t>
        </is>
      </c>
      <c r="AN971" t="inlineStr">
        <is>
          <t>BASEL</t>
        </is>
      </c>
      <c r="AO971" t="inlineStr">
        <is>
          <t>ST ALBAN-ANLAGE 66, CH-4052 BASEL, SWITZERLAND</t>
        </is>
      </c>
      <c r="AQ971" t="inlineStr">
        <is>
          <t>1660-4601</t>
        </is>
      </c>
      <c r="AS971" t="inlineStr">
        <is>
          <t>INT J ENV RES PUB HE</t>
        </is>
      </c>
      <c r="AT971" t="inlineStr">
        <is>
          <t>Int. J. Environ. Res. Public Health</t>
        </is>
      </c>
      <c r="AU971" t="inlineStr">
        <is>
          <t>MAY</t>
        </is>
      </c>
      <c r="AV971" t="n">
        <v>2020</v>
      </c>
      <c r="AW971" t="n">
        <v>17</v>
      </c>
      <c r="AX971" t="n">
        <v>10</v>
      </c>
      <c r="BE971" t="n">
        <v>3427</v>
      </c>
      <c r="BF971" t="inlineStr">
        <is>
          <t>10.3390/ijerph17103427</t>
        </is>
      </c>
      <c r="BG971">
        <f>HYPERLINK("http://dx.doi.org/10.3390/ijerph17103427","http://dx.doi.org/10.3390/ijerph17103427")</f>
        <v/>
      </c>
      <c r="BJ971" t="n">
        <v>12</v>
      </c>
      <c r="BK971" t="inlineStr">
        <is>
          <t>Environmental Sciences; Public, Environmental &amp; Occupational Health</t>
        </is>
      </c>
      <c r="BL971" t="inlineStr">
        <is>
          <t>Science Citation Index Expanded (SCI-EXPANDED); Social Science Citation Index (SSCI)</t>
        </is>
      </c>
      <c r="BM971" t="inlineStr">
        <is>
          <t>Environmental Sciences &amp; Ecology; Public, Environmental &amp; Occupational Health</t>
        </is>
      </c>
      <c r="BN971" t="inlineStr">
        <is>
          <t>LW7CK</t>
        </is>
      </c>
      <c r="BO971" t="n">
        <v>32423063</v>
      </c>
      <c r="BP971" t="inlineStr">
        <is>
          <t>Green Published, gold</t>
        </is>
      </c>
      <c r="BS971" t="inlineStr">
        <is>
          <t>2023-10-26</t>
        </is>
      </c>
      <c r="BT971" t="inlineStr">
        <is>
          <t>WOS:000539300900084</t>
        </is>
      </c>
      <c r="BU971">
        <f>HYPERLINK("https%3A%2F%2Fwww.webofscience.com%2Fwos%2Fwoscc%2Ffull-record%2FWOS:000539300900084","View Full Record in Web of Science")</f>
        <v/>
      </c>
    </row>
    <row r="972">
      <c r="A972" t="inlineStr">
        <is>
          <t>J</t>
        </is>
      </c>
      <c r="B972" t="inlineStr">
        <is>
          <t>Kosoric, V; Lau, SK; Tablada, A; Bieri, M; Nobre, AM</t>
        </is>
      </c>
      <c r="F972" t="inlineStr">
        <is>
          <t>Kosoric, Vesna; Lau, Siu-Kit; Tablada, Abel; Bieri, Monika; M. Nobre, Andre</t>
        </is>
      </c>
      <c r="J972" t="inlineStr">
        <is>
          <t>SUSTAINABILITY</t>
        </is>
      </c>
      <c r="M972" t="inlineStr">
        <is>
          <t>English</t>
        </is>
      </c>
      <c r="N972" t="inlineStr">
        <is>
          <t>Article</t>
        </is>
      </c>
      <c r="T972" t="inlineStr">
        <is>
          <t>A Holistic Strategy for Successful Photovoltaic (PV) Implementation into Singapore's Built Environment</t>
        </is>
      </c>
      <c r="U972" t="inlineStr">
        <is>
          <t>built environment; building-integrated photovoltaics (BIPV); design guidelines; facade integration; holistic strategy; low-carbon city; photovoltaics (PV); photovoltaic (PV) integration; sustainability; well-being</t>
        </is>
      </c>
      <c r="V972" t="inlineStr">
        <is>
          <t>BUILDING-INTEGRATED PHOTOVOLTAICS; SOLAR-ENERGY; SOCIAL ACCEPTANCE; FARMING SYSTEMS; BIPV; TECHNOLOGIES; FRAMEWORK; BARRIERS; DESIGN; SUSTAINABILITY</t>
        </is>
      </c>
      <c r="W972" t="inlineStr">
        <is>
          <t>Based on the findings from a recent study by the authors which examined factors affecting diffusion of photovoltaics (PV), while comprehensively considering the local PV and construction industry as well as characteristics of the built environment, this paper proposes a holistic strategy for PV implementation into Singapore's built environment. It consists of (1) a multilevel mechanism framework, encompassing eleven mechanism categories of instruments and activities and (2) a general design framework including design principles, general project instructions and the main design guidelines. Relying on a survey conducted among PV experts on established mechanisms, the present study suggests that building codes (e.g., fire safety, structural safety, etc.) and initiatives and incentives related to PV/building-integrated photovoltaics (BIPV) should be the highest priority for authorities, followed by assessment of BIPV/PV properties, working toward social acceptance, conducting research projects and information exchange, and education and training activities. Considering all three pillars of sustainability, the design framework is based on the following interrelated design principles: (1) compatibility and coherence with the local context, (2) technical soundness, (3) economic viability, (4) user-centered design, (5) connecting with community and socio-cultural context, and (6) adaptability and flexibility. Despite Singapore's scarcity of land, the established design guidelines cover a wide spectrum of solutions, including PV integration into both buildings and non-building structures. The synthesis of the two interconnected and inseparable frameworks aims to create an environment conducive to long-term widespread PV integration and stimulate the deployment of BIPV, which should help Singapore and other cities reduce their dependency on imported fossil fuels, while also making them more livable and enjoyable.</t>
        </is>
      </c>
      <c r="X972" t="inlineStr">
        <is>
          <t>[Kosoric, Vesna; Lau, Siu-Kit] Natl Univ Singapore, Dept Architecture, Singapore 117566, Singapore; [Kosoric, Vesna] Balkan Energy AG, CH-4656 Starrkirch Wil, Switzerland; [Kosoric, Vesna] Daniel Hammer Architekt FH AG, CH-4600 Olten, Switzerland; [Tablada, Abel] Technol Univ Havana, Fac Architecture, Edificio 6, Marianao 11920, Cuba; [Bieri, Monika; M. Nobre, Andre] Cleantech Energy Corp Pte Ltd, Singapore 049482, Singapore</t>
        </is>
      </c>
      <c r="Y972" t="inlineStr">
        <is>
          <t>National University of Singapore</t>
        </is>
      </c>
      <c r="Z972" t="inlineStr">
        <is>
          <t>Lau, SK (corresponding author), Natl Univ Singapore, Dept Architecture, Singapore 117566, Singapore.</t>
        </is>
      </c>
      <c r="AA972" t="inlineStr">
        <is>
          <t>vesna.kosoric@gmail.com; slau@nus.edu.sg; abeltablada@yahoo.com; moni.bieri.solar@gmail.com; andre.nobre@cleantechsolar.com</t>
        </is>
      </c>
      <c r="AC972" t="inlineStr">
        <is>
          <t>Lau, Siu-Kit/0000-0002-2357-8281; Tablada, Abel/0000-0003-3354-7726</t>
        </is>
      </c>
      <c r="AD972" t="inlineStr">
        <is>
          <t>research project Evaluation and Development of Energy Efficient PV Systems in Tropical Environment - NUS-CDL Tropical Technology Laboratory (T2 Lab) [WBS: R-294-000-136-720]; City Development Limited</t>
        </is>
      </c>
      <c r="AE972" t="inlineStr">
        <is>
          <t>research project Evaluation and Development of Energy Efficient PV Systems in Tropical Environment - NUS-CDL Tropical Technology Laboratory (T2 Lab); City Development Limited</t>
        </is>
      </c>
      <c r="AF972" t="inlineStr">
        <is>
          <t>The authors wish to acknowledge the funding support by the research project Evaluation and Development of Energy Efficient PV Systems in Tropical Environment [WBS: R-294-000-136-720], which is funded by the NUS-CDL Tropical Technology Laboratory (T2 Lab) and City Development Limited.</t>
        </is>
      </c>
      <c r="AH972" t="n">
        <v>144</v>
      </c>
      <c r="AI972" t="n">
        <v>9</v>
      </c>
      <c r="AJ972" t="n">
        <v>9</v>
      </c>
      <c r="AK972" t="n">
        <v>4</v>
      </c>
      <c r="AL972" t="n">
        <v>16</v>
      </c>
      <c r="AM972" t="inlineStr">
        <is>
          <t>MDPI</t>
        </is>
      </c>
      <c r="AN972" t="inlineStr">
        <is>
          <t>BASEL</t>
        </is>
      </c>
      <c r="AO972" t="inlineStr">
        <is>
          <t>ST ALBAN-ANLAGE 66, CH-4052 BASEL, SWITZERLAND</t>
        </is>
      </c>
      <c r="AQ972" t="inlineStr">
        <is>
          <t>2071-1050</t>
        </is>
      </c>
      <c r="AS972" t="inlineStr">
        <is>
          <t>SUSTAINABILITY-BASEL</t>
        </is>
      </c>
      <c r="AT972" t="inlineStr">
        <is>
          <t>Sustainability</t>
        </is>
      </c>
      <c r="AU972" t="inlineStr">
        <is>
          <t>JUN</t>
        </is>
      </c>
      <c r="AV972" t="n">
        <v>2021</v>
      </c>
      <c r="AW972" t="n">
        <v>13</v>
      </c>
      <c r="AX972" t="n">
        <v>11</v>
      </c>
      <c r="BE972" t="n">
        <v>6452</v>
      </c>
      <c r="BF972" t="inlineStr">
        <is>
          <t>10.3390/su13116452</t>
        </is>
      </c>
      <c r="BG972">
        <f>HYPERLINK("http://dx.doi.org/10.3390/su13116452","http://dx.doi.org/10.3390/su13116452")</f>
        <v/>
      </c>
      <c r="BJ972" t="n">
        <v>35</v>
      </c>
      <c r="BK972" t="inlineStr">
        <is>
          <t>Green &amp; Sustainable Science &amp; Technology; Environmental Sciences; Environmental Studies</t>
        </is>
      </c>
      <c r="BL972" t="inlineStr">
        <is>
          <t>Science Citation Index Expanded (SCI-EXPANDED); Social Science Citation Index (SSCI)</t>
        </is>
      </c>
      <c r="BM972" t="inlineStr">
        <is>
          <t>Science &amp; Technology - Other Topics; Environmental Sciences &amp; Ecology</t>
        </is>
      </c>
      <c r="BN972" t="inlineStr">
        <is>
          <t>SR0WE</t>
        </is>
      </c>
      <c r="BP972" t="inlineStr">
        <is>
          <t>gold</t>
        </is>
      </c>
      <c r="BS972" t="inlineStr">
        <is>
          <t>2023-10-26</t>
        </is>
      </c>
      <c r="BT972" t="inlineStr">
        <is>
          <t>WOS:000660765500001</t>
        </is>
      </c>
      <c r="BU972">
        <f>HYPERLINK("https%3A%2F%2Fwww.webofscience.com%2Fwos%2Fwoscc%2Ffull-record%2FWOS:000660765500001","View Full Record in Web of Science")</f>
        <v/>
      </c>
    </row>
    <row r="973">
      <c r="A973" t="inlineStr">
        <is>
          <t>J</t>
        </is>
      </c>
      <c r="B973" t="inlineStr">
        <is>
          <t>Nath, A; Baruah, N; Nonglait, ML; Deka, P</t>
        </is>
      </c>
      <c r="F973" t="inlineStr">
        <is>
          <t>Nath, Anamika; Baruah, Neeharika; Nonglait, Mebaaibok L.; Deka, Pratibha</t>
        </is>
      </c>
      <c r="J973" t="inlineStr">
        <is>
          <t>AEROBIOLOGIA</t>
        </is>
      </c>
      <c r="M973" t="inlineStr">
        <is>
          <t>English</t>
        </is>
      </c>
      <c r="N973" t="inlineStr">
        <is>
          <t>Review</t>
        </is>
      </c>
      <c r="T973" t="inlineStr">
        <is>
          <t>Biological contaminants in indoor environments of educational institutions</t>
        </is>
      </c>
      <c r="U973" t="inlineStr">
        <is>
          <t>Biological contaminants; Educational institutions; Indoor air quality (IAQ); Human health</t>
        </is>
      </c>
      <c r="V973" t="inlineStr">
        <is>
          <t>MICROBIAL AIR CONTAMINATION; PRIMARY-SCHOOLS; AIRBORNE FUNGI; ELEMENTARY-SCHOOLS; ASTHMA MORBIDITY; ENDOTOXIN LEVELS; SETTLED DUST; PARTICULATE MATTER; ALLERGEN EXPOSURE; POLLEN ALLERGENS</t>
        </is>
      </c>
      <c r="W973" t="inlineStr">
        <is>
          <t>Biological contaminants mainly consisting of living or dead microorganisms and compounds or fragments of plants and animal origin are gaining widespread research interest in recent years due to their ubiquitous presence along with their health effects on humans. Students spend a significant time of the day in educational institutions, which increases the cumulative health risk over the years. This review discusses the major biological contaminants, sampling strategies, health effects, and the factors affecting their prevalence in educational institutions. Fungi and bacteria were the most reported bio-contaminants followed by allergens and endotoxins. Exposure to bio-contaminants may result in acute and chronic respiratory diseases, infectious diseases, allergies, building-related illnesses, and even cancer. More research is needed to know the susceptibility of different age groups of students, formulation of guideline values, standard protocols for sampling, and proper diagnostic tests for diseases caused by bio-contaminants. Students should be made aware of the various aspects of indoor air quality such that they become inquisitive towards the same and become responsible for safety and hygiene.</t>
        </is>
      </c>
      <c r="X973" t="inlineStr">
        <is>
          <t>[Nath, Anamika; Baruah, Neeharika; Nonglait, Mebaaibok L.; Deka, Pratibha] Tezpur Univ, Dept Environm Sci, Tezpur 784028, Assam, India</t>
        </is>
      </c>
      <c r="Y973" t="inlineStr">
        <is>
          <t>Tezpur University</t>
        </is>
      </c>
      <c r="Z973" t="inlineStr">
        <is>
          <t>Deka, P (corresponding author), Tezpur Univ, Dept Environm Sci, Tezpur 784028, Assam, India.</t>
        </is>
      </c>
      <c r="AA973" t="inlineStr">
        <is>
          <t>pratibhadeka@gmail.com</t>
        </is>
      </c>
      <c r="AD973" t="inlineStr">
        <is>
          <t>[F.30-437/2018(BSR)]</t>
        </is>
      </c>
      <c r="AF973" t="inlineStr">
        <is>
          <t>This study was carried out as a part of the UGCStart-up Grant [F.30-437/2018(BSR)] to Dr. Pratibha Deka.</t>
        </is>
      </c>
      <c r="AH973" t="n">
        <v>145</v>
      </c>
      <c r="AI973" t="n">
        <v>0</v>
      </c>
      <c r="AJ973" t="n">
        <v>0</v>
      </c>
      <c r="AK973" t="n">
        <v>5</v>
      </c>
      <c r="AL973" t="n">
        <v>16</v>
      </c>
      <c r="AM973" t="inlineStr">
        <is>
          <t>SPRINGER</t>
        </is>
      </c>
      <c r="AN973" t="inlineStr">
        <is>
          <t>DORDRECHT</t>
        </is>
      </c>
      <c r="AO973" t="inlineStr">
        <is>
          <t>VAN GODEWIJCKSTRAAT 30, 3311 GZ DORDRECHT, NETHERLANDS</t>
        </is>
      </c>
      <c r="AP973" t="inlineStr">
        <is>
          <t>0393-5965</t>
        </is>
      </c>
      <c r="AQ973" t="inlineStr">
        <is>
          <t>1573-3025</t>
        </is>
      </c>
      <c r="AS973" t="inlineStr">
        <is>
          <t>AEROBIOLOGIA</t>
        </is>
      </c>
      <c r="AT973" t="inlineStr">
        <is>
          <t>Aerobiologia</t>
        </is>
      </c>
      <c r="AU973" t="inlineStr">
        <is>
          <t>MAR</t>
        </is>
      </c>
      <c r="AV973" t="n">
        <v>2023</v>
      </c>
      <c r="AW973" t="n">
        <v>39</v>
      </c>
      <c r="AX973" t="n">
        <v>1</v>
      </c>
      <c r="BC973" t="n">
        <v>1</v>
      </c>
      <c r="BD973" t="n">
        <v>20</v>
      </c>
      <c r="BF973" t="inlineStr">
        <is>
          <t>10.1007/s10453-022-09771-6</t>
        </is>
      </c>
      <c r="BG973">
        <f>HYPERLINK("http://dx.doi.org/10.1007/s10453-022-09771-6","http://dx.doi.org/10.1007/s10453-022-09771-6")</f>
        <v/>
      </c>
      <c r="BI973" t="inlineStr">
        <is>
          <t>NOV 2022</t>
        </is>
      </c>
      <c r="BJ973" t="n">
        <v>20</v>
      </c>
      <c r="BK973" t="inlineStr">
        <is>
          <t>Biology; Environmental Sciences</t>
        </is>
      </c>
      <c r="BL973" t="inlineStr">
        <is>
          <t>Science Citation Index Expanded (SCI-EXPANDED)</t>
        </is>
      </c>
      <c r="BM973" t="inlineStr">
        <is>
          <t>Life Sciences &amp; Biomedicine - Other Topics; Environmental Sciences &amp; Ecology</t>
        </is>
      </c>
      <c r="BN973" t="inlineStr">
        <is>
          <t>9Z0FX</t>
        </is>
      </c>
      <c r="BS973" t="inlineStr">
        <is>
          <t>2023-10-26</t>
        </is>
      </c>
      <c r="BT973" t="inlineStr">
        <is>
          <t>WOS:000886448800001</t>
        </is>
      </c>
      <c r="BU973">
        <f>HYPERLINK("https%3A%2F%2Fwww.webofscience.com%2Fwos%2Fwoscc%2Ffull-record%2FWOS:000886448800001","View Full Record in Web of Science")</f>
        <v/>
      </c>
    </row>
    <row r="974">
      <c r="A974" t="inlineStr">
        <is>
          <t>J</t>
        </is>
      </c>
      <c r="B974" t="inlineStr">
        <is>
          <t>Li, QW; Mpofu, E; Yin, C; Turner, KW</t>
        </is>
      </c>
      <c r="F974" t="inlineStr">
        <is>
          <t>Li, Qiwei; Mpofu, Elias; Yin, Cheng; Turner, Keith W.</t>
        </is>
      </c>
      <c r="J974" t="inlineStr">
        <is>
          <t>INTERNATIONAL JOURNAL OF ENVIRONMENTAL RESEARCH AND PUBLIC HEALTH</t>
        </is>
      </c>
      <c r="M974" t="inlineStr">
        <is>
          <t>English</t>
        </is>
      </c>
      <c r="N974" t="inlineStr">
        <is>
          <t>Article</t>
        </is>
      </c>
      <c r="T974" t="inlineStr">
        <is>
          <t>Perception of Falls and Confidence in Self-Management of Falls among Older Adults</t>
        </is>
      </c>
      <c r="U974" t="inlineStr">
        <is>
          <t>fall management; fear of falls; older adults; confidence; predictors</t>
        </is>
      </c>
      <c r="V974" t="inlineStr">
        <is>
          <t>RISK-FACTORS; PHYSICAL-ACTIVITY; FEAR; COMMUNITY; PROGRAM; DISABILITY; PREVENTION; EXERCISE; EFFICACY; VALIDITY</t>
        </is>
      </c>
      <c r="W974" t="inlineStr">
        <is>
          <t>Objectives: Fall preventive programs aim to reduce risks for mortality from fall-related injuries among older adults. However, the covariation between personal perceptions of falls and factors and confidence of self-management in falls (CSMoF) is still under-studied despite its importance to fall prevention. We aimed to investigate the relative contribution of CSMoF in relation to fall risk self-perceptions while controlling for demographics and self-reported health and functioning. Method: Participants were 691 older adults recruited from Area Agency on Aging at Arlington, Texas (females = 76.1%, mean age = 76.23, SD = 6.44, with chronic condition = 79.5%). They completed measures of physical functioning, CSMoF, fall risk perceptions and fear of falls. Results: Regression analyses indicated that fear of fall was the most predictive factor of CSMoF among older persons, accounting for about 25% of the variance. Physical function measures of age, chronic illnesses of metabolism, sensory impairment, and health status were also significant predictors of the CSMoF, but to a lesser extent than fear of falls and fall perceptions. The interaction of perception of falls and fall experience attenuated CSMoF, with physical functioning limitations. Conclusion: The joint effects of perception of falls and fear of falls likely explain CSMoF among older adults more than physical functional indicators. Fall prevention programs for older adults should prioritize to address modifiable subjective factors of fall perceptions, fear of falls, and CSMoF across health and functioning statuses.</t>
        </is>
      </c>
      <c r="X974" t="inlineStr">
        <is>
          <t>[Li, Qiwei; Mpofu, Elias; Yin, Cheng; Turner, Keith W.] Univ North Texas, Dept Rehabil &amp; Hlth Serv, Denton, TX 76201 USA; [Mpofu, Elias] Univ Sydney, Clin &amp; Rehabil Sci, Lidcombe 2141, Australia; [Mpofu, Elias] Univ Johannesburg, Educ Psychol &amp; Inclus Educ, ZA-2550 Johannesburg, South Africa</t>
        </is>
      </c>
      <c r="Y974" t="inlineStr">
        <is>
          <t>University of North Texas System; University of North Texas Denton; University of Sydney; University of Johannesburg</t>
        </is>
      </c>
      <c r="Z974" t="inlineStr">
        <is>
          <t>Li, QW (corresponding author), Univ North Texas, Dept Rehabil &amp; Hlth Serv, Denton, TX 76201 USA.</t>
        </is>
      </c>
      <c r="AA974" t="inlineStr">
        <is>
          <t>Qiwei.Li@unt.edu; Elias.Mpofu@unt.edu; Chengyinunt@gmail.com; Keith.Turner@unt.edu</t>
        </is>
      </c>
      <c r="AH974" t="n">
        <v>43</v>
      </c>
      <c r="AI974" t="n">
        <v>7</v>
      </c>
      <c r="AJ974" t="n">
        <v>7</v>
      </c>
      <c r="AK974" t="n">
        <v>4</v>
      </c>
      <c r="AL974" t="n">
        <v>25</v>
      </c>
      <c r="AM974" t="inlineStr">
        <is>
          <t>MDPI</t>
        </is>
      </c>
      <c r="AN974" t="inlineStr">
        <is>
          <t>BASEL</t>
        </is>
      </c>
      <c r="AO974" t="inlineStr">
        <is>
          <t>ST ALBAN-ANLAGE 66, CH-4052 BASEL, SWITZERLAND</t>
        </is>
      </c>
      <c r="AP974" t="inlineStr">
        <is>
          <t>1661-7827</t>
        </is>
      </c>
      <c r="AQ974" t="inlineStr">
        <is>
          <t>1660-4601</t>
        </is>
      </c>
      <c r="AS974" t="inlineStr">
        <is>
          <t>INT J ENV RES PUB HE</t>
        </is>
      </c>
      <c r="AT974" t="inlineStr">
        <is>
          <t>Int. J. Environ. Res. Public Health</t>
        </is>
      </c>
      <c r="AU974" t="inlineStr">
        <is>
          <t>DEC 2</t>
        </is>
      </c>
      <c r="AV974" t="n">
        <v>2019</v>
      </c>
      <c r="AW974" t="n">
        <v>16</v>
      </c>
      <c r="AX974" t="n">
        <v>24</v>
      </c>
      <c r="BE974" t="n">
        <v>5054</v>
      </c>
      <c r="BF974" t="inlineStr">
        <is>
          <t>10.3390/ijerph16245054</t>
        </is>
      </c>
      <c r="BG974">
        <f>HYPERLINK("http://dx.doi.org/10.3390/ijerph16245054","http://dx.doi.org/10.3390/ijerph16245054")</f>
        <v/>
      </c>
      <c r="BJ974" t="n">
        <v>13</v>
      </c>
      <c r="BK974" t="inlineStr">
        <is>
          <t>Environmental Sciences; Public, Environmental &amp; Occupational Health</t>
        </is>
      </c>
      <c r="BL974" t="inlineStr">
        <is>
          <t>Science Citation Index Expanded (SCI-EXPANDED); Social Science Citation Index (SSCI)</t>
        </is>
      </c>
      <c r="BM974" t="inlineStr">
        <is>
          <t>Environmental Sciences &amp; Ecology; Public, Environmental &amp; Occupational Health</t>
        </is>
      </c>
      <c r="BN974" t="inlineStr">
        <is>
          <t>KC6VK</t>
        </is>
      </c>
      <c r="BO974" t="n">
        <v>31835832</v>
      </c>
      <c r="BP974" t="inlineStr">
        <is>
          <t>Green Published, gold</t>
        </is>
      </c>
      <c r="BS974" t="inlineStr">
        <is>
          <t>2023-10-26</t>
        </is>
      </c>
      <c r="BT974" t="inlineStr">
        <is>
          <t>WOS:000507312700171</t>
        </is>
      </c>
      <c r="BU974">
        <f>HYPERLINK("https%3A%2F%2Fwww.webofscience.com%2Fwos%2Fwoscc%2Ffull-record%2FWOS:000507312700171","View Full Record in Web of Science")</f>
        <v/>
      </c>
    </row>
    <row r="975">
      <c r="A975" t="inlineStr">
        <is>
          <t>J</t>
        </is>
      </c>
      <c r="B975" t="inlineStr">
        <is>
          <t>Dadvand, P; Bartoll, X; Basagaña, X; Dalmau-Bueno, A; Martinez, D; Ambros, A; Cirach, M; Triguero-Mas, M; Gascon, M; Borrell, C; Nieuwenhuijsen, MJ</t>
        </is>
      </c>
      <c r="F975" t="inlineStr">
        <is>
          <t>Dadvand, Payam; Bartoll, Xavier; Basagana, Xavier; Dalmau-Bueno, Albert; Martinez, David; Ambros, Albert; Cirach, Marta; Triguero-Mas, Margarita; Gascon, Mireia; Borrell, Carme; Nieuwenhuijsen, Mark J.</t>
        </is>
      </c>
      <c r="J975" t="inlineStr">
        <is>
          <t>ENVIRONMENT INTERNATIONAL</t>
        </is>
      </c>
      <c r="M975" t="inlineStr">
        <is>
          <t>English</t>
        </is>
      </c>
      <c r="N975" t="inlineStr">
        <is>
          <t>Article</t>
        </is>
      </c>
      <c r="T975" t="inlineStr">
        <is>
          <t>Green spaces and General Health: Roles of mental health status, social support, and physical activity</t>
        </is>
      </c>
      <c r="U975" t="inlineStr">
        <is>
          <t>Natural environment; Ecosystem services; Mental health; Wellbeing; Built environment; Park</t>
        </is>
      </c>
      <c r="V975" t="inlineStr">
        <is>
          <t>SURROUNDING GREENNESS; ACTIVITY QUESTIONNAIRE; SPANISH POPULATION; POSSIBLE MECHANISM; BIRTH COHORTS; RELIABILITY; VALIDITY; ENVIRONMENTS; PREGNANCY; EXPOSURE</t>
        </is>
      </c>
      <c r="W975" t="inlineStr">
        <is>
          <t>Green spaces are associated with improved health, but little is known about mechanisms underlying such association. We aimed to assess the association between greenness exposure and subjective general health (SGH) and to evaluate mental health status, social support, and physical activity as mediators of this association. This cross-sectional study was based on a population-based sample of 3461 adults residing in Barcelona, Spain (2011). We characterized outcome and mediators using the Health Survey of Barcelona. Objective and subjective residential proximity to green spaces and residential surrounding greenness were used to characterize greenness exposure. We followed Baron and Kenny's framework to establish the mediation roles and we further quantified the relative contribution of each mediator. Residential surrounding greenness and subjective residential proximity to green spaces were associated with better SGH. We found indications for mediation of these associations by mental health status, perceived social support, and to less extent, by physical activity. These mediators altogether could explain about half of the surrounding greenness association and one-third of the association for subjective proximity to green spaces. We observed indications that mental health and perceived social support might be more relevant for men and those younger than 65 years. The results for objective residential proximity to green spaces were not conclusive. In conclusion, our observed association between SGH and greenness exposure was mediated, in part, by mental health status, enhanced social support, and physical activity. There might be age and sex variations in these mediation roles. (C) 2016 Elsevier Ltd. All rights reserved.</t>
        </is>
      </c>
      <c r="X975" t="inlineStr">
        <is>
          <t>[Dadvand, Payam; Basagana, Xavier; Dalmau-Bueno, Albert; Martinez, David; Ambros, Albert; Cirach, Marta; Triguero-Mas, Margarita; Gascon, Mireia; Nieuwenhuijsen, Mark J.] Ctr Res Environm Epidemiol CREAL, Barcelona, Spain; [Dadvand, Payam; Basagana, Xavier; Dalmau-Bueno, Albert; Martinez, David; Ambros, Albert; Cirach, Marta; Triguero-Mas, Margarita; Gascon, Mireia; Borrell, Carme; Nieuwenhuijsen, Mark J.] Univ Pompeu Fabra UPF, Barcelona, Spain; [Dadvand, Payam; Basagana, Xavier; Dalmau-Bueno, Albert; Martinez, David; Ambros, Albert; Cirach, Marta; Triguero-Mas, Margarita; Gascon, Mireia; Borrell, Carme; Nieuwenhuijsen, Mark J.] CIBER Epidemiol &amp; Salud Publ CIBERESP, Madrid, Spain; [Bartoll, Xavier; Borrell, Carme] Agencia Salut Publ Barcelona, Barcelona, Spain; [Bartoll, Xavier; Borrell, Carme] Inst Recerca Biomed St Pau IIB St Pau, Barcelona, Spain; [Gascon, Mireia] Univ Barcelona, Hosp Clin, ISGlobal, Barcelona Ctr Int Hlth Res CRESIB, Barcelona, Spain</t>
        </is>
      </c>
      <c r="Y975" t="inlineStr">
        <is>
          <t>Pompeu Fabra University; Pompeu Fabra University; CIBER - Centro de Investigacion Biomedica en Red; CIBERESP; Public Health Agency of Barcelona; ISGlobal; CRESIB; University of Barcelona; Hospital Clinic de Barcelona</t>
        </is>
      </c>
      <c r="Z975" t="inlineStr">
        <is>
          <t>Dadvand, P (corresponding author), CREAL, Doctor Aiguader 88, Barcelona 08003, Spain.</t>
        </is>
      </c>
      <c r="AA975" t="inlineStr">
        <is>
          <t>pdadvand@creal.cat</t>
        </is>
      </c>
      <c r="AB975" t="inlineStr">
        <is>
          <t>Basagaña, Xavier/C-3901-2017; Nieuwenhuijsen, Mark J/C-3914-2017; Triguero Mas, Margarita/AAA-9148-2020; Dalmau Bueno, Albert/AAG-6970-2022; Dadvand, Payam/O-8053-2018; Dalmau Bueno, Albert/AFL-6865-2022; Gascon, Mireia/G-1275-2016; martinez, david/GQI-0849-2022</t>
        </is>
      </c>
      <c r="AC975" t="inlineStr">
        <is>
          <t>Basagaña, Xavier/0000-0002-8457-1489; Nieuwenhuijsen, Mark J/0000-0001-9461-7981; Triguero Mas, Margarita/0000-0002-1580-2693; Dadvand, Payam/0000-0002-2325-1027; Gascon, Mireia/0000-0003-4537-8472; Ambros, Albert/0000-0002-7968-1747; Martinez, David/0000-0001-7001-7674; Borrell, Carme/0000-0002-1170-2505</t>
        </is>
      </c>
      <c r="AD975" t="inlineStr">
        <is>
          <t>European Commission Seventh Framework Programme [282996]; Ramon y Cajal fellowship - Spanish Ministry of Economy and Finance [RYC-2012-10995]; Catalan Government (AGAUR FI-DGR)</t>
        </is>
      </c>
      <c r="AE975" t="inlineStr">
        <is>
          <t>European Commission Seventh Framework Programme(European Union (EU)European Commission Joint Research Centre); Ramon y Cajal fellowship - Spanish Ministry of Economy and Finance(Spanish Government); Catalan Government (AGAUR FI-DGR)</t>
        </is>
      </c>
      <c r="AF975" t="inlineStr">
        <is>
          <t>This study was conducted as part of PHENOTYPE project (Positive Health Effects of the Natural Outdoor Environment in Typical Populations in Different Regions in Europe) (www.phenotype.eu) funded by the European Commission Seventh Framework Programme (Grant No. 282996). Payam Dadvand is funded by a Ramon y Cajal fellowship (RYC-2012-10995) awarded by the Spanish Ministry of Economy and Finance. Margarita Triguero-Mas is funded by a pre-doctoral grant from the Catalan Government (AGAUR FI-DGR-2013).</t>
        </is>
      </c>
      <c r="AH975" t="n">
        <v>36</v>
      </c>
      <c r="AI975" t="n">
        <v>305</v>
      </c>
      <c r="AJ975" t="n">
        <v>316</v>
      </c>
      <c r="AK975" t="n">
        <v>47</v>
      </c>
      <c r="AL975" t="n">
        <v>375</v>
      </c>
      <c r="AM975" t="inlineStr">
        <is>
          <t>PERGAMON-ELSEVIER SCIENCE LTD</t>
        </is>
      </c>
      <c r="AN975" t="inlineStr">
        <is>
          <t>OXFORD</t>
        </is>
      </c>
      <c r="AO975" t="inlineStr">
        <is>
          <t>THE BOULEVARD, LANGFORD LANE, KIDLINGTON, OXFORD OX5 1GB, ENGLAND</t>
        </is>
      </c>
      <c r="AP975" t="inlineStr">
        <is>
          <t>0160-4120</t>
        </is>
      </c>
      <c r="AQ975" t="inlineStr">
        <is>
          <t>1873-6750</t>
        </is>
      </c>
      <c r="AS975" t="inlineStr">
        <is>
          <t>ENVIRON INT</t>
        </is>
      </c>
      <c r="AT975" t="inlineStr">
        <is>
          <t>Environ. Int.</t>
        </is>
      </c>
      <c r="AU975" t="inlineStr">
        <is>
          <t>MAY</t>
        </is>
      </c>
      <c r="AV975" t="n">
        <v>2016</v>
      </c>
      <c r="AW975" t="n">
        <v>91</v>
      </c>
      <c r="BC975" t="n">
        <v>161</v>
      </c>
      <c r="BD975" t="n">
        <v>167</v>
      </c>
      <c r="BF975" t="inlineStr">
        <is>
          <t>10.1016/j.envint.2016.02.029</t>
        </is>
      </c>
      <c r="BG975">
        <f>HYPERLINK("http://dx.doi.org/10.1016/j.envint.2016.02.029","http://dx.doi.org/10.1016/j.envint.2016.02.029")</f>
        <v/>
      </c>
      <c r="BJ975" t="n">
        <v>7</v>
      </c>
      <c r="BK975" t="inlineStr">
        <is>
          <t>Environmental Sciences</t>
        </is>
      </c>
      <c r="BL975" t="inlineStr">
        <is>
          <t>Science Citation Index Expanded (SCI-EXPANDED); Social Science Citation Index (SSCI)</t>
        </is>
      </c>
      <c r="BM975" t="inlineStr">
        <is>
          <t>Environmental Sciences &amp; Ecology</t>
        </is>
      </c>
      <c r="BN975" t="inlineStr">
        <is>
          <t>DL4TQ</t>
        </is>
      </c>
      <c r="BO975" t="n">
        <v>26949869</v>
      </c>
      <c r="BP975" t="inlineStr">
        <is>
          <t>Green Accepted</t>
        </is>
      </c>
      <c r="BS975" t="inlineStr">
        <is>
          <t>2023-10-26</t>
        </is>
      </c>
      <c r="BT975" t="inlineStr">
        <is>
          <t>WOS:000375630500016</t>
        </is>
      </c>
      <c r="BU975">
        <f>HYPERLINK("https%3A%2F%2Fwww.webofscience.com%2Fwos%2Fwoscc%2Ffull-record%2FWOS:000375630500016","View Full Record in Web of Science")</f>
        <v/>
      </c>
    </row>
    <row r="976">
      <c r="A976" t="inlineStr">
        <is>
          <t>J</t>
        </is>
      </c>
      <c r="B976" t="inlineStr">
        <is>
          <t>D'Oliveira, A; Dominski, FH; De Souza, LC; Branco, JHL; Matte, DL; da Cruz, WM; Andrade, A</t>
        </is>
      </c>
      <c r="F976" t="inlineStr">
        <is>
          <t>D'Oliveira, Anderson; Dominski, Fabio Hech; De Souza, Loiane Cristina; Branco, Joaquim Henrique Lorenzetti; Matte, Darlan Lauricio; da Cruz, Whyllerton Mayron; Andrade, Alexandro</t>
        </is>
      </c>
      <c r="J976" t="inlineStr">
        <is>
          <t>ENVIRONMENTAL RESEARCH</t>
        </is>
      </c>
      <c r="M976" t="inlineStr">
        <is>
          <t>English</t>
        </is>
      </c>
      <c r="N976" t="inlineStr">
        <is>
          <t>Review</t>
        </is>
      </c>
      <c r="T976" t="inlineStr">
        <is>
          <t>Impact of air pollution on the health of the older adults during physical activity and sedentary behavior: A systematic review</t>
        </is>
      </c>
      <c r="U976" t="inlineStr">
        <is>
          <t>Health; Healthy behavior; Exercise; Air pollutants; Aged</t>
        </is>
      </c>
      <c r="V976" t="inlineStr">
        <is>
          <t>FINE PARTICULATE MATTER; BLOOD-PRESSURE; EXERCISE; QUALITY; DEPRESSION; PEOPLE</t>
        </is>
      </c>
      <c r="W976" t="inlineStr">
        <is>
          <t>Background: Air pollution, in addition to presenting health risks, can impact the practice of physical activity (PA) and sedentary behavior (SB) in older adults. This study analyzed the impact of air pollution on the health of older adults during PA and SB, through a systematic review. Methods: A keyword and reference search was performed in PubMed, SCOPUS, SPORTDiscus, and Web of Science. Predetermined selection criteria included study designs: interventions or experiments, retrospective or prospective cohort studies, cross-sectional studies and case-control studies; population: older adults aged 60 years or older; exposures: specific air pollutants (particulate matter (PM), nitrogen dioxide (NO2), ozone (O3), carbon monoxide (CO), sulfur dioxide (SO2), black carbon (CN), ultrafine particles (PU), nitrogen oxides (NOx) and biomass fuels) indoors and outdoors; and outcomes: physical activity and/or sedentary behavior. Results: The beneficial effects of PA were attenuated or harmed in 11 studies, showing negative impacts on the health of the older adults, mainly by PM2.5 pollutants. On the other hand, in 10 studies the effects of PA were greater than the negative effects of air pollutants, with a greater frequency in relation to PM2.5. In general, even the articles presenting controversial results suggest that practicing PA in polluted environments is more favorable to the health of older adults than remaining in SB. Discussion and conclusions: On the one hand, air pollution negatively impacted the health of the older adults during PA practices, while on the other hand, PA can mitigate the negative effects of pollutants on the health of older adults during the practices. Evidence shows that practicing PA in environments with low concentrations of pollutants can provide gains and reduce health risks. Remaining in SB in environments with high levels of air pollution worsens the health of older adults.</t>
        </is>
      </c>
      <c r="X976" t="inlineStr">
        <is>
          <t>[D'Oliveira, Anderson; De Souza, Loiane Cristina; Branco, Joaquim Henrique Lorenzetti; da Cruz, Whyllerton Mayron; Andrade, Alexandro] Santa Catarina State Univ, Hlth &amp; Sports Sci Ctr, Dept Phys Educ, BR-88035901 Florianopolis, Brazil; [Matte, Darlan Lauricio] Santa Catarina State Univ, Phys Therapy Grad Program, BR-88080350 Florianopolis, SC, Brazil; [Andrade, Alexandro] Santa Catarina State Univ UDESC, Hlth &amp; Sports Sci Ctr, Dept Phys Educ, Lab Sport &amp; Exercise Psychol Lape,CEFID, Pascoal Simone, 358, BR-88080350 Florianopolis, SC, Brazil</t>
        </is>
      </c>
      <c r="Y976" t="inlineStr">
        <is>
          <t>Universidade do Estado de Santa Catarina; Universidade do Estado de Santa Catarina; Universidade do Estado de Santa Catarina</t>
        </is>
      </c>
      <c r="Z976" t="inlineStr">
        <is>
          <t>Andrade, A (corresponding author), Santa Catarina State Univ UDESC, Hlth &amp; Sports Sci Ctr, Dept Phys Educ, Lab Sport &amp; Exercise Psychol Lape,CEFID, Pascoal Simone, 358, BR-88080350 Florianopolis, SC, Brazil.</t>
        </is>
      </c>
      <c r="AA976" t="inlineStr">
        <is>
          <t>andersondoliveira3@gmail.com; fabiohdominski@hotmail.com; loiane_cristina96@hotmail.com; joaquim.h.branco@hotmail.com; darlan.matte@udesc.br; whmcruz@gmail.com; alexandro.andrade.phd@gmail.com</t>
        </is>
      </c>
      <c r="AB976" t="inlineStr">
        <is>
          <t>de Souza, Loiane Cristina/IQU-7952-2023; Andrade, Alexandro/H-5226-2016; Matte, Darlan Lauricio/F-7200-2014</t>
        </is>
      </c>
      <c r="AC976" t="inlineStr">
        <is>
          <t>de Souza, Loiane Cristina/0000-0001-9890-6481; Andrade, Alexandro/0000-0002-6640-9314; CRUZ, WHYLLERTON/0000-0002-0432-1341; D' OLIVEIRA, ANDERSON/0000-0001-7919-5880; Matte, Darlan Lauricio/0000-0003-4650-3714</t>
        </is>
      </c>
      <c r="AD976" t="inlineStr">
        <is>
          <t>Coordenacao de Aperfeicoamento de Pessoal de Nivel Superior-Brazil (CAPES); FAPESC-Foundation for research and innovation support of the State of Santa Catarina [2019031000035, 027/2020]; National Council for Scientific and Technological Development/CNPq</t>
        </is>
      </c>
      <c r="AE976" t="inlineStr">
        <is>
          <t>Coordenacao de Aperfeicoamento de Pessoal de Nivel Superior-Brazil (CAPES)(Coordenacao de Aperfeicoamento de Pessoal de Nivel Superior (CAPES)); FAPESC-Foundation for research and innovation support of the State of Santa Catarina(Fundacao de Amparo a Pesquisa e Inovacao do Estado de Santa Catarina (FAPESC)); National Council for Scientific and Technological Development/CNPq(Conselho Nacional de Desenvolvimento Cientifico e Tecnologico (CNPQ))</t>
        </is>
      </c>
      <c r="AF976" t="inlineStr">
        <is>
          <t>This research did not receive any specific grant from &amp; nbsp;funding &amp; nbsp;agencies in the public, commercial, or not-for-profit sectors. This work was supported by the Coordenacao de Aperfeicoamento de Pessoal de Nivel Superior-Brazil (CAPES) and FAPESC-Foundation for research and innovation support of the State of Santa Catarina-Grant number 2019031000035 and call number EDITAL DE CHAMADA PUBLICA FAPESC No 027/2020 and National Council for Scientific and Technological Development/CNPq).</t>
        </is>
      </c>
      <c r="AH976" t="n">
        <v>69</v>
      </c>
      <c r="AI976" t="n">
        <v>0</v>
      </c>
      <c r="AJ976" t="n">
        <v>0</v>
      </c>
      <c r="AK976" t="n">
        <v>17</v>
      </c>
      <c r="AL976" t="n">
        <v>17</v>
      </c>
      <c r="AM976" t="inlineStr">
        <is>
          <t>ACADEMIC PRESS INC ELSEVIER SCIENCE</t>
        </is>
      </c>
      <c r="AN976" t="inlineStr">
        <is>
          <t>SAN DIEGO</t>
        </is>
      </c>
      <c r="AO976" t="inlineStr">
        <is>
          <t>525 B ST, STE 1900, SAN DIEGO, CA 92101-4495 USA</t>
        </is>
      </c>
      <c r="AP976" t="inlineStr">
        <is>
          <t>0013-9351</t>
        </is>
      </c>
      <c r="AQ976" t="inlineStr">
        <is>
          <t>1096-0953</t>
        </is>
      </c>
      <c r="AS976" t="inlineStr">
        <is>
          <t>ENVIRON RES</t>
        </is>
      </c>
      <c r="AT976" t="inlineStr">
        <is>
          <t>Environ. Res.</t>
        </is>
      </c>
      <c r="AU976" t="inlineStr">
        <is>
          <t>OCT 1</t>
        </is>
      </c>
      <c r="AV976" t="n">
        <v>2023</v>
      </c>
      <c r="AW976" t="n">
        <v>234</v>
      </c>
      <c r="BE976" t="n">
        <v>116519</v>
      </c>
      <c r="BF976" t="inlineStr">
        <is>
          <t>10.1016/j.envres.2023.116519</t>
        </is>
      </c>
      <c r="BG976">
        <f>HYPERLINK("http://dx.doi.org/10.1016/j.envres.2023.116519","http://dx.doi.org/10.1016/j.envres.2023.116519")</f>
        <v/>
      </c>
      <c r="BJ976" t="n">
        <v>17</v>
      </c>
      <c r="BK976" t="inlineStr">
        <is>
          <t>Environmental Sciences; Public, Environmental &amp; Occupational Health</t>
        </is>
      </c>
      <c r="BL976" t="inlineStr">
        <is>
          <t>Science Citation Index Expanded (SCI-EXPANDED)</t>
        </is>
      </c>
      <c r="BM976" t="inlineStr">
        <is>
          <t>Environmental Sciences &amp; Ecology; Public, Environmental &amp; Occupational Health</t>
        </is>
      </c>
      <c r="BN976" t="inlineStr">
        <is>
          <t>P0KS3</t>
        </is>
      </c>
      <c r="BO976" t="n">
        <v>37392827</v>
      </c>
      <c r="BS976" t="inlineStr">
        <is>
          <t>2023-10-26</t>
        </is>
      </c>
      <c r="BT976" t="inlineStr">
        <is>
          <t>WOS:001047621200001</t>
        </is>
      </c>
      <c r="BU976">
        <f>HYPERLINK("https%3A%2F%2Fwww.webofscience.com%2Fwos%2Fwoscc%2Ffull-record%2FWOS:001047621200001","View Full Record in Web of Science")</f>
        <v/>
      </c>
    </row>
    <row r="977">
      <c r="A977" t="inlineStr">
        <is>
          <t>J</t>
        </is>
      </c>
      <c r="B977" t="inlineStr">
        <is>
          <t>van Gils, Y; Franck, E; Dierckx, E; van Alphen, SPJ; Saunders, JB; Dom, G</t>
        </is>
      </c>
      <c r="F977" t="inlineStr">
        <is>
          <t>van Gils, Yannic; Franck, Erik; Dierckx, Eva; van Alphen, Sebastiaan P. J.; Saunders, John B.; Dom, Geert</t>
        </is>
      </c>
      <c r="J977" t="inlineStr">
        <is>
          <t>INTERNATIONAL JOURNAL OF ENVIRONMENTAL RESEARCH AND PUBLIC HEALTH</t>
        </is>
      </c>
      <c r="M977" t="inlineStr">
        <is>
          <t>English</t>
        </is>
      </c>
      <c r="N977" t="inlineStr">
        <is>
          <t>Article</t>
        </is>
      </c>
      <c r="T977" t="inlineStr">
        <is>
          <t>Validation of the AUDIT and AUDIT-C for Hazardous Drinking in Community-Dwelling Older Adults</t>
        </is>
      </c>
      <c r="U977" t="inlineStr">
        <is>
          <t>older adults; hazardous drinking; AUDIT; AUDIT-C; validity</t>
        </is>
      </c>
      <c r="V977" t="inlineStr">
        <is>
          <t>IDENTIFICATION TEST AUDIT; CHARACTERISTIC ROC CURVE; ALCOHOL-USE DISORDER; MENTAL-HEALTH; HIGH-RISK; CONSUMPTION</t>
        </is>
      </c>
      <c r="W977" t="inlineStr">
        <is>
          <t>Background: One of the best-known tools in screening for hazardous drinking is the Alcohol Use Disorders Identification Test (AUDIT) and its abbreviated form, the AUDIT-C. The aim of the present study is to determine the cut-offs of both instruments in identifying hazardous drinking in older adults. Method: A sample of 1577 older adults completed a questionnaire regarding alcohol behavior. Hazardous drinking was defined as drinking &gt;10 units/week. Receiver operating characteristics (ROC) curves of AUDIT and AUDIT-C were calculated and cut-off scores were derived. Results: Respectively 27.3% and 12.3% of older men and women drank &gt;10 units/week. For the AUDIT the best trade-off between sensitivity and specificity was using a cut-off of &gt;= 5 for men and &gt;= 4 for women, which yielded in men sensitivity and specificity values respectively of 80.7% and 81.3% and in women 100% and 71.7%, respectively. We found the AUDIT-C to perform well with an optimal cut-off of &gt;= 5 for men and &gt;= 4 for women, which generated in men sensitivity and specificity values respectively of 76.5% and 85.3% and in women 100% and 74.1%, respectively. Conclusion: The AUDIT-C is accurate and sufficient in screening for hazardous drinking in community-dwelling older adults if the cut-offs are tailored by gender.</t>
        </is>
      </c>
      <c r="X977" t="inlineStr">
        <is>
          <t>[van Gils, Yannic; Franck, Erik; Dom, Geert] Univ Antwerp, Fac Med &amp; Social Sci, Ctr Res &amp; Innovat Care CRIC, Univ Pl 1, B-2610 Antwerp, Belgium; [van Gils, Yannic; Dierckx, Eva; van Alphen, Sebastiaan P. J.] Vrije Univ Brussel, Fac Psychol &amp; Educ Sci, Pl Laan 2, B-1050 Elsene, Belgium; [Dierckx, Eva] Psychiat Hosp, Alexianen Zorggrp Tienen, Liefdestr 10, B-3300 Tienen, Belgium; [van Alphen, Sebastiaan P. J.] Mondriaan Hosp, Clin Ctr Excellence Personal Disorders Older Adul, JF Kennedylaan 301, NL-6419 XZ Maastricht, Netherlands; [van Alphen, Sebastiaan P. J.] Tilburg Univ, Dept Med &amp; Clin Psychol, Warandelaan 2, NL-5037 AB Tilburg, Netherlands; [Saunders, John B.] Univ Queensland, Natl Ctr Youth Subst Use Res, Brisbane, Qld 4072, Australia; [Dom, Geert] Univ Antwerp, Fac Med &amp; Social Sci, Collaborat Antwerp Psychiat Res Inst CAPRI, Univ Pl 1, B-2610 Antwerp, Belgium</t>
        </is>
      </c>
      <c r="Y977" t="inlineStr">
        <is>
          <t>University of Antwerp; Vrije Universiteit Brussel; Tilburg University; University of Queensland; University of Antwerp</t>
        </is>
      </c>
      <c r="Z977" t="inlineStr">
        <is>
          <t>van Gils, Y (corresponding author), Univ Antwerp, Fac Med &amp; Social Sci, Ctr Res &amp; Innovat Care CRIC, Univ Pl 1, B-2610 Antwerp, Belgium.;van Gils, Y (corresponding author), Vrije Univ Brussel, Fac Psychol &amp; Educ Sci, Pl Laan 2, B-1050 Elsene, Belgium.</t>
        </is>
      </c>
      <c r="AA977" t="inlineStr">
        <is>
          <t>Yannic.vangils@uantwerpen.be; erik.franck@uantwerpen.be; eva.dierckx@vub.be; b.van.alphen@mondriaan.eu; mail@jbsaunders.net; Geert.dom@uantwerpen.be</t>
        </is>
      </c>
      <c r="AB977" t="inlineStr">
        <is>
          <t>Franck, Erik/ABD-5804-2020; Dom, Geert/C-7215-2017</t>
        </is>
      </c>
      <c r="AC977" t="inlineStr">
        <is>
          <t>van Gils, Yannic/0000-0001-7917-4684; Dom, Geert/0000-0001-6492-0429</t>
        </is>
      </c>
      <c r="AH977" t="n">
        <v>40</v>
      </c>
      <c r="AI977" t="n">
        <v>6</v>
      </c>
      <c r="AJ977" t="n">
        <v>6</v>
      </c>
      <c r="AK977" t="n">
        <v>0</v>
      </c>
      <c r="AL977" t="n">
        <v>3</v>
      </c>
      <c r="AM977" t="inlineStr">
        <is>
          <t>MDPI</t>
        </is>
      </c>
      <c r="AN977" t="inlineStr">
        <is>
          <t>BASEL</t>
        </is>
      </c>
      <c r="AO977" t="inlineStr">
        <is>
          <t>ST ALBAN-ANLAGE 66, CH-4052 BASEL, SWITZERLAND</t>
        </is>
      </c>
      <c r="AQ977" t="inlineStr">
        <is>
          <t>1660-4601</t>
        </is>
      </c>
      <c r="AS977" t="inlineStr">
        <is>
          <t>INT J ENV RES PUB HE</t>
        </is>
      </c>
      <c r="AT977" t="inlineStr">
        <is>
          <t>Int. J. Environ. Res. Public Health</t>
        </is>
      </c>
      <c r="AU977" t="inlineStr">
        <is>
          <t>SEP</t>
        </is>
      </c>
      <c r="AV977" t="n">
        <v>2021</v>
      </c>
      <c r="AW977" t="n">
        <v>18</v>
      </c>
      <c r="AX977" t="n">
        <v>17</v>
      </c>
      <c r="BE977" t="n">
        <v>9266</v>
      </c>
      <c r="BF977" t="inlineStr">
        <is>
          <t>10.3390/ijerph18179266</t>
        </is>
      </c>
      <c r="BG977">
        <f>HYPERLINK("http://dx.doi.org/10.3390/ijerph18179266","http://dx.doi.org/10.3390/ijerph18179266")</f>
        <v/>
      </c>
      <c r="BJ977" t="n">
        <v>10</v>
      </c>
      <c r="BK977" t="inlineStr">
        <is>
          <t>Environmental Sciences; Public, Environmental &amp; Occupational Health</t>
        </is>
      </c>
      <c r="BL977" t="inlineStr">
        <is>
          <t>Science Citation Index Expanded (SCI-EXPANDED); Social Science Citation Index (SSCI)</t>
        </is>
      </c>
      <c r="BM977" t="inlineStr">
        <is>
          <t>Environmental Sciences &amp; Ecology; Public, Environmental &amp; Occupational Health</t>
        </is>
      </c>
      <c r="BN977" t="inlineStr">
        <is>
          <t>UP7NA</t>
        </is>
      </c>
      <c r="BO977" t="n">
        <v>34501856</v>
      </c>
      <c r="BP977" t="inlineStr">
        <is>
          <t>Green Published, gold</t>
        </is>
      </c>
      <c r="BS977" t="inlineStr">
        <is>
          <t>2023-10-26</t>
        </is>
      </c>
      <c r="BT977" t="inlineStr">
        <is>
          <t>WOS:000695561800001</t>
        </is>
      </c>
      <c r="BU977">
        <f>HYPERLINK("https%3A%2F%2Fwww.webofscience.com%2Fwos%2Fwoscc%2Ffull-record%2FWOS:000695561800001","View Full Record in Web of Science")</f>
        <v/>
      </c>
    </row>
    <row r="978">
      <c r="A978" t="inlineStr">
        <is>
          <t>J</t>
        </is>
      </c>
      <c r="B978" t="inlineStr">
        <is>
          <t>Bazargan, M; Smith, JL; Cobb, S; Barkley, L; Wisseh, C; Ngula, E; Thomas, RJ; Assari, S</t>
        </is>
      </c>
      <c r="F978" t="inlineStr">
        <is>
          <t>Bazargan, Mohsen; Smith, James L.; Cobb, Sharon; Barkley, Lisa; Wisseh, Cheryl; Ngula, Emma; Thomas, Ricky J.; Assari, Shervin</t>
        </is>
      </c>
      <c r="J978" t="inlineStr">
        <is>
          <t>INTERNATIONAL JOURNAL OF ENVIRONMENTAL RESEARCH AND PUBLIC HEALTH</t>
        </is>
      </c>
      <c r="M978" t="inlineStr">
        <is>
          <t>English</t>
        </is>
      </c>
      <c r="N978" t="inlineStr">
        <is>
          <t>Article</t>
        </is>
      </c>
      <c r="T978" t="inlineStr">
        <is>
          <t>Emergency Department Utilization among Underserved African American Older Adults in South Los Angeles</t>
        </is>
      </c>
      <c r="U978" t="inlineStr">
        <is>
          <t>emergency department utilization; African Americans; older adults</t>
        </is>
      </c>
      <c r="V978" t="inlineStr">
        <is>
          <t>HEALTH COVERAGE SYSTEM; LENGTH-OF-STAY; BEHAVIORAL-MODEL; CASE-MANAGEMENT; ETHNIC DISPARITIES; PRIMARY-CARE; ELDERLY-PATIENTS; UNITED-STATES; CHEST-PAIN; VISITS</t>
        </is>
      </c>
      <c r="W978" t="inlineStr">
        <is>
          <t>Objectives: Using the Andersen's Behavioral Model of Health Services Use, we explored social, behavioral, and health factors that are associated with emergency department (ED) utilization among underserved African American (AA) older adults in one of the most economically disadvantaged urban areas in South Los Angeles, California. Methods: This cross-sectional study recruited a convenience sample of 609 non-institutionalized AA older adults (age 65 years) from South Los Angeles, California. Participants were interviewed for demographic factors, self-rated health, chronic medication conditions (CMCs), pain, depressive symptoms, access to care, and continuity of care. Outcomes included 1 or 2+ ED visits in the last 12 months. Polynomial regression was used for data analysis. Results: Almost 41% of participants were treated at an ED during the last 12 months. In all, 27% of participants attended an ED once and 14% two or more times. Half of those with 6+ chronic conditions reported being treated at an ED once; one quarter at least twice. Factors that predicted no ED visit were male gender (OR = 0.50, 95% CI = 0.29-0.85), higher continuity of medical care (OR = 1.55, 95% CI = 1.04-2.31), individuals with two CMCs or less (OR = 2.61 (1.03-6.59), second tertile of pain severity (OR = 2.80, 95% CI = 1.36-5.73). Factors that predicted only one ED visit were male gender (OR = 0.45, 95% CI = 0.25-0.82), higher continuity of medical care (OR = 1.39, 95% CI = 1.01-2.15) and second tertile of pain severity (OR = 2.42, 95% CI = 1.13-5.19). Conclusions: This study documented that a lack of continuity of care for individuals with multiple chronic conditions leads to a higher rate of ED presentations. The results are significant given that ED visits may contribute to health disparities among AA older adults. Future research should examine whether case management decreases ED utilization among underserved AA older adults with multiple chronic conditions and/or severe pain. To explore the generalizability of these findings, the study should be repeated in other settings.</t>
        </is>
      </c>
      <c r="X978" t="inlineStr">
        <is>
          <t>[Bazargan, Mohsen; Cobb, Sharon; Barkley, Lisa; Assari, Shervin] Charles R Drew Univ Med &amp; Sci CDU, Dept Family Med, Los Angeles, CA 90059 USA; [Bazargan, Mohsen; Smith, James L.] Univ Calif Los Angeles, Dept Family Med, Los Angeles, CA 90095 USA; [Cobb, Sharon] Charles R Drew Univ Med &amp; Sci, Sch Nursing, Los Angeles, CA 90095 USA; [Wisseh, Cheryl] West Coast Univ, Dept Pharm Practice, Los Angeles, CA 90004 USA; [Ngula, Emma] Charles R Drew Univ Med &amp; Sci, Dept Publ Hlth, Los Angeles, CA 90095 USA; [Thomas, Ricky J.] Univ Calif Davis, UC Davis Med Ctr, Dept Emergency Med, Sacramento, CA 95817 USA</t>
        </is>
      </c>
      <c r="Y978" t="inlineStr">
        <is>
          <t>Charles R. Drew University of Medicine &amp; Science; University of California System; University of California Los Angeles; Charles R. Drew University of Medicine &amp; Science; Charles R. Drew University of Medicine &amp; Science; Los Angeles County Department of Public Health; University of California System; University of California Davis</t>
        </is>
      </c>
      <c r="Z978" t="inlineStr">
        <is>
          <t>Assari, S (corresponding author), Charles R Drew Univ Med &amp; Sci CDU, Dept Family Med, Los Angeles, CA 90059 USA.</t>
        </is>
      </c>
      <c r="AA978" t="inlineStr">
        <is>
          <t>mobazarg@cdrewu.edu; jamessmith@cdrewu.edu; sharoncobb@cdrewu.edu; lisabarkley@cdrewu.edu; cWisseh@westcoastuniversity.edu; emmangula@cdrewu.edu; rthomasmd18@gmail.com; shervinassari@cdrewu.edu</t>
        </is>
      </c>
      <c r="AB978" t="inlineStr">
        <is>
          <t>Assari, Shervin/B-3062-2011; Cobb, Sharon/AAR-7965-2020</t>
        </is>
      </c>
      <c r="AC978" t="inlineStr">
        <is>
          <t>Assari, Shervin/0000-0002-5054-6250; Cobb, Sharon/0000-0002-9378-1357</t>
        </is>
      </c>
      <c r="AD978" t="inlineStr">
        <is>
          <t>Center for Medicare and Medicaid Services (CMS) grant [1H0CMS331621]; NIH [4MD008149, R25 MD007610, 2U54MD007598, U54 TR001627]; Clinical Research Education and Career Development (CRECD), II grant, NIH-NIMHD [5R25 MD007610]; CMC grant [1H0CMS331621]; National Institute on Drug Abuse (NIDA) [DA035811-05]; National Institute on Minority Health and Health Disparities (NIMHD) [4P60MD006923-05]; National Institute of Child Health and Human Development (NICHD) [D084526-03]; National Cancer Institute (NCI) [CA201415-02]</t>
        </is>
      </c>
      <c r="AE978" t="inlineStr">
        <is>
          <t>Center for Medicare and Medicaid Services (CMS) grant; NIH(United States Department of Health &amp; Human ServicesNational Institutes of Health (NIH) - USA); Clinical Research Education and Career Development (CRECD), II grant, NIH-NIMHD; CMC grant; National Institute on Drug Abuse (NIDA)(United States Department of Health &amp; Human ServicesNational Institutes of Health (NIH) - USANIH National Institute on Drug Abuse (NIDA)); National Institute on Minority Health and Health Disparities (NIMHD)(United States Department of Health &amp; Human ServicesNational Institutes of Health (NIH) - USANIH National Institute on Minority Health &amp; Health Disparities (NIMHD)); National Institute of Child Health and Human Development (NICHD)(United States Department of Health &amp; Human ServicesNational Institutes of Health (NIH) - USANIH Eunice Kennedy Shriver National Institute of Child Health &amp; Human Development (NICHD)); National Cancer Institute (NCI)(United States Department of Health &amp; Human ServicesNational Institutes of Health (NIH) - USANIH National Cancer Institute (NCI))</t>
        </is>
      </c>
      <c r="AF978" t="inlineStr">
        <is>
          <t>This study was supported by the Center for Medicare and Medicaid Services (CMS) grant 1H0CMS331621 to Charles R. Drew University of Medicine and Science (PI: M. Bazargan). Additionally, Dr. Bazargan is supported by the NIH under award #4MD008149 and R25 MD007610 (PI: M. Bazargan), 2U54MD007598 (PI: J. Vadgama), and U54 TR001627 (PIs: S. Dubinett, and R. Jenders). Dr. Sharon Cobb, Lisa Barkley, and Cheryl Wisseh are scholars supported by the Clinical Research Education and Career Development (CRECD), II grant 5R25 MD007610, NIH-NIMHD. Shervin Assari is partly supported by the CMC grant 1H0CMS331621 (PI: M. Bazargan), National Institute on Drug Abuse (NIDA) grant DA035811-05 (PI = M. Zimmerman), National Institute on Minority Health and Health Disparities (NIMHD) grant 4P60MD006923-05 (PI = V. Mays), the National Institute of Child Health and Human Development (NICHD) grant D084526-03, and the National Cancer Institute (NCI) grant CA201415-02 (Co-PI = R. Mistry).</t>
        </is>
      </c>
      <c r="AH978" t="n">
        <v>79</v>
      </c>
      <c r="AI978" t="n">
        <v>12</v>
      </c>
      <c r="AJ978" t="n">
        <v>12</v>
      </c>
      <c r="AK978" t="n">
        <v>0</v>
      </c>
      <c r="AL978" t="n">
        <v>4</v>
      </c>
      <c r="AM978" t="inlineStr">
        <is>
          <t>MDPI</t>
        </is>
      </c>
      <c r="AN978" t="inlineStr">
        <is>
          <t>BASEL</t>
        </is>
      </c>
      <c r="AO978" t="inlineStr">
        <is>
          <t>ST ALBAN-ANLAGE 66, CH-4052 BASEL, SWITZERLAND</t>
        </is>
      </c>
      <c r="AP978" t="inlineStr">
        <is>
          <t>1661-7827</t>
        </is>
      </c>
      <c r="AQ978" t="inlineStr">
        <is>
          <t>1660-4601</t>
        </is>
      </c>
      <c r="AS978" t="inlineStr">
        <is>
          <t>INT J ENV RES PUB HE</t>
        </is>
      </c>
      <c r="AT978" t="inlineStr">
        <is>
          <t>Int. J. Environ. Res. Public Health</t>
        </is>
      </c>
      <c r="AU978" t="inlineStr">
        <is>
          <t>APR 1</t>
        </is>
      </c>
      <c r="AV978" t="n">
        <v>2019</v>
      </c>
      <c r="AW978" t="n">
        <v>16</v>
      </c>
      <c r="AX978" t="n">
        <v>7</v>
      </c>
      <c r="BE978" t="n">
        <v>1175</v>
      </c>
      <c r="BF978" t="inlineStr">
        <is>
          <t>10.3390/ijerph16071175</t>
        </is>
      </c>
      <c r="BG978">
        <f>HYPERLINK("http://dx.doi.org/10.3390/ijerph16071175","http://dx.doi.org/10.3390/ijerph16071175")</f>
        <v/>
      </c>
      <c r="BJ978" t="n">
        <v>16</v>
      </c>
      <c r="BK978" t="inlineStr">
        <is>
          <t>Environmental Sciences; Public, Environmental &amp; Occupational Health</t>
        </is>
      </c>
      <c r="BL978" t="inlineStr">
        <is>
          <t>Science Citation Index Expanded (SCI-EXPANDED); Social Science Citation Index (SSCI)</t>
        </is>
      </c>
      <c r="BM978" t="inlineStr">
        <is>
          <t>Environmental Sciences &amp; Ecology; Public, Environmental &amp; Occupational Health</t>
        </is>
      </c>
      <c r="BN978" t="inlineStr">
        <is>
          <t>HU9EF</t>
        </is>
      </c>
      <c r="BO978" t="n">
        <v>30986915</v>
      </c>
      <c r="BP978" t="inlineStr">
        <is>
          <t>gold, Green Submitted, Green Published</t>
        </is>
      </c>
      <c r="BS978" t="inlineStr">
        <is>
          <t>2023-10-26</t>
        </is>
      </c>
      <c r="BT978" t="inlineStr">
        <is>
          <t>WOS:000465595800088</t>
        </is>
      </c>
      <c r="BU978">
        <f>HYPERLINK("https%3A%2F%2Fwww.webofscience.com%2Fwos%2Fwoscc%2Ffull-record%2FWOS:000465595800088","View Full Record in Web of Science")</f>
        <v/>
      </c>
    </row>
    <row r="979">
      <c r="A979" t="inlineStr">
        <is>
          <t>J</t>
        </is>
      </c>
      <c r="B979" t="inlineStr">
        <is>
          <t>Rajagopalan, N; Brancart, S; De Regel, S; Paduart, A; Temmerman, ND; Debacker, W</t>
        </is>
      </c>
      <c r="F979" t="inlineStr">
        <is>
          <t>Rajagopalan, Neethi; Brancart, Stijn; De Regel, Sofie; Paduart, Anne; Temmerman, Niels De; Debacker, Wim</t>
        </is>
      </c>
      <c r="J979" t="inlineStr">
        <is>
          <t>SUSTAINABILITY</t>
        </is>
      </c>
      <c r="M979" t="inlineStr">
        <is>
          <t>English</t>
        </is>
      </c>
      <c r="N979" t="inlineStr">
        <is>
          <t>Article</t>
        </is>
      </c>
      <c r="T979" t="inlineStr">
        <is>
          <t>Multi-Criteria Decision Analysis Using Life Cycle Assessment and Life Cycle Costing in Circular Building Design: A Case Study for Wall Partitioning Systems in the Circular Retrofit Lab</t>
        </is>
      </c>
      <c r="U979" t="inlineStr">
        <is>
          <t>circular building design; reversibility; multi-criteria decision analysis; LCA; LCC; circular retrofit lab; decision-making; PEF; cumulative graphs</t>
        </is>
      </c>
      <c r="W979" t="inlineStr">
        <is>
          <t>The Circular Economy (CE) paradigm has been gaining momentum. However, the tools and methods used to design, measure and implement circularity are not immediately suitable for decision making and practice by key stakeholders. This article details a qualitative and a quantitative method to evaluate characteristics such as circularity, adaptability and reuse of building elements amongst others in order to provide decision-makers, such as building clients, architects, investors and policy makers, an objective way to assess the benefits and constraints of circular buildings and elements. The study implements the method in the case study, the Circular Retrofit Lab in Belgium, and uses a multi-criteria decision approach to evaluate qualitative parameters and life cycle assessment and life cycle costing to quantitatively evaluate the circular solutions proposed in this study. As such, the paper shows how a multi-criteria decision approach can be applied to evaluate circular building solutions in the context of practical architectural projects, in this case assessing the suitability of three interior wall systems for applications with different turnover rates. The study shows that the overall performance of the evaluated wall systems varies largely from one expected user scenario to the other.</t>
        </is>
      </c>
      <c r="X979" t="inlineStr">
        <is>
          <t>[Rajagopalan, Neethi; De Regel, Sofie] Flemish Inst Tech Res VITO, Smart Energy &amp; Built Environm, Boeretang 200, B-2400 Mol, Belgium; [Rajagopalan, Neethi; De Regel, Sofie] Energyville, Thor Pk 831, B-3600 Genk, Belgium; [Brancart, Stijn; Temmerman, Niels De] Vrije Univ Brussel, VUB Architectural Engn, Pleinlaan 2, B-1050 Brussels, Belgium; [Paduart, Anne] Tour &amp; Taxis, Brussels Environm, Ave Port 86C-3000, B-1000 Brussels, Belgium; [Debacker, Wim] Flemish Inst Tech Res VITO, Vito Transit Platform, Boeretang 200, B-2400 Mol, Belgium</t>
        </is>
      </c>
      <c r="Y979" t="inlineStr">
        <is>
          <t>VITO; Vrije Universiteit Brussel; VITO</t>
        </is>
      </c>
      <c r="Z979" t="inlineStr">
        <is>
          <t>Rajagopalan, N (corresponding author), Flemish Inst Tech Res VITO, Smart Energy &amp; Built Environm, Boeretang 200, B-2400 Mol, Belgium.;Rajagopalan, N (corresponding author), Energyville, Thor Pk 831, B-3600 Genk, Belgium.</t>
        </is>
      </c>
      <c r="AA979" t="inlineStr">
        <is>
          <t>neethi.rajagopalan@vito.be; stijn.brancart@vub.be; sofie.deregel@vito.be; apaduart@leefmilieu.brussels; niels.de.temmerman@vub.be; wim.debacker@vito.be</t>
        </is>
      </c>
      <c r="AB979" t="inlineStr">
        <is>
          <t>Brancart, Stijn/P-8625-2019</t>
        </is>
      </c>
      <c r="AC979" t="inlineStr">
        <is>
          <t>Brancart, Stijn/0000-0002-0208-9980; De Temmerman, Niels/0000-0002-7382-3310</t>
        </is>
      </c>
      <c r="AD979" t="inlineStr">
        <is>
          <t>European Union's Horizon 2020 research and innovation program [642384]; H2020 Societal Challenges Programme [642384] Funding Source: H2020 Societal Challenges Programme</t>
        </is>
      </c>
      <c r="AE979" t="inlineStr">
        <is>
          <t>European Union's Horizon 2020 research and innovation program; H2020 Societal Challenges Programme(Horizon 2020)</t>
        </is>
      </c>
      <c r="AF979" t="inlineStr">
        <is>
          <t>This research is part of the BAMB project. The BAMB project has received funding from the European Union's Horizon 2020 research and innovation program under grant agreement No. 642384.</t>
        </is>
      </c>
      <c r="AH979" t="n">
        <v>42</v>
      </c>
      <c r="AI979" t="n">
        <v>11</v>
      </c>
      <c r="AJ979" t="n">
        <v>11</v>
      </c>
      <c r="AK979" t="n">
        <v>5</v>
      </c>
      <c r="AL979" t="n">
        <v>18</v>
      </c>
      <c r="AM979" t="inlineStr">
        <is>
          <t>MDPI</t>
        </is>
      </c>
      <c r="AN979" t="inlineStr">
        <is>
          <t>BASEL</t>
        </is>
      </c>
      <c r="AO979" t="inlineStr">
        <is>
          <t>ST ALBAN-ANLAGE 66, CH-4052 BASEL, SWITZERLAND</t>
        </is>
      </c>
      <c r="AQ979" t="inlineStr">
        <is>
          <t>2071-1050</t>
        </is>
      </c>
      <c r="AS979" t="inlineStr">
        <is>
          <t>SUSTAINABILITY-BASEL</t>
        </is>
      </c>
      <c r="AT979" t="inlineStr">
        <is>
          <t>Sustainability</t>
        </is>
      </c>
      <c r="AU979" t="inlineStr">
        <is>
          <t>MAY</t>
        </is>
      </c>
      <c r="AV979" t="n">
        <v>2021</v>
      </c>
      <c r="AW979" t="n">
        <v>13</v>
      </c>
      <c r="AX979" t="n">
        <v>9</v>
      </c>
      <c r="BE979" t="n">
        <v>5124</v>
      </c>
      <c r="BF979" t="inlineStr">
        <is>
          <t>10.3390/su13095124</t>
        </is>
      </c>
      <c r="BG979">
        <f>HYPERLINK("http://dx.doi.org/10.3390/su13095124","http://dx.doi.org/10.3390/su13095124")</f>
        <v/>
      </c>
      <c r="BJ979" t="n">
        <v>22</v>
      </c>
      <c r="BK979" t="inlineStr">
        <is>
          <t>Green &amp; Sustainable Science &amp; Technology; Environmental Sciences; Environmental Studies</t>
        </is>
      </c>
      <c r="BL979" t="inlineStr">
        <is>
          <t>Science Citation Index Expanded (SCI-EXPANDED); Social Science Citation Index (SSCI)</t>
        </is>
      </c>
      <c r="BM979" t="inlineStr">
        <is>
          <t>Science &amp; Technology - Other Topics; Environmental Sciences &amp; Ecology</t>
        </is>
      </c>
      <c r="BN979" t="inlineStr">
        <is>
          <t>SC8OH</t>
        </is>
      </c>
      <c r="BP979" t="inlineStr">
        <is>
          <t>Green Published</t>
        </is>
      </c>
      <c r="BS979" t="inlineStr">
        <is>
          <t>2023-10-26</t>
        </is>
      </c>
      <c r="BT979" t="inlineStr">
        <is>
          <t>WOS:000650922500001</t>
        </is>
      </c>
      <c r="BU979">
        <f>HYPERLINK("https%3A%2F%2Fwww.webofscience.com%2Fwos%2Fwoscc%2Ffull-record%2FWOS:000650922500001","View Full Record in Web of Science")</f>
        <v/>
      </c>
    </row>
    <row r="980">
      <c r="A980" t="inlineStr">
        <is>
          <t>J</t>
        </is>
      </c>
      <c r="B980" t="inlineStr">
        <is>
          <t>Liu, L; Wu, Q; Li, XX; Song, R; Wei, N; Liu, JT; Yuan, JJ; Yan, SS; Sun, XN; Liang, YF; Li, YX; Jin, XY; Wu, YD; Mei, L; Song, J; Yi, WZ; Pan, RB; Cheng, J; Su, H</t>
        </is>
      </c>
      <c r="F980" t="inlineStr">
        <is>
          <t>Liu, Li; Wu, Qing; Li, Xuanxuan; Song, Rong; Wei, Ning; Liu, Jintao; Yuan, Jiajun; Yan, Shuangshuang; Sun, Xiaoni; Liang, Yunfeng; Li, Yuxuan; Jin, Xiaoyu; Wu, Yudong; Mei, Lu; Song, Jian; Yi, Weizhuo; Pan, Rubing; Cheng, Jian; Su, Hong</t>
        </is>
      </c>
      <c r="J980" t="inlineStr">
        <is>
          <t>SCIENCE OF THE TOTAL ENVIRONMENT</t>
        </is>
      </c>
      <c r="M980" t="inlineStr">
        <is>
          <t>English</t>
        </is>
      </c>
      <c r="N980" t="inlineStr">
        <is>
          <t>Article</t>
        </is>
      </c>
      <c r="T980" t="inlineStr">
        <is>
          <t>Sunshine duration and risks of schizophrenia hospitalizations in main urban area: Do built environments modify the association?</t>
        </is>
      </c>
      <c r="U980" t="inlineStr">
        <is>
          <t>Sunshine duration; Schizophrenia; Built environment</t>
        </is>
      </c>
      <c r="V980" t="inlineStr">
        <is>
          <t>VITAMIN-D DEFICIENCY; SEASONAL-VARIATION; AIR-POLLUTION; TERM EXPOSURE; ADMISSIONS; SUNLIGHT; TEMPERATURE; DEPRESSION; BUILDINGS; AUSTRALIA</t>
        </is>
      </c>
      <c r="W980" t="inlineStr">
        <is>
          <t>Background: Although studies have explored the relationship between sunshine duration and schizophrenia, the evi-dence was ambiguous. Different built environments may alter the effect of sunlight on schizophrenia, thus the purpose of this study was to investigate the effects of built environments on the sunshine duration-schizophrenia association. Materials and methods: Daily schizophrenia hospitalizations data during 2017-2020 in Hefei's main urban area, China, and corresponding meteorological factors as well as ambient pollutants were collected. The impact of sunshine duration on schizophrenia admissions in urban areas was investigated using a generalized additive model combined with a distrib-uted lagged nonlinear model. Additionally, the various modifying effects of different Building Density, Building Height, Normalized Vegetation Index, and Nighttime Light were also explored between sunshine duration and schizophrenia. Results: We observed that inadequate sunshine duration (&lt;5.3 h) was associated with an increase in schizophrenia hospital admissions, with a maximum relative risk of 1.382 (95 % confidence interval (CI): 1.069-1.786) at 2.9 h. In turn, adequate sunshine duration reduced the risk of schizophrenia hospitalizations. Subgroup analyses indicated females and old pa-tients were particularly vulnerable. In the case of insufficient sunshine duration, significant positive effects were noticed on schizophrenia risk at High-Building Density and High-Nighttime Light. Higher NDVI as well as Building Height were found to be associated with lower risks of schizophrenia.</t>
        </is>
      </c>
      <c r="X980" t="inlineStr">
        <is>
          <t>[Liu, Li; Li, Xuanxuan; Song, Rong; Wei, Ning; Liu, Jintao; Yuan, Jiajun; Yan, Shuangshuang; Sun, Xiaoni; Liang, Yunfeng; Li, Yuxuan; Jin, Xiaoyu; Wu, Yudong; Mei, Lu; Song, Jian; Yi, Weizhuo; Pan, Rubing; Cheng, Jian; Su, Hong] Anhui Med Univ, Sch Publ Hlth, Dept Epidemiol &amp; Hlth Stat, Hefei 230032, Anhui, Peoples R China; [Liu, Li; Li, Xuanxuan; Song, Rong; Wei, Ning; Liu, Jintao; Yuan, Jiajun; Yan, Shuangshuang; Sun, Xiaoni; Liang, Yunfeng; Li, Yuxuan; Jin, Xiaoyu; Wu, Yudong; Mei, Lu; Song, Jian; Yi, Weizhuo; Pan, Rubing; Cheng, Jian; Su, Hong] Inflammat &amp; Immune Mediated Dis Lab Anhui Prov, Hefei 230032, Anhui, Peoples R China; [Wu, Qing] Anhui Mental Hlth Ctr, Hefei, Anhui, Peoples R China; [Su, Hong] Anhui Med Univ, 81 Meishan Rd, Hefei 230032, Anhui, Peoples R China</t>
        </is>
      </c>
      <c r="Y980" t="inlineStr">
        <is>
          <t>Anhui Medical University; Anhui Medical University</t>
        </is>
      </c>
      <c r="Z980" t="inlineStr">
        <is>
          <t>Su, H (corresponding author), Anhui Med Univ, 81 Meishan Rd, Hefei 230032, Anhui, Peoples R China.</t>
        </is>
      </c>
      <c r="AA980" t="inlineStr">
        <is>
          <t>suhong5151@sina.com</t>
        </is>
      </c>
      <c r="AB980" t="inlineStr">
        <is>
          <t>Zhang, Yunyi/JHS-3626-2023; zhang, xue/JJE-9257-2023; Wang, Chao/JHT-6081-2023; wu, p/JDW-5015-2023; sheng, chen/JEO-8801-2023; zheng, yan/JKJ-3632-2023; li, bo/JJC-2664-2023; chen, chen/JGD-3057-2023; Wang, Jinguo/JED-9233-2023; zhao, lin/JJF-0406-2023; li, yifan/JHU-9272-2023; zhang, xiao/JCN-8822-2023; Pan, Rubing/JAC-2659-2023; yuanyuan, Li/JEZ-6497-2023; peng, yan/JCO-1763-2023; wang, wenjuan/JGD-0428-2023</t>
        </is>
      </c>
      <c r="AD980" t="inlineStr">
        <is>
          <t>National Natural Science Foundation of China [81773518]</t>
        </is>
      </c>
      <c r="AE980" t="inlineStr">
        <is>
          <t>National Natural Science Foundation of China(National Natural Science Foundation of China (NSFC))</t>
        </is>
      </c>
      <c r="AF980" t="inlineStr">
        <is>
          <t>Funding This work was supported by the National Natural Science Foundation of China (grant number: 81773518) .</t>
        </is>
      </c>
      <c r="AH980" t="n">
        <v>63</v>
      </c>
      <c r="AI980" t="n">
        <v>0</v>
      </c>
      <c r="AJ980" t="n">
        <v>0</v>
      </c>
      <c r="AK980" t="n">
        <v>4</v>
      </c>
      <c r="AL980" t="n">
        <v>7</v>
      </c>
      <c r="AM980" t="inlineStr">
        <is>
          <t>ELSEVIER</t>
        </is>
      </c>
      <c r="AN980" t="inlineStr">
        <is>
          <t>AMSTERDAM</t>
        </is>
      </c>
      <c r="AO980" t="inlineStr">
        <is>
          <t>RADARWEG 29, 1043 NX AMSTERDAM, NETHERLANDS</t>
        </is>
      </c>
      <c r="AP980" t="inlineStr">
        <is>
          <t>0048-9697</t>
        </is>
      </c>
      <c r="AQ980" t="inlineStr">
        <is>
          <t>1879-1026</t>
        </is>
      </c>
      <c r="AS980" t="inlineStr">
        <is>
          <t>SCI TOTAL ENVIRON</t>
        </is>
      </c>
      <c r="AT980" t="inlineStr">
        <is>
          <t>Sci. Total Environ.</t>
        </is>
      </c>
      <c r="AU980" t="inlineStr">
        <is>
          <t>MAY 1</t>
        </is>
      </c>
      <c r="AV980" t="n">
        <v>2023</v>
      </c>
      <c r="AW980" t="n">
        <v>871</v>
      </c>
      <c r="BE980" t="n">
        <v>162057</v>
      </c>
      <c r="BF980" t="inlineStr">
        <is>
          <t>10.1016/j.scitotenv.2023.162057</t>
        </is>
      </c>
      <c r="BG980">
        <f>HYPERLINK("http://dx.doi.org/10.1016/j.scitotenv.2023.162057","http://dx.doi.org/10.1016/j.scitotenv.2023.162057")</f>
        <v/>
      </c>
      <c r="BI980" t="inlineStr">
        <is>
          <t>FEB 2023</t>
        </is>
      </c>
      <c r="BJ980" t="n">
        <v>10</v>
      </c>
      <c r="BK980" t="inlineStr">
        <is>
          <t>Environmental Sciences</t>
        </is>
      </c>
      <c r="BL980" t="inlineStr">
        <is>
          <t>Science Citation Index Expanded (SCI-EXPANDED)</t>
        </is>
      </c>
      <c r="BM980" t="inlineStr">
        <is>
          <t>Environmental Sciences &amp; Ecology</t>
        </is>
      </c>
      <c r="BN980" t="inlineStr">
        <is>
          <t>9Y6JH</t>
        </is>
      </c>
      <c r="BO980" t="n">
        <v>36758693</v>
      </c>
      <c r="BS980" t="inlineStr">
        <is>
          <t>2023-10-26</t>
        </is>
      </c>
      <c r="BT980" t="inlineStr">
        <is>
          <t>WOS:000950562600001</t>
        </is>
      </c>
      <c r="BU980">
        <f>HYPERLINK("https%3A%2F%2Fwww.webofscience.com%2Fwos%2Fwoscc%2Ffull-record%2FWOS:000950562600001","View Full Record in Web of Science")</f>
        <v/>
      </c>
    </row>
    <row r="981">
      <c r="A981" t="inlineStr">
        <is>
          <t>J</t>
        </is>
      </c>
      <c r="B981" t="inlineStr">
        <is>
          <t>Ramírez-Amaro, S; Bassitta, M; Picornell, A; Ramon, C; Terrasa, B</t>
        </is>
      </c>
      <c r="F981" t="inlineStr">
        <is>
          <t>Ramirez-Amaro, Sergio; Bassitta, Marta; Picornell, Antonia; Ramon, Cori; Terrasa, Barbara</t>
        </is>
      </c>
      <c r="J981" t="inlineStr">
        <is>
          <t>FRONTIERS IN MARINE SCIENCE</t>
        </is>
      </c>
      <c r="M981" t="inlineStr">
        <is>
          <t>English</t>
        </is>
      </c>
      <c r="N981" t="inlineStr">
        <is>
          <t>Review</t>
        </is>
      </c>
      <c r="T981" t="inlineStr">
        <is>
          <t>Environmental DNA: State-of-the-art of its application for fisheries assessment in marine environments</t>
        </is>
      </c>
      <c r="U981" t="inlineStr">
        <is>
          <t>eDNA; fisheries; experimental design; marine environment; metabarcoding; monitoring; standardization; biodiversity</t>
        </is>
      </c>
      <c r="V981" t="inlineStr">
        <is>
          <t>EXTRACELLULAR DNA; FISH ABUNDANCE; CHRONIC STRESS; ANCIENT DNA; CROSS-LINKS; SURVEY TOOL; EDNA; WATER; BIODIVERSITY; TEMPERATURE</t>
        </is>
      </c>
      <c r="W981" t="inlineStr">
        <is>
          <t>Fisheries management involves a broad and complex set of tasks that are necessary to prevent overfishing and to help the recovery of overfished stock. Monitoring fishing activities based on two main sources, landings data and scientific surveys, is a challenging task. Fisheries collection data is often limited, which compromises the accuracy of the results obtained. Therefore, several emerging applications of molecular methods have the potential to provide unique understanding of ecological processes in marine environments and to build stronger empirical underpinnings for the Ecosystem-Based Fisheries Management. Environmental DNA (eDNA) is a complex mixture of genetic material shed by those organisms that inhabit a given environment, whereby DNA is extracted from an environmental sample without accessing the target organism. eDNA studies can be categorized into two main approaches, i) eDNA metabarcoding or semi-targeted (community) approaches and ii) species-specific or targeted approaches (single). Although both categories are often discussed, they differ drastically in their methodology, interpretations and accuracy. Both approaches involve a series of steps that include eDNA capture, preservation, extraction and amplification. This detection will depend on the affinity to the targeted taxa sequences and completeness and accuracy of DNA reference collection databases. The eDNA method applied in marine environments are probably the most challenging aquatic environments for applying this technique. This is because of the extreme relationship between water-volume to biomass, dynamics and the physical and chemical properties of seawater that affect dispersion, dilution and preservation. Here, we review the present application of this novel method in fishery assessment in marine environments. To date, many studies suggest that this method offers the potential to revolutionize fisheries monitoring, which will contribute to improving the range of tasks involved in fisheries management. The compelling conclusion is that the methodological steps including in eDNA surveys should be standardized and that research efforts should focus on developing appropriately validated tests to address environmental and sampling factors that may affect eDNA detection in marine environments in order to draw reliable conclusions. This bioassessment tool can assist fisheries professionals in achieve their research, management, and conservation objectives, but not as a replacement for time-proven assessment methods.</t>
        </is>
      </c>
      <c r="X981" t="inlineStr">
        <is>
          <t>[Ramirez-Amaro, Sergio; Bassitta, Marta; Picornell, Antonia; Ramon, Cori; Terrasa, Barbara] Univ Illes Balears, Lab Genet, Palma De Mallorca, Spain; [Ramirez-Amaro, Sergio] Inst Espanol Oceanog IEO CSIC, Ctr Oceanog Balears, Palma De Mallorca, Spain</t>
        </is>
      </c>
      <c r="Y981" t="inlineStr">
        <is>
          <t>Universitat de les Illes Balears; Spanish Institute of Oceanography</t>
        </is>
      </c>
      <c r="Z981" t="inlineStr">
        <is>
          <t>Ramírez-Amaro, S (corresponding author), Univ Illes Balears, Lab Genet, Palma De Mallorca, Spain.;Ramírez-Amaro, S (corresponding author), Inst Espanol Oceanog IEO CSIC, Ctr Oceanog Balears, Palma De Mallorca, Spain.</t>
        </is>
      </c>
      <c r="AA981" t="inlineStr">
        <is>
          <t>srgramirez08@gmail.com</t>
        </is>
      </c>
      <c r="AB981" t="inlineStr">
        <is>
          <t>Ramirez-Amaro, Sergio/AAV-2326-2020</t>
        </is>
      </c>
      <c r="AC981" t="inlineStr">
        <is>
          <t>Ramirez-Amaro, Sergio/0000-0002-0298-0749</t>
        </is>
      </c>
      <c r="AD981" t="inlineStr">
        <is>
          <t>European Union; Regional Government of the Balearic Islands; European Social Fund</t>
        </is>
      </c>
      <c r="AE981" t="inlineStr">
        <is>
          <t>European Union(European Union (EU)); Regional Government of the Balearic Islands; European Social Fund(European Social Fund (ESF))</t>
        </is>
      </c>
      <c r="AF981" t="inlineStr">
        <is>
          <t>The information and views set out in this publication are based on scientific data and information collected under Service Contract Improving cost-efficiency of fisheries research surveys and fish stocks assessments using next-generation genetic sequencing methods [EMFF/2018/015] signed with the European Climate, Infrastructure and Environment Executive Agency (CINEA) and funded by the European Union. The information and views set out in this publication are those of the author(s) and do not necessarily reflect the official opinion of CINEA or of the European Commission. Neither CINEA nor the European Commission can guarantee the accuracy of the scientific data/information collected under the above Specific Contract or the data/information included in this publication. Neither CINEA nor the European Commission or any person acting on their behalf may be held responsible for the use which may be made of the information contained therein. SRA (Vicenc Mut Estabilidad) and MB (ForInDoc) were supported by postdoctoral contracts co-funded by the Regional Government of the Balearic Islands and the European Social Fund.</t>
        </is>
      </c>
      <c r="AH981" t="n">
        <v>179</v>
      </c>
      <c r="AI981" t="n">
        <v>6</v>
      </c>
      <c r="AJ981" t="n">
        <v>6</v>
      </c>
      <c r="AK981" t="n">
        <v>12</v>
      </c>
      <c r="AL981" t="n">
        <v>27</v>
      </c>
      <c r="AM981" t="inlineStr">
        <is>
          <t>FRONTIERS MEDIA SA</t>
        </is>
      </c>
      <c r="AN981" t="inlineStr">
        <is>
          <t>LAUSANNE</t>
        </is>
      </c>
      <c r="AO981" t="inlineStr">
        <is>
          <t>AVENUE DU TRIBUNAL FEDERAL 34, LAUSANNE, CH-1015, SWITZERLAND</t>
        </is>
      </c>
      <c r="AQ981" t="inlineStr">
        <is>
          <t>2296-7745</t>
        </is>
      </c>
      <c r="AS981" t="inlineStr">
        <is>
          <t>FRONT MAR SCI</t>
        </is>
      </c>
      <c r="AT981" t="inlineStr">
        <is>
          <t>Front. Mar. Sci.</t>
        </is>
      </c>
      <c r="AU981" t="inlineStr">
        <is>
          <t>DEC 5</t>
        </is>
      </c>
      <c r="AV981" t="n">
        <v>2022</v>
      </c>
      <c r="AW981" t="n">
        <v>9</v>
      </c>
      <c r="BE981" t="n">
        <v>1004674</v>
      </c>
      <c r="BF981" t="inlineStr">
        <is>
          <t>10.3389/fmars.2022.1004674</t>
        </is>
      </c>
      <c r="BG981">
        <f>HYPERLINK("http://dx.doi.org/10.3389/fmars.2022.1004674","http://dx.doi.org/10.3389/fmars.2022.1004674")</f>
        <v/>
      </c>
      <c r="BJ981" t="n">
        <v>21</v>
      </c>
      <c r="BK981" t="inlineStr">
        <is>
          <t>Environmental Sciences; Marine &amp; Freshwater Biology</t>
        </is>
      </c>
      <c r="BL981" t="inlineStr">
        <is>
          <t>Science Citation Index Expanded (SCI-EXPANDED)</t>
        </is>
      </c>
      <c r="BM981" t="inlineStr">
        <is>
          <t>Environmental Sciences &amp; Ecology; Marine &amp; Freshwater Biology</t>
        </is>
      </c>
      <c r="BN981" t="inlineStr">
        <is>
          <t>7C2SF</t>
        </is>
      </c>
      <c r="BP981" t="inlineStr">
        <is>
          <t>gold</t>
        </is>
      </c>
      <c r="BS981" t="inlineStr">
        <is>
          <t>2023-10-26</t>
        </is>
      </c>
      <c r="BT981" t="inlineStr">
        <is>
          <t>WOS:000899667300001</t>
        </is>
      </c>
      <c r="BU981">
        <f>HYPERLINK("https%3A%2F%2Fwww.webofscience.com%2Fwos%2Fwoscc%2Ffull-record%2FWOS:000899667300001","View Full Record in Web of Science")</f>
        <v/>
      </c>
    </row>
    <row r="982">
      <c r="A982" t="inlineStr">
        <is>
          <t>J</t>
        </is>
      </c>
      <c r="B982" t="inlineStr">
        <is>
          <t>Levasseur, ME; Poulin, P; Campagna, C; Leclerc, JM</t>
        </is>
      </c>
      <c r="F982" t="inlineStr">
        <is>
          <t>Levasseur, Marie-Eve; Poulin, Patrick; Campagna, Celine; Leclerc, Jean-Marc</t>
        </is>
      </c>
      <c r="J982" t="inlineStr">
        <is>
          <t>INTERNATIONAL JOURNAL OF ENVIRONMENTAL RESEARCH AND PUBLIC HEALTH</t>
        </is>
      </c>
      <c r="M982" t="inlineStr">
        <is>
          <t>English</t>
        </is>
      </c>
      <c r="N982" t="inlineStr">
        <is>
          <t>Review</t>
        </is>
      </c>
      <c r="T982" t="inlineStr">
        <is>
          <t>Integrated Management of Residential Indoor Air Quality: A Call for Stakeholders in a Changing Climate</t>
        </is>
      </c>
      <c r="U982" t="inlineStr">
        <is>
          <t>indoor air; health; indoor environment; climate change; adaptation; public health</t>
        </is>
      </c>
      <c r="V982" t="inlineStr">
        <is>
          <t>NATURAL VENTILATION; CONSTRUCTION PRODUCTS; PUBLIC-HEALTH; ENERGY USE; ENVIRONMENT; IMPACT; PERFORMANCE; ADAPTATION; EFFICIENCY; EMISSION</t>
        </is>
      </c>
      <c r="W982" t="inlineStr">
        <is>
          <t>A paradigm change in the management of environmental health issues has been observed in recent years: instead of managing specific risks individually, a holistic vision of environmental problems would assure sustainable solutions. However, concrete actions that could help translate these recommendations into interventions are lacking. This review presents the relevance of using an integrated indoor air quality management approach to ensure occupant health and comfort. At the nexus of three basic concepts (reducing contaminants at the source, improving ventilation, and, when relevant, purifying the indoor air), this approach can help maintain and improve indoor air quality and limit exposure to several contaminants. Its application is particularly relevant in a climate change context since the evolving outdoor conditions have to be taken into account during building construction and renovation. The measures presented through this approach target public health players, building managers, owners, occupants, and professionals involved in building design, construction, renovation, and maintenance. The findings of this review will help the various stakeholders initiate a strategic reflection on the importance of indoor air quality and climate change issues for existing and future buildings. Several new avenues and recommendations are presented to set the path for future research activities.</t>
        </is>
      </c>
      <c r="X982" t="inlineStr">
        <is>
          <t>[Levasseur, Marie-Eve; Poulin, Patrick; Campagna, Celine; Leclerc, Jean-Marc] Inst Natl Sante Publ Quebec, Environm Hlth Dept, 945 Ave Wolfe,4E Etage, Quebec City, PQ G1V 5B3, Canada</t>
        </is>
      </c>
      <c r="Y982" t="inlineStr">
        <is>
          <t>Institut national de sante publique du Quebec (INSPQ)</t>
        </is>
      </c>
      <c r="Z982" t="inlineStr">
        <is>
          <t>Poulin, P (corresponding author), Inst Natl Sante Publ Quebec, Environm Hlth Dept, 945 Ave Wolfe,4E Etage, Quebec City, PQ G1V 5B3, Canada.</t>
        </is>
      </c>
      <c r="AA982" t="inlineStr">
        <is>
          <t>marie-eve.levasseur@inspq.qc.ca; patrick.poulin@inspq.qc.ca; celine.campagna@inspq.qc.ca; jean.marc.leclerc@inspq.qc.ca</t>
        </is>
      </c>
      <c r="AB982" t="inlineStr">
        <is>
          <t>Mokhtara, Charafeddine/ACV-5174-2022</t>
        </is>
      </c>
      <c r="AD982" t="inlineStr">
        <is>
          <t>Climate Change Action Plan of the Gouvernement du Quebec</t>
        </is>
      </c>
      <c r="AE982" t="inlineStr">
        <is>
          <t>Climate Change Action Plan of the Gouvernement du Quebec</t>
        </is>
      </c>
      <c r="AF982" t="inlineStr">
        <is>
          <t>This work did not receive any specific grant from funding agencies in the public, commercial, or not-for-profit sectors. This work was supported by the 2006-2012 Climate Change Action Plan of the Gouvernement du Quebec. The authors wish to thank Pierre Gosselin, of the Institut National de Sante Publique du Quebec and the Ouranos Consortium, for his insights.</t>
        </is>
      </c>
      <c r="AH982" t="n">
        <v>84</v>
      </c>
      <c r="AI982" t="n">
        <v>6</v>
      </c>
      <c r="AJ982" t="n">
        <v>6</v>
      </c>
      <c r="AK982" t="n">
        <v>2</v>
      </c>
      <c r="AL982" t="n">
        <v>19</v>
      </c>
      <c r="AM982" t="inlineStr">
        <is>
          <t>MDPI</t>
        </is>
      </c>
      <c r="AN982" t="inlineStr">
        <is>
          <t>BASEL</t>
        </is>
      </c>
      <c r="AO982" t="inlineStr">
        <is>
          <t>ST ALBAN-ANLAGE 66, CH-4052 BASEL, SWITZERLAND</t>
        </is>
      </c>
      <c r="AQ982" t="inlineStr">
        <is>
          <t>1660-4601</t>
        </is>
      </c>
      <c r="AS982" t="inlineStr">
        <is>
          <t>INT J ENV RES PUB HE</t>
        </is>
      </c>
      <c r="AT982" t="inlineStr">
        <is>
          <t>Int. J. Environ. Res. Public Health</t>
        </is>
      </c>
      <c r="AU982" t="inlineStr">
        <is>
          <t>DEC</t>
        </is>
      </c>
      <c r="AV982" t="n">
        <v>2017</v>
      </c>
      <c r="AW982" t="n">
        <v>14</v>
      </c>
      <c r="AX982" t="n">
        <v>12</v>
      </c>
      <c r="BE982" t="n">
        <v>1455</v>
      </c>
      <c r="BF982" t="inlineStr">
        <is>
          <t>10.3390/ijerph14121455</t>
        </is>
      </c>
      <c r="BG982">
        <f>HYPERLINK("http://dx.doi.org/10.3390/ijerph14121455","http://dx.doi.org/10.3390/ijerph14121455")</f>
        <v/>
      </c>
      <c r="BJ982" t="n">
        <v>14</v>
      </c>
      <c r="BK982" t="inlineStr">
        <is>
          <t>Environmental Sciences; Public, Environmental &amp; Occupational Health</t>
        </is>
      </c>
      <c r="BL982" t="inlineStr">
        <is>
          <t>Science Citation Index Expanded (SCI-EXPANDED); Social Science Citation Index (SSCI)</t>
        </is>
      </c>
      <c r="BM982" t="inlineStr">
        <is>
          <t>Environmental Sciences &amp; Ecology; Public, Environmental &amp; Occupational Health</t>
        </is>
      </c>
      <c r="BN982" t="inlineStr">
        <is>
          <t>FU2SD</t>
        </is>
      </c>
      <c r="BO982" t="n">
        <v>29186831</v>
      </c>
      <c r="BP982" t="inlineStr">
        <is>
          <t>Green Published, gold, Green Submitted</t>
        </is>
      </c>
      <c r="BS982" t="inlineStr">
        <is>
          <t>2023-10-26</t>
        </is>
      </c>
      <c r="BT982" t="inlineStr">
        <is>
          <t>WOS:000423699400019</t>
        </is>
      </c>
      <c r="BU982">
        <f>HYPERLINK("https%3A%2F%2Fwww.webofscience.com%2Fwos%2Fwoscc%2Ffull-record%2FWOS:000423699400019","View Full Record in Web of Science")</f>
        <v/>
      </c>
    </row>
    <row r="983">
      <c r="A983" t="inlineStr">
        <is>
          <t>J</t>
        </is>
      </c>
      <c r="B983" t="inlineStr">
        <is>
          <t>Jung, CC; Hsia, YF; Hsu, NY; Wang, YC; Su, HJ</t>
        </is>
      </c>
      <c r="F983" t="inlineStr">
        <is>
          <t>Jung, Chien-Cheng; Hsia, Ying-Fang; Hsu, Nai-Yun; Wang, Yu-Chun; Su, Huey-Jen</t>
        </is>
      </c>
      <c r="J983" t="inlineStr">
        <is>
          <t>SCIENCE OF THE TOTAL ENVIRONMENT</t>
        </is>
      </c>
      <c r="M983" t="inlineStr">
        <is>
          <t>English</t>
        </is>
      </c>
      <c r="N983" t="inlineStr">
        <is>
          <t>Article</t>
        </is>
      </c>
      <c r="T983" t="inlineStr">
        <is>
          <t>Cumulative effect of indoor temperature on cardiovascular disease-related emergency department visits among older adults in Taiwan</t>
        </is>
      </c>
      <c r="U983" t="inlineStr">
        <is>
          <t>Indoor; Temperature; Cumulative degree hour; Cardiovascular; Emergency department visit</t>
        </is>
      </c>
      <c r="V983" t="inlineStr">
        <is>
          <t>COOLING DEGREE-HOURS; ACTIVITY PATTERN; OUTDOOR TEMPERATURE; AMBIENT-TEMPERATURE; AIR-TEMPERATURE; HEAT; MORTALITY; EXPOSURE; COLD; GENDER</t>
        </is>
      </c>
      <c r="W983" t="inlineStr">
        <is>
          <t>Studies have demonstrated that exposure to extreme outdoor temperatures increases cardiovascular disease mortality and morbidity. However, people spend 80%-90% of their time indoors, and the cumulative effects of exposure to high or low temperature on the risk of cardiovascular diseases had not been considered. This study investigated the cumulative effects of high or low indoor temperature exposure on the risk of cardiovascular diseases. We estimated indoor temperatures by using a prediction model of indoor temperature from a previous study and further calculated the cumulative degree hours at different indoor temperature ranges. Samples of emergency department visits due to cardiovascular diseases were collected from the Longitudinal Health Insurance Database (LHID) from 2000 to 2014 in Taiwan. We used a distributed lag nonlinear model to analyze the data. Our data demonstrated a significant risk of emergency department visits due to cardiovascular diseases at 27, 28, 29, 30, and 31 degrees C when cooling cumulative degree hours exceeded 62, 43, 16, 1, and 1 during the hot season (May to October), respectively, and at 19, 20, 21, 22, and 23 degrees C when heating cumulative degree hours exceeded 1, 1, 1, 11, and 33 during the cold season (November to April), respectively. Cumulative degree hours were different according to gender and age groups. Policymakers should further consider the cumulative effects to prevent hot- or cold-related cardiovascular diseases for populations. (C) 2020 Elsevier B.V. All rights reserved.</t>
        </is>
      </c>
      <c r="X983" t="inlineStr">
        <is>
          <t>[Jung, Chien-Cheng] China Med Univ, Dept Publ Hlth, Taichung, Taiwan; [Hsia, Ying-Fang; Hsu, Nai-Yun; Su, Huey-Jen] Natl Cheng Kung Univ, Dept Environm &amp; Occupat Hlth, Coll Med, Out Patient Bldg,138 Sheng Li Rd, Tainan 70403, Taiwan; [Wang, Yu-Chun] Chung Yuan Christian Univ, Dept Environm Engn, Taoyuan, Taiwan</t>
        </is>
      </c>
      <c r="Y983" t="inlineStr">
        <is>
          <t>China Medical University Taiwan; National Cheng Kung University; Chung Yuan Christian University</t>
        </is>
      </c>
      <c r="Z983" t="inlineStr">
        <is>
          <t>Su, HJ (corresponding author), Natl Cheng Kung Univ, Dept Environm &amp; Occupat Hlth, Coll Med, Out Patient Bldg,138 Sheng Li Rd, Tainan 70403, Taiwan.</t>
        </is>
      </c>
      <c r="AA983" t="inlineStr">
        <is>
          <t>hjsu@mail.ncku.edu.tw</t>
        </is>
      </c>
      <c r="AB983" t="inlineStr">
        <is>
          <t>Wang, Yu-Chun/AAP-8150-2021; 王, 玉純/AAP-9936-2021; Hsu, Nai-Yun Boni/H-3318-2014</t>
        </is>
      </c>
      <c r="AC983" t="inlineStr">
        <is>
          <t>王, 玉純/0000-0002-4797-7447; Hsu, Nai-Yun Boni/0000-0003-3321-6388; Su, Huey-Jen/0000-0003-3589-9987; Jung, Chien-Cheng/0000-0003-0124-689X</t>
        </is>
      </c>
      <c r="AD983" t="inlineStr">
        <is>
          <t>Ministry of Science and Technology, Taiwan [106-2621-M-006-002-MY2]</t>
        </is>
      </c>
      <c r="AE983" t="inlineStr">
        <is>
          <t>Ministry of Science and Technology, Taiwan(Ministry of Science and Technology, Taiwan)</t>
        </is>
      </c>
      <c r="AF983" t="inlineStr">
        <is>
          <t>We would like to thank the Ministry of Science and Technology, Taiwan (106-2621-M-006-002-MY2) for financially supporting this research through a grant.</t>
        </is>
      </c>
      <c r="AH983" t="n">
        <v>54</v>
      </c>
      <c r="AI983" t="n">
        <v>11</v>
      </c>
      <c r="AJ983" t="n">
        <v>11</v>
      </c>
      <c r="AK983" t="n">
        <v>2</v>
      </c>
      <c r="AL983" t="n">
        <v>28</v>
      </c>
      <c r="AM983" t="inlineStr">
        <is>
          <t>ELSEVIER</t>
        </is>
      </c>
      <c r="AN983" t="inlineStr">
        <is>
          <t>AMSTERDAM</t>
        </is>
      </c>
      <c r="AO983" t="inlineStr">
        <is>
          <t>RADARWEG 29, 1043 NX AMSTERDAM, NETHERLANDS</t>
        </is>
      </c>
      <c r="AP983" t="inlineStr">
        <is>
          <t>0048-9697</t>
        </is>
      </c>
      <c r="AQ983" t="inlineStr">
        <is>
          <t>1879-1026</t>
        </is>
      </c>
      <c r="AS983" t="inlineStr">
        <is>
          <t>SCI TOTAL ENVIRON</t>
        </is>
      </c>
      <c r="AT983" t="inlineStr">
        <is>
          <t>Sci. Total Environ.</t>
        </is>
      </c>
      <c r="AU983" t="inlineStr">
        <is>
          <t>AUG 20</t>
        </is>
      </c>
      <c r="AV983" t="n">
        <v>2020</v>
      </c>
      <c r="AW983" t="n">
        <v>731</v>
      </c>
      <c r="BE983" t="n">
        <v>138958</v>
      </c>
      <c r="BF983" t="inlineStr">
        <is>
          <t>10.1016/j.scitotenv.2020.138958</t>
        </is>
      </c>
      <c r="BG983">
        <f>HYPERLINK("http://dx.doi.org/10.1016/j.scitotenv.2020.138958","http://dx.doi.org/10.1016/j.scitotenv.2020.138958")</f>
        <v/>
      </c>
      <c r="BJ983" t="n">
        <v>6</v>
      </c>
      <c r="BK983" t="inlineStr">
        <is>
          <t>Environmental Sciences</t>
        </is>
      </c>
      <c r="BL983" t="inlineStr">
        <is>
          <t>Science Citation Index Expanded (SCI-EXPANDED)</t>
        </is>
      </c>
      <c r="BM983" t="inlineStr">
        <is>
          <t>Environmental Sciences &amp; Ecology</t>
        </is>
      </c>
      <c r="BN983" t="inlineStr">
        <is>
          <t>LT9XU</t>
        </is>
      </c>
      <c r="BO983" t="n">
        <v>32408209</v>
      </c>
      <c r="BS983" t="inlineStr">
        <is>
          <t>2023-10-26</t>
        </is>
      </c>
      <c r="BT983" t="inlineStr">
        <is>
          <t>WOS:000537419200015</t>
        </is>
      </c>
      <c r="BU983">
        <f>HYPERLINK("https%3A%2F%2Fwww.webofscience.com%2Fwos%2Fwoscc%2Ffull-record%2FWOS:000537419200015","View Full Record in Web of Science")</f>
        <v/>
      </c>
    </row>
    <row r="984">
      <c r="A984" t="inlineStr">
        <is>
          <t>J</t>
        </is>
      </c>
      <c r="B984" t="inlineStr">
        <is>
          <t>Thierry, AD; Sherman-Wilkins, K; Armendariz, M; Sullivan, A; Farmer, HR</t>
        </is>
      </c>
      <c r="F984" t="inlineStr">
        <is>
          <t>Thierry, Amy D.; Sherman-Wilkins, Kyler; Armendariz, Marina; Sullivan, Allison; Farmer, Heather R.</t>
        </is>
      </c>
      <c r="J984" t="inlineStr">
        <is>
          <t>INTERNATIONAL JOURNAL OF ENVIRONMENTAL RESEARCH AND PUBLIC HEALTH</t>
        </is>
      </c>
      <c r="M984" t="inlineStr">
        <is>
          <t>English</t>
        </is>
      </c>
      <c r="N984" t="inlineStr">
        <is>
          <t>Article</t>
        </is>
      </c>
      <c r="T984" t="inlineStr">
        <is>
          <t>Perceived Neighborhood Characteristics and Cognitive Functioning among Diverse Older Adults: An Intersectional Approach</t>
        </is>
      </c>
      <c r="U984" t="inlineStr">
        <is>
          <t>cognitive functioning; neighborhoods; intersectionality; older adults; health disparities</t>
        </is>
      </c>
      <c r="V984" t="inlineStr">
        <is>
          <t>SOCIOECONOMIC-STATUS; RACIAL DISPARITIES; URBAN NEIGHBORHOOD; SOCIAL CONDITIONS; HEALTH; ENVIRONMENT; CHALLENGES; AMERICANS; DISEASE; STRATIFICATION</t>
        </is>
      </c>
      <c r="W984" t="inlineStr">
        <is>
          <t>Unfavorable neighborhood conditions are linked to health disparities. Yet, a dearth of literature examines how neighborhood characteristics contribute to cognitive health in diverse samples of older adults. The present study uses an intersectional approach to examine how race/ethnicity, gender, and education moderate the association between neighborhood perceptions and cognitive functioning in later life. We used data from adults &gt;= 65 years old (n = 8023) in the 2010-2016 waves of the nationally representative Health and Retirement Study (HRS). We conducted race/ethnicity-stratified linear regression models where cognitive functioning, measured using the 35-point Telephone Interview Cognitive Screen (TICS), was regressed on three neighborhood characteristics-cleanliness, safety, and social cohesion. We examine whether there is heterogeneity within race/ethnicity by testing if and how the relationship between neighborhood characteristics and cognitive functioning differs by gender and education. Among White adults, worse neighborhood characteristics were associated with lower cognitive functioning among those with less education. However, for Black adults, poor perceived quality of one's neighborhood was associated with worse cognitive functioning among those with more years of education compared to those with fewer years of education. Among Mexicans, perceived neighborhood uncleanliness was associated with lower cognitive functioning among those with less education, but higher cognitive functioning for those with higher levels of education. Thus, this study contributes to the literature on racial/ethnic disparities in cognitive aging disparities by examining neighborhood contextual factors as determinants of cognitive functioning. In particular, we find that higher education in the context of less favorable neighborhood environments does not confer the same benefits to cognitive functioning among all older adults.</t>
        </is>
      </c>
      <c r="X984" t="inlineStr">
        <is>
          <t>[Thierry, Amy D.; Sullivan, Allison] Xavier Univ Louisiana, Dept Publ Hlth Sci, New Orleans, LA 70125 USA; [Sherman-Wilkins, Kyler] Missouri State Univ, Dept Sociol &amp; Anthropol, Springfield, MO 65897 USA; [Armendariz, Marina] Penn State Univ, Dept Biobehav Hlth, University Pk, PA 16802 USA; [Farmer, Heather R.] Univ Delaware, Dept Human Dev &amp; Family Sci, Newark, DE 19716 USA</t>
        </is>
      </c>
      <c r="Y984" t="inlineStr">
        <is>
          <t>Xavier University of Louisiana; Missouri State University; Pennsylvania Commonwealth System of Higher Education (PCSHE); Pennsylvania State University; Pennsylvania State University - University Park; University of Delaware</t>
        </is>
      </c>
      <c r="Z984" t="inlineStr">
        <is>
          <t>Thierry, AD (corresponding author), Xavier Univ Louisiana, Dept Publ Hlth Sci, New Orleans, LA 70125 USA.</t>
        </is>
      </c>
      <c r="AA984" t="inlineStr">
        <is>
          <t>athierry@xula.edu; kshermanwilkins@MissouriState.edu; mpa5220@psu.edu; asulliva@xula.edu; hfarmer@udel.edu</t>
        </is>
      </c>
      <c r="AB984" t="inlineStr">
        <is>
          <t>Farmer, Heather/AAP-5570-2020</t>
        </is>
      </c>
      <c r="AC984" t="inlineStr">
        <is>
          <t>Farmer, Heather/0000-0003-3889-548X</t>
        </is>
      </c>
      <c r="AD984" t="inlineStr">
        <is>
          <t>[3U54MD007595-12S1]</t>
        </is>
      </c>
      <c r="AF984" t="inlineStr">
        <is>
          <t>This researchwas funded by theNational Institutes ofHealth, grant number 3U54MD007595-12S1.</t>
        </is>
      </c>
      <c r="AH984" t="n">
        <v>50</v>
      </c>
      <c r="AI984" t="n">
        <v>6</v>
      </c>
      <c r="AJ984" t="n">
        <v>6</v>
      </c>
      <c r="AK984" t="n">
        <v>1</v>
      </c>
      <c r="AL984" t="n">
        <v>5</v>
      </c>
      <c r="AM984" t="inlineStr">
        <is>
          <t>MDPI</t>
        </is>
      </c>
      <c r="AN984" t="inlineStr">
        <is>
          <t>BASEL</t>
        </is>
      </c>
      <c r="AO984" t="inlineStr">
        <is>
          <t>ST ALBAN-ANLAGE 66, CH-4052 BASEL, SWITZERLAND</t>
        </is>
      </c>
      <c r="AQ984" t="inlineStr">
        <is>
          <t>1660-4601</t>
        </is>
      </c>
      <c r="AS984" t="inlineStr">
        <is>
          <t>INT J ENV RES PUB HE</t>
        </is>
      </c>
      <c r="AT984" t="inlineStr">
        <is>
          <t>Int. J. Environ. Res. Public Health</t>
        </is>
      </c>
      <c r="AU984" t="inlineStr">
        <is>
          <t>MAR</t>
        </is>
      </c>
      <c r="AV984" t="n">
        <v>2021</v>
      </c>
      <c r="AW984" t="n">
        <v>18</v>
      </c>
      <c r="AX984" t="n">
        <v>5</v>
      </c>
      <c r="BE984" t="n">
        <v>2661</v>
      </c>
      <c r="BF984" t="inlineStr">
        <is>
          <t>10.3390/ijerph18052661</t>
        </is>
      </c>
      <c r="BG984">
        <f>HYPERLINK("http://dx.doi.org/10.3390/ijerph18052661","http://dx.doi.org/10.3390/ijerph18052661")</f>
        <v/>
      </c>
      <c r="BJ984" t="n">
        <v>14</v>
      </c>
      <c r="BK984" t="inlineStr">
        <is>
          <t>Environmental Sciences; Public, Environmental &amp; Occupational Health</t>
        </is>
      </c>
      <c r="BL984" t="inlineStr">
        <is>
          <t>Science Citation Index Expanded (SCI-EXPANDED); Social Science Citation Index (SSCI)</t>
        </is>
      </c>
      <c r="BM984" t="inlineStr">
        <is>
          <t>Environmental Sciences &amp; Ecology; Public, Environmental &amp; Occupational Health</t>
        </is>
      </c>
      <c r="BN984" t="inlineStr">
        <is>
          <t>QV7CO</t>
        </is>
      </c>
      <c r="BO984" t="n">
        <v>33800952</v>
      </c>
      <c r="BP984" t="inlineStr">
        <is>
          <t>gold, Green Published</t>
        </is>
      </c>
      <c r="BS984" t="inlineStr">
        <is>
          <t>2023-10-26</t>
        </is>
      </c>
      <c r="BT984" t="inlineStr">
        <is>
          <t>WOS:000628124900001</t>
        </is>
      </c>
      <c r="BU984">
        <f>HYPERLINK("https%3A%2F%2Fwww.webofscience.com%2Fwos%2Fwoscc%2Ffull-record%2FWOS:000628124900001","View Full Record in Web of Science")</f>
        <v/>
      </c>
    </row>
    <row r="985">
      <c r="A985" t="inlineStr">
        <is>
          <t>S</t>
        </is>
      </c>
      <c r="B985" t="inlineStr">
        <is>
          <t>Starkey, C; Garvin, C</t>
        </is>
      </c>
      <c r="E985" t="inlineStr">
        <is>
          <t>NYAS</t>
        </is>
      </c>
      <c r="F985" t="inlineStr">
        <is>
          <t>Starkey, Christopher; Garvin, Chris</t>
        </is>
      </c>
      <c r="J985" t="inlineStr">
        <is>
          <t>IMPLICATIONS OF A DATA DRIVEN-BUILT ENVIRONMENT</t>
        </is>
      </c>
      <c r="K985" t="inlineStr">
        <is>
          <t>Annals of the New York Academy of Sciences</t>
        </is>
      </c>
      <c r="M985" t="inlineStr">
        <is>
          <t>English</t>
        </is>
      </c>
      <c r="N985" t="inlineStr">
        <is>
          <t>Article; Proceedings Paper</t>
        </is>
      </c>
      <c r="O985" t="inlineStr">
        <is>
          <t>Conference on Implications of a Data-Driven Built Environment</t>
        </is>
      </c>
      <c r="P985" t="inlineStr">
        <is>
          <t>MAY 30, 2012</t>
        </is>
      </c>
      <c r="Q985" t="inlineStr">
        <is>
          <t>New York Acad Sci, New York, NY</t>
        </is>
      </c>
      <c r="S985" t="inlineStr">
        <is>
          <t>New York Acad Sci</t>
        </is>
      </c>
      <c r="T985" t="inlineStr">
        <is>
          <t>Knowledge from data in the built environment</t>
        </is>
      </c>
      <c r="W985" t="inlineStr">
        <is>
          <t>Data feedback is changing our relationship to the built environment. Both traditional and new sources of data are developing rapidly, compelled by efforts to optimize the performance of human habitats. However, there are many obstacles to the successful implementation of information-centered environments that continue to hinder widespread adoption. This paper identifies these obstacles and challenges and describes emerging data-rich analytic techniques in infrastructure, buildings, and building portfolios. Further, it speculates on the impact that a robust data sphere may have on the built environment and posits that linkages to other data sets may enable paradigm shifts in sustainability and resiliency.</t>
        </is>
      </c>
      <c r="X985" t="inlineStr">
        <is>
          <t>[Starkey, Christopher; Garvin, Chris] Terrapin Bright Green, New York, NY 10011 USA</t>
        </is>
      </c>
      <c r="Z985" t="inlineStr">
        <is>
          <t>Starkey, C (corresponding author), Terrapin Bright Green, 641 6th Ave,8th Floor, New York, NY 10011 USA.</t>
        </is>
      </c>
      <c r="AA985" t="inlineStr">
        <is>
          <t>starkey@terrapinbg.com</t>
        </is>
      </c>
      <c r="AH985" t="n">
        <v>16</v>
      </c>
      <c r="AI985" t="n">
        <v>8</v>
      </c>
      <c r="AJ985" t="n">
        <v>8</v>
      </c>
      <c r="AK985" t="n">
        <v>0</v>
      </c>
      <c r="AL985" t="n">
        <v>11</v>
      </c>
      <c r="AM985" t="inlineStr">
        <is>
          <t>BLACKWELL SCIENCE PUBL</t>
        </is>
      </c>
      <c r="AN985" t="inlineStr">
        <is>
          <t>OXFORD</t>
        </is>
      </c>
      <c r="AO985" t="inlineStr">
        <is>
          <t>OSNEY MEAD, OXFORD OX2 0EL, ENGLAND</t>
        </is>
      </c>
      <c r="AP985" t="inlineStr">
        <is>
          <t>0077-8923</t>
        </is>
      </c>
      <c r="AS985" t="inlineStr">
        <is>
          <t>ANN NY ACAD SCI</t>
        </is>
      </c>
      <c r="AT985" t="inlineStr">
        <is>
          <t>Ann.NY Acad.Sci.</t>
        </is>
      </c>
      <c r="AV985" t="n">
        <v>2013</v>
      </c>
      <c r="AW985" t="n">
        <v>1295</v>
      </c>
      <c r="BC985" t="n">
        <v>1</v>
      </c>
      <c r="BD985" t="n">
        <v>9</v>
      </c>
      <c r="BF985" t="inlineStr">
        <is>
          <t>10.1111/nyas.12202</t>
        </is>
      </c>
      <c r="BG985">
        <f>HYPERLINK("http://dx.doi.org/10.1111/nyas.12202","http://dx.doi.org/10.1111/nyas.12202")</f>
        <v/>
      </c>
      <c r="BJ985" t="n">
        <v>9</v>
      </c>
      <c r="BK985" t="inlineStr">
        <is>
          <t>Construction &amp; Building Technology; Environmental Sciences</t>
        </is>
      </c>
      <c r="BL985" t="inlineStr">
        <is>
          <t>Conference Proceedings Citation Index - Science (CPCI-S); Science Citation Index Expanded (SCI-EXPANDED)</t>
        </is>
      </c>
      <c r="BM985" t="inlineStr">
        <is>
          <t>Construction &amp; Building Technology; Environmental Sciences &amp; Ecology</t>
        </is>
      </c>
      <c r="BN985" t="inlineStr">
        <is>
          <t>BHJ98</t>
        </is>
      </c>
      <c r="BO985" t="n">
        <v>23855647</v>
      </c>
      <c r="BS985" t="inlineStr">
        <is>
          <t>2023-10-26</t>
        </is>
      </c>
      <c r="BT985" t="inlineStr">
        <is>
          <t>WOS:000325684000001</t>
        </is>
      </c>
      <c r="BU985">
        <f>HYPERLINK("https%3A%2F%2Fwww.webofscience.com%2Fwos%2Fwoscc%2Ffull-record%2FWOS:000325684000001","View Full Record in Web of Science")</f>
        <v/>
      </c>
    </row>
    <row r="986">
      <c r="A986" t="inlineStr">
        <is>
          <t>J</t>
        </is>
      </c>
      <c r="B986" t="inlineStr">
        <is>
          <t>Gulan, L; Stajic, JM; Spasic, D; Forkapic, S</t>
        </is>
      </c>
      <c r="F986" t="inlineStr">
        <is>
          <t>Gulan, Ljiljana; Stajic, Jelena M.; Spasic, Dusica; Forkapic, Sofija</t>
        </is>
      </c>
      <c r="J986" t="inlineStr">
        <is>
          <t>AIR QUALITY ATMOSPHERE AND HEALTH</t>
        </is>
      </c>
      <c r="M986" t="inlineStr">
        <is>
          <t>English</t>
        </is>
      </c>
      <c r="N986" t="inlineStr">
        <is>
          <t>Article</t>
        </is>
      </c>
      <c r="T986" t="inlineStr">
        <is>
          <t>Radon levels and indoor air quality after application of thermal retrofit measures-a case study</t>
        </is>
      </c>
      <c r="U986" t="inlineStr">
        <is>
          <t>Building; Flooring type; Indoor radon; Thermal retrofit; Workroom</t>
        </is>
      </c>
      <c r="V986" t="inlineStr">
        <is>
          <t>ENERGY; BUILDINGS; COMFORT; IMPACT</t>
        </is>
      </c>
      <c r="W986" t="inlineStr">
        <is>
          <t>This study was conducted to evaluate the influence of thermal retrofit on radon levels in workrooms, and to determine whether the radon concentration in the building changes after the application of retrofit measures. In the first survey, digital Airthings Corentium Home radon detector was used for 1-month radon measurements during the heating season 2018/19. The daily averaged radon concentrations varied from 37 to 573 Bq/m(3) for 10 selected workrooms, while hourly averaged radon measurements showed extreme variations from 6 to 1603 Bq/m(3) due to radon fluctuations. In second survey, passive radon technique based on charcoal canister test kit was conducted in all basement workrooms in spring 2021. The averaged radon concentrations grouped according to flooring type in workrooms were 327 Bq/m(3) for parquet, 227 Bq/m(3) for ceramic tiles, 146 Bq/m(3) for vinyl flooring and 71 Bq/m(3) for laminate. Besides thermal insulation and airtight windows, noticeable differences in indoor radon concentration within the renovated building are primarily caused by different types of flooring. It includes various types of insulation from the ground/concrete slab: laminate, parquet (wood blocks), vinyl flooring, and ceramic tiles. Detailed analysis point out that laminate is more efficient way for radon protection than other types of flooring. An efficient ventilation system should be installed to avoid increasing occupational radon exposure and to provide healthy and comfortable indoor environment.</t>
        </is>
      </c>
      <c r="X986" t="inlineStr">
        <is>
          <t>[Gulan, Ljiljana; Spasic, Dusica] Univ Pristina Kosovska Mitrovica, Fac Sci &amp; Math, Dept Phys, Lole Ribara 29, Kosovska Mitrovica 38220, Serbia; [Stajic, Jelena M.] Univ Kragujevac, Inst Informat Technol, Dept Sci, Kragujevac 34000, Serbia; [Forkapic, Sofija] Univ Novi Sad, Fac Sci, Dept Phys, Trg Dositeja Obradovica 4, Novi Sad 21000, Serbia</t>
        </is>
      </c>
      <c r="Y986" t="inlineStr">
        <is>
          <t>Universiteti i Prishtines; University of Kragujevac; University of Novi Sad</t>
        </is>
      </c>
      <c r="Z986" t="inlineStr">
        <is>
          <t>Stajic, JM (corresponding author), Univ Kragujevac, Inst Informat Technol, Dept Sci, Kragujevac 34000, Serbia.</t>
        </is>
      </c>
      <c r="AA986" t="inlineStr">
        <is>
          <t>stajicjelena11052012@gmail.com</t>
        </is>
      </c>
      <c r="AC986" t="inlineStr">
        <is>
          <t>Forkapic, Sofija/0000-0001-8066-9852; Stajic, Jelena/0000-0002-8559-4893; Gulan, Ljiljana/0000-0003-0976-7278</t>
        </is>
      </c>
      <c r="AD986" t="inlineStr">
        <is>
          <t>Ministry of Education, Science and Technology Development of the Republic of Serbia [451-03-68/2022-14/200123, 451-03-9/2022-14/200378]</t>
        </is>
      </c>
      <c r="AE986" t="inlineStr">
        <is>
          <t>Ministry of Education, Science and Technology Development of the Republic of Serbia(Ministry of Education, Science &amp; Technological Development, Serbia)</t>
        </is>
      </c>
      <c r="AF986" t="inlineStr">
        <is>
          <t>This work was supported by the Ministry of Education, Science and Technology Development of the Republic of Serbia (Grant No. 451-03-68/2022-14/200123, 451-03-9/2022-14/200378). The authors greatly appreciate the donation of detectors provided by Dr. Gordana Mili, associate professor in retirement. Authors are also deeply thankful to Mr. Boris Drobac for technical support, including data collection.</t>
        </is>
      </c>
      <c r="AH986" t="n">
        <v>44</v>
      </c>
      <c r="AI986" t="n">
        <v>2</v>
      </c>
      <c r="AJ986" t="n">
        <v>2</v>
      </c>
      <c r="AK986" t="n">
        <v>4</v>
      </c>
      <c r="AL986" t="n">
        <v>8</v>
      </c>
      <c r="AM986" t="inlineStr">
        <is>
          <t>SPRINGER</t>
        </is>
      </c>
      <c r="AN986" t="inlineStr">
        <is>
          <t>DORDRECHT</t>
        </is>
      </c>
      <c r="AO986" t="inlineStr">
        <is>
          <t>VAN GODEWIJCKSTRAAT 30, 3311 GZ DORDRECHT, NETHERLANDS</t>
        </is>
      </c>
      <c r="AP986" t="inlineStr">
        <is>
          <t>1873-9318</t>
        </is>
      </c>
      <c r="AQ986" t="inlineStr">
        <is>
          <t>1873-9326</t>
        </is>
      </c>
      <c r="AS986" t="inlineStr">
        <is>
          <t>AIR QUAL ATMOS HLTH</t>
        </is>
      </c>
      <c r="AT986" t="inlineStr">
        <is>
          <t>Air Qual. Atmos. Health</t>
        </is>
      </c>
      <c r="AU986" t="inlineStr">
        <is>
          <t>FEB</t>
        </is>
      </c>
      <c r="AV986" t="n">
        <v>2023</v>
      </c>
      <c r="AW986" t="n">
        <v>16</v>
      </c>
      <c r="AX986" t="n">
        <v>2</v>
      </c>
      <c r="BC986" t="n">
        <v>363</v>
      </c>
      <c r="BD986" t="n">
        <v>373</v>
      </c>
      <c r="BF986" t="inlineStr">
        <is>
          <t>10.1007/s11869-022-01278-w</t>
        </is>
      </c>
      <c r="BG986">
        <f>HYPERLINK("http://dx.doi.org/10.1007/s11869-022-01278-w","http://dx.doi.org/10.1007/s11869-022-01278-w")</f>
        <v/>
      </c>
      <c r="BI986" t="inlineStr">
        <is>
          <t>OCT 2022</t>
        </is>
      </c>
      <c r="BJ986" t="n">
        <v>11</v>
      </c>
      <c r="BK986" t="inlineStr">
        <is>
          <t>Environmental Sciences</t>
        </is>
      </c>
      <c r="BL986" t="inlineStr">
        <is>
          <t>Science Citation Index Expanded (SCI-EXPANDED)</t>
        </is>
      </c>
      <c r="BM986" t="inlineStr">
        <is>
          <t>Environmental Sciences &amp; Ecology</t>
        </is>
      </c>
      <c r="BN986" t="inlineStr">
        <is>
          <t>T2MB1</t>
        </is>
      </c>
      <c r="BO986" t="n">
        <v>36340188</v>
      </c>
      <c r="BP986" t="inlineStr">
        <is>
          <t>Bronze, Green Published</t>
        </is>
      </c>
      <c r="BS986" t="inlineStr">
        <is>
          <t>2023-10-26</t>
        </is>
      </c>
      <c r="BT986" t="inlineStr">
        <is>
          <t>WOS:000876670800001</t>
        </is>
      </c>
      <c r="BU986">
        <f>HYPERLINK("https%3A%2F%2Fwww.webofscience.com%2Fwos%2Fwoscc%2Ffull-record%2FWOS:000876670800001","View Full Record in Web of Science")</f>
        <v/>
      </c>
    </row>
    <row r="987">
      <c r="A987" t="inlineStr">
        <is>
          <t>J</t>
        </is>
      </c>
      <c r="B987" t="inlineStr">
        <is>
          <t>Li, YT; Teramoto, A; Ohkubo, T; Sugiyama, A</t>
        </is>
      </c>
      <c r="F987" t="inlineStr">
        <is>
          <t>Li, Yutong; Teramoto, Atsushi; Ohkubo, Takaaki; Sugiyama, Akihiro</t>
        </is>
      </c>
      <c r="J987" t="inlineStr">
        <is>
          <t>SUSTAINABILITY</t>
        </is>
      </c>
      <c r="M987" t="inlineStr">
        <is>
          <t>English</t>
        </is>
      </c>
      <c r="N987" t="inlineStr">
        <is>
          <t>Article</t>
        </is>
      </c>
      <c r="T987" t="inlineStr">
        <is>
          <t>Estimation of Indoor Temperature Increments in Summers Using Heat-Flow Sensors to Assess the Impact of Roof Slab Insulation Methods</t>
        </is>
      </c>
      <c r="U987" t="inlineStr">
        <is>
          <t>heat transfer; thermal insulation; heat-flow density; environmental simulation chamber; factory roof slab; temperature rise; indoor thermal environment; heat-flow sensor</t>
        </is>
      </c>
      <c r="V987" t="inlineStr">
        <is>
          <t>OF-THE-ART; THERMAL INSULATION; RADIANT BARRIERS; BUILDING ROOF; PERFORMANCE; WALLS; RESISTANCE; THICKNESS; SYSTEMS; WOOL</t>
        </is>
      </c>
      <c r="W987" t="inlineStr">
        <is>
          <t>Improving the thermal insulation performance of buildings is crucial for saving energy. Currently, the insulation performance can be quantified based on the thermal resistance and thermal transmittance (U-value). However, for owners, these data are not readily available for the verification of different insulation methods. To address this, a solution could involve establishing a connection between specialized evaluation indicators and temperature, a common physical quantity. In this study, static and dynamic heat-transfer experiments were performed using an environmental simulation chamber and heat-flow sensors. Based on the tests, a simple predictive formula for the heat-flow density over time was established. After analyzing a full-scale building model, six cases of the heat-flow density versus temperature rise in indoor environments were obtained. This approach may aid owners in visually assessing the insulation performance of buildings by establishing a conversion relationship between the heat-flow density and temperature. In addition, the performance of 14 experimental specimens, including self-developed and code-documented thermal insulation materials and construction methods, was evaluated. In the simulations, after turning off indoor cooling equipment for 6 h during hot summers, the average indoor temperature increase for a roof with insulation was only 52% of that without insulation.</t>
        </is>
      </c>
      <c r="X987" t="inlineStr">
        <is>
          <t>[Li, Yutong; Teramoto, Atsushi; Ohkubo, Takaaki] Hiroshima Univ, Grad Sch Adv Sci &amp; Engn, Dept Architecture, Hiroshima 7398527, Japan; [Sugiyama, Akihiro] Dyflex Co Ltd, Tech Serv Team, Res &amp; Dev Grp, Chiba 2730027, Japan</t>
        </is>
      </c>
      <c r="Y987" t="inlineStr">
        <is>
          <t>Hiroshima University</t>
        </is>
      </c>
      <c r="Z987" t="inlineStr">
        <is>
          <t>Li, YT (corresponding author), Hiroshima Univ, Grad Sch Adv Sci &amp; Engn, Dept Architecture, Hiroshima 7398527, Japan.</t>
        </is>
      </c>
      <c r="AA987" t="inlineStr">
        <is>
          <t>d201033@hiroshima-u.ac.jp</t>
        </is>
      </c>
      <c r="AC987" t="inlineStr">
        <is>
          <t>Li, Yutong/0000-0002-4263-3290</t>
        </is>
      </c>
      <c r="AD987" t="inlineStr">
        <is>
          <t>JSPS (Japan Society for the Promotion of Science) KAKENHI [JP20H02298]; JST SPRING (Support for Pioneering Research Initiated by the Next Generation) [JPMJSP2132]</t>
        </is>
      </c>
      <c r="AE987" t="inlineStr">
        <is>
          <t>JSPS (Japan Society for the Promotion of Science) KAKENHI(Ministry of Education, Culture, Sports, Science and Technology, Japan (MEXT)Japan Society for the Promotion of ScienceGrants-in-Aid for Scientific Research (KAKENHI)); JST SPRING (Support for Pioneering Research Initiated by the Next Generation)</t>
        </is>
      </c>
      <c r="AF987" t="inlineStr">
        <is>
          <t>This research was funded by JSPS (Japan Society for the Promotion of Science) KAKENHI, Grant Number JP20H02298. This work was also supported by JST SPRING (Support for Pioneering Research Initiated by the Next Generation), Grant Number JPMJSP2132.</t>
        </is>
      </c>
      <c r="AH987" t="n">
        <v>51</v>
      </c>
      <c r="AI987" t="n">
        <v>1</v>
      </c>
      <c r="AJ987" t="n">
        <v>1</v>
      </c>
      <c r="AK987" t="n">
        <v>1</v>
      </c>
      <c r="AL987" t="n">
        <v>1</v>
      </c>
      <c r="AM987" t="inlineStr">
        <is>
          <t>MDPI</t>
        </is>
      </c>
      <c r="AN987" t="inlineStr">
        <is>
          <t>BASEL</t>
        </is>
      </c>
      <c r="AO987" t="inlineStr">
        <is>
          <t>ST ALBAN-ANLAGE 66, CH-4052 BASEL, SWITZERLAND</t>
        </is>
      </c>
      <c r="AQ987" t="inlineStr">
        <is>
          <t>2071-1050</t>
        </is>
      </c>
      <c r="AS987" t="inlineStr">
        <is>
          <t>SUSTAINABILITY-BASEL</t>
        </is>
      </c>
      <c r="AT987" t="inlineStr">
        <is>
          <t>Sustainability</t>
        </is>
      </c>
      <c r="AU987" t="inlineStr">
        <is>
          <t>NOV</t>
        </is>
      </c>
      <c r="AV987" t="n">
        <v>2022</v>
      </c>
      <c r="AW987" t="n">
        <v>14</v>
      </c>
      <c r="AX987" t="n">
        <v>22</v>
      </c>
      <c r="BE987" t="n">
        <v>15127</v>
      </c>
      <c r="BF987" t="inlineStr">
        <is>
          <t>10.3390/su142215127</t>
        </is>
      </c>
      <c r="BG987">
        <f>HYPERLINK("http://dx.doi.org/10.3390/su142215127","http://dx.doi.org/10.3390/su142215127")</f>
        <v/>
      </c>
      <c r="BJ987" t="n">
        <v>23</v>
      </c>
      <c r="BK987" t="inlineStr">
        <is>
          <t>Green &amp; Sustainable Science &amp; Technology; Environmental Sciences; Environmental Studies</t>
        </is>
      </c>
      <c r="BL987" t="inlineStr">
        <is>
          <t>Science Citation Index Expanded (SCI-EXPANDED); Social Science Citation Index (SSCI)</t>
        </is>
      </c>
      <c r="BM987" t="inlineStr">
        <is>
          <t>Science &amp; Technology - Other Topics; Environmental Sciences &amp; Ecology</t>
        </is>
      </c>
      <c r="BN987" t="inlineStr">
        <is>
          <t>6K7BS</t>
        </is>
      </c>
      <c r="BP987" t="inlineStr">
        <is>
          <t>gold</t>
        </is>
      </c>
      <c r="BS987" t="inlineStr">
        <is>
          <t>2023-10-26</t>
        </is>
      </c>
      <c r="BT987" t="inlineStr">
        <is>
          <t>WOS:000887653200001</t>
        </is>
      </c>
      <c r="BU987">
        <f>HYPERLINK("https%3A%2F%2Fwww.webofscience.com%2Fwos%2Fwoscc%2Ffull-record%2FWOS:000887653200001","View Full Record in Web of Science")</f>
        <v/>
      </c>
    </row>
    <row r="988">
      <c r="A988" t="inlineStr">
        <is>
          <t>J</t>
        </is>
      </c>
      <c r="B988" t="inlineStr">
        <is>
          <t>Tao, YQ; Lau, SSY; Gou, ZH; Fu, JY; Jiang, BY; Chen, XW</t>
        </is>
      </c>
      <c r="F988" t="inlineStr">
        <is>
          <t>Tao, Yiqi; Lau, Stephen Siu Yu; Gou, Zhonghua; Fu, Jiayan; Jiang, Boya; Chen, Xiaowei</t>
        </is>
      </c>
      <c r="J988" t="inlineStr">
        <is>
          <t>INTERNATIONAL JOURNAL OF ENVIRONMENTAL RESEARCH AND PUBLIC HEALTH</t>
        </is>
      </c>
      <c r="M988" t="inlineStr">
        <is>
          <t>English</t>
        </is>
      </c>
      <c r="N988" t="inlineStr">
        <is>
          <t>Article</t>
        </is>
      </c>
      <c r="T988" t="inlineStr">
        <is>
          <t>Privacy and Well-Being in Aged Care Facilities with a Crowded Living Environment: Case Study of Hong Kong Care and Attention Homes</t>
        </is>
      </c>
      <c r="U988" t="inlineStr">
        <is>
          <t>privacy; well-being; elderly; aged care facilities; compact living</t>
        </is>
      </c>
      <c r="V988" t="inlineStr">
        <is>
          <t>NURSING-HOME; HEALTH; DISTRESS; QUALITY; LIFE</t>
        </is>
      </c>
      <c r="W988" t="inlineStr">
        <is>
          <t>This study aims to understand the relationship between bedroom privacy and well-being of the elderly in aged care facilities with a compact living situation. A majority of studies on this topic were carried out in a low-density population context. The crowded living situation might compromise the well-being of residents. This study proposed five architectural parameters to measure bedroom privacy in aged care facilities: total open surface per unit, openness/solid ratio per bed, height of partition wall, number of people per unit, and personal control over bedroom privacy. SF-12 v.2 Health Survey was used to collect information on physical and mental health status. The study surveyed nine Care &amp; Attention homes and their 213 residents in Hong Kong. The total open surface per unit and the openness/solid ratio per bed were positively associated with the physical health of residents. The height of partition walls was associated negatively with their physical and mental health conditions, and the number of people per unit was negatively associated with their physical health. More than half of respondents preferred a single unit with high partition walls; however, 40% of respondents preferred low partition walls. The provision of privacy for the elderly should be balanced with their needs for social interactions; total open surface per unit, openness/solid ratio per bed and height of partition wall should be taken into consideration. The study provides evidence and design guidelines for improving privacy in aged care facilities with a compact living environment.</t>
        </is>
      </c>
      <c r="X988" t="inlineStr">
        <is>
          <t>[Tao, Yiqi; Lau, Stephen Siu Yu] Natl Univ Singapore, Dept Architecture, Singapore 117566, Singapore; [Gou, Zhonghua] Griffith Univ, Sch Engn &amp; Built Environm, Gold Coast, Qld 4215, Australia; [Fu, Jiayan] Zhejiang Univ, Coll Civil Engn &amp; Architecture, Dept Architecture, Hangzhou 310000, Zhejiang, Peoples R China; [Jiang, Boya] Nanjing Tech Univ, Sch Architecture, Nanjing 211816, Jiangsu, Peoples R China; [Chen, Xiaowei] Zhejiang Univ, Sch Publ Affairs, Hangzhou 310000, Zhejiang, Peoples R China</t>
        </is>
      </c>
      <c r="Y988" t="inlineStr">
        <is>
          <t>National University of Singapore; Griffith University; Zhejiang University; Nanjing Tech University; Zhejiang University</t>
        </is>
      </c>
      <c r="Z988" t="inlineStr">
        <is>
          <t>Gou, ZH (corresponding author), Griffith Univ, Sch Engn &amp; Built Environm, Gold Coast, Qld 4215, Australia.</t>
        </is>
      </c>
      <c r="AA988" t="inlineStr">
        <is>
          <t>taoyiqi@gmail.com; laustephensyy@gmail.com; z.gou@griffith.edu.au; fujiayan513@gmail.com; jiangboya@njtech.edu.cn; florachenxiaowei@zju.edu.cn</t>
        </is>
      </c>
      <c r="AB988" t="inlineStr">
        <is>
          <t>Gou, Zhonghua/H-5621-2019</t>
        </is>
      </c>
      <c r="AC988" t="inlineStr">
        <is>
          <t>Gou, Zhonghua/0000-0001-9627-4724; Chen, Xiaowei/0000-0002-6287-5385</t>
        </is>
      </c>
      <c r="AD988" t="inlineStr">
        <is>
          <t>National Natural Science Foundation of China [51708282]</t>
        </is>
      </c>
      <c r="AE988" t="inlineStr">
        <is>
          <t>National Natural Science Foundation of China(National Natural Science Foundation of China (NSFC))</t>
        </is>
      </c>
      <c r="AF988" t="inlineStr">
        <is>
          <t>The research is supported by National Natural Science Foundation of China (Grant No. 51708282).</t>
        </is>
      </c>
      <c r="AH988" t="n">
        <v>32</v>
      </c>
      <c r="AI988" t="n">
        <v>7</v>
      </c>
      <c r="AJ988" t="n">
        <v>7</v>
      </c>
      <c r="AK988" t="n">
        <v>1</v>
      </c>
      <c r="AL988" t="n">
        <v>22</v>
      </c>
      <c r="AM988" t="inlineStr">
        <is>
          <t>MDPI</t>
        </is>
      </c>
      <c r="AN988" t="inlineStr">
        <is>
          <t>BASEL</t>
        </is>
      </c>
      <c r="AO988" t="inlineStr">
        <is>
          <t>ST ALBAN-ANLAGE 66, CH-4052 BASEL, SWITZERLAND</t>
        </is>
      </c>
      <c r="AQ988" t="inlineStr">
        <is>
          <t>1660-4601</t>
        </is>
      </c>
      <c r="AS988" t="inlineStr">
        <is>
          <t>INT J ENV RES PUB HE</t>
        </is>
      </c>
      <c r="AT988" t="inlineStr">
        <is>
          <t>Int. J. Environ. Res. Public Health</t>
        </is>
      </c>
      <c r="AU988" t="inlineStr">
        <is>
          <t>OCT</t>
        </is>
      </c>
      <c r="AV988" t="n">
        <v>2018</v>
      </c>
      <c r="AW988" t="n">
        <v>15</v>
      </c>
      <c r="AX988" t="n">
        <v>10</v>
      </c>
      <c r="BE988" t="n">
        <v>2157</v>
      </c>
      <c r="BF988" t="inlineStr">
        <is>
          <t>10.3390/ijerph15102157</t>
        </is>
      </c>
      <c r="BG988">
        <f>HYPERLINK("http://dx.doi.org/10.3390/ijerph15102157","http://dx.doi.org/10.3390/ijerph15102157")</f>
        <v/>
      </c>
      <c r="BJ988" t="n">
        <v>14</v>
      </c>
      <c r="BK988" t="inlineStr">
        <is>
          <t>Environmental Sciences; Public, Environmental &amp; Occupational Health</t>
        </is>
      </c>
      <c r="BL988" t="inlineStr">
        <is>
          <t>Science Citation Index Expanded (SCI-EXPANDED); Social Science Citation Index (SSCI)</t>
        </is>
      </c>
      <c r="BM988" t="inlineStr">
        <is>
          <t>Environmental Sciences &amp; Ecology; Public, Environmental &amp; Occupational Health</t>
        </is>
      </c>
      <c r="BN988" t="inlineStr">
        <is>
          <t>GY7TQ</t>
        </is>
      </c>
      <c r="BO988" t="n">
        <v>30275374</v>
      </c>
      <c r="BP988" t="inlineStr">
        <is>
          <t>gold, Green Published, Green Submitted</t>
        </is>
      </c>
      <c r="BS988" t="inlineStr">
        <is>
          <t>2023-10-26</t>
        </is>
      </c>
      <c r="BT988" t="inlineStr">
        <is>
          <t>WOS:000448818100099</t>
        </is>
      </c>
      <c r="BU988">
        <f>HYPERLINK("https%3A%2F%2Fwww.webofscience.com%2Fwos%2Fwoscc%2Ffull-record%2FWOS:000448818100099","View Full Record in Web of Science")</f>
        <v/>
      </c>
    </row>
    <row r="989">
      <c r="A989" t="inlineStr">
        <is>
          <t>J</t>
        </is>
      </c>
      <c r="B989" t="inlineStr">
        <is>
          <t>Lu, CY; Lin, JM; Chen, YY; Chen, YC</t>
        </is>
      </c>
      <c r="F989" t="inlineStr">
        <is>
          <t>Lu, Chung-Yen; Lin, Jia-Min; Chen, Ying-Yi; Chen, Yi-Chun</t>
        </is>
      </c>
      <c r="J989" t="inlineStr">
        <is>
          <t>INTERNATIONAL JOURNAL OF ENVIRONMENTAL RESEARCH AND PUBLIC HEALTH</t>
        </is>
      </c>
      <c r="M989" t="inlineStr">
        <is>
          <t>English</t>
        </is>
      </c>
      <c r="N989" t="inlineStr">
        <is>
          <t>Article</t>
        </is>
      </c>
      <c r="T989" t="inlineStr">
        <is>
          <t>Building-Related Symptoms among Office Employees Associated with Indoor Carbon Dioxide and Total Volatile Organic Compounds</t>
        </is>
      </c>
      <c r="U989" t="inlineStr">
        <is>
          <t>carbon dioxide; indoor air quality; sick-building syndrome; volatile organic compounds</t>
        </is>
      </c>
      <c r="V989" t="inlineStr">
        <is>
          <t>SUBJECTIVE SYMPTOMS; CO2 CONCENTRATIONS; AIR-POLLUTION; SICK; PREVALENCE; WORKERS; PLASTICIZERS; DWELLINGS; BACTERIA; DAMPNESS</t>
        </is>
      </c>
      <c r="W989" t="inlineStr">
        <is>
          <t>This study investigated whether sick building syndrome (SBS) complaints among office workers were associated with the indoor air quality. With informed consent, 417 employees in 87 office rooms of eight high-rise buildings completed a self-reported questionnaire for symptoms experienced at work during the past month. Carbon dioxide (CO2), temperature, humidity and total volatile organic compounds (TVOCs) in each office were simultaneously measured for eight office hours using portable monitors. Time-averaged workday difference between the indoor and the outdoor CO2 concentrations (dCO(2)) was calculated as a surrogate measure of ventilation efficiency for each office unit. The prevalence rates of SBS were 22.5% for eye syndrome, 15.3% for upper respiratory and 25.4% for non-specific syndromes. Tiredness (20.9%), difficulty in concentrating (14.6%), eye dryness (18.7%) were also common complaints. The generalized estimating equations multivariate logistic regression analyses showed that adjusted odds ratios (aORs) and 95% confidence interval (CI) per 100 ppm increase in dCO(2) were significantly associated with dry throat (1.10, 95% CI = (1.00-1.22)), tiredness (1.16, 95% CI = (1.04-1.29)) and dizziness (1.22, 95% CI = (1.08-1.37)). The ORs for per 100 ppb increases in TVOCs were also associated with upper respiratory symptoms (1.06, 95% CI = (1.04-1.07)), dry throat (1.06, 95% CI = (1.03-1.09)) and irritability (1.02, 95% CI = (1.01-1.04)). In conclusion, the association between some SBS symptoms and the exposure to CO2 and total VOCs are moderate but may be independently significant.</t>
        </is>
      </c>
      <c r="X989" t="inlineStr">
        <is>
          <t>[Lu, Chung-Yen] China Med Univ, Sch Postbaccalaureate Chinese Med, Taichung 404, Taiwan; [Lu, Chung-Yen] China Med Univ Hosp, Dept Med Res, Res Ctr Tradit Chinese Med, Taichung 404, Taiwan; [Lin, Jia-Min] Natl Taiwan Univ, Inst Environm Hlth, Taipei 100, Taiwan; [Chen, Ying-Yi] Natl Yang Ming Univ, Inst Environm &amp; Occupat Hlth Sci, Taipei 100, Taiwan; [Chen, Yi-Chun] I Shou Univ, Dept Hlth Management, Kaohsiung 824, Taiwan</t>
        </is>
      </c>
      <c r="Y989" t="inlineStr">
        <is>
          <t>China Medical University Taiwan; China Medical University Taiwan; China Medical University Hospital - Taiwan; National Taiwan University; National Yang Ming Chiao Tung University; I Shou University</t>
        </is>
      </c>
      <c r="Z989" t="inlineStr">
        <is>
          <t>Chen, YC (corresponding author), I Shou Univ, Dept Hlth Management, Kaohsiung 824, Taiwan.</t>
        </is>
      </c>
      <c r="AA989" t="inlineStr">
        <is>
          <t>u100030082@cmu.edu.tw; jmlin@ntu.edu.tw; sickle0312@gmail.com; kimi@isu.edu.tw</t>
        </is>
      </c>
      <c r="AD989" t="inlineStr">
        <is>
          <t>National Science Council, Taiwan [NSC 92-2320-B-039-054]</t>
        </is>
      </c>
      <c r="AE989" t="inlineStr">
        <is>
          <t>National Science Council, Taiwan(Ministry of Science and Technology, Taiwan)</t>
        </is>
      </c>
      <c r="AF989" t="inlineStr">
        <is>
          <t>The authors gratefully acknowledge all the participants in this study. This work was supported by the National Science Council, Taiwan (grant number NSC 92-2320-B-039-054).</t>
        </is>
      </c>
      <c r="AH989" t="n">
        <v>30</v>
      </c>
      <c r="AI989" t="n">
        <v>56</v>
      </c>
      <c r="AJ989" t="n">
        <v>57</v>
      </c>
      <c r="AK989" t="n">
        <v>1</v>
      </c>
      <c r="AL989" t="n">
        <v>48</v>
      </c>
      <c r="AM989" t="inlineStr">
        <is>
          <t>MDPI</t>
        </is>
      </c>
      <c r="AN989" t="inlineStr">
        <is>
          <t>BASEL</t>
        </is>
      </c>
      <c r="AO989" t="inlineStr">
        <is>
          <t>ST ALBAN-ANLAGE 66, CH-4052 BASEL, SWITZERLAND</t>
        </is>
      </c>
      <c r="AQ989" t="inlineStr">
        <is>
          <t>1660-4601</t>
        </is>
      </c>
      <c r="AS989" t="inlineStr">
        <is>
          <t>INT J ENV RES PUB HE</t>
        </is>
      </c>
      <c r="AT989" t="inlineStr">
        <is>
          <t>Int. J. Environ. Res. Public Health</t>
        </is>
      </c>
      <c r="AU989" t="inlineStr">
        <is>
          <t>JUN</t>
        </is>
      </c>
      <c r="AV989" t="n">
        <v>2015</v>
      </c>
      <c r="AW989" t="n">
        <v>12</v>
      </c>
      <c r="AX989" t="n">
        <v>6</v>
      </c>
      <c r="BC989" t="n">
        <v>5833</v>
      </c>
      <c r="BD989" t="n">
        <v>5845</v>
      </c>
      <c r="BF989" t="inlineStr">
        <is>
          <t>10.3390/ijerph120605833</t>
        </is>
      </c>
      <c r="BG989">
        <f>HYPERLINK("http://dx.doi.org/10.3390/ijerph120605833","http://dx.doi.org/10.3390/ijerph120605833")</f>
        <v/>
      </c>
      <c r="BJ989" t="n">
        <v>13</v>
      </c>
      <c r="BK989" t="inlineStr">
        <is>
          <t>Environmental Sciences; Public, Environmental &amp; Occupational Health</t>
        </is>
      </c>
      <c r="BL989" t="inlineStr">
        <is>
          <t>Science Citation Index Expanded (SCI-EXPANDED)</t>
        </is>
      </c>
      <c r="BM989" t="inlineStr">
        <is>
          <t>Environmental Sciences &amp; Ecology; Public, Environmental &amp; Occupational Health</t>
        </is>
      </c>
      <c r="BN989" t="inlineStr">
        <is>
          <t>CL9BI</t>
        </is>
      </c>
      <c r="BO989" t="n">
        <v>26024357</v>
      </c>
      <c r="BP989" t="inlineStr">
        <is>
          <t>Green Submitted, gold, Green Published</t>
        </is>
      </c>
      <c r="BS989" t="inlineStr">
        <is>
          <t>2023-10-26</t>
        </is>
      </c>
      <c r="BT989" t="inlineStr">
        <is>
          <t>WOS:000357268500009</t>
        </is>
      </c>
      <c r="BU989">
        <f>HYPERLINK("https%3A%2F%2Fwww.webofscience.com%2Fwos%2Fwoscc%2Ffull-record%2FWOS:000357268500009","View Full Record in Web of Science")</f>
        <v/>
      </c>
    </row>
    <row r="990">
      <c r="A990" t="inlineStr">
        <is>
          <t>J</t>
        </is>
      </c>
      <c r="B990" t="inlineStr">
        <is>
          <t>Huang, Y; Sum, KWR; Yang, YJ; Yeung, NCY</t>
        </is>
      </c>
      <c r="F990" t="inlineStr">
        <is>
          <t>Huang, Yan; Sum, Kim-Wai Raymond; Yang, Yi-Jian; Yeung, Nelson Chun-Yiu</t>
        </is>
      </c>
      <c r="J990" t="inlineStr">
        <is>
          <t>INTERNATIONAL JOURNAL OF ENVIRONMENTAL RESEARCH AND PUBLIC HEALTH</t>
        </is>
      </c>
      <c r="M990" t="inlineStr">
        <is>
          <t>English</t>
        </is>
      </c>
      <c r="N990" t="inlineStr">
        <is>
          <t>Review</t>
        </is>
      </c>
      <c r="T990" t="inlineStr">
        <is>
          <t>Measurements of Older Adults' Physical Competence under the Concept of Physical Literacy: A Scoping Review</t>
        </is>
      </c>
      <c r="U990" t="inlineStr">
        <is>
          <t>physical literacy; physical competence; measurements; older adults; scoping review</t>
        </is>
      </c>
      <c r="V990" t="inlineStr">
        <is>
          <t>QUALITY-OF-LIFE; FUNCTIONAL-CAPACITY; EXERCISE; BALANCE; DEPRESSION; EDUCATION; PROGRAM; DANCE</t>
        </is>
      </c>
      <c r="W990" t="inlineStr">
        <is>
          <t>Physical literacy, especially in the fields of physical education and public health, has been gaining global interest in recent years. Applying an appropriate method to measure physical competence under the concept of physical literacy for older adults aligns with the goal of healthy aging. In this scoping review, we reflected on previous empirical studies regarding the measurements of physical competence among older adults holistically and systematically to identify and analyze gaps in the topic of physical literacy among older adults as a precursor to a systematic review. We searched five databases using the Preferred Reporting Items for Systematic Reviews and Meta-Analyses (PRISMA) for Protocols guidelines: (1) SPORTDiscus; (2) PubMed; (3) Scopus; (4) ScienceDirect; and (5) Web of Science. There were 29 studies included in our thematic analysis. Through our review, we found that 73% of the mean age of the participants comprised older baby boomers who were from 65-74 years old as aging continues. Therefore, more effort should be made in developing physical literacy for older adults with the goal of health promotion. Our results showed that most studies adopted both self-reported and objective measures, in which objective measures were widely embraced by scholars in the measurement, while self-reported measures were encouraged to be included in the assessment as well. Using assessment tools to measure a combination of actual physical competence and perceived physical competence is recommended in the measurement of physical competence, especially in older adults. In addition, other elements of physical literacy should be taken into account when measuring physical competency in older adults. For future implementation, when framing the model to chart physical literacy for older adults, it is important to review the definition again and adopt a holistic measurement system including every aspect of physical literacy.</t>
        </is>
      </c>
      <c r="X990" t="inlineStr">
        <is>
          <t>[Huang, Yan; Sum, Kim-Wai Raymond; Yang, Yi-Jian] Chinese Univ Hong Kong, Dept Sports Sci &amp; Phys Educ, Hong Kong, Peoples R China; [Yeung, Nelson Chun-Yiu] Chinese Univ Hong Kong, Jockey Club Sch Publ Hlth &amp; Primary Care, Hong Kong, Peoples R China</t>
        </is>
      </c>
      <c r="Y990" t="inlineStr">
        <is>
          <t>Chinese University of Hong Kong; Chinese University of Hong Kong</t>
        </is>
      </c>
      <c r="Z990" t="inlineStr">
        <is>
          <t>Sum, KWR (corresponding author), Chinese Univ Hong Kong, Dept Sports Sci &amp; Phys Educ, Hong Kong, Peoples R China.</t>
        </is>
      </c>
      <c r="AA990" t="inlineStr">
        <is>
          <t>Hayleyhy@link.cuhk.edu.hk; kwsum@cuhk.edu.hk; yyang@cuhk.edu.hk; nelsonyeung@cuhk.edu.hk</t>
        </is>
      </c>
      <c r="AB990" t="inlineStr">
        <is>
          <t>Huang, Yan/JAX-3509-2023; Sum, Raymond/ABA-1210-2020; Yang, Yijian/G-1580-2016</t>
        </is>
      </c>
      <c r="AC990" t="inlineStr">
        <is>
          <t>Huang, Yan/0000-0001-6395-685X; Sum, Raymond/0000-0002-4051-9945; Yang, Yijian/0000-0002-5831-186X; Yeung, Nelson C. Y./0000-0003-1375-9086</t>
        </is>
      </c>
      <c r="AD990" t="inlineStr">
        <is>
          <t>Direct Grant for Research, Faculty of Education, The Chinese University of Hong Kong [4058079]</t>
        </is>
      </c>
      <c r="AE990" t="inlineStr">
        <is>
          <t>Direct Grant for Research, Faculty of Education, The Chinese University of Hong Kong</t>
        </is>
      </c>
      <c r="AF990" t="inlineStr">
        <is>
          <t>Direct Grant for Research, Faculty of Education, The Chinese University of Hong Kong Project number: 4058079.</t>
        </is>
      </c>
      <c r="AH990" t="n">
        <v>55</v>
      </c>
      <c r="AI990" t="n">
        <v>12</v>
      </c>
      <c r="AJ990" t="n">
        <v>11</v>
      </c>
      <c r="AK990" t="n">
        <v>3</v>
      </c>
      <c r="AL990" t="n">
        <v>46</v>
      </c>
      <c r="AM990" t="inlineStr">
        <is>
          <t>MDPI</t>
        </is>
      </c>
      <c r="AN990" t="inlineStr">
        <is>
          <t>BASEL</t>
        </is>
      </c>
      <c r="AO990" t="inlineStr">
        <is>
          <t>ST ALBAN-ANLAGE 66, CH-4052 BASEL, SWITZERLAND</t>
        </is>
      </c>
      <c r="AQ990" t="inlineStr">
        <is>
          <t>1660-4601</t>
        </is>
      </c>
      <c r="AS990" t="inlineStr">
        <is>
          <t>INT J ENV RES PUB HE</t>
        </is>
      </c>
      <c r="AT990" t="inlineStr">
        <is>
          <t>Int. J. Environ. Res. Public Health</t>
        </is>
      </c>
      <c r="AU990" t="inlineStr">
        <is>
          <t>SEP</t>
        </is>
      </c>
      <c r="AV990" t="n">
        <v>2020</v>
      </c>
      <c r="AW990" t="n">
        <v>17</v>
      </c>
      <c r="AX990" t="n">
        <v>18</v>
      </c>
      <c r="BE990" t="n">
        <v>6570</v>
      </c>
      <c r="BF990" t="inlineStr">
        <is>
          <t>10.3390/ijerph17186570</t>
        </is>
      </c>
      <c r="BG990">
        <f>HYPERLINK("http://dx.doi.org/10.3390/ijerph17186570","http://dx.doi.org/10.3390/ijerph17186570")</f>
        <v/>
      </c>
      <c r="BJ990" t="n">
        <v>15</v>
      </c>
      <c r="BK990" t="inlineStr">
        <is>
          <t>Environmental Sciences; Public, Environmental &amp; Occupational Health</t>
        </is>
      </c>
      <c r="BL990" t="inlineStr">
        <is>
          <t>Science Citation Index Expanded (SCI-EXPANDED); Social Science Citation Index (SSCI)</t>
        </is>
      </c>
      <c r="BM990" t="inlineStr">
        <is>
          <t>Environmental Sciences &amp; Ecology; Public, Environmental &amp; Occupational Health</t>
        </is>
      </c>
      <c r="BN990" t="inlineStr">
        <is>
          <t>OF8XP</t>
        </is>
      </c>
      <c r="BO990" t="n">
        <v>32916990</v>
      </c>
      <c r="BP990" t="inlineStr">
        <is>
          <t>Green Published, gold</t>
        </is>
      </c>
      <c r="BS990" t="inlineStr">
        <is>
          <t>2023-10-26</t>
        </is>
      </c>
      <c r="BT990" t="inlineStr">
        <is>
          <t>WOS:000581483300001</t>
        </is>
      </c>
      <c r="BU990">
        <f>HYPERLINK("https%3A%2F%2Fwww.webofscience.com%2Fwos%2Fwoscc%2Ffull-record%2FWOS:000581483300001","View Full Record in Web of Science")</f>
        <v/>
      </c>
    </row>
    <row r="991">
      <c r="A991" t="inlineStr">
        <is>
          <t>J</t>
        </is>
      </c>
      <c r="B991" t="inlineStr">
        <is>
          <t>Slezakova, K; Peixoto, C; Pereira, MD; Morais, S</t>
        </is>
      </c>
      <c r="F991" t="inlineStr">
        <is>
          <t>Slezakova, Klara; Peixoto, Catia; Pereira, Maria do Carmo; Morais, Simone</t>
        </is>
      </c>
      <c r="J991" t="inlineStr">
        <is>
          <t>JOURNAL OF TOXICOLOGY AND ENVIRONMENTAL HEALTH-PART A-CURRENT ISSUES</t>
        </is>
      </c>
      <c r="M991" t="inlineStr">
        <is>
          <t>English</t>
        </is>
      </c>
      <c r="N991" t="inlineStr">
        <is>
          <t>Article</t>
        </is>
      </c>
      <c r="T991" t="inlineStr">
        <is>
          <t>(Ultra) Fine particle concentrations and exposure in different indoor and outdoor microenvironments during physical exercising</t>
        </is>
      </c>
      <c r="U991" t="inlineStr">
        <is>
          <t>Air pollution; ultrafine particles (UFP); physical activity; indoor; outdoor</t>
        </is>
      </c>
      <c r="V991" t="inlineStr">
        <is>
          <t>AIR-POLLUTION; PARTICULATE MATTER; PERSONAL EXPOSURE; PRIMARY-SCHOOLS; QUALITY; DISEASES; ENVIRONMENTS; EMISSIONS; EMPHASIS; CHILDREN</t>
        </is>
      </c>
      <c r="W991" t="inlineStr">
        <is>
          <t>Although regular exercise improves overall well-being, increased physical activity results in enhanced breathing which consequently leads to elevated exposure to a variety of air pollutants producing adverse effects. It is well-known that one of these ambient air contaminants is ultrafine particles (UFP). Thus, this study aimed to (1) examine exposure to particle number concentrations (PNC) in size ranging from N20-1000 nm in different sport environments and (2) estimate the respective inhalation doses across varying activity scenarios based upon the World Health Organization recommendations for physical activity. PNC were continuously monitored (TSI P-Trak (TM) condensation particle counter) outdoors (Out1-Out2) and indoors (Ind1-Ind2; fitness clubs) over 4 weeks. Outdoor PNC (total median 12 563 # cm(-3); means of 20 367 # cm(-3) at Out1 and 7 122 # cm(-3) at Out2) were approximately 1.6-fold higher than indoors (total median 7 653 # cm(-3); means of 11 861 # cm(-3) at Ind1 and 14 200 # cm(-3) at Ind2). The lowest doses were inhaled during holistic group classes (7.91 x 10(7)-1.87 x 10(8) # per kg body weight) whereas exercising with mixed cardio and strength training led to approximately 1.8-fold higher levels. In order to optimize the health benefit of exercises, environmental characteristics of the locations at which physical activities are conducted need to be considered.</t>
        </is>
      </c>
      <c r="X991" t="inlineStr">
        <is>
          <t>[Slezakova, Klara; Pereira, Maria do Carmo] Univ Porto, Fac Engn, LEPABE, R Dr Roberto Frias, P-4200465 Porto, Portugal; [Slezakova, Klara; Peixoto, Catia; Morais, Simone] Inst Super Engn Porto, Inst Politecn Porto, REQUIMTE LAQV, R Dr Antonio Bernardino de Almeida 431, P-4200072 Porto, Portugal</t>
        </is>
      </c>
      <c r="Y991" t="inlineStr">
        <is>
          <t>Universidade do Porto; Instituto Politecnico do Porto</t>
        </is>
      </c>
      <c r="Z991" t="inlineStr">
        <is>
          <t>Pereira, MD (corresponding author), Univ Porto, Fac Engn, LEPABE, R Dr Roberto Frias, P-4200465 Porto, Portugal.;Morais, S (corresponding author), Inst Super Engn Porto, Inst Politecn Porto, REQUIMTE LAQV, R Dr Antonio Bernardino de Almeida 431, P-4200072 Porto, Portugal.</t>
        </is>
      </c>
      <c r="AA991" t="inlineStr">
        <is>
          <t>mcsp@fe.up.pt; sbm@isep.ipp.pt</t>
        </is>
      </c>
      <c r="AB991" t="inlineStr">
        <is>
          <t>Morais, Simone/D-8653-2013; Morais, Simone/GWC-6439-2022; Morais, Simone/N-8008-2019; Slezakova, Klara/K-8178-2013; Pereira, Maria do Carmo/S-6624-2016</t>
        </is>
      </c>
      <c r="AC991" t="inlineStr">
        <is>
          <t>Morais, Simone/0000-0001-6433-5801; Morais, Simone/0000-0001-6433-5801; Morais, Simone/0000-0001-6433-5801; Slezakova, Klara/0000-0001-5265-4186; Peixoto, Catia/0000-0002-2957-7458; Pereira, Maria do Carmo/0000-0001-8505-3432</t>
        </is>
      </c>
      <c r="AD991" t="inlineStr">
        <is>
          <t>Laboratory for Process Engineering, Environment, Biotechnology and Energy -LEPABE [UID/EQU/00511/2019]; Associate Laboratory Research Unit for Green Chemistry - Technologies and Processes Clean - LAQV - national funds through FCT/MCTES (PIDDAC) [UID/QUI/50006/2019]</t>
        </is>
      </c>
      <c r="AE991" t="inlineStr">
        <is>
          <t>Laboratory for Process Engineering, Environment, Biotechnology and Energy -LEPABE; Associate Laboratory Research Unit for Green Chemistry - Technologies and Processes Clean - LAQV - national funds through FCT/MCTES (PIDDAC)</t>
        </is>
      </c>
      <c r="AF991" t="inlineStr">
        <is>
          <t>This work was financially supported by project UID/EQU/00511/2019 - Laboratory for Process Engineering, Environment, Biotechnology and Energy -LEPABE and project UID/QUI/50006/2019 - Associate Laboratory Research Unit for Green Chemistry - Technologies and Processes Clean - LAQV, funded by national funds through FCT/MCTES (PIDDAC).</t>
        </is>
      </c>
      <c r="AH991" t="n">
        <v>67</v>
      </c>
      <c r="AI991" t="n">
        <v>10</v>
      </c>
      <c r="AJ991" t="n">
        <v>10</v>
      </c>
      <c r="AK991" t="n">
        <v>0</v>
      </c>
      <c r="AL991" t="n">
        <v>21</v>
      </c>
      <c r="AM991" t="inlineStr">
        <is>
          <t>TAYLOR &amp; FRANCIS INC</t>
        </is>
      </c>
      <c r="AN991" t="inlineStr">
        <is>
          <t>PHILADELPHIA</t>
        </is>
      </c>
      <c r="AO991" t="inlineStr">
        <is>
          <t>530 WALNUT STREET, STE 850, PHILADELPHIA, PA 19106 USA</t>
        </is>
      </c>
      <c r="AP991" t="inlineStr">
        <is>
          <t>1528-7394</t>
        </is>
      </c>
      <c r="AQ991" t="inlineStr">
        <is>
          <t>1087-2620</t>
        </is>
      </c>
      <c r="AS991" t="inlineStr">
        <is>
          <t>J TOXICOL ENV HEAL A</t>
        </is>
      </c>
      <c r="AT991" t="inlineStr">
        <is>
          <t>J. Toxicol. Env. Health Part A</t>
        </is>
      </c>
      <c r="AU991" t="inlineStr">
        <is>
          <t>MAY 3</t>
        </is>
      </c>
      <c r="AV991" t="n">
        <v>2019</v>
      </c>
      <c r="AW991" t="n">
        <v>82</v>
      </c>
      <c r="AX991" t="n">
        <v>9</v>
      </c>
      <c r="BA991" t="inlineStr">
        <is>
          <t>SI</t>
        </is>
      </c>
      <c r="BC991" t="n">
        <v>591</v>
      </c>
      <c r="BD991" t="n">
        <v>602</v>
      </c>
      <c r="BF991" t="inlineStr">
        <is>
          <t>10.1080/15287394.2019.1636494</t>
        </is>
      </c>
      <c r="BG991">
        <f>HYPERLINK("http://dx.doi.org/10.1080/15287394.2019.1636494","http://dx.doi.org/10.1080/15287394.2019.1636494")</f>
        <v/>
      </c>
      <c r="BI991" t="inlineStr">
        <is>
          <t>JUL 2019</t>
        </is>
      </c>
      <c r="BJ991" t="n">
        <v>12</v>
      </c>
      <c r="BK991" t="inlineStr">
        <is>
          <t>Environmental Sciences; Public, Environmental &amp; Occupational Health; Toxicology</t>
        </is>
      </c>
      <c r="BL991" t="inlineStr">
        <is>
          <t>Science Citation Index Expanded (SCI-EXPANDED)</t>
        </is>
      </c>
      <c r="BM991" t="inlineStr">
        <is>
          <t>Environmental Sciences &amp; Ecology; Public, Environmental &amp; Occupational Health; Toxicology</t>
        </is>
      </c>
      <c r="BN991" t="inlineStr">
        <is>
          <t>IM3LG</t>
        </is>
      </c>
      <c r="BO991" t="n">
        <v>31288676</v>
      </c>
      <c r="BP991" t="inlineStr">
        <is>
          <t>Green Published</t>
        </is>
      </c>
      <c r="BS991" t="inlineStr">
        <is>
          <t>2023-10-26</t>
        </is>
      </c>
      <c r="BT991" t="inlineStr">
        <is>
          <t>WOS:000474947500001</t>
        </is>
      </c>
      <c r="BU991">
        <f>HYPERLINK("https%3A%2F%2Fwww.webofscience.com%2Fwos%2Fwoscc%2Ffull-record%2FWOS:000474947500001","View Full Record in Web of Science")</f>
        <v/>
      </c>
    </row>
    <row r="992">
      <c r="A992" t="inlineStr">
        <is>
          <t>J</t>
        </is>
      </c>
      <c r="B992" t="inlineStr">
        <is>
          <t>Tan, TH</t>
        </is>
      </c>
      <c r="F992" t="inlineStr">
        <is>
          <t>Tan, Teck Hong</t>
        </is>
      </c>
      <c r="J992" t="inlineStr">
        <is>
          <t>INTERNATIONAL JOURNAL OF ENVIRONMENTAL RESEARCH AND PUBLIC HEALTH</t>
        </is>
      </c>
      <c r="M992" t="inlineStr">
        <is>
          <t>English</t>
        </is>
      </c>
      <c r="N992" t="inlineStr">
        <is>
          <t>Article</t>
        </is>
      </c>
      <c r="T992" t="inlineStr">
        <is>
          <t>Perceived Environmental Attributes: Their Impact on Older Adults' Mental Health in Malaysia</t>
        </is>
      </c>
      <c r="U992" t="inlineStr">
        <is>
          <t>health-related quality of life; environmental attributes; urban; Malaysia</t>
        </is>
      </c>
      <c r="V992" t="inlineStr">
        <is>
          <t>QUALITY-OF-LIFE; NEIGHBORHOOD ENVIRONMENT; BUILT ENVIRONMENT; DEPRESSIVE SYMPTOMS; GENDER-DIFFERENCES; ELDERS; RISK; DETERMINANTS; SATISFACTION; ASSOCIATION</t>
        </is>
      </c>
      <c r="W992" t="inlineStr">
        <is>
          <t>In Malaysia, the population of older adults will increase in the coming years. In this context, there is a requirement to build an age-friendly environment to enable the elderly to age healthily. Many studies have shown that a built environment that allows older adults to age in place improves their mental health. However, person-environment analysis that considers mental well-being has remained rare for older adults living in Malaysia. This study examines the relationship between Malaysian seniors' perceptions of their surroundings at home and in the neighborhood and their mental health. Using stratified sampling, 510 seniors aged 60 and over were interviewed. The results showed that accessibility (p-value 0.033, 95% CI for coefficients 0.006, 0.146), environmental qualities (0.015, 0.014, 0.129) and neighborhood problems (0.000, -0.299, -0.146) were significant determinants of elderly people's mental health. With respect to respondents' socio-demographic characteristics, female elderly (0.000, 0.616, 0.782), older adults with an elementary education (0.000, 0.263, 0.685) or a college degree (0.026, 0.019, 0.294), being married (0.005, 0.047, 0.259), the ability to drive (0.000, 0.993, 1.315), the number of dependents in the family (0.003, -0.060, -0.012), and homeownership (0.000, -0.602, -0.271) were significantly related to mental well-being.</t>
        </is>
      </c>
      <c r="X992" t="inlineStr">
        <is>
          <t>[Tan, Teck Hong] Xiamen Univ Malaysia, Sch Econ &amp; Management, Sepang 43900, Selangor, Malaysia</t>
        </is>
      </c>
      <c r="Y992" t="inlineStr">
        <is>
          <t>Xiamen University Malaysia Campus</t>
        </is>
      </c>
      <c r="Z992" t="inlineStr">
        <is>
          <t>Tan, TH (corresponding author), Xiamen Univ Malaysia, Sch Econ &amp; Management, Sepang 43900, Selangor, Malaysia.</t>
        </is>
      </c>
      <c r="AA992" t="inlineStr">
        <is>
          <t>waltertan@xmu.edu.my</t>
        </is>
      </c>
      <c r="AC992" t="inlineStr">
        <is>
          <t>Tan, Teck Hong (Walter)/0000-0001-5653-072X</t>
        </is>
      </c>
      <c r="AD992" t="inlineStr">
        <is>
          <t>Xiamen Research Funder (XMUMRF), Xiamen University Malaysia [XMUMRF/2020-C5/ISEM/0015]</t>
        </is>
      </c>
      <c r="AE992" t="inlineStr">
        <is>
          <t>Xiamen Research Funder (XMUMRF), Xiamen University Malaysia</t>
        </is>
      </c>
      <c r="AF992" t="inlineStr">
        <is>
          <t>This research was supported by Xiamen Research Funder (XMUMRF), Xiamen University Malaysia under grant number: XMUMRF/2020-C5/ISEM/0015.</t>
        </is>
      </c>
      <c r="AH992" t="n">
        <v>75</v>
      </c>
      <c r="AI992" t="n">
        <v>2</v>
      </c>
      <c r="AJ992" t="n">
        <v>2</v>
      </c>
      <c r="AK992" t="n">
        <v>2</v>
      </c>
      <c r="AL992" t="n">
        <v>24</v>
      </c>
      <c r="AM992" t="inlineStr">
        <is>
          <t>MDPI</t>
        </is>
      </c>
      <c r="AN992" t="inlineStr">
        <is>
          <t>BASEL</t>
        </is>
      </c>
      <c r="AO992" t="inlineStr">
        <is>
          <t>ST ALBAN-ANLAGE 66, CH-4052 BASEL, SWITZERLAND</t>
        </is>
      </c>
      <c r="AQ992" t="inlineStr">
        <is>
          <t>1660-4601</t>
        </is>
      </c>
      <c r="AS992" t="inlineStr">
        <is>
          <t>INT J ENV RES PUB HE</t>
        </is>
      </c>
      <c r="AT992" t="inlineStr">
        <is>
          <t>Int. J. Environ. Res. Public Health</t>
        </is>
      </c>
      <c r="AU992" t="inlineStr">
        <is>
          <t>MAR</t>
        </is>
      </c>
      <c r="AV992" t="n">
        <v>2022</v>
      </c>
      <c r="AW992" t="n">
        <v>19</v>
      </c>
      <c r="AX992" t="n">
        <v>6</v>
      </c>
      <c r="BE992" t="n">
        <v>3595</v>
      </c>
      <c r="BF992" t="inlineStr">
        <is>
          <t>10.3390/ijerph19063595</t>
        </is>
      </c>
      <c r="BG992">
        <f>HYPERLINK("http://dx.doi.org/10.3390/ijerph19063595","http://dx.doi.org/10.3390/ijerph19063595")</f>
        <v/>
      </c>
      <c r="BJ992" t="n">
        <v>13</v>
      </c>
      <c r="BK992" t="inlineStr">
        <is>
          <t>Environmental Sciences; Public, Environmental &amp; Occupational Health</t>
        </is>
      </c>
      <c r="BL992" t="inlineStr">
        <is>
          <t>Science Citation Index Expanded (SCI-EXPANDED); Social Science Citation Index (SSCI)</t>
        </is>
      </c>
      <c r="BM992" t="inlineStr">
        <is>
          <t>Environmental Sciences &amp; Ecology; Public, Environmental &amp; Occupational Health</t>
        </is>
      </c>
      <c r="BN992" t="inlineStr">
        <is>
          <t>0C3VO</t>
        </is>
      </c>
      <c r="BO992" t="n">
        <v>35329282</v>
      </c>
      <c r="BP992" t="inlineStr">
        <is>
          <t>Green Published, gold</t>
        </is>
      </c>
      <c r="BS992" t="inlineStr">
        <is>
          <t>2023-10-26</t>
        </is>
      </c>
      <c r="BT992" t="inlineStr">
        <is>
          <t>WOS:000775245100001</t>
        </is>
      </c>
      <c r="BU992">
        <f>HYPERLINK("https%3A%2F%2Fwww.webofscience.com%2Fwos%2Fwoscc%2Ffull-record%2FWOS:000775245100001","View Full Record in Web of Science")</f>
        <v/>
      </c>
    </row>
    <row r="993">
      <c r="A993" t="inlineStr">
        <is>
          <t>J</t>
        </is>
      </c>
      <c r="B993" t="inlineStr">
        <is>
          <t>Torpy, FR; Irga, PJ; Brennan, J; Burchett, MD</t>
        </is>
      </c>
      <c r="F993" t="inlineStr">
        <is>
          <t>Torpy, Fraser R.; Irga, Peter J.; Brennan, Jason; Burchett, Margaret D.</t>
        </is>
      </c>
      <c r="J993" t="inlineStr">
        <is>
          <t>AEROBIOLOGIA</t>
        </is>
      </c>
      <c r="M993" t="inlineStr">
        <is>
          <t>English</t>
        </is>
      </c>
      <c r="N993" t="inlineStr">
        <is>
          <t>Article</t>
        </is>
      </c>
      <c r="T993" t="inlineStr">
        <is>
          <t>Do indoor plants contribute to the aeromycota in city buildings?</t>
        </is>
      </c>
      <c r="U993" t="inlineStr">
        <is>
          <t>Indoor air quality; Aeromycota; Indoor plants; Airborne fungi; Office buildings</t>
        </is>
      </c>
      <c r="V993" t="inlineStr">
        <is>
          <t>PATHOGENIC FUNGI; AIRBORNE FUNGAL; ASPERGILLUS-FUMIGATUS; POTTED PLANTS; OUTDOOR AIR; SPORES; ENVIRONMENTS; EXPOSURE; EPIDEMIOLOGY; PREVALENCE</t>
        </is>
      </c>
      <c r="W993" t="inlineStr">
        <is>
          <t>Many studies have focused on the sources of fungal contamination in indoor spaces. Pathogenic fungi have been detected in the potting mix of indoor plants; however, it is unclear if plants in indoor work spaces make qualitative or quantitative contributions to the aeromycota within buildings. The current work represents a field study to determine, under realistic office conditions, whether indoor plants make a contribution to the airborne aeromycota. Fifty-five offices, within two buildings in Sydney's central business district, were studied over two seasonal periods: autumn and spring. We found that indoor plant presence made no significant difference to either indoor mould spore counts or their species composition. No seasonal differences occurred between autumn and spring samples. Indoor spore loads were significantly lower than outdoor levels, demonstrating the efficiency of the heating, ventilation and air conditioning systems in the buildings sampled. Neither the number of plants nor the species of plant used had an influence on spore loads; however, variations of those two variables offer potential for further studies. We conclude that conservative numbers of indoor plants make no substantial contribution to building occupants exposure to fungi.</t>
        </is>
      </c>
      <c r="X993" t="inlineStr">
        <is>
          <t>[Torpy, Fraser R.; Irga, Peter J.; Burchett, Margaret D.] Univ Technol Sydney, Plants &amp; Indoor Environm Qual Grp, Sch Environm, Sydney, NSW 2007, Australia; [Brennan, Jason] Sydney Environm &amp; Soil Lab Australia, Thornleigh, NSW 2120, Australia</t>
        </is>
      </c>
      <c r="Y993" t="inlineStr">
        <is>
          <t>University of Technology Sydney</t>
        </is>
      </c>
      <c r="Z993" t="inlineStr">
        <is>
          <t>Torpy, FR (corresponding author), Univ Technol Sydney, Plants &amp; Indoor Environm Qual Grp, Sch Environm, POB 123, Sydney, NSW 2007, Australia.</t>
        </is>
      </c>
      <c r="AA993" t="inlineStr">
        <is>
          <t>Fraser.Torpy@uts.edu.au</t>
        </is>
      </c>
      <c r="AB993" t="inlineStr">
        <is>
          <t>Torpy, Fraser/I-5392-2019</t>
        </is>
      </c>
      <c r="AC993" t="inlineStr">
        <is>
          <t>Irga, Peter/0000-0001-5952-0658; Torpy, Fraser/0000-0002-9137-6948</t>
        </is>
      </c>
      <c r="AD993" t="inlineStr">
        <is>
          <t>Horticulture Australia Ltd; Australian Government</t>
        </is>
      </c>
      <c r="AE993" t="inlineStr">
        <is>
          <t>Horticulture Australia Ltd(Horticulture Australia Limited); Australian Government(Australian Government)</t>
        </is>
      </c>
      <c r="AF993" t="inlineStr">
        <is>
          <t>This project was funded by Horticulture Australia Ltd with a nursery industry levy and voluntary contributions from the National Interior Plantscape Association (Australia) and matched funds from the Australian Government.</t>
        </is>
      </c>
      <c r="AH993" t="n">
        <v>51</v>
      </c>
      <c r="AI993" t="n">
        <v>11</v>
      </c>
      <c r="AJ993" t="n">
        <v>11</v>
      </c>
      <c r="AK993" t="n">
        <v>2</v>
      </c>
      <c r="AL993" t="n">
        <v>32</v>
      </c>
      <c r="AM993" t="inlineStr">
        <is>
          <t>SPRINGER</t>
        </is>
      </c>
      <c r="AN993" t="inlineStr">
        <is>
          <t>DORDRECHT</t>
        </is>
      </c>
      <c r="AO993" t="inlineStr">
        <is>
          <t>VAN GODEWIJCKSTRAAT 30, 3311 GZ DORDRECHT, NETHERLANDS</t>
        </is>
      </c>
      <c r="AP993" t="inlineStr">
        <is>
          <t>0393-5965</t>
        </is>
      </c>
      <c r="AQ993" t="inlineStr">
        <is>
          <t>1573-3025</t>
        </is>
      </c>
      <c r="AS993" t="inlineStr">
        <is>
          <t>AEROBIOLOGIA</t>
        </is>
      </c>
      <c r="AT993" t="inlineStr">
        <is>
          <t>Aerobiologia</t>
        </is>
      </c>
      <c r="AU993" t="inlineStr">
        <is>
          <t>SEP</t>
        </is>
      </c>
      <c r="AV993" t="n">
        <v>2013</v>
      </c>
      <c r="AW993" t="n">
        <v>29</v>
      </c>
      <c r="AX993" t="n">
        <v>3</v>
      </c>
      <c r="BC993" t="n">
        <v>321</v>
      </c>
      <c r="BD993" t="n">
        <v>331</v>
      </c>
      <c r="BF993" t="inlineStr">
        <is>
          <t>10.1007/s10453-012-9282-y</t>
        </is>
      </c>
      <c r="BG993">
        <f>HYPERLINK("http://dx.doi.org/10.1007/s10453-012-9282-y","http://dx.doi.org/10.1007/s10453-012-9282-y")</f>
        <v/>
      </c>
      <c r="BJ993" t="n">
        <v>11</v>
      </c>
      <c r="BK993" t="inlineStr">
        <is>
          <t>Biology; Environmental Sciences</t>
        </is>
      </c>
      <c r="BL993" t="inlineStr">
        <is>
          <t>Science Citation Index Expanded (SCI-EXPANDED)</t>
        </is>
      </c>
      <c r="BM993" t="inlineStr">
        <is>
          <t>Life Sciences &amp; Biomedicine - Other Topics; Environmental Sciences &amp; Ecology</t>
        </is>
      </c>
      <c r="BN993" t="inlineStr">
        <is>
          <t>180GY</t>
        </is>
      </c>
      <c r="BS993" t="inlineStr">
        <is>
          <t>2023-10-26</t>
        </is>
      </c>
      <c r="BT993" t="inlineStr">
        <is>
          <t>WOS:000321583100001</t>
        </is>
      </c>
      <c r="BU993">
        <f>HYPERLINK("https%3A%2F%2Fwww.webofscience.com%2Fwos%2Fwoscc%2Ffull-record%2FWOS:000321583100001","View Full Record in Web of Science")</f>
        <v/>
      </c>
    </row>
    <row r="994">
      <c r="A994" t="inlineStr">
        <is>
          <t>J</t>
        </is>
      </c>
      <c r="B994" t="inlineStr">
        <is>
          <t>Jiang, J; Wu, JR; Zhang, XC; Sun, MP; Chen, S</t>
        </is>
      </c>
      <c r="F994" t="inlineStr">
        <is>
          <t>Jiang, Jie; Wu, Jiaorong; Zhang, Xiaochun; Sun, Maopeng; Chen, Shu</t>
        </is>
      </c>
      <c r="J994" t="inlineStr">
        <is>
          <t>SUSTAINABILITY</t>
        </is>
      </c>
      <c r="M994" t="inlineStr">
        <is>
          <t>English</t>
        </is>
      </c>
      <c r="N994" t="inlineStr">
        <is>
          <t>Article</t>
        </is>
      </c>
      <c r="T994" t="inlineStr">
        <is>
          <t>Association of the Built Environment with Residents' Car Dependence: Evidence from Shenzhen, China</t>
        </is>
      </c>
      <c r="U994" t="inlineStr">
        <is>
          <t>car dependence; built environment; spatial heterogeneity; sustainable transportation</t>
        </is>
      </c>
      <c r="V994" t="inlineStr">
        <is>
          <t>ACCESSIBILITY; TRAVEL</t>
        </is>
      </c>
      <c r="W994" t="inlineStr">
        <is>
          <t>Reducing car dependence is the key to achieving the goal of green and sustainable development. Compared with the existing studies, which mainly focus on administrative areas, this study takes residential areas as the research unit. Four spatial regression models were used to investigate the effect on car dependence of six factors of the built environment (land use mix, population density, jobs-housing balance, bus stop density, metro station density, and road network density). Various test results show that the geography-weighted regression (GWR) model has more substantial explanatory power and that the estimated coefficients of built environment characteristics vary positively or negatively in diverse residential communities. The findings demonstrate that the impact of built environment characteristics on car dependence is significantly spatially heterogeneous. These results are conducive to better comprehending how built environment factors affect car dependence and help establish policies and strategies to promote sustainable transportation.</t>
        </is>
      </c>
      <c r="X994" t="inlineStr">
        <is>
          <t>[Jiang, Jie; Wu, Jiaorong] Tongji Univ, Key Lab Rd &amp; Traff Engn Minist Educ, Shanghai 201804, Peoples R China; [Jiang, Jie; Wu, Jiaorong] Tongji Univ, Urban Mobil Inst, Shanghai 200082, Peoples R China; [Jiang, Jie; Zhang, Xiaochun; Sun, Maopeng; Chen, Shu] Shenzhen Urban Transport Planning Ctr Co Ltd, Shenzhen 518000, Peoples R China</t>
        </is>
      </c>
      <c r="Y994" t="inlineStr">
        <is>
          <t>Tongji University; Tongji University</t>
        </is>
      </c>
      <c r="Z994" t="inlineStr">
        <is>
          <t>Wu, JR (corresponding author), Tongji Univ, Key Lab Rd &amp; Traff Engn Minist Educ, Shanghai 201804, Peoples R China.;Wu, JR (corresponding author), Tongji Univ, Urban Mobil Inst, Shanghai 200082, Peoples R China.;Zhang, XC (corresponding author), Shenzhen Urban Transport Planning Ctr Co Ltd, Shenzhen 518000, Peoples R China.</t>
        </is>
      </c>
      <c r="AA994" t="inlineStr">
        <is>
          <t>jiangj@sutpc.com; wjrshtj@163.com; zhangxc_su@163.com; sunmaopeng@sutpc.com; chens@sutpc.com</t>
        </is>
      </c>
      <c r="AB994" t="inlineStr">
        <is>
          <t>Jiang, Jie/Y-8371-2019</t>
        </is>
      </c>
      <c r="AC994" t="inlineStr">
        <is>
          <t>Jiang, Jie/0000-0002-2095-4667</t>
        </is>
      </c>
      <c r="AH994" t="n">
        <v>30</v>
      </c>
      <c r="AI994" t="n">
        <v>0</v>
      </c>
      <c r="AJ994" t="n">
        <v>0</v>
      </c>
      <c r="AK994" t="n">
        <v>10</v>
      </c>
      <c r="AL994" t="n">
        <v>10</v>
      </c>
      <c r="AM994" t="inlineStr">
        <is>
          <t>MDPI</t>
        </is>
      </c>
      <c r="AN994" t="inlineStr">
        <is>
          <t>BASEL</t>
        </is>
      </c>
      <c r="AO994" t="inlineStr">
        <is>
          <t>ST ALBAN-ANLAGE 66, CH-4052 BASEL, SWITZERLAND</t>
        </is>
      </c>
      <c r="AQ994" t="inlineStr">
        <is>
          <t>2071-1050</t>
        </is>
      </c>
      <c r="AS994" t="inlineStr">
        <is>
          <t>SUSTAINABILITY-BASEL</t>
        </is>
      </c>
      <c r="AT994" t="inlineStr">
        <is>
          <t>Sustainability</t>
        </is>
      </c>
      <c r="AU994" t="inlineStr">
        <is>
          <t>JUL</t>
        </is>
      </c>
      <c r="AV994" t="n">
        <v>2023</v>
      </c>
      <c r="AW994" t="n">
        <v>15</v>
      </c>
      <c r="AX994" t="n">
        <v>13</v>
      </c>
      <c r="BE994" t="n">
        <v>9888</v>
      </c>
      <c r="BF994" t="inlineStr">
        <is>
          <t>10.3390/su15139888</t>
        </is>
      </c>
      <c r="BG994">
        <f>HYPERLINK("http://dx.doi.org/10.3390/su15139888","http://dx.doi.org/10.3390/su15139888")</f>
        <v/>
      </c>
      <c r="BJ994" t="n">
        <v>13</v>
      </c>
      <c r="BK994" t="inlineStr">
        <is>
          <t>Green &amp; Sustainable Science &amp; Technology; Environmental Sciences; Environmental Studies</t>
        </is>
      </c>
      <c r="BL994" t="inlineStr">
        <is>
          <t>Science Citation Index Expanded (SCI-EXPANDED); Social Science Citation Index (SSCI)</t>
        </is>
      </c>
      <c r="BM994" t="inlineStr">
        <is>
          <t>Science &amp; Technology - Other Topics; Environmental Sciences &amp; Ecology</t>
        </is>
      </c>
      <c r="BN994" t="inlineStr">
        <is>
          <t>M2PR9</t>
        </is>
      </c>
      <c r="BP994" t="inlineStr">
        <is>
          <t>gold</t>
        </is>
      </c>
      <c r="BS994" t="inlineStr">
        <is>
          <t>2023-10-26</t>
        </is>
      </c>
      <c r="BT994" t="inlineStr">
        <is>
          <t>WOS:001028657400001</t>
        </is>
      </c>
      <c r="BU994">
        <f>HYPERLINK("https%3A%2F%2Fwww.webofscience.com%2Fwos%2Fwoscc%2Ffull-record%2FWOS:001028657400001","View Full Record in Web of Science")</f>
        <v/>
      </c>
    </row>
    <row r="995">
      <c r="A995" t="inlineStr">
        <is>
          <t>J</t>
        </is>
      </c>
      <c r="B995" t="inlineStr">
        <is>
          <t>Iranzo, MACI; Arnal-Gómez, A; Tortosa-Chuliá, MA; Balasch-Bernat, M; Forcano, S; Sentandreu-Mañó, T; Tomas, JM; Cezón-Serrano, N</t>
        </is>
      </c>
      <c r="F995" t="inlineStr">
        <is>
          <t>Cebria i Iranzo, Maria A.; Arnal-Gomez, Anna; Tortosa-Chulia, Maria A.; Balasch-Bernat, Merce; Forcano, Silvia; Sentandreu-Mano, Trinidad; Tomas, Jose M.; Cezon-Serrano, Natalia</t>
        </is>
      </c>
      <c r="J995" t="inlineStr">
        <is>
          <t>INTERNATIONAL JOURNAL OF ENVIRONMENTAL RESEARCH AND PUBLIC HEALTH</t>
        </is>
      </c>
      <c r="M995" t="inlineStr">
        <is>
          <t>English</t>
        </is>
      </c>
      <c r="N995" t="inlineStr">
        <is>
          <t>Article</t>
        </is>
      </c>
      <c r="T995" t="inlineStr">
        <is>
          <t>Functional and Clinical Characteristics for Predicting Sarcopenia in Institutionalised Older Adults: Identifying Tools for Clinical Screening</t>
        </is>
      </c>
      <c r="U995" t="inlineStr">
        <is>
          <t>sarcopenia; older adults; institutionalised; functionality; clinical</t>
        </is>
      </c>
      <c r="V995" t="inlineStr">
        <is>
          <t>SKELETAL-MUSCLE MASS; SARC-F; GAIT SPEED; PREVALENCE; RELIABILITY; VERSION; INDEX; ASSOCIATION; SENSITIVITY; MORTALITY</t>
        </is>
      </c>
      <c r="W995" t="inlineStr">
        <is>
          <t>Background: Recently, the European Working Group on Sarcopenia in Older People (EWGSOP2) has updated the sarcopenia definition based on objective evaluation of muscle strength, mass and physical performance. The aim of this study was to analyse the relationship between sarcopenia and clinical aspects such as functionality, comorbidity, polypharmacy, hospitalisations and falls in order to support sarcopenia screening in institutionalised older adults, as well as to estimate the prevalence of sarcopenia in this population using the EWGSOP2 new algorithm. Methods: A multicentre cross-sectional study was conducted on institutionalised older adults (n = 132, 77.7% female, mean age 82 years). Application of the EWGSOP2 algorithm consisted of the SARC-F questionnaire, handgrip strength (HG), appendicular skeletal muscle mass index (ASMI) and Short Physical Performance Battery (SPPB). Clinical study variables were: Barthel Index (BI), Abbreviated Charlson's Comorbidity Index (ACCI), number of medications, hospital stays and falls. Results: Age, BI and ACCI were shown to be predictors of the EWGSOP2 sarcopenia definition (Nagelkerke's R-square = 0.34), highlighting the ACCI. Sarcopenia was more prevalent in older adults aged over 85 (p= 0.005), but no differences were found according to gender (p= 0.512). Conclusion: BI and the ACCI can be considered predictors that guide healthcare professionals in early sarcopenia identification and therapeutic approach.</t>
        </is>
      </c>
      <c r="X995" t="inlineStr">
        <is>
          <t>[Cebria i Iranzo, Maria A.; Arnal-Gomez, Anna; Balasch-Bernat, Merce; Sentandreu-Mano, Trinidad; Cezon-Serrano, Natalia] Univ Valencia, Dept Physiotherapy, Valencia 46010, Spain; [Cebria i Iranzo, Maria A.; Forcano, Silvia] Hosp Univ &amp; Politecn La Fe, Valencia 46026, Spain; [Cebria i Iranzo, Maria A.; Balasch-Bernat, Merce; Cezon-Serrano, Natalia] Univ Valencia, MultiSpecial Res Grp PTinMOT, Physiotherapy Mot, Valencia 46010, Spain; [Arnal-Gomez, Anna] Univ Valencia, Res Unit Clin Biomech UBIC, Valencia 46010, Spain; [Tortosa-Chulia, Maria A.] Univ Valencia, Dept Appl Econ, Valencia 46022, Spain; [Tortosa-Chulia, Maria A.] Univ Valencia, Psychol Dev Hlth &amp; Soc PSDEHESO, Valencia 46022, Spain; [Sentandreu-Mano, Trinidad; Tomas, Jose M.] Univ Valencia, Adv Res Methods Appl Qual Life Promot ARMAQoL, Valencia 46010, Spain; [Tomas, Jose M.] Univ Valencia, Dept Methodol Behav Sci, Valencia 46010, Spain</t>
        </is>
      </c>
      <c r="Y995" t="inlineStr">
        <is>
          <t>University of Valencia; Hospital Universitari i Politecnic La Fe; University of Valencia; University of Valencia; University of Valencia; University of Valencia; University of Valencia; University of Valencia</t>
        </is>
      </c>
      <c r="Z995" t="inlineStr">
        <is>
          <t>Arnal-Gómez, A (corresponding author), Univ Valencia, Dept Physiotherapy, Valencia 46010, Spain.;Arnal-Gómez, A (corresponding author), Univ Valencia, Res Unit Clin Biomech UBIC, Valencia 46010, Spain.</t>
        </is>
      </c>
      <c r="AA995" t="inlineStr">
        <is>
          <t>angeles.cebria@uv.es; anna.arnal@uv.es; angeles.tortosa@uv.es; merce.balasch@uv.es; sforcanosanjuan@gmail.com; trinidad.sentandreu@uv.es; Jose.M.Tomas@uv.es; natalia.cezon@uv.es</t>
        </is>
      </c>
      <c r="AB995" t="inlineStr">
        <is>
          <t>Sentandreu-Mañó, Trinidad/ABG-3109-2020; Serrano, Natalia Cezón/ABA-1481-2020; Iranzo, Maria Àngels Cebrià i/Q-8949-2019; Cezón-Serrano, Natalia/K-2249-2016; Iranzo, Maria Àngels Cebrià i/M-2944-2017; Arnal-Gómez, Anna/AAK-9477-2021; TORTOSA, MARIA ANGELES/M-7302-2018</t>
        </is>
      </c>
      <c r="AC995" t="inlineStr">
        <is>
          <t>Sentandreu-Mañó, Trinidad/0000-0003-4405-0539; Serrano, Natalia Cezón/0000-0002-9084-2089; Iranzo, Maria Àngels Cebrià i/0000-0001-8803-3963; Cezón-Serrano, Natalia/0000-0002-9084-2089; Iranzo, Maria Àngels Cebrià i/0000-0001-8803-3963; Arnal-Gómez, Anna/0000-0003-1025-2239; BALASCH I BERNAT, MERCE/0000-0002-0216-0628; Tomas, Jose Manuel/0000-0002-3424-1668; TORTOSA, MARIA ANGELES/0000-0001-8576-8454</t>
        </is>
      </c>
      <c r="AD995" t="inlineStr">
        <is>
          <t>Generalitat Valenciana [GV/2019/131]</t>
        </is>
      </c>
      <c r="AE995" t="inlineStr">
        <is>
          <t>Generalitat Valenciana(Center for Forestry Research &amp; Experimentation (CIEF))</t>
        </is>
      </c>
      <c r="AF995" t="inlineStr">
        <is>
          <t>This research was funded by the Generalitat Valenciana (GV/2019/131).</t>
        </is>
      </c>
      <c r="AH995" t="n">
        <v>56</v>
      </c>
      <c r="AI995" t="n">
        <v>11</v>
      </c>
      <c r="AJ995" t="n">
        <v>12</v>
      </c>
      <c r="AK995" t="n">
        <v>3</v>
      </c>
      <c r="AL995" t="n">
        <v>15</v>
      </c>
      <c r="AM995" t="inlineStr">
        <is>
          <t>MDPI</t>
        </is>
      </c>
      <c r="AN995" t="inlineStr">
        <is>
          <t>BASEL</t>
        </is>
      </c>
      <c r="AO995" t="inlineStr">
        <is>
          <t>ST ALBAN-ANLAGE 66, CH-4052 BASEL, SWITZERLAND</t>
        </is>
      </c>
      <c r="AQ995" t="inlineStr">
        <is>
          <t>1660-4601</t>
        </is>
      </c>
      <c r="AS995" t="inlineStr">
        <is>
          <t>INT J ENV RES PUB HE</t>
        </is>
      </c>
      <c r="AT995" t="inlineStr">
        <is>
          <t>Int. J. Environ. Res. Public Health</t>
        </is>
      </c>
      <c r="AU995" t="inlineStr">
        <is>
          <t>JUN</t>
        </is>
      </c>
      <c r="AV995" t="n">
        <v>2020</v>
      </c>
      <c r="AW995" t="n">
        <v>17</v>
      </c>
      <c r="AX995" t="n">
        <v>12</v>
      </c>
      <c r="BE995" t="n">
        <v>4483</v>
      </c>
      <c r="BF995" t="inlineStr">
        <is>
          <t>10.3390/ijerph17124483</t>
        </is>
      </c>
      <c r="BG995">
        <f>HYPERLINK("http://dx.doi.org/10.3390/ijerph17124483","http://dx.doi.org/10.3390/ijerph17124483")</f>
        <v/>
      </c>
      <c r="BJ995" t="n">
        <v>15</v>
      </c>
      <c r="BK995" t="inlineStr">
        <is>
          <t>Environmental Sciences; Public, Environmental &amp; Occupational Health</t>
        </is>
      </c>
      <c r="BL995" t="inlineStr">
        <is>
          <t>Science Citation Index Expanded (SCI-EXPANDED); Social Science Citation Index (SSCI)</t>
        </is>
      </c>
      <c r="BM995" t="inlineStr">
        <is>
          <t>Environmental Sciences &amp; Ecology; Public, Environmental &amp; Occupational Health</t>
        </is>
      </c>
      <c r="BN995" t="inlineStr">
        <is>
          <t>ML6NO</t>
        </is>
      </c>
      <c r="BO995" t="n">
        <v>32580427</v>
      </c>
      <c r="BP995" t="inlineStr">
        <is>
          <t>gold, Green Published</t>
        </is>
      </c>
      <c r="BS995" t="inlineStr">
        <is>
          <t>2023-10-26</t>
        </is>
      </c>
      <c r="BT995" t="inlineStr">
        <is>
          <t>WOS:000549580500001</t>
        </is>
      </c>
      <c r="BU995">
        <f>HYPERLINK("https%3A%2F%2Fwww.webofscience.com%2Fwos%2Fwoscc%2Ffull-record%2FWOS:000549580500001","View Full Record in Web of Science")</f>
        <v/>
      </c>
    </row>
    <row r="996">
      <c r="A996" t="inlineStr">
        <is>
          <t>J</t>
        </is>
      </c>
      <c r="B996" t="inlineStr">
        <is>
          <t>Frehlich, L; Blackstaffe, A; McCormack, GR</t>
        </is>
      </c>
      <c r="F996" t="inlineStr">
        <is>
          <t>Frehlich, Levi; Blackstaffe, Anita; McCormack, Gavin R.</t>
        </is>
      </c>
      <c r="J996" t="inlineStr">
        <is>
          <t>INTERNATIONAL JOURNAL OF ENVIRONMENTAL RESEARCH AND PUBLIC HEALTH</t>
        </is>
      </c>
      <c r="M996" t="inlineStr">
        <is>
          <t>English</t>
        </is>
      </c>
      <c r="N996" t="inlineStr">
        <is>
          <t>Article</t>
        </is>
      </c>
      <c r="T996" t="inlineStr">
        <is>
          <t>Test-Retest Reliability and Walk Score® Neighbourhood Walkability Comparison of an Online Perceived Neighbourhood-Specific Adaptation of the International Physical Activity Questionnaire (IPAQ)</t>
        </is>
      </c>
      <c r="U996" t="inlineStr">
        <is>
          <t>walkable environment; physical activity; sedentary behaviour; neighbourhood; walkability; active living; survey; questionnaire</t>
        </is>
      </c>
      <c r="V996" t="inlineStr">
        <is>
          <t>ENVIRONMENT; VALIDATION; ADULTS; BEHAVIOR; SCALE</t>
        </is>
      </c>
      <c r="W996" t="inlineStr">
        <is>
          <t>There is a growing public health interest in the contributions of the built environment in enabling and supporting physical activity. However, few tools measuring neighbourhood-specific physical activity exist. This study assessed the reliability of an established physical activity tool (International Physical Activity Questionnaire: IPAQ) adapted to capture perceived neighbourhood-specific physical activity (N-IPAQ) administered via the internet and compared N-IPAQ outcomes to differences in neighbourhood Walk Score((R)). A sample of n = 261 adults completed an online questionnaire on two occasions at least seven days apart. Questionnaire items captured walking, cycling, moderate-intensity, and vigorous-intensity physical activity, undertaken inside the participant's perceived neighbourhood in the past week. Intraclass correlations, Spearman's rank correlation, and Cohen's Kappa coefficients estimated item test-retest reliability. Regression estimated the associations between self-reported perceived neighbourhood-specific physical activity and Walk Score((R)). With the exception of moderate physical activity duration, participation and duration for all physical activities demonstrated moderate reliability. Transportation walking participation and duration was higher (p &lt; 0.05) in more walkable neighbourhoods. The N-IPAQ administered online found differences in neighbourhoods that vary in their walkability. Future studies investigating built environments and self-reported physical activity may consider using the online version of the N-IPAQ.</t>
        </is>
      </c>
      <c r="X996" t="inlineStr">
        <is>
          <t>[Frehlich, Levi; Blackstaffe, Anita; McCormack, Gavin R.] Univ Calgary, Cumming Sch Med, Dept Community Hlth Sci, Calgary, AB T2N 4Z6, Canada</t>
        </is>
      </c>
      <c r="Y996" t="inlineStr">
        <is>
          <t>University of Calgary</t>
        </is>
      </c>
      <c r="Z996" t="inlineStr">
        <is>
          <t>Frehlich, L (corresponding author), Univ Calgary, Cumming Sch Med, Dept Community Hlth Sci, Calgary, AB T2N 4Z6, Canada.</t>
        </is>
      </c>
      <c r="AA996" t="inlineStr">
        <is>
          <t>lcfrehli@ucalgary.ca; ambortni@ucalgary.ca; Gavin.McCormack@ucalgary.ca</t>
        </is>
      </c>
      <c r="AB996" t="inlineStr">
        <is>
          <t>Frehlich, Levi/GWZ-3355-2022; McCormack, Gavin/JHU-7490-2023</t>
        </is>
      </c>
      <c r="AC996" t="inlineStr">
        <is>
          <t>Frehlich, Levi/0000-0002-4099-0657;</t>
        </is>
      </c>
      <c r="AD996" t="inlineStr">
        <is>
          <t>Canadian Institutes of Health Research (CIHR) [MOP-126133]; O'Brien Centre for Public Health Catalyst Grant; University Research Grant Committee Seed Grant; CIHR Foundations Scheme Grant [FDN-154331]</t>
        </is>
      </c>
      <c r="AE996" t="inlineStr">
        <is>
          <t>Canadian Institutes of Health Research (CIHR)(Canadian Institutes of Health Research (CIHR)); O'Brien Centre for Public Health Catalyst Grant; University Research Grant Committee Seed Grant; CIHR Foundations Scheme Grant(Canadian Institutes of Health Research (CIHR))</t>
        </is>
      </c>
      <c r="AF996" t="inlineStr">
        <is>
          <t>This study was part of the Pathways to Health project funded by the Canadian Institutes of Health Research (CIHR; MOP-126133). Additional funding support was provided by an O'Brien Centre for Public Health Catalyst Grant, a University Research Grant Committee Seed Grant, and a CIHR Foundations Scheme Grant (FDN-154331).</t>
        </is>
      </c>
      <c r="AH996" t="n">
        <v>46</v>
      </c>
      <c r="AI996" t="n">
        <v>6</v>
      </c>
      <c r="AJ996" t="n">
        <v>6</v>
      </c>
      <c r="AK996" t="n">
        <v>2</v>
      </c>
      <c r="AL996" t="n">
        <v>12</v>
      </c>
      <c r="AM996" t="inlineStr">
        <is>
          <t>MDPI</t>
        </is>
      </c>
      <c r="AN996" t="inlineStr">
        <is>
          <t>BASEL</t>
        </is>
      </c>
      <c r="AO996" t="inlineStr">
        <is>
          <t>ST ALBAN-ANLAGE 66, CH-4052 BASEL, SWITZERLAND</t>
        </is>
      </c>
      <c r="AQ996" t="inlineStr">
        <is>
          <t>1660-4601</t>
        </is>
      </c>
      <c r="AS996" t="inlineStr">
        <is>
          <t>INT J ENV RES PUB HE</t>
        </is>
      </c>
      <c r="AT996" t="inlineStr">
        <is>
          <t>Int. J. Environ. Res. Public Health</t>
        </is>
      </c>
      <c r="AU996" t="inlineStr">
        <is>
          <t>JUN 1</t>
        </is>
      </c>
      <c r="AV996" t="n">
        <v>2019</v>
      </c>
      <c r="AW996" t="n">
        <v>16</v>
      </c>
      <c r="AX996" t="n">
        <v>11</v>
      </c>
      <c r="BE996" t="n">
        <v>1917</v>
      </c>
      <c r="BF996" t="inlineStr">
        <is>
          <t>10.3390/ijerph16111917</t>
        </is>
      </c>
      <c r="BG996">
        <f>HYPERLINK("http://dx.doi.org/10.3390/ijerph16111917","http://dx.doi.org/10.3390/ijerph16111917")</f>
        <v/>
      </c>
      <c r="BJ996" t="n">
        <v>15</v>
      </c>
      <c r="BK996" t="inlineStr">
        <is>
          <t>Environmental Sciences; Public, Environmental &amp; Occupational Health</t>
        </is>
      </c>
      <c r="BL996" t="inlineStr">
        <is>
          <t>Science Citation Index Expanded (SCI-EXPANDED); Social Science Citation Index (SSCI)</t>
        </is>
      </c>
      <c r="BM996" t="inlineStr">
        <is>
          <t>Environmental Sciences &amp; Ecology; Public, Environmental &amp; Occupational Health</t>
        </is>
      </c>
      <c r="BN996" t="inlineStr">
        <is>
          <t>IE1GB</t>
        </is>
      </c>
      <c r="BO996" t="n">
        <v>31151210</v>
      </c>
      <c r="BP996" t="inlineStr">
        <is>
          <t>Green Published, gold</t>
        </is>
      </c>
      <c r="BS996" t="inlineStr">
        <is>
          <t>2023-10-26</t>
        </is>
      </c>
      <c r="BT996" t="inlineStr">
        <is>
          <t>WOS:000472132900045</t>
        </is>
      </c>
      <c r="BU996">
        <f>HYPERLINK("https%3A%2F%2Fwww.webofscience.com%2Fwos%2Fwoscc%2Ffull-record%2FWOS:000472132900045","View Full Record in Web of Science")</f>
        <v/>
      </c>
    </row>
    <row r="997">
      <c r="A997" t="inlineStr">
        <is>
          <t>J</t>
        </is>
      </c>
      <c r="B997" t="inlineStr">
        <is>
          <t>Wang, J; Liu, N; Zhao, XG</t>
        </is>
      </c>
      <c r="F997" t="inlineStr">
        <is>
          <t>Wang, Jin; Liu, Nan; Zhao, Xiaoguang</t>
        </is>
      </c>
      <c r="J997" t="inlineStr">
        <is>
          <t>INTERNATIONAL JOURNAL OF ENVIRONMENTAL RESEARCH AND PUBLIC HEALTH</t>
        </is>
      </c>
      <c r="M997" t="inlineStr">
        <is>
          <t>English</t>
        </is>
      </c>
      <c r="N997" t="inlineStr">
        <is>
          <t>Article</t>
        </is>
      </c>
      <c r="T997" t="inlineStr">
        <is>
          <t>Association of Playing Cards or Mahjong with Cognitive Function in Chinese Older Adults</t>
        </is>
      </c>
      <c r="U997" t="inlineStr">
        <is>
          <t>Chinese; cognitive decline; older adults; playing cards or mahjong; social entertainment</t>
        </is>
      </c>
      <c r="V997" t="inlineStr">
        <is>
          <t>LEISURE ACTIVITIES; RISK-FACTORS; DEMENTIA; DECLINE; IMPAIRMENT; INTERVENTION; SYMPTOMS; EXERCISE</t>
        </is>
      </c>
      <c r="W997" t="inlineStr">
        <is>
          <t>Cognitive decline in older adults is a major public health threat. This study aimed to explore the association of participation in cards or mahjong with cognitive function in older adults. A total of 7308 older adults were selected from the 2018 Chinese Longitudinal Healthy Longevity Survey. A modified Mini-Mental State Examination (MMSE) was used to assess cognitive function. The participants were classified according to the frequency of playing cards or mahjong into the regularly (R) group, occasionally (O) group, or never (N) group. The results showed that older persons in the R group and O group had better cognitive function than those in the N group. Specifically, significant differences were found in attention and calculation, language, and total MMSE score between the R group and the N group. However, significant differences were not observed for adults aged 60-69 years old. Regression analysis indicated that playing cards or mahjong, together with age, educational level, sex, marital status, and occupation before age 60 could explain the cognitive function. The findings suggest that there is an association between participation in cards or mahjong and cognitive function in the population of Chinese older adults, and that the frequency of participation plays an important role in the association.</t>
        </is>
      </c>
      <c r="X997" t="inlineStr">
        <is>
          <t>[Wang, Jin; Liu, Nan; Zhao, Xiaoguang] Ningbo Univ, Fac Sport Sci, Ningbo 315211, Peoples R China; [Zhao, Xiaoguang] Ningbo Univ, Res Acad Grand Hlth, Ningbo 315211, Peoples R China</t>
        </is>
      </c>
      <c r="Y997" t="inlineStr">
        <is>
          <t>Ningbo University; Ningbo University</t>
        </is>
      </c>
      <c r="Z997" t="inlineStr">
        <is>
          <t>Zhao, XG (corresponding author), Ningbo Univ, Fac Sport Sci, Ningbo 315211, Peoples R China.;Zhao, XG (corresponding author), Ningbo Univ, Res Acad Grand Hlth, Ningbo 315211, Peoples R China.</t>
        </is>
      </c>
      <c r="AA997" t="inlineStr">
        <is>
          <t>wangjin@nbu.edu.cn; 2111042019@nbu.edu.cn; zhaoxiaoguang@nbu.edu.cn</t>
        </is>
      </c>
      <c r="AB997" t="inlineStr">
        <is>
          <t>Zhao, Xiaoguang/HGA-4357-2022</t>
        </is>
      </c>
      <c r="AC997" t="inlineStr">
        <is>
          <t>Zhao, Xiaoguang/0000-0003-4347-5885</t>
        </is>
      </c>
      <c r="AD997" t="inlineStr">
        <is>
          <t>Zhejiang Philosophical and Social Science Program [21NDJC004Z]; Ningbo Public Welfare Science and Technology Project [2022S070]</t>
        </is>
      </c>
      <c r="AE997" t="inlineStr">
        <is>
          <t>Zhejiang Philosophical and Social Science Program; Ningbo Public Welfare Science and Technology Project</t>
        </is>
      </c>
      <c r="AF997" t="inlineStr">
        <is>
          <t>The work was supported by the Zhejiang Philosophical and Social Science Program, grant number 21NDJC004Z and the Ningbo Public Welfare Science and Technology Project, grant number 2022S070.</t>
        </is>
      </c>
      <c r="AH997" t="n">
        <v>42</v>
      </c>
      <c r="AI997" t="n">
        <v>4</v>
      </c>
      <c r="AJ997" t="n">
        <v>4</v>
      </c>
      <c r="AK997" t="n">
        <v>9</v>
      </c>
      <c r="AL997" t="n">
        <v>26</v>
      </c>
      <c r="AM997" t="inlineStr">
        <is>
          <t>MDPI</t>
        </is>
      </c>
      <c r="AN997" t="inlineStr">
        <is>
          <t>BASEL</t>
        </is>
      </c>
      <c r="AO997" t="inlineStr">
        <is>
          <t>ST ALBAN-ANLAGE 66, CH-4052 BASEL, SWITZERLAND</t>
        </is>
      </c>
      <c r="AQ997" t="inlineStr">
        <is>
          <t>1660-4601</t>
        </is>
      </c>
      <c r="AS997" t="inlineStr">
        <is>
          <t>INT J ENV RES PUB HE</t>
        </is>
      </c>
      <c r="AT997" t="inlineStr">
        <is>
          <t>Int. J. Environ. Res. Public Health</t>
        </is>
      </c>
      <c r="AU997" t="inlineStr">
        <is>
          <t>AUG</t>
        </is>
      </c>
      <c r="AV997" t="n">
        <v>2022</v>
      </c>
      <c r="AW997" t="n">
        <v>19</v>
      </c>
      <c r="AX997" t="n">
        <v>15</v>
      </c>
      <c r="BE997" t="n">
        <v>9249</v>
      </c>
      <c r="BF997" t="inlineStr">
        <is>
          <t>10.3390/ijerph19159249</t>
        </is>
      </c>
      <c r="BG997">
        <f>HYPERLINK("http://dx.doi.org/10.3390/ijerph19159249","http://dx.doi.org/10.3390/ijerph19159249")</f>
        <v/>
      </c>
      <c r="BJ997" t="n">
        <v>11</v>
      </c>
      <c r="BK997" t="inlineStr">
        <is>
          <t>Environmental Sciences; Public, Environmental &amp; Occupational Health</t>
        </is>
      </c>
      <c r="BL997" t="inlineStr">
        <is>
          <t>Science Citation Index Expanded (SCI-EXPANDED); Social Science Citation Index (SSCI)</t>
        </is>
      </c>
      <c r="BM997" t="inlineStr">
        <is>
          <t>Environmental Sciences &amp; Ecology; Public, Environmental &amp; Occupational Health</t>
        </is>
      </c>
      <c r="BN997" t="inlineStr">
        <is>
          <t>3R8JP</t>
        </is>
      </c>
      <c r="BO997" t="n">
        <v>35954599</v>
      </c>
      <c r="BP997" t="inlineStr">
        <is>
          <t>gold, Green Published</t>
        </is>
      </c>
      <c r="BS997" t="inlineStr">
        <is>
          <t>2023-10-26</t>
        </is>
      </c>
      <c r="BT997" t="inlineStr">
        <is>
          <t>WOS:000839152600001</t>
        </is>
      </c>
      <c r="BU997">
        <f>HYPERLINK("https%3A%2F%2Fwww.webofscience.com%2Fwos%2Fwoscc%2Ffull-record%2FWOS:000839152600001","View Full Record in Web of Science")</f>
        <v/>
      </c>
    </row>
    <row r="998">
      <c r="A998" t="inlineStr">
        <is>
          <t>J</t>
        </is>
      </c>
      <c r="B998" t="inlineStr">
        <is>
          <t>Tang, D; Wang, JW</t>
        </is>
      </c>
      <c r="F998" t="inlineStr">
        <is>
          <t>Tang, Dan; Wang, Jiwen</t>
        </is>
      </c>
      <c r="J998" t="inlineStr">
        <is>
          <t>INTERNATIONAL JOURNAL OF ENVIRONMENTAL RESEARCH AND PUBLIC HEALTH</t>
        </is>
      </c>
      <c r="M998" t="inlineStr">
        <is>
          <t>English</t>
        </is>
      </c>
      <c r="N998" t="inlineStr">
        <is>
          <t>Article</t>
        </is>
      </c>
      <c r="T998" t="inlineStr">
        <is>
          <t>Basic Public Health Service Utilization by Internal Older Adult Migrants in China</t>
        </is>
      </c>
      <c r="U998" t="inlineStr">
        <is>
          <t>health service use; migrant older adults; physical examinations</t>
        </is>
      </c>
      <c r="V998" t="inlineStr">
        <is>
          <t>MIGRATION; CARE; EDUCATION</t>
        </is>
      </c>
      <c r="W998" t="inlineStr">
        <is>
          <t>Since 2009, the Chinese government has launched a basic public health services (BPHS) equalization program to provide the same BPHS to all the citizens. However, utilization of BPHS among older migrants is still low. The purpose of this paper was to explore the determinant individual and contextual factors of older migrants' utilization of BPHS, and to provide suggestion for the government to improve BPHS utilization. Based on Andersen's model of health services use, data from the China's Regional Economic Statistics Yearbook 2014 and National Health and Family Planning Dynamic Monitoring Survey on Migrant Population 2015 were analyzed using a hierarchical random intercept model for binary outcomes. Results showed that the percentage of migrant older adults receiving free physical examinations, which is an important item of BPHS, was 36.2%. Predisposing (education, hukou, living duration in the host city, and scope of migration), enabling (health insurance and social networks), and need (self-rated health and chronic conditions) factors of individuals' characteristics had significant impact on the use of BPHS. The proportions of both migrant children enrolled in public schools and people with established health records had a positive impact on an individual's chance of receiving free physical examinations. These findings suggest that economic development and improvement at the level of the city's health resources cannot effectively improve access to BPHS by older adult migrants. Instead, the driving force appears to be supportive policies for the migrant population.</t>
        </is>
      </c>
      <c r="X998" t="inlineStr">
        <is>
          <t>[Tang, Dan; Wang, Jiwen] Renmin Univ China, Ctr Populat &amp; Dev Studies, Beijing 100872, Peoples R China; [Tang, Dan] Renmin Univ China, Inst Gerontol, Beijing 100872, Peoples R China; [Wang, Jiwen] Brown Univ, Populat Studies &amp; Training Ctr, Providence, RI 02912 USA</t>
        </is>
      </c>
      <c r="Y998" t="inlineStr">
        <is>
          <t>Renmin University of China; Renmin University of China; Brown University</t>
        </is>
      </c>
      <c r="Z998" t="inlineStr">
        <is>
          <t>Wang, JW (corresponding author), Renmin Univ China, Ctr Populat &amp; Dev Studies, Beijing 100872, Peoples R China.;Wang, JW (corresponding author), Brown Univ, Populat Studies &amp; Training Ctr, Providence, RI 02912 USA.</t>
        </is>
      </c>
      <c r="AA998" t="inlineStr">
        <is>
          <t>dantang@ruc.edu.cn; wang_jiwen@ruc.edu.cn</t>
        </is>
      </c>
      <c r="AC998" t="inlineStr">
        <is>
          <t>Wang, Jiwen/0000-0002-5764-1971</t>
        </is>
      </c>
      <c r="AD998" t="inlineStr">
        <is>
          <t>Major Program of the National Social Science Fund of China [20ZD172]; Major Program of Natural Science Foundation of China [71490731]; Fulbright Scholarship Program [PS00283464]</t>
        </is>
      </c>
      <c r="AE998" t="inlineStr">
        <is>
          <t>Major Program of the National Social Science Fund of China; Major Program of Natural Science Foundation of China(Natural Science Foundation of Fujian Province); Fulbright Scholarship Program</t>
        </is>
      </c>
      <c r="AF998" t="inlineStr">
        <is>
          <t>This work was supported by Major Program of the National Social Science Fund of China (Grant No. 20 &amp; ZD172); Major Program of Natural Science Foundation of China (Grant No. 71490731) and the Fulbright Scholarship Program (Grant No. PS00283464).</t>
        </is>
      </c>
      <c r="AH998" t="n">
        <v>41</v>
      </c>
      <c r="AI998" t="n">
        <v>16</v>
      </c>
      <c r="AJ998" t="n">
        <v>16</v>
      </c>
      <c r="AK998" t="n">
        <v>9</v>
      </c>
      <c r="AL998" t="n">
        <v>69</v>
      </c>
      <c r="AM998" t="inlineStr">
        <is>
          <t>MDPI</t>
        </is>
      </c>
      <c r="AN998" t="inlineStr">
        <is>
          <t>BASEL</t>
        </is>
      </c>
      <c r="AO998" t="inlineStr">
        <is>
          <t>ST ALBAN-ANLAGE 66, CH-4052 BASEL, SWITZERLAND</t>
        </is>
      </c>
      <c r="AQ998" t="inlineStr">
        <is>
          <t>1660-4601</t>
        </is>
      </c>
      <c r="AS998" t="inlineStr">
        <is>
          <t>INT J ENV RES PUB HE</t>
        </is>
      </c>
      <c r="AT998" t="inlineStr">
        <is>
          <t>Int. J. Environ. Res. Public Health</t>
        </is>
      </c>
      <c r="AU998" t="inlineStr">
        <is>
          <t>JAN</t>
        </is>
      </c>
      <c r="AV998" t="n">
        <v>2021</v>
      </c>
      <c r="AW998" t="n">
        <v>18</v>
      </c>
      <c r="AX998" t="n">
        <v>1</v>
      </c>
      <c r="BE998" t="n">
        <v>270</v>
      </c>
      <c r="BF998" t="inlineStr">
        <is>
          <t>10.3390/ijerph18010270</t>
        </is>
      </c>
      <c r="BG998">
        <f>HYPERLINK("http://dx.doi.org/10.3390/ijerph18010270","http://dx.doi.org/10.3390/ijerph18010270")</f>
        <v/>
      </c>
      <c r="BJ998" t="n">
        <v>14</v>
      </c>
      <c r="BK998" t="inlineStr">
        <is>
          <t>Environmental Sciences; Public, Environmental &amp; Occupational Health</t>
        </is>
      </c>
      <c r="BL998" t="inlineStr">
        <is>
          <t>Science Citation Index Expanded (SCI-EXPANDED); Social Science Citation Index (SSCI)</t>
        </is>
      </c>
      <c r="BM998" t="inlineStr">
        <is>
          <t>Environmental Sciences &amp; Ecology; Public, Environmental &amp; Occupational Health</t>
        </is>
      </c>
      <c r="BN998" t="inlineStr">
        <is>
          <t>PP7VD</t>
        </is>
      </c>
      <c r="BO998" t="n">
        <v>33401371</v>
      </c>
      <c r="BP998" t="inlineStr">
        <is>
          <t>Green Published, gold</t>
        </is>
      </c>
      <c r="BS998" t="inlineStr">
        <is>
          <t>2023-10-26</t>
        </is>
      </c>
      <c r="BT998" t="inlineStr">
        <is>
          <t>WOS:000606064900001</t>
        </is>
      </c>
      <c r="BU998">
        <f>HYPERLINK("https%3A%2F%2Fwww.webofscience.com%2Fwos%2Fwoscc%2Ffull-record%2FWOS:000606064900001","View Full Record in Web of Science")</f>
        <v/>
      </c>
    </row>
    <row r="999">
      <c r="A999" t="inlineStr">
        <is>
          <t>J</t>
        </is>
      </c>
      <c r="B999" t="inlineStr">
        <is>
          <t>Dewika, M; Markandan, K; Irfan, NA; Abdah, MAAM; Ruwaida, JN; Sara, YY; Khalid, M</t>
        </is>
      </c>
      <c r="F999" t="inlineStr">
        <is>
          <t>Dewika, M.; Markandan, Kalaimani; Irfan, N. Ahmad; Abdah, Muhammad Amirul Aizat Mohd; Ruwaida, J. Nor; Sara, Y. Y.; Khalid, Mohammad</t>
        </is>
      </c>
      <c r="J999" t="inlineStr">
        <is>
          <t>CHEMOSPHERE</t>
        </is>
      </c>
      <c r="M999" t="inlineStr">
        <is>
          <t>English</t>
        </is>
      </c>
      <c r="N999" t="inlineStr">
        <is>
          <t>Review</t>
        </is>
      </c>
      <c r="T999" t="inlineStr">
        <is>
          <t>Review of microplastics in the indoor environment: Distribution, human exposure and potential health impacts</t>
        </is>
      </c>
      <c r="U999" t="inlineStr">
        <is>
          <t>MPs; Indoor ambient; Indoor fallout; Human exposure; Health risk; Planetary health</t>
        </is>
      </c>
      <c r="V999" t="inlineStr">
        <is>
          <t>ATMOSPHERIC FALLOUT; UNITED-STATES; TABLE SALTS; HOUSE-DUST; FIBERS; INGESTION; POLLUTION; CHINA; IDENTIFICATION; DEGRADATION</t>
        </is>
      </c>
      <c r="W999" t="inlineStr">
        <is>
          <t>The emergence of microplastics (MPs) pollution as a global environmental concern has attracted significant attention in the last decade. The majority of the human population spends most of their time indoors, leading to increased exposure to MPs contamination through various sources such as settled dust, air, drinking water and food. Although research on indoor MPs has intensified significantly in recent years, comprehensive reviews on this topic remain limited. Therefore, this review comprehensively analyses the occurrence, distribution, human exposure, potential health impact and mitigation strategies of MPs in the indoor air environment. Specifically, we focus on the risks associated with finer MPs that can translocate into the circulatory system and other organs, emphasizing the need for continued research to develop effective strategies to mitigate the risks associated with MPs exposure. Our findings suggest that indoor MPs impose potential risk to human health, and strategies for mitigating exposure should be further explored.</t>
        </is>
      </c>
      <c r="X999" t="inlineStr">
        <is>
          <t>[Dewika, M.; Irfan, N. Ahmad] Sunway Univ, Ctr Amer Educ, Bandar Sunway 47500, Selangor, Malaysia; [Markandan, Kalaimani] UCSI Univ, Fac Engn Technol &amp; Built Environm, Kuala Lumpur, Malaysia; [Abdah, Muhammad Amirul Aizat Mohd; Khalid, Mohammad] Sunway Univ, Sch Engn &amp; Technol, Graphene &amp; Adv Mat Res Grp GAMRG 2D, 5,Jalan Univ, Petaling Jaya 47500, Selangor, Malaysia; [Abdah, Muhammad Amirul Aizat Mohd; Khalid, Mohammad] Sunway Univ, Sunway Mat Smart Sci &amp; Engn SMS2E Res Cluster, 5,Jalan Univ, Petaling Jaya 47500, Selangor, Malaysia; [Ruwaida, J. Nor] Malaysia Japan Int Inst Technol, UTM, Air Resources Res Lab, Kuala Lumpur 54100, Malaysia; [Sara, Y. Y.] Univ Malaysia Perlis, Fac Civil Engn &amp; Technol, Kompleks Pusat Pengajian Jejawi 3, Arau 02600, Perlis, Malaysia; [Khalid, Mohammad] Uttaranchal Univ, Dehra Dun 248007, Uttarakhand, India</t>
        </is>
      </c>
      <c r="Y999" t="inlineStr">
        <is>
          <t>Sunway University; UCSI University; Sunway University; Sunway University; Universiti Teknologi Malaysia; Universiti Malaysia Perlis; Uttaranchal University</t>
        </is>
      </c>
      <c r="Z999" t="inlineStr">
        <is>
          <t>Dewika, M (corresponding author), Sunway Univ, Ctr Amer Educ, Bandar Sunway 47500, Selangor, Malaysia.;Khalid, M (corresponding author), Sunway Univ, Sch Engn &amp; Technol, Graphene &amp; Adv Mat Res Grp GAMRG 2D, 5,Jalan Univ, Petaling Jaya 47500, Selangor, Malaysia.</t>
        </is>
      </c>
      <c r="AA999" t="inlineStr">
        <is>
          <t>dewikan@sunway.edu.my; khalids@sunway.edu.my</t>
        </is>
      </c>
      <c r="AB999" t="inlineStr">
        <is>
          <t>Markandan, Kalaimani/ITR-8937-2023; Mohd Abdah, Muhammad Amirul Aizat/AAK-2261-2020; Khalid, Mohammad/V-6525-2019</t>
        </is>
      </c>
      <c r="AC999" t="inlineStr">
        <is>
          <t>Mohd Abdah, Muhammad Amirul Aizat/0000-0002-4134-055X; Naidu, Dewika/0000-0003-4900-5905; Khalid, Mohammad/0000-0002-0265-4820; Nazarudin, Ahmad Irfan/0009-0006-8807-4224; Jamian, Nor Ruwaida/0000-0002-0956-8888</t>
        </is>
      </c>
      <c r="AD999" t="inlineStr">
        <is>
          <t>Sunway University's internal grant scheme; Fundamental Research Grant Scheme (FRGS), from the Ministry of Higher Education Malaysia [GRTIN-IGS-CAE[S]-18-2022]; [FRGS/1/2021/TK0/UNIMAP/02/47]</t>
        </is>
      </c>
      <c r="AE999" t="inlineStr">
        <is>
          <t>Sunway University's internal grant scheme; Fundamental Research Grant Scheme (FRGS), from the Ministry of Higher Education Malaysia;</t>
        </is>
      </c>
      <c r="AF999" t="inlineStr">
        <is>
          <t>This research is supported by Sunway University's internal grant scheme (GRTIN-IGS-CAE[S]-18-2022) and Fundamental Research Grant Scheme (FRGS), FRGS/1/2021/TK0/UNIMAP/02/47 from the Ministry of Higher Education Malaysia.</t>
        </is>
      </c>
      <c r="AH999" t="n">
        <v>97</v>
      </c>
      <c r="AI999" t="n">
        <v>2</v>
      </c>
      <c r="AJ999" t="n">
        <v>2</v>
      </c>
      <c r="AK999" t="n">
        <v>23</v>
      </c>
      <c r="AL999" t="n">
        <v>27</v>
      </c>
      <c r="AM999" t="inlineStr">
        <is>
          <t>PERGAMON-ELSEVIER SCIENCE LTD</t>
        </is>
      </c>
      <c r="AN999" t="inlineStr">
        <is>
          <t>OXFORD</t>
        </is>
      </c>
      <c r="AO999" t="inlineStr">
        <is>
          <t>THE BOULEVARD, LANGFORD LANE, KIDLINGTON, OXFORD OX5 1GB, ENGLAND</t>
        </is>
      </c>
      <c r="AP999" t="inlineStr">
        <is>
          <t>0045-6535</t>
        </is>
      </c>
      <c r="AQ999" t="inlineStr">
        <is>
          <t>1879-1298</t>
        </is>
      </c>
      <c r="AS999" t="inlineStr">
        <is>
          <t>CHEMOSPHERE</t>
        </is>
      </c>
      <c r="AT999" t="inlineStr">
        <is>
          <t>Chemosphere</t>
        </is>
      </c>
      <c r="AU999" t="inlineStr">
        <is>
          <t>MAY</t>
        </is>
      </c>
      <c r="AV999" t="n">
        <v>2023</v>
      </c>
      <c r="AW999" t="n">
        <v>324</v>
      </c>
      <c r="BE999" t="n">
        <v>138270</v>
      </c>
      <c r="BF999" t="inlineStr">
        <is>
          <t>10.1016/j.chemosphere.2023.138270</t>
        </is>
      </c>
      <c r="BG999">
        <f>HYPERLINK("http://dx.doi.org/10.1016/j.chemosphere.2023.138270","http://dx.doi.org/10.1016/j.chemosphere.2023.138270")</f>
        <v/>
      </c>
      <c r="BI999" t="inlineStr">
        <is>
          <t>MAR 2023</t>
        </is>
      </c>
      <c r="BJ999" t="n">
        <v>22</v>
      </c>
      <c r="BK999" t="inlineStr">
        <is>
          <t>Environmental Sciences</t>
        </is>
      </c>
      <c r="BL999" t="inlineStr">
        <is>
          <t>Science Citation Index Expanded (SCI-EXPANDED)</t>
        </is>
      </c>
      <c r="BM999" t="inlineStr">
        <is>
          <t>Environmental Sciences &amp; Ecology</t>
        </is>
      </c>
      <c r="BN999" t="inlineStr">
        <is>
          <t>A5PH1</t>
        </is>
      </c>
      <c r="BO999" t="n">
        <v>36878370</v>
      </c>
      <c r="BS999" t="inlineStr">
        <is>
          <t>2023-10-26</t>
        </is>
      </c>
      <c r="BT999" t="inlineStr">
        <is>
          <t>WOS:000955633700001</t>
        </is>
      </c>
      <c r="BU999">
        <f>HYPERLINK("https%3A%2F%2Fwww.webofscience.com%2Fwos%2Fwoscc%2Ffull-record%2FWOS:000955633700001","View Full Record in Web of Science")</f>
        <v/>
      </c>
    </row>
    <row r="1000">
      <c r="A1000" t="inlineStr">
        <is>
          <t>J</t>
        </is>
      </c>
      <c r="B1000" t="inlineStr">
        <is>
          <t>Sultan, Z; Li, JY; Pantelic, J; Schiavon, S</t>
        </is>
      </c>
      <c r="F1000" t="inlineStr">
        <is>
          <t>Sultan, Zuraimi; Li, Jiayu; Pantelic, Jovan; Schiavon, Stefano</t>
        </is>
      </c>
      <c r="J1000" t="inlineStr">
        <is>
          <t>AEROSOL AND AIR QUALITY RESEARCH</t>
        </is>
      </c>
      <c r="M1000" t="inlineStr">
        <is>
          <t>English</t>
        </is>
      </c>
      <c r="N1000" t="inlineStr">
        <is>
          <t>Article</t>
        </is>
      </c>
      <c r="T1000" t="inlineStr">
        <is>
          <t>Indoor Air Pollution of Outdoor Origin: Mitigation Using Portable Air Cleaners in Singapore Office Building</t>
        </is>
      </c>
      <c r="U1000" t="inlineStr">
        <is>
          <t>Air pollution; Indoor particles; Portable air cleaners; Office buildings</t>
        </is>
      </c>
      <c r="V1000" t="inlineStr">
        <is>
          <t>ULTRAFINE PARTICLES; REMOVAL; EXPOSURE; PENETRATION; FILTERS; IMPACT; RATES</t>
        </is>
      </c>
      <c r="W1000" t="inlineStr">
        <is>
          <t>Landscape fires in Indonesia and traffic pollution have been receiving increasing attention as sources of particulate matter (PM) in Singapore. Although mitigation measures to reduce PM levels using portable air cleaners (PACs) have been used in residential buildings, its application for office buildings is unknown. Using PAC, we demonstrated their potential for indoor particles removal in an office building and presented a method to evaluate their performance and estimate number of units to be deployed. Modelled and in-situ measured PAC effectiveness using up to twelve units was evaluated in three office sizes (30, 80 and 1490 m(3)). Measured effectiveness using indoor concentrations and indoor/outdoor ratios was obtained in a randomised intervention experimental design involving 3 weeks per location. Indoor particle concentration reductions in the three offices were dependent on particle size and confounded by variations in indoor emissions and outdoor levels resulting in low correlation and higher RMSE between modelled and measured effectiveness. PAC effectiveness computed using I/O ratios for removing UFP, PM2.5 and PM10 ranged 24-43%, 23-53% and 7-37% respectively. PAC has a higher in-situ effectiveness in small compared to larger spaces and the effectiveness is logarithmically dependent on the number of units deployed. We validated the use of our model to determine PAC effectiveness in the offices using up to eleven PACs (RMSE between modelled and measured data ranging from 3.9 to 6.6%). Lastly, we developed a design method to size the number of PAC needed for office buildings. The results from this study can be used for standards organization, policy makers and researchers interested in particle exposure reductions in large spaces.</t>
        </is>
      </c>
      <c r="X1000" t="inlineStr">
        <is>
          <t>[Sultan, Zuraimi] Natl Environm Agcy, Environm Hlth Inst, Singapore 138602, Singapore; [Li, Jiayu; Schiavon, Stefano] Berkeley Educ Alliance Res Singapore BEARS Ltd, Singapore 138602, Singapore; [Pantelic, Jovan] Katholieke Univ Leuven, B-3000 Leuven, Belgium; [Pantelic, Jovan] Well Living Lab Inc, Rochester, MN 55902 USA; [Schiavon, Stefano] Univ Calif Berkeley, Ctr Built Environm, Berkeley, CA 94720 USA</t>
        </is>
      </c>
      <c r="Y1000" t="inlineStr">
        <is>
          <t>KU Leuven; University of California System; University of California Berkeley</t>
        </is>
      </c>
      <c r="Z1000" t="inlineStr">
        <is>
          <t>Sultan, Z (corresponding author), Natl Environm Agcy, Environm Hlth Inst, Singapore 138602, Singapore.</t>
        </is>
      </c>
      <c r="AA1000" t="inlineStr">
        <is>
          <t>zuraimi_sultan@nea.gov.sg</t>
        </is>
      </c>
      <c r="AB1000" t="inlineStr">
        <is>
          <t>Schiavon, Stefano/AAS-9673-2020; Li, Jiayu/O-8314-2019</t>
        </is>
      </c>
      <c r="AC1000" t="inlineStr">
        <is>
          <t>Schiavon, Stefano/0000-0003-1285-5682; Li, Jiayu/0000-0002-5398-1151</t>
        </is>
      </c>
      <c r="AD1000" t="inlineStr">
        <is>
          <t>Republic of Singapore's National Research Foundation through a grant to the Berkeley Education Alliance for Research in Singapore (BEARS) for the Singapore-Berkeley Building Efficiency and Sustainability in the Tropics (SinBerBEST) Program; University of California</t>
        </is>
      </c>
      <c r="AE1000" t="inlineStr">
        <is>
          <t>Republic of Singapore's National Research Foundation through a grant to the Berkeley Education Alliance for Research in Singapore (BEARS) for the Singapore-Berkeley Building Efficiency and Sustainability in the Tropics (SinBerBEST) Program; University of California(University of California System)</t>
        </is>
      </c>
      <c r="AF1000" t="inlineStr">
        <is>
          <t>This research was funded by the Republic of Singapore's National Research Foundation through a grant to the Berkeley Education Alliance for Research in Singapore (BEARS) for the Singapore-Berkeley Building Efficiency and Sustainability in the Tropics (SinBerBEST) Program. BEARS has been established by the University of California, Berkeley as a center for intellectual excellence in research and education in Singapore.</t>
        </is>
      </c>
      <c r="AH1000" t="n">
        <v>37</v>
      </c>
      <c r="AI1000" t="n">
        <v>4</v>
      </c>
      <c r="AJ1000" t="n">
        <v>4</v>
      </c>
      <c r="AK1000" t="n">
        <v>3</v>
      </c>
      <c r="AL1000" t="n">
        <v>8</v>
      </c>
      <c r="AM1000" t="inlineStr">
        <is>
          <t>TAIWAN ASSOC AEROSOL RES-TAAR</t>
        </is>
      </c>
      <c r="AN1000" t="inlineStr">
        <is>
          <t>TAICHUNG COUNTY</t>
        </is>
      </c>
      <c r="AO1000" t="inlineStr">
        <is>
          <t>CHAOYANG UNIV TECH, DEPT ENV ENG &amp; MGMT, PROD CTR AAQR, NO 168, JIFONG E RD, WUFONG TOWNSHIP, TAICHUNG COUNTY, 41349, TAIWAN</t>
        </is>
      </c>
      <c r="AP1000" t="inlineStr">
        <is>
          <t>1680-8584</t>
        </is>
      </c>
      <c r="AQ1000" t="inlineStr">
        <is>
          <t>2071-1409</t>
        </is>
      </c>
      <c r="AS1000" t="inlineStr">
        <is>
          <t>AEROSOL AIR QUAL RES</t>
        </is>
      </c>
      <c r="AT1000" t="inlineStr">
        <is>
          <t>Aerosol Air Qual. Res.</t>
        </is>
      </c>
      <c r="AU1000" t="inlineStr">
        <is>
          <t>OCT</t>
        </is>
      </c>
      <c r="AV1000" t="n">
        <v>2022</v>
      </c>
      <c r="AW1000" t="n">
        <v>22</v>
      </c>
      <c r="AX1000" t="n">
        <v>10</v>
      </c>
      <c r="BA1000" t="inlineStr">
        <is>
          <t>SI</t>
        </is>
      </c>
      <c r="BE1000" t="n">
        <v>220204</v>
      </c>
      <c r="BF1000" t="inlineStr">
        <is>
          <t>10.4209/aaqr.220204</t>
        </is>
      </c>
      <c r="BG1000">
        <f>HYPERLINK("http://dx.doi.org/10.4209/aaqr.220204","http://dx.doi.org/10.4209/aaqr.220204")</f>
        <v/>
      </c>
      <c r="BJ1000" t="n">
        <v>17</v>
      </c>
      <c r="BK1000" t="inlineStr">
        <is>
          <t>Environmental Sciences</t>
        </is>
      </c>
      <c r="BL1000" t="inlineStr">
        <is>
          <t>Science Citation Index Expanded (SCI-EXPANDED)</t>
        </is>
      </c>
      <c r="BM1000" t="inlineStr">
        <is>
          <t>Environmental Sciences &amp; Ecology</t>
        </is>
      </c>
      <c r="BN1000" t="inlineStr">
        <is>
          <t>4V8CC</t>
        </is>
      </c>
      <c r="BP1000" t="inlineStr">
        <is>
          <t>gold</t>
        </is>
      </c>
      <c r="BS1000" t="inlineStr">
        <is>
          <t>2023-10-26</t>
        </is>
      </c>
      <c r="BT1000" t="inlineStr">
        <is>
          <t>WOS:000859699100003</t>
        </is>
      </c>
      <c r="BU1000">
        <f>HYPERLINK("https%3A%2F%2Fwww.webofscience.com%2Fwos%2Fwoscc%2Ffull-record%2FWOS:000859699100003","View Full Record in Web of Science")</f>
        <v/>
      </c>
    </row>
    <row r="1001">
      <c r="A1001" t="inlineStr">
        <is>
          <t>J</t>
        </is>
      </c>
      <c r="B1001" t="inlineStr">
        <is>
          <t>Zandieh, R; Martinez, J; Flacke, J</t>
        </is>
      </c>
      <c r="F1001" t="inlineStr">
        <is>
          <t>Zandieh, Razieh; Martinez, Javier; Flacke, Johannes</t>
        </is>
      </c>
      <c r="J1001" t="inlineStr">
        <is>
          <t>INTERNATIONAL JOURNAL OF ENVIRONMENTAL RESEARCH AND PUBLIC HEALTH</t>
        </is>
      </c>
      <c r="M1001" t="inlineStr">
        <is>
          <t>English</t>
        </is>
      </c>
      <c r="N1001" t="inlineStr">
        <is>
          <t>Article</t>
        </is>
      </c>
      <c r="T1001" t="inlineStr">
        <is>
          <t>Older Adults' Outdoor Walking and Inequalities in Neighbourhood Green Spaces Characteristics</t>
        </is>
      </c>
      <c r="U1001" t="inlineStr">
        <is>
          <t>open space; park; GIS; GPS; physical activity; walkability; socioeconomic; hierarchical analysis; healthy urban planning; urban design</t>
        </is>
      </c>
      <c r="V1001" t="inlineStr">
        <is>
          <t>PUBLIC OPEN SPACES; PHYSICAL-ACTIVITY; ENVIRONMENTAL ATTRIBUTES; RECREATIONAL WALKING; BUILT ENVIRONMENT; LIFE-COURSE; ACCESS; ASSOCIATIONS; PARKS; PROXIMITY</t>
        </is>
      </c>
      <c r="W1001" t="inlineStr">
        <is>
          <t>Outdoor walking has considerable benefits for healthy ageing and older adults are recommended to walk regularly. However, older adults living in high-deprivation areas walk less than those living in low-deprivation areas. Previous research has shown that the characteristics of neighbourhood green spaces (i.e., proximity, attractiveness, size, and number) may influence outdoor walking. This study examines spatial inequalities in the characteristics of neighbourhood green spaces in high- versus low-deprivation areas and their possible influences on disparities in older adults' outdoor walking levels. For this purpose, it included a sample of 173 participants (&gt;= 65 years) and used secondary data and a geographic information system (GIS) to objectively measure neighbourhood green spaces characteristics. Geographic positioning system (GPS) technology was used to objectively measure outdoor walking levels. Data on participants' personal characteristics were collected by questionnaire. The results indicate that one characteristic of neighbourhood green spaces (i.e., size) is positively related to outdoor walking levels. They show that inequalities in neighbourhood green spaces' size in high- versus low-deprivation areas may influence disparities in older adults' outdoor walking levels. Despite inequalities in other neighbourhood green space characteristics (e.g., proximity, attractiveness, and number) in high- versus low-deprivation areas, no relationship was found between these neighbourhood green space characteristics and participants' outdoor walking levels. Enhancing the distribution or creation of large neighbourhood green spaces (e.g., through creating green space networks) may enhance outdoor walking among older residents, especially in high-deprivation areas.</t>
        </is>
      </c>
      <c r="X1001" t="inlineStr">
        <is>
          <t>[Zandieh, Razieh] Univ Manchester, Dept Planning &amp; Environm Management, Oxford Rd, Manchester M13 9PL, Lancs, England; [Martinez, Javier; Flacke, Johannes] Univ Twente, Fac Geoinformat Sci &amp; Earth Observat ITC, POB 217, NL-7500 AE Enschede, Netherlands</t>
        </is>
      </c>
      <c r="Y1001" t="inlineStr">
        <is>
          <t>University of Manchester; University of Twente</t>
        </is>
      </c>
      <c r="Z1001" t="inlineStr">
        <is>
          <t>Zandieh, R (corresponding author), Univ Manchester, Dept Planning &amp; Environm Management, Oxford Rd, Manchester M13 9PL, Lancs, England.</t>
        </is>
      </c>
      <c r="AA1001" t="inlineStr">
        <is>
          <t>razieh.zandieh@manchester.ac.uk; j.martinez@utwente.nl; j.flacke@utwente.nl</t>
        </is>
      </c>
      <c r="AB1001" t="inlineStr">
        <is>
          <t>Martinez, Javier A/D-3834-2009; Flacke, Johannes/C-9941-2013</t>
        </is>
      </c>
      <c r="AC1001" t="inlineStr">
        <is>
          <t>Martinez, Javier A/0000-0001-9634-3849; Flacke, Johannes/0000-0001-8906-7719</t>
        </is>
      </c>
      <c r="AH1001" t="n">
        <v>83</v>
      </c>
      <c r="AI1001" t="n">
        <v>14</v>
      </c>
      <c r="AJ1001" t="n">
        <v>15</v>
      </c>
      <c r="AK1001" t="n">
        <v>20</v>
      </c>
      <c r="AL1001" t="n">
        <v>75</v>
      </c>
      <c r="AM1001" t="inlineStr">
        <is>
          <t>MDPI</t>
        </is>
      </c>
      <c r="AN1001" t="inlineStr">
        <is>
          <t>BASEL</t>
        </is>
      </c>
      <c r="AO1001" t="inlineStr">
        <is>
          <t>ST ALBAN-ANLAGE 66, CH-4052 BASEL, SWITZERLAND</t>
        </is>
      </c>
      <c r="AP1001" t="inlineStr">
        <is>
          <t>1661-7827</t>
        </is>
      </c>
      <c r="AQ1001" t="inlineStr">
        <is>
          <t>1660-4601</t>
        </is>
      </c>
      <c r="AS1001" t="inlineStr">
        <is>
          <t>INT J ENV RES PUB HE</t>
        </is>
      </c>
      <c r="AT1001" t="inlineStr">
        <is>
          <t>Int. J. Environ. Res. Public Health</t>
        </is>
      </c>
      <c r="AU1001" t="inlineStr">
        <is>
          <t>NOV</t>
        </is>
      </c>
      <c r="AV1001" t="n">
        <v>2019</v>
      </c>
      <c r="AW1001" t="n">
        <v>16</v>
      </c>
      <c r="AX1001" t="n">
        <v>22</v>
      </c>
      <c r="BE1001" t="n">
        <v>4379</v>
      </c>
      <c r="BF1001" t="inlineStr">
        <is>
          <t>10.3390/ijerph16224379</t>
        </is>
      </c>
      <c r="BG1001">
        <f>HYPERLINK("http://dx.doi.org/10.3390/ijerph16224379","http://dx.doi.org/10.3390/ijerph16224379")</f>
        <v/>
      </c>
      <c r="BJ1001" t="n">
        <v>18</v>
      </c>
      <c r="BK1001" t="inlineStr">
        <is>
          <t>Environmental Sciences; Public, Environmental &amp; Occupational Health</t>
        </is>
      </c>
      <c r="BL1001" t="inlineStr">
        <is>
          <t>Science Citation Index Expanded (SCI-EXPANDED); Social Science Citation Index (SSCI)</t>
        </is>
      </c>
      <c r="BM1001" t="inlineStr">
        <is>
          <t>Environmental Sciences &amp; Ecology; Public, Environmental &amp; Occupational Health</t>
        </is>
      </c>
      <c r="BN1001" t="inlineStr">
        <is>
          <t>JV0KZ</t>
        </is>
      </c>
      <c r="BO1001" t="n">
        <v>31717514</v>
      </c>
      <c r="BP1001" t="inlineStr">
        <is>
          <t>Green Published, gold</t>
        </is>
      </c>
      <c r="BS1001" t="inlineStr">
        <is>
          <t>2023-10-26</t>
        </is>
      </c>
      <c r="BT1001" t="inlineStr">
        <is>
          <t>WOS:000502057400076</t>
        </is>
      </c>
      <c r="BU1001">
        <f>HYPERLINK("https%3A%2F%2Fwww.webofscience.com%2Fwos%2Fwoscc%2Ffull-record%2FWOS:000502057400076","View Full Record in Web of Science")</f>
        <v/>
      </c>
    </row>
    <row r="1002">
      <c r="A1002" t="inlineStr">
        <is>
          <t>J</t>
        </is>
      </c>
      <c r="B1002" t="inlineStr">
        <is>
          <t>Susanty, S; Chung, MH; Chiu, HY; Chi, MJ; Hu, SH; Kuo, CL; Chuang, YH</t>
        </is>
      </c>
      <c r="F1002" t="inlineStr">
        <is>
          <t>Susanty, Sri; Chung, Min-Huey; Chiu, Hsiao-Yean; Chi, Mei-Ju; Hu, Sophia H.; Kuo, Chien-Lin; Chuang, Yeu-Hui</t>
        </is>
      </c>
      <c r="J1002" t="inlineStr">
        <is>
          <t>INTERNATIONAL JOURNAL OF ENVIRONMENTAL RESEARCH AND PUBLIC HEALTH</t>
        </is>
      </c>
      <c r="M1002" t="inlineStr">
        <is>
          <t>English</t>
        </is>
      </c>
      <c r="N1002" t="inlineStr">
        <is>
          <t>Article</t>
        </is>
      </c>
      <c r="T1002" t="inlineStr">
        <is>
          <t>Prevalence of Loneliness and Associated Factors among Community-Dwelling Older Adults in Indonesia: A Cross-Sectional Study</t>
        </is>
      </c>
      <c r="U1002" t="inlineStr">
        <is>
          <t>community; Indonesia; loneliness; older adults; prevalence</t>
        </is>
      </c>
      <c r="V1002" t="inlineStr">
        <is>
          <t>QUALITY-OF-LIFE; MENTAL-HEALTH; PEOPLE; DEPRESSION; PREDICTORS; BEHAVIOR</t>
        </is>
      </c>
      <c r="W1002" t="inlineStr">
        <is>
          <t>Loneliness has become one of the most common psychological problems experienced by older adults. Previous studies have indicated that loneliness is correlated with poor physical and psychological health outcomes; therefore, it is important to pay attention to people experiencing loneliness. However, there is a lack of information regarding the prevalence of loneliness, and its associated factors, among community-dwelling older adults in Indonesia, which this study aimed to understand. This study used a cross-sectional, descriptive, and correlational research design. Stratified random sampling was applied to 1360 participants, aged &gt;= 60 years, in 15 community health centers in Kendari City, Indonesia. The following questionnaires were used to collect data, including demographic and characteristic information, Short Portable Mental Status Questionnaire, Multidimensional Scale of Perceived Social Support, Geriatric Depression Scale Short Form, and a single-item loneliness question. The prevalence of loneliness among older adults was 64.0%. The multivariate logistic regression showed that older adults who were female, lived with family, had fewer children, had a poor health status, had a poor oral status, had more chronic diseases, had no hearing problems, had poor cognitive function, and had depression had a higher chance of feeling lonely. Loneliness is a serious health issue among the older population in Indonesia. The government, social workers, and healthcare professionals should pay immediate attention to this psychological problem. The study also suggests that appropriate strategies for the prevention of loneliness should be developed in the near future.</t>
        </is>
      </c>
      <c r="X1002" t="inlineStr">
        <is>
          <t>[Susanty, Sri; Chung, Min-Huey; Chiu, Hsiao-Yean; Chuang, Yeu-Hui] Taipei Med Univ, Coll Nursing, Sch Nursing, 250 Wu Xing St, Taipei 110, Taiwan; [Susanty, Sri] Univ Halu Oleo, Fac Med, Nursing Study Program, Tridharma Green Campus,HEA Mokodompit St, Kendari 93232, Indonesia; [Chung, Min-Huey] Taipei Med Univ, Shuang Ho Hosp, Dept Nursing, 291 Zhongzheng Rd, New Taipei 235, Taiwan; [Chiu, Hsiao-Yean] Taipei Med Univ, Coll Med, Res Ctr Sleep Med, 250 Wu Xing St, Taipei 110, Taiwan; [Chiu, Hsiao-Yean] Taipei Med Univ Hosp, Dept Nursing, 252 Wu Xing St, Taipei 110, Taiwan; [Chi, Mei-Ju] Taipei Med Univ, Coll Nursing, Sch Gerontol Hlth Management, 250 Wu Xing St, Taipei 110, Taiwan; [Chi, Mei-Ju] Taipei Med Univ, Coll Nursing, Master Program Long Term Care, 250 Wu Xing St, Taipei 110, Taiwan; [Hu, Sophia H.] Natl Yang Ming Chiao Tung Univ, Coll Nursing, Dept Nursing, 155 Sec 2,Linong St, Taipei 112, Taiwan; [Kuo, Chien-Lin] Natl Taipei Univ Nursing &amp; Hlth Sci, Dept Allied Hlth Educ &amp; Digital Learning, 365 Ming Te Rd, Taipei 112, Taiwan; [Chuang, Yeu-Hui] Taipei Med Univ, Wan Fang Hosp, Ctr Nursing &amp; Healthcare Res Clin Applicat, 111 Sec 3,Xinglong Rd, Taipei 116, Taiwan</t>
        </is>
      </c>
      <c r="Y1002" t="inlineStr">
        <is>
          <t>Taipei Medical University; Universitas Halu Oleo; Taipei Medical University; Shuang Ho Hospital; Taipei Medical University; Taipei Medical University; Taipei Medical University Hospital; Taipei Medical University; Taipei Medical University; National Yang Ming Chiao Tung University; National Taipei University of Nursing &amp; Health Science (NTUNHS); Taipei Medical University; Taipei Municipal WanFang Hospital</t>
        </is>
      </c>
      <c r="Z1002" t="inlineStr">
        <is>
          <t>Chuang, YH (corresponding author), Taipei Med Univ, Coll Nursing, Sch Nursing, 250 Wu Xing St, Taipei 110, Taiwan.;Chuang, YH (corresponding author), Taipei Med Univ, Wan Fang Hosp, Ctr Nursing &amp; Healthcare Res Clin Applicat, 111 Sec 3,Xinglong Rd, Taipei 116, Taiwan.</t>
        </is>
      </c>
      <c r="AA1002" t="inlineStr">
        <is>
          <t>sri.susanty@uho.ac.id; minhuey300@tmu.edu.tw; hychiu0315@tmu.edu.tw; mjchi@tmu.edu.tw; sophiahu@nycu.edu.tw; chienlin@ntunhs.edu.tw; yeuhui@tmu.edu.tw</t>
        </is>
      </c>
      <c r="AB1002" t="inlineStr">
        <is>
          <t>Susanty, Sri/AEP-7343-2022</t>
        </is>
      </c>
      <c r="AC1002" t="inlineStr">
        <is>
          <t>Susanty, Sri/0000-0002-9955-5000; Chiu, Hsiao-Yean/0000-0002-6419-9309; Hu, Sophia/0000-0002-0191-4301; Kuo, Chien-Lin/0000-0002-6375-5502; Chung, Min-Huey/0000-0002-0517-5913; Chi, Mei-ju/0000-0003-0560-4471; Chuang, Yeu-Hui/0000-0003-2559-7184</t>
        </is>
      </c>
      <c r="AH1002" t="n">
        <v>66</v>
      </c>
      <c r="AI1002" t="n">
        <v>3</v>
      </c>
      <c r="AJ1002" t="n">
        <v>3</v>
      </c>
      <c r="AK1002" t="n">
        <v>2</v>
      </c>
      <c r="AL1002" t="n">
        <v>7</v>
      </c>
      <c r="AM1002" t="inlineStr">
        <is>
          <t>MDPI</t>
        </is>
      </c>
      <c r="AN1002" t="inlineStr">
        <is>
          <t>BASEL</t>
        </is>
      </c>
      <c r="AO1002" t="inlineStr">
        <is>
          <t>ST ALBAN-ANLAGE 66, CH-4052 BASEL, SWITZERLAND</t>
        </is>
      </c>
      <c r="AQ1002" t="inlineStr">
        <is>
          <t>1660-4601</t>
        </is>
      </c>
      <c r="AS1002" t="inlineStr">
        <is>
          <t>INT J ENV RES PUB HE</t>
        </is>
      </c>
      <c r="AT1002" t="inlineStr">
        <is>
          <t>Int. J. Environ. Res. Public Health</t>
        </is>
      </c>
      <c r="AU1002" t="inlineStr">
        <is>
          <t>APR</t>
        </is>
      </c>
      <c r="AV1002" t="n">
        <v>2022</v>
      </c>
      <c r="AW1002" t="n">
        <v>19</v>
      </c>
      <c r="AX1002" t="n">
        <v>8</v>
      </c>
      <c r="BE1002" t="n">
        <v>4911</v>
      </c>
      <c r="BF1002" t="inlineStr">
        <is>
          <t>10.3390/ijerph19084911</t>
        </is>
      </c>
      <c r="BG1002">
        <f>HYPERLINK("http://dx.doi.org/10.3390/ijerph19084911","http://dx.doi.org/10.3390/ijerph19084911")</f>
        <v/>
      </c>
      <c r="BJ1002" t="n">
        <v>11</v>
      </c>
      <c r="BK1002" t="inlineStr">
        <is>
          <t>Environmental Sciences; Public, Environmental &amp; Occupational Health</t>
        </is>
      </c>
      <c r="BL1002" t="inlineStr">
        <is>
          <t>Science Citation Index Expanded (SCI-EXPANDED); Social Science Citation Index (SSCI)</t>
        </is>
      </c>
      <c r="BM1002" t="inlineStr">
        <is>
          <t>Environmental Sciences &amp; Ecology; Public, Environmental &amp; Occupational Health</t>
        </is>
      </c>
      <c r="BN1002" t="inlineStr">
        <is>
          <t>0S1NK</t>
        </is>
      </c>
      <c r="BO1002" t="n">
        <v>35457781</v>
      </c>
      <c r="BP1002" t="inlineStr">
        <is>
          <t>gold, Green Published</t>
        </is>
      </c>
      <c r="BS1002" t="inlineStr">
        <is>
          <t>2023-10-26</t>
        </is>
      </c>
      <c r="BT1002" t="inlineStr">
        <is>
          <t>WOS:000786048200001</t>
        </is>
      </c>
      <c r="BU1002">
        <f>HYPERLINK("https%3A%2F%2Fwww.webofscience.com%2Fwos%2Fwoscc%2Ffull-record%2FWOS:000786048200001","View Full Record in Web of Science")</f>
        <v/>
      </c>
    </row>
    <row r="1003">
      <c r="A1003" t="inlineStr">
        <is>
          <t>J</t>
        </is>
      </c>
      <c r="B1003" t="inlineStr">
        <is>
          <t>Parks, J; Baghela, M; Bhatti, P</t>
        </is>
      </c>
      <c r="F1003" t="inlineStr">
        <is>
          <t>Parks, Jaclyn; Baghela, Millie; Bhatti, Parveen</t>
        </is>
      </c>
      <c r="J1003" t="inlineStr">
        <is>
          <t>ENVIRONMENTAL EPIDEMIOLOGY</t>
        </is>
      </c>
      <c r="M1003" t="inlineStr">
        <is>
          <t>English</t>
        </is>
      </c>
      <c r="N1003" t="inlineStr">
        <is>
          <t>Article</t>
        </is>
      </c>
      <c r="T1003" t="inlineStr">
        <is>
          <t>Examining the influence of built environment on sleep disruption</t>
        </is>
      </c>
      <c r="U1003" t="inlineStr">
        <is>
          <t>Sleep; Built Environment; Air Pollution; Greenness; Light pollution; Road proximity</t>
        </is>
      </c>
      <c r="V1003" t="inlineStr">
        <is>
          <t>AIR-POLLUTION; EXPOSURE; DURATION; HEALTH; RESOLUTION; LIGHT; NIGHT</t>
        </is>
      </c>
      <c r="W1003" t="inlineStr">
        <is>
          <t>Background:Modifying aspects of the built environment may be an effective strategy for population-level improvements to sleep. However, few comprehensive evaluations of built environment and sleep have been completed. Methods:We conducted a cross-sectional study among participants of the British Columbia Generations Project (BCGP) who self-reported sleep duration (n = 28,385). Geospatial measures of light-at-night (LAN), greenness, air pollution (PM2.5, NO2, SO2), and road proximity were linked to participant baseline residential postal codes. Logistic regression models, adjusted for age and sex, were used to estimate the association between these factors and self-reported sleep duration (&lt;7 vs. &gt;= 7 hours). Results:Interquartile range (IQR) increases in LAN intensity, greenness, and SO2 were associated with 1.04-fold increased (95% CI = 1.02, 1.07), 0.95-fold decreased (95% CI = 0.91, 0.98), and 1.07-fold increased (95% CI = 1.03, 1.11) odds, respectively, of reporting insufficient sleep (i.e., &lt;7 hours per night). Living &lt;100 m from a main roadway was associated with a 1.09-fold greater odds of insufficient sleep (95% CI = 1.02, 1.17). Results were unchanged when examining all factors together within a single regression model. In stratified analyses, associations with SO2 were stronger among those with lower reported annual household incomes and those living in more urban areas. Conclusions:BCGP's rich data enabled a comprehensive evaluation of the built environment, revealing multiple factors as potentially modifiable determinants of sleep disruption. In addition to longitudinal evaluations, future studies should pay careful attention to the role of social disparities in sleep health.</t>
        </is>
      </c>
      <c r="X1003" t="inlineStr">
        <is>
          <t>[Parks, Jaclyn; Baghela, Millie; Bhatti, Parveen] BC Canc, BC Canc Res Inst, Canc Control Res, Vancouver, BC, Canada; [Bhatti, Parveen] Univ British Columbia, Sch Populat &amp; Publ Hlth, Vancouver, BC, Canada; [Bhatti, Parveen] 675 W 10th Ave, Vancouver, BC V5Z 1L3, Canada</t>
        </is>
      </c>
      <c r="Y1003" t="inlineStr">
        <is>
          <t>University of British Columbia</t>
        </is>
      </c>
      <c r="Z1003" t="inlineStr">
        <is>
          <t>Bhatti, P (corresponding author), 675 W 10th Ave, Vancouver, BC V5Z 1L3, Canada.</t>
        </is>
      </c>
      <c r="AA1003" t="inlineStr">
        <is>
          <t>pbhatti@bccrc.ca</t>
        </is>
      </c>
      <c r="AC1003" t="inlineStr">
        <is>
          <t>Parks, Jaclyn/0000-0003-3613-8346</t>
        </is>
      </c>
      <c r="AH1003" t="n">
        <v>46</v>
      </c>
      <c r="AI1003" t="n">
        <v>0</v>
      </c>
      <c r="AJ1003" t="n">
        <v>0</v>
      </c>
      <c r="AK1003" t="n">
        <v>4</v>
      </c>
      <c r="AL1003" t="n">
        <v>5</v>
      </c>
      <c r="AM1003" t="inlineStr">
        <is>
          <t>LIPPINCOTT WILLIAMS &amp; WILKINS</t>
        </is>
      </c>
      <c r="AN1003" t="inlineStr">
        <is>
          <t>PHILADELPHIA</t>
        </is>
      </c>
      <c r="AO1003" t="inlineStr">
        <is>
          <t>TWO COMMERCE SQ, 2001 MARKET ST, PHILADELPHIA, PA 19103 USA</t>
        </is>
      </c>
      <c r="AQ1003" t="inlineStr">
        <is>
          <t>2474-7882</t>
        </is>
      </c>
      <c r="AS1003" t="inlineStr">
        <is>
          <t>ENVIRON EPIDEMIOL</t>
        </is>
      </c>
      <c r="AT1003" t="inlineStr">
        <is>
          <t>Environ. Epidemiol.</t>
        </is>
      </c>
      <c r="AU1003" t="inlineStr">
        <is>
          <t>FEB</t>
        </is>
      </c>
      <c r="AV1003" t="n">
        <v>2023</v>
      </c>
      <c r="AW1003" t="n">
        <v>7</v>
      </c>
      <c r="AX1003" t="n">
        <v>1</v>
      </c>
      <c r="BE1003" t="inlineStr">
        <is>
          <t>e239</t>
        </is>
      </c>
      <c r="BF1003" t="inlineStr">
        <is>
          <t>10.1097/EE9.0000000000000239</t>
        </is>
      </c>
      <c r="BG1003">
        <f>HYPERLINK("http://dx.doi.org/10.1097/EE9.0000000000000239","http://dx.doi.org/10.1097/EE9.0000000000000239")</f>
        <v/>
      </c>
      <c r="BJ1003" t="n">
        <v>7</v>
      </c>
      <c r="BK1003" t="inlineStr">
        <is>
          <t>Environmental Sciences; Public, Environmental &amp; Occupational Health</t>
        </is>
      </c>
      <c r="BL1003" t="inlineStr">
        <is>
          <t>Emerging Sources Citation Index (ESCI)</t>
        </is>
      </c>
      <c r="BM1003" t="inlineStr">
        <is>
          <t>Environmental Sciences &amp; Ecology; Public, Environmental &amp; Occupational Health</t>
        </is>
      </c>
      <c r="BN1003" t="inlineStr">
        <is>
          <t>8B7NZ</t>
        </is>
      </c>
      <c r="BO1003" t="n">
        <v>36777529</v>
      </c>
      <c r="BP1003" t="inlineStr">
        <is>
          <t>Green Published, gold</t>
        </is>
      </c>
      <c r="BS1003" t="inlineStr">
        <is>
          <t>2023-10-26</t>
        </is>
      </c>
      <c r="BT1003" t="inlineStr">
        <is>
          <t>WOS:000917110300001</t>
        </is>
      </c>
      <c r="BU1003">
        <f>HYPERLINK("https%3A%2F%2Fwww.webofscience.com%2Fwos%2Fwoscc%2Ffull-record%2FWOS:000917110300001","View Full Record in Web of Science")</f>
        <v/>
      </c>
    </row>
    <row r="1004">
      <c r="A1004" t="inlineStr">
        <is>
          <t>J</t>
        </is>
      </c>
      <c r="B1004" t="inlineStr">
        <is>
          <t>Wang, CH; Wang, ZH; Yang, JC</t>
        </is>
      </c>
      <c r="F1004" t="inlineStr">
        <is>
          <t>Wang, Chenghao; Wang, Zhi-Hua; Yang, Jiachuan</t>
        </is>
      </c>
      <c r="J1004" t="inlineStr">
        <is>
          <t>EARTHS FUTURE</t>
        </is>
      </c>
      <c r="M1004" t="inlineStr">
        <is>
          <t>English</t>
        </is>
      </c>
      <c r="N1004" t="inlineStr">
        <is>
          <t>Article</t>
        </is>
      </c>
      <c r="T1004" t="inlineStr">
        <is>
          <t>Cooling Effect of Urban Trees on the Built Environment of Contiguous United States</t>
        </is>
      </c>
      <c r="U1004" t="inlineStr">
        <is>
          <t>built environment; surface energy balance; thermal comfort; urban canopy model; urban trees</t>
        </is>
      </c>
      <c r="V1004" t="inlineStr">
        <is>
          <t>HEAT-STRESS; THERMAL COMFORT; CLIMATE-CHANGE; CITIES; ENERGY; MODEL; TEMPERATURE; VEGETATION; PHOENIX; IMPACT</t>
        </is>
      </c>
      <c r="W1004" t="inlineStr">
        <is>
          <t>Exacerbated heat stress has resulted in a series of environmental issues in urban areas. Mounting empirical evidence shows that urban trees are effective in mitigating the thermal stress in the built environment, whereas large-scale numerical simulations remain scarce. In this study, the effects of shade trees on the built environment, in terms of radiative cooling, pedestrian thermal comfort, and urban land surface energy balance, were evaluated over the contiguous United States. The projected scenario was simulated using a coupled Weather Research and Forecasting-urban modeling system, incorporating the radiative shading of urban trees only. Results show that on average the mean near-surface air temperature in urban areas decreases by 3.06 degrees C over the entire contiguous United States with the shading effect. Analysis of pedestrian thermal comfort shows that shade trees improve the thermal comfort level in summers, but could be detrimental in winters for cities located in temperate or subpolar climate zones. In addition, it was found that trees alter the surface energy balance by primarily enhancing the radiative cooling, leading to significant changes in the sensible heat but the ground heat comparatively intact.</t>
        </is>
      </c>
      <c r="X1004" t="inlineStr">
        <is>
          <t>[Wang, Chenghao; Wang, Zhi-Hua] Arizona State Univ, Sch Sustainable Engn &amp; Built Environm, Tempe, AZ 85281 USA; [Yang, Jiachuan] Princeton Univ, Dept Civil &amp; Environm Engn, Princeton, NJ 08544 USA</t>
        </is>
      </c>
      <c r="Y1004" t="inlineStr">
        <is>
          <t>Arizona State University; Arizona State University-Tempe; Princeton University</t>
        </is>
      </c>
      <c r="Z1004" t="inlineStr">
        <is>
          <t>Wang, ZH (corresponding author), Arizona State Univ, Sch Sustainable Engn &amp; Built Environm, Tempe, AZ 85281 USA.</t>
        </is>
      </c>
      <c r="AA1004" t="inlineStr">
        <is>
          <t>zhwang@asu.edu</t>
        </is>
      </c>
      <c r="AB1004" t="inlineStr">
        <is>
          <t>Wang, Zhi-Hua/A-3391-2008; Wang, Chenghao/O-7961-2017; Jiachuan, Yang/ABE-5045-2020</t>
        </is>
      </c>
      <c r="AC1004" t="inlineStr">
        <is>
          <t>Wang, Zhi-Hua/0000-0001-9155-8605; Wang, Chenghao/0000-0001-8846-4130; yang, jiachuan/0000-0002-3890-5628</t>
        </is>
      </c>
      <c r="AD1004" t="inlineStr">
        <is>
          <t>National Science Foundation (NSF) under the Urban Sustainability program [CBET-1435881]; Div Of Chem, Bioeng, Env, &amp; Transp Sys; Directorate For Engineering [1435881] Funding Source: National Science Foundation</t>
        </is>
      </c>
      <c r="AE1004" t="inlineStr">
        <is>
          <t>National Science Foundation (NSF) under the Urban Sustainability program(National Science Foundation (NSF)); Div Of Chem, Bioeng, Env, &amp; Transp Sys; Directorate For Engineering(National Science Foundation (NSF)NSF - Directorate for Engineering (ENG))</t>
        </is>
      </c>
      <c r="AF1004" t="inlineStr">
        <is>
          <t>This work is supported by the National Science Foundation (NSF) under the Urban Sustainability program (grant CBET-1435881). The meteorological forcing data used in this study, for example, the Daily FNL (Final) Operational Global Tropospheric Analysis data, are GRIB-formatted data, and are managed by the Data Support Section of the Computational and Information Systems Laboratory at the National Center for Atmospheric Research (NCAR). This data set and the detailed metadata can be retrieved from the National Centers for Environmental Prediction (NCEP) database (https://rda.ucar.edu/datasets/ds083.2/). The static 1-km modified IGBP MODIS 20-category vegetation (land cover) data can be downloaded from the website of Land Processes Distributed Active Archive Center (LP DAAC), U.S. Geological Survey (https://lpdaac.usgs.gov/dataset_discovery/modis/modis_products_table/). The source code of the Weather Research and Forecasting (WRF) model version 3.6.1 and the Preprocessing System can be downloaded from NCAR WRF user's page (http://www2.mmm.ucar.edu/wrf/users/download/get_sources. html#WRF-ARW).</t>
        </is>
      </c>
      <c r="AH1004" t="n">
        <v>62</v>
      </c>
      <c r="AI1004" t="n">
        <v>73</v>
      </c>
      <c r="AJ1004" t="n">
        <v>74</v>
      </c>
      <c r="AK1004" t="n">
        <v>4</v>
      </c>
      <c r="AL1004" t="n">
        <v>54</v>
      </c>
      <c r="AM1004" t="inlineStr">
        <is>
          <t>AMER GEOPHYSICAL UNION</t>
        </is>
      </c>
      <c r="AN1004" t="inlineStr">
        <is>
          <t>WASHINGTON</t>
        </is>
      </c>
      <c r="AO1004" t="inlineStr">
        <is>
          <t>2000 FLORIDA AVE NW, WASHINGTON, DC 20009 USA</t>
        </is>
      </c>
      <c r="AP1004" t="inlineStr">
        <is>
          <t>2328-4277</t>
        </is>
      </c>
      <c r="AS1004" t="inlineStr">
        <is>
          <t>EARTHS FUTURE</t>
        </is>
      </c>
      <c r="AT1004" t="inlineStr">
        <is>
          <t>Earth Future</t>
        </is>
      </c>
      <c r="AU1004" t="inlineStr">
        <is>
          <t>AUG</t>
        </is>
      </c>
      <c r="AV1004" t="n">
        <v>2018</v>
      </c>
      <c r="AW1004" t="n">
        <v>6</v>
      </c>
      <c r="AX1004" t="n">
        <v>8</v>
      </c>
      <c r="BC1004" t="n">
        <v>1066</v>
      </c>
      <c r="BD1004" t="n">
        <v>1081</v>
      </c>
      <c r="BF1004" t="inlineStr">
        <is>
          <t>10.1029/2018EF000891</t>
        </is>
      </c>
      <c r="BG1004">
        <f>HYPERLINK("http://dx.doi.org/10.1029/2018EF000891","http://dx.doi.org/10.1029/2018EF000891")</f>
        <v/>
      </c>
      <c r="BJ1004" t="n">
        <v>16</v>
      </c>
      <c r="BK1004" t="inlineStr">
        <is>
          <t>Environmental Sciences; Geosciences, Multidisciplinary; Meteorology &amp; Atmospheric Sciences</t>
        </is>
      </c>
      <c r="BL1004" t="inlineStr">
        <is>
          <t>Science Citation Index Expanded (SCI-EXPANDED); Social Science Citation Index (SSCI)</t>
        </is>
      </c>
      <c r="BM1004" t="inlineStr">
        <is>
          <t>Environmental Sciences &amp; Ecology; Geology; Meteorology &amp; Atmospheric Sciences</t>
        </is>
      </c>
      <c r="BN1004" t="inlineStr">
        <is>
          <t>GS9UY</t>
        </is>
      </c>
      <c r="BP1004" t="inlineStr">
        <is>
          <t>gold</t>
        </is>
      </c>
      <c r="BS1004" t="inlineStr">
        <is>
          <t>2023-10-26</t>
        </is>
      </c>
      <c r="BT1004" t="inlineStr">
        <is>
          <t>WOS:000444074000003</t>
        </is>
      </c>
      <c r="BU1004">
        <f>HYPERLINK("https%3A%2F%2Fwww.webofscience.com%2Fwos%2Fwoscc%2Ffull-record%2FWOS:000444074000003","View Full Record in Web of Science")</f>
        <v/>
      </c>
    </row>
    <row r="1005">
      <c r="A1005" t="inlineStr">
        <is>
          <t>J</t>
        </is>
      </c>
      <c r="B1005" t="inlineStr">
        <is>
          <t>Trivic, Z</t>
        </is>
      </c>
      <c r="F1005" t="inlineStr">
        <is>
          <t>Trivic, Zdravko</t>
        </is>
      </c>
      <c r="J1005" t="inlineStr">
        <is>
          <t>INTERNATIONAL JOURNAL OF ENVIRONMENTAL RESEARCH AND PUBLIC HEALTH</t>
        </is>
      </c>
      <c r="M1005" t="inlineStr">
        <is>
          <t>English</t>
        </is>
      </c>
      <c r="N1005" t="inlineStr">
        <is>
          <t>Article</t>
        </is>
      </c>
      <c r="T1005" t="inlineStr">
        <is>
          <t>A Study of Older Adults' Perception of High-Density Housing Neighbourhoods in Singapore: Multi-Sensory Perspective</t>
        </is>
      </c>
      <c r="U1005" t="inlineStr">
        <is>
          <t>age-friendly neighbourhood; multi-sensory experience; perception; ageing population; high-density environment</t>
        </is>
      </c>
      <c r="V1005" t="inlineStr">
        <is>
          <t>SENSORY IMPAIRMENT; HEARING-LOSS; VISION IMPAIRMENT; HEALTH; QUALITY; ENVIRONMENT; PREVALENCE; DEMENTIA; ASSOCIATIONS; MORTALITY</t>
        </is>
      </c>
      <c r="W1005" t="inlineStr">
        <is>
          <t>Associated sensory and cognitive declines progress with ageing and profoundly impact the daily living and quality of life of older adults. In the context of an increased ageing population globally, this paper outlines an exploratory study of socio-sensory properties of two high-density housing neighbourhoods in Singapore and the ways senior local residents perceive their familiar built environments. This study employed exploratory on-site exercises with 44 student researchers (including sensory photo-journeys, documentation of sensory properties and daily activity patterns), and 301 socio-perceptual surveys with local residents, the majority of whom were older adults. The findings reveal important aspects related to sensory assessment and appreciation (e.g., crowdedness, noise, smell, cleanliness), walking experience (e.g., safety, wayfinding) and overall satisfaction with the neighbourhood (e.g., available public amenities, opportunities for inter-generational bonding), some of which correlated with age and reported health condition. Multi-sensory assessment shows the capacity to inform more integrated, empathetic, ability-building and context-specific ageing-friendly neighbourhood design.</t>
        </is>
      </c>
      <c r="X1005" t="inlineStr">
        <is>
          <t>[Trivic, Zdravko] Natl Univ Singapore, Sch Design &amp; Environm, Dept Architecture, Singapore 117566, Singapore</t>
        </is>
      </c>
      <c r="Y1005" t="inlineStr">
        <is>
          <t>National University of Singapore</t>
        </is>
      </c>
      <c r="Z1005" t="inlineStr">
        <is>
          <t>Trivic, Z (corresponding author), Natl Univ Singapore, Sch Design &amp; Environm, Dept Architecture, Singapore 117566, Singapore.</t>
        </is>
      </c>
      <c r="AA1005" t="inlineStr">
        <is>
          <t>akizt@nus.edu.sg</t>
        </is>
      </c>
      <c r="AB1005" t="inlineStr">
        <is>
          <t>Trivic, Zdravko/L-2506-2016</t>
        </is>
      </c>
      <c r="AC1005" t="inlineStr">
        <is>
          <t>Trivic, Zdravko/0000-0002-3672-9763</t>
        </is>
      </c>
      <c r="AD1005" t="inlineStr">
        <is>
          <t>Ministry of Education (MOE), Singapore, under Academic Research Fund (AcRF) Tier 1 [R-295-000-145-115]</t>
        </is>
      </c>
      <c r="AE1005" t="inlineStr">
        <is>
          <t>Ministry of Education (MOE), Singapore, under Academic Research Fund (AcRF) Tier 1</t>
        </is>
      </c>
      <c r="AF1005" t="inlineStr">
        <is>
          <t>This research was funded by the Ministry of Education (MOE), Singapore, under Academic Research Fund (AcRF) Tier 1, grant number R-295-000-145-115.</t>
        </is>
      </c>
      <c r="AH1005" t="n">
        <v>127</v>
      </c>
      <c r="AI1005" t="n">
        <v>3</v>
      </c>
      <c r="AJ1005" t="n">
        <v>3</v>
      </c>
      <c r="AK1005" t="n">
        <v>7</v>
      </c>
      <c r="AL1005" t="n">
        <v>23</v>
      </c>
      <c r="AM1005" t="inlineStr">
        <is>
          <t>MDPI</t>
        </is>
      </c>
      <c r="AN1005" t="inlineStr">
        <is>
          <t>BASEL</t>
        </is>
      </c>
      <c r="AO1005" t="inlineStr">
        <is>
          <t>ST ALBAN-ANLAGE 66, CH-4052 BASEL, SWITZERLAND</t>
        </is>
      </c>
      <c r="AQ1005" t="inlineStr">
        <is>
          <t>1660-4601</t>
        </is>
      </c>
      <c r="AS1005" t="inlineStr">
        <is>
          <t>INT J ENV RES PUB HE</t>
        </is>
      </c>
      <c r="AT1005" t="inlineStr">
        <is>
          <t>Int. J. Environ. Res. Public Health</t>
        </is>
      </c>
      <c r="AU1005" t="inlineStr">
        <is>
          <t>JUL</t>
        </is>
      </c>
      <c r="AV1005" t="n">
        <v>2021</v>
      </c>
      <c r="AW1005" t="n">
        <v>18</v>
      </c>
      <c r="AX1005" t="n">
        <v>13</v>
      </c>
      <c r="BE1005" t="n">
        <v>6880</v>
      </c>
      <c r="BF1005" t="inlineStr">
        <is>
          <t>10.3390/ijerph18136880</t>
        </is>
      </c>
      <c r="BG1005">
        <f>HYPERLINK("http://dx.doi.org/10.3390/ijerph18136880","http://dx.doi.org/10.3390/ijerph18136880")</f>
        <v/>
      </c>
      <c r="BJ1005" t="n">
        <v>31</v>
      </c>
      <c r="BK1005" t="inlineStr">
        <is>
          <t>Environmental Sciences; Public, Environmental &amp; Occupational Health</t>
        </is>
      </c>
      <c r="BL1005" t="inlineStr">
        <is>
          <t>Science Citation Index Expanded (SCI-EXPANDED); Social Science Citation Index (SSCI)</t>
        </is>
      </c>
      <c r="BM1005" t="inlineStr">
        <is>
          <t>Environmental Sciences &amp; Ecology; Public, Environmental &amp; Occupational Health</t>
        </is>
      </c>
      <c r="BN1005" t="inlineStr">
        <is>
          <t>TF7WU</t>
        </is>
      </c>
      <c r="BO1005" t="n">
        <v>34206887</v>
      </c>
      <c r="BP1005" t="inlineStr">
        <is>
          <t>gold, Green Published</t>
        </is>
      </c>
      <c r="BS1005" t="inlineStr">
        <is>
          <t>2023-10-26</t>
        </is>
      </c>
      <c r="BT1005" t="inlineStr">
        <is>
          <t>WOS:000670928500001</t>
        </is>
      </c>
      <c r="BU1005">
        <f>HYPERLINK("https%3A%2F%2Fwww.webofscience.com%2Fwos%2Fwoscc%2Ffull-record%2FWOS:000670928500001","View Full Record in Web of Science")</f>
        <v/>
      </c>
    </row>
    <row r="1006">
      <c r="A1006" t="inlineStr">
        <is>
          <t>J</t>
        </is>
      </c>
      <c r="B1006" t="inlineStr">
        <is>
          <t>Ning, Y; Li, YD; Yang, SS; Ju, CJ</t>
        </is>
      </c>
      <c r="F1006" t="inlineStr">
        <is>
          <t>Ning, Yan; Li, Yadi; Yang, Shuangshuang; Ju, Chuanjing</t>
        </is>
      </c>
      <c r="J1006" t="inlineStr">
        <is>
          <t>SUSTAINABILITY</t>
        </is>
      </c>
      <c r="M1006" t="inlineStr">
        <is>
          <t>English</t>
        </is>
      </c>
      <c r="N1006" t="inlineStr">
        <is>
          <t>Article</t>
        </is>
      </c>
      <c r="T1006" t="inlineStr">
        <is>
          <t>Exploring Socio-Technical Features of Green Interior Design of Residential Buildings: Indicators, Interdependence and Embeddedness</t>
        </is>
      </c>
      <c r="U1006" t="inlineStr">
        <is>
          <t>environmental impact assessment; green interior design; green building; socio-technical systems; embeddedness; China</t>
        </is>
      </c>
      <c r="V1006" t="inlineStr">
        <is>
          <t>ENERGY-CONSUMPTION; BARRIERS; CHALLENGES; EFFICIENCY; SECTOR</t>
        </is>
      </c>
      <c r="W1006" t="inlineStr">
        <is>
          <t>This research aims to develop indicators for assessing green interior design of new residential buildings in China, grounded in the socio-technical systems approach. The research was carried out through a critical literature review and two focus group studies. The results show that the boundaries of green interior design were identified with respect to three dimensions, namely performance, methodology and stakeholders. The socio-technical systems approach argues for the recognition of the interdependence between the systems elements and the feature of embeddedness. The interdependence of the systems elements exists within each of these three dimensions and across them. It is also found that the socio-technical systems of green interior design are embedded in the social, regulatory and geographic context. Taking interior design of residential buildings as the empirical setting, this study contributes to the literature of green building assessment by presenting a socio-technical systems approach.</t>
        </is>
      </c>
      <c r="X1006" t="inlineStr">
        <is>
          <t>[Ning, Yan; Li, Yadi; Yang, Shuangshuang] Southeast Univ, Dept Construct &amp; Real Estate, Nanjing 210096, Jiangsu, Peoples R China; [Ju, Chuanjing] Southeast Univ, Dept Business Adm, Nanjing 210096, Jiangsu, Peoples R China</t>
        </is>
      </c>
      <c r="Y1006" t="inlineStr">
        <is>
          <t>Southeast University - China; Southeast University - China</t>
        </is>
      </c>
      <c r="Z1006" t="inlineStr">
        <is>
          <t>Ning, Y (corresponding author), Southeast Univ, Dept Construct &amp; Real Estate, Nanjing 210096, Jiangsu, Peoples R China.</t>
        </is>
      </c>
      <c r="AA1006" t="inlineStr">
        <is>
          <t>ningyan@seu.edu.cn; liyd_seu@126.com; yangss95@163.com; 101012004@seu.edu.cn</t>
        </is>
      </c>
      <c r="AC1006" t="inlineStr">
        <is>
          <t>ning, yan/0000-0002-8181-0667</t>
        </is>
      </c>
      <c r="AD1006" t="inlineStr">
        <is>
          <t>National Science Foundation of China [71502032, 71602031]; Priority Academic Program Development of Jiangsu Higher Education Institutions</t>
        </is>
      </c>
      <c r="AE1006" t="inlineStr">
        <is>
          <t>National Science Foundation of China(National Natural Science Foundation of China (NSFC)); Priority Academic Program Development of Jiangsu Higher Education Institutions</t>
        </is>
      </c>
      <c r="AF1006" t="inlineStr">
        <is>
          <t>This research was supported by the National Science Foundation of China (71502032; 71602031), and the Priority Academic Program Development of Jiangsu Higher Education Institutions. Reviewer's constructive comments are highly appreciated.</t>
        </is>
      </c>
      <c r="AH1006" t="n">
        <v>42</v>
      </c>
      <c r="AI1006" t="n">
        <v>7</v>
      </c>
      <c r="AJ1006" t="n">
        <v>7</v>
      </c>
      <c r="AK1006" t="n">
        <v>0</v>
      </c>
      <c r="AL1006" t="n">
        <v>22</v>
      </c>
      <c r="AM1006" t="inlineStr">
        <is>
          <t>MDPI</t>
        </is>
      </c>
      <c r="AN1006" t="inlineStr">
        <is>
          <t>BASEL</t>
        </is>
      </c>
      <c r="AO1006" t="inlineStr">
        <is>
          <t>ST ALBAN-ANLAGE 66, CH-4052 BASEL, SWITZERLAND</t>
        </is>
      </c>
      <c r="AP1006" t="inlineStr">
        <is>
          <t>2071-1050</t>
        </is>
      </c>
      <c r="AS1006" t="inlineStr">
        <is>
          <t>SUSTAINABILITY-BASEL</t>
        </is>
      </c>
      <c r="AT1006" t="inlineStr">
        <is>
          <t>Sustainability</t>
        </is>
      </c>
      <c r="AU1006" t="inlineStr">
        <is>
          <t>JAN</t>
        </is>
      </c>
      <c r="AV1006" t="n">
        <v>2017</v>
      </c>
      <c r="AW1006" t="n">
        <v>9</v>
      </c>
      <c r="AX1006" t="n">
        <v>1</v>
      </c>
      <c r="BE1006" t="n">
        <v>33</v>
      </c>
      <c r="BF1006" t="inlineStr">
        <is>
          <t>10.3390/su9010033</t>
        </is>
      </c>
      <c r="BG1006">
        <f>HYPERLINK("http://dx.doi.org/10.3390/su9010033","http://dx.doi.org/10.3390/su9010033")</f>
        <v/>
      </c>
      <c r="BJ1006" t="n">
        <v>15</v>
      </c>
      <c r="BK1006" t="inlineStr">
        <is>
          <t>Green &amp; Sustainable Science &amp; Technology; Environmental Sciences; Environmental Studies</t>
        </is>
      </c>
      <c r="BL1006" t="inlineStr">
        <is>
          <t>Science Citation Index Expanded (SCI-EXPANDED); Social Science Citation Index (SSCI)</t>
        </is>
      </c>
      <c r="BM1006" t="inlineStr">
        <is>
          <t>Science &amp; Technology - Other Topics; Environmental Sciences &amp; Ecology</t>
        </is>
      </c>
      <c r="BN1006" t="inlineStr">
        <is>
          <t>EL8AO</t>
        </is>
      </c>
      <c r="BP1006" t="inlineStr">
        <is>
          <t>gold, Green Submitted</t>
        </is>
      </c>
      <c r="BS1006" t="inlineStr">
        <is>
          <t>2023-10-26</t>
        </is>
      </c>
      <c r="BT1006" t="inlineStr">
        <is>
          <t>WOS:000394842700033</t>
        </is>
      </c>
      <c r="BU1006">
        <f>HYPERLINK("https%3A%2F%2Fwww.webofscience.com%2Fwos%2Fwoscc%2Ffull-record%2FWOS:000394842700033","View Full Record in Web of Science")</f>
        <v/>
      </c>
    </row>
    <row r="1007">
      <c r="A1007" t="inlineStr">
        <is>
          <t>J</t>
        </is>
      </c>
      <c r="B1007" t="inlineStr">
        <is>
          <t>Shojaei, A; Ketabi, R; Razkenari, M; Hakim, H; Wang, J</t>
        </is>
      </c>
      <c r="F1007" t="inlineStr">
        <is>
          <t>Shojaei, Alireza; Ketabi, Roozbeh; Razkenari, Mohamad; Hakim, Hamed; Wang, Jun</t>
        </is>
      </c>
      <c r="J1007" t="inlineStr">
        <is>
          <t>JOURNAL OF CLEANER PRODUCTION</t>
        </is>
      </c>
      <c r="M1007" t="inlineStr">
        <is>
          <t>English</t>
        </is>
      </c>
      <c r="N1007" t="inlineStr">
        <is>
          <t>Article</t>
        </is>
      </c>
      <c r="T1007" t="inlineStr">
        <is>
          <t>Enabling a circular economy in the built environment sector through blockchain technology</t>
        </is>
      </c>
      <c r="U1007" t="inlineStr">
        <is>
          <t>Blockchain; Circular economy; Information systems; Sustainability; Distributed ledger; Built environment</t>
        </is>
      </c>
      <c r="W1007" t="inlineStr">
        <is>
          <t>The concept of a circular economy (CE) encompasses a comprehensive approach to conscious design and material choice, in addition to keeping products at their utmost utility during production, operation, and reuse cycles through the implementation of closed loops. A blockchain allows for a fast, secure, and accessible information network by providing a decentralized ledger where materials and products can be traced to their sources. This paper investigates blockchain as a promising technology for the facilitation of a CE in the built environment. In support of this, a blockchain model is presented and tested through a synthetic case study to provide a proof of concept as to the feasibility of blockchain as an enabler of a CE in the built environment. With utilization of a blockchain, the current state of each material and component can be tracked, making the proactive planning for their reusability a tangible reality. The findings of the synthetic case study reveal that a blockchain can provide full material and energy traceability, enabling the user to make predictions for the recycling and reuse of materials and goods used in the built environment. Blockchain is shown to be a feasible and novel approach for employing CE concepts in the built environment domain. Additionally, the framework presented here could be beneficial for smart cities and communities, where a blockchain style of information flow can produce synergy with other aspects of a smart and connected community. (c) 2021 Elsevier Ltd. All rights reserved.</t>
        </is>
      </c>
      <c r="X1007" t="inlineStr">
        <is>
          <t>[Shojaei, Alireza] Mississippi State Univ, Bldg Construct Sci Dept, Mississippi State, MS 39762 USA; [Ketabi, Roozbeh] Univ Florida, Comp &amp; Informat Sci &amp; Engn, Gainesville, FL USA; [Razkenari, Mohamad] State Univ New York, Coll Environm Sci &amp; Forestry, New York, NY USA; [Hakim, Hamed] Univ Florida, Powell Ctr Construct &amp; Environm, ME Rinker Sr Sch Bldg Construct, Gainesville, FL USA; [Wang, Jun] Mississippi State Univ, Civil &amp; Environm Engn Dept, Mississippi State, MS 39762 USA</t>
        </is>
      </c>
      <c r="Y1007" t="inlineStr">
        <is>
          <t>Mississippi State University; State University System of Florida; University of Florida; State University of New York (SUNY) System; State University of New York (SUNY) College of Environmental Science &amp; Forestry; State University System of Florida; University of Florida; Mississippi State University</t>
        </is>
      </c>
      <c r="Z1007" t="inlineStr">
        <is>
          <t>Shojaei, A (corresponding author), Mississippi State Univ, Bldg Construct Sci Dept, Mississippi State, MS 39762 USA.</t>
        </is>
      </c>
      <c r="AA1007" t="inlineStr">
        <is>
          <t>shojaei@caad.msstate.edu; Roozbeh@ufl.edu; marazken@esf.edu; hamedhakim@ufl.edu; jwang@cee.msstate.edu</t>
        </is>
      </c>
      <c r="AB1007" t="inlineStr">
        <is>
          <t>Shojaei, Alireza/R-5526-2018</t>
        </is>
      </c>
      <c r="AC1007" t="inlineStr">
        <is>
          <t>Shojaei, Alireza/0000-0003-3970-0541; Razkenari, Mohamad/0000-0002-1815-7570</t>
        </is>
      </c>
      <c r="AH1007" t="n">
        <v>66</v>
      </c>
      <c r="AI1007" t="n">
        <v>72</v>
      </c>
      <c r="AJ1007" t="n">
        <v>72</v>
      </c>
      <c r="AK1007" t="n">
        <v>12</v>
      </c>
      <c r="AL1007" t="n">
        <v>77</v>
      </c>
      <c r="AM1007" t="inlineStr">
        <is>
          <t>ELSEVIER SCI LTD</t>
        </is>
      </c>
      <c r="AN1007" t="inlineStr">
        <is>
          <t>OXFORD</t>
        </is>
      </c>
      <c r="AO1007" t="inlineStr">
        <is>
          <t>THE BOULEVARD, LANGFORD LANE, KIDLINGTON, OXFORD OX5 1GB, OXON, ENGLAND</t>
        </is>
      </c>
      <c r="AP1007" t="inlineStr">
        <is>
          <t>0959-6526</t>
        </is>
      </c>
      <c r="AQ1007" t="inlineStr">
        <is>
          <t>1879-1786</t>
        </is>
      </c>
      <c r="AS1007" t="inlineStr">
        <is>
          <t>J CLEAN PROD</t>
        </is>
      </c>
      <c r="AT1007" t="inlineStr">
        <is>
          <t>J. Clean Prod.</t>
        </is>
      </c>
      <c r="AU1007" t="inlineStr">
        <is>
          <t>APR 20</t>
        </is>
      </c>
      <c r="AV1007" t="n">
        <v>2021</v>
      </c>
      <c r="AW1007" t="n">
        <v>294</v>
      </c>
      <c r="BE1007" t="n">
        <v>126352</v>
      </c>
      <c r="BF1007" t="inlineStr">
        <is>
          <t>10.1016/j.jclepro.2021.126352</t>
        </is>
      </c>
      <c r="BG1007">
        <f>HYPERLINK("http://dx.doi.org/10.1016/j.jclepro.2021.126352","http://dx.doi.org/10.1016/j.jclepro.2021.126352")</f>
        <v/>
      </c>
      <c r="BI1007" t="inlineStr">
        <is>
          <t>FEB 2021</t>
        </is>
      </c>
      <c r="BJ1007" t="n">
        <v>13</v>
      </c>
      <c r="BK1007" t="inlineStr">
        <is>
          <t>Green &amp; Sustainable Science &amp; Technology; Engineering, Environmental; Environmental Sciences</t>
        </is>
      </c>
      <c r="BL1007" t="inlineStr">
        <is>
          <t>Science Citation Index Expanded (SCI-EXPANDED); Social Science Citation Index (SSCI)</t>
        </is>
      </c>
      <c r="BM1007" t="inlineStr">
        <is>
          <t>Science &amp; Technology - Other Topics; Engineering; Environmental Sciences &amp; Ecology</t>
        </is>
      </c>
      <c r="BN1007" t="inlineStr">
        <is>
          <t>RH3MA</t>
        </is>
      </c>
      <c r="BS1007" t="inlineStr">
        <is>
          <t>2023-10-26</t>
        </is>
      </c>
      <c r="BT1007" t="inlineStr">
        <is>
          <t>WOS:000636126000005</t>
        </is>
      </c>
      <c r="BU1007">
        <f>HYPERLINK("https%3A%2F%2Fwww.webofscience.com%2Fwos%2Fwoscc%2Ffull-record%2FWOS:000636126000005","View Full Record in Web of Science")</f>
        <v/>
      </c>
    </row>
    <row r="1008">
      <c r="A1008" t="inlineStr">
        <is>
          <t>J</t>
        </is>
      </c>
      <c r="B1008" t="inlineStr">
        <is>
          <t>Ihle, A; Jopp, DS; Oris, M; Fagot, D; Kliegel, M</t>
        </is>
      </c>
      <c r="F1008" t="inlineStr">
        <is>
          <t>Ihle, Andreas; Jopp, Daniela S.; Oris, Michel; Fagot, Delphine; Kliegel, Matthias</t>
        </is>
      </c>
      <c r="J1008" t="inlineStr">
        <is>
          <t>INTERNATIONAL JOURNAL OF ENVIRONMENTAL RESEARCH AND PUBLIC HEALTH</t>
        </is>
      </c>
      <c r="M1008" t="inlineStr">
        <is>
          <t>English</t>
        </is>
      </c>
      <c r="N1008" t="inlineStr">
        <is>
          <t>Article</t>
        </is>
      </c>
      <c r="T1008" t="inlineStr">
        <is>
          <t>Investigating Discontinuity of Age Relations in Cognitive Functioning, General Health Status, Activity Participation, and Life Satisfaction between Young-Old and Old-Old Age</t>
        </is>
      </c>
      <c r="U1008" t="inlineStr">
        <is>
          <t>young-old adults versus old-old adults; cognition; health; activity participation; life satisfaction</t>
        </is>
      </c>
      <c r="V1008" t="inlineStr">
        <is>
          <t>LONGITUDINAL EVIDENCE; LEISURE ACTIVITIES; PROSPECTIVE MEMORY; DECLINE; DEMENTIA; ADULTS; PERFORMANCE; PARADOX; SHOWS; RISK</t>
        </is>
      </c>
      <c r="W1008" t="inlineStr">
        <is>
          <t>Health research suggests that findings on young-old adults cannot be generalized to old-old adults and thus that old-old age seems not a simple continuation of young-old age due to qualitative changes that result in a discontinuity in old age. Specifically, it would be of conceptual and methodological importance to inform research regarding estimates around which chronological age the beginning of old-old age could be placed at a population level, and whether this is universal or domain-specific. To derive such criteria, we investigated potential discontinuity of age relations between young-old and old-old age in a large population-based sample considering measures in different domains (processing speed, verbal abilities, general health status, activity participation, and life satisfaction). For processing speed, verbal abilities, general health status, and life satisfaction we observed some very small indication that there might be a discontinuity of age relations at the end of individuals' eighties, and for activity participation already at the beginning of individuals' eighties. In conclusion, models conceptualizing aging as a gradual development might not suffice to adequately represent the differences between the stages of young-old and old-old age due to some very small indication that there might be discontinuity in late adulthood.</t>
        </is>
      </c>
      <c r="X1008" t="inlineStr">
        <is>
          <t>[Ihle, Andreas; Kliegel, Matthias] Univ Geneva, Dept Psychol, Blvd Pont dArve 40, CH-1211 Geneva, Switzerland; [Ihle, Andreas; Oris, Michel; Fagot, Delphine; Kliegel, Matthias] Univ Geneva, Ctr Interdisciplinary Study Gerontol &amp; Vulnerabil, Route Acacias 54, CH-1227 Carouge, Switzerland; [Jopp, Daniela S.] Univ Lausanne, Dept Psychol, Geopolis Buildin, CH-1015 Lausanne, Switzerland</t>
        </is>
      </c>
      <c r="Y1008" t="inlineStr">
        <is>
          <t>University of Geneva; University of Geneva; University of Lausanne</t>
        </is>
      </c>
      <c r="Z1008" t="inlineStr">
        <is>
          <t>Ihle, A (corresponding author), Univ Geneva, Dept Psychol, Blvd Pont dArve 40, CH-1211 Geneva, Switzerland.;Ihle, A (corresponding author), Univ Geneva, Ctr Interdisciplinary Study Gerontol &amp; Vulnerabil, Route Acacias 54, CH-1227 Carouge, Switzerland.</t>
        </is>
      </c>
      <c r="AA1008" t="inlineStr">
        <is>
          <t>Andreas.Ihle@unige.ch; Daniela.Jopp@unil.ch; Michel.Oris@unige.ch; Delphine.Fagot@unige.ch; Matthias.Kliegel@unige.ch</t>
        </is>
      </c>
      <c r="AC1008" t="inlineStr">
        <is>
          <t>Kliegel, Matthias/0000-0002-2001-2522; Jopp, Daniela S/0000-0002-8896-9275; Ihle, Andreas/0000-0001-9845-5190</t>
        </is>
      </c>
      <c r="AD1008" t="inlineStr">
        <is>
          <t>Swiss National Centre of Competences in Research LIVES-Overcoming vulnerability: life course perspectives; Swiss National Science Foundation</t>
        </is>
      </c>
      <c r="AE1008" t="inlineStr">
        <is>
          <t>Swiss National Centre of Competences in Research LIVES-Overcoming vulnerability: life course perspectives; Swiss National Science Foundation(Swiss National Science Foundation (SNSF))</t>
        </is>
      </c>
      <c r="AF1008" t="inlineStr">
        <is>
          <t>This work was supported by the Swiss National Centre of Competences in Research LIVES-Overcoming vulnerability: life course perspectives, granted by the Swiss National Science Foundation, including funds for covering the costs to publish in open access.</t>
        </is>
      </c>
      <c r="AH1008" t="n">
        <v>47</v>
      </c>
      <c r="AI1008" t="n">
        <v>14</v>
      </c>
      <c r="AJ1008" t="n">
        <v>14</v>
      </c>
      <c r="AK1008" t="n">
        <v>4</v>
      </c>
      <c r="AL1008" t="n">
        <v>19</v>
      </c>
      <c r="AM1008" t="inlineStr">
        <is>
          <t>MDPI</t>
        </is>
      </c>
      <c r="AN1008" t="inlineStr">
        <is>
          <t>BASEL</t>
        </is>
      </c>
      <c r="AO1008" t="inlineStr">
        <is>
          <t>ST ALBAN-ANLAGE 66, CH-4052 BASEL, SWITZERLAND</t>
        </is>
      </c>
      <c r="AQ1008" t="inlineStr">
        <is>
          <t>1660-4601</t>
        </is>
      </c>
      <c r="AS1008" t="inlineStr">
        <is>
          <t>INT J ENV RES PUB HE</t>
        </is>
      </c>
      <c r="AT1008" t="inlineStr">
        <is>
          <t>Int. J. Environ. Res. Public Health</t>
        </is>
      </c>
      <c r="AU1008" t="inlineStr">
        <is>
          <t>NOV</t>
        </is>
      </c>
      <c r="AV1008" t="n">
        <v>2016</v>
      </c>
      <c r="AW1008" t="n">
        <v>13</v>
      </c>
      <c r="AX1008" t="n">
        <v>11</v>
      </c>
      <c r="BE1008" t="n">
        <v>1092</v>
      </c>
      <c r="BF1008" t="inlineStr">
        <is>
          <t>10.3390/ijerph13111092</t>
        </is>
      </c>
      <c r="BG1008">
        <f>HYPERLINK("http://dx.doi.org/10.3390/ijerph13111092","http://dx.doi.org/10.3390/ijerph13111092")</f>
        <v/>
      </c>
      <c r="BJ1008" t="n">
        <v>15</v>
      </c>
      <c r="BK1008" t="inlineStr">
        <is>
          <t>Environmental Sciences; Public, Environmental &amp; Occupational Health</t>
        </is>
      </c>
      <c r="BL1008" t="inlineStr">
        <is>
          <t>Science Citation Index Expanded (SCI-EXPANDED); Social Science Citation Index (SSCI)</t>
        </is>
      </c>
      <c r="BM1008" t="inlineStr">
        <is>
          <t>Environmental Sciences &amp; Ecology; Public, Environmental &amp; Occupational Health</t>
        </is>
      </c>
      <c r="BN1008" t="inlineStr">
        <is>
          <t>EE4KR</t>
        </is>
      </c>
      <c r="BO1008" t="n">
        <v>27827960</v>
      </c>
      <c r="BP1008" t="inlineStr">
        <is>
          <t>Green Submitted, Green Published, gold</t>
        </is>
      </c>
      <c r="BS1008" t="inlineStr">
        <is>
          <t>2023-10-26</t>
        </is>
      </c>
      <c r="BT1008" t="inlineStr">
        <is>
          <t>WOS:000389571300051</t>
        </is>
      </c>
      <c r="BU1008">
        <f>HYPERLINK("https%3A%2F%2Fwww.webofscience.com%2Fwos%2Fwoscc%2Ffull-record%2FWOS:000389571300051","View Full Record in Web of Science")</f>
        <v/>
      </c>
    </row>
    <row r="1009">
      <c r="A1009" t="inlineStr">
        <is>
          <t>J</t>
        </is>
      </c>
      <c r="B1009" t="inlineStr">
        <is>
          <t>Mascaro, ME; Pellegrino, G; Palermo, AM</t>
        </is>
      </c>
      <c r="F1009" t="inlineStr">
        <is>
          <t>Mascaro, Maria Emanuela; Pellegrino, Giuseppe; Palermo, Anna Maria</t>
        </is>
      </c>
      <c r="J1009" t="inlineStr">
        <is>
          <t>SUSTAINABILITY</t>
        </is>
      </c>
      <c r="M1009" t="inlineStr">
        <is>
          <t>English</t>
        </is>
      </c>
      <c r="N1009" t="inlineStr">
        <is>
          <t>Article</t>
        </is>
      </c>
      <c r="T1009" t="inlineStr">
        <is>
          <t>Analysis of Biodeteriogens on Architectural Heritage. An Approach of Applied Botany on a Gothic Building in Southern Italy</t>
        </is>
      </c>
      <c r="U1009" t="inlineStr">
        <is>
          <t>architectural heritage; biodeterioration; cultural heritage conservation; stone colonization; biofilm; cyanobacteria; fungi; green algae; vascular plants</t>
        </is>
      </c>
      <c r="V1009" t="inlineStr">
        <is>
          <t>PHOTOTROPHIC BIOFILMS; CULTURAL-HERITAGE; COMMUNITY STRUCTURE; BIORECEPTIVITY; CYANOBACTERIA; BIODIVERSITY; DETERIORATION; ART; COLONIZATION; CATACOMBS</t>
        </is>
      </c>
      <c r="W1009" t="inlineStr">
        <is>
          <t>The degradation of stone materials depends on several interlinked factors. The effects caused by biodeteriogens on mineral-based substrates are now increasingly considered in the field of cultural heritage conservation from different experimental approaches. In this study, biodeteriogenic micro- and macroflora within the gothic building of Santa Maria della Pieta, Squillace, Calabria, have been analyzed using multiple approaches, such as optical microscopy and molecular techniques. All 17 plant species detected are usually widespread in Mediterranean regions and some of these, such as Ailanthus altissima and Ficus carica, showed a very high hazard index, which is potentially dangerous for masonry stability. Fungi, cyanobacteria, and green algae were identified within biofilm compositions in a total of 23 different taxa, showing many similarities with microbial associations commonly found in cave and hypogean environments. All of the 11 fungal taxa detected belong to Ascomycota phylum, with Penicillium as the most represented genus. Photoautotrophic organisms are mostly represented by filamentous genera, with widespread presence of Leptolyngbya as the most abundant genus. The results highlighted how the singular environmental conditions of the study site, combined with the architectural features and the building materials, determined all the degradation phenomena affecting the building's internal surfaces, compromising over time the structural integrity.</t>
        </is>
      </c>
      <c r="X1009" t="inlineStr">
        <is>
          <t>[Mascaro, Maria Emanuela; Pellegrino, Giuseppe; Palermo, Anna Maria] Univ Calabria, Dept Biol Ecol &amp; Earth Sci, I-87036 Arcavacata Di Rende, Italy</t>
        </is>
      </c>
      <c r="Y1009" t="inlineStr">
        <is>
          <t>University of Calabria</t>
        </is>
      </c>
      <c r="Z1009" t="inlineStr">
        <is>
          <t>Palermo, AM (corresponding author), Univ Calabria, Dept Biol Ecol &amp; Earth Sci, I-87036 Arcavacata Di Rende, Italy.</t>
        </is>
      </c>
      <c r="AA1009" t="inlineStr">
        <is>
          <t>mariaemanuelamascaro@gmail.com; giuseppe.pellegrino@unical.it; anna_maria.palermo@unical.it</t>
        </is>
      </c>
      <c r="AB1009" t="inlineStr">
        <is>
          <t>Palermo, Anna Maria/AAC-1668-2022</t>
        </is>
      </c>
      <c r="AC1009" t="inlineStr">
        <is>
          <t>Palermo, Anna Maria/0000-0003-0171-5596; MASCARO, MARIA EMANUELA/0000-0002-5788-3567</t>
        </is>
      </c>
      <c r="AH1009" t="n">
        <v>95</v>
      </c>
      <c r="AI1009" t="n">
        <v>5</v>
      </c>
      <c r="AJ1009" t="n">
        <v>5</v>
      </c>
      <c r="AK1009" t="n">
        <v>0</v>
      </c>
      <c r="AL1009" t="n">
        <v>8</v>
      </c>
      <c r="AM1009" t="inlineStr">
        <is>
          <t>MDPI</t>
        </is>
      </c>
      <c r="AN1009" t="inlineStr">
        <is>
          <t>BASEL</t>
        </is>
      </c>
      <c r="AO1009" t="inlineStr">
        <is>
          <t>ST ALBAN-ANLAGE 66, CH-4052 BASEL, SWITZERLAND</t>
        </is>
      </c>
      <c r="AQ1009" t="inlineStr">
        <is>
          <t>2071-1050</t>
        </is>
      </c>
      <c r="AS1009" t="inlineStr">
        <is>
          <t>SUSTAINABILITY-BASEL</t>
        </is>
      </c>
      <c r="AT1009" t="inlineStr">
        <is>
          <t>Sustainability</t>
        </is>
      </c>
      <c r="AU1009" t="inlineStr">
        <is>
          <t>JAN</t>
        </is>
      </c>
      <c r="AV1009" t="n">
        <v>2022</v>
      </c>
      <c r="AW1009" t="n">
        <v>14</v>
      </c>
      <c r="AX1009" t="n">
        <v>1</v>
      </c>
      <c r="BE1009" t="n">
        <v>34</v>
      </c>
      <c r="BF1009" t="inlineStr">
        <is>
          <t>10.3390/su14010034</t>
        </is>
      </c>
      <c r="BG1009">
        <f>HYPERLINK("http://dx.doi.org/10.3390/su14010034","http://dx.doi.org/10.3390/su14010034")</f>
        <v/>
      </c>
      <c r="BJ1009" t="n">
        <v>17</v>
      </c>
      <c r="BK1009" t="inlineStr">
        <is>
          <t>Green &amp; Sustainable Science &amp; Technology; Environmental Sciences; Environmental Studies</t>
        </is>
      </c>
      <c r="BL1009" t="inlineStr">
        <is>
          <t>Science Citation Index Expanded (SCI-EXPANDED); Social Science Citation Index (SSCI)</t>
        </is>
      </c>
      <c r="BM1009" t="inlineStr">
        <is>
          <t>Science &amp; Technology - Other Topics; Environmental Sciences &amp; Ecology</t>
        </is>
      </c>
      <c r="BN1009" t="inlineStr">
        <is>
          <t>YE5CH</t>
        </is>
      </c>
      <c r="BP1009" t="inlineStr">
        <is>
          <t>gold</t>
        </is>
      </c>
      <c r="BS1009" t="inlineStr">
        <is>
          <t>2023-10-26</t>
        </is>
      </c>
      <c r="BT1009" t="inlineStr">
        <is>
          <t>WOS:000741143000001</t>
        </is>
      </c>
      <c r="BU1009">
        <f>HYPERLINK("https%3A%2F%2Fwww.webofscience.com%2Fwos%2Fwoscc%2Ffull-record%2FWOS:000741143000001","View Full Record in Web of Science")</f>
        <v/>
      </c>
    </row>
    <row r="1010">
      <c r="A1010" t="inlineStr">
        <is>
          <t>J</t>
        </is>
      </c>
      <c r="B1010" t="inlineStr">
        <is>
          <t>Bae, S; Harada, K; Chiba, I; Makino, K; Katayama, O; Lee, S; Shinkai, Y; Shimada, H</t>
        </is>
      </c>
      <c r="F1010" t="inlineStr">
        <is>
          <t>Bae, Seongryu; Harada, Kenji; Chiba, Ippei; Makino, Keitaro; Katayama, Osamu; Lee, Sangyoon; Shinkai, Yohei; Shimada, Hiroyuki</t>
        </is>
      </c>
      <c r="J1010" t="inlineStr">
        <is>
          <t>INTERNATIONAL JOURNAL OF ENVIRONMENTAL RESEARCH AND PUBLIC HEALTH</t>
        </is>
      </c>
      <c r="M1010" t="inlineStr">
        <is>
          <t>English</t>
        </is>
      </c>
      <c r="N1010" t="inlineStr">
        <is>
          <t>Article</t>
        </is>
      </c>
      <c r="T1010" t="inlineStr">
        <is>
          <t>A New Social Network Scale for Detecting Depressive Symptoms in Older Japanese Adults</t>
        </is>
      </c>
      <c r="U1010" t="inlineStr">
        <is>
          <t>social network scale; older adults; depressive symptoms; social relationships</t>
        </is>
      </c>
      <c r="V1010" t="inlineStr">
        <is>
          <t>HEALTH-STATUS; SUPPORT; RISK</t>
        </is>
      </c>
      <c r="W1010" t="inlineStr">
        <is>
          <t>Social engagement and networking deter depression among older adults. During the COVID-19 pandemic, older adults are especially at risk of isolation from face-to-face and non-face-to-face interactions. We developed the National Center for Geriatrics and Gerontology Social Network Scale (NCGG-SNS) to assess frequency of, and satisfaction with, social interactions. The NCGG-SNS consists of four domains: face-to-face/non-face-to-face interactions with family/friends. Each domain score is obtained by multiplying frequency ratings by satisfaction ratings for each item; all scores were summed to obtain a total NCGG-SNS score (range: 0-64). Additionally, face-to-face and non-face-to-face subscores were calculated. Higher scores indicated satisfactory social networking. A cohort of 2445 older Japanese adults completed the NCGG-SNS and the Geriatrics Depression Scale-Short form. Receiver Operating Characteristic (ROC) analysis and logistic regression determined predictive validity for depressive symptoms. Depressive symptoms were reported by 284 participants (11.6%). The optimal NCGG-SNS cut-off value to identify depressive symptoms was 26.5 points. In logistic regression analysis adjusted for potential confounders, lower NCGG-SNS values were significantly associated with greater prevalence of depressive symptoms. Face-to-face and non-face-to-face subscores were associated with depressive symptoms. The NCGG-SNS is a valid and useful indicator of multidimensional social networking enabling identification of depressive symptoms in older adults.</t>
        </is>
      </c>
      <c r="X1010" t="inlineStr">
        <is>
          <t>[Bae, Seongryu; Harada, Kenji; Chiba, Ippei; Makino, Keitaro; Katayama, Osamu; Lee, Sangyoon; Shinkai, Yohei; Shimada, Hiroyuki] Natl Ctr Geriatr &amp; Gerontol, Ctr Gerontol &amp; Social Sci, Dept Prevent Gerontol, 7-430 Morioka, Obu, Aichi 4748511, Japan</t>
        </is>
      </c>
      <c r="Y1010" t="inlineStr">
        <is>
          <t>National Center for Geriatrics &amp; Gerontology</t>
        </is>
      </c>
      <c r="Z1010" t="inlineStr">
        <is>
          <t>Bae, S (corresponding author), Natl Ctr Geriatr &amp; Gerontol, Ctr Gerontol &amp; Social Sci, Dept Prevent Gerontol, 7-430 Morioka, Obu, Aichi 4748511, Japan.</t>
        </is>
      </c>
      <c r="AA1010" t="inlineStr">
        <is>
          <t>bae-sr@ncgg.go.jp; harada-k@ncgg.go.jp; ichiba@ncgg.go.jp; kmakino@ncgg.go.jp; katayama.o@ncgg.go.jp; sylee@ncgg.go.jp; yshinkai@ncgg.go.jp; shimada@ncgg.go.jp</t>
        </is>
      </c>
      <c r="AB1010" t="inlineStr">
        <is>
          <t>Makino, Keitaro/AHA-7480-2022</t>
        </is>
      </c>
      <c r="AC1010" t="inlineStr">
        <is>
          <t>Makino, Keitaro/0000-0001-9252-8256; Shimada, Hiroyuki/0000-0001-8111-6440; Katayama, Osamu/0000-0003-1885-527X</t>
        </is>
      </c>
      <c r="AD1010" t="inlineStr">
        <is>
          <t>JSPS KAKENHI [20K19369]; Grants-in-Aid for Scientific Research [20K19369] Funding Source: KAKEN</t>
        </is>
      </c>
      <c r="AE1010" t="inlineStr">
        <is>
          <t>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is>
      </c>
      <c r="AF1010" t="inlineStr">
        <is>
          <t>We would like to thank the Chita City Office for their assistance with recruiting participants. We also thank the healthcare staff for their assistance with assessments. We would like to thank the JSPS KAKENHI Grant-in-Aid for Young Scientists (grant number: 20K19369) for their support.</t>
        </is>
      </c>
      <c r="AH1010" t="n">
        <v>61</v>
      </c>
      <c r="AI1010" t="n">
        <v>4</v>
      </c>
      <c r="AJ1010" t="n">
        <v>4</v>
      </c>
      <c r="AK1010" t="n">
        <v>2</v>
      </c>
      <c r="AL1010" t="n">
        <v>12</v>
      </c>
      <c r="AM1010" t="inlineStr">
        <is>
          <t>MDPI</t>
        </is>
      </c>
      <c r="AN1010" t="inlineStr">
        <is>
          <t>BASEL</t>
        </is>
      </c>
      <c r="AO1010" t="inlineStr">
        <is>
          <t>ST ALBAN-ANLAGE 66, CH-4052 BASEL, SWITZERLAND</t>
        </is>
      </c>
      <c r="AQ1010" t="inlineStr">
        <is>
          <t>1660-4601</t>
        </is>
      </c>
      <c r="AS1010" t="inlineStr">
        <is>
          <t>INT J ENV RES PUB HE</t>
        </is>
      </c>
      <c r="AT1010" t="inlineStr">
        <is>
          <t>Int. J. Environ. Res. Public Health</t>
        </is>
      </c>
      <c r="AU1010" t="inlineStr">
        <is>
          <t>DEC</t>
        </is>
      </c>
      <c r="AV1010" t="n">
        <v>2020</v>
      </c>
      <c r="AW1010" t="n">
        <v>17</v>
      </c>
      <c r="AX1010" t="n">
        <v>23</v>
      </c>
      <c r="BE1010" t="n">
        <v>8874</v>
      </c>
      <c r="BF1010" t="inlineStr">
        <is>
          <t>10.3390/ijerph17238874</t>
        </is>
      </c>
      <c r="BG1010">
        <f>HYPERLINK("http://dx.doi.org/10.3390/ijerph17238874","http://dx.doi.org/10.3390/ijerph17238874")</f>
        <v/>
      </c>
      <c r="BJ1010" t="n">
        <v>13</v>
      </c>
      <c r="BK1010" t="inlineStr">
        <is>
          <t>Environmental Sciences; Public, Environmental &amp; Occupational Health</t>
        </is>
      </c>
      <c r="BL1010" t="inlineStr">
        <is>
          <t>Science Citation Index Expanded (SCI-EXPANDED); Social Science Citation Index (SSCI)</t>
        </is>
      </c>
      <c r="BM1010" t="inlineStr">
        <is>
          <t>Environmental Sciences &amp; Ecology; Public, Environmental &amp; Occupational Health</t>
        </is>
      </c>
      <c r="BN1010" t="inlineStr">
        <is>
          <t>PD9LL</t>
        </is>
      </c>
      <c r="BO1010" t="n">
        <v>33260326</v>
      </c>
      <c r="BP1010" t="inlineStr">
        <is>
          <t>gold, Green Published</t>
        </is>
      </c>
      <c r="BS1010" t="inlineStr">
        <is>
          <t>2023-10-26</t>
        </is>
      </c>
      <c r="BT1010" t="inlineStr">
        <is>
          <t>WOS:000597997100001</t>
        </is>
      </c>
      <c r="BU1010">
        <f>HYPERLINK("https%3A%2F%2Fwww.webofscience.com%2Fwos%2Fwoscc%2Ffull-record%2FWOS:000597997100001","View Full Record in Web of Science")</f>
        <v/>
      </c>
    </row>
    <row r="1011">
      <c r="A1011" t="inlineStr">
        <is>
          <t>J</t>
        </is>
      </c>
      <c r="B1011" t="inlineStr">
        <is>
          <t>Chen, CC; Lo, TH; Tsay, YS; Lee, CY; Liu, KS</t>
        </is>
      </c>
      <c r="F1011" t="inlineStr">
        <is>
          <t>Chen, C. C.; Lo, T. H.; Tsay, Y. S.; Lee, C. Y.; Liu, K. S.</t>
        </is>
      </c>
      <c r="J1011" t="inlineStr">
        <is>
          <t>APPLIED ECOLOGY AND ENVIRONMENTAL RESEARCH</t>
        </is>
      </c>
      <c r="M1011" t="inlineStr">
        <is>
          <t>English</t>
        </is>
      </c>
      <c r="N1011" t="inlineStr">
        <is>
          <t>Article</t>
        </is>
      </c>
      <c r="T1011" t="inlineStr">
        <is>
          <t>APPLICATION OF A NOVEL FORMALDEHYDE SENSOR WITH MEMS (MICRO ELECTRO MECHANICAL SYSTEMS) IN INDOOR AIR QUALITY TEST AND IMPROVEMENT IN MEDICAL SPACES</t>
        </is>
      </c>
      <c r="U1011" t="inlineStr">
        <is>
          <t>healthy environment; exposure assessment; cancer risk; building materials; plasma</t>
        </is>
      </c>
      <c r="V1011" t="inlineStr">
        <is>
          <t>VOLATILE ORGANIC-COMPOUNDS; BUILDINGS; POLLUTION</t>
        </is>
      </c>
      <c r="W1011" t="inlineStr">
        <is>
          <t>In the indoor air environment in Taiwan, formaldehyde concentration stays at a high level, which is an important issue affecting indoor air quality, and the formaldehyde issue in medical building spaces is more severe. The novel formaldehyde sensor based on microelectromechanical systems (MEMS), which uses quartz glass as basic material, platinum as micro heater resistance, as well as a heat sensing layer and NiO film as a sensing layer. NiO film was used to form a sensing layer in the method of sputter deposition. Platinum was used as electrode to measure and sense resistance change. When there was formaldehyde gas in the environment, the electrical conductivity on the NiO film increased, thus causing the resistance on the sensing layer to decrease. The sensor displayed the value of formaldehyde concentration. The novel formaldehyde sensor with MEMS was applied and tested in a large medical center (medical space) in southern Taiwan. The formaldehyde concentration in 120 points in one medical building was tested. The results showed that the indoor formaldehyde concentration was between 0.01-2.31 ppm, exceeding the indoor air quality standard - 0.08 ppm, and the failure rate of the whole building was over 50%.</t>
        </is>
      </c>
      <c r="X1011" t="inlineStr">
        <is>
          <t>[Chen, C. C.; Liu, K. S.] Tung Fang Design Inst, Dept Interior Design, 110 Dongfang Rd, Kaohsiung 829, Taiwan; [Lo, T. H.; Tsay, Y. S.] Natl Cheng Kung Univ, Dept Architecture, 1 Daxue Rd, Tainan 701, Taiwan; [Lee, C. Y.] Natl Pingtung Univ Sci &amp; Technol, Dept Vehicle Engn, 1 Xuefu Rd, Neipu Township 912, Pingtung County, Taiwan</t>
        </is>
      </c>
      <c r="Y1011" t="inlineStr">
        <is>
          <t>Tung Fang Design University; National Cheng Kung University; National Pingtung University Science &amp; Technology</t>
        </is>
      </c>
      <c r="Z1011" t="inlineStr">
        <is>
          <t>Tsay, YS (corresponding author), Natl Cheng Kung Univ, Dept Architecture, 1 Daxue Rd, Tainan 701, Taiwan.</t>
        </is>
      </c>
      <c r="AA1011" t="inlineStr">
        <is>
          <t>tsayys@mail.ncku.edu.tw</t>
        </is>
      </c>
      <c r="AB1011" t="inlineStr">
        <is>
          <t>Tsay, Yaw-Shyan/M-5980-2017</t>
        </is>
      </c>
      <c r="AC1011" t="inlineStr">
        <is>
          <t>Tsay, Yaw-Shyan/0000-0001-6935-784X</t>
        </is>
      </c>
      <c r="AD1011" t="inlineStr">
        <is>
          <t>Ministry of Science and Technology, Taiwan [MOST 103-2221-E-272-003, 103-2221-E-006-148]</t>
        </is>
      </c>
      <c r="AE1011" t="inlineStr">
        <is>
          <t>Ministry of Science and Technology, Taiwan(Ministry of Science and Technology, Taiwan)</t>
        </is>
      </c>
      <c r="AF1011" t="inlineStr">
        <is>
          <t>This research is supported by the research program MOST 103-2221-E-272-003 and 103-2221-E-006-148 from the Ministry of Science and Technology, Taiwan.</t>
        </is>
      </c>
      <c r="AH1011" t="n">
        <v>15</v>
      </c>
      <c r="AI1011" t="n">
        <v>3</v>
      </c>
      <c r="AJ1011" t="n">
        <v>3</v>
      </c>
      <c r="AK1011" t="n">
        <v>0</v>
      </c>
      <c r="AL1011" t="n">
        <v>13</v>
      </c>
      <c r="AM1011" t="inlineStr">
        <is>
          <t>CORVINUS UNIV BUDAPEST</t>
        </is>
      </c>
      <c r="AN1011" t="inlineStr">
        <is>
          <t>BUDAPEST</t>
        </is>
      </c>
      <c r="AO1011" t="inlineStr">
        <is>
          <t>VILLANYI UT 29/43, BUDAPEST, H-1118, HUNGARY</t>
        </is>
      </c>
      <c r="AP1011" t="inlineStr">
        <is>
          <t>1589-1623</t>
        </is>
      </c>
      <c r="AQ1011" t="inlineStr">
        <is>
          <t>1785-0037</t>
        </is>
      </c>
      <c r="AS1011" t="inlineStr">
        <is>
          <t>APPL ECOL ENV RES</t>
        </is>
      </c>
      <c r="AT1011" t="inlineStr">
        <is>
          <t>Appl. Ecol. Environ. Res.</t>
        </is>
      </c>
      <c r="AV1011" t="n">
        <v>2017</v>
      </c>
      <c r="AW1011" t="n">
        <v>15</v>
      </c>
      <c r="AX1011" t="n">
        <v>2</v>
      </c>
      <c r="BC1011" t="n">
        <v>81</v>
      </c>
      <c r="BD1011" t="n">
        <v>89</v>
      </c>
      <c r="BF1011" t="inlineStr">
        <is>
          <t>10.15666/aeer/1502_081089</t>
        </is>
      </c>
      <c r="BG1011">
        <f>HYPERLINK("http://dx.doi.org/10.15666/aeer/1502_081089","http://dx.doi.org/10.15666/aeer/1502_081089")</f>
        <v/>
      </c>
      <c r="BJ1011" t="n">
        <v>9</v>
      </c>
      <c r="BK1011" t="inlineStr">
        <is>
          <t>Ecology; Environmental Sciences</t>
        </is>
      </c>
      <c r="BL1011" t="inlineStr">
        <is>
          <t>Science Citation Index Expanded (SCI-EXPANDED)</t>
        </is>
      </c>
      <c r="BM1011" t="inlineStr">
        <is>
          <t>Environmental Sciences &amp; Ecology</t>
        </is>
      </c>
      <c r="BN1011" t="inlineStr">
        <is>
          <t>EV6UV</t>
        </is>
      </c>
      <c r="BP1011" t="inlineStr">
        <is>
          <t>gold</t>
        </is>
      </c>
      <c r="BS1011" t="inlineStr">
        <is>
          <t>2023-10-26</t>
        </is>
      </c>
      <c r="BT1011" t="inlineStr">
        <is>
          <t>WOS:000401910900007</t>
        </is>
      </c>
      <c r="BU1011">
        <f>HYPERLINK("https%3A%2F%2Fwww.webofscience.com%2Fwos%2Fwoscc%2Ffull-record%2FWOS:000401910900007","View Full Record in Web of Science")</f>
        <v/>
      </c>
    </row>
    <row r="1012">
      <c r="A1012" t="inlineStr">
        <is>
          <t>J</t>
        </is>
      </c>
      <c r="B1012" t="inlineStr">
        <is>
          <t>Grazuleviciene, R; Andrusaityte, S; Grazulevicius, T; Dedele, A</t>
        </is>
      </c>
      <c r="F1012" t="inlineStr">
        <is>
          <t>Grazuleviciene, Regina; Andrusaityte, Sandra; Grazulevicius, Tomas; Dedele, Audrius</t>
        </is>
      </c>
      <c r="J1012" t="inlineStr">
        <is>
          <t>INTERNATIONAL JOURNAL OF ENVIRONMENTAL RESEARCH AND PUBLIC HEALTH</t>
        </is>
      </c>
      <c r="M1012" t="inlineStr">
        <is>
          <t>English</t>
        </is>
      </c>
      <c r="N1012" t="inlineStr">
        <is>
          <t>Article</t>
        </is>
      </c>
      <c r="T1012" t="inlineStr">
        <is>
          <t>Neighborhood Social and Built Environment and Disparities in the Risk of Hypertension: A Cross-Sectional Study</t>
        </is>
      </c>
      <c r="U1012" t="inlineStr">
        <is>
          <t>socioeconomic status; neighborhoods; disparities; hypertension; citizen science; epidemiological study</t>
        </is>
      </c>
      <c r="V1012" t="inlineStr">
        <is>
          <t>BLOOD-PRESSURE; PHYSICAL-ACTIVITY; HEALTH LITERACY; PREVALENCE; PROXIMITY; GREENNESS; BEHAVIOR; OUTCOMES; PARKS</t>
        </is>
      </c>
      <c r="W1012" t="inlineStr">
        <is>
          <t>Citizens' participation in urban environmental quality assessment is important when identifying local problems in the sustainable development and environmental planning policy. The principal aim of this study was to analyze whether any social differences exist between the joint effect of built neighborhood quality and exposure to urban green spaces and the risk of hypertension. The study sample consisted of 580 participants residing in 11 districts in Kaunas city, Lithuania. Using geographic information systems (GIS), individual data on the socioeconomic status (SES) and health were linked to the participants' perceptions of the environmental quality and exposure to green spaces (NDVI). We used multivariate logistic regression to estimate associations as odds ratios (OR). Those study participants with lower education and those study participants with higher education on low incomes rated their health significantly worse. Low SES persons residing in areas with low exposure to green spaces had a significantly higher risk of hypertension when sex, age, family status, smoking, and income were accounted for (OR 1.83, 95% CI 1.01-3.36). This citizen science study provided evidence that the social environment and the quality of the built environment had a complex effect on disparities in the risk of hypertension.</t>
        </is>
      </c>
      <c r="X1012" t="inlineStr">
        <is>
          <t>[Grazuleviciene, Regina; Andrusaityte, Sandra; Grazulevicius, Tomas; Dedele, Audrius] Vytautas Magnus Univ, Dept Environm Sci, K Donelaicio 58, LT-44248 Kaunas, Lithuania</t>
        </is>
      </c>
      <c r="Y1012" t="inlineStr">
        <is>
          <t>Vytautas Magnus University</t>
        </is>
      </c>
      <c r="Z1012" t="inlineStr">
        <is>
          <t>Grazuleviciene, R (corresponding author), Vytautas Magnus Univ, Dept Environm Sci, K Donelaicio 58, LT-44248 Kaunas, Lithuania.</t>
        </is>
      </c>
      <c r="AA1012" t="inlineStr">
        <is>
          <t>regina.grazuleviciene@vdu.lt; sandra.andrusaityte@vdu.lt; t.grazulevicius@gmail.com; audrius.dedele@vdu.lt</t>
        </is>
      </c>
      <c r="AB1012" t="inlineStr">
        <is>
          <t>Grazuleviciene, Regina/AAR-4539-2021</t>
        </is>
      </c>
      <c r="AC1012" t="inlineStr">
        <is>
          <t>Grazuleviciene, Regina/0000-0002-0210-8053; Andrusaityte, Sandra/0000-0002-4309-0208; Grazulevicius, Tomas/0009-0005-4418-3915</t>
        </is>
      </c>
      <c r="AD1012" t="inlineStr">
        <is>
          <t>European Union [824484]</t>
        </is>
      </c>
      <c r="AE1012" t="inlineStr">
        <is>
          <t>European Union(European Union (EU))</t>
        </is>
      </c>
      <c r="AF1012" t="inlineStr">
        <is>
          <t>This project has received funding from the European Union's Horizon 2020 Research and Innovation Program under grant agreement CitieS-Health No 824484.</t>
        </is>
      </c>
      <c r="AH1012" t="n">
        <v>55</v>
      </c>
      <c r="AI1012" t="n">
        <v>9</v>
      </c>
      <c r="AJ1012" t="n">
        <v>9</v>
      </c>
      <c r="AK1012" t="n">
        <v>3</v>
      </c>
      <c r="AL1012" t="n">
        <v>23</v>
      </c>
      <c r="AM1012" t="inlineStr">
        <is>
          <t>MDPI</t>
        </is>
      </c>
      <c r="AN1012" t="inlineStr">
        <is>
          <t>BASEL</t>
        </is>
      </c>
      <c r="AO1012" t="inlineStr">
        <is>
          <t>ST ALBAN-ANLAGE 66, CH-4052 BASEL, SWITZERLAND</t>
        </is>
      </c>
      <c r="AQ1012" t="inlineStr">
        <is>
          <t>1660-4601</t>
        </is>
      </c>
      <c r="AS1012" t="inlineStr">
        <is>
          <t>INT J ENV RES PUB HE</t>
        </is>
      </c>
      <c r="AT1012" t="inlineStr">
        <is>
          <t>Int. J. Environ. Res. Public Health</t>
        </is>
      </c>
      <c r="AU1012" t="inlineStr">
        <is>
          <t>OCT</t>
        </is>
      </c>
      <c r="AV1012" t="n">
        <v>2020</v>
      </c>
      <c r="AW1012" t="n">
        <v>17</v>
      </c>
      <c r="AX1012" t="n">
        <v>20</v>
      </c>
      <c r="BE1012" t="n">
        <v>7696</v>
      </c>
      <c r="BF1012" t="inlineStr">
        <is>
          <t>10.3390/ijerph17207696</t>
        </is>
      </c>
      <c r="BG1012">
        <f>HYPERLINK("http://dx.doi.org/10.3390/ijerph17207696","http://dx.doi.org/10.3390/ijerph17207696")</f>
        <v/>
      </c>
      <c r="BJ1012" t="n">
        <v>16</v>
      </c>
      <c r="BK1012" t="inlineStr">
        <is>
          <t>Environmental Sciences; Public, Environmental &amp; Occupational Health</t>
        </is>
      </c>
      <c r="BL1012" t="inlineStr">
        <is>
          <t>Science Citation Index Expanded (SCI-EXPANDED); Social Science Citation Index (SSCI)</t>
        </is>
      </c>
      <c r="BM1012" t="inlineStr">
        <is>
          <t>Environmental Sciences &amp; Ecology; Public, Environmental &amp; Occupational Health</t>
        </is>
      </c>
      <c r="BN1012" t="inlineStr">
        <is>
          <t>OL9FB</t>
        </is>
      </c>
      <c r="BO1012" t="n">
        <v>33096878</v>
      </c>
      <c r="BP1012" t="inlineStr">
        <is>
          <t>Green Published, gold</t>
        </is>
      </c>
      <c r="BS1012" t="inlineStr">
        <is>
          <t>2023-10-26</t>
        </is>
      </c>
      <c r="BT1012" t="inlineStr">
        <is>
          <t>WOS:000585635000001</t>
        </is>
      </c>
      <c r="BU1012">
        <f>HYPERLINK("https%3A%2F%2Fwww.webofscience.com%2Fwos%2Fwoscc%2Ffull-record%2FWOS:000585635000001","View Full Record in Web of Science")</f>
        <v/>
      </c>
    </row>
    <row r="1013">
      <c r="A1013" t="inlineStr">
        <is>
          <t>J</t>
        </is>
      </c>
      <c r="B1013" t="inlineStr">
        <is>
          <t>Liu, ZW; Saito, R; Guo, J; Hirai, C; Haga, C; Matsui, T; Shirakawa, H; Tanikawa, H</t>
        </is>
      </c>
      <c r="F1013" t="inlineStr">
        <is>
          <t>Liu, Zhiwei; Saito, Ryusei; Guo, Jing; Hirai, Chizuko; Haga, Chihiro; Matsui, Takanori; Shirakawa, Hiroaki; Tanikawa, Hiroki</t>
        </is>
      </c>
      <c r="J1013" t="inlineStr">
        <is>
          <t>ENVIRONMENTAL SCIENCE &amp; TECHNOLOGY</t>
        </is>
      </c>
      <c r="M1013" t="inlineStr">
        <is>
          <t>English</t>
        </is>
      </c>
      <c r="N1013" t="inlineStr">
        <is>
          <t>Article</t>
        </is>
      </c>
      <c r="T1013" t="inlineStr">
        <is>
          <t>Does Deep Learning Enhance the Estimation for Spatially Explicit Built Environment Stocks through Nighttime Light Data Set? Evidence from Japanese Metropolitans</t>
        </is>
      </c>
      <c r="U1013" t="inlineStr">
        <is>
          <t>urban environment; nighttime light; built environment stocks; deep learning; convolution neural network; regression-based model</t>
        </is>
      </c>
      <c r="V1013" t="inlineStr">
        <is>
          <t>BUILDING FOOTPRINT EXTRACTION; USE STEEL STOCK; SATURATION; EARTHQUAKE; TIME; PERFORMANCE; IMAGERY; MODEL; INDEX; GIS</t>
        </is>
      </c>
      <c r="W1013" t="inlineStr">
        <is>
          <t>Built environment stocks have attracted much attention in recent decades because of their role in material and energy flows and environmental impacts. Spatially refined estimation of built environment stocks benefits city management, for example, in urban mining and resource circularity strategy making. Nighttime light (NTL) data sets are widely used and are regarded as high-resolution products in large-scale building stock research. However, some of their limitations, especially blooming/ saturation effects, have hampered performance in estimating building stocks. In this study, we experimentally proposed and trained a convolution neural network (CNN)-based building stock estimation (CBuiSE) model and applied it to major Japanese metropolitan areas to estimate building stocks using NTL data. The results show that the CBuiSE model is capable of estimating building stocks at a relatively high resolution (approximately 830 m) and reflecting spatial distribution patterns, although the accuracy needs to be further improved to enhance the model performance. In addition, the CBuiSE model can effectively mitigate the overestimation of building stocks arising from the blooming effect of NTL. This study highlights the potential of NTL to provide a new research direction and serve as a cornerstone for future anthropogenic stock studies in the fields of sustainability and industrial ecology.</t>
        </is>
      </c>
      <c r="X1013" t="inlineStr">
        <is>
          <t>[Liu, Zhiwei; Saito, Ryusei; Guo, Jing; Shirakawa, Hiroaki; Tanikawa, Hiroki] Nagoya Univ, Grad Sch Environm Studies, Nagoya 4648601, Japan; [Hirai, Chizuko] Plus GIS, Wakayama 6408157, Japan; [Haga, Chihiro; Matsui, Takanori] Osaka Univ, Grad Sch Engn, Suita, Osaka 5650871, Japan; [Guo, Jing] Tsinghua Univ, Sch Environm, Beijing 100084, Peoples R China</t>
        </is>
      </c>
      <c r="Y1013" t="inlineStr">
        <is>
          <t>Nagoya University; Osaka University; Tsinghua University</t>
        </is>
      </c>
      <c r="Z1013" t="inlineStr">
        <is>
          <t>Guo, J (corresponding author), Nagoya Univ, Grad Sch Environm Studies, Nagoya 4648601, Japan.;Guo, J (corresponding author), Tsinghua Univ, Sch Environm, Beijing 100084, Peoples R China.</t>
        </is>
      </c>
      <c r="AA1013" t="inlineStr">
        <is>
          <t>guo_jing@mail.tsinghua.edu.cn</t>
        </is>
      </c>
      <c r="AB1013" t="inlineStr">
        <is>
          <t>Haga, Chihiro/GQH-5011-2022; Tanikawa, Hiroki/G-8033-2012</t>
        </is>
      </c>
      <c r="AC1013" t="inlineStr">
        <is>
          <t>Tanikawa, Hiroki/0000-0002-5896-9629; Guo, Jing/0000-0003-1962-6559; Liu, Zhiwei/0000-0002-2939-9938</t>
        </is>
      </c>
      <c r="AD1013" t="inlineStr">
        <is>
          <t>Ministry of the Environment, Japan [20H00648, 19H04329]; Environmental Restoration and Conservation Agency [1-2003, 3-1902, S18-4-2, 1-2004, 2-2103]; Ministry of Education, Culture, Sports, Science and Technology (MEXT) , Japan</t>
        </is>
      </c>
      <c r="AE1013" t="inlineStr">
        <is>
          <t>Ministry of the Environment, Japan(Ministry of the Environment, Japan); Environmental Restoration and Conservation Agency; Ministry of Education, Culture, Sports, Science and Technology (MEXT) , Japan(Ministry of Education, Culture, Sports, Science and Technology, Japan (MEXT))</t>
        </is>
      </c>
      <c r="AF1013" t="inlineStr">
        <is>
          <t>This research was supported by Grants-in-Aid for Scientific Research (A) 20H00648 and (B) 19H04329, and the Environ-ment Research and Technology Development Fund (1-2003, 3-1902, S18-4-2, 1-2004, 2-2103) of the Ministry of the Environment, Japan, and the Environmental Restoration and Conservation Agency, and the Ministry of Education, Culture, Sports, Science and Technology (MEXT) , Japan.</t>
        </is>
      </c>
      <c r="AH1013" t="n">
        <v>68</v>
      </c>
      <c r="AI1013" t="n">
        <v>0</v>
      </c>
      <c r="AJ1013" t="n">
        <v>0</v>
      </c>
      <c r="AK1013" t="n">
        <v>9</v>
      </c>
      <c r="AL1013" t="n">
        <v>19</v>
      </c>
      <c r="AM1013" t="inlineStr">
        <is>
          <t>AMER CHEMICAL SOC</t>
        </is>
      </c>
      <c r="AN1013" t="inlineStr">
        <is>
          <t>WASHINGTON</t>
        </is>
      </c>
      <c r="AO1013" t="inlineStr">
        <is>
          <t>1155 16TH ST, NW, WASHINGTON, DC 20036 USA</t>
        </is>
      </c>
      <c r="AP1013" t="inlineStr">
        <is>
          <t>0013-936X</t>
        </is>
      </c>
      <c r="AQ1013" t="inlineStr">
        <is>
          <t>1520-5851</t>
        </is>
      </c>
      <c r="AS1013" t="inlineStr">
        <is>
          <t>ENVIRON SCI TECHNOL</t>
        </is>
      </c>
      <c r="AT1013" t="inlineStr">
        <is>
          <t>Environ. Sci. Technol.</t>
        </is>
      </c>
      <c r="AU1013" t="inlineStr">
        <is>
          <t>MAR 7</t>
        </is>
      </c>
      <c r="AV1013" t="n">
        <v>2023</v>
      </c>
      <c r="AW1013" t="n">
        <v>57</v>
      </c>
      <c r="AX1013" t="n">
        <v>9</v>
      </c>
      <c r="BC1013" t="n">
        <v>3971</v>
      </c>
      <c r="BD1013" t="n">
        <v>3979</v>
      </c>
      <c r="BF1013" t="inlineStr">
        <is>
          <t>10.1021/acs.est.2c08468</t>
        </is>
      </c>
      <c r="BG1013">
        <f>HYPERLINK("http://dx.doi.org/10.1021/acs.est.2c08468","http://dx.doi.org/10.1021/acs.est.2c08468")</f>
        <v/>
      </c>
      <c r="BI1013" t="inlineStr">
        <is>
          <t>FEB 2023</t>
        </is>
      </c>
      <c r="BJ1013" t="n">
        <v>9</v>
      </c>
      <c r="BK1013" t="inlineStr">
        <is>
          <t>Engineering, Environmental; Environmental Sciences</t>
        </is>
      </c>
      <c r="BL1013" t="inlineStr">
        <is>
          <t>Science Citation Index Expanded (SCI-EXPANDED)</t>
        </is>
      </c>
      <c r="BM1013" t="inlineStr">
        <is>
          <t>Engineering; Environmental Sciences &amp; Ecology</t>
        </is>
      </c>
      <c r="BN1013" t="inlineStr">
        <is>
          <t>G1PW3</t>
        </is>
      </c>
      <c r="BO1013" t="n">
        <v>36802576</v>
      </c>
      <c r="BS1013" t="inlineStr">
        <is>
          <t>2023-10-26</t>
        </is>
      </c>
      <c r="BT1013" t="inlineStr">
        <is>
          <t>WOS:000937035300001</t>
        </is>
      </c>
      <c r="BU1013">
        <f>HYPERLINK("https%3A%2F%2Fwww.webofscience.com%2Fwos%2Fwoscc%2Ffull-record%2FWOS:000937035300001","View Full Record in Web of Science")</f>
        <v/>
      </c>
    </row>
    <row r="1014">
      <c r="A1014" t="inlineStr">
        <is>
          <t>J</t>
        </is>
      </c>
      <c r="B1014" t="inlineStr">
        <is>
          <t>Chen, X; Liu, Y; Li, SC; Sun, WH</t>
        </is>
      </c>
      <c r="F1014" t="inlineStr">
        <is>
          <t>Chen, Xing; Liu, Yi; Li, Shengcai; Sun, Wanghu</t>
        </is>
      </c>
      <c r="J1014" t="inlineStr">
        <is>
          <t>SUSTAINABILITY</t>
        </is>
      </c>
      <c r="M1014" t="inlineStr">
        <is>
          <t>English</t>
        </is>
      </c>
      <c r="N1014" t="inlineStr">
        <is>
          <t>Article</t>
        </is>
      </c>
      <c r="T1014" t="inlineStr">
        <is>
          <t>Sensory Perception Mechanism for Preparing the Combinations of Stimuli Operation in the Architectural Experience</t>
        </is>
      </c>
      <c r="U1014" t="inlineStr">
        <is>
          <t>multi-sensory intelligent architecture; sensory stimulus; perception enhancement; sensitivity</t>
        </is>
      </c>
      <c r="V1014" t="inlineStr">
        <is>
          <t>DESIGN; COLOR; SPACE; ENVIRONMENT; PREFERENCE; ELEMENTS; EMOTION; HEALTH; FOCUS; CUES</t>
        </is>
      </c>
      <c r="W1014" t="inlineStr">
        <is>
          <t>Sensory stimuli in an architectural space play an important role in the human perception of the indoor environment, no matter whether they are static or dynamic, isolated, or combined. By enhancing some perceptions in the sensory stimuli, the overall perceptions of an architectural space can be improved, especially for an intelligent architectural space. As yet, there are few studies reported about the sensory perception mechanism for the sensory stimuli operation in the architectural experience. In this research, a wooden micro building was prepared for the study of the sensitivity level of participants to various sensory stimuli in the same and in different sensory domains. Participants' visual, auditory, olfactory, tactile and kinaesthesia perceptions were discussed statistically in terms of the sensitivity level. Based on the study, the effect of a single dynamic sensory stimulus (a dynamically coloured light) on the participants' perception was studied in a paper architectural model from two aspects including preference and emotion. The dynamically coloured light was discussed statistically in terms of the level of preference. The study showed that there are significant differences among participants' levels of sensitivity to the different sensory domains and to the different sensory stimuli. In particular, the sensitivity level to the stimulus that is the colour of a space is the highest of all stimuli. As a single changing sensory stimulus, a dynamically coloured light can lead to significant mood fluctuations and changes in the preference level. In particular, yellow is the favourite colour of light. The object of this study is expected to provide a theoretical foundation that is related to sensory choice, sensory perception enhancement and the combination forms of sensory perceptions. Based on the theoretical foundation, the perception design of overlapped multi-sensory stimuli and a single dynamic stimulus can be conducted to improve the quality of the indoor environment of normal and intelligent multi-sensory architecture.</t>
        </is>
      </c>
      <c r="X1014" t="inlineStr">
        <is>
          <t>[Chen, Xing; Li, Shengcai; Sun, Wanghu] Yangzhou Univ, Coll Architectural Sci &amp; Engn, Yangzhou 225127, Jiangsu, Peoples R China; [Chen, Xing] Yangzhou Univ, Res Inst China Grand Canal, Yangzhou 225127, Jiangsu, Peoples R China; [Liu, Yi] Yangzhou Univ, Coll Elect Energy &amp; Power Engn, Yangzhou 225127, Jiangsu, Peoples R China</t>
        </is>
      </c>
      <c r="Y1014" t="inlineStr">
        <is>
          <t>Yangzhou University; Yangzhou University; Yangzhou University</t>
        </is>
      </c>
      <c r="Z1014" t="inlineStr">
        <is>
          <t>Chen, X (corresponding author), Yangzhou Univ, Coll Architectural Sci &amp; Engn, Yangzhou 225127, Jiangsu, Peoples R China.;Chen, X (corresponding author), Yangzhou Univ, Res Inst China Grand Canal, Yangzhou 225127, Jiangsu, Peoples R China.</t>
        </is>
      </c>
      <c r="AA1014" t="inlineStr">
        <is>
          <t>cx@yzu.edu.cn; liuyi@yzu.edu.cn; li_shcai@126.com; whsun@yzu.edu.cn</t>
        </is>
      </c>
      <c r="AB1014" t="inlineStr">
        <is>
          <t>li, xiang/JCN-9316-2023</t>
        </is>
      </c>
      <c r="AD1014" t="inlineStr">
        <is>
          <t>National Natural Science Foundation of China [51878588, 51978598, 51508494]; Science and Technology Project of the Ministry of Housing and Urban-Rural Development of China [2014-K2-022]; Sci-tech research progamme on construction of Yangzhou [201904]; Innovative sci-tech platform cooperation project of between Yangzhou City and Yangzhou University [YZ2020262]; Joint research program of Jiangsu Huajian Construction Co., LTD; Yangzhou University [2021-01]; Humanities and social sciences research planning fund project of the Ministry of Education [17YJAZH070]; Open project of Suzhong Development Research Institute in Yangzhou [SZFZ2020-10]</t>
        </is>
      </c>
      <c r="AE1014" t="inlineStr">
        <is>
          <t>National Natural Science Foundation of China(National Natural Science Foundation of China (NSFC)); Science and Technology Project of the Ministry of Housing and Urban-Rural Development of China; Sci-tech research progamme on construction of Yangzhou; Innovative sci-tech platform cooperation project of between Yangzhou City and Yangzhou University; Joint research program of Jiangsu Huajian Construction Co., LTD; Yangzhou University; Humanities and social sciences research planning fund project of the Ministry of Education; Open project of Suzhong Development Research Institute in Yangzhou</t>
        </is>
      </c>
      <c r="AF1014" t="inlineStr">
        <is>
          <t>This research was funded by the National Natural Science Foundation of China, grant number 51978598; National Natural Science Foundation of China, grant number 51508494; National Natural Science Foundation of China, grant number 51878588; Science and Technology Project of the Ministry of Housing and Urban-Rural Development of China, grant number 2014-K2-022; Sci-tech research progamme on construction of Yangzhou, grant number 201904; Innovative sci-tech platform cooperation project of between Yangzhou City and Yangzhou University, Grant number YZ2020262; Joint research program of Jiangsu Huajian Construction Co., LTD and Yangzhou University, Grant number 2021-01; Humanities and social sciences research planning fund project of the Ministry of Education, grant number 17YJAZH070; Open project of Suzhong Development Research Institute in Yangzhou, grant number SZFZ2020-10.</t>
        </is>
      </c>
      <c r="AH1014" t="n">
        <v>88</v>
      </c>
      <c r="AI1014" t="n">
        <v>0</v>
      </c>
      <c r="AJ1014" t="n">
        <v>0</v>
      </c>
      <c r="AK1014" t="n">
        <v>7</v>
      </c>
      <c r="AL1014" t="n">
        <v>27</v>
      </c>
      <c r="AM1014" t="inlineStr">
        <is>
          <t>MDPI</t>
        </is>
      </c>
      <c r="AN1014" t="inlineStr">
        <is>
          <t>BASEL</t>
        </is>
      </c>
      <c r="AO1014" t="inlineStr">
        <is>
          <t>ST ALBAN-ANLAGE 66, CH-4052 BASEL, SWITZERLAND</t>
        </is>
      </c>
      <c r="AQ1014" t="inlineStr">
        <is>
          <t>2071-1050</t>
        </is>
      </c>
      <c r="AS1014" t="inlineStr">
        <is>
          <t>SUSTAINABILITY-BASEL</t>
        </is>
      </c>
      <c r="AT1014" t="inlineStr">
        <is>
          <t>Sustainability</t>
        </is>
      </c>
      <c r="AU1014" t="inlineStr">
        <is>
          <t>JUL</t>
        </is>
      </c>
      <c r="AV1014" t="n">
        <v>2022</v>
      </c>
      <c r="AW1014" t="n">
        <v>14</v>
      </c>
      <c r="AX1014" t="n">
        <v>13</v>
      </c>
      <c r="BE1014" t="n">
        <v>7885</v>
      </c>
      <c r="BF1014" t="inlineStr">
        <is>
          <t>10.3390/su14137885</t>
        </is>
      </c>
      <c r="BG1014">
        <f>HYPERLINK("http://dx.doi.org/10.3390/su14137885","http://dx.doi.org/10.3390/su14137885")</f>
        <v/>
      </c>
      <c r="BJ1014" t="n">
        <v>19</v>
      </c>
      <c r="BK1014" t="inlineStr">
        <is>
          <t>Green &amp; Sustainable Science &amp; Technology; Environmental Sciences; Environmental Studies</t>
        </is>
      </c>
      <c r="BL1014" t="inlineStr">
        <is>
          <t>Science Citation Index Expanded (SCI-EXPANDED); Social Science Citation Index (SSCI)</t>
        </is>
      </c>
      <c r="BM1014" t="inlineStr">
        <is>
          <t>Science &amp; Technology - Other Topics; Environmental Sciences &amp; Ecology</t>
        </is>
      </c>
      <c r="BN1014" t="inlineStr">
        <is>
          <t>2Y0JC</t>
        </is>
      </c>
      <c r="BP1014" t="inlineStr">
        <is>
          <t>gold</t>
        </is>
      </c>
      <c r="BS1014" t="inlineStr">
        <is>
          <t>2023-10-26</t>
        </is>
      </c>
      <c r="BT1014" t="inlineStr">
        <is>
          <t>WOS:000825580000001</t>
        </is>
      </c>
      <c r="BU1014">
        <f>HYPERLINK("https%3A%2F%2Fwww.webofscience.com%2Fwos%2Fwoscc%2Ffull-record%2FWOS:000825580000001","View Full Record in Web of Science")</f>
        <v/>
      </c>
    </row>
    <row r="1015">
      <c r="A1015" t="inlineStr">
        <is>
          <t>J</t>
        </is>
      </c>
      <c r="B1015" t="inlineStr">
        <is>
          <t>Salman, A; Sellami, M</t>
        </is>
      </c>
      <c r="F1015" t="inlineStr">
        <is>
          <t>Salman, Ahmad; Sellami, Maha</t>
        </is>
      </c>
      <c r="J1015" t="inlineStr">
        <is>
          <t>INTERNATIONAL JOURNAL OF ENVIRONMENTAL RESEARCH AND PUBLIC HEALTH</t>
        </is>
      </c>
      <c r="M1015" t="inlineStr">
        <is>
          <t>English</t>
        </is>
      </c>
      <c r="N1015" t="inlineStr">
        <is>
          <t>Article</t>
        </is>
      </c>
      <c r="T1015" t="inlineStr">
        <is>
          <t>Do Older Adults with Multimorbidity Meet the Recommended Levels of Physical Activity? An Analysis of Scottish Health Survey</t>
        </is>
      </c>
      <c r="U1015" t="inlineStr">
        <is>
          <t>physical activity; multimorbidity; older adults</t>
        </is>
      </c>
      <c r="V1015" t="inlineStr">
        <is>
          <t>SYSTEMATIC ANALYSIS; GLOBAL BURDEN; DISEASE; MORTALITY; INJURIES; GENDER; LIFE</t>
        </is>
      </c>
      <c r="W1015" t="inlineStr">
        <is>
          <t>There is a positive association between physical activity (PA) and improved health in older adults. The objective of this study was to assess the prevalence and determinants of meeting recommended levels of PA among older adults with multimorbidity. Data has been derived from the nationally representative Scottish Health Surveys (2014-2017). A sub-sample of 2230 older adults (aged 65+) with multimorbidity were the study participants. Physical activity was evaluated using current recommended guidelines. Overall, 32.3% of the participants met the recommended levels of PA. Independent predictors of meeting the recommended levels of PA include male gender [odds ratio (OR) 2.00 (95% confidence interval (CI) 1.58-2.54)], living in the least deprived areas [OR 1.79 (95% CI 1.20-2.69)]; being a non-smoker [OR 2.22 (95% CI 1.48-3. 34)]. Also, meeting recommended PA decreased with age [OR 0.92 (95% CI 0.90-0.94)] and body mass index [OR 0.93 (95% CI 0.91-0.95]; but increased per additional portion of fruit and vegetables taken [OR 1.19 (95% CI 1.12-1.25)] and with increase in well-being scale score [OR 1.05 (95% CI 1.03 to 1.06)]. Adherence to PA guidelines seems to be more related to age, BMI, gender (i.e. higher PA adherence in men vs. women), social support (i.e. social deprivation), dietary habits (i.e. fruit and vegetable intake) and social isolation among the elderly. In the one-third of older population, adherence to PA was associated to better mental health. Therefore, adaptation of PA guideline to suit theses determinants factors would reduce the gap difference among older adults with multimorbidity and enhance their mental well-being.</t>
        </is>
      </c>
      <c r="X1015" t="inlineStr">
        <is>
          <t>[Salman, Ahmad] Qatar Univ, Coll Hlth Sci, QU Hlth, Dept Publ Hlth, Doha 2713, Qatar; [Salman, Ahmad] Univ York, Dept Hlth Sci, York YO10 5DD, N Yorkshire, England; [Sellami, Maha] Qatar Univ, Coll Arts &amp; Sci, Sport Sci Program, Doha 2713, Qatar</t>
        </is>
      </c>
      <c r="Y1015" t="inlineStr">
        <is>
          <t>Qatar University; University of York - UK; Qatar University</t>
        </is>
      </c>
      <c r="Z1015" t="inlineStr">
        <is>
          <t>Salman, A (corresponding author), Qatar Univ, Coll Hlth Sci, QU Hlth, Dept Publ Hlth, Doha 2713, Qatar.;Salman, A (corresponding author), Univ York, Dept Hlth Sci, York YO10 5DD, N Yorkshire, England.</t>
        </is>
      </c>
      <c r="AA1015" t="inlineStr">
        <is>
          <t>as1816@york.ac.uk; msellami@qu.edu.qa</t>
        </is>
      </c>
      <c r="AB1015" t="inlineStr">
        <is>
          <t>SALMAN, AHMAD/W-9646-2019</t>
        </is>
      </c>
      <c r="AC1015" t="inlineStr">
        <is>
          <t>SALMAN, AHMAD/0000-0003-2204-3565; Sellami, Maha/0000-0003-1832-409X</t>
        </is>
      </c>
      <c r="AH1015" t="n">
        <v>50</v>
      </c>
      <c r="AI1015" t="n">
        <v>8</v>
      </c>
      <c r="AJ1015" t="n">
        <v>8</v>
      </c>
      <c r="AK1015" t="n">
        <v>0</v>
      </c>
      <c r="AL1015" t="n">
        <v>9</v>
      </c>
      <c r="AM1015" t="inlineStr">
        <is>
          <t>MDPI</t>
        </is>
      </c>
      <c r="AN1015" t="inlineStr">
        <is>
          <t>BASEL</t>
        </is>
      </c>
      <c r="AO1015" t="inlineStr">
        <is>
          <t>ST ALBAN-ANLAGE 66, CH-4052 BASEL, SWITZERLAND</t>
        </is>
      </c>
      <c r="AQ1015" t="inlineStr">
        <is>
          <t>1660-4601</t>
        </is>
      </c>
      <c r="AS1015" t="inlineStr">
        <is>
          <t>INT J ENV RES PUB HE</t>
        </is>
      </c>
      <c r="AT1015" t="inlineStr">
        <is>
          <t>Int. J. Environ. Res. Public Health</t>
        </is>
      </c>
      <c r="AU1015" t="inlineStr">
        <is>
          <t>OCT</t>
        </is>
      </c>
      <c r="AV1015" t="n">
        <v>2019</v>
      </c>
      <c r="AW1015" t="n">
        <v>16</v>
      </c>
      <c r="AX1015" t="n">
        <v>19</v>
      </c>
      <c r="BE1015" t="n">
        <v>3748</v>
      </c>
      <c r="BF1015" t="inlineStr">
        <is>
          <t>10.3390/ijerph16193748</t>
        </is>
      </c>
      <c r="BG1015">
        <f>HYPERLINK("http://dx.doi.org/10.3390/ijerph16193748","http://dx.doi.org/10.3390/ijerph16193748")</f>
        <v/>
      </c>
      <c r="BJ1015" t="n">
        <v>10</v>
      </c>
      <c r="BK1015" t="inlineStr">
        <is>
          <t>Environmental Sciences; Public, Environmental &amp; Occupational Health</t>
        </is>
      </c>
      <c r="BL1015" t="inlineStr">
        <is>
          <t>Science Citation Index Expanded (SCI-EXPANDED); Social Science Citation Index (SSCI)</t>
        </is>
      </c>
      <c r="BM1015" t="inlineStr">
        <is>
          <t>Environmental Sciences &amp; Ecology; Public, Environmental &amp; Occupational Health</t>
        </is>
      </c>
      <c r="BN1015" t="inlineStr">
        <is>
          <t>JK3MF</t>
        </is>
      </c>
      <c r="BO1015" t="n">
        <v>31590293</v>
      </c>
      <c r="BP1015" t="inlineStr">
        <is>
          <t>Green Published, gold</t>
        </is>
      </c>
      <c r="BS1015" t="inlineStr">
        <is>
          <t>2023-10-26</t>
        </is>
      </c>
      <c r="BT1015" t="inlineStr">
        <is>
          <t>WOS:000494748600244</t>
        </is>
      </c>
      <c r="BU1015">
        <f>HYPERLINK("https%3A%2F%2Fwww.webofscience.com%2Fwos%2Fwoscc%2Ffull-record%2FWOS:000494748600244","View Full Record in Web of Science")</f>
        <v/>
      </c>
    </row>
    <row r="1016">
      <c r="A1016" t="inlineStr">
        <is>
          <t>J</t>
        </is>
      </c>
      <c r="B1016" t="inlineStr">
        <is>
          <t>De Luca, V; Femminella, GD; Patalano, R; Formosa, V; Lorusso, G; Rivetta, C; Di Lullo, F; Mercurio, L; Rea, T; Salvatore, E; Yaylagul, NK; Apostolo, J; Silva, RC; Dantas, C; van Staalduinen, WH; Liotta, G; Iaccarino, G; Triassi, M; Illario, M</t>
        </is>
      </c>
      <c r="F1016" t="inlineStr">
        <is>
          <t>De Luca, Vincenzo; Femminella, Grazia Daniela; Patalano, Roberta; Formosa, Valeria; Lorusso, Grazia; Rivetta, Cristiano; Di Lullo, Federica; Mercurio, Lorenzo; Rea, Teresa; Salvatore, Elena; Yaylagul, Nilufer Korkmaz; Apostolo, Joao; Silva, Rosa Carla; Dantas, Carina; van Staalduinen, Willeke H. H.; Liotta, Giuseppe; Iaccarino, Guido; Triassi, Maria; Illario, Maddalena</t>
        </is>
      </c>
      <c r="J1016" t="inlineStr">
        <is>
          <t>INTERNATIONAL JOURNAL OF ENVIRONMENTAL RESEARCH AND PUBLIC HEALTH</t>
        </is>
      </c>
      <c r="M1016" t="inlineStr">
        <is>
          <t>English</t>
        </is>
      </c>
      <c r="N1016" t="inlineStr">
        <is>
          <t>Review</t>
        </is>
      </c>
      <c r="T1016" t="inlineStr">
        <is>
          <t>Assessment Tools of Biopsychosocial Frailty Dimensions in Community-Dwelling Older Adults: A Narrative Review</t>
        </is>
      </c>
      <c r="U1016" t="inlineStr">
        <is>
          <t>frailty; active and healthy ageing; frailty prevention; screening tools; community-dwelling older adults; digital health; integrated care; frailty risk factors</t>
        </is>
      </c>
      <c r="V1016" t="inlineStr">
        <is>
          <t>PHYSICAL-ACTIVITY QUESTIONNAIRE; POTENTIALLY INAPPROPRIATE MEDICATIONS; MINI NUTRITIONAL ASSESSMENT; ADVERSE HEALTH OUTCOMES; TEST-RETEST RELIABILITY; QUALITY-OF-LIFE; SCREENING TOOL; FALL-RISK; COGNITIVE IMPAIRMENT; SOCIAL SUPPORT</t>
        </is>
      </c>
      <c r="W1016" t="inlineStr">
        <is>
          <t>Frailty is a complex interplay between several factors, including physiological changes in ageing, multimorbidities, malnutrition, living environment, genetics, and lifestyle. Early screening for frailty risk factors in community-dwelling older people allows for preventive interventions on the clinical and social determinants of frailty, which allows adverse events to be avoided. By conducting a narrative review of the literature employing the International Narrative Systematic Assessment tool, the authors aimed to develop an updated framework for the main measurement tools to assess frailty risks in older adults, paying attention to use in the community and primary care settings. This search focused on the biopsychosocial domains of frailty that are covered in the SUNFRAIL tool. The study selected 178 reviews (polypharmacy: 20; nutrition: 13; physical activity: 74; medical visits: 0; falls: 39; cognitive decline: 12; loneliness: 15; social support: 5; economic constraints: 0) published between January 2010 and December 2021. Within the selected reviews, 123 assessment tools were identified (polypharmacy: 15; nutrition: 15; physical activity: 25; medical visits: 0; falls: 26; cognitive decline: 18; loneliness: 9; social support: 15; economic constraints: 0). The narrative review allowed us to evaluate assessment tools of frailty domains to be adopted for multidimensional health promotion and prevention interventions in community and primary care.</t>
        </is>
      </c>
      <c r="X1016" t="inlineStr">
        <is>
          <t>[De Luca, Vincenzo; Mercurio, Lorenzo; Rea, Teresa; Triassi, Maria; Illario, Maddalena] Univ Napoli Federico II, Dipartimento San Pubbl, I-80131 Naples, Italy; [Femminella, Grazia Daniela] Univ Napoli Federico II, Dipartimento Sci Med Traslazionali, I-80131 Naples, Italy; [Patalano, Roberta] Univ Napoli Federico II, Dipartimento Med Clin &amp; Chirurg, I-80131 Naples, Italy; [Formosa, Valeria; Lorusso, Grazia; Rivetta, Cristiano; Di Lullo, Federica] Univ Roma Tor Vergata, Igiene &amp; Med Prevent, I-00133 Rome, Italy; [Salvatore, Elena; Iaccarino, Guido] Univ Napoli Federico II, Dipartimento Sci Biomed Avanzate, I-80131 Naples, Italy; [Yaylagul, Nilufer Korkmaz] Akdeniz Univ, Fac Hlth Sci, TR-07070 Antalya, Turkey; [Apostolo, Joao; Silva, Rosa Carla] Nursing Sch Coimbra ESEnfC, Hlth Sci Res Unit Nursing UICISA E, Ave Bissaya Barreto, P-3004011 Coimbra, Portugal; [Dantas, Carina] SHINE 2Europe, P-3030163 Coimbra, Portugal; [van Staalduinen, Willeke H. H.] AFEdemy Acad Age Friendly Environm Europe, NL-2806 ED Gouda, Netherlands; [Liotta, Giuseppe] Univ Roma Tor Vergata, Dipartimento Biomed &amp; Prevenz, I-00133 Rome, Italy</t>
        </is>
      </c>
      <c r="Y1016" t="inlineStr">
        <is>
          <t>University of Naples Federico II; University of Naples Federico II; University of Naples Federico II; University of Rome Tor Vergata; University of Naples Federico II; Akdeniz University; Nursing School of Coimbra; University of Rome Tor Vergata</t>
        </is>
      </c>
      <c r="Z1016" t="inlineStr">
        <is>
          <t>Illario, M (corresponding author), Univ Napoli Federico II, Dipartimento San Pubbl, I-80131 Naples, Italy.</t>
        </is>
      </c>
      <c r="AA1016" t="inlineStr">
        <is>
          <t>illario@unina.it</t>
        </is>
      </c>
      <c r="AB1016" t="inlineStr">
        <is>
          <t>Silva, Rosa/AAC-5368-2019; Patalano, Roberta/IAQ-1671-2023; Femminella, Grazia Daniela/HOA-9994-2023; Korkmaz Yaylagul, Nilufer/C-7494-2016</t>
        </is>
      </c>
      <c r="AC1016" t="inlineStr">
        <is>
          <t>Silva, Rosa/0000-0002-3947-7098; Femminella, Grazia Daniela/0000-0002-7397-483X; Korkmaz Yaylagul, Nilufer/0000-0001-9918-7968; PATALANO, Roberta/0000-0002-3639-7287; SALVATORE, Elena/0000-0003-1493-5133; De Luca, Vincenzo/0000-0002-6115-931X; Lorusso, Grazia/0000-0003-0659-157X; Rea, Teresa/0000-0001-6444-0951</t>
        </is>
      </c>
      <c r="AD1016" t="inlineStr">
        <is>
          <t>European Cooperation in Science and Technology; [CA 19136]</t>
        </is>
      </c>
      <c r="AE1016" t="inlineStr">
        <is>
          <t>European Cooperation in Science and Technology(European Cooperation in Science and Technology (COST));</t>
        </is>
      </c>
      <c r="AF1016" t="inlineStr">
        <is>
          <t>This research was funded by European Cooperation in Science and Technology (Grant n. CA 19136).</t>
        </is>
      </c>
      <c r="AH1016" t="n">
        <v>306</v>
      </c>
      <c r="AI1016" t="n">
        <v>2</v>
      </c>
      <c r="AJ1016" t="n">
        <v>2</v>
      </c>
      <c r="AK1016" t="n">
        <v>12</v>
      </c>
      <c r="AL1016" t="n">
        <v>24</v>
      </c>
      <c r="AM1016" t="inlineStr">
        <is>
          <t>MDPI</t>
        </is>
      </c>
      <c r="AN1016" t="inlineStr">
        <is>
          <t>BASEL</t>
        </is>
      </c>
      <c r="AO1016" t="inlineStr">
        <is>
          <t>ST ALBAN-ANLAGE 66, CH-4052 BASEL, SWITZERLAND</t>
        </is>
      </c>
      <c r="AQ1016" t="inlineStr">
        <is>
          <t>1660-4601</t>
        </is>
      </c>
      <c r="AS1016" t="inlineStr">
        <is>
          <t>INT J ENV RES PUB HE</t>
        </is>
      </c>
      <c r="AT1016" t="inlineStr">
        <is>
          <t>Int. J. Environ. Res. Public Health</t>
        </is>
      </c>
      <c r="AU1016" t="inlineStr">
        <is>
          <t>DEC</t>
        </is>
      </c>
      <c r="AV1016" t="n">
        <v>2022</v>
      </c>
      <c r="AW1016" t="n">
        <v>19</v>
      </c>
      <c r="AX1016" t="n">
        <v>23</v>
      </c>
      <c r="BE1016" t="n">
        <v>16050</v>
      </c>
      <c r="BF1016" t="inlineStr">
        <is>
          <t>10.3390/ijerph192316050</t>
        </is>
      </c>
      <c r="BG1016">
        <f>HYPERLINK("http://dx.doi.org/10.3390/ijerph192316050","http://dx.doi.org/10.3390/ijerph192316050")</f>
        <v/>
      </c>
      <c r="BJ1016" t="n">
        <v>32</v>
      </c>
      <c r="BK1016" t="inlineStr">
        <is>
          <t>Environmental Sciences; Public, Environmental &amp; Occupational Health</t>
        </is>
      </c>
      <c r="BL1016" t="inlineStr">
        <is>
          <t>Science Citation Index Expanded (SCI-EXPANDED); Social Science Citation Index (SSCI)</t>
        </is>
      </c>
      <c r="BM1016" t="inlineStr">
        <is>
          <t>Environmental Sciences &amp; Ecology; Public, Environmental &amp; Occupational Health</t>
        </is>
      </c>
      <c r="BN1016" t="inlineStr">
        <is>
          <t>6Y9ZN</t>
        </is>
      </c>
      <c r="BO1016" t="n">
        <v>36498125</v>
      </c>
      <c r="BP1016" t="inlineStr">
        <is>
          <t>Green Published, gold</t>
        </is>
      </c>
      <c r="BS1016" t="inlineStr">
        <is>
          <t>2023-10-26</t>
        </is>
      </c>
      <c r="BT1016" t="inlineStr">
        <is>
          <t>WOS:000897444100001</t>
        </is>
      </c>
      <c r="BU1016">
        <f>HYPERLINK("https%3A%2F%2Fwww.webofscience.com%2Fwos%2Fwoscc%2Ffull-record%2FWOS:000897444100001","View Full Record in Web of Science")</f>
        <v/>
      </c>
    </row>
    <row r="1017">
      <c r="A1017" t="inlineStr">
        <is>
          <t>J</t>
        </is>
      </c>
      <c r="B1017" t="inlineStr">
        <is>
          <t>Amerio, A; Brambilla, A; Morganti, A; Aguglia, A; Bianchi, D; Santi, F; Costantini, L; Odone, A; Costanza, A; Signorelli, C; Serafini, G; Amore, M; Capolongo, S</t>
        </is>
      </c>
      <c r="F1017" t="inlineStr">
        <is>
          <t>Amerio, Andrea; Brambilla, Andrea; Morganti, Alessandro; Aguglia, Andrea; Bianchi, Davide; Santi, Francesca; Costantini, Luigi; Odone, Anna; Costanza, Alessandra; Signorelli, Carlo; Serafini, Gianluca; Amore, Mario; Capolongo, Stefano</t>
        </is>
      </c>
      <c r="J1017" t="inlineStr">
        <is>
          <t>INTERNATIONAL JOURNAL OF ENVIRONMENTAL RESEARCH AND PUBLIC HEALTH</t>
        </is>
      </c>
      <c r="M1017" t="inlineStr">
        <is>
          <t>English</t>
        </is>
      </c>
      <c r="N1017" t="inlineStr">
        <is>
          <t>Article</t>
        </is>
      </c>
      <c r="T1017" t="inlineStr">
        <is>
          <t>COVID-19 Lockdown: Housing Built Environment's Effects on Mental Health</t>
        </is>
      </c>
      <c r="U1017" t="inlineStr">
        <is>
          <t>COVID-19; lockdown; housing built environment; mental health; evidence-based design</t>
        </is>
      </c>
      <c r="V1017" t="inlineStr">
        <is>
          <t>GREEN SPACE; STRESS; QUARANTINE; RECOVERY</t>
        </is>
      </c>
      <c r="W1017" t="inlineStr">
        <is>
          <t>Since the World Health Organization (WHO) declared the coronavirus infectious disease 2019 (COVID-19) outbreak a pandemic on 11 March, severe lockdown measures have been adopted by the Italian Government. For over two months of stay-at-home orders, houses became the only place where people slept, ate, worked, practiced sports, and socialized. As consolidated evidence exists on housing as a determinant of health, it is of great interest to explore the impact that COVID-19 response-related lockdown measures have had on mental health and well-being. We conducted a large web-based survey on 8177 students from a university institute in Milan, Northern Italy, one of the regions most heavily hit by the pandemic in Europe. As emerged from our analysis, poor housing is associated with increased risk of depressive symptoms during lockdown. In particular, living in apartments &lt;60 m(2)with poor views and scarce indoor quality is associated with, respectively, 1.31 (95% CI: 1046-1637), 1.368 (95% CI: 1166-1605), and 2.253 (95% CI: 1918-2647) times the risk of moderate-severe and severe depressive symptoms. Subjects reporting worsened working performance from home were over four times more likely to also report depression (OR = 4.28, 95% CI: 3713-4924). Housing design strategies should focus on larger and more livable living spaces facing green areas. We argue that a strengthened multi-interdisciplinary approach, involving urban planning, public mental health, environmental health, epidemiology, and sociology, is needed to investigate the effects of the built environment on mental health, so as to inform welfare and housing policies centered on population well-being.</t>
        </is>
      </c>
      <c r="X1017" t="inlineStr">
        <is>
          <t>[Amerio, Andrea; Aguglia, Andrea; Bianchi, Davide; Santi, Francesca; Serafini, Gianluca; Amore, Mario] Univ Genoa, Dept Neurosci Rehabil Ophthalmol Genet Maternal &amp;, Sect Psychiat, I-16132 Genoa, Italy; [Amerio, Andrea; Aguglia, Andrea; Bianchi, Davide; Santi, Francesca; Serafini, Gianluca; Amore, Mario] IRCCS Osped Policlin San Martino, I-16132 Genoa, Italy; [Amerio, Andrea] Tufts Univ, Dept Psychiat, Boston, MA 02111 USA; [Brambilla, Andrea; Morganti, Alessandro; Capolongo, Stefano] Politecn Milan, Design &amp; Hlth Lab, Dept Architecture Built Environm &amp; Construct Engn, I-20133 Milan, Italy; [Costantini, Luigi] Univ Parma, Dept Med &amp; Surg, I-43121 Parma, Italy; [Odone, Anna; Signorelli, Carlo] Univ Vita Salute San Raffaele, Sch Med, I-20132 Milan, Italy; [Odone, Anna] IRCCS San Raffaele Sci Inst, Clin Epidemiol, I-20132 Milan, Italy; [Odone, Anna] IRCCS San Raffaele Sci Inst, HTA, I-20132 Milan, Italy; [Costanza, Alessandra] Univ Geneva UNIGE, Fac Med, Dept Psychiat, CH-1206 Geneva, Switzerland; [Costanza, Alessandra] ASO Santi Antonio &amp; Biagio &amp; Cesare Arrigo Hosp, Dept Psychiat, I-15121 Alessandria, Italy</t>
        </is>
      </c>
      <c r="Y1017" t="inlineStr">
        <is>
          <t>University of Genoa; Tufts University; Polytechnic University of Milan; University of Parma; Vita-Salute San Raffaele University; Vita-Salute San Raffaele University; IRCCS Ospedale San Raffaele; Vita-Salute San Raffaele University; IRCCS Ospedale San Raffaele; University of Geneva; Azienda Ospedaliera SS Antonio Biagio Cesare Arrigo</t>
        </is>
      </c>
      <c r="Z1017" t="inlineStr">
        <is>
          <t>Aguglia, A (corresponding author), Univ Genoa, Dept Neurosci Rehabil Ophthalmol Genet Maternal &amp;, Sect Psychiat, I-16132 Genoa, Italy.;Aguglia, A (corresponding author), IRCCS Osped Policlin San Martino, I-16132 Genoa, Italy.</t>
        </is>
      </c>
      <c r="AA1017" t="inlineStr">
        <is>
          <t>andrea.amerio@unige.it; andrea1.brambilla@polimi.it; alessandro.morganti@polimi.it; andrea.aguglia@unige.it; davidebianchi.md@gmail.com; francesca.santi.ge@gmail.com; luigi.costantini1@studenti.unipr.it; odone.anna@hsr.it; alessandra.costanza@unige.ch; signorelli.carlo@hsr.it; gianluca.serafini@unige.it; mario.amore@unige.it; stefano.capolongo@polimi.it</t>
        </is>
      </c>
      <c r="AB1017" t="inlineStr">
        <is>
          <t>Santana, Elaine/GNP-2710-2022; Odone, Anna/AAC-4715-2022; Serafini, Gianluca/K-6603-2016; Signorelli, Carlo/AAC-7630-2022; Costanza, Alessandra/ABD-8231-2020; Amerio, Andrea/AAB-8564-2019; Brambilla, Andrea/GVU-5056-2022; Costanza, Alessandra/ABD-8226-2020</t>
        </is>
      </c>
      <c r="AC1017" t="inlineStr">
        <is>
          <t>Serafini, Gianluca/0000-0002-6631-856X; Costanza, Alessandra/0000-0001-6387-6462; Brambilla, Andrea/0000-0001-7891-0336; Costanza, Alessandra/0000-0001-6387-6462; Costantini, Luigi/0000-0002-3338-3963; Aguglia, Andrea/0000-0002-2003-2101; Bianchi, Davide/0000-0003-3398-8126; Amerio, Andrea/0000-0002-3439-340X; Morganti, Alessandro/0000-0002-7835-8956</t>
        </is>
      </c>
      <c r="AH1017" t="n">
        <v>53</v>
      </c>
      <c r="AI1017" t="n">
        <v>218</v>
      </c>
      <c r="AJ1017" t="n">
        <v>220</v>
      </c>
      <c r="AK1017" t="n">
        <v>20</v>
      </c>
      <c r="AL1017" t="n">
        <v>166</v>
      </c>
      <c r="AM1017" t="inlineStr">
        <is>
          <t>MDPI</t>
        </is>
      </c>
      <c r="AN1017" t="inlineStr">
        <is>
          <t>BASEL</t>
        </is>
      </c>
      <c r="AO1017" t="inlineStr">
        <is>
          <t>ST ALBAN-ANLAGE 66, CH-4052 BASEL, SWITZERLAND</t>
        </is>
      </c>
      <c r="AQ1017" t="inlineStr">
        <is>
          <t>1660-4601</t>
        </is>
      </c>
      <c r="AS1017" t="inlineStr">
        <is>
          <t>INT J ENV RES PUB HE</t>
        </is>
      </c>
      <c r="AT1017" t="inlineStr">
        <is>
          <t>Int. J. Environ. Res. Public Health</t>
        </is>
      </c>
      <c r="AU1017" t="inlineStr">
        <is>
          <t>AUG</t>
        </is>
      </c>
      <c r="AV1017" t="n">
        <v>2020</v>
      </c>
      <c r="AW1017" t="n">
        <v>17</v>
      </c>
      <c r="AX1017" t="n">
        <v>16</v>
      </c>
      <c r="BE1017" t="n">
        <v>5973</v>
      </c>
      <c r="BF1017" t="inlineStr">
        <is>
          <t>10.3390/ijerph17165973</t>
        </is>
      </c>
      <c r="BG1017">
        <f>HYPERLINK("http://dx.doi.org/10.3390/ijerph17165973","http://dx.doi.org/10.3390/ijerph17165973")</f>
        <v/>
      </c>
      <c r="BJ1017" t="n">
        <v>10</v>
      </c>
      <c r="BK1017" t="inlineStr">
        <is>
          <t>Environmental Sciences; Public, Environmental &amp; Occupational Health</t>
        </is>
      </c>
      <c r="BL1017" t="inlineStr">
        <is>
          <t>Science Citation Index Expanded (SCI-EXPANDED); Social Science Citation Index (SSCI)</t>
        </is>
      </c>
      <c r="BM1017" t="inlineStr">
        <is>
          <t>Environmental Sciences &amp; Ecology; Public, Environmental &amp; Occupational Health</t>
        </is>
      </c>
      <c r="BN1017" t="inlineStr">
        <is>
          <t>NI0YA</t>
        </is>
      </c>
      <c r="BO1017" t="n">
        <v>32824594</v>
      </c>
      <c r="BP1017" t="inlineStr">
        <is>
          <t>Green Published, Green Submitted, gold</t>
        </is>
      </c>
      <c r="BS1017" t="inlineStr">
        <is>
          <t>2023-10-26</t>
        </is>
      </c>
      <c r="BT1017" t="inlineStr">
        <is>
          <t>WOS:000565083800001</t>
        </is>
      </c>
      <c r="BU1017">
        <f>HYPERLINK("https%3A%2F%2Fwww.webofscience.com%2Fwos%2Fwoscc%2Ffull-record%2FWOS:000565083800001","View Full Record in Web of Science")</f>
        <v/>
      </c>
    </row>
    <row r="1018">
      <c r="A1018" t="inlineStr">
        <is>
          <t>J</t>
        </is>
      </c>
      <c r="B1018" t="inlineStr">
        <is>
          <t>Obrecht, TP; Kunic, R; Jordan, S; Dovjak, M</t>
        </is>
      </c>
      <c r="F1018" t="inlineStr">
        <is>
          <t>Obrecht, Tajda Potrc; Kunic, Roman; Jordan, Sabina; Dovjak, Mateja</t>
        </is>
      </c>
      <c r="J1018" t="inlineStr">
        <is>
          <t>SUSTAINABILITY</t>
        </is>
      </c>
      <c r="M1018" t="inlineStr">
        <is>
          <t>English</t>
        </is>
      </c>
      <c r="N1018" t="inlineStr">
        <is>
          <t>Review</t>
        </is>
      </c>
      <c r="T1018" t="inlineStr">
        <is>
          <t>Comparison of Health and Well-Being Aspects in Building Certification Schemes</t>
        </is>
      </c>
      <c r="U1018" t="inlineStr">
        <is>
          <t>building certification schemes; health; well-being; sustainable buildings</t>
        </is>
      </c>
      <c r="V1018" t="inlineStr">
        <is>
          <t>INDOOR ENVIRONMENT; WATER-CONSUMPTION; QUALITY; SATISFACTION</t>
        </is>
      </c>
      <c r="W1018" t="inlineStr">
        <is>
          <t>The quality of the indoor environment is becoming increasingly important because people are spending the majority of their time indoors. This has led to an increased interest in the field of health and well-being of users of buildings and to the development of various assessment schemes dealing with this issue. In this study, LEED O+M Building Operations and Maintenance (hereinafter LEED O+M), BREEAM In-Use and DGNB Buildings In-Use were compared with a specialized BCS WELL that is focused on the health and well-being of building occupants. The aim of the comparison was to evaluate to what extent the selected building certification schemes (BCSs) cover the aspects of health and well-being in buildings. Based on the analysis, it was found that the observed BCSs mostly pay attention to indoor air quality, light and thermal comfort. In other areas, only certain topics are covered or the topics have a different focus. Another important finding of the study was that certain aspects that are important for the health and well-being of the occupants are not dependent only on the building design but also on the management of the building and the services provided within the building. This kind of information is especially valuable for building developers, managers and owners so they know how to improve health and well-being in a building. The present study provides them with a comprehensive overview of the certification schemes that are widely used in current practice.</t>
        </is>
      </c>
      <c r="X1018" t="inlineStr">
        <is>
          <t>[Obrecht, Tajda Potrc; Jordan, Sabina] Slovenian Natl Bldg &amp; Civil Engn Inst, Dept Bldg Phys, Ljubljana 1000, Slovenia; [Kunic, Roman; Dovjak, Mateja] Univ Ljubljana, Chair Bldg &amp; Construct Complexes, Fac Civil &amp; Geodet Engn, Ljubljana 1000, Slovenia</t>
        </is>
      </c>
      <c r="Y1018" t="inlineStr">
        <is>
          <t>University of Ljubljana</t>
        </is>
      </c>
      <c r="Z1018" t="inlineStr">
        <is>
          <t>Dovjak, M (corresponding author), Univ Ljubljana, Chair Bldg &amp; Construct Complexes, Fac Civil &amp; Geodet Engn, Ljubljana 1000, Slovenia.</t>
        </is>
      </c>
      <c r="AA1018" t="inlineStr">
        <is>
          <t>tajda.obrecht@zag.si; roman.kunic@fgg.uni-lj.si; sabina.jordan@zag.si; mateja.dovjak@fgg.uni-lj.si</t>
        </is>
      </c>
      <c r="AB1018" t="inlineStr">
        <is>
          <t>Obrecht, Tajda/AAI-4602-2020</t>
        </is>
      </c>
      <c r="AC1018" t="inlineStr">
        <is>
          <t>Potrc Obrecht, Tajda/0000-0001-6962-4645</t>
        </is>
      </c>
      <c r="AD1018" t="inlineStr">
        <is>
          <t>Slovenian Research Agency [38191]; European Regional Development Fund, Research and development programmes [TRL 3-6]; (TIGR4smart) [C3330-16-529003]; ARRS - Slovenian Research Agency [P2-0158, P2-0273, L2-7630]; Structural engineering and building physics</t>
        </is>
      </c>
      <c r="AE1018" t="inlineStr">
        <is>
          <t>Slovenian Research Agency(Slovenian Research Agency - Slovenia); European Regional Development Fund, Research and development programmes(European Union (EU)); (TIGR4smart); ARRS - Slovenian Research Agency(Slovenian Research Agency - Slovenia); Structural engineering and building physics</t>
        </is>
      </c>
      <c r="AF1018" t="inlineStr">
        <is>
          <t>The study was funded by the Slovenian Research Agency (Young Researcher Funding 38191). This work was supported by the European Regional Development Fund, Research and development programmes (TRL 3-6), Sustainable and innovative construction of smart buildings (Smart buildings and home, including wood chain: TIGR4smart) (Programme C3330-16-529003). Additionally, the work was also supported by the ARRS - Slovenian Research Agency within the Core Programmes P2-0158 and P2-0273 and the project Thermo- and Photo-Active Coatings for Windows (project L2-7630, No. P2-0158, Structural engineering and building physics.</t>
        </is>
      </c>
      <c r="AH1018" t="n">
        <v>34</v>
      </c>
      <c r="AI1018" t="n">
        <v>17</v>
      </c>
      <c r="AJ1018" t="n">
        <v>18</v>
      </c>
      <c r="AK1018" t="n">
        <v>4</v>
      </c>
      <c r="AL1018" t="n">
        <v>29</v>
      </c>
      <c r="AM1018" t="inlineStr">
        <is>
          <t>MDPI</t>
        </is>
      </c>
      <c r="AN1018" t="inlineStr">
        <is>
          <t>BASEL</t>
        </is>
      </c>
      <c r="AO1018" t="inlineStr">
        <is>
          <t>ST ALBAN-ANLAGE 66, CH-4052 BASEL, SWITZERLAND</t>
        </is>
      </c>
      <c r="AQ1018" t="inlineStr">
        <is>
          <t>2071-1050</t>
        </is>
      </c>
      <c r="AS1018" t="inlineStr">
        <is>
          <t>SUSTAINABILITY-BASEL</t>
        </is>
      </c>
      <c r="AT1018" t="inlineStr">
        <is>
          <t>Sustainability</t>
        </is>
      </c>
      <c r="AU1018" t="inlineStr">
        <is>
          <t>MAY 1</t>
        </is>
      </c>
      <c r="AV1018" t="n">
        <v>2019</v>
      </c>
      <c r="AW1018" t="n">
        <v>11</v>
      </c>
      <c r="AX1018" t="n">
        <v>9</v>
      </c>
      <c r="BF1018" t="inlineStr">
        <is>
          <t>10.3390/su11092616</t>
        </is>
      </c>
      <c r="BG1018">
        <f>HYPERLINK("http://dx.doi.org/10.3390/su11092616","http://dx.doi.org/10.3390/su11092616")</f>
        <v/>
      </c>
      <c r="BJ1018" t="n">
        <v>15</v>
      </c>
      <c r="BK1018" t="inlineStr">
        <is>
          <t>Green &amp; Sustainable Science &amp; Technology; Environmental Sciences; Environmental Studies</t>
        </is>
      </c>
      <c r="BL1018" t="inlineStr">
        <is>
          <t>Science Citation Index Expanded (SCI-EXPANDED); Social Science Citation Index (SSCI)</t>
        </is>
      </c>
      <c r="BM1018" t="inlineStr">
        <is>
          <t>Science &amp; Technology - Other Topics; Environmental Sciences &amp; Ecology</t>
        </is>
      </c>
      <c r="BN1018" t="inlineStr">
        <is>
          <t>IA4FF</t>
        </is>
      </c>
      <c r="BP1018" t="inlineStr">
        <is>
          <t>Green Published, gold</t>
        </is>
      </c>
      <c r="BS1018" t="inlineStr">
        <is>
          <t>2023-10-26</t>
        </is>
      </c>
      <c r="BT1018" t="inlineStr">
        <is>
          <t>WOS:000469518700164</t>
        </is>
      </c>
      <c r="BU1018">
        <f>HYPERLINK("https%3A%2F%2Fwww.webofscience.com%2Fwos%2Fwoscc%2Ffull-record%2FWOS:000469518700164","View Full Record in Web of Science")</f>
        <v/>
      </c>
    </row>
    <row r="1019">
      <c r="A1019" t="inlineStr">
        <is>
          <t>J</t>
        </is>
      </c>
      <c r="B1019" t="inlineStr">
        <is>
          <t>Çimen, Ö</t>
        </is>
      </c>
      <c r="F1019" t="inlineStr">
        <is>
          <t>Cimen, Omer</t>
        </is>
      </c>
      <c r="J1019" t="inlineStr">
        <is>
          <t>JOURNAL OF CLEANER PRODUCTION</t>
        </is>
      </c>
      <c r="M1019" t="inlineStr">
        <is>
          <t>English</t>
        </is>
      </c>
      <c r="N1019" t="inlineStr">
        <is>
          <t>Review</t>
        </is>
      </c>
      <c r="T1019" t="inlineStr">
        <is>
          <t>Construction and built environment in circular economy: A comprehensive literature review</t>
        </is>
      </c>
      <c r="U1019" t="inlineStr">
        <is>
          <t>Construction; Built environment; Dynamic circular economy; Systematic literature review; Replace</t>
        </is>
      </c>
      <c r="V1019" t="inlineStr">
        <is>
          <t>DEMOLITION WASTE MANAGEMENT; LIFE-CYCLE ASSESSMENT; ECO-INDUSTRIAL PARKS; BIOMASS FLY-ASH; BUILDING-MATERIALS; MATERIAL FLOWS; CLEANER PRODUCTION; CARBON FOOTPRINT; GREEN BUILDINGS; SUPPLY CHAINS</t>
        </is>
      </c>
      <c r="W1019" t="inlineStr">
        <is>
          <t>Circular Economy (CE) considers resources in a continuously cyclical way. Yet literature lacks a review of Construction and Built Environment (CBE) under CE. By presenting the first integrated review of Con-struction and Built environment in Circular Economy (CBECE), this study aims to (i) demonstrate development trends and diversity of CBECE literature, (ii) investigate the literature maturity, gaps, and understudied fields (iii) highlight key findings, critical reviews, and proposals. The study found that CBECE literature remains at an early stage despite recent growth in academic interest. 90% of CBECE literature was published between 2017e2020 with subject diversity increasing over the years. A sub-stantial portion of the literature was conducted in China and published by the Journal of Cleaner Pro-duction. Based on a unique three-tier framework with Scale, Stage, and Subject dimensions, it is found that Waste Valorization and CE Promotion and Transition are the two most studied CBECE subjects while Earth Construction and Decoupling are the two least studied. Material and Area are the most and least studied built environment scales, respectively. Operation and Design are the most and least studied construction stages, respectively. Waste Valorization is the most studied CE subject in the Material scale at the Construction stage. No study was found for the Area scale at the stages of Design, Manufacturing and End of Life. Few studies were found for Building and City scales at the Manufacturing stage and Area scale at the Planning stage. The literature synthesis showed that the construction industry has been struggling to embrace CE principles. CBECE literature needs to consider the diversity of stakeholder type, motivation, and their influence on lifecycle stages. Flexible buildings with adaptive reuse and modularity help provide efficiency and health benefits when com-bined with CE principles. Cities in CE call for a system dynamics approach to understand urban transition under different policies and regulations. Finally, a new R principle (Replace) is proposed as a result of reviewing the literature under the existing 10 R CE principles. (c) 2021 Elsevier Ltd. All rights reserved.</t>
        </is>
      </c>
      <c r="X1019" t="inlineStr">
        <is>
          <t>[Cimen, Omer] Bahcesehir Univ, Dept Engn Management, Istanbul, Turkey; [Cimen, Omer] Teknopk Istanbul AS, Istanbul, Turkey</t>
        </is>
      </c>
      <c r="Y1019" t="inlineStr">
        <is>
          <t>Bahcesehir University</t>
        </is>
      </c>
      <c r="Z1019" t="inlineStr">
        <is>
          <t>Çimen, Ö (corresponding author), Bahcesehir Univ, Dept Engn Management, Istanbul, Turkey.</t>
        </is>
      </c>
      <c r="AA1019" t="inlineStr">
        <is>
          <t>omer.cimen@bahcesehir.edu.tr</t>
        </is>
      </c>
      <c r="AB1019" t="inlineStr">
        <is>
          <t>Çimen, Ömer/HNJ-0707-2023</t>
        </is>
      </c>
      <c r="AC1019" t="inlineStr">
        <is>
          <t>Cimen, Omer/0000-0003-1825-8846</t>
        </is>
      </c>
      <c r="AH1019" t="n">
        <v>294</v>
      </c>
      <c r="AI1019" t="n">
        <v>45</v>
      </c>
      <c r="AJ1019" t="n">
        <v>45</v>
      </c>
      <c r="AK1019" t="n">
        <v>26</v>
      </c>
      <c r="AL1019" t="n">
        <v>149</v>
      </c>
      <c r="AM1019" t="inlineStr">
        <is>
          <t>ELSEVIER SCI LTD</t>
        </is>
      </c>
      <c r="AN1019" t="inlineStr">
        <is>
          <t>OXFORD</t>
        </is>
      </c>
      <c r="AO1019" t="inlineStr">
        <is>
          <t>THE BOULEVARD, LANGFORD LANE, KIDLINGTON, OXFORD OX5 1GB, OXON, ENGLAND</t>
        </is>
      </c>
      <c r="AP1019" t="inlineStr">
        <is>
          <t>0959-6526</t>
        </is>
      </c>
      <c r="AQ1019" t="inlineStr">
        <is>
          <t>1879-1786</t>
        </is>
      </c>
      <c r="AS1019" t="inlineStr">
        <is>
          <t>J CLEAN PROD</t>
        </is>
      </c>
      <c r="AT1019" t="inlineStr">
        <is>
          <t>J. Clean Prod.</t>
        </is>
      </c>
      <c r="AU1019" t="inlineStr">
        <is>
          <t>JUL 10</t>
        </is>
      </c>
      <c r="AV1019" t="n">
        <v>2021</v>
      </c>
      <c r="AW1019" t="n">
        <v>305</v>
      </c>
      <c r="BE1019" t="n">
        <v>127180</v>
      </c>
      <c r="BF1019" t="inlineStr">
        <is>
          <t>10.1016/j.jclepro.2021.127180</t>
        </is>
      </c>
      <c r="BG1019">
        <f>HYPERLINK("http://dx.doi.org/10.1016/j.jclepro.2021.127180","http://dx.doi.org/10.1016/j.jclepro.2021.127180")</f>
        <v/>
      </c>
      <c r="BI1019" t="inlineStr">
        <is>
          <t>APR 2021</t>
        </is>
      </c>
      <c r="BJ1019" t="n">
        <v>30</v>
      </c>
      <c r="BK1019" t="inlineStr">
        <is>
          <t>Green &amp; Sustainable Science &amp; Technology; Engineering, Environmental; Environmental Sciences</t>
        </is>
      </c>
      <c r="BL1019" t="inlineStr">
        <is>
          <t>Science Citation Index Expanded (SCI-EXPANDED)</t>
        </is>
      </c>
      <c r="BM1019" t="inlineStr">
        <is>
          <t>Science &amp; Technology - Other Topics; Engineering; Environmental Sciences &amp; Ecology</t>
        </is>
      </c>
      <c r="BN1019" t="inlineStr">
        <is>
          <t>SJ7HJ</t>
        </is>
      </c>
      <c r="BS1019" t="inlineStr">
        <is>
          <t>2023-10-26</t>
        </is>
      </c>
      <c r="BT1019" t="inlineStr">
        <is>
          <t>WOS:000655701300005</t>
        </is>
      </c>
      <c r="BU1019">
        <f>HYPERLINK("https%3A%2F%2Fwww.webofscience.com%2Fwos%2Fwoscc%2Ffull-record%2FWOS:000655701300005","View Full Record in Web of Science")</f>
        <v/>
      </c>
    </row>
    <row r="1020">
      <c r="A1020" t="inlineStr">
        <is>
          <t>J</t>
        </is>
      </c>
      <c r="B1020" t="inlineStr">
        <is>
          <t>Lin, CC; Hsu, SC</t>
        </is>
      </c>
      <c r="F1020" t="inlineStr">
        <is>
          <t>Lin, Chi-Chi; Hsu, Shu-Chen</t>
        </is>
      </c>
      <c r="J1020" t="inlineStr">
        <is>
          <t>ATMOSPHERIC ENVIRONMENT</t>
        </is>
      </c>
      <c r="M1020" t="inlineStr">
        <is>
          <t>English</t>
        </is>
      </c>
      <c r="N1020" t="inlineStr">
        <is>
          <t>Article</t>
        </is>
      </c>
      <c r="T1020" t="inlineStr">
        <is>
          <t>Deposition velocities and impact of physical properties on ozone removal for building materials</t>
        </is>
      </c>
      <c r="U1020" t="inlineStr">
        <is>
          <t>Ozone; Building materials; Deposition velocity; Surface area; Pore volume</t>
        </is>
      </c>
      <c r="V1020" t="inlineStr">
        <is>
          <t>INDOOR AIR; SECONDARY EMISSIONS; EXPOSURE; MORTALITY; PRODUCTS; SURFACES; RATES; CHEMISTRY; ALDEHYDES; CARPETS</t>
        </is>
      </c>
      <c r="W1020" t="inlineStr">
        <is>
          <t>This study aims to estimate the ozone deposition velocities of eight commonly used building materials (BMs) which include calcium silicate board (CSB), green calcium silicate board (GCSB), mineral fiber ceiling (MFC), green mineral fiber ceiling (GMFC), gypsum board (GB), green gypsum board (GGB), wooden flooring (WF) and green wooden flooring (GWF). In addition, the impact of physical properties (specific surface area and total pore volume of BM) on ozone removal ability was also explored and discussed. Studies were conducted in a small-scale environmental stainless steel chamber. CSB and GCSB showed the highest ozone deposition velocities, while WF and GWF showed the lowest ozone deposition velocities among test BMs materials. All reaction probabilities were estimated to fall within the order of magnitude of 10(-6). Green BMs showed lower reaction probabilities with ozone comparing with non-green BMs except for GGB. Consistent with the trends for deposition velocity, fleecy and porous materials exhibit higher reaction probabilities than smooth, non-porous surfaces. Specific surface area of BM is more closely related to ozone removal than total pore volume of BM with R-2 of 0.93 vs. R-2 of 0.84. Discussion of Thiele modulus for all test BMs indicates surface reactions are occurring quickly relative to internal diffusion and ozone removal is internal diffusion-limited. (C) 2014 Elsevier Ltd. All rights reserved.</t>
        </is>
      </c>
      <c r="X1020" t="inlineStr">
        <is>
          <t>[Lin, Chi-Chi; Hsu, Shu-Chen] Natl Univ Kaohsiung, Dept Civil &amp; Environm Engn, Kaohsiung, Taiwan</t>
        </is>
      </c>
      <c r="Y1020" t="inlineStr">
        <is>
          <t>National University Kaohsiung</t>
        </is>
      </c>
      <c r="Z1020" t="inlineStr">
        <is>
          <t>Lin, CC (corresponding author), Natl Univ Kaohsiung, Dept Civil &amp; Environm Engn, 700 Kaohsiung Univ Rd, Kaohsiung, Taiwan.</t>
        </is>
      </c>
      <c r="AA1020" t="inlineStr">
        <is>
          <t>chichilin@nuk.edu.tw</t>
        </is>
      </c>
      <c r="AB1020" t="inlineStr">
        <is>
          <t>LIN, CHI-CHI/ABI-4379-2020</t>
        </is>
      </c>
      <c r="AC1020" t="inlineStr">
        <is>
          <t>LIN, CHI-CHI/0000-0003-1026-8281</t>
        </is>
      </c>
      <c r="AD1020" t="inlineStr">
        <is>
          <t>Ministry of Science and Technology (MOST) of the Republic of China, Taiwan [MOST 100-2221-E-390-002]</t>
        </is>
      </c>
      <c r="AE1020" t="inlineStr">
        <is>
          <t>Ministry of Science and Technology (MOST) of the Republic of China, Taiwan</t>
        </is>
      </c>
      <c r="AF1020" t="inlineStr">
        <is>
          <t>Funding for this study was provided by the Ministry of Science and Technology (MOST) of the Republic of China, Taiwan, under contract MOST 100-2221-E-390-002. Portions of this paper were first presented at the Environment and Health 2013 Conference in Basel, Switzerland.</t>
        </is>
      </c>
      <c r="AH1020" t="n">
        <v>36</v>
      </c>
      <c r="AI1020" t="n">
        <v>13</v>
      </c>
      <c r="AJ1020" t="n">
        <v>14</v>
      </c>
      <c r="AK1020" t="n">
        <v>0</v>
      </c>
      <c r="AL1020" t="n">
        <v>35</v>
      </c>
      <c r="AM1020" t="inlineStr">
        <is>
          <t>PERGAMON-ELSEVIER SCIENCE LTD</t>
        </is>
      </c>
      <c r="AN1020" t="inlineStr">
        <is>
          <t>OXFORD</t>
        </is>
      </c>
      <c r="AO1020" t="inlineStr">
        <is>
          <t>THE BOULEVARD, LANGFORD LANE, KIDLINGTON, OXFORD OX5 1GB, ENGLAND</t>
        </is>
      </c>
      <c r="AP1020" t="inlineStr">
        <is>
          <t>1352-2310</t>
        </is>
      </c>
      <c r="AQ1020" t="inlineStr">
        <is>
          <t>1873-2844</t>
        </is>
      </c>
      <c r="AS1020" t="inlineStr">
        <is>
          <t>ATMOS ENVIRON</t>
        </is>
      </c>
      <c r="AT1020" t="inlineStr">
        <is>
          <t>Atmos. Environ.</t>
        </is>
      </c>
      <c r="AU1020" t="inlineStr">
        <is>
          <t>JAN</t>
        </is>
      </c>
      <c r="AV1020" t="n">
        <v>2015</v>
      </c>
      <c r="AW1020" t="n">
        <v>101</v>
      </c>
      <c r="BC1020" t="n">
        <v>194</v>
      </c>
      <c r="BD1020" t="n">
        <v>199</v>
      </c>
      <c r="BF1020" t="inlineStr">
        <is>
          <t>10.1016/j.atmosenv.2014.11.029</t>
        </is>
      </c>
      <c r="BG1020">
        <f>HYPERLINK("http://dx.doi.org/10.1016/j.atmosenv.2014.11.029","http://dx.doi.org/10.1016/j.atmosenv.2014.11.029")</f>
        <v/>
      </c>
      <c r="BJ1020" t="n">
        <v>6</v>
      </c>
      <c r="BK1020" t="inlineStr">
        <is>
          <t>Environmental Sciences; Meteorology &amp; Atmospheric Sciences</t>
        </is>
      </c>
      <c r="BL1020" t="inlineStr">
        <is>
          <t>Science Citation Index Expanded (SCI-EXPANDED)</t>
        </is>
      </c>
      <c r="BM1020" t="inlineStr">
        <is>
          <t>Environmental Sciences &amp; Ecology; Meteorology &amp; Atmospheric Sciences</t>
        </is>
      </c>
      <c r="BN1020" t="inlineStr">
        <is>
          <t>AZ1SB</t>
        </is>
      </c>
      <c r="BS1020" t="inlineStr">
        <is>
          <t>2023-10-26</t>
        </is>
      </c>
      <c r="BT1020" t="inlineStr">
        <is>
          <t>WOS:000348017000020</t>
        </is>
      </c>
      <c r="BU1020">
        <f>HYPERLINK("https%3A%2F%2Fwww.webofscience.com%2Fwos%2Fwoscc%2Ffull-record%2FWOS:000348017000020","View Full Record in Web of Science")</f>
        <v/>
      </c>
    </row>
    <row r="1021">
      <c r="A1021" t="inlineStr">
        <is>
          <t>J</t>
        </is>
      </c>
      <c r="B1021" t="inlineStr">
        <is>
          <t>López-Chao, V; López-Pena, V</t>
        </is>
      </c>
      <c r="F1021" t="inlineStr">
        <is>
          <t>Lopez-Chao, Vicente; Lopez-Pena, Vicente</t>
        </is>
      </c>
      <c r="J1021" t="inlineStr">
        <is>
          <t>SUSTAINABILITY</t>
        </is>
      </c>
      <c r="M1021" t="inlineStr">
        <is>
          <t>English</t>
        </is>
      </c>
      <c r="N1021" t="inlineStr">
        <is>
          <t>Article</t>
        </is>
      </c>
      <c r="T1021" t="inlineStr">
        <is>
          <t>Purpose Adequacy as a Basis for Sustainable Building Design: A Post-Occupancy Evaluation of Higher Education Classrooms</t>
        </is>
      </c>
      <c r="U1021" t="inlineStr">
        <is>
          <t>architecture; building evaluation; functional adequacy; human-centered; IEQ; learning space; place attachment; social interaction; social participation; sustainable building</t>
        </is>
      </c>
      <c r="V1021" t="inlineStr">
        <is>
          <t>PRO-ENVIRONMENTAL BEHAVIOR; PLACE ATTACHMENT; QUALITY IEQ; GREEN BUILDINGS; INDOOR; SATISFACTION; COMFORT; ACHIEVEMENT; ENGAGEMENT; PREFERENCES</t>
        </is>
      </c>
      <c r="W1021" t="inlineStr">
        <is>
          <t>Building design is one of the essential elements to consider for maximizing the sustainability of construction. Prior studies on energy and resource consumption and on indoor environmental quality indicators (IEQs) are increasingly frequent; however, attention has not been focused on design as supporting the function performed within architecture. Educational buildings have specific conditions related to teaching methodologies, including activating students and promoting participation and interaction in the classroom. This manuscript aims to explore whether the social dimension of physical space in educational settings can explain a student's academic outcome. For this, the Learning Environment and Social Interaction Scale was designed and validated and applied to 796 undergraduate students at the University of Coruna, and multiple linear regression analysis was applied to the academic results. The results display a structure comprising five factors; these include novelties such as the division of conventional IEQs into two groups: the workspace and the classroom environment. In addition, place attachment, the design of the classroom as a facilitator of social interaction, the learning value of social interaction, and the satisfaction of the IEQ demonstrated their influence on the academic result.</t>
        </is>
      </c>
      <c r="X1021" t="inlineStr">
        <is>
          <t>[Lopez-Chao, Vicente] Univ A Coruna, Sch Architecture, Architectural Graph Dept, Campus Zapateira, Coruna 15008, Spain; [Lopez-Pena, Vicente] Univ Cadiz, Fac Engn, Dept Mech Engn &amp; Ind Design, Campus Puerto Real, Cadiz 11003, Spain</t>
        </is>
      </c>
      <c r="Y1021" t="inlineStr">
        <is>
          <t>Universidade da Coruna; Universidad de Cadiz</t>
        </is>
      </c>
      <c r="Z1021" t="inlineStr">
        <is>
          <t>López-Chao, V (corresponding author), Univ A Coruna, Sch Architecture, Architectural Graph Dept, Campus Zapateira, Coruna 15008, Spain.;López-Pena, V (corresponding author), Univ Cadiz, Fac Engn, Dept Mech Engn &amp; Ind Design, Campus Puerto Real, Cadiz 11003, Spain.</t>
        </is>
      </c>
      <c r="AA1021" t="inlineStr">
        <is>
          <t>v.lchao@udc.es; vicente.lopez@uca.es</t>
        </is>
      </c>
      <c r="AB1021" t="inlineStr">
        <is>
          <t>Lopez-Chao, Vicente/AAO-6304-2020; Lopez-Pena, Vicente/AAE-3446-2022</t>
        </is>
      </c>
      <c r="AC1021" t="inlineStr">
        <is>
          <t>Lopez-Chao, Vicente/0000-0002-7369-0319;</t>
        </is>
      </c>
      <c r="AH1021" t="n">
        <v>69</v>
      </c>
      <c r="AI1021" t="n">
        <v>4</v>
      </c>
      <c r="AJ1021" t="n">
        <v>4</v>
      </c>
      <c r="AK1021" t="n">
        <v>3</v>
      </c>
      <c r="AL1021" t="n">
        <v>21</v>
      </c>
      <c r="AM1021" t="inlineStr">
        <is>
          <t>MDPI</t>
        </is>
      </c>
      <c r="AN1021" t="inlineStr">
        <is>
          <t>BASEL</t>
        </is>
      </c>
      <c r="AO1021" t="inlineStr">
        <is>
          <t>ST ALBAN-ANLAGE 66, CH-4052 BASEL, SWITZERLAND</t>
        </is>
      </c>
      <c r="AQ1021" t="inlineStr">
        <is>
          <t>2071-1050</t>
        </is>
      </c>
      <c r="AS1021" t="inlineStr">
        <is>
          <t>SUSTAINABILITY-BASEL</t>
        </is>
      </c>
      <c r="AT1021" t="inlineStr">
        <is>
          <t>Sustainability</t>
        </is>
      </c>
      <c r="AU1021" t="inlineStr">
        <is>
          <t>OCT</t>
        </is>
      </c>
      <c r="AV1021" t="n">
        <v>2021</v>
      </c>
      <c r="AW1021" t="n">
        <v>13</v>
      </c>
      <c r="AX1021" t="n">
        <v>20</v>
      </c>
      <c r="BE1021" t="n">
        <v>11181</v>
      </c>
      <c r="BF1021" t="inlineStr">
        <is>
          <t>10.3390/su132011181</t>
        </is>
      </c>
      <c r="BG1021">
        <f>HYPERLINK("http://dx.doi.org/10.3390/su132011181","http://dx.doi.org/10.3390/su132011181")</f>
        <v/>
      </c>
      <c r="BJ1021" t="n">
        <v>16</v>
      </c>
      <c r="BK1021" t="inlineStr">
        <is>
          <t>Green &amp; Sustainable Science &amp; Technology; Environmental Sciences; Environmental Studies</t>
        </is>
      </c>
      <c r="BL1021" t="inlineStr">
        <is>
          <t>Science Citation Index Expanded (SCI-EXPANDED); Social Science Citation Index (SSCI)</t>
        </is>
      </c>
      <c r="BM1021" t="inlineStr">
        <is>
          <t>Science &amp; Technology - Other Topics; Environmental Sciences &amp; Ecology</t>
        </is>
      </c>
      <c r="BN1021" t="inlineStr">
        <is>
          <t>WV1FN</t>
        </is>
      </c>
      <c r="BP1021" t="inlineStr">
        <is>
          <t>gold, Green Published</t>
        </is>
      </c>
      <c r="BS1021" t="inlineStr">
        <is>
          <t>2023-10-26</t>
        </is>
      </c>
      <c r="BT1021" t="inlineStr">
        <is>
          <t>WOS:000716982700001</t>
        </is>
      </c>
      <c r="BU1021">
        <f>HYPERLINK("https%3A%2F%2Fwww.webofscience.com%2Fwos%2Fwoscc%2Ffull-record%2FWOS:000716982700001","View Full Record in Web of Science")</f>
        <v/>
      </c>
    </row>
    <row r="1022">
      <c r="A1022" t="inlineStr">
        <is>
          <t>J</t>
        </is>
      </c>
      <c r="B1022" t="inlineStr">
        <is>
          <t>González-Martín, J; Kraakman, NJR; Pérez, C; Lebrero, R; Muñoz, R</t>
        </is>
      </c>
      <c r="F1022" t="inlineStr">
        <is>
          <t>Gonzalez-Martin, Javier; Richardus Kraakman, Norbertus Johannes; Perez, Cristina; Lebrero, Raquel; Munoz, Raul</t>
        </is>
      </c>
      <c r="J1022" t="inlineStr">
        <is>
          <t>CHEMOSPHERE</t>
        </is>
      </c>
      <c r="M1022" t="inlineStr">
        <is>
          <t>English</t>
        </is>
      </c>
      <c r="N1022" t="inlineStr">
        <is>
          <t>Review</t>
        </is>
      </c>
      <c r="T1022" t="inlineStr">
        <is>
          <t>A state-of-the-art review on indoor air pollution and strategies for indoor air pollution control</t>
        </is>
      </c>
      <c r="U1022" t="inlineStr">
        <is>
          <t>Air pollutant; Biotechnology; Indoor air quality; Prevention strategy; Physical-chemical technology; Volatile organic compound</t>
        </is>
      </c>
      <c r="V1022" t="inlineStr">
        <is>
          <t>VOLATILE ORGANIC-COMPOUNDS; MEMBRANE BIOREACTOR; PHOTOCATALYTIC OXIDATION; OFFICE BUILDINGS; PUBLIC BUILDINGS; VOC REMOVAL; QUALITY; PERFORMANCE; TOLUENE; ENERGY</t>
        </is>
      </c>
      <c r="W1022" t="inlineStr">
        <is>
          <t>Indoor air pollution has traditionally received less attention than outdoors pollution despite indoors pollutant levels are typically twice higher, and people spend 80-90% of their life in increasing air-tight buildings. More than 5 million people die every year prematurely from illnesses attributable to poor indoor air quality, which also causes multi-millionaire losses due to reduced employee's productivity, material damages and increased health system expenses. Indoor air pollutants include particulate matter, biological pollutants and over 400 different chemical organic and inorganic compounds, whose concentrations are governed by several outdoor and indoor factors. Prevention of pollutant is not always technically feasible, so the implementation of cost-effective active abatement units is required. Up to date no single physical-chemical technology is capable of coping with all indoor air pollutants in a cost-effective manner. This problem requires the use of sequential technology configurations at the expenses of superior capital and operating costs. In addition, the performance of conventional physical-chemical technologies is still limited by the low concentrations, the diversity and the variability of pollutants in indoor environments. In this context, biotechnologies have emerged as a cost-effective and sustainable platform capable of coping with these limitations based on the biocatalytic action of plants, bacteria, fungi and microalgae. Indeed, biological-based purification systems can improve the energy efficiency of buildings, while providing additional aesthetic and psychological benefits. This review critically assessed the state-of-the-art of the indoor air pollution problem and prevention strategies, along with the recent advances in physical-chemical and biological technologies for indoor pollutants abatement. (C) 2020 Elsevier Ltd. All rights reserved.</t>
        </is>
      </c>
      <c r="X1022" t="inlineStr">
        <is>
          <t>[Gonzalez-Martin, Javier; Lebrero, Raquel; Munoz, Raul] Univ Valladolid, Dept Chem Engn &amp; Environm Technol, Dr Mergelina S-N, Valladolid 47011, Spain; [Gonzalez-Martin, Javier; Richardus Kraakman, Norbertus Johannes; Perez, Cristina; Lebrero, Raquel; Munoz, Raul] Univ Valladolid, Inst Sustainable Proc, Dr Mergelina S-N, Valladolid 47011, Spain; [Richardus Kraakman, Norbertus Johannes] Jacobs Engn, Bristol, Avon, England</t>
        </is>
      </c>
      <c r="Y1022" t="inlineStr">
        <is>
          <t>Universidad de Valladolid; Universidad de Valladolid</t>
        </is>
      </c>
      <c r="Z1022" t="inlineStr">
        <is>
          <t>Muñoz, R (corresponding author), Univ Valladolid, Dept Chem Engn &amp; Environm Technol, Dr Mergelina S-N, Valladolid 47011, Spain.</t>
        </is>
      </c>
      <c r="AA1022" t="inlineStr">
        <is>
          <t>javier.gonzalezm@uva.es; Bart.Kraakman@jacobs.com; cris.perez.lopez44.cpr@gmail.com; lebrero@iq.uva.es; mutora@iq.uva.es</t>
        </is>
      </c>
      <c r="AB1022" t="inlineStr">
        <is>
          <t>Munoz, Raul/E-6493-2010</t>
        </is>
      </c>
      <c r="AC1022" t="inlineStr">
        <is>
          <t>Munoz, Raul/0000-0003-1207-6275; Gonzalez-Martin, Javier/0000-0002-2562-7876; Kraakman, Norbertus/0000-0002-0923-9056</t>
        </is>
      </c>
      <c r="AD1022" t="inlineStr">
        <is>
          <t>Ministry of Science, Innovation and Universities, Spain [RTI2018-0-096441-B-I00]; Regional Government of Castilla y Leon, Spain [CLU 2017-09, UIC 071]; EU-FEDER program; European Union [CLU 2017-09]</t>
        </is>
      </c>
      <c r="AE1022" t="inlineStr">
        <is>
          <t>Ministry of Science, Innovation and Universities, Spain(Spanish Government); Regional Government of Castilla y Leon, Spain; EU-FEDER program(European Union (EU)); European Union(European Union (EU))</t>
        </is>
      </c>
      <c r="AF1022" t="inlineStr">
        <is>
          <t>This work was supported by the Ministry of Science, Innovation and Universities, Spain [project RTI2018-0-096441-B-I00]. The Regional Government of Castilla y Leon, Spain[grant numbers CLU 2017-09 and UIC 071] and the EU-FEDER program, European Union [grant number CLU 2017-09] are also gratefully acknowledged.</t>
        </is>
      </c>
      <c r="AH1022" t="n">
        <v>123</v>
      </c>
      <c r="AI1022" t="n">
        <v>142</v>
      </c>
      <c r="AJ1022" t="n">
        <v>143</v>
      </c>
      <c r="AK1022" t="n">
        <v>100</v>
      </c>
      <c r="AL1022" t="n">
        <v>610</v>
      </c>
      <c r="AM1022" t="inlineStr">
        <is>
          <t>PERGAMON-ELSEVIER SCIENCE LTD</t>
        </is>
      </c>
      <c r="AN1022" t="inlineStr">
        <is>
          <t>OXFORD</t>
        </is>
      </c>
      <c r="AO1022" t="inlineStr">
        <is>
          <t>THE BOULEVARD, LANGFORD LANE, KIDLINGTON, OXFORD OX5 1GB, ENGLAND</t>
        </is>
      </c>
      <c r="AP1022" t="inlineStr">
        <is>
          <t>0045-6535</t>
        </is>
      </c>
      <c r="AQ1022" t="inlineStr">
        <is>
          <t>1879-1298</t>
        </is>
      </c>
      <c r="AS1022" t="inlineStr">
        <is>
          <t>CHEMOSPHERE</t>
        </is>
      </c>
      <c r="AT1022" t="inlineStr">
        <is>
          <t>Chemosphere</t>
        </is>
      </c>
      <c r="AU1022" t="inlineStr">
        <is>
          <t>JAN</t>
        </is>
      </c>
      <c r="AV1022" t="n">
        <v>2021</v>
      </c>
      <c r="AW1022" t="n">
        <v>262</v>
      </c>
      <c r="BE1022" t="n">
        <v>128376</v>
      </c>
      <c r="BF1022" t="inlineStr">
        <is>
          <t>10.1016/j.chemosphere.2020.128376</t>
        </is>
      </c>
      <c r="BG1022">
        <f>HYPERLINK("http://dx.doi.org/10.1016/j.chemosphere.2020.128376","http://dx.doi.org/10.1016/j.chemosphere.2020.128376")</f>
        <v/>
      </c>
      <c r="BJ1022" t="n">
        <v>16</v>
      </c>
      <c r="BK1022" t="inlineStr">
        <is>
          <t>Environmental Sciences</t>
        </is>
      </c>
      <c r="BL1022" t="inlineStr">
        <is>
          <t>Science Citation Index Expanded (SCI-EXPANDED)</t>
        </is>
      </c>
      <c r="BM1022" t="inlineStr">
        <is>
          <t>Environmental Sciences &amp; Ecology</t>
        </is>
      </c>
      <c r="BN1022" t="inlineStr">
        <is>
          <t>OO3NV</t>
        </is>
      </c>
      <c r="BO1022" t="n">
        <v>33182138</v>
      </c>
      <c r="BP1022" t="inlineStr">
        <is>
          <t>Green Accepted</t>
        </is>
      </c>
      <c r="BS1022" t="inlineStr">
        <is>
          <t>2023-10-26</t>
        </is>
      </c>
      <c r="BT1022" t="inlineStr">
        <is>
          <t>WOS:000587290300173</t>
        </is>
      </c>
      <c r="BU1022">
        <f>HYPERLINK("https%3A%2F%2Fwww.webofscience.com%2Fwos%2Fwoscc%2Ffull-record%2FWOS:000587290300173","View Full Record in Web of Science")</f>
        <v/>
      </c>
    </row>
    <row r="1023">
      <c r="A1023" t="inlineStr">
        <is>
          <t>J</t>
        </is>
      </c>
      <c r="B1023" t="inlineStr">
        <is>
          <t>Micková, E; Machová, K; Dadová, K; Svobodová, I</t>
        </is>
      </c>
      <c r="F1023" t="inlineStr">
        <is>
          <t>Mickova, Eliska; Machova, Kristyna; Dadova, Klara; Svobodova, Ivona</t>
        </is>
      </c>
      <c r="J1023" t="inlineStr">
        <is>
          <t>INTERNATIONAL JOURNAL OF ENVIRONMENTAL RESEARCH AND PUBLIC HEALTH</t>
        </is>
      </c>
      <c r="M1023" t="inlineStr">
        <is>
          <t>English</t>
        </is>
      </c>
      <c r="N1023" t="inlineStr">
        <is>
          <t>Article</t>
        </is>
      </c>
      <c r="T1023" t="inlineStr">
        <is>
          <t>Does Dog Ownership Affect Physical Activity, Sleep, and Self-Reported Health in Older Adults?</t>
        </is>
      </c>
      <c r="U1023" t="inlineStr">
        <is>
          <t>older adults; dog ownership; physical activity; health</t>
        </is>
      </c>
      <c r="V1023" t="inlineStr">
        <is>
          <t>ACTIVITY QUESTIONNAIRE; QUALITY; PREVALENCE; COMMUNITY; BEHAVIOR; WALKING; PETS; LIFE; BMI</t>
        </is>
      </c>
      <c r="W1023" t="inlineStr">
        <is>
          <t>Physical activity (PA) is crucial for maintaining good health of older adults and owning a dog and walking it can enforce it. The purpose of this study was to evaluate the effect of dog ownership on PA in older adults as well as its positive impact on perceived degree of health, and sleep. There were 44 participants of mean age 68 +/- 5.4 years (18 males, 26 females) enrolled in this study (dog owners-DO, n = 26; non-dog owners-NDO, n = 18). Xiaomi Mi Band 2 accelerometer, International Physical Activity Questionnaire- Short form (IPAQ-Short Form) and SF-36 questionnaires were used to measure the level of PA, sleep, and subjective health. A statistically significant difference was observed in favor of dog owners in most of the monitored parameters. All accelerometer PA parameters (step count, activity time, distance, calories) showed a significant difference at a p &lt; 0.01. Sleep parameters were significant in total sleep length (p = 0.05) and light sleep length (p &lt; 0.05). DO reported higher total PA time (min/week), MET/min/week spent in walking, and spent calories/week (p &lt; 0.05). In SF-36 they reported higher score (p &lt; 0.05) in general health, physical functioning, social functioning, pain, vitality, and emotional well-being. Body mass index (BMI) was significantly lower in the DO group (p &lt; 0.01). The results suggest that dog ownership may affect the overall PA and health of older adults.</t>
        </is>
      </c>
      <c r="X1023" t="inlineStr">
        <is>
          <t>[Mickova, Eliska; Machova, Kristyna; Svobodova, Ivona] Czech Univ Life Sci, Fac Agrobiol Food &amp; Nat Resources, Dept Ethol &amp; Compan Anim Sci, Prague 16500, Czech Republic; [Dadova, Klara] Charles Univ Prague, Fac Phys Educ &amp; Sport, Prague 16252, Czech Republic</t>
        </is>
      </c>
      <c r="Y1023" t="inlineStr">
        <is>
          <t>Czech University of Life Sciences Prague; Charles University Prague</t>
        </is>
      </c>
      <c r="Z1023" t="inlineStr">
        <is>
          <t>Machová, K (corresponding author), Czech Univ Life Sci, Fac Agrobiol Food &amp; Nat Resources, Dept Ethol &amp; Compan Anim Sci, Prague 16500, Czech Republic.</t>
        </is>
      </c>
      <c r="AA1023" t="inlineStr">
        <is>
          <t>mickova.eliska@seznam.cz; machovakristyna@af.czu.cz; dadova@ftvs.cuni.cz; Svobodovai@af.czu.cz</t>
        </is>
      </c>
      <c r="AB1023" t="inlineStr">
        <is>
          <t>Daďová, Klára/D-3091-2017; Machová, Kristýna/AAX-9092-2021; Daďová, Klára/AAO-4920-2020</t>
        </is>
      </c>
      <c r="AC1023" t="inlineStr">
        <is>
          <t>Daďová, Klára/0000-0003-3164-2236; Daďová, Klára/0000-0003-3164-2236; Mickova, Eliska/0000-0002-7267-4499; , Kristyna Machova/0000-0002-1793-8789</t>
        </is>
      </c>
      <c r="AD1023" t="inlineStr">
        <is>
          <t>Programme of the institutional support for science at Charles University Progress [Q41]</t>
        </is>
      </c>
      <c r="AE1023" t="inlineStr">
        <is>
          <t>Programme of the institutional support for science at Charles University Progress</t>
        </is>
      </c>
      <c r="AF1023" t="inlineStr">
        <is>
          <t>This study was written within the Programme of the institutional support for science at Charles University Progress, No. Q41 Biological aspects of the investigation of human movement.</t>
        </is>
      </c>
      <c r="AH1023" t="n">
        <v>49</v>
      </c>
      <c r="AI1023" t="n">
        <v>26</v>
      </c>
      <c r="AJ1023" t="n">
        <v>26</v>
      </c>
      <c r="AK1023" t="n">
        <v>4</v>
      </c>
      <c r="AL1023" t="n">
        <v>21</v>
      </c>
      <c r="AM1023" t="inlineStr">
        <is>
          <t>MDPI</t>
        </is>
      </c>
      <c r="AN1023" t="inlineStr">
        <is>
          <t>BASEL</t>
        </is>
      </c>
      <c r="AO1023" t="inlineStr">
        <is>
          <t>ST ALBAN-ANLAGE 66, CH-4052 BASEL, SWITZERLAND</t>
        </is>
      </c>
      <c r="AQ1023" t="inlineStr">
        <is>
          <t>1660-4601</t>
        </is>
      </c>
      <c r="AS1023" t="inlineStr">
        <is>
          <t>INT J ENV RES PUB HE</t>
        </is>
      </c>
      <c r="AT1023" t="inlineStr">
        <is>
          <t>Int. J. Environ. Res. Public Health</t>
        </is>
      </c>
      <c r="AU1023" t="inlineStr">
        <is>
          <t>SEP 2</t>
        </is>
      </c>
      <c r="AV1023" t="n">
        <v>2019</v>
      </c>
      <c r="AW1023" t="n">
        <v>16</v>
      </c>
      <c r="AX1023" t="n">
        <v>18</v>
      </c>
      <c r="BE1023" t="n">
        <v>3355</v>
      </c>
      <c r="BF1023" t="inlineStr">
        <is>
          <t>10.3390/ijerph16183355</t>
        </is>
      </c>
      <c r="BG1023">
        <f>HYPERLINK("http://dx.doi.org/10.3390/ijerph16183355","http://dx.doi.org/10.3390/ijerph16183355")</f>
        <v/>
      </c>
      <c r="BJ1023" t="n">
        <v>11</v>
      </c>
      <c r="BK1023" t="inlineStr">
        <is>
          <t>Environmental Sciences; Public, Environmental &amp; Occupational Health</t>
        </is>
      </c>
      <c r="BL1023" t="inlineStr">
        <is>
          <t>Science Citation Index Expanded (SCI-EXPANDED); Social Science Citation Index (SSCI)</t>
        </is>
      </c>
      <c r="BM1023" t="inlineStr">
        <is>
          <t>Environmental Sciences &amp; Ecology; Public, Environmental &amp; Occupational Health</t>
        </is>
      </c>
      <c r="BN1023" t="inlineStr">
        <is>
          <t>JC3KV</t>
        </is>
      </c>
      <c r="BO1023" t="n">
        <v>31514379</v>
      </c>
      <c r="BP1023" t="inlineStr">
        <is>
          <t>gold, Green Published</t>
        </is>
      </c>
      <c r="BS1023" t="inlineStr">
        <is>
          <t>2023-10-26</t>
        </is>
      </c>
      <c r="BT1023" t="inlineStr">
        <is>
          <t>WOS:000489178500129</t>
        </is>
      </c>
      <c r="BU1023">
        <f>HYPERLINK("https%3A%2F%2Fwww.webofscience.com%2Fwos%2Fwoscc%2Ffull-record%2FWOS:000489178500129","View Full Record in Web of Science")</f>
        <v/>
      </c>
    </row>
    <row r="1024">
      <c r="A1024" t="inlineStr">
        <is>
          <t>J</t>
        </is>
      </c>
      <c r="B1024" t="inlineStr">
        <is>
          <t>Chen, CT; Tai, HW</t>
        </is>
      </c>
      <c r="F1024" t="inlineStr">
        <is>
          <t>Chen, Chien-Ta; Tai, Hsing-Wei</t>
        </is>
      </c>
      <c r="J1024" t="inlineStr">
        <is>
          <t>JOURNAL OF ENVIRONMENTAL PROTECTION AND ECOLOGY</t>
        </is>
      </c>
      <c r="M1024" t="inlineStr">
        <is>
          <t>English</t>
        </is>
      </c>
      <c r="N1024" t="inlineStr">
        <is>
          <t>Article</t>
        </is>
      </c>
      <c r="T1024" t="inlineStr">
        <is>
          <t>DISCUSSION OF THE FACTORS IN THE ENVIRONMENT SUSTAINABLE DEVELOPMENT OF COMMUNITY BASE ON ANP</t>
        </is>
      </c>
      <c r="U1024" t="inlineStr">
        <is>
          <t>green building evaluation indicator; community; sustainable environmental development; factor</t>
        </is>
      </c>
      <c r="W1024" t="inlineStr">
        <is>
          <t>Current green building evaluation indicators being operated and evaluated according to actually built community environment would build the conclusion and deficiency of built community environmental ecology and current environment of green buildings to be the reference for improving built community environment. Aiming at community citizens in Zibo, Shandong, as the questionnaire subjects, total 360 copies of questionnaire are distributed for this study. 291 valid copies are retrieved, with a retrieval rate 81%. The research results show that: (1) greening index is the most emphasised dimension in Hierarchy 2, followed by biodiversity index, water retention index, water resource index, and waste water improvement index, and (2) top five indicators, among 15, are sequenced number of planting, ecological network, planting species, common water retention design, and water saving appliances. According to the results to propose suggestions, it is expected to help community citizens form the awareness of sustainable environmental development as well as vernacular architecture really implement green buildings and respect natural ecology to avoid the increase in environmental load and disruption.</t>
        </is>
      </c>
      <c r="X1024" t="inlineStr">
        <is>
          <t>[Chen, Chien-Ta; Tai, Hsing-Wei] Shandong Univ Technol, Sch Architectural Engn, Zibo 255000, Shandong, Peoples R China</t>
        </is>
      </c>
      <c r="Y1024" t="inlineStr">
        <is>
          <t>Shandong University of Technology</t>
        </is>
      </c>
      <c r="Z1024" t="inlineStr">
        <is>
          <t>Tai, HW (corresponding author), Shandong Univ Technol, Sch Architectural Engn, Zibo 255000, Shandong, Peoples R China.</t>
        </is>
      </c>
      <c r="AA1024" t="inlineStr">
        <is>
          <t>rt007204@gmail.com</t>
        </is>
      </c>
      <c r="AC1024" t="inlineStr">
        <is>
          <t>TAI, HSING-WEI/0000-0002-1437-0892</t>
        </is>
      </c>
      <c r="AH1024" t="n">
        <v>13</v>
      </c>
      <c r="AI1024" t="n">
        <v>0</v>
      </c>
      <c r="AJ1024" t="n">
        <v>0</v>
      </c>
      <c r="AK1024" t="n">
        <v>1</v>
      </c>
      <c r="AL1024" t="n">
        <v>2</v>
      </c>
      <c r="AM1024" t="inlineStr">
        <is>
          <t>SCIBULCOM LTD</t>
        </is>
      </c>
      <c r="AN1024" t="inlineStr">
        <is>
          <t>SOFIA</t>
        </is>
      </c>
      <c r="AO1024" t="inlineStr">
        <is>
          <t>PO BOX 249, 1113 SOFIA, BULGARIA</t>
        </is>
      </c>
      <c r="AP1024" t="inlineStr">
        <is>
          <t>1311-5065</t>
        </is>
      </c>
      <c r="AS1024" t="inlineStr">
        <is>
          <t>J ENVIRON PROT ECOL</t>
        </is>
      </c>
      <c r="AT1024" t="inlineStr">
        <is>
          <t>J. Environ. Prot. Ecol.</t>
        </is>
      </c>
      <c r="AV1024" t="n">
        <v>2022</v>
      </c>
      <c r="AW1024" t="n">
        <v>23</v>
      </c>
      <c r="AX1024" t="n">
        <v>2</v>
      </c>
      <c r="BC1024" t="n">
        <v>632</v>
      </c>
      <c r="BD1024" t="n">
        <v>638</v>
      </c>
      <c r="BJ1024" t="n">
        <v>7</v>
      </c>
      <c r="BK1024" t="inlineStr">
        <is>
          <t>Environmental Sciences</t>
        </is>
      </c>
      <c r="BL1024" t="inlineStr">
        <is>
          <t>Science Citation Index Expanded (SCI-EXPANDED)</t>
        </is>
      </c>
      <c r="BM1024" t="inlineStr">
        <is>
          <t>Environmental Sciences &amp; Ecology</t>
        </is>
      </c>
      <c r="BN1024" t="inlineStr">
        <is>
          <t>1H9AF</t>
        </is>
      </c>
      <c r="BS1024" t="inlineStr">
        <is>
          <t>2023-10-26</t>
        </is>
      </c>
      <c r="BT1024" t="inlineStr">
        <is>
          <t>WOS:000796830800021</t>
        </is>
      </c>
      <c r="BU1024">
        <f>HYPERLINK("https%3A%2F%2Fwww.webofscience.com%2Fwos%2Fwoscc%2Ffull-record%2FWOS:000796830800021","View Full Record in Web of Science")</f>
        <v/>
      </c>
    </row>
    <row r="1025">
      <c r="A1025" t="inlineStr">
        <is>
          <t>J</t>
        </is>
      </c>
      <c r="B1025" t="inlineStr">
        <is>
          <t>Zhang, YH; Ning, GC; Chen, SH; Yang, YJ</t>
        </is>
      </c>
      <c r="F1025" t="inlineStr">
        <is>
          <t>Zhang, Yanhao; Ning, Guicai; Chen, Shihan; Yang, Yuanjian</t>
        </is>
      </c>
      <c r="J1025" t="inlineStr">
        <is>
          <t>REMOTE SENSING</t>
        </is>
      </c>
      <c r="M1025" t="inlineStr">
        <is>
          <t>English</t>
        </is>
      </c>
      <c r="N1025" t="inlineStr">
        <is>
          <t>Article</t>
        </is>
      </c>
      <c r="T1025" t="inlineStr">
        <is>
          <t>Impact of Rapid Urban Sprawl on the Local Meteorological Observational Environment Based on Remote Sensing Images and GIS Technology</t>
        </is>
      </c>
      <c r="U1025" t="inlineStr">
        <is>
          <t>urban sprawl; anthropogenic heat; meteorological observation environment; remote sensing; GIS technology</t>
        </is>
      </c>
      <c r="V1025" t="inlineStr">
        <is>
          <t>HEAT RELEASE ESTIMATION; GLOBAL DISTRIBUTION; TEMPERATURE; URBANIZATION; BIAS; SERIES; CHINA; MODEL</t>
        </is>
      </c>
      <c r="W1025" t="inlineStr">
        <is>
          <t>Rapid increases in urban sprawl affect the observational environment around meteorological stations by changing the land use/land cover (LULC) and the anthropogenic heat flux (AHF). Based on remote sensing images and GIS technology, we investigated the impact of changes in both LULC and AHF induced by urbanization on the meteorological observational environment in the Yangtze River Delta (YRD) during 2000-2018. Our results show that the observational environments around meteorological stations were significantly affected by the rapid expansion of built-up areas and the subsequent increase in the AHF, with a clear spatiotemporal variability. A positive correlation was observed between the proportion of built-up areas and the AHF around meteorological stations. The AHF was in the order urban stations &gt; suburban stations &gt; rural stations, but the increases in the AHF were greater around suburban and rural stations than around urban stations. Some meteorological stations need to be relocated to address the adverse effects induced by urbanization. The proportion of built-up areas and AHF around the new stations decreased significantly after relocation, weakening the urban heat island effect on the meteorological observations and substantially improving the observational environment. As a result, the observed daily mean temperature (relative humidity) decreased (increased) around the new stations after relocation. Our study comprehensively shows the impact of rapid urban sprawl on the observational environment around meteorological stations by assessing changes in both LULC and the AHF induced by urbanization. These findings provide scientific insights for the selection and construction of networks of meteorological stations and are therefore helpful in scientifically evaluating and correcting the impact of rapid urban sprawl on meteorological observations.</t>
        </is>
      </c>
      <c r="X1025" t="inlineStr">
        <is>
          <t>[Zhang, Yanhao; Yang, Yuanjian] Nanjing Univ Informat Sci &amp; Technol, Sch Geog Sci, Collaborat Innovat Ctr Forecast &amp; Evaluat Meteoro, Nanjing 210044, Peoples R China; [Zhang, Yanhao; Chen, Shihan; Yang, Yuanjian] Nanjing Univ Informat Sci &amp; Technol, Sch Atmospher Phys, Nanjing 210044, Peoples R China; [Ning, Guicai] Chinese Univ Hong Kong, Inst Environm Energy &amp; Sustainabil, Hong Kong 999077, Peoples R China; [Yang, Yuanjian] Chinese Acad Sci, Inst Earth Environm, State Key Lab Loess &amp; Quaternary Geol, Xian 710061, Peoples R China</t>
        </is>
      </c>
      <c r="Y1025" t="inlineStr">
        <is>
          <t>Nanjing University of Information Science &amp; Technology; Nanjing University of Information Science &amp; Technology; Chinese University of Hong Kong; Chinese Academy of Sciences; Institute of Earth Environment, CAS</t>
        </is>
      </c>
      <c r="Z1025" t="inlineStr">
        <is>
          <t>Yang, YJ (corresponding author), Nanjing Univ Informat Sci &amp; Technol, Sch Geog Sci, Collaborat Innovat Ctr Forecast &amp; Evaluat Meteoro, Nanjing 210044, Peoples R China.;Yang, YJ (corresponding author), Nanjing Univ Informat Sci &amp; Technol, Sch Atmospher Phys, Nanjing 210044, Peoples R China.;Yang, YJ (corresponding author), Chinese Acad Sci, Inst Earth Environm, State Key Lab Loess &amp; Quaternary Geol, Xian 710061, Peoples R China.</t>
        </is>
      </c>
      <c r="AA1025" t="inlineStr">
        <is>
          <t>201913890027@nuist.edu.cn; guicaining@cuhk.edu.hk; 20171335048@nuist.edu.cn; yyj1985@nuist.edu.cn</t>
        </is>
      </c>
      <c r="AB1025" t="inlineStr">
        <is>
          <t>chen, shihan/GQO-8284-2022; yang, yang/GWB-9426-2022; yang, yang/HGT-7999-2022</t>
        </is>
      </c>
      <c r="AC1025" t="inlineStr">
        <is>
          <t>Yang, Yuan-Jian/0000-0003-3486-6286</t>
        </is>
      </c>
      <c r="AD1025" t="inlineStr">
        <is>
          <t>National Key Research and Development Program of China [2018YFC1506502]; NSFC-DFG [42061134009]; Guangdong Key Laboratory of Ocean Remote Sensing [2017B030301005-LORS2001]; State Key Laboratory of Loess and Quaternary Geology [SKLLQG2010]</t>
        </is>
      </c>
      <c r="AE1025" t="inlineStr">
        <is>
          <t>National Key Research and Development Program of China; NSFC-DFG; Guangdong Key Laboratory of Ocean Remote Sensing; State Key Laboratory of Loess and Quaternary Geology(Chinese Academy of Sciences)</t>
        </is>
      </c>
      <c r="AF1025" t="inlineStr">
        <is>
          <t>This study was jointly supported by the National Key Research and Development Program of China (2018YFC1506502), the NSFC-DFG (42061134009), open funding of Guangdong Key Laboratory of Ocean Remote Sensing (2017B030301005-LORS2001), and open funding of the State Key Laboratory of Loess and Quaternary Geology (SKLLQG2010).</t>
        </is>
      </c>
      <c r="AH1025" t="n">
        <v>52</v>
      </c>
      <c r="AI1025" t="n">
        <v>10</v>
      </c>
      <c r="AJ1025" t="n">
        <v>10</v>
      </c>
      <c r="AK1025" t="n">
        <v>3</v>
      </c>
      <c r="AL1025" t="n">
        <v>48</v>
      </c>
      <c r="AM1025" t="inlineStr">
        <is>
          <t>MDPI</t>
        </is>
      </c>
      <c r="AN1025" t="inlineStr">
        <is>
          <t>BASEL</t>
        </is>
      </c>
      <c r="AO1025" t="inlineStr">
        <is>
          <t>ST ALBAN-ANLAGE 66, CH-4052 BASEL, SWITZERLAND</t>
        </is>
      </c>
      <c r="AQ1025" t="inlineStr">
        <is>
          <t>2072-4292</t>
        </is>
      </c>
      <c r="AS1025" t="inlineStr">
        <is>
          <t>REMOTE SENS-BASEL</t>
        </is>
      </c>
      <c r="AT1025" t="inlineStr">
        <is>
          <t>Remote Sens.</t>
        </is>
      </c>
      <c r="AU1025" t="inlineStr">
        <is>
          <t>JUL</t>
        </is>
      </c>
      <c r="AV1025" t="n">
        <v>2021</v>
      </c>
      <c r="AW1025" t="n">
        <v>13</v>
      </c>
      <c r="AX1025" t="n">
        <v>13</v>
      </c>
      <c r="BE1025" t="n">
        <v>2624</v>
      </c>
      <c r="BF1025" t="inlineStr">
        <is>
          <t>10.3390/rs13132624</t>
        </is>
      </c>
      <c r="BG1025">
        <f>HYPERLINK("http://dx.doi.org/10.3390/rs13132624","http://dx.doi.org/10.3390/rs13132624")</f>
        <v/>
      </c>
      <c r="BJ1025" t="n">
        <v>17</v>
      </c>
      <c r="BK1025" t="inlineStr">
        <is>
          <t>Environmental Sciences; Geosciences, Multidisciplinary; Remote Sensing; Imaging Science &amp; Photographic Technology</t>
        </is>
      </c>
      <c r="BL1025" t="inlineStr">
        <is>
          <t>Science Citation Index Expanded (SCI-EXPANDED)</t>
        </is>
      </c>
      <c r="BM1025" t="inlineStr">
        <is>
          <t>Environmental Sciences &amp; Ecology; Geology; Remote Sensing; Imaging Science &amp; Photographic Technology</t>
        </is>
      </c>
      <c r="BN1025" t="inlineStr">
        <is>
          <t>TG0KA</t>
        </is>
      </c>
      <c r="BP1025" t="inlineStr">
        <is>
          <t>gold</t>
        </is>
      </c>
      <c r="BS1025" t="inlineStr">
        <is>
          <t>2023-10-26</t>
        </is>
      </c>
      <c r="BT1025" t="inlineStr">
        <is>
          <t>WOS:000671100900001</t>
        </is>
      </c>
      <c r="BU1025">
        <f>HYPERLINK("https%3A%2F%2Fwww.webofscience.com%2Fwos%2Fwoscc%2Ffull-record%2FWOS:000671100900001","View Full Record in Web of Science")</f>
        <v/>
      </c>
    </row>
    <row r="1026">
      <c r="A1026" t="inlineStr">
        <is>
          <t>J</t>
        </is>
      </c>
      <c r="B1026" t="inlineStr">
        <is>
          <t>Noh, S</t>
        </is>
      </c>
      <c r="F1026" t="inlineStr">
        <is>
          <t>Noh, Soowoong</t>
        </is>
      </c>
      <c r="J1026" t="inlineStr">
        <is>
          <t>URBAN SCIENCE</t>
        </is>
      </c>
      <c r="M1026" t="inlineStr">
        <is>
          <t>English</t>
        </is>
      </c>
      <c r="N1026" t="inlineStr">
        <is>
          <t>Article</t>
        </is>
      </c>
      <c r="T1026" t="inlineStr">
        <is>
          <t>Assessing Active Living Potential: Case Study of Jacksonville, Florida</t>
        </is>
      </c>
      <c r="U1026" t="inlineStr">
        <is>
          <t>active built environment; GIS; geospatial dimension; physical activity; urban form</t>
        </is>
      </c>
      <c r="V1026" t="inlineStr">
        <is>
          <t>PHYSICAL-ACTIVITY; BUILT ENVIRONMENT; LAND-USE; NEIGHBORHOOD WALKABILITY; WALK SCORE(R); URBAN FORM; ACCESSIBILITY; TRANSPORTATION; OBESITY; TRAVEL</t>
        </is>
      </c>
      <c r="W1026" t="inlineStr">
        <is>
          <t>Many municipalities in the US are deploying urban planning approaches to resolve problems caused by urban sprawl, particularly the lack of support for physical activity. Although a variety of perspectives on the relationship between physical activity and built environment exist, many studies have suggested objective and reliable measures of urban form that encourage more opportunities for physical activity. Thus, based on the research context, this study builds a Geographic Information System (GIS) model using geospatial dimensions, yields a visualized map ranked by composite scores, and reveals the spatial distribution of quantified cells. Through the Jacksonville case study, it is shown that the GIS-based visualization method provides an expanded set of tools that can help urban planners and public health professionals understand the relationships between urban form and potential for active living. Consequently, these map-based visualized results provide valuable information to health and public policy professionals to coordinate and resolve mutual challenges.</t>
        </is>
      </c>
      <c r="X1026" t="inlineStr">
        <is>
          <t>[Noh, Soowoong] Univ Florida, Coll Design Construct &amp; Planning, Dept Urban &amp; Reg Planning, Gainesville, FL 32611 USA</t>
        </is>
      </c>
      <c r="Y1026" t="inlineStr">
        <is>
          <t>State University System of Florida; University of Florida</t>
        </is>
      </c>
      <c r="Z1026" t="inlineStr">
        <is>
          <t>Noh, S (corresponding author), Univ Florida, Coll Design Construct &amp; Planning, Dept Urban &amp; Reg Planning, Gainesville, FL 32611 USA.</t>
        </is>
      </c>
      <c r="AA1026" t="inlineStr">
        <is>
          <t>nswscott@ufl.edu</t>
        </is>
      </c>
      <c r="AB1026" t="inlineStr">
        <is>
          <t>Noh, Soowoong/U-1624-2019</t>
        </is>
      </c>
      <c r="AC1026" t="inlineStr">
        <is>
          <t>Noh, Soowoong/0000-0001-6577-3328</t>
        </is>
      </c>
      <c r="AH1026" t="n">
        <v>64</v>
      </c>
      <c r="AI1026" t="n">
        <v>1</v>
      </c>
      <c r="AJ1026" t="n">
        <v>1</v>
      </c>
      <c r="AK1026" t="n">
        <v>0</v>
      </c>
      <c r="AL1026" t="n">
        <v>0</v>
      </c>
      <c r="AM1026" t="inlineStr">
        <is>
          <t>MDPI</t>
        </is>
      </c>
      <c r="AN1026" t="inlineStr">
        <is>
          <t>BASEL</t>
        </is>
      </c>
      <c r="AO1026" t="inlineStr">
        <is>
          <t>ST ALBAN-ANLAGE 66, CH-4052 BASEL, SWITZERLAND</t>
        </is>
      </c>
      <c r="AQ1026" t="inlineStr">
        <is>
          <t>2413-8851</t>
        </is>
      </c>
      <c r="AS1026" t="inlineStr">
        <is>
          <t>URBAN SCI</t>
        </is>
      </c>
      <c r="AT1026" t="inlineStr">
        <is>
          <t>Urban Sci.</t>
        </is>
      </c>
      <c r="AU1026" t="inlineStr">
        <is>
          <t>JUN</t>
        </is>
      </c>
      <c r="AV1026" t="n">
        <v>2018</v>
      </c>
      <c r="AW1026" t="n">
        <v>2</v>
      </c>
      <c r="AX1026" t="n">
        <v>2</v>
      </c>
      <c r="BE1026" t="n">
        <v>44</v>
      </c>
      <c r="BF1026" t="inlineStr">
        <is>
          <t>10.3390/urbansci2020044</t>
        </is>
      </c>
      <c r="BG1026">
        <f>HYPERLINK("http://dx.doi.org/10.3390/urbansci2020044","http://dx.doi.org/10.3390/urbansci2020044")</f>
        <v/>
      </c>
      <c r="BJ1026" t="n">
        <v>13</v>
      </c>
      <c r="BK1026" t="inlineStr">
        <is>
          <t>Environmental Sciences; Environmental Studies; Geography; Regional &amp; Urban Planning; Urban Studies</t>
        </is>
      </c>
      <c r="BL1026" t="inlineStr">
        <is>
          <t>Emerging Sources Citation Index (ESCI)</t>
        </is>
      </c>
      <c r="BM1026" t="inlineStr">
        <is>
          <t>Environmental Sciences &amp; Ecology; Geography; Public Administration; Urban Studies</t>
        </is>
      </c>
      <c r="BN1026" t="inlineStr">
        <is>
          <t>VJ7PD</t>
        </is>
      </c>
      <c r="BP1026" t="inlineStr">
        <is>
          <t>Green Submitted, gold</t>
        </is>
      </c>
      <c r="BS1026" t="inlineStr">
        <is>
          <t>2023-10-26</t>
        </is>
      </c>
      <c r="BT1026" t="inlineStr">
        <is>
          <t>WOS:000621630000016</t>
        </is>
      </c>
      <c r="BU1026">
        <f>HYPERLINK("https%3A%2F%2Fwww.webofscience.com%2Fwos%2Fwoscc%2Ffull-record%2FWOS:000621630000016","View Full Record in Web of Science")</f>
        <v/>
      </c>
    </row>
    <row r="1027">
      <c r="A1027" t="inlineStr">
        <is>
          <t>J</t>
        </is>
      </c>
      <c r="B1027" t="inlineStr">
        <is>
          <t>Jeong, E; Kim, JA; Kim, BS; Lee, CK; Kim, M; Won, CW</t>
        </is>
      </c>
      <c r="F1027" t="inlineStr">
        <is>
          <t>Jeong, Eunjin; Kim, Jung A.; Kim, Byung Sung; Lee, Chang Kyun; Kim, Miji; Won, Chang Won</t>
        </is>
      </c>
      <c r="J1027" t="inlineStr">
        <is>
          <t>INTERNATIONAL JOURNAL OF ENVIRONMENTAL RESEARCH AND PUBLIC HEALTH</t>
        </is>
      </c>
      <c r="M1027" t="inlineStr">
        <is>
          <t>English</t>
        </is>
      </c>
      <c r="N1027" t="inlineStr">
        <is>
          <t>Article</t>
        </is>
      </c>
      <c r="T1027" t="inlineStr">
        <is>
          <t>Functional Constipation and Anorexia in Community-Dwelling Older Adults: Korean Frailty and Aging Cohort Study (KFACS)</t>
        </is>
      </c>
      <c r="U1027" t="inlineStr">
        <is>
          <t>anorexia; functional constipation; older adults; aging</t>
        </is>
      </c>
      <c r="V1027" t="inlineStr">
        <is>
          <t>QUALITY-OF-LIFE; RISK-FACTORS; DISORDERS; EPIDEMIOLOGY; PREVALENCE</t>
        </is>
      </c>
      <c r="W1027" t="inlineStr">
        <is>
          <t>Anorexia is a relevant geriatric syndrome because it accounts for most malnutrition in older adults. Constipation has been suggested as a risk factor for anorexia. This study aimed to examine the association between anorexia and functional constipation in community-dwelling older adults. Data on 899 subjects aged 72-86 years were obtained from a follow-up survey of the Korean Frailty and Aging Cohort Study in 2018. Anorexia was assessed using the Simplified Nutritional Appetite Questionnaire (SNAQ), while functional constipation was diagnosed based on Rome IV criteria. Anorexia and functional constipation were present in 30.9% and 19.6% of the participants, respectively. Age, female sex, chewing problems, malnutrition, polypharmacy, low Mini-Mental Status Examination (MMSE) score, depressed mood, low serum albumin, and functional constipation were associated with anorexia in the univariate analysis. In the multivariate logistic regression, functional constipation was associated with anorexia (OR 1.478, 95% CI 1.038-2.104) after adjusting for age, female sex, and MMSE score. However, after further adjusting for depressed mood (OR 2.568) and chewing problems (OR 2.196), the relationship was no longer significant. This study showed that functional constipation is associated with anorexia in community-dwelling older adults, but this association is confounded by depressed mood and chewing problems.</t>
        </is>
      </c>
      <c r="X1027" t="inlineStr">
        <is>
          <t>[Jeong, Eunjin; Kim, Jung A.; Kim, Byung Sung; Won, Chang Won] Kyung Hee Univ, Med Ctr, Coll Med, Dept Family Med, Seoul 02447, South Korea; [Lee, Chang Kyun] Kyung Hee Univ, Coll Med, Ctr Crohns &amp; Colitis, Dept Gastroenterol, Seoul 02447, South Korea; [Kim, Miji] Kyung Hee Univ, Coll Med, East West Med Res Inst, Dept Biomed Sci &amp; Technol, Seoul 02447, South Korea; [Won, Chang Won] Kyung Hee Univ, Coll Med, Elderly Frailty Res Ctr, Dept Family Med, Seoul 02447, South Korea</t>
        </is>
      </c>
      <c r="Y1027" t="inlineStr">
        <is>
          <t>Kyung Hee University; Kyung Hee University; Kyung Hee University; Kyung Hee University</t>
        </is>
      </c>
      <c r="Z1027" t="inlineStr">
        <is>
          <t>Won, CW (corresponding author), Kyung Hee Univ, Med Ctr, Coll Med, Dept Family Med, Seoul 02447, South Korea.;Won, CW (corresponding author), Kyung Hee Univ, Coll Med, Elderly Frailty Res Ctr, Dept Family Med, Seoul 02447, South Korea.</t>
        </is>
      </c>
      <c r="AA1027" t="inlineStr">
        <is>
          <t>ejjeong312@gmail.com; kimjunga111@gmail.com; bskim7@khmc.or.kr; changkyun.lee@khu.ac.kr; mijiak@khu.ac.kr; chunwon62@naver.com</t>
        </is>
      </c>
      <c r="AC1027" t="inlineStr">
        <is>
          <t>Won, Chang Won/0000-0002-6429-4461; Jeong, Eunjin/0000-0001-9166-6390; Kim, Miji/0000-0002-0852-8825; Lee, Chang Kyun/0000-0002-4279-3825</t>
        </is>
      </c>
      <c r="AD1027" t="inlineStr">
        <is>
          <t>Korean Health Industry Development Institute (KHIDI) - Ministry of Health and Welfare, Republic of Korea [HI15C3153]; National Research Foundation of Korea - Ministry of Education [NRF-2017R1A2B4012775]</t>
        </is>
      </c>
      <c r="AE1027" t="inlineStr">
        <is>
          <t>Korean Health Industry Development Institute (KHIDI) - Ministry of Health and Welfare, Republic of Korea; National Research Foundation of Korea - Ministry of Education</t>
        </is>
      </c>
      <c r="AF1027" t="inlineStr">
        <is>
          <t>This research was supported by a grant from the Korea Health Technology R&amp;D Project through the Korean Health Industry Development Institute (KHIDI), funded by the Ministry of Health and Welfare, Republic of Korea (grant number: HI15C3153), and the National Research Foundation of Korea funded by the Ministry of Education (NRF-2017R1A2B4012775).</t>
        </is>
      </c>
      <c r="AH1027" t="n">
        <v>28</v>
      </c>
      <c r="AI1027" t="n">
        <v>5</v>
      </c>
      <c r="AJ1027" t="n">
        <v>5</v>
      </c>
      <c r="AK1027" t="n">
        <v>0</v>
      </c>
      <c r="AL1027" t="n">
        <v>8</v>
      </c>
      <c r="AM1027" t="inlineStr">
        <is>
          <t>MDPI</t>
        </is>
      </c>
      <c r="AN1027" t="inlineStr">
        <is>
          <t>BASEL</t>
        </is>
      </c>
      <c r="AO1027" t="inlineStr">
        <is>
          <t>ST ALBAN-ANLAGE 66, CH-4052 BASEL, SWITZERLAND</t>
        </is>
      </c>
      <c r="AQ1027" t="inlineStr">
        <is>
          <t>1660-4601</t>
        </is>
      </c>
      <c r="AS1027" t="inlineStr">
        <is>
          <t>INT J ENV RES PUB HE</t>
        </is>
      </c>
      <c r="AT1027" t="inlineStr">
        <is>
          <t>Int. J. Environ. Res. Public Health</t>
        </is>
      </c>
      <c r="AU1027" t="inlineStr">
        <is>
          <t>JUN</t>
        </is>
      </c>
      <c r="AV1027" t="n">
        <v>2021</v>
      </c>
      <c r="AW1027" t="n">
        <v>18</v>
      </c>
      <c r="AX1027" t="n">
        <v>11</v>
      </c>
      <c r="BE1027" t="n">
        <v>5754</v>
      </c>
      <c r="BF1027" t="inlineStr">
        <is>
          <t>10.3390/ijerph18115754</t>
        </is>
      </c>
      <c r="BG1027">
        <f>HYPERLINK("http://dx.doi.org/10.3390/ijerph18115754","http://dx.doi.org/10.3390/ijerph18115754")</f>
        <v/>
      </c>
      <c r="BJ1027" t="n">
        <v>9</v>
      </c>
      <c r="BK1027" t="inlineStr">
        <is>
          <t>Environmental Sciences; Public, Environmental &amp; Occupational Health</t>
        </is>
      </c>
      <c r="BL1027" t="inlineStr">
        <is>
          <t>Science Citation Index Expanded (SCI-EXPANDED); Social Science Citation Index (SSCI)</t>
        </is>
      </c>
      <c r="BM1027" t="inlineStr">
        <is>
          <t>Environmental Sciences &amp; Ecology; Public, Environmental &amp; Occupational Health</t>
        </is>
      </c>
      <c r="BN1027" t="inlineStr">
        <is>
          <t>SP8TK</t>
        </is>
      </c>
      <c r="BO1027" t="n">
        <v>34071957</v>
      </c>
      <c r="BP1027" t="inlineStr">
        <is>
          <t>gold, Green Published</t>
        </is>
      </c>
      <c r="BS1027" t="inlineStr">
        <is>
          <t>2023-10-26</t>
        </is>
      </c>
      <c r="BT1027" t="inlineStr">
        <is>
          <t>WOS:000659935900001</t>
        </is>
      </c>
      <c r="BU1027">
        <f>HYPERLINK("https%3A%2F%2Fwww.webofscience.com%2Fwos%2Fwoscc%2Ffull-record%2FWOS:000659935900001","View Full Record in Web of Science")</f>
        <v/>
      </c>
    </row>
    <row r="1028">
      <c r="A1028" t="inlineStr">
        <is>
          <t>J</t>
        </is>
      </c>
      <c r="B1028" t="inlineStr">
        <is>
          <t>Su, MZ; Wang, GX; Chen, LY; Zhang, X</t>
        </is>
      </c>
      <c r="F1028" t="inlineStr">
        <is>
          <t>Su, Mingzhan; Wang, Guangxia; Chen, Lingyu; Zhang, Xin</t>
        </is>
      </c>
      <c r="J1028" t="inlineStr">
        <is>
          <t>SUSTAINABILITY</t>
        </is>
      </c>
      <c r="M1028" t="inlineStr">
        <is>
          <t>English</t>
        </is>
      </c>
      <c r="N1028" t="inlineStr">
        <is>
          <t>Article</t>
        </is>
      </c>
      <c r="T1028" t="inlineStr">
        <is>
          <t>An IndoorGeoBML Model Based IORP Algorithm for Indoor Operation</t>
        </is>
      </c>
      <c r="U1028" t="inlineStr">
        <is>
          <t>indoor operation; BML; GeoBML; IndoorGeoBML; indoor route planning; indoor operation route planning algorithm</t>
        </is>
      </c>
      <c r="W1028" t="inlineStr">
        <is>
          <t>Indoor military operations play a vital part in modern urban warfare. Decision making in indoor operations is quite complicated due to the complex of the indoor spatial environment. However, the study of the characteristics and features of indoor operations is scarce. To help commanders make decisions in indoor operations, a model to represent the information of the building and an algorithm to perform route planning is needed. There have been some studies in the field of search and rescue problems, but these did not study the enemy force, which has a lot of uncertainties and plays a vital role in indoor operations. To solve this problem, this paper first proposes an innovative IndoorGeoBML (Indoor Geospatial Battle Management Language) model to accurately describe the indoor environment. We define six categories of information in IndoorGeoBML model: geometry information, navigation information, semantic information, outdoor information, intelligence information, and event information, which accurately, dynamically, and comprehensively describe the environment in the building. Then based on the IndoorGeoBML model, this paper researches the route planning in indoor operations. There are two types of indoor route planning problems. One is single destination route planning, the other is a searching route planning, which needs to plan paths to search the whole building. To deal with these two kinds of route planning problems, based on IndoorGeoBML model, this paper introduces a new algorithm: the IORP (Indoor Operation Route Planning) algorithm. Finally, this paper implements some experiments on a building with IORP algorithm dealing with the two kinds of route planning problems. For single destination route planning, the result shows that the enemy capability, traversing time, and own casualties of our proposed algorithm are 779.2, 801, and 12.5, which is at least 9.9%, 9.2%, and 7.5% lower compared to other algorithms. For searching route planning, the result shows that the whole time for searching decreases from 3044 s to 2673 s, and the number of squads decreases from 8 to 5. The evaluation of the model and algorithm shows a significant improvement in time and casualties, which will help commanders make better decision in indoor operation.</t>
        </is>
      </c>
      <c r="X1028" t="inlineStr">
        <is>
          <t>[Su, Mingzhan; Wang, Guangxia; Chen, Lingyu; Zhang, Xin] PLA Strateg Support Force Informat Engn Univ, Inst Geospatial Informat, Zhengzhou 450001, Peoples R China; [Su, Mingzhan; Wang, Guangxia; Chen, Lingyu; Zhang, Xin] Collaborat Innovat Ctr Geoinformat Technol Smart, Zhengzhou 450001, Peoples R China</t>
        </is>
      </c>
      <c r="Y1028" t="inlineStr">
        <is>
          <t>PLA Information Engineering University</t>
        </is>
      </c>
      <c r="Z1028" t="inlineStr">
        <is>
          <t>Chen, LY (corresponding author), PLA Strateg Support Force Informat Engn Univ, Inst Geospatial Informat, Zhengzhou 450001, Peoples R China.;Chen, LY (corresponding author), Collaborat Innovat Ctr Geoinformat Technol Smart, Zhengzhou 450001, Peoples R China.</t>
        </is>
      </c>
      <c r="AA1028" t="inlineStr">
        <is>
          <t>smzh625@infu.ac.cn; wangguangxia2011@163.com; ccllyy123456@126.com; zsd200803@126.com</t>
        </is>
      </c>
      <c r="AC1028" t="inlineStr">
        <is>
          <t>Su, Mingzhan/0000-0003-4205-9812</t>
        </is>
      </c>
      <c r="AD1028" t="inlineStr">
        <is>
          <t>National Natural Science Foundation of China [42171456]; Development Program of China [2017YFB0503500]</t>
        </is>
      </c>
      <c r="AE1028" t="inlineStr">
        <is>
          <t>National Natural Science Foundation of China(National Natural Science Foundation of China (NSFC)); Development Program of China</t>
        </is>
      </c>
      <c r="AF1028" t="inlineStr">
        <is>
          <t>This research was funded by National Natural Science Foundation of China (Project No.42171456), and Development Program of China (Project No.2017YFB0503500).</t>
        </is>
      </c>
      <c r="AH1028" t="n">
        <v>26</v>
      </c>
      <c r="AI1028" t="n">
        <v>0</v>
      </c>
      <c r="AJ1028" t="n">
        <v>0</v>
      </c>
      <c r="AK1028" t="n">
        <v>1</v>
      </c>
      <c r="AL1028" t="n">
        <v>1</v>
      </c>
      <c r="AM1028" t="inlineStr">
        <is>
          <t>MDPI</t>
        </is>
      </c>
      <c r="AN1028" t="inlineStr">
        <is>
          <t>BASEL</t>
        </is>
      </c>
      <c r="AO1028" t="inlineStr">
        <is>
          <t>ST ALBAN-ANLAGE 66, CH-4052 BASEL, SWITZERLAND</t>
        </is>
      </c>
      <c r="AQ1028" t="inlineStr">
        <is>
          <t>2071-1050</t>
        </is>
      </c>
      <c r="AS1028" t="inlineStr">
        <is>
          <t>SUSTAINABILITY-BASEL</t>
        </is>
      </c>
      <c r="AT1028" t="inlineStr">
        <is>
          <t>Sustainability</t>
        </is>
      </c>
      <c r="AU1028" t="inlineStr">
        <is>
          <t>MAY</t>
        </is>
      </c>
      <c r="AV1028" t="n">
        <v>2022</v>
      </c>
      <c r="AW1028" t="n">
        <v>14</v>
      </c>
      <c r="AX1028" t="n">
        <v>10</v>
      </c>
      <c r="BE1028" t="n">
        <v>5760</v>
      </c>
      <c r="BF1028" t="inlineStr">
        <is>
          <t>10.3390/su14105760</t>
        </is>
      </c>
      <c r="BG1028">
        <f>HYPERLINK("http://dx.doi.org/10.3390/su14105760","http://dx.doi.org/10.3390/su14105760")</f>
        <v/>
      </c>
      <c r="BJ1028" t="n">
        <v>24</v>
      </c>
      <c r="BK1028" t="inlineStr">
        <is>
          <t>Green &amp; Sustainable Science &amp; Technology; Environmental Sciences; Environmental Studies</t>
        </is>
      </c>
      <c r="BL1028" t="inlineStr">
        <is>
          <t>Science Citation Index Expanded (SCI-EXPANDED); Social Science Citation Index (SSCI)</t>
        </is>
      </c>
      <c r="BM1028" t="inlineStr">
        <is>
          <t>Science &amp; Technology - Other Topics; Environmental Sciences &amp; Ecology</t>
        </is>
      </c>
      <c r="BN1028" t="inlineStr">
        <is>
          <t>1R5JT</t>
        </is>
      </c>
      <c r="BP1028" t="inlineStr">
        <is>
          <t>gold</t>
        </is>
      </c>
      <c r="BS1028" t="inlineStr">
        <is>
          <t>2023-10-26</t>
        </is>
      </c>
      <c r="BT1028" t="inlineStr">
        <is>
          <t>WOS:000803405700001</t>
        </is>
      </c>
      <c r="BU1028">
        <f>HYPERLINK("https%3A%2F%2Fwww.webofscience.com%2Fwos%2Fwoscc%2Ffull-record%2FWOS:000803405700001","View Full Record in Web of Science")</f>
        <v/>
      </c>
    </row>
    <row r="1029">
      <c r="A1029" t="inlineStr">
        <is>
          <t>J</t>
        </is>
      </c>
      <c r="B1029" t="inlineStr">
        <is>
          <t>Xu, S</t>
        </is>
      </c>
      <c r="F1029" t="inlineStr">
        <is>
          <t>Xu, Sen</t>
        </is>
      </c>
      <c r="J1029" t="inlineStr">
        <is>
          <t>FRESENIUS ENVIRONMENTAL BULLETIN</t>
        </is>
      </c>
      <c r="M1029" t="inlineStr">
        <is>
          <t>English</t>
        </is>
      </c>
      <c r="N1029" t="inlineStr">
        <is>
          <t>Article</t>
        </is>
      </c>
      <c r="T1029" t="inlineStr">
        <is>
          <t>STUDY ON ENVIRONMENTAL PERFORMANCE EVALUATION OF GREEN BUILDING BASED ON BIM TECHNOLOGY</t>
        </is>
      </c>
      <c r="U1029" t="inlineStr">
        <is>
          <t>Green building; energy savings; environment; feasibility; BIM technology; performance</t>
        </is>
      </c>
      <c r="V1029" t="inlineStr">
        <is>
          <t>DESIGN</t>
        </is>
      </c>
      <c r="W1029" t="inlineStr">
        <is>
          <t>The main goal of green building is to address the issue of how energy savings can improve water efficiency, increase application capacity, and ensure that the region's built and natural environments develop together. The indoor and outdoor environmental performance of green building is the research object of this paper, and the feasibility and rationality of the application of BIM technology in the green building environmental performance evaluation system is discussed. Green building indoor and outdoor wind, sound and indoor light environment green indicators are established. BIM technology is used to carry out parametric modeling through data conversion. 3D models within the relevant simulation tools to carry out a variety of performance tests, the use of BIM technology to carry out the assessment of specific aspects and methods are summarized. Based on the proposed evaluation process, the environmental performance of the project, including outdoor wind environment, outdoor acoustic environment, indoor natural ventilation and indoor natural lighting is analyzed and evaluated based on the project case. The results are of great significance to the establishment and improvement of the green building environmental performance evaluation system.</t>
        </is>
      </c>
      <c r="X1029" t="inlineStr">
        <is>
          <t>[Xu, Sen] Xian Univ Finance &amp; Econ, Management Sch, Xian 710100, Shaanxi, Peoples R China</t>
        </is>
      </c>
      <c r="Y1029" t="inlineStr">
        <is>
          <t>Xi'an University of Finance &amp; Economics</t>
        </is>
      </c>
      <c r="Z1029" t="inlineStr">
        <is>
          <t>Xu, S (corresponding author), Xian Univ Finance &amp; Econ, Management Sch, Xian 710100, Shaanxi, Peoples R China.</t>
        </is>
      </c>
      <c r="AA1029" t="inlineStr">
        <is>
          <t>phnwsn@163.com</t>
        </is>
      </c>
      <c r="AH1029" t="n">
        <v>27</v>
      </c>
      <c r="AI1029" t="n">
        <v>2</v>
      </c>
      <c r="AJ1029" t="n">
        <v>2</v>
      </c>
      <c r="AK1029" t="n">
        <v>5</v>
      </c>
      <c r="AL1029" t="n">
        <v>24</v>
      </c>
      <c r="AM1029" t="inlineStr">
        <is>
          <t>PARLAR SCIENTIFIC PUBLICATIONS (P S P)</t>
        </is>
      </c>
      <c r="AN1029" t="inlineStr">
        <is>
          <t>FREISING</t>
        </is>
      </c>
      <c r="AO1029" t="inlineStr">
        <is>
          <t>ANGERSTR. 12, 85354 FREISING, GERMANY</t>
        </is>
      </c>
      <c r="AP1029" t="inlineStr">
        <is>
          <t>1018-4619</t>
        </is>
      </c>
      <c r="AQ1029" t="inlineStr">
        <is>
          <t>1610-2304</t>
        </is>
      </c>
      <c r="AS1029" t="inlineStr">
        <is>
          <t>FRESEN ENVIRON BULL</t>
        </is>
      </c>
      <c r="AT1029" t="inlineStr">
        <is>
          <t>Fresenius Environ. Bull.</t>
        </is>
      </c>
      <c r="AV1029" t="n">
        <v>2021</v>
      </c>
      <c r="AW1029" t="n">
        <v>30</v>
      </c>
      <c r="AX1029" t="n">
        <v>5</v>
      </c>
      <c r="BC1029" t="n">
        <v>4911</v>
      </c>
      <c r="BD1029" t="n">
        <v>4920</v>
      </c>
      <c r="BJ1029" t="n">
        <v>10</v>
      </c>
      <c r="BK1029" t="inlineStr">
        <is>
          <t>Environmental Sciences</t>
        </is>
      </c>
      <c r="BL1029" t="inlineStr">
        <is>
          <t>Science Citation Index Expanded (SCI-EXPANDED)</t>
        </is>
      </c>
      <c r="BM1029" t="inlineStr">
        <is>
          <t>Environmental Sciences &amp; Ecology</t>
        </is>
      </c>
      <c r="BN1029" t="inlineStr">
        <is>
          <t>SN3DM</t>
        </is>
      </c>
      <c r="BS1029" t="inlineStr">
        <is>
          <t>2023-10-26</t>
        </is>
      </c>
      <c r="BT1029" t="inlineStr">
        <is>
          <t>WOS:000658173700024</t>
        </is>
      </c>
      <c r="BU1029">
        <f>HYPERLINK("https%3A%2F%2Fwww.webofscience.com%2Fwos%2Fwoscc%2Ffull-record%2FWOS:000658173700024","View Full Record in Web of Science")</f>
        <v/>
      </c>
    </row>
    <row r="1030">
      <c r="A1030" t="inlineStr">
        <is>
          <t>J</t>
        </is>
      </c>
      <c r="B1030" t="inlineStr">
        <is>
          <t>Shareef, SS</t>
        </is>
      </c>
      <c r="F1030" t="inlineStr">
        <is>
          <t>Shareef, Sardar S.</t>
        </is>
      </c>
      <c r="J1030" t="inlineStr">
        <is>
          <t>SUSTAINABILITY</t>
        </is>
      </c>
      <c r="M1030" t="inlineStr">
        <is>
          <t>English</t>
        </is>
      </c>
      <c r="N1030" t="inlineStr">
        <is>
          <t>Article</t>
        </is>
      </c>
      <c r="T1030" t="inlineStr">
        <is>
          <t>Earthquake Consideration in Architectural Design: Guidelines for Architects</t>
        </is>
      </c>
      <c r="U1030" t="inlineStr">
        <is>
          <t>earthquake; structural systems; design codes; architectural design; technological innovations; interdisciplinary collaboration; case studies</t>
        </is>
      </c>
      <c r="V1030" t="inlineStr">
        <is>
          <t>SEISMIC DESIGN; PERFORMANCE; BUILDINGS; BEHAVIOR; OPTIMIZATION</t>
        </is>
      </c>
      <c r="W1030" t="inlineStr">
        <is>
          <t>Architectural planners must give due consideration to seismic events as they present substantial hazards to both critical infrastructure and human well-being. This research investigates the fundamental concepts and methodologies employed by architects to enhance seismic resilience in buildings and ensure the safety of occupants. It emphasizes the importance of seismic hazard assessment, design standards, structural systems, and cutting-edge technology in reducing earthquake-related dangers. A mixed method has been adopted: surveying the literature, applying inductive reasoning, and conducting a case study. This research highlights the value of interdisciplinary cooperation between structural engineers, geotechnical experts, and architects to design resilient built environments that can survive the pressures unleashed by seismic occurrences. The findings demonstrated that architectural design solutions and approaches might significantly impact earthquake risk reduction techniques in seismic and non-seismic locations. In the cases taken, different techniques-in some cases multiple techniques-had been applied based on the buildings' geographical locations, sizes, and shapes. Finally, we prepared a checklist for these strategies, including mass distribution, openings, rooftop structures, and other considerations to be applied by architects to make the solutions easier.</t>
        </is>
      </c>
      <c r="X1030" t="inlineStr">
        <is>
          <t>[Shareef, Sardar S.] Tishk Int Univ Sulaimani, Dept Architectural Engn, Sulaymaniyah 46001, Kurdistan Regio, Iraq</t>
        </is>
      </c>
      <c r="Y1030" t="inlineStr">
        <is>
          <t>Tishk International University</t>
        </is>
      </c>
      <c r="Z1030" t="inlineStr">
        <is>
          <t>Shareef, SS (corresponding author), Tishk Int Univ Sulaimani, Dept Architectural Engn, Sulaymaniyah 46001, Kurdistan Regio, Iraq.</t>
        </is>
      </c>
      <c r="AA1030" t="inlineStr">
        <is>
          <t>sardar.shareef3@gmail.com</t>
        </is>
      </c>
      <c r="AB1030" t="inlineStr">
        <is>
          <t>Shareef, Sardar/AAV-5205-2021</t>
        </is>
      </c>
      <c r="AC1030" t="inlineStr">
        <is>
          <t>Shareef, Sardar/0000-0001-7035-6596</t>
        </is>
      </c>
      <c r="AH1030" t="n">
        <v>127</v>
      </c>
      <c r="AI1030" t="n">
        <v>0</v>
      </c>
      <c r="AJ1030" t="n">
        <v>0</v>
      </c>
      <c r="AK1030" t="n">
        <v>0</v>
      </c>
      <c r="AL1030" t="n">
        <v>0</v>
      </c>
      <c r="AM1030" t="inlineStr">
        <is>
          <t>MDPI</t>
        </is>
      </c>
      <c r="AN1030" t="inlineStr">
        <is>
          <t>BASEL</t>
        </is>
      </c>
      <c r="AO1030" t="inlineStr">
        <is>
          <t>ST ALBAN-ANLAGE 66, CH-4052 BASEL, SWITZERLAND</t>
        </is>
      </c>
      <c r="AQ1030" t="inlineStr">
        <is>
          <t>2071-1050</t>
        </is>
      </c>
      <c r="AS1030" t="inlineStr">
        <is>
          <t>SUSTAINABILITY-BASEL</t>
        </is>
      </c>
      <c r="AT1030" t="inlineStr">
        <is>
          <t>Sustainability</t>
        </is>
      </c>
      <c r="AU1030" t="inlineStr">
        <is>
          <t>SEP</t>
        </is>
      </c>
      <c r="AV1030" t="n">
        <v>2023</v>
      </c>
      <c r="AW1030" t="n">
        <v>15</v>
      </c>
      <c r="AX1030" t="n">
        <v>18</v>
      </c>
      <c r="BE1030" t="n">
        <v>13760</v>
      </c>
      <c r="BF1030" t="inlineStr">
        <is>
          <t>10.3390/su151813760</t>
        </is>
      </c>
      <c r="BG1030">
        <f>HYPERLINK("http://dx.doi.org/10.3390/su151813760","http://dx.doi.org/10.3390/su151813760")</f>
        <v/>
      </c>
      <c r="BJ1030" t="n">
        <v>18</v>
      </c>
      <c r="BK1030" t="inlineStr">
        <is>
          <t>Green &amp; Sustainable Science &amp; Technology; Environmental Sciences; Environmental Studies</t>
        </is>
      </c>
      <c r="BL1030" t="inlineStr">
        <is>
          <t>Science Citation Index Expanded (SCI-EXPANDED); Social Science Citation Index (SSCI)</t>
        </is>
      </c>
      <c r="BM1030" t="inlineStr">
        <is>
          <t>Science &amp; Technology - Other Topics; Environmental Sciences &amp; Ecology</t>
        </is>
      </c>
      <c r="BN1030" t="inlineStr">
        <is>
          <t>S9FJ6</t>
        </is>
      </c>
      <c r="BP1030" t="inlineStr">
        <is>
          <t>gold</t>
        </is>
      </c>
      <c r="BS1030" t="inlineStr">
        <is>
          <t>2023-10-26</t>
        </is>
      </c>
      <c r="BT1030" t="inlineStr">
        <is>
          <t>WOS:001074148700001</t>
        </is>
      </c>
      <c r="BU1030">
        <f>HYPERLINK("https%3A%2F%2Fwww.webofscience.com%2Fwos%2Fwoscc%2Ffull-record%2FWOS:001074148700001","View Full Record in Web of Science")</f>
        <v/>
      </c>
    </row>
    <row r="1031">
      <c r="A1031" t="inlineStr">
        <is>
          <t>J</t>
        </is>
      </c>
      <c r="B1031" t="inlineStr">
        <is>
          <t>Yazdanpanahi, M; Hussein, S</t>
        </is>
      </c>
      <c r="F1031" t="inlineStr">
        <is>
          <t>Yazdanpanahi, Melisa; Hussein, Shereen</t>
        </is>
      </c>
      <c r="J1031" t="inlineStr">
        <is>
          <t>SUSTAINABILITY</t>
        </is>
      </c>
      <c r="M1031" t="inlineStr">
        <is>
          <t>English</t>
        </is>
      </c>
      <c r="N1031" t="inlineStr">
        <is>
          <t>Article</t>
        </is>
      </c>
      <c r="T1031" t="inlineStr">
        <is>
          <t>Sustainable Ageing: Supporting Healthy Ageing and Independence Amongst Older Turkish Migrants in the UK</t>
        </is>
      </c>
      <c r="U1031" t="inlineStr">
        <is>
          <t>independence; healthy ageing; ethnic minority older adults; Sustainable Development Goals; care relations; mobility; age-friendly environments</t>
        </is>
      </c>
      <c r="V1031" t="inlineStr">
        <is>
          <t>ADULTS; PERSPECTIVES; DISABILITY; CONTINUUM; IMPACTS</t>
        </is>
      </c>
      <c r="W1031" t="inlineStr">
        <is>
          <t>In the UK, as in many other European countries, the population is growing older, and older adults are becoming more diverse. As a result, there is a mounting interest in supporting healthy ageing and independence, acknowledging the needs and agency of older adults from diverse backgrounds, expectations, and life trajectories. Healthy ageing is promoted as a critical component of sustainable ageing to ensure meaningful social and economic contributions through the life course for all individuals. However, the definitions of healthy ageing are debatable. The public and policy discourse treat all older adults through generic and homogeneous models that do not consider the heterogeneity of experiences and perspectives of old age among different groups. In this context, independence has often been defined in terms of functional independence, i.e., cognitive and physical functioning, as a core construct of healthy ageing. However, this focus excludes older adults' interpretations and day-to-day experiences of this concept. This article investigates the interpretation and lived experience of independence amongst older Turkish adults in the UK as a central explanatory concept of healthy ageing. Semi-structured individual interviews (n = 48) and community mapping workshops (n = 5) were conducted with 65 older Turkish adults in London, supplemented by interviews with professional service providers (n = 13) within the community. The data collection was conducted between March and November 2017. We identified three main themes integral to understanding healthy ageing and independence: 1-interdependency and having reciprocal care relations; 2-individual autonomy at home and choice in housing options; and 3-functional independence, mobility, and control over the physical environment. Independence appears to remain an essential element of healthy ageing. However, it is a fluid and complex construct constantly negotiated around personal and community resources. Therefore, there is a need to develop more comprehensive interventions that capture the diverse experiences in old age to enable healthy ageing and social sustainability. These are timely considering current policy directions such as the UN Decade of Healthy Ageing and the 2030 Sustainable Development Goals.</t>
        </is>
      </c>
      <c r="X1031" t="inlineStr">
        <is>
          <t>[Yazdanpanahi, Melisa] Heriot Watt Univ, Sch Energy Geosci Infrastruct &amp; Soc, Urban Inst, Edinburgh EH14 4AS, Midlothian, Scotland; [Hussein, Shereen] London Sch Hyg &amp; Trop Med, Fac Publ Hlth &amp; Policy, Dept Hlth Serv Res &amp; Policy, Keppel St, London WC1E 7HT, England</t>
        </is>
      </c>
      <c r="Y1031" t="inlineStr">
        <is>
          <t>Heriot Watt University; University of London; London School of Hygiene &amp; Tropical Medicine</t>
        </is>
      </c>
      <c r="Z1031" t="inlineStr">
        <is>
          <t>Hussein, S (corresponding author), London Sch Hyg &amp; Trop Med, Fac Publ Hlth &amp; Policy, Dept Hlth Serv Res &amp; Policy, Keppel St, London WC1E 7HT, England.</t>
        </is>
      </c>
      <c r="AA1031" t="inlineStr">
        <is>
          <t>my8@hw.ac.uk; shereen.hussein@lshtm.ac.uk</t>
        </is>
      </c>
      <c r="AB1031" t="inlineStr">
        <is>
          <t>Hussein, Shereen/AAZ-7837-2021; Yazdanpanahi, Melisa/GLR-9039-2022</t>
        </is>
      </c>
      <c r="AC1031" t="inlineStr">
        <is>
          <t>Hussein, Shereen/0000-0002-7946-0717;</t>
        </is>
      </c>
      <c r="AD1031" t="inlineStr">
        <is>
          <t>School of Energy, Geoscience, Infrastructure and Society, James-Watt Scholarship 2015/16, Heriot-Watt University</t>
        </is>
      </c>
      <c r="AE1031" t="inlineStr">
        <is>
          <t>School of Energy, Geoscience, Infrastructure and Society, James-Watt Scholarship 2015/16, Heriot-Watt University</t>
        </is>
      </c>
      <c r="AF1031" t="inlineStr">
        <is>
          <t>This research was partially supported by the School of Energy, Geoscience, Infrastructure and Society, James-Watt Scholarship 2015/16, Heriot-Watt University, which funded M.Y.'s PhD.</t>
        </is>
      </c>
      <c r="AH1031" t="n">
        <v>65</v>
      </c>
      <c r="AI1031" t="n">
        <v>5</v>
      </c>
      <c r="AJ1031" t="n">
        <v>5</v>
      </c>
      <c r="AK1031" t="n">
        <v>1</v>
      </c>
      <c r="AL1031" t="n">
        <v>9</v>
      </c>
      <c r="AM1031" t="inlineStr">
        <is>
          <t>MDPI</t>
        </is>
      </c>
      <c r="AN1031" t="inlineStr">
        <is>
          <t>BASEL</t>
        </is>
      </c>
      <c r="AO1031" t="inlineStr">
        <is>
          <t>ST ALBAN-ANLAGE 66, CH-4052 BASEL, SWITZERLAND</t>
        </is>
      </c>
      <c r="AQ1031" t="inlineStr">
        <is>
          <t>2071-1050</t>
        </is>
      </c>
      <c r="AS1031" t="inlineStr">
        <is>
          <t>SUSTAINABILITY-BASEL</t>
        </is>
      </c>
      <c r="AT1031" t="inlineStr">
        <is>
          <t>Sustainability</t>
        </is>
      </c>
      <c r="AU1031" t="inlineStr">
        <is>
          <t>SEP</t>
        </is>
      </c>
      <c r="AV1031" t="n">
        <v>2021</v>
      </c>
      <c r="AW1031" t="n">
        <v>13</v>
      </c>
      <c r="AX1031" t="n">
        <v>18</v>
      </c>
      <c r="BE1031" t="n">
        <v>10387</v>
      </c>
      <c r="BF1031" t="inlineStr">
        <is>
          <t>10.3390/su131810387</t>
        </is>
      </c>
      <c r="BG1031">
        <f>HYPERLINK("http://dx.doi.org/10.3390/su131810387","http://dx.doi.org/10.3390/su131810387")</f>
        <v/>
      </c>
      <c r="BJ1031" t="n">
        <v>19</v>
      </c>
      <c r="BK1031" t="inlineStr">
        <is>
          <t>Green &amp; Sustainable Science &amp; Technology; Environmental Sciences; Environmental Studies</t>
        </is>
      </c>
      <c r="BL1031" t="inlineStr">
        <is>
          <t>Science Citation Index Expanded (SCI-EXPANDED); Social Science Citation Index (SSCI)</t>
        </is>
      </c>
      <c r="BM1031" t="inlineStr">
        <is>
          <t>Science &amp; Technology - Other Topics; Environmental Sciences &amp; Ecology</t>
        </is>
      </c>
      <c r="BN1031" t="inlineStr">
        <is>
          <t>UZ2UI</t>
        </is>
      </c>
      <c r="BP1031" t="inlineStr">
        <is>
          <t>Green Accepted, gold</t>
        </is>
      </c>
      <c r="BS1031" t="inlineStr">
        <is>
          <t>2023-10-26</t>
        </is>
      </c>
      <c r="BT1031" t="inlineStr">
        <is>
          <t>WOS:000702065000001</t>
        </is>
      </c>
      <c r="BU1031">
        <f>HYPERLINK("https%3A%2F%2Fwww.webofscience.com%2Fwos%2Fwoscc%2Ffull-record%2FWOS:000702065000001","View Full Record in Web of Science")</f>
        <v/>
      </c>
    </row>
    <row r="1032">
      <c r="A1032" t="inlineStr">
        <is>
          <t>J</t>
        </is>
      </c>
      <c r="B1032" t="inlineStr">
        <is>
          <t>Michail, N; Ozbil, A; Parnell, R; Wilkie, S</t>
        </is>
      </c>
      <c r="F1032" t="inlineStr">
        <is>
          <t>Michail, Nafsika; Ozbil, Ayse; Parnell, Rosie; Wilkie, Stephanie</t>
        </is>
      </c>
      <c r="J1032" t="inlineStr">
        <is>
          <t>INTERNATIONAL JOURNAL OF ENVIRONMENTAL RESEARCH AND PUBLIC HEALTH</t>
        </is>
      </c>
      <c r="M1032" t="inlineStr">
        <is>
          <t>English</t>
        </is>
      </c>
      <c r="N1032" t="inlineStr">
        <is>
          <t>Article</t>
        </is>
      </c>
      <c r="T1032" t="inlineStr">
        <is>
          <t>Children's Experiences of Their Journey to School: Integrating Behaviour Change Frameworks to Inform the Role of the Built Environment in Active School Travel Promotion</t>
        </is>
      </c>
      <c r="U1032" t="inlineStr">
        <is>
          <t>active commuting to school; child-centred approach; children's attitudes; built environment; behaviour change; health promotion</t>
        </is>
      </c>
      <c r="V1032" t="inlineStr">
        <is>
          <t>THEORETICAL DOMAINS FRAMEWORK; PHYSICAL-ACTIVITY; MODE CHOICE; TRANSPORTATION; QUALITY; URBAN; NEIGHBORHOOD; OBESITY; WALKING</t>
        </is>
      </c>
      <c r="W1032" t="inlineStr">
        <is>
          <t>Childhood obesity is a public health problem with multiple effects on children's life. Promoting Active School Travel (AST) could provide an inclusive opportunity for physical activity and shape healthy behaviours. Data for this cross-sectional study were drawn from questionnaires carried out in five primary schools located in Newcastle upon Tyne, UK, in neighbourhoods chosen for their variability in IMD (index of multiple deprivation) and spatial structure of street networks (measured through space syntax measure of integration). A randomly selected and heterogenic sample of 145 pupils (aged 9-10) completed an open-ended questionnaire to state what they like and dislike about their journey to school. Thematic analysis identified four typologies (environmental context, emotions, social influences and trip factors) based on the Theoretical Domains Framework (TDF) and specific themes and sub-themes underlying children's affective experiences of their journeys to school. This study is the first known to authors to attempt to adapt the Capability, Opportunity and Motivation Behaviour (COM-B) model into AST and children's experiences and associated behavioural domains with design aspects. Such an insight into children's attitudes could inform urban planners and designers about how to apply more effective behaviour change interventions, targeting an AST increase among children.</t>
        </is>
      </c>
      <c r="X1032" t="inlineStr">
        <is>
          <t>[Michail, Nafsika; Ozbil, Ayse] Northumbria Univ, Dept Architecture &amp; Built Environm, Newcastle Upon Tyne NE1 8ST, Tyne &amp; Wear, England; [Parnell, Rosie] Newcastle Univ, Sch Architecture Planning &amp; Landscape, Newcastle Upon Tyne NE1 7RU, Tyne &amp; Wear, England; [Wilkie, Stephanie] Univ Sunderland, Sch Psychol, Sunderland SR1 3SD, England</t>
        </is>
      </c>
      <c r="Y1032" t="inlineStr">
        <is>
          <t>Northumbria University; Newcastle University - UK; University of Sunderland</t>
        </is>
      </c>
      <c r="Z1032" t="inlineStr">
        <is>
          <t>Michail, N (corresponding author), Northumbria Univ, Dept Architecture &amp; Built Environm, Newcastle Upon Tyne NE1 8ST, Tyne &amp; Wear, England.</t>
        </is>
      </c>
      <c r="AA1032" t="inlineStr">
        <is>
          <t>nafsika.michail@northumbria.ac.uk; ayse.torun@northumbria.ac.uk; rosie.parnell@newcastle.ac.uk; stephanie.wilkie@sunderland.ac.uk</t>
        </is>
      </c>
      <c r="AC1032" t="inlineStr">
        <is>
          <t>Ozbil Torun, Ayse/0000-0002-5707-1235; Wilkie, Stephanie/0000-0003-2829-9959; Parnell, Rosie/0000-0002-8305-3452</t>
        </is>
      </c>
      <c r="AH1032" t="n">
        <v>71</v>
      </c>
      <c r="AI1032" t="n">
        <v>3</v>
      </c>
      <c r="AJ1032" t="n">
        <v>3</v>
      </c>
      <c r="AK1032" t="n">
        <v>8</v>
      </c>
      <c r="AL1032" t="n">
        <v>28</v>
      </c>
      <c r="AM1032" t="inlineStr">
        <is>
          <t>MDPI</t>
        </is>
      </c>
      <c r="AN1032" t="inlineStr">
        <is>
          <t>BASEL</t>
        </is>
      </c>
      <c r="AO1032" t="inlineStr">
        <is>
          <t>ST ALBAN-ANLAGE 66, CH-4052 BASEL, SWITZERLAND</t>
        </is>
      </c>
      <c r="AQ1032" t="inlineStr">
        <is>
          <t>1660-4601</t>
        </is>
      </c>
      <c r="AS1032" t="inlineStr">
        <is>
          <t>INT J ENV RES PUB HE</t>
        </is>
      </c>
      <c r="AT1032" t="inlineStr">
        <is>
          <t>Int. J. Environ. Res. Public Health</t>
        </is>
      </c>
      <c r="AU1032" t="inlineStr">
        <is>
          <t>MAY</t>
        </is>
      </c>
      <c r="AV1032" t="n">
        <v>2021</v>
      </c>
      <c r="AW1032" t="n">
        <v>18</v>
      </c>
      <c r="AX1032" t="n">
        <v>9</v>
      </c>
      <c r="BE1032" t="n">
        <v>4992</v>
      </c>
      <c r="BF1032" t="inlineStr">
        <is>
          <t>10.3390/ijerph18094992</t>
        </is>
      </c>
      <c r="BG1032">
        <f>HYPERLINK("http://dx.doi.org/10.3390/ijerph18094992","http://dx.doi.org/10.3390/ijerph18094992")</f>
        <v/>
      </c>
      <c r="BJ1032" t="n">
        <v>16</v>
      </c>
      <c r="BK1032" t="inlineStr">
        <is>
          <t>Environmental Sciences; Public, Environmental &amp; Occupational Health</t>
        </is>
      </c>
      <c r="BL1032" t="inlineStr">
        <is>
          <t>Science Citation Index Expanded (SCI-EXPANDED); Social Science Citation Index (SSCI)</t>
        </is>
      </c>
      <c r="BM1032" t="inlineStr">
        <is>
          <t>Environmental Sciences &amp; Ecology; Public, Environmental &amp; Occupational Health</t>
        </is>
      </c>
      <c r="BN1032" t="inlineStr">
        <is>
          <t>SB8YO</t>
        </is>
      </c>
      <c r="BO1032" t="n">
        <v>34066720</v>
      </c>
      <c r="BP1032" t="inlineStr">
        <is>
          <t>Green Accepted, gold, Green Published</t>
        </is>
      </c>
      <c r="BS1032" t="inlineStr">
        <is>
          <t>2023-10-26</t>
        </is>
      </c>
      <c r="BT1032" t="inlineStr">
        <is>
          <t>WOS:000650272600001</t>
        </is>
      </c>
      <c r="BU1032">
        <f>HYPERLINK("https%3A%2F%2Fwww.webofscience.com%2Fwos%2Fwoscc%2Ffull-record%2FWOS:000650272600001","View Full Record in Web of Science")</f>
        <v/>
      </c>
    </row>
    <row r="1033">
      <c r="A1033" t="inlineStr">
        <is>
          <t>J</t>
        </is>
      </c>
      <c r="B1033" t="inlineStr">
        <is>
          <t>Badri, MA; Alkhaili, MA; Aldhaheri, H; Yang, G; Albahar, M; Alrashdi, A; Almulla, B; Alhyas, L</t>
        </is>
      </c>
      <c r="F1033" t="inlineStr">
        <is>
          <t>Badri, Masood A.; Alkhaili, Mugheer A.; Aldhaheri, Hamad; Yang, Guang; Albahar, Muna; Alrashdi, Asma; Almulla, Bushra; Alhyas, Layla</t>
        </is>
      </c>
      <c r="J1033" t="inlineStr">
        <is>
          <t>INTERNATIONAL JOURNAL OF ENVIRONMENTAL RESEARCH AND PUBLIC HEALTH</t>
        </is>
      </c>
      <c r="M1033" t="inlineStr">
        <is>
          <t>English</t>
        </is>
      </c>
      <c r="N1033" t="inlineStr">
        <is>
          <t>Article</t>
        </is>
      </c>
      <c r="T1033" t="inlineStr">
        <is>
          <t>Experiencing the Unprecedented COVID-19 Lockdown: Abu Dhabi Older Adults' Challenges and Concerns</t>
        </is>
      </c>
      <c r="U1033" t="inlineStr">
        <is>
          <t>older adults; COVID-19; social isolation; technological challenges; Abu Dhabi</t>
        </is>
      </c>
      <c r="V1033" t="inlineStr">
        <is>
          <t>SOCIAL-ISOLATION; LONELINESS; HEALTH; PEOPLE</t>
        </is>
      </c>
      <c r="W1033" t="inlineStr">
        <is>
          <t>This study focused on older adults (60+ years old) of both genders in Abu Dhabi during the COVID-19 pandemic before vaccines were made available (age ranged from 60 years to 75 years). They faced more strict rules of movement restriction and isolation that might have resulted in certain psychological feelings and social reactions. The main objective was to understand Abu Dhabi older adults' psychological feelings during the pandemic and to identify their main concerns and challenges considering the various COVID-19-related policies and restrictions. The psychological feelings focused on fear, loneliness, sadness, irritability, emotional exhaustion, depressive symptoms, sleeping disorders, overeating, and excessive screen use. The objectives also included the changes in the psychological feelings concerning time. Other objectives covered better understanding the differences in (some activities) compared to the other age categories. Data were gathered through an online survey of community members from February to July 2020 as part of government initiatives (Department of Community Development). Responses were collected from 574 older adults in Abu Dhabi (60.1% male and 39.9% female). The analysis mainly used descriptive analysis, t-tests, analysis of variance (ANOVA), and simple trend analysis. For all tests, a p-value less than 0.05 was used for significance. The results pointed to the significant rise in feelings related to excessive screen use, fear, loneliness, and stress. The most significant concerns were related to more restrictions being imposed and not being able to see the grandchildren.The impact of new technologies on their quality of life was significantly reflected by respondents. The influence of the pandemic on older adults' health and weight was also investigated. Analysis of variance, t-tests, and regression analysis with relevant tests were employed. The relevant results showed that some negative psychological feelings were common among older adults during the pandemic. However, the psychological feelings did not portray significant changes with time, except for sleeping disorders and overeating. Overall, older adults scored significantly different from other age groups on many challenges, concerns, and views regarding new technologies during the pandemic. No significant differences were observed regarding gender and marital status for the challenges and concerns. The research summarizes some policy guidance while noting some limitations of this study and future research directions.</t>
        </is>
      </c>
      <c r="X1033" t="inlineStr">
        <is>
          <t>[Badri, Masood A.; Alkhaili, Mugheer A.; Aldhaheri, Hamad; Yang, Guang; Albahar, Muna; Alrashdi, Asma; Almulla, Bushra; Alhyas, Layla] Minist Complex, Dept Community Dev, Abu Dhabi CFJ7 2P, U Arab Emirates; [Badri, Masood A.; Albahar, Muna] United Arab Emirates Univ, Dept Business Adm, Abu Dhabi 6M2 H44, U Arab Emirates</t>
        </is>
      </c>
      <c r="Z1033" t="inlineStr">
        <is>
          <t>Badri, MA (corresponding author), Minist Complex, Dept Community Dev, Abu Dhabi CFJ7 2P, U Arab Emirates.;Badri, MA (corresponding author), United Arab Emirates Univ, Dept Business Adm, Abu Dhabi 6M2 H44, U Arab Emirates.</t>
        </is>
      </c>
      <c r="AA1033" t="inlineStr">
        <is>
          <t>masood@uaeu.ac.ae; Mugheer@addcd.gov.ae; Hamad.aldhaheri@addcd.gov.ae; Guang.yang@addcd.gov.ae; muna.albahar@addcd.gov.ae; Asma.alrashdi@addcd.gov.ae; Bushra.almulla@addcd.gov.ae; Layla.Alhyas@addcd.gov.ae</t>
        </is>
      </c>
      <c r="AC1033" t="inlineStr">
        <is>
          <t>Yang, Guang/0000-0002-6676-7808</t>
        </is>
      </c>
      <c r="AH1033" t="n">
        <v>74</v>
      </c>
      <c r="AI1033" t="n">
        <v>0</v>
      </c>
      <c r="AJ1033" t="n">
        <v>0</v>
      </c>
      <c r="AK1033" t="n">
        <v>1</v>
      </c>
      <c r="AL1033" t="n">
        <v>7</v>
      </c>
      <c r="AM1033" t="inlineStr">
        <is>
          <t>MDPI</t>
        </is>
      </c>
      <c r="AN1033" t="inlineStr">
        <is>
          <t>BASEL</t>
        </is>
      </c>
      <c r="AO1033" t="inlineStr">
        <is>
          <t>ST ALBAN-ANLAGE 66, CH-4052 BASEL, SWITZERLAND</t>
        </is>
      </c>
      <c r="AQ1033" t="inlineStr">
        <is>
          <t>1660-4601</t>
        </is>
      </c>
      <c r="AS1033" t="inlineStr">
        <is>
          <t>INT J ENV RES PUB HE</t>
        </is>
      </c>
      <c r="AT1033" t="inlineStr">
        <is>
          <t>Int. J. Environ. Res. Public Health</t>
        </is>
      </c>
      <c r="AU1033" t="inlineStr">
        <is>
          <t>DEC</t>
        </is>
      </c>
      <c r="AV1033" t="n">
        <v>2021</v>
      </c>
      <c r="AW1033" t="n">
        <v>18</v>
      </c>
      <c r="AX1033" t="n">
        <v>24</v>
      </c>
      <c r="BE1033" t="n">
        <v>13427</v>
      </c>
      <c r="BF1033" t="inlineStr">
        <is>
          <t>10.3390/ijerph182413427</t>
        </is>
      </c>
      <c r="BG1033">
        <f>HYPERLINK("http://dx.doi.org/10.3390/ijerph182413427","http://dx.doi.org/10.3390/ijerph182413427")</f>
        <v/>
      </c>
      <c r="BJ1033" t="n">
        <v>17</v>
      </c>
      <c r="BK1033" t="inlineStr">
        <is>
          <t>Environmental Sciences; Public, Environmental &amp; Occupational Health</t>
        </is>
      </c>
      <c r="BL1033" t="inlineStr">
        <is>
          <t>Science Citation Index Expanded (SCI-EXPANDED); Social Science Citation Index (SSCI)</t>
        </is>
      </c>
      <c r="BM1033" t="inlineStr">
        <is>
          <t>Environmental Sciences &amp; Ecology; Public, Environmental &amp; Occupational Health</t>
        </is>
      </c>
      <c r="BN1033" t="inlineStr">
        <is>
          <t>YA9AS</t>
        </is>
      </c>
      <c r="BO1033" t="n">
        <v>34949034</v>
      </c>
      <c r="BP1033" t="inlineStr">
        <is>
          <t>Green Published, gold, Green Submitted</t>
        </is>
      </c>
      <c r="BS1033" t="inlineStr">
        <is>
          <t>2023-10-26</t>
        </is>
      </c>
      <c r="BT1033" t="inlineStr">
        <is>
          <t>WOS:000738617800001</t>
        </is>
      </c>
      <c r="BU1033">
        <f>HYPERLINK("https%3A%2F%2Fwww.webofscience.com%2Fwos%2Fwoscc%2Ffull-record%2FWOS:000738617800001","View Full Record in Web of Science")</f>
        <v/>
      </c>
    </row>
    <row r="1034">
      <c r="A1034" t="inlineStr">
        <is>
          <t>J</t>
        </is>
      </c>
      <c r="B1034" t="inlineStr">
        <is>
          <t>Marklinder, I; Nydahl, M</t>
        </is>
      </c>
      <c r="F1034" t="inlineStr">
        <is>
          <t>Marklinder, Ingela; Nydahl, Margaretha</t>
        </is>
      </c>
      <c r="J1034" t="inlineStr">
        <is>
          <t>INTERNATIONAL JOURNAL OF ENVIRONMENTAL RESEARCH AND PUBLIC HEALTH</t>
        </is>
      </c>
      <c r="M1034" t="inlineStr">
        <is>
          <t>English</t>
        </is>
      </c>
      <c r="N1034" t="inlineStr">
        <is>
          <t>Article</t>
        </is>
      </c>
      <c r="T1034" t="inlineStr">
        <is>
          <t>A Proposed Theoretical Model for Sustainable and Safe Commensality among Older Adults</t>
        </is>
      </c>
      <c r="U1034" t="inlineStr">
        <is>
          <t>older adults; food classes; food safety; food safety trust; organized networking; sustainable commensality</t>
        </is>
      </c>
      <c r="V1034" t="inlineStr">
        <is>
          <t>FOOD SAFETY; NUTRIENT INTAKE; CONSUMER; HOME; KNOWLEDGE; MEAL; BEHAVIOR; COOKING; DISEASE; PEOPLE</t>
        </is>
      </c>
      <c r="W1034" t="inlineStr">
        <is>
          <t>Eating together at the same table, i.e., commensality, is an old phenomenon among humans. Today, there is a relatively high number of people living in single households eating most meals on their own. Among adults aged 65+ years, both malnutrition and non-communicable diseases are common. These circumstances, as well as foodborne illnesses, cause health problems for the individual, as well as high societal costs. In older adults, several external factors might impact on commensality, such as living arrangements, health status, and cooking competence. Improved knowledge regarding healthy eating and food handling may improve attitudes and behaviors in relation to food safety and dietary intake. Further, commensality has been shown to influence dietary intake in multiple ways. Community-organized activities, e.g., Food Classes for Older Adults (FCOA), may lead to sustainable commensality. Participating in health-promoting activities can contribute to improved health outcomes and improved social interaction among older adults. The objective of this study was to propose a theoretical model to inspire and create networks for sustainable commensality among older adults. The model could serve as a conceptual framework when implementing FCOA in communities and research. Outcomes could be measured by investigating the frequency of commensality, health effects, and well-being.</t>
        </is>
      </c>
      <c r="X1034" t="inlineStr">
        <is>
          <t>[Marklinder, Ingela; Nydahl, Margaretha] Uppsala Univ, Dept Food Studies Nutr &amp; Dietet, S-75122 Uppsala, Sweden</t>
        </is>
      </c>
      <c r="Y1034" t="inlineStr">
        <is>
          <t>Uppsala University</t>
        </is>
      </c>
      <c r="Z1034" t="inlineStr">
        <is>
          <t>Marklinder, I (corresponding author), Uppsala Univ, Dept Food Studies Nutr &amp; Dietet, S-75122 Uppsala, Sweden.</t>
        </is>
      </c>
      <c r="AA1034" t="inlineStr">
        <is>
          <t>Ingela.Marklinder@ikv.uu.se; Margaretha.Nydahl@ikv.uu.se</t>
        </is>
      </c>
      <c r="AD1034" t="inlineStr">
        <is>
          <t>Centre for Integrated Research on Culture and Society (CIRCUS), Uppsala University</t>
        </is>
      </c>
      <c r="AE1034" t="inlineStr">
        <is>
          <t>Centre for Integrated Research on Culture and Society (CIRCUS), Uppsala University</t>
        </is>
      </c>
      <c r="AF1034" t="inlineStr">
        <is>
          <t>The publication fee of this paper was funded by a generous contribution from the Centre for Integrated Research on Culture and Society (CIRCUS), Uppsala University.</t>
        </is>
      </c>
      <c r="AH1034" t="n">
        <v>48</v>
      </c>
      <c r="AI1034" t="n">
        <v>0</v>
      </c>
      <c r="AJ1034" t="n">
        <v>0</v>
      </c>
      <c r="AK1034" t="n">
        <v>0</v>
      </c>
      <c r="AL1034" t="n">
        <v>9</v>
      </c>
      <c r="AM1034" t="inlineStr">
        <is>
          <t>MDPI</t>
        </is>
      </c>
      <c r="AN1034" t="inlineStr">
        <is>
          <t>BASEL</t>
        </is>
      </c>
      <c r="AO1034" t="inlineStr">
        <is>
          <t>ST ALBAN-ANLAGE 66, CH-4052 BASEL, SWITZERLAND</t>
        </is>
      </c>
      <c r="AQ1034" t="inlineStr">
        <is>
          <t>1660-4601</t>
        </is>
      </c>
      <c r="AS1034" t="inlineStr">
        <is>
          <t>INT J ENV RES PUB HE</t>
        </is>
      </c>
      <c r="AT1034" t="inlineStr">
        <is>
          <t>Int. J. Environ. Res. Public Health</t>
        </is>
      </c>
      <c r="AU1034" t="inlineStr">
        <is>
          <t>FEB</t>
        </is>
      </c>
      <c r="AV1034" t="n">
        <v>2021</v>
      </c>
      <c r="AW1034" t="n">
        <v>18</v>
      </c>
      <c r="AX1034" t="n">
        <v>3</v>
      </c>
      <c r="BE1034" t="n">
        <v>1172</v>
      </c>
      <c r="BF1034" t="inlineStr">
        <is>
          <t>10.3390/ijerph18031172</t>
        </is>
      </c>
      <c r="BG1034">
        <f>HYPERLINK("http://dx.doi.org/10.3390/ijerph18031172","http://dx.doi.org/10.3390/ijerph18031172")</f>
        <v/>
      </c>
      <c r="BJ1034" t="n">
        <v>10</v>
      </c>
      <c r="BK1034" t="inlineStr">
        <is>
          <t>Environmental Sciences; Public, Environmental &amp; Occupational Health</t>
        </is>
      </c>
      <c r="BL1034" t="inlineStr">
        <is>
          <t>Science Citation Index Expanded (SCI-EXPANDED); Social Science Citation Index (SSCI)</t>
        </is>
      </c>
      <c r="BM1034" t="inlineStr">
        <is>
          <t>Environmental Sciences &amp; Ecology; Public, Environmental &amp; Occupational Health</t>
        </is>
      </c>
      <c r="BN1034" t="inlineStr">
        <is>
          <t>QC9SW</t>
        </is>
      </c>
      <c r="BO1034" t="n">
        <v>33525738</v>
      </c>
      <c r="BP1034" t="inlineStr">
        <is>
          <t>Green Published, gold</t>
        </is>
      </c>
      <c r="BS1034" t="inlineStr">
        <is>
          <t>2023-10-26</t>
        </is>
      </c>
      <c r="BT1034" t="inlineStr">
        <is>
          <t>WOS:000615171200001</t>
        </is>
      </c>
      <c r="BU1034">
        <f>HYPERLINK("https%3A%2F%2Fwww.webofscience.com%2Fwos%2Fwoscc%2Ffull-record%2FWOS:000615171200001","View Full Record in Web of Science")</f>
        <v/>
      </c>
    </row>
    <row r="1035">
      <c r="A1035" t="inlineStr">
        <is>
          <t>J</t>
        </is>
      </c>
      <c r="B1035" t="inlineStr">
        <is>
          <t>Chen, YM; Shi, L; Zheng, X; Yang, J; Xue, YQ; Xiao, SJ; Xue, BL; Zhang, JC; Li, XR; Lin, H; Ma, C; Zhang, CC</t>
        </is>
      </c>
      <c r="F1035" t="inlineStr">
        <is>
          <t>Chen, Yiming; Shi, Lei; Zheng, Xiao; Yang, Juan; Xue, Yaqing; Xiao, Shujuan; Xue, Benli; Zhang, Jiachi; Li, Xinru; Lin, Huang; Ma, Chao; Zhang, Chichen</t>
        </is>
      </c>
      <c r="J1035" t="inlineStr">
        <is>
          <t>INTERNATIONAL JOURNAL OF ENVIRONMENTAL RESEARCH AND PUBLIC HEALTH</t>
        </is>
      </c>
      <c r="M1035" t="inlineStr">
        <is>
          <t>English</t>
        </is>
      </c>
      <c r="N1035" t="inlineStr">
        <is>
          <t>Article</t>
        </is>
      </c>
      <c r="T1035" t="inlineStr">
        <is>
          <t>Patterns and Determinants of Multimorbidity in Older Adults: Study in Health-Ecological Perspective</t>
        </is>
      </c>
      <c r="U1035" t="inlineStr">
        <is>
          <t>multimorbidity; older adults; pattern; health-ecological model; health management</t>
        </is>
      </c>
      <c r="V1035" t="inlineStr">
        <is>
          <t>MULTIPLE CHRONIC CONDITIONS; PREVALENCE; CHINA; CARE; QUALITY; ASSOCIATION; DISEASE</t>
        </is>
      </c>
      <c r="W1035" t="inlineStr">
        <is>
          <t>(1) Background: Multimorbidity has become one of the key issues in the public health sector. This study aims to explore the patterns and health-ecological factors of multimorbidity in China to propose policy recommendations for the management of chronic diseases in the elderly. (2) Methods: A multi-stage random sampling method was used to conduct a questionnaire survey on 3637 older adults aged 60 and older in Shanxi, China. Association rule mining analysis (ARM) and network analysis were applied to analyze the patterns of multimorbidity. The health-ecological model was adopted to explore the potential associated factors of multimorbidity in a multidimensional perspective. A hierarchical multiple logistic model was employed to investigate the association strengths reflected by adjusted odds ratios and 95% confidence. (3) Results: Multimorbidity occurred in 20.95% of the respondents. The graph of network analysis showed that there were 6 combinations of chronic diseases with strong association strengths and 14 with moderate association strengths. The results of the ARM were similar to the network analysis; six dyadic chronic disease combinations and six triadic ones were obtained. Hierarchical multiple logistic regression indicated that innate personal traits (age, history of genetics, and body mass index), behavioral lifestyle (physical activity levels and medication adherence), interpersonal network (marital status), and socioeconomic status (educational level) were the common predictors of multimorbidity for older adults, among which, having no family history was found to be a relative determinant as a protective factor for multimorbidity after controlling the other covariates. (4) Conclusions: multimorbidity was prevalent in older adults and most disease combinations are associated with hypertension, followed by diabetes. This shows that diabetes and hypertension have a high prevalence among older adults and have a wide range of associations with other chronic diseases. Exploring the patterns and associated factors of multimorbidity will help the country prevent complications and avoid the unnecessary use of the health service, adopting an integrated approach to managing multimorbidity rather than an individual disease-specific approach and implementing different strategies according to the location of residence.</t>
        </is>
      </c>
      <c r="X1035" t="inlineStr">
        <is>
          <t>[Chen, Yiming; Shi, Lei; Xue, Yaqing; Xiao, Shujuan; Xue, Benli; Zhang, Jiachi; Li, Xinru; Lin, Huang; Ma, Chao; Zhang, Chichen] Southern Med Univ, Sch Hlth Management, Guangzhou 510515, Peoples R China; [Zheng, Xiao] Southern Med Univ, Shunde Hosp, Dept Hlth Management, Foshan 528399, Peoples R China; [Yang, Juan] Bengbu Med Coll, Sch Hlth Management, Bengbu 233030, Peoples R China; [Zhang, Chichen] Southern Med Univ, Nanfang Hosp, Dept Hlth Management, Guangzhou 510515, Peoples R China; [Zhang, Chichen] Southern Med Univ, Inst Hlth Management, Guangzhou 510515, Peoples R China</t>
        </is>
      </c>
      <c r="Y1035" t="inlineStr">
        <is>
          <t>Southern Medical University - China; Southern Medical University - China; Bengbu Medical College; Southern Medical University - China; Southern Medical University - China</t>
        </is>
      </c>
      <c r="Z1035" t="inlineStr">
        <is>
          <t>Zhang, CC (corresponding author), Southern Med Univ, Sch Hlth Management, Guangzhou 510515, Peoples R China.;Zhang, CC (corresponding author), Southern Med Univ, Nanfang Hosp, Dept Hlth Management, Guangzhou 510515, Peoples R China.;Zhang, CC (corresponding author), Southern Med Univ, Inst Hlth Management, Guangzhou 510515, Peoples R China.</t>
        </is>
      </c>
      <c r="AA1035" t="inlineStr">
        <is>
          <t>zhangchichen@sina.com</t>
        </is>
      </c>
      <c r="AB1035" t="inlineStr">
        <is>
          <t>Chao, Ma/S-1352-2016</t>
        </is>
      </c>
      <c r="AC1035" t="inlineStr">
        <is>
          <t>Chao, Ma/0000-0002-3325-7318; Shi, Lei/0000-0002-8924-0734</t>
        </is>
      </c>
      <c r="AH1035" t="n">
        <v>63</v>
      </c>
      <c r="AI1035" t="n">
        <v>1</v>
      </c>
      <c r="AJ1035" t="n">
        <v>1</v>
      </c>
      <c r="AK1035" t="n">
        <v>25</v>
      </c>
      <c r="AL1035" t="n">
        <v>35</v>
      </c>
      <c r="AM1035" t="inlineStr">
        <is>
          <t>MDPI</t>
        </is>
      </c>
      <c r="AN1035" t="inlineStr">
        <is>
          <t>BASEL</t>
        </is>
      </c>
      <c r="AO1035" t="inlineStr">
        <is>
          <t>ST ALBAN-ANLAGE 66, CH-4052 BASEL, SWITZERLAND</t>
        </is>
      </c>
      <c r="AQ1035" t="inlineStr">
        <is>
          <t>1660-4601</t>
        </is>
      </c>
      <c r="AS1035" t="inlineStr">
        <is>
          <t>INT J ENV RES PUB HE</t>
        </is>
      </c>
      <c r="AT1035" t="inlineStr">
        <is>
          <t>Int. J. Environ. Res. Public Health</t>
        </is>
      </c>
      <c r="AU1035" t="inlineStr">
        <is>
          <t>DEC</t>
        </is>
      </c>
      <c r="AV1035" t="n">
        <v>2022</v>
      </c>
      <c r="AW1035" t="n">
        <v>19</v>
      </c>
      <c r="AX1035" t="n">
        <v>24</v>
      </c>
      <c r="BE1035" t="n">
        <v>16756</v>
      </c>
      <c r="BF1035" t="inlineStr">
        <is>
          <t>10.3390/ijerph192416756</t>
        </is>
      </c>
      <c r="BG1035">
        <f>HYPERLINK("http://dx.doi.org/10.3390/ijerph192416756","http://dx.doi.org/10.3390/ijerph192416756")</f>
        <v/>
      </c>
      <c r="BJ1035" t="n">
        <v>15</v>
      </c>
      <c r="BK1035" t="inlineStr">
        <is>
          <t>Environmental Sciences; Public, Environmental &amp; Occupational Health</t>
        </is>
      </c>
      <c r="BL1035" t="inlineStr">
        <is>
          <t>Science Citation Index Expanded (SCI-EXPANDED); Social Science Citation Index (SSCI)</t>
        </is>
      </c>
      <c r="BM1035" t="inlineStr">
        <is>
          <t>Environmental Sciences &amp; Ecology; Public, Environmental &amp; Occupational Health</t>
        </is>
      </c>
      <c r="BN1035" t="inlineStr">
        <is>
          <t>7E6ML</t>
        </is>
      </c>
      <c r="BO1035" t="n">
        <v>36554647</v>
      </c>
      <c r="BP1035" t="inlineStr">
        <is>
          <t>gold, Green Published</t>
        </is>
      </c>
      <c r="BS1035" t="inlineStr">
        <is>
          <t>2023-10-26</t>
        </is>
      </c>
      <c r="BT1035" t="inlineStr">
        <is>
          <t>WOS:000901279400001</t>
        </is>
      </c>
      <c r="BU1035">
        <f>HYPERLINK("https%3A%2F%2Fwww.webofscience.com%2Fwos%2Fwoscc%2Ffull-record%2FWOS:000901279400001","View Full Record in Web of Science")</f>
        <v/>
      </c>
    </row>
    <row r="1036">
      <c r="A1036" t="inlineStr">
        <is>
          <t>J</t>
        </is>
      </c>
      <c r="B1036" t="inlineStr">
        <is>
          <t>Yao, J</t>
        </is>
      </c>
      <c r="F1036" t="inlineStr">
        <is>
          <t>Yao, Jian</t>
        </is>
      </c>
      <c r="J1036" t="inlineStr">
        <is>
          <t>SUSTAINABILITY</t>
        </is>
      </c>
      <c r="M1036" t="inlineStr">
        <is>
          <t>English</t>
        </is>
      </c>
      <c r="N1036" t="inlineStr">
        <is>
          <t>Article</t>
        </is>
      </c>
      <c r="T1036" t="inlineStr">
        <is>
          <t>A Multi-Objective (Energy, Economic and Environmental Performance) Life Cycle Analysis for Better Building Design</t>
        </is>
      </c>
      <c r="U1036" t="inlineStr">
        <is>
          <t>building design improvement; energy; economy; environment; multi-objective life cycle analysis</t>
        </is>
      </c>
      <c r="V1036" t="inlineStr">
        <is>
          <t>RESIDENTIAL BUILDINGS; GENETIC ALGORITHMS; OPTIMIZATION; COST</t>
        </is>
      </c>
      <c r="W1036" t="inlineStr">
        <is>
          <t>Design improvement is critical for achieving a low-cost and high energy-efficient building with low carbon emissions. Thus, designers need to consider many factors (such as energy, economic and environmental performance) in the early design stage. This paper presents a multi-objective analysis for better building design and compares the EDH-based design improvements (introduced by the author in a previous work, EDH means energy difference between households) with seven potential improvement measures commonly used in achieving a better overall performance for the energy, economy and environment. A typical residential building in China was modeled for a number of simulations, and the simulation results were used to carry out a life cycle-based performance analysis. Seven potential improvement options that are commonly used are compared, and the results show that it is difficult to identify an option that has a better performance in all these three aspects. On the other hand, EDH-based design improvement achieves relatively high energy, economic and environmental performance compared to the former seven options. Moreover, EDH-based design improvement can provide designers with flexible options to select from in order to address diverse demands for building aesthetics, function, and so on, or to avoid potential difficulties when some kinds of materials or measures that are planned to be used are unavailable locally.</t>
        </is>
      </c>
      <c r="X1036" t="inlineStr">
        <is>
          <t>Ningbo Univ, Fac Architectural Civil Engn &amp; Environm, Ningbo, Peoples R China</t>
        </is>
      </c>
      <c r="Y1036" t="inlineStr">
        <is>
          <t>Ningbo University</t>
        </is>
      </c>
      <c r="Z1036" t="inlineStr">
        <is>
          <t>Yao, J (corresponding author), Ningbo Univ, Fac Architectural Civil Engn &amp; Environm, Ningbo, Peoples R China.</t>
        </is>
      </c>
      <c r="AA1036" t="inlineStr">
        <is>
          <t>yaojian@nbu.edu.cn</t>
        </is>
      </c>
      <c r="AC1036" t="inlineStr">
        <is>
          <t>Yao, Jian/0000-0002-4940-380X</t>
        </is>
      </c>
      <c r="AD1036" t="inlineStr">
        <is>
          <t>natural science foundation of Ningbo [2012A610158]; Zhejiang Province [LQ13E080009]; K.C. Wong Magna Fund in Ningbo University</t>
        </is>
      </c>
      <c r="AE1036" t="inlineStr">
        <is>
          <t>natural science foundation of Ningbo; Zhejiang Province; K.C. Wong Magna Fund in Ningbo University</t>
        </is>
      </c>
      <c r="AF1036" t="inlineStr">
        <is>
          <t>This work was supported by the natural science foundation of Ningbo (2012A610158) and Zhejiang Province (LQ13E080009) and by the K.C. Wong Magna Fund in Ningbo University.</t>
        </is>
      </c>
      <c r="AH1036" t="n">
        <v>24</v>
      </c>
      <c r="AI1036" t="n">
        <v>18</v>
      </c>
      <c r="AJ1036" t="n">
        <v>19</v>
      </c>
      <c r="AK1036" t="n">
        <v>0</v>
      </c>
      <c r="AL1036" t="n">
        <v>20</v>
      </c>
      <c r="AM1036" t="inlineStr">
        <is>
          <t>MDPI AG</t>
        </is>
      </c>
      <c r="AN1036" t="inlineStr">
        <is>
          <t>BASEL</t>
        </is>
      </c>
      <c r="AO1036" t="inlineStr">
        <is>
          <t>ST ALBAN-ANLAGE 66, CH-4052 BASEL, SWITZERLAND</t>
        </is>
      </c>
      <c r="AP1036" t="inlineStr">
        <is>
          <t>2071-1050</t>
        </is>
      </c>
      <c r="AS1036" t="inlineStr">
        <is>
          <t>SUSTAINABILITY-BASEL</t>
        </is>
      </c>
      <c r="AT1036" t="inlineStr">
        <is>
          <t>Sustainability</t>
        </is>
      </c>
      <c r="AU1036" t="inlineStr">
        <is>
          <t>FEB</t>
        </is>
      </c>
      <c r="AV1036" t="n">
        <v>2014</v>
      </c>
      <c r="AW1036" t="n">
        <v>6</v>
      </c>
      <c r="AX1036" t="n">
        <v>2</v>
      </c>
      <c r="BC1036" t="n">
        <v>602</v>
      </c>
      <c r="BD1036" t="n">
        <v>614</v>
      </c>
      <c r="BF1036" t="inlineStr">
        <is>
          <t>10.3390/su6020602</t>
        </is>
      </c>
      <c r="BG1036">
        <f>HYPERLINK("http://dx.doi.org/10.3390/su6020602","http://dx.doi.org/10.3390/su6020602")</f>
        <v/>
      </c>
      <c r="BJ1036" t="n">
        <v>13</v>
      </c>
      <c r="BK1036" t="inlineStr">
        <is>
          <t>Green &amp; Sustainable Science &amp; Technology; Environmental Sciences; Environmental Studies</t>
        </is>
      </c>
      <c r="BL1036" t="inlineStr">
        <is>
          <t>Science Citation Index Expanded (SCI-EXPANDED); Social Science Citation Index (SSCI)</t>
        </is>
      </c>
      <c r="BM1036" t="inlineStr">
        <is>
          <t>Science &amp; Technology - Other Topics; Environmental Sciences &amp; Ecology</t>
        </is>
      </c>
      <c r="BN1036" t="inlineStr">
        <is>
          <t>AB9OC</t>
        </is>
      </c>
      <c r="BP1036" t="inlineStr">
        <is>
          <t>gold, Green Submitted</t>
        </is>
      </c>
      <c r="BS1036" t="inlineStr">
        <is>
          <t>2023-10-26</t>
        </is>
      </c>
      <c r="BT1036" t="inlineStr">
        <is>
          <t>WOS:000332123100008</t>
        </is>
      </c>
      <c r="BU1036">
        <f>HYPERLINK("https%3A%2F%2Fwww.webofscience.com%2Fwos%2Fwoscc%2Ffull-record%2FWOS:000332123100008","View Full Record in Web of Science")</f>
        <v/>
      </c>
    </row>
    <row r="1037">
      <c r="A1037" t="inlineStr">
        <is>
          <t>J</t>
        </is>
      </c>
      <c r="B1037" t="inlineStr">
        <is>
          <t>Emmitt, S</t>
        </is>
      </c>
      <c r="F1037" t="inlineStr">
        <is>
          <t>Emmitt, Stephen</t>
        </is>
      </c>
      <c r="J1037" t="inlineStr">
        <is>
          <t>URBAN CLIMATE</t>
        </is>
      </c>
      <c r="M1037" t="inlineStr">
        <is>
          <t>English</t>
        </is>
      </c>
      <c r="N1037" t="inlineStr">
        <is>
          <t>Article</t>
        </is>
      </c>
      <c r="T1037" t="inlineStr">
        <is>
          <t>Exploring the nexus between bedroom design and sleep quality in a warming climate</t>
        </is>
      </c>
      <c r="U1037" t="inlineStr">
        <is>
          <t>Bedroom design; Healthy homes; Heat impacts; Indoor environmental quality (IEQ); Overheating; Sleep quality</t>
        </is>
      </c>
      <c r="V1037" t="inlineStr">
        <is>
          <t>THERMAL ENVIRONMENT; LONDON</t>
        </is>
      </c>
      <c r="W1037" t="inlineStr">
        <is>
          <t>Bedrooms are important spaces that are often overlooked in the design of residential properties. The interior environment of bedrooms directly affects our sleep quality, which affects the quality of our lives and impacts productivity, health, and wellbeing. Insufficient sleep is a well-known problem in society, having significant negative consequences for health. This is compounded during heatwaves when it can be challenging to get sufficient sleep because of high night-time temperatures, especially in temperate climate zones with no tradition of mechanical cooling. A narrative review was used to explore the inter-relationship between sleep quality, bedroom design, indoor environmental quality (IEQ) and overheating. In addition to highlighting the different focus between health research and built environment research, the outcomes indicate that greater attention needs to be given to bedroom design in domestic properties. The originality of the findings relates to the need for evidence to help inform building designers to mitigate the effects of extreme heat on sleep quality, helping to improve resilience and the health of residents in a warming climate.</t>
        </is>
      </c>
      <c r="X1037" t="inlineStr">
        <is>
          <t>[Emmitt, Stephen] Univ Bath, Dept Architecture &amp; Civil Engn, Bath, England</t>
        </is>
      </c>
      <c r="Y1037" t="inlineStr">
        <is>
          <t>University of Bath</t>
        </is>
      </c>
      <c r="Z1037" t="inlineStr">
        <is>
          <t>Emmitt, S (corresponding author), Univ Bath, Dept Architecture &amp; Civil Engn, Bath, England.</t>
        </is>
      </c>
      <c r="AA1037" t="inlineStr">
        <is>
          <t>s.emmitt@bath.ac.uk</t>
        </is>
      </c>
      <c r="AC1037" t="inlineStr">
        <is>
          <t>Emmitt, Stephen/0000-0002-8277-3378</t>
        </is>
      </c>
      <c r="AH1037" t="n">
        <v>51</v>
      </c>
      <c r="AI1037" t="n">
        <v>0</v>
      </c>
      <c r="AJ1037" t="n">
        <v>0</v>
      </c>
      <c r="AK1037" t="n">
        <v>1</v>
      </c>
      <c r="AL1037" t="n">
        <v>1</v>
      </c>
      <c r="AM1037" t="inlineStr">
        <is>
          <t>ELSEVIER</t>
        </is>
      </c>
      <c r="AN1037" t="inlineStr">
        <is>
          <t>AMSTERDAM</t>
        </is>
      </c>
      <c r="AO1037" t="inlineStr">
        <is>
          <t>RADARWEG 29, 1043 NX AMSTERDAM, NETHERLANDS</t>
        </is>
      </c>
      <c r="AP1037" t="inlineStr">
        <is>
          <t>2212-0955</t>
        </is>
      </c>
      <c r="AS1037" t="inlineStr">
        <is>
          <t>URBAN CLIM</t>
        </is>
      </c>
      <c r="AT1037" t="inlineStr">
        <is>
          <t>Urban CLim.</t>
        </is>
      </c>
      <c r="AU1037" t="inlineStr">
        <is>
          <t>SEP</t>
        </is>
      </c>
      <c r="AV1037" t="n">
        <v>2023</v>
      </c>
      <c r="AW1037" t="n">
        <v>51</v>
      </c>
      <c r="BE1037" t="n">
        <v>101635</v>
      </c>
      <c r="BF1037" t="inlineStr">
        <is>
          <t>10.1016/j.uclim.2023.101635</t>
        </is>
      </c>
      <c r="BG1037">
        <f>HYPERLINK("http://dx.doi.org/10.1016/j.uclim.2023.101635","http://dx.doi.org/10.1016/j.uclim.2023.101635")</f>
        <v/>
      </c>
      <c r="BJ1037" t="n">
        <v>8</v>
      </c>
      <c r="BK1037" t="inlineStr">
        <is>
          <t>Environmental Sciences; Meteorology &amp; Atmospheric Sciences</t>
        </is>
      </c>
      <c r="BL1037" t="inlineStr">
        <is>
          <t>Science Citation Index Expanded (SCI-EXPANDED)</t>
        </is>
      </c>
      <c r="BM1037" t="inlineStr">
        <is>
          <t>Environmental Sciences &amp; Ecology; Meteorology &amp; Atmospheric Sciences</t>
        </is>
      </c>
      <c r="BN1037" t="inlineStr">
        <is>
          <t>P6YE2</t>
        </is>
      </c>
      <c r="BP1037" t="inlineStr">
        <is>
          <t>hybrid</t>
        </is>
      </c>
      <c r="BS1037" t="inlineStr">
        <is>
          <t>2023-10-26</t>
        </is>
      </c>
      <c r="BT1037" t="inlineStr">
        <is>
          <t>WOS:001052102200001</t>
        </is>
      </c>
      <c r="BU1037">
        <f>HYPERLINK("https%3A%2F%2Fwww.webofscience.com%2Fwos%2Fwoscc%2Ffull-record%2FWOS:001052102200001","View Full Record in Web of Science")</f>
        <v/>
      </c>
    </row>
    <row r="1038">
      <c r="A1038" t="inlineStr">
        <is>
          <t>J</t>
        </is>
      </c>
      <c r="B1038" t="inlineStr">
        <is>
          <t>Xu, GL; Xu, LC; Jia, L</t>
        </is>
      </c>
      <c r="F1038" t="inlineStr">
        <is>
          <t>Xu, Guoliang; Xu, Longchao; Jia, Li</t>
        </is>
      </c>
      <c r="J1038" t="inlineStr">
        <is>
          <t>SUSTAINABILITY</t>
        </is>
      </c>
      <c r="M1038" t="inlineStr">
        <is>
          <t>English</t>
        </is>
      </c>
      <c r="N1038" t="inlineStr">
        <is>
          <t>Article</t>
        </is>
      </c>
      <c r="T1038" t="inlineStr">
        <is>
          <t>Research on Mortality Risk of Chinese Older Adults from the Perspective of Social Health</t>
        </is>
      </c>
      <c r="U1038" t="inlineStr">
        <is>
          <t>older adults; social health; mortality risk; Cox proportional hazard model; CLHLS</t>
        </is>
      </c>
      <c r="V1038" t="inlineStr">
        <is>
          <t>SUPPORT; LIFE; SELF</t>
        </is>
      </c>
      <c r="W1038" t="inlineStr">
        <is>
          <t>In response to the increasing aging problem that China is facing, this study aimed to investigate the impact of social health on the mortality risk of the Chinese older adult population. In this paper, we used the data from The Chinese Longitudinal Health Longevity Survey (CLHLS)-Longitudinal Data (2008-2018) and applied the Cox proportional hazard model to investigate the effects of three dimensions of social health on the risk of death among older adults in China. The study found that: (1) The three dimensions of social health have a positive effect on the mortality risk of older adults. (2) Among those three dimensions, social activities had the most significant effect on older adults. The effect of social support and social network on the mortality risk of older adults are basically similar. Moreover, social activity, social support, and the social network had no significant effect on the young-old's mortality risk. (3) In order to address the problem of data censoring, the Cox proportional hazard model can be used, whereas demographic characteristics, health status, and health behavior components are selective to society. This study enriches social health research in China and promotes the development of social health research from theory to practice. Moreover, it has obvious advantages in terms of economics and feasibility for achieving mortality risk reduction through improving the social health of older adults and building a healthy aging society.</t>
        </is>
      </c>
      <c r="X1038" t="inlineStr">
        <is>
          <t>[Xu, Guoliang; Jia, Li] Guangdong Med Univ, Sch Humanities &amp; Management, Zhanjiang 524023, Peoples R China; [Xu, Longchao] Natl Chi Nan Univ, Dept Social Policy &amp; Social Work, Puli Township 54561, Nantou County, Taiwan</t>
        </is>
      </c>
      <c r="Y1038" t="inlineStr">
        <is>
          <t>Guangdong Medical University; National Chi Nan University</t>
        </is>
      </c>
      <c r="Z1038" t="inlineStr">
        <is>
          <t>Jia, L (corresponding author), Guangdong Med Univ, Sch Humanities &amp; Management, Zhanjiang 524023, Peoples R China.</t>
        </is>
      </c>
      <c r="AA1038" t="inlineStr">
        <is>
          <t>jiali@gdmu.edu.cn</t>
        </is>
      </c>
      <c r="AD1038" t="inlineStr">
        <is>
          <t>2022 Zhanjiang Philosophy and Social Science Planning Project [ZJ22YB33]; Education and Teaching Planning Project of Guangdong Province 2022 (Higher Education Special) [2022GXJK206]</t>
        </is>
      </c>
      <c r="AE1038" t="inlineStr">
        <is>
          <t>2022 Zhanjiang Philosophy and Social Science Planning Project; Education and Teaching Planning Project of Guangdong Province 2022 (Higher Education Special)</t>
        </is>
      </c>
      <c r="AF1038" t="inlineStr">
        <is>
          <t>This research was funded by [2022 Zhanjiang Philosophy and Social Science Planning Project] grant number [ZJ22YB33] and [Education and Teaching Planning Project of Guangdong Province 2022 (Higher Education Special)] grant number [2022GXJK206].</t>
        </is>
      </c>
      <c r="AH1038" t="n">
        <v>51</v>
      </c>
      <c r="AI1038" t="n">
        <v>0</v>
      </c>
      <c r="AJ1038" t="n">
        <v>0</v>
      </c>
      <c r="AK1038" t="n">
        <v>17</v>
      </c>
      <c r="AL1038" t="n">
        <v>21</v>
      </c>
      <c r="AM1038" t="inlineStr">
        <is>
          <t>MDPI</t>
        </is>
      </c>
      <c r="AN1038" t="inlineStr">
        <is>
          <t>BASEL</t>
        </is>
      </c>
      <c r="AO1038" t="inlineStr">
        <is>
          <t>ST ALBAN-ANLAGE 66, CH-4052 BASEL, SWITZERLAND</t>
        </is>
      </c>
      <c r="AQ1038" t="inlineStr">
        <is>
          <t>2071-1050</t>
        </is>
      </c>
      <c r="AS1038" t="inlineStr">
        <is>
          <t>SUSTAINABILITY-BASEL</t>
        </is>
      </c>
      <c r="AT1038" t="inlineStr">
        <is>
          <t>Sustainability</t>
        </is>
      </c>
      <c r="AU1038" t="inlineStr">
        <is>
          <t>DEC</t>
        </is>
      </c>
      <c r="AV1038" t="n">
        <v>2022</v>
      </c>
      <c r="AW1038" t="n">
        <v>14</v>
      </c>
      <c r="AX1038" t="n">
        <v>24</v>
      </c>
      <c r="BE1038" t="n">
        <v>16355</v>
      </c>
      <c r="BF1038" t="inlineStr">
        <is>
          <t>10.3390/su142416355</t>
        </is>
      </c>
      <c r="BG1038">
        <f>HYPERLINK("http://dx.doi.org/10.3390/su142416355","http://dx.doi.org/10.3390/su142416355")</f>
        <v/>
      </c>
      <c r="BJ1038" t="n">
        <v>15</v>
      </c>
      <c r="BK1038" t="inlineStr">
        <is>
          <t>Green &amp; Sustainable Science &amp; Technology; Environmental Sciences; Environmental Studies</t>
        </is>
      </c>
      <c r="BL1038" t="inlineStr">
        <is>
          <t>Science Citation Index Expanded (SCI-EXPANDED); Social Science Citation Index (SSCI)</t>
        </is>
      </c>
      <c r="BM1038" t="inlineStr">
        <is>
          <t>Science &amp; Technology - Other Topics; Environmental Sciences &amp; Ecology</t>
        </is>
      </c>
      <c r="BN1038" t="inlineStr">
        <is>
          <t>7I9KL</t>
        </is>
      </c>
      <c r="BP1038" t="inlineStr">
        <is>
          <t>gold</t>
        </is>
      </c>
      <c r="BS1038" t="inlineStr">
        <is>
          <t>2023-10-26</t>
        </is>
      </c>
      <c r="BT1038" t="inlineStr">
        <is>
          <t>WOS:000904207300001</t>
        </is>
      </c>
      <c r="BU1038">
        <f>HYPERLINK("https%3A%2F%2Fwww.webofscience.com%2Fwos%2Fwoscc%2Ffull-record%2FWOS:000904207300001","View Full Record in Web of Science")</f>
        <v/>
      </c>
    </row>
    <row r="1039">
      <c r="A1039" t="inlineStr">
        <is>
          <t>J</t>
        </is>
      </c>
      <c r="B1039" t="inlineStr">
        <is>
          <t>Kim, AR; Park, JH; Park, HY</t>
        </is>
      </c>
      <c r="F1039" t="inlineStr">
        <is>
          <t>Kim, Ah-Ram; Park, Jin-Hyuck; Park, Hae Yean</t>
        </is>
      </c>
      <c r="J1039" t="inlineStr">
        <is>
          <t>INTERNATIONAL JOURNAL OF ENVIRONMENTAL RESEARCH AND PUBLIC HEALTH</t>
        </is>
      </c>
      <c r="M1039" t="inlineStr">
        <is>
          <t>English</t>
        </is>
      </c>
      <c r="N1039" t="inlineStr">
        <is>
          <t>Article</t>
        </is>
      </c>
      <c r="T1039" t="inlineStr">
        <is>
          <t>Analysis of Factors Affecting Depression in Older Adults in South Korea</t>
        </is>
      </c>
      <c r="U1039" t="inlineStr">
        <is>
          <t>depression; Korean Longitudinal Study of Aging (KLoSA); machine learning; older adult</t>
        </is>
      </c>
      <c r="V1039" t="inlineStr">
        <is>
          <t>MINI-MENTAL-STATE; PHYSICAL-ACTIVITY; SYMPTOMS; PREVENTION; IMPAIRMENT; DEMENTIA; LIFE; AGE</t>
        </is>
      </c>
      <c r="W1039" t="inlineStr">
        <is>
          <t>Objective: This study aimed to analyze the factors affecting depression among South Korean middle-aged and older adults using data from the Korean Longitudinal Study of Aging. Methods: We analyzed data regarding demographic characteristics, lifestyle, quality of life, cognitive level, and depression. Cognitive level and depression were evaluated using the Korean-Mini-Mental Status Examination and Center for Epidemiological Studies Depression Scale, respectively. Results: Depression was correlated with age, gender, residential area, level of education, alcohol intake, regular exercise, life satisfaction, and cognitive level, but not smoking. Furthermore, depression was highly affected by age, residential area, regular exercise, life satisfaction, and cognitive level, with a prediction accuracy of 80.26% achieved through machine learning analysis. Conclusions: Various factors are associated with depression in middle-aged and older adults. Therefore, multifaceted interventions for preventing depression in these age groups are required.</t>
        </is>
      </c>
      <c r="X1039" t="inlineStr">
        <is>
          <t>[Kim, Ah-Ram] Yonsei Univ, Grad Sch, Dept Occupat Therapy, Wonju 26493, South Korea; [Park, Jin-Hyuck] Soonchunhyang Univ, Dept Occupat Therapy, Asan 31538, South Korea; [Park, Hae Yean] Yonsei Univ, Dept Occupat Therapy, Coll Software &amp; Digital Healthcare Convergence, Wonju 26493, South Korea</t>
        </is>
      </c>
      <c r="Y1039" t="inlineStr">
        <is>
          <t>Yonsei University; Soonchunhyang University; Yonsei University</t>
        </is>
      </c>
      <c r="Z1039" t="inlineStr">
        <is>
          <t>Park, HY (corresponding author), Yonsei Univ, Dept Occupat Therapy, Coll Software &amp; Digital Healthcare Convergence, Wonju 26493, South Korea.</t>
        </is>
      </c>
      <c r="AA1039" t="inlineStr">
        <is>
          <t>aramkim495@gmail.com; roophy@naver.com; haepark@yonsei.ac.kr</t>
        </is>
      </c>
      <c r="AC1039" t="inlineStr">
        <is>
          <t>Park, Jin-Hyuck/0000-0002-0222-8901; Kim, Ah-Ram/0000-0003-2726-5239</t>
        </is>
      </c>
      <c r="AD1039" t="inlineStr">
        <is>
          <t>National Research Foundation of Korea (NRF) - Korea government (MSIT) [NRF-2020R1C1C1011374]</t>
        </is>
      </c>
      <c r="AE1039" t="inlineStr">
        <is>
          <t>National Research Foundation of Korea (NRF) - Korea government (MSIT)(National Research Foundation of KoreaMinistry of Science, ICT &amp; Future Planning, Republic of KoreaMinistry of Science &amp; ICT (MSIT), Republic of Korea)</t>
        </is>
      </c>
      <c r="AF1039" t="inlineStr">
        <is>
          <t>This work was supported by the National Research Foundation of Korea (NRF) grant funded by the Korea government (MSIT) (NRF-2020R1C1C1011374).</t>
        </is>
      </c>
      <c r="AH1039" t="n">
        <v>40</v>
      </c>
      <c r="AI1039" t="n">
        <v>2</v>
      </c>
      <c r="AJ1039" t="n">
        <v>2</v>
      </c>
      <c r="AK1039" t="n">
        <v>4</v>
      </c>
      <c r="AL1039" t="n">
        <v>39</v>
      </c>
      <c r="AM1039" t="inlineStr">
        <is>
          <t>MDPI</t>
        </is>
      </c>
      <c r="AN1039" t="inlineStr">
        <is>
          <t>BASEL</t>
        </is>
      </c>
      <c r="AO1039" t="inlineStr">
        <is>
          <t>ST ALBAN-ANLAGE 66, CH-4052 BASEL, SWITZERLAND</t>
        </is>
      </c>
      <c r="AQ1039" t="inlineStr">
        <is>
          <t>1660-4601</t>
        </is>
      </c>
      <c r="AS1039" t="inlineStr">
        <is>
          <t>INT J ENV RES PUB HE</t>
        </is>
      </c>
      <c r="AT1039" t="inlineStr">
        <is>
          <t>Int. J. Environ. Res. Public Health</t>
        </is>
      </c>
      <c r="AU1039" t="inlineStr">
        <is>
          <t>SEP</t>
        </is>
      </c>
      <c r="AV1039" t="n">
        <v>2021</v>
      </c>
      <c r="AW1039" t="n">
        <v>18</v>
      </c>
      <c r="AX1039" t="n">
        <v>18</v>
      </c>
      <c r="BE1039" t="n">
        <v>9887</v>
      </c>
      <c r="BF1039" t="inlineStr">
        <is>
          <t>10.3390/ijerph18189887</t>
        </is>
      </c>
      <c r="BG1039">
        <f>HYPERLINK("http://dx.doi.org/10.3390/ijerph18189887","http://dx.doi.org/10.3390/ijerph18189887")</f>
        <v/>
      </c>
      <c r="BJ1039" t="n">
        <v>10</v>
      </c>
      <c r="BK1039" t="inlineStr">
        <is>
          <t>Environmental Sciences; Public, Environmental &amp; Occupational Health</t>
        </is>
      </c>
      <c r="BL1039" t="inlineStr">
        <is>
          <t>Science Citation Index Expanded (SCI-EXPANDED); Social Science Citation Index (SSCI)</t>
        </is>
      </c>
      <c r="BM1039" t="inlineStr">
        <is>
          <t>Environmental Sciences &amp; Ecology; Public, Environmental &amp; Occupational Health</t>
        </is>
      </c>
      <c r="BN1039" t="inlineStr">
        <is>
          <t>UV8QF</t>
        </is>
      </c>
      <c r="BO1039" t="n">
        <v>34574810</v>
      </c>
      <c r="BP1039" t="inlineStr">
        <is>
          <t>gold, Green Published</t>
        </is>
      </c>
      <c r="BS1039" t="inlineStr">
        <is>
          <t>2023-10-26</t>
        </is>
      </c>
      <c r="BT1039" t="inlineStr">
        <is>
          <t>WOS:000699734900001</t>
        </is>
      </c>
      <c r="BU1039">
        <f>HYPERLINK("https%3A%2F%2Fwww.webofscience.com%2Fwos%2Fwoscc%2Ffull-record%2FWOS:000699734900001","View Full Record in Web of Science")</f>
        <v/>
      </c>
    </row>
    <row r="1040">
      <c r="A1040" t="inlineStr">
        <is>
          <t>J</t>
        </is>
      </c>
      <c r="B1040" t="inlineStr">
        <is>
          <t>Hwang, IT; Kim, GT; Yoo, JH; Lee, JS</t>
        </is>
      </c>
      <c r="F1040" t="inlineStr">
        <is>
          <t>Hwang, In Tae; Kim, Gil Tae; Yoo, Jung Hyun; Lee, Jong Sung</t>
        </is>
      </c>
      <c r="J1040" t="inlineStr">
        <is>
          <t>SUSTAINABILITY</t>
        </is>
      </c>
      <c r="M1040" t="inlineStr">
        <is>
          <t>English</t>
        </is>
      </c>
      <c r="N1040" t="inlineStr">
        <is>
          <t>Article</t>
        </is>
      </c>
      <c r="T1040" t="inlineStr">
        <is>
          <t>Improvement of the Korean Design Criteria on Wall-To-Wall Junctions to Prevent Condensation in Apartment Houses</t>
        </is>
      </c>
      <c r="U1040" t="inlineStr">
        <is>
          <t>South Korea; indoor temperature; indoor humidity; condensation; design criteria</t>
        </is>
      </c>
      <c r="V1040" t="inlineStr">
        <is>
          <t>MOISTURE PROBLEMS; RISK-FACTOR; BUILDINGS; HUMIDITY; EXPOSURE; COLD; TEMPERATURE; VENTILATION; HEALTH; MOLD</t>
        </is>
      </c>
      <c r="W1040" t="inlineStr">
        <is>
          <t>Maintaining a proper temperature and humidity in a living space is very important for the health and comfort of apartment residents. Poor residential thermal conditions are recognized as a potential risk to the overall physical health. Thus, building development criteria that maintain an indoor environment separate from the outside environment have been continuously strengthened. However, this has not been the case in Korea, with regards to design criteria for the prevention of indoor condensation. In Korea, condensation occurs indoors frequently, during the winter season. When the outside temperature is low during the winter, a high indoor temperature and humidity would affect the indoor building materials and cause condensation. This study investigated and analyzed the indoor temperature and humidity during winter-when there is a significant difference in the outdoor and indoor temperatures-and conducted a survey on the residents' lifestyles. Construction design criteria were found to be different from those of the past, and possible causes of changes in temperature and humidity were examined. We intended to establish enhanced design criteria that would prevent indoor condensation, by comparing our results to that of a study conducted in 2003.</t>
        </is>
      </c>
      <c r="X1040" t="inlineStr">
        <is>
          <t>[Hwang, In Tae; Kim, Gil Tae; Lee, Jong Sung] Korea Land &amp; Housing Inst Corp, Ctr Housing Environm Res &amp; Innovat, Sejong 30065, South Korea; [Yoo, Jung Hyun] Korea Land &amp; Housing Corp Inst, Adv Technol Dept, Daejeon 34047, South Korea</t>
        </is>
      </c>
      <c r="Z1040" t="inlineStr">
        <is>
          <t>Lee, JS (corresponding author), Korea Land &amp; Housing Inst Corp, Ctr Housing Environm Res &amp; Innovat, Sejong 30065, South Korea.</t>
        </is>
      </c>
      <c r="AA1040" t="inlineStr">
        <is>
          <t>hit1009@lh.or.kr; gtkim1@lh.or.kr; jhyoo@lh.or.kr; jslee1@lh.or.kr</t>
        </is>
      </c>
      <c r="AB1040" t="inlineStr">
        <is>
          <t>yoo, junghyun/I-8427-2018</t>
        </is>
      </c>
      <c r="AC1040" t="inlineStr">
        <is>
          <t>yoo, junghyun/0000-0001-5142-6501</t>
        </is>
      </c>
      <c r="AD1040" t="inlineStr">
        <is>
          <t>Residential Environment Research Program - Ministry of Land, Infrastructure, and Transport of the Korean government [19RERP-B082204-06]; Korea Agency for Infrastructure Technology Advancement (KAIA) [82206] Funding Source: Korea Institute of Science &amp; Technology Information (KISTI), National Science &amp; Technology Information Service (NTIS)</t>
        </is>
      </c>
      <c r="AE1040" t="inlineStr">
        <is>
          <t>Residential Environment Research Program - Ministry of Land, Infrastructure, and Transport of the Korean government; Korea Agency for Infrastructure Technology Advancement (KAIA)(Korea Agency for Infrastructure Technology Advancement (KAIA))</t>
        </is>
      </c>
      <c r="AF1040" t="inlineStr">
        <is>
          <t>This research was supported by a grant (19RERP-B082204-06) from the Residential Environment Research Program funded by the Ministry of Land, Infrastructure, and Transport of the Korean government.</t>
        </is>
      </c>
      <c r="AH1040" t="n">
        <v>40</v>
      </c>
      <c r="AI1040" t="n">
        <v>1</v>
      </c>
      <c r="AJ1040" t="n">
        <v>1</v>
      </c>
      <c r="AK1040" t="n">
        <v>0</v>
      </c>
      <c r="AL1040" t="n">
        <v>5</v>
      </c>
      <c r="AM1040" t="inlineStr">
        <is>
          <t>MDPI</t>
        </is>
      </c>
      <c r="AN1040" t="inlineStr">
        <is>
          <t>BASEL</t>
        </is>
      </c>
      <c r="AO1040" t="inlineStr">
        <is>
          <t>ST ALBAN-ANLAGE 66, CH-4052 BASEL, SWITZERLAND</t>
        </is>
      </c>
      <c r="AP1040" t="inlineStr">
        <is>
          <t>2071-1050</t>
        </is>
      </c>
      <c r="AS1040" t="inlineStr">
        <is>
          <t>SUSTAINABILITY-BASEL</t>
        </is>
      </c>
      <c r="AT1040" t="inlineStr">
        <is>
          <t>Sustainability</t>
        </is>
      </c>
      <c r="AU1040" t="inlineStr">
        <is>
          <t>JUN 2</t>
        </is>
      </c>
      <c r="AV1040" t="n">
        <v>2019</v>
      </c>
      <c r="AW1040" t="n">
        <v>11</v>
      </c>
      <c r="AX1040" t="n">
        <v>12</v>
      </c>
      <c r="BE1040" t="n">
        <v>3272</v>
      </c>
      <c r="BF1040" t="inlineStr">
        <is>
          <t>10.3390/su11123272</t>
        </is>
      </c>
      <c r="BG1040">
        <f>HYPERLINK("http://dx.doi.org/10.3390/su11123272","http://dx.doi.org/10.3390/su11123272")</f>
        <v/>
      </c>
      <c r="BJ1040" t="n">
        <v>14</v>
      </c>
      <c r="BK1040" t="inlineStr">
        <is>
          <t>Green &amp; Sustainable Science &amp; Technology; Environmental Sciences; Environmental Studies</t>
        </is>
      </c>
      <c r="BL1040" t="inlineStr">
        <is>
          <t>Science Citation Index Expanded (SCI-EXPANDED); Social Science Citation Index (SSCI)</t>
        </is>
      </c>
      <c r="BM1040" t="inlineStr">
        <is>
          <t>Science &amp; Technology - Other Topics; Environmental Sciences &amp; Ecology</t>
        </is>
      </c>
      <c r="BN1040" t="inlineStr">
        <is>
          <t>IG4DG</t>
        </is>
      </c>
      <c r="BP1040" t="inlineStr">
        <is>
          <t>Green Published, gold</t>
        </is>
      </c>
      <c r="BS1040" t="inlineStr">
        <is>
          <t>2023-10-26</t>
        </is>
      </c>
      <c r="BT1040" t="inlineStr">
        <is>
          <t>WOS:000473753700042</t>
        </is>
      </c>
      <c r="BU1040">
        <f>HYPERLINK("https%3A%2F%2Fwww.webofscience.com%2Fwos%2Fwoscc%2Ffull-record%2FWOS:000473753700042","View Full Record in Web of Science")</f>
        <v/>
      </c>
    </row>
    <row r="1041">
      <c r="A1041" t="inlineStr">
        <is>
          <t>J</t>
        </is>
      </c>
      <c r="B1041" t="inlineStr">
        <is>
          <t>Isiugo, K; Jandarov, R; Cox, J; Chillrud, S; Grinshpun, SA; Hyttinen, M; Yermakov, M; Wang, JL; Ross, J; Reponen, T</t>
        </is>
      </c>
      <c r="F1041" t="inlineStr">
        <is>
          <t>Isiugo, Kelechi; Jandarov, Roman; Cox, Jennie; Chillrud, Steve; Grinshpun, Sergey A.; Hyttinen, Marko; Yermakov, Michael; Wang, Julian; Ross, James; Reponen, Tiina</t>
        </is>
      </c>
      <c r="J1041" t="inlineStr">
        <is>
          <t>ATMOSPHERIC ENVIRONMENT</t>
        </is>
      </c>
      <c r="M1041" t="inlineStr">
        <is>
          <t>English</t>
        </is>
      </c>
      <c r="N1041" t="inlineStr">
        <is>
          <t>Article</t>
        </is>
      </c>
      <c r="T1041" t="inlineStr">
        <is>
          <t>Predicting indoor concentrations of black carbon in residential environments</t>
        </is>
      </c>
      <c r="U1041" t="inlineStr">
        <is>
          <t>Black carbon; Exposure; Modeling; Estimation</t>
        </is>
      </c>
      <c r="V1041" t="inlineStr">
        <is>
          <t>AIR-POLLUTION; ULTRAFINE PARTICLES; NITROGEN-DIOXIDE; PARTICULATE MATTER; EXPOSURE; FINE; TIME; MODEL; COMBUSTION; FILTER</t>
        </is>
      </c>
      <c r="W1041" t="inlineStr">
        <is>
          <t>Black carbon (BC) is a descriptive term that refers to light-absorbing particulate matter (PM) produced by incomplete combustion and is often used as a surrogate for traffic-related air pollution. Exposure to BC has been linked to adverse health effects. Penetration of ambient BC is typically the primary source of indoor BC in the developed world. Other sources of indoor BC include biomass and kerosene stoves, lit candles, and charring food during cooking. Home characteristics can influence the levels of indoor BC. As people spend most of their time indoors, human exposure to BC can be associated to a large extent with indoor environments. At the same time, due to the cost of environmental monitoring, it is often not feasible to directly measure BC inside multiple individual homes in large-scale population-based studies. Thus, a predictive model for indoor BC is needed to support risk assessment in public health. In this study, home characteristics and occupant activities that potentially modify indoor levels of BC were documented in 23 homes, and indoor and outdoor BC concentrations were measured twice. The homes were located in the Cincinnati-Kentucky-Indiana tristate region and measurements occurred from September 2015 through August 2017. A linear mixed-effect model was developed to predict BC concentration in residential environments. The measured outdoor BC concentrations and the documented home characteristics were utilized as predictors of indoor BC concentrations. After the model was developed, a leave-one-out cross-validation algorithm was deployed to assess the predictive accuracy of the output. The following home characteristics and occupant activities significantly modified the concentration of indoor BC: outdoor BC, lit candles and electrostatic or high efficiency particulate air (HEPA) filters in heating, ventilation and air conditioning (HVAC) systems. Predicted indoor BC concentrations explained 78% of the variability in the measured indoor BC concentrations. The data show that outdoor BC combined with home characteristics can be used to predict indoor BC levels with reasonable accuracy.</t>
        </is>
      </c>
      <c r="X1041" t="inlineStr">
        <is>
          <t>[Isiugo, Kelechi; Jandarov, Roman; Cox, Jennie; Grinshpun, Sergey A.; Yermakov, Michael; Reponen, Tiina] Univ Cincinnati, Dept Environm Hlth, Kettering Lab, 160 Panzeca Way, Cincinnati, OH 45267 USA; [Chillrud, Steve; Ross, James] Columbia Univ, Lamont Doherty Earth Observ, New York, NY USA; [Hyttinen, Marko] Univ Eastern Finland, Dept Environm &amp; Biol Sci, Kuopio, Finland; [Wang, Julian] Univ Cincinnati, Dept Civil &amp; Architectural Engn &amp; Construct Manag, Cincinnati, OH USA</t>
        </is>
      </c>
      <c r="Y1041" t="inlineStr">
        <is>
          <t>University System of Ohio; University of Cincinnati; Columbia University; University of Eastern Finland; University System of Ohio; University of Cincinnati</t>
        </is>
      </c>
      <c r="Z1041" t="inlineStr">
        <is>
          <t>Reponen, T (corresponding author), Univ Cincinnati, Dept Environm Hlth, Kettering Lab, 160 Panzeca Way, Cincinnati, OH 45267 USA.</t>
        </is>
      </c>
      <c r="AA1041" t="inlineStr">
        <is>
          <t>Tiina.Reponen@uc.edu</t>
        </is>
      </c>
      <c r="AC1041" t="inlineStr">
        <is>
          <t>Wang, Julian/0000-0002-3056-5569; Reponen, Tiina/0000-0002-7987-4901; Grinshpun, Sergey/0000-0003-4339-927X; Chillrud, Steven/0000-0001-6685-0401; Hyttinen, Marko/0000-0002-9559-095X; Isiugo, Kelechi/0000-0002-9090-2141</t>
        </is>
      </c>
      <c r="AD1041" t="inlineStr">
        <is>
          <t>United States Department of Housing and Urban Development [OHHHU0027-14]; University of Cincinnati Graduate Assistantship and Graduate Scholarship; National Institutes of Health [P30ES009089]</t>
        </is>
      </c>
      <c r="AE1041" t="inlineStr">
        <is>
          <t>United States Department of Housing and Urban Development; University of Cincinnati Graduate Assistantship and Graduate Scholarship; National Institutes of Health(United States Department of Health &amp; Human ServicesNational Institutes of Health (NIH) - USA)</t>
        </is>
      </c>
      <c r="AF1041" t="inlineStr">
        <is>
          <t>This study was supported by the United States Department of Housing and Urban Development (Grant OHHHU0027-14). K.I. was funded by the University of Cincinnati Graduate Assistantship and Graduate Scholarship. Additional support was provided by the National Institutes of Health (Grant P30ES009089).</t>
        </is>
      </c>
      <c r="AH1041" t="n">
        <v>58</v>
      </c>
      <c r="AI1041" t="n">
        <v>11</v>
      </c>
      <c r="AJ1041" t="n">
        <v>11</v>
      </c>
      <c r="AK1041" t="n">
        <v>0</v>
      </c>
      <c r="AL1041" t="n">
        <v>23</v>
      </c>
      <c r="AM1041" t="inlineStr">
        <is>
          <t>PERGAMON-ELSEVIER SCIENCE LTD</t>
        </is>
      </c>
      <c r="AN1041" t="inlineStr">
        <is>
          <t>OXFORD</t>
        </is>
      </c>
      <c r="AO1041" t="inlineStr">
        <is>
          <t>THE BOULEVARD, LANGFORD LANE, KIDLINGTON, OXFORD OX5 1GB, ENGLAND</t>
        </is>
      </c>
      <c r="AP1041" t="inlineStr">
        <is>
          <t>1352-2310</t>
        </is>
      </c>
      <c r="AQ1041" t="inlineStr">
        <is>
          <t>1873-2844</t>
        </is>
      </c>
      <c r="AS1041" t="inlineStr">
        <is>
          <t>ATMOS ENVIRON</t>
        </is>
      </c>
      <c r="AT1041" t="inlineStr">
        <is>
          <t>Atmos. Environ.</t>
        </is>
      </c>
      <c r="AU1041" t="inlineStr">
        <is>
          <t>MAR 1</t>
        </is>
      </c>
      <c r="AV1041" t="n">
        <v>2019</v>
      </c>
      <c r="AW1041" t="n">
        <v>201</v>
      </c>
      <c r="BC1041" t="n">
        <v>223</v>
      </c>
      <c r="BD1041" t="n">
        <v>230</v>
      </c>
      <c r="BF1041" t="inlineStr">
        <is>
          <t>10.1016/j.atmosenv.2018.12.053</t>
        </is>
      </c>
      <c r="BG1041">
        <f>HYPERLINK("http://dx.doi.org/10.1016/j.atmosenv.2018.12.053","http://dx.doi.org/10.1016/j.atmosenv.2018.12.053")</f>
        <v/>
      </c>
      <c r="BJ1041" t="n">
        <v>8</v>
      </c>
      <c r="BK1041" t="inlineStr">
        <is>
          <t>Environmental Sciences; Meteorology &amp; Atmospheric Sciences</t>
        </is>
      </c>
      <c r="BL1041" t="inlineStr">
        <is>
          <t>Science Citation Index Expanded (SCI-EXPANDED)</t>
        </is>
      </c>
      <c r="BM1041" t="inlineStr">
        <is>
          <t>Environmental Sciences &amp; Ecology; Meteorology &amp; Atmospheric Sciences</t>
        </is>
      </c>
      <c r="BN1041" t="inlineStr">
        <is>
          <t>HM9XI</t>
        </is>
      </c>
      <c r="BO1041" t="n">
        <v>31598090</v>
      </c>
      <c r="BP1041" t="inlineStr">
        <is>
          <t>Green Accepted</t>
        </is>
      </c>
      <c r="BS1041" t="inlineStr">
        <is>
          <t>2023-10-26</t>
        </is>
      </c>
      <c r="BT1041" t="inlineStr">
        <is>
          <t>WOS:000459837900022</t>
        </is>
      </c>
      <c r="BU1041">
        <f>HYPERLINK("https%3A%2F%2Fwww.webofscience.com%2Fwos%2Fwoscc%2Ffull-record%2FWOS:000459837900022","View Full Record in Web of Science")</f>
        <v/>
      </c>
    </row>
    <row r="1042">
      <c r="A1042" t="inlineStr">
        <is>
          <t>J</t>
        </is>
      </c>
      <c r="B1042" t="inlineStr">
        <is>
          <t>Berkowsky, RW</t>
        </is>
      </c>
      <c r="F1042" t="inlineStr">
        <is>
          <t>Berkowsky, Ronald W.</t>
        </is>
      </c>
      <c r="J1042" t="inlineStr">
        <is>
          <t>INTERNATIONAL JOURNAL OF ENVIRONMENTAL RESEARCH AND PUBLIC HEALTH</t>
        </is>
      </c>
      <c r="M1042" t="inlineStr">
        <is>
          <t>English</t>
        </is>
      </c>
      <c r="N1042" t="inlineStr">
        <is>
          <t>Article</t>
        </is>
      </c>
      <c r="T1042" t="inlineStr">
        <is>
          <t>Elder Mistreatment and Psychological Well-Being among Older Americans</t>
        </is>
      </c>
      <c r="U1042" t="inlineStr">
        <is>
          <t>elder mistreatment; elder abuse; psychological well-being; eudaimonic well-being; older adults</t>
        </is>
      </c>
      <c r="V1042" t="inlineStr">
        <is>
          <t>ABUSE; MORTALITY; PURPOSE; LIFE; PREVALENCE; HEALTH; RISK; HAPPINESS; NEGLECT; WOMEN</t>
        </is>
      </c>
      <c r="W1042" t="inlineStr">
        <is>
          <t>Elder mistreatment is a major public health issue both in the US and around the globe. While extensive research has elucidated the association between elder mistreatment and health in older adults, little is known about the relationship between elder mistreatment and more eudaimonic measures of psychological well-being. Using data from the 2011 wave of the Wisconsin Longitudinal Study, this project examined the association between older adults' experience with varied forms of elder mistreatment and eudaimonic dimensions of psychological well-being including autonomy, environmental mastery, personal growth, positive relations with others, purpose in life, and self-acceptance. Ordinary least squares regression analyses found significant associations between experiences of elder mistreatment and psychological well-being. In particular, older adults who reported feeling that someone was too controlling over their daily lives and older adults who reported making donations to organizations they later worried were not legitimate reported significantly lower scores on all six psychological well-being dimensions. The results of this study suggest the negative effects of elder mistreatment can extend to more eudaimonic feelings of well-being, and programs designed to treat victims of elder mistreatment should incorporate strategies that help strengthen psychological well-being.</t>
        </is>
      </c>
      <c r="X1042" t="inlineStr">
        <is>
          <t>[Berkowsky, Ronald W.] Calif State Univ Channel Isl, Hlth Sci Program, 1 Univ Dr, Camarillo, CA 93012 USA</t>
        </is>
      </c>
      <c r="Y1042" t="inlineStr">
        <is>
          <t>California State University System; California State University Channel Islands</t>
        </is>
      </c>
      <c r="Z1042" t="inlineStr">
        <is>
          <t>Berkowsky, RW (corresponding author), Calif State Univ Channel Isl, Hlth Sci Program, 1 Univ Dr, Camarillo, CA 93012 USA.</t>
        </is>
      </c>
      <c r="AA1042" t="inlineStr">
        <is>
          <t>ronald.berkowsky@csuci.edu</t>
        </is>
      </c>
      <c r="AB1042" t="inlineStr">
        <is>
          <t>Berkowsky, Ronald W/AAZ-3075-2020</t>
        </is>
      </c>
      <c r="AC1042" t="inlineStr">
        <is>
          <t>Berkowsky, Ronald W/0000-0002-1238-0640</t>
        </is>
      </c>
      <c r="AD1042" t="inlineStr">
        <is>
          <t>National Institute on Aging [R01 AG009775, R01 AG033285]</t>
        </is>
      </c>
      <c r="AE1042" t="inlineStr">
        <is>
          <t>National Institute on Aging(United States Department of Health &amp; Human ServicesNational Institutes of Health (NIH) - USANIH National Institute on Aging (NIA))</t>
        </is>
      </c>
      <c r="AF1042" t="inlineStr">
        <is>
          <t>This project uses data from the Wisconsin Longitudinal Study, funded by the National Institute on Aging (R01 AG009775; R01 AG033285).</t>
        </is>
      </c>
      <c r="AH1042" t="n">
        <v>44</v>
      </c>
      <c r="AI1042" t="n">
        <v>2</v>
      </c>
      <c r="AJ1042" t="n">
        <v>2</v>
      </c>
      <c r="AK1042" t="n">
        <v>0</v>
      </c>
      <c r="AL1042" t="n">
        <v>6</v>
      </c>
      <c r="AM1042" t="inlineStr">
        <is>
          <t>MDPI</t>
        </is>
      </c>
      <c r="AN1042" t="inlineStr">
        <is>
          <t>BASEL</t>
        </is>
      </c>
      <c r="AO1042" t="inlineStr">
        <is>
          <t>ST ALBAN-ANLAGE 66, CH-4052 BASEL, SWITZERLAND</t>
        </is>
      </c>
      <c r="AQ1042" t="inlineStr">
        <is>
          <t>1660-4601</t>
        </is>
      </c>
      <c r="AS1042" t="inlineStr">
        <is>
          <t>INT J ENV RES PUB HE</t>
        </is>
      </c>
      <c r="AT1042" t="inlineStr">
        <is>
          <t>Int. J. Environ. Res. Public Health</t>
        </is>
      </c>
      <c r="AU1042" t="inlineStr">
        <is>
          <t>OCT</t>
        </is>
      </c>
      <c r="AV1042" t="n">
        <v>2020</v>
      </c>
      <c r="AW1042" t="n">
        <v>17</v>
      </c>
      <c r="AX1042" t="n">
        <v>20</v>
      </c>
      <c r="BE1042" t="n">
        <v>7525</v>
      </c>
      <c r="BF1042" t="inlineStr">
        <is>
          <t>10.3390/ijerph17207525</t>
        </is>
      </c>
      <c r="BG1042">
        <f>HYPERLINK("http://dx.doi.org/10.3390/ijerph17207525","http://dx.doi.org/10.3390/ijerph17207525")</f>
        <v/>
      </c>
      <c r="BJ1042" t="n">
        <v>13</v>
      </c>
      <c r="BK1042" t="inlineStr">
        <is>
          <t>Environmental Sciences; Public, Environmental &amp; Occupational Health</t>
        </is>
      </c>
      <c r="BL1042" t="inlineStr">
        <is>
          <t>Science Citation Index Expanded (SCI-EXPANDED); Social Science Citation Index (SSCI)</t>
        </is>
      </c>
      <c r="BM1042" t="inlineStr">
        <is>
          <t>Environmental Sciences &amp; Ecology; Public, Environmental &amp; Occupational Health</t>
        </is>
      </c>
      <c r="BN1042" t="inlineStr">
        <is>
          <t>OI0WO</t>
        </is>
      </c>
      <c r="BO1042" t="n">
        <v>33081145</v>
      </c>
      <c r="BP1042" t="inlineStr">
        <is>
          <t>Green Published, gold</t>
        </is>
      </c>
      <c r="BS1042" t="inlineStr">
        <is>
          <t>2023-10-26</t>
        </is>
      </c>
      <c r="BT1042" t="inlineStr">
        <is>
          <t>WOS:000583007400001</t>
        </is>
      </c>
      <c r="BU1042">
        <f>HYPERLINK("https%3A%2F%2Fwww.webofscience.com%2Fwos%2Fwoscc%2Ffull-record%2FWOS:000583007400001","View Full Record in Web of Science")</f>
        <v/>
      </c>
    </row>
    <row r="1043">
      <c r="A1043" t="inlineStr">
        <is>
          <t>J</t>
        </is>
      </c>
      <c r="B1043" t="inlineStr">
        <is>
          <t>Funderburk, L; Cardaci, T; Fink, A; Taylor, K; Rohde, J; Harris, D</t>
        </is>
      </c>
      <c r="F1043" t="inlineStr">
        <is>
          <t>Funderburk, LesLee; Cardaci, Thomas; Fink, Andrew; Taylor, Keyanna; Rohde, Jane; Harris, Debra</t>
        </is>
      </c>
      <c r="J1043" t="inlineStr">
        <is>
          <t>INTERNATIONAL JOURNAL OF ENVIRONMENTAL RESEARCH AND PUBLIC HEALTH</t>
        </is>
      </c>
      <c r="M1043" t="inlineStr">
        <is>
          <t>English</t>
        </is>
      </c>
      <c r="N1043" t="inlineStr">
        <is>
          <t>Review</t>
        </is>
      </c>
      <c r="T1043" t="inlineStr">
        <is>
          <t>Healthy Behaviors through Behavioral Design-Obesity Prevention</t>
        </is>
      </c>
      <c r="U1043" t="inlineStr">
        <is>
          <t>obesity; built environment; nutrition; physical activity; indoor environment quality</t>
        </is>
      </c>
      <c r="V1043" t="inlineStr">
        <is>
          <t>NIGHT-SHIFT WORK; MILITARY DINING FACILITIES; DOSE-RESPONSE RELATIONSHIP; BREAST-CANCER RISK; QUALITY-OF-LIFE; FOOD CHOICES; STAIR-USE; TASK-PERFORMANCE; INTERVENTIONS; METAANALYSIS</t>
        </is>
      </c>
      <c r="W1043" t="inlineStr">
        <is>
          <t>Evidence for behavior modification for improved health outcomes was evaluated for nutrition, physical activity (PA), and indoor environmental quality (IEQ). The databases searched included LISTA, PubMed, and Web of Science, with articles rated using an a priori baseline score of 70/100 to establish inclusion. The initial search produced 52,847 articles, 63 of which were included in the qualitative synthesis. Thirteen articles met inclusion for nutrition: cafeteria interventions, single interventions, and vending interventions. Seventeen articles on physical activity were included: stair use, walking, and adjustable desks. For IEQ, 33 articles met inclusion: circadian disruption, view and natural light, and artificial light. A narrative synthesis was used to find meaningful connections across interventions with evidence contributing to health improvements. Commonalities throughout the nutrition studies included choice architecture, increasing the availability of healthy food items, and point-of-purchase food labeling. Interventions that promoted PA included stair use, sit/stand furniture, workplace exercise facilities and walking. Exposure to natural light and views of natural elements were found to increase PA and improve sleep quality. Overexposure to artificial light may cause circadian disruption, suppressing melatonin and increasing risks of cancers. Overall, design that encourages healthy behaviors may lower risks associated with chronic disease.</t>
        </is>
      </c>
      <c r="X1043" t="inlineStr">
        <is>
          <t>[Funderburk, LesLee; Cardaci, Thomas; Fink, Andrew; Taylor, Keyanna; Harris, Debra] Baylor Univ, Robbins Coll Hlth &amp; Human Sci, Waco, TX 76798 USA; [Rohde, Jane; Harris, Debra] JSR Associates, Catonsville, MD 21228 USA</t>
        </is>
      </c>
      <c r="Y1043" t="inlineStr">
        <is>
          <t>Baylor University</t>
        </is>
      </c>
      <c r="Z1043" t="inlineStr">
        <is>
          <t>Funderburk, L (corresponding author), Baylor Univ, Robbins Coll Hlth &amp; Human Sci, Waco, TX 76798 USA.</t>
        </is>
      </c>
      <c r="AA1043" t="inlineStr">
        <is>
          <t>leslee_funderburk@baylor.edu; Tom_cardaci1@baylor.edu; Andrew_fink@baylor.edu; keyanna_taylor@baylor.edu; jane@jsrassociates.net; debra@rad-consultants.com</t>
        </is>
      </c>
      <c r="AB1043" t="inlineStr">
        <is>
          <t>Rohde, Jane/GSJ-1560-2022</t>
        </is>
      </c>
      <c r="AC1043" t="inlineStr">
        <is>
          <t>Funderburk, LesLee/0000-0002-6417-7601; Cardaci, Thomas/0000-0002-4339-819X</t>
        </is>
      </c>
      <c r="AD1043" t="inlineStr">
        <is>
          <t>Department of Health and Human Services, Centers for Disease Control and Prevention, Small Business Innovation Research Program Award [75D30118P03043]</t>
        </is>
      </c>
      <c r="AE1043" t="inlineStr">
        <is>
          <t>Department of Health and Human Services, Centers for Disease Control and Prevention, Small Business Innovation Research Program Award</t>
        </is>
      </c>
      <c r="AF1043" t="inlineStr">
        <is>
          <t>This research was funded by the Department of Health and Human Services, Centers for Disease Control and Prevention, Small Business Innovation Research Program Award, grant number 75D30118P03043.</t>
        </is>
      </c>
      <c r="AH1043" t="n">
        <v>105</v>
      </c>
      <c r="AI1043" t="n">
        <v>4</v>
      </c>
      <c r="AJ1043" t="n">
        <v>4</v>
      </c>
      <c r="AK1043" t="n">
        <v>1</v>
      </c>
      <c r="AL1043" t="n">
        <v>15</v>
      </c>
      <c r="AM1043" t="inlineStr">
        <is>
          <t>MDPI</t>
        </is>
      </c>
      <c r="AN1043" t="inlineStr">
        <is>
          <t>BASEL</t>
        </is>
      </c>
      <c r="AO1043" t="inlineStr">
        <is>
          <t>ST ALBAN-ANLAGE 66, CH-4052 BASEL, SWITZERLAND</t>
        </is>
      </c>
      <c r="AQ1043" t="inlineStr">
        <is>
          <t>1660-4601</t>
        </is>
      </c>
      <c r="AS1043" t="inlineStr">
        <is>
          <t>INT J ENV RES PUB HE</t>
        </is>
      </c>
      <c r="AT1043" t="inlineStr">
        <is>
          <t>Int. J. Environ. Res. Public Health</t>
        </is>
      </c>
      <c r="AU1043" t="inlineStr">
        <is>
          <t>JUL</t>
        </is>
      </c>
      <c r="AV1043" t="n">
        <v>2020</v>
      </c>
      <c r="AW1043" t="n">
        <v>17</v>
      </c>
      <c r="AX1043" t="n">
        <v>14</v>
      </c>
      <c r="BE1043" t="n">
        <v>5049</v>
      </c>
      <c r="BF1043" t="inlineStr">
        <is>
          <t>10.3390/ijerph17145049</t>
        </is>
      </c>
      <c r="BG1043">
        <f>HYPERLINK("http://dx.doi.org/10.3390/ijerph17145049","http://dx.doi.org/10.3390/ijerph17145049")</f>
        <v/>
      </c>
      <c r="BJ1043" t="n">
        <v>19</v>
      </c>
      <c r="BK1043" t="inlineStr">
        <is>
          <t>Environmental Sciences; Public, Environmental &amp; Occupational Health</t>
        </is>
      </c>
      <c r="BL1043" t="inlineStr">
        <is>
          <t>Science Citation Index Expanded (SCI-EXPANDED); Social Science Citation Index (SSCI)</t>
        </is>
      </c>
      <c r="BM1043" t="inlineStr">
        <is>
          <t>Environmental Sciences &amp; Ecology; Public, Environmental &amp; Occupational Health</t>
        </is>
      </c>
      <c r="BN1043" t="inlineStr">
        <is>
          <t>MV9YA</t>
        </is>
      </c>
      <c r="BO1043" t="n">
        <v>32674287</v>
      </c>
      <c r="BP1043" t="inlineStr">
        <is>
          <t>Green Published, gold</t>
        </is>
      </c>
      <c r="BS1043" t="inlineStr">
        <is>
          <t>2023-10-26</t>
        </is>
      </c>
      <c r="BT1043" t="inlineStr">
        <is>
          <t>WOS:000556703000001</t>
        </is>
      </c>
      <c r="BU1043">
        <f>HYPERLINK("https%3A%2F%2Fwww.webofscience.com%2Fwos%2Fwoscc%2Ffull-record%2FWOS:000556703000001","View Full Record in Web of Science")</f>
        <v/>
      </c>
    </row>
    <row r="1044">
      <c r="A1044" t="inlineStr">
        <is>
          <t>J</t>
        </is>
      </c>
      <c r="B1044" t="inlineStr">
        <is>
          <t>Kwan, Y; Choi, S; Eom, TR; Kim, TH</t>
        </is>
      </c>
      <c r="F1044" t="inlineStr">
        <is>
          <t>Kwan, Yunna; Choi, Sungwon; Eom, Tae Rim; Kim, Tae Hui</t>
        </is>
      </c>
      <c r="J1044" t="inlineStr">
        <is>
          <t>INTERNATIONAL JOURNAL OF ENVIRONMENTAL RESEARCH AND PUBLIC HEALTH</t>
        </is>
      </c>
      <c r="M1044" t="inlineStr">
        <is>
          <t>English</t>
        </is>
      </c>
      <c r="N1044" t="inlineStr">
        <is>
          <t>Article</t>
        </is>
      </c>
      <c r="T1044" t="inlineStr">
        <is>
          <t>Development of a Structured Interview to Explore Interpersonal Schema of Older Adults Living Alone Based on Autobiographical Memory</t>
        </is>
      </c>
      <c r="U1044" t="inlineStr">
        <is>
          <t>interpersonal relationship; interpersonal schema; older adults; structured interview</t>
        </is>
      </c>
      <c r="W1044" t="inlineStr">
        <is>
          <t>With a growing public interest in the social health of older adults, studies focusing on social networks and interpersonal relationships of older adults are needed. The present study was conducted to develop a structured interview to evaluate the interpersonal schema based on Self-Defining Memory of older adults. First, the word cues that the older adults often report on interpersonal events were confirmed. Next, the indices and scoring rules were prepared, including Relationship frequency (RF), Conflict frequency (CF), Dominance mean (Dm), and Warmth mean (Wm). Healthy older adults living alone (mean age = 71.81, SD = 3.95) were interviewed. Finally, the correlation between each index and Short form of Korean Inventory of Interpersonal Problems Circumplex Scales (KIIP-SC) was analyzed for criterion validity. The inter-rater reliability was substantial (Kappa = 0.61 similar to 0.66). Based on the analysis of criterion validity, the indices of CF, Dm, and Wm indices showed an appropriate level of criterion validity. This study developed a structural interview based on a novel system of reporting autobiographical memory and established indices with appropriate validity to evaluate interpersonal relationships. The interview is expected to identify the characteristics of interpersonal relationships of the older adults and contribute to the establishment of the older adults' community accordingly.</t>
        </is>
      </c>
      <c r="X1044" t="inlineStr">
        <is>
          <t>[Kwan, Yunna; Kim, Tae Hui] Wonju Severance Christian Hosp, Dept Psychiat, Wonju 26426, South Korea; [Kwan, Yunna; Choi, Sungwon] Duksung Womens Univ, Dept Psychol, Seoul 01369, South Korea; [Eom, Tae Rim] Natl Hlth Insurance Serv, Hlth Insurance Res Inst, Wonju 26464, South Korea; [Kim, Tae Hui] Yonsei Univ, Wonju Coll Med, Dept Psychiat, Wonju 26426, South Korea</t>
        </is>
      </c>
      <c r="Y1044" t="inlineStr">
        <is>
          <t>Duksung Women's University; National Health Insurance Service; Yonsei University</t>
        </is>
      </c>
      <c r="Z1044" t="inlineStr">
        <is>
          <t>Kim, TH (corresponding author), Wonju Severance Christian Hosp, Dept Psychiat, Wonju 26426, South Korea.;Kim, TH (corresponding author), Yonsei Univ, Wonju Coll Med, Dept Psychiat, Wonju 26426, South Korea.</t>
        </is>
      </c>
      <c r="AA1044" t="inlineStr">
        <is>
          <t>kwbl8902@gmail.com; karatt92@duksung.ac.kr; Taerim0923@naver.com; gooddr@yonsei.kr</t>
        </is>
      </c>
      <c r="AD1044" t="inlineStr">
        <is>
          <t>Korea Health Technology R&amp;D Project through the Korea Health Industry Development Institute (KHIDI) - Ministry of Health &amp; Welfare, Republic of Korea [HI18C1207]</t>
        </is>
      </c>
      <c r="AE1044" t="inlineStr">
        <is>
          <t>Korea Health Technology R&amp;D Project through the Korea Health Industry Development Institute (KHIDI) - Ministry of Health &amp; Welfare, Republic of Korea</t>
        </is>
      </c>
      <c r="AF1044" t="inlineStr">
        <is>
          <t>This research was supported by a grant of the Korea Health Technology R&amp;D Project through the Korea Health Industry Development Institute (KHIDI), funded by the Ministry of Health &amp; Welfare, Republic of Korea (grant number: HI18C1207).</t>
        </is>
      </c>
      <c r="AH1044" t="n">
        <v>59</v>
      </c>
      <c r="AI1044" t="n">
        <v>0</v>
      </c>
      <c r="AJ1044" t="n">
        <v>0</v>
      </c>
      <c r="AK1044" t="n">
        <v>2</v>
      </c>
      <c r="AL1044" t="n">
        <v>5</v>
      </c>
      <c r="AM1044" t="inlineStr">
        <is>
          <t>MDPI</t>
        </is>
      </c>
      <c r="AN1044" t="inlineStr">
        <is>
          <t>BASEL</t>
        </is>
      </c>
      <c r="AO1044" t="inlineStr">
        <is>
          <t>ST ALBAN-ANLAGE 66, CH-4052 BASEL, SWITZERLAND</t>
        </is>
      </c>
      <c r="AQ1044" t="inlineStr">
        <is>
          <t>1660-4601</t>
        </is>
      </c>
      <c r="AS1044" t="inlineStr">
        <is>
          <t>INT J ENV RES PUB HE</t>
        </is>
      </c>
      <c r="AT1044" t="inlineStr">
        <is>
          <t>Int. J. Environ. Res. Public Health</t>
        </is>
      </c>
      <c r="AU1044" t="inlineStr">
        <is>
          <t>MAR</t>
        </is>
      </c>
      <c r="AV1044" t="n">
        <v>2021</v>
      </c>
      <c r="AW1044" t="n">
        <v>18</v>
      </c>
      <c r="AX1044" t="n">
        <v>5</v>
      </c>
      <c r="BE1044" t="n">
        <v>2316</v>
      </c>
      <c r="BF1044" t="inlineStr">
        <is>
          <t>10.3390/ijerph18052316</t>
        </is>
      </c>
      <c r="BG1044">
        <f>HYPERLINK("http://dx.doi.org/10.3390/ijerph18052316","http://dx.doi.org/10.3390/ijerph18052316")</f>
        <v/>
      </c>
      <c r="BJ1044" t="n">
        <v>14</v>
      </c>
      <c r="BK1044" t="inlineStr">
        <is>
          <t>Environmental Sciences; Public, Environmental &amp; Occupational Health</t>
        </is>
      </c>
      <c r="BL1044" t="inlineStr">
        <is>
          <t>Science Citation Index Expanded (SCI-EXPANDED); Social Science Citation Index (SSCI)</t>
        </is>
      </c>
      <c r="BM1044" t="inlineStr">
        <is>
          <t>Environmental Sciences &amp; Ecology; Public, Environmental &amp; Occupational Health</t>
        </is>
      </c>
      <c r="BN1044" t="inlineStr">
        <is>
          <t>QV7ID</t>
        </is>
      </c>
      <c r="BO1044" t="n">
        <v>33652880</v>
      </c>
      <c r="BP1044" t="inlineStr">
        <is>
          <t>Green Published, gold, Green Submitted</t>
        </is>
      </c>
      <c r="BS1044" t="inlineStr">
        <is>
          <t>2023-10-26</t>
        </is>
      </c>
      <c r="BT1044" t="inlineStr">
        <is>
          <t>WOS:000628139400001</t>
        </is>
      </c>
      <c r="BU1044">
        <f>HYPERLINK("https%3A%2F%2Fwww.webofscience.com%2Fwos%2Fwoscc%2Ffull-record%2FWOS:000628139400001","View Full Record in Web of Science")</f>
        <v/>
      </c>
    </row>
    <row r="1045">
      <c r="A1045" t="inlineStr">
        <is>
          <t>J</t>
        </is>
      </c>
      <c r="B1045" t="inlineStr">
        <is>
          <t>Rebecchi, A; Buffoli, M; Dettori, M; Appolloni, L; Azara, A; Castiglia, P; D'Alessandro, D; Capolongo, S</t>
        </is>
      </c>
      <c r="F1045" t="inlineStr">
        <is>
          <t>Rebecchi, Andrea; Buffoli, Maddalena; Dettori, Marco; Appolloni, Letizia; Azara, Antonio; Castiglia, Paolo; D'Alessandro, Daniela; Capolongo, Stefano</t>
        </is>
      </c>
      <c r="J1045" t="inlineStr">
        <is>
          <t>SUSTAINABILITY</t>
        </is>
      </c>
      <c r="M1045" t="inlineStr">
        <is>
          <t>English</t>
        </is>
      </c>
      <c r="N1045" t="inlineStr">
        <is>
          <t>Article</t>
        </is>
      </c>
      <c r="T1045" t="inlineStr">
        <is>
          <t>Walkable Environments and Healthy Urban Moves: Urban Context Features Assessment Framework Experienced in Milan</t>
        </is>
      </c>
      <c r="U1045" t="inlineStr">
        <is>
          <t>walkable cities; walkable environments; urban health; active transportation choices; physical activity; healthy urban planning; urban accidents; safety and security; assessment framework; community-based land use strategies; evidence-based public health (EBPH)</t>
        </is>
      </c>
      <c r="V1045" t="inlineStr">
        <is>
          <t>WALKING-SUITABILITY-INDEX; TERRITORY T-WSI; PHYSICAL-ACTIVITY; PUBLIC-HEALTH; LIFE-STYLE; BODY-MASS; LAND-USE; EXERCISE; PREVENTION; DESIGN</t>
        </is>
      </c>
      <c r="W1045" t="inlineStr">
        <is>
          <t>Recent studies in public health have focused on determining the influences of the built environment on the population's physical and mental health status. In order to promote active transport and physical activity, considered favorable behavior for the prevention non-communicable diseases (NCDs) such as obesity, it is necessary to reduce the negative effects of the built environment and develop positive ones, such as, for example, a walkable urban space. The aim of the research is to define a city's walkability assessment framework capable of highlighting points of strength and weakness in its urban environment. All of the aspects that have a direct influence (evidence-based) on fostering the adoption of healthy lifestyles or promoting active transport as a strategy to increase the level of physical activity due to the existence of daily urban travel should be considered. After conducting a literature review aimed at identifying all of the existing assessment tools, 20 research studies were examined in detail. The new evaluation method arises from the comparison and critical selection of the various qualitative-quantitative indicators found, integrated into a multi-criteria analysis structure of dual-scale survey, with reference to walkability and paying attention to those indicators that have implications on health promotion. The new assessment framework, named Milano Walkability Measurement (MWM), is applicable in different urban contexts and was tested in two different areas of Milan. The Macro dimension (i.e., Density, Diversity, and Design criteria) refers to the urban scale and examines the city from a top view. It describes quantitatively the overall urban factors (urban area size equal to 1.5 Km(2); typology of data: archival). The Micro dimension (i.e., Usefulness, Safeness, Comfort, and Aesthetics criteria) investigates the city at the street scale level. It describes qualitatively features of the outdoor spaces (road length of about 500/700 mt; typology of data: observational). Finally, the framework was weighted by comparison with a panel of experts. The expected results were reflected in the design recommendations based on the collected qualitative-quantitative data. The developed assessment method brings innovative criteria such as the multi-scaling assessment phase (Macro and Micro) and the ability to take into consideration aspects that according to the literature have relationships with health promotion linked to the improvement of a healthy lifestyle, related to daily active transportation choices. The design recommendations are useful both to policy-makers, to make evidence-based specific choices, and to designers, to understand what aspects of the urban environment must be improved or implemented in order to promote a walkable city.</t>
        </is>
      </c>
      <c r="X1045" t="inlineStr">
        <is>
          <t>[Rebecchi, Andrea; Buffoli, Maddalena; Capolongo, Stefano] Politecn Milan, Dipartimento Architettura Ingn Costruz &amp; Ambiente, I-20133 Milan, Italy; [Dettori, Marco; Azara, Antonio; Castiglia, Paolo] Univ Sassari, Dipartimento Sci Med Chirurg &amp; Sperimentali, I-07100 Sassari, Italy; [Appolloni, Letizia; D'Alessandro, Daniela] Sapienza Univ Roma, Dipartimento Ingn Civile Edile &amp; Ambientale, I-00184 Rome, Italy</t>
        </is>
      </c>
      <c r="Y1045" t="inlineStr">
        <is>
          <t>Polytechnic University of Milan; University of Sassari; Sapienza University Rome</t>
        </is>
      </c>
      <c r="Z1045" t="inlineStr">
        <is>
          <t>Rebecchi, A (corresponding author), Politecn Milan, Dipartimento Architettura Ingn Costruz &amp; Ambiente, I-20133 Milan, Italy.;Dettori, M (corresponding author), Univ Sassari, Dipartimento Sci Med Chirurg &amp; Sperimentali, I-07100 Sassari, Italy.</t>
        </is>
      </c>
      <c r="AA1045" t="inlineStr">
        <is>
          <t>andrea.rebecchi@polimi.it; maddalena.buffoli@polimi.it; madettori@uniss.it; letizia.appolloni@uniroma1.it; azara@uniss.it; castigli@uniss.it; daniela.dalessandro@uniroma1.it; stefano.capolongo@polimi.it</t>
        </is>
      </c>
      <c r="AB1045" t="inlineStr">
        <is>
          <t>D'ALESSANDRO, DANIELA D./F-9529-2017; Appolloni, Letizia/AAU-8743-2020; Dettori, Marco/N-8912-2018; Azara, Antonio/ABA-1163-2020</t>
        </is>
      </c>
      <c r="AC1045" t="inlineStr">
        <is>
          <t>D'ALESSANDRO, DANIELA D./0000-0002-7980-2908; Dettori, Marco/0000-0002-4901-2067; Azara, Antonio/0000-0001-9089-0817; BUFFOLI, MADDALENA/0000-0002-6740-7409</t>
        </is>
      </c>
      <c r="AH1045" t="n">
        <v>62</v>
      </c>
      <c r="AI1045" t="n">
        <v>38</v>
      </c>
      <c r="AJ1045" t="n">
        <v>41</v>
      </c>
      <c r="AK1045" t="n">
        <v>10</v>
      </c>
      <c r="AL1045" t="n">
        <v>48</v>
      </c>
      <c r="AM1045" t="inlineStr">
        <is>
          <t>MDPI</t>
        </is>
      </c>
      <c r="AN1045" t="inlineStr">
        <is>
          <t>BASEL</t>
        </is>
      </c>
      <c r="AO1045" t="inlineStr">
        <is>
          <t>ST ALBAN-ANLAGE 66, CH-4052 BASEL, SWITZERLAND</t>
        </is>
      </c>
      <c r="AQ1045" t="inlineStr">
        <is>
          <t>2071-1050</t>
        </is>
      </c>
      <c r="AS1045" t="inlineStr">
        <is>
          <t>SUSTAINABILITY-BASEL</t>
        </is>
      </c>
      <c r="AT1045" t="inlineStr">
        <is>
          <t>Sustainability</t>
        </is>
      </c>
      <c r="AU1045" t="inlineStr">
        <is>
          <t>MAY 2</t>
        </is>
      </c>
      <c r="AV1045" t="n">
        <v>2019</v>
      </c>
      <c r="AW1045" t="n">
        <v>11</v>
      </c>
      <c r="AX1045" t="n">
        <v>10</v>
      </c>
      <c r="BE1045" t="n">
        <v>2778</v>
      </c>
      <c r="BF1045" t="inlineStr">
        <is>
          <t>10.3390/su11102778</t>
        </is>
      </c>
      <c r="BG1045">
        <f>HYPERLINK("http://dx.doi.org/10.3390/su11102778","http://dx.doi.org/10.3390/su11102778")</f>
        <v/>
      </c>
      <c r="BJ1045" t="n">
        <v>18</v>
      </c>
      <c r="BK1045" t="inlineStr">
        <is>
          <t>Green &amp; Sustainable Science &amp; Technology; Environmental Sciences; Environmental Studies</t>
        </is>
      </c>
      <c r="BL1045" t="inlineStr">
        <is>
          <t>Science Citation Index Expanded (SCI-EXPANDED); Social Science Citation Index (SSCI)</t>
        </is>
      </c>
      <c r="BM1045" t="inlineStr">
        <is>
          <t>Science &amp; Technology - Other Topics; Environmental Sciences &amp; Ecology</t>
        </is>
      </c>
      <c r="BN1045" t="inlineStr">
        <is>
          <t>IC5LV</t>
        </is>
      </c>
      <c r="BP1045" t="inlineStr">
        <is>
          <t>Green Published, gold</t>
        </is>
      </c>
      <c r="BS1045" t="inlineStr">
        <is>
          <t>2023-10-26</t>
        </is>
      </c>
      <c r="BT1045" t="inlineStr">
        <is>
          <t>WOS:000471010300061</t>
        </is>
      </c>
      <c r="BU1045">
        <f>HYPERLINK("https%3A%2F%2Fwww.webofscience.com%2Fwos%2Fwoscc%2Ffull-record%2FWOS:000471010300061","View Full Record in Web of Science")</f>
        <v/>
      </c>
    </row>
    <row r="1046">
      <c r="A1046" t="inlineStr">
        <is>
          <t>J</t>
        </is>
      </c>
      <c r="B1046" t="inlineStr">
        <is>
          <t>Bektas, Y; Sakarya, A</t>
        </is>
      </c>
      <c r="F1046" t="inlineStr">
        <is>
          <t>Bektas, Yasin; Sakarya, Adem</t>
        </is>
      </c>
      <c r="J1046" t="inlineStr">
        <is>
          <t>SUSTAINABILITY</t>
        </is>
      </c>
      <c r="M1046" t="inlineStr">
        <is>
          <t>English</t>
        </is>
      </c>
      <c r="N1046" t="inlineStr">
        <is>
          <t>Article</t>
        </is>
      </c>
      <c r="T1046" t="inlineStr">
        <is>
          <t>The Relationship between the Built Environment and Climate Change: The Case of Turkish Provinces</t>
        </is>
      </c>
      <c r="U1046" t="inlineStr">
        <is>
          <t>climate change; built environment; urban; land use; Turkiye</t>
        </is>
      </c>
      <c r="V1046" t="inlineStr">
        <is>
          <t>LAND-USE CHANGE; EXTREME-WEATHER-EVENTS; REGIONAL CLIMATE; URBANIZATION; DEFORESTATION; TEMPERATURE; DYNAMICS; IMPACT; ZONES</t>
        </is>
      </c>
      <c r="W1046" t="inlineStr">
        <is>
          <t>The relationship between the built environment and climate change has been discussed from many perspectives. This study examines the effect of the built environment on climate change indicators in Turkish provinces over the last 18 years, contributing to the literature on built environment analyses regarding both urban and rural areas, unlike other studies that have focused mostly on urban areas. The study discusses the changes in climate indicators using maps and analyzes the effects of the built environment on climate change using linear regression. The results indicate that provinces in Turkiye have experienced climate change effects such as increased annual mean temperature, maximum temperature, maximum precipitation, extreme weather events, and drought. These effects differed both in terms of geography and the subperiods over the examined period. The results also demonstrate the increase in the built environment to have a positive correlation with the increases in annual maximum temperature and the annual number of extreme weather events. The built environment in Turkiye increased 63% between 1990 and 2018, and the average number of extreme weather events per province increased from 0.3 to 8 over this same period. At the same time, the average annual mean temperature increased from 12.9 to 15.1 degrees C, the average maximum temperature went up from 24.6 to 25.8 degrees C, the average annual maximum precipitation increased from 125.6 to 157.7 mm, and the average number of dry months per year increased from 3.4 to 3.8.</t>
        </is>
      </c>
      <c r="X1046" t="inlineStr">
        <is>
          <t>[Bektas, Yasin] Erciyes Univ, Fac Architecture, Dept City &amp; Reg Planning, TR-38280 Kayseri, Turkiye; [Sakarya, Adem] Yildiz Tech Univ, Fac Architecture, Dept City &amp; Reg Planning, TR-34349 Istanbul, Turkiye</t>
        </is>
      </c>
      <c r="Y1046" t="inlineStr">
        <is>
          <t>Erciyes University; Yildiz Technical University</t>
        </is>
      </c>
      <c r="Z1046" t="inlineStr">
        <is>
          <t>Bektas, Y (corresponding author), Erciyes Univ, Fac Architecture, Dept City &amp; Reg Planning, TR-38280 Kayseri, Turkiye.</t>
        </is>
      </c>
      <c r="AA1046" t="inlineStr">
        <is>
          <t>yasinbektas@erciyes.edu.tr</t>
        </is>
      </c>
      <c r="AC1046" t="inlineStr">
        <is>
          <t>Bektas, Yasin/0000-0002-2118-0536</t>
        </is>
      </c>
      <c r="AH1046" t="n">
        <v>67</v>
      </c>
      <c r="AI1046" t="n">
        <v>1</v>
      </c>
      <c r="AJ1046" t="n">
        <v>1</v>
      </c>
      <c r="AK1046" t="n">
        <v>3</v>
      </c>
      <c r="AL1046" t="n">
        <v>5</v>
      </c>
      <c r="AM1046" t="inlineStr">
        <is>
          <t>MDPI</t>
        </is>
      </c>
      <c r="AN1046" t="inlineStr">
        <is>
          <t>BASEL</t>
        </is>
      </c>
      <c r="AO1046" t="inlineStr">
        <is>
          <t>ST ALBAN-ANLAGE 66, CH-4052 BASEL, SWITZERLAND</t>
        </is>
      </c>
      <c r="AQ1046" t="inlineStr">
        <is>
          <t>2071-1050</t>
        </is>
      </c>
      <c r="AS1046" t="inlineStr">
        <is>
          <t>SUSTAINABILITY-BASEL</t>
        </is>
      </c>
      <c r="AT1046" t="inlineStr">
        <is>
          <t>Sustainability</t>
        </is>
      </c>
      <c r="AU1046" t="inlineStr">
        <is>
          <t>JAN</t>
        </is>
      </c>
      <c r="AV1046" t="n">
        <v>2023</v>
      </c>
      <c r="AW1046" t="n">
        <v>15</v>
      </c>
      <c r="AX1046" t="n">
        <v>2</v>
      </c>
      <c r="BE1046" t="n">
        <v>1659</v>
      </c>
      <c r="BF1046" t="inlineStr">
        <is>
          <t>10.3390/su15021659</t>
        </is>
      </c>
      <c r="BG1046">
        <f>HYPERLINK("http://dx.doi.org/10.3390/su15021659","http://dx.doi.org/10.3390/su15021659")</f>
        <v/>
      </c>
      <c r="BJ1046" t="n">
        <v>14</v>
      </c>
      <c r="BK1046" t="inlineStr">
        <is>
          <t>Green &amp; Sustainable Science &amp; Technology; Environmental Sciences; Environmental Studies</t>
        </is>
      </c>
      <c r="BL1046" t="inlineStr">
        <is>
          <t>Science Citation Index Expanded (SCI-EXPANDED); Social Science Citation Index (SSCI)</t>
        </is>
      </c>
      <c r="BM1046" t="inlineStr">
        <is>
          <t>Science &amp; Technology - Other Topics; Environmental Sciences &amp; Ecology</t>
        </is>
      </c>
      <c r="BN1046" t="inlineStr">
        <is>
          <t>8Q4DQ</t>
        </is>
      </c>
      <c r="BP1046" t="inlineStr">
        <is>
          <t>Green Published, gold</t>
        </is>
      </c>
      <c r="BS1046" t="inlineStr">
        <is>
          <t>2023-10-26</t>
        </is>
      </c>
      <c r="BT1046" t="inlineStr">
        <is>
          <t>WOS:000927159700001</t>
        </is>
      </c>
      <c r="BU1046">
        <f>HYPERLINK("https%3A%2F%2Fwww.webofscience.com%2Fwos%2Fwoscc%2Ffull-record%2FWOS:000927159700001","View Full Record in Web of Science")</f>
        <v/>
      </c>
    </row>
    <row r="1047">
      <c r="A1047" t="inlineStr">
        <is>
          <t>J</t>
        </is>
      </c>
      <c r="B1047" t="inlineStr">
        <is>
          <t>Vardoulakis, S; Giagloglou, E; Steinle, S; Davis, A; Sleeuwenhoek, A; Galea, KS; Dixon, K; Crawford, JO</t>
        </is>
      </c>
      <c r="F1047" t="inlineStr">
        <is>
          <t>Vardoulakis, Sotiris; Giagloglou, Evanthia; Steinle, Susanne; Davis, Alice; Sleeuwenhoek, Anne; Galea, Karen S.; Dixon, Ken; Crawford, Joanne O.</t>
        </is>
      </c>
      <c r="J1047" t="inlineStr">
        <is>
          <t>INTERNATIONAL JOURNAL OF ENVIRONMENTAL RESEARCH AND PUBLIC HEALTH</t>
        </is>
      </c>
      <c r="M1047" t="inlineStr">
        <is>
          <t>English</t>
        </is>
      </c>
      <c r="N1047" t="inlineStr">
        <is>
          <t>Review</t>
        </is>
      </c>
      <c r="T1047" t="inlineStr">
        <is>
          <t>Indoor Exposure to Selected Air Pollutants in the Home Environment: A Systematic Review</t>
        </is>
      </c>
      <c r="U1047" t="inlineStr">
        <is>
          <t>indoor air; chemicals; particulate matter; VOC; PAH; benzene; toluene; formaldehyde; naphthalene; residential exposure; ventilation; asthma</t>
        </is>
      </c>
      <c r="V1047" t="inlineStr">
        <is>
          <t>VOLATILE ORGANIC-COMPOUNDS; POLYCYCLIC AROMATIC-HYDROCARBONS; FINE PARTICULATE MATTER; INFLUENCE PERSONAL EXPOSURE; SICK BUILDING SYNDROME; NITROGEN-DIOXIDE; PARTICLE CONCENTRATIONS; OUTDOOR AIR; RESIDENTIAL INDOOR; INNER-CITY</t>
        </is>
      </c>
      <c r="W1047" t="inlineStr">
        <is>
          <t>(1) Background: There is increasing awareness that the quality of the indoor environment affects our health and well-being. Indoor air quality (IAQ) in particular has an impact on multiple health outcomes, including respiratory and cardiovascular illness, allergic symptoms, cancers, and premature mortality. (2) Methods: We carried out a global systematic literature review on indoor exposure to selected air pollutants associated with adverse health effects, and related household characteristics, seasonal influences and occupancy patterns. We screened records from six bibliographic databases: ABI/INFORM, Environment Abstracts, Pollution Abstracts, PubMed, ProQuest Biological and Health Professional, and Scopus. (3) Results: Information on indoor exposure levels and determinants, emission sources, and associated health effects was extracted from 141 studies from 29 countries. The most-studied pollutants were particulate matter (PM2.5 and PM10); nitrogen dioxide (NO2); volatile organic compounds (VOCs) including benzene, toluene, xylenes and formaldehyde; and polycyclic aromatic hydrocarbons (PAHs) including naphthalene. Identified indoor PM2.5 sources include smoking, cooking, heating, use of incense, candles, and insecticides, while cleaning, housework, presence of pets and movement of people were the main sources of coarse particles. Outdoor air is a major PM2.5 source in rooms with natural ventilation in roadside households. Major sources of NO2 indoors are unvented gas heaters and cookers. Predictors of indoor NO2 are ventilation, season, and outdoor NO2 levels. VOCs are emitted from a wide range of indoor and outdoor sources, including smoking, solvent use, renovations, and household products. Formaldehyde levels are higher in newer houses and in the presence of new furniture, while PAH levels are higher in smoking households. High indoor particulate matter, NO2 and VOC levels were typically associated with respiratory symptoms, particularly asthma symptoms in children. (4) Conclusions: Household characteristics and occupant activities play a large role in indoor exposure, particularly cigarette smoking for PM2.5, gas appliances for NO2, and household products for VOCs and PAHs. Home location near high-traffic-density roads, redecoration, and small house size contribute to high indoor air pollution. In most studies, air exchange rates are negatively associated with indoor air pollution. These findings can inform interventions aiming to improve IAQ in residential properties in a variety of settings.</t>
        </is>
      </c>
      <c r="X1047" t="inlineStr">
        <is>
          <t>[Vardoulakis, Sotiris; Giagloglou, Evanthia; Steinle, Susanne; Davis, Alice; Sleeuwenhoek, Anne; Galea, Karen S.; Dixon, Ken; Crawford, Joanne O.] Inst Occupat Med IOM, Edinburgh EH14 4AP, Midlothian, Scotland; [Vardoulakis, Sotiris] Australian Natl Univ, Natl Ctr Epidemiol &amp; Populat Hlth, Res Sch Populat Hlth, Canberra, ACT 2601, Australia; [Crawford, Joanne O.] Victoria Univ Wellington, Fac Hlth, Wellington 6410, New Zealand</t>
        </is>
      </c>
      <c r="Y1047" t="inlineStr">
        <is>
          <t>Australian National University; Victoria University Wellington</t>
        </is>
      </c>
      <c r="Z1047" t="inlineStr">
        <is>
          <t>Vardoulakis, S (corresponding author), Inst Occupat Med IOM, Edinburgh EH14 4AP, Midlothian, Scotland.;Vardoulakis, S (corresponding author), Australian Natl Univ, Natl Ctr Epidemiol &amp; Populat Hlth, Res Sch Populat Hlth, Canberra, ACT 2601, Australia.</t>
        </is>
      </c>
      <c r="AA1047" t="inlineStr">
        <is>
          <t>sotiris.vardoulakis@anu.edu.au; eva.giagloglou@iom-world.org; susanne.steinle@iom-world.org; alice.davis@iom-world.org; anne.sleeuwenhoek@iom-world.org; karen.galea@iom-world.org; ken.dixon@iom-world.org; joanne.crawford@vuw.ac.nz</t>
        </is>
      </c>
      <c r="AB1047" t="inlineStr">
        <is>
          <t>Crawford, Joanne/AAC-5891-2021; Giagloglou, Evanthia/R-5580-2017</t>
        </is>
      </c>
      <c r="AC1047" t="inlineStr">
        <is>
          <t>Crawford, Joanne/0000-0003-1473-9407; Vardoulakis, Sotiris/0000-0003-3944-7128; Giagloglou, Evanthia/0000-0001-7754-5437; Galea, Karen/0000-0002-9540-8513</t>
        </is>
      </c>
      <c r="AD1047" t="inlineStr">
        <is>
          <t>Dyson Technology Limited</t>
        </is>
      </c>
      <c r="AE1047" t="inlineStr">
        <is>
          <t>Dyson Technology Limited</t>
        </is>
      </c>
      <c r="AF1047" t="inlineStr">
        <is>
          <t>This review of the scientific literature was funded by Dyson Technology Limited. The funder had no role in the design, execution, interpretation, or writing of this study.</t>
        </is>
      </c>
      <c r="AH1047" t="n">
        <v>168</v>
      </c>
      <c r="AI1047" t="n">
        <v>128</v>
      </c>
      <c r="AJ1047" t="n">
        <v>129</v>
      </c>
      <c r="AK1047" t="n">
        <v>53</v>
      </c>
      <c r="AL1047" t="n">
        <v>219</v>
      </c>
      <c r="AM1047" t="inlineStr">
        <is>
          <t>MDPI</t>
        </is>
      </c>
      <c r="AN1047" t="inlineStr">
        <is>
          <t>BASEL</t>
        </is>
      </c>
      <c r="AO1047" t="inlineStr">
        <is>
          <t>ST ALBAN-ANLAGE 66, CH-4052 BASEL, SWITZERLAND</t>
        </is>
      </c>
      <c r="AQ1047" t="inlineStr">
        <is>
          <t>1660-4601</t>
        </is>
      </c>
      <c r="AS1047" t="inlineStr">
        <is>
          <t>INT J ENV RES PUB HE</t>
        </is>
      </c>
      <c r="AT1047" t="inlineStr">
        <is>
          <t>Int. J. Environ. Res. Public Health</t>
        </is>
      </c>
      <c r="AU1047" t="inlineStr">
        <is>
          <t>DEC</t>
        </is>
      </c>
      <c r="AV1047" t="n">
        <v>2020</v>
      </c>
      <c r="AW1047" t="n">
        <v>17</v>
      </c>
      <c r="AX1047" t="n">
        <v>23</v>
      </c>
      <c r="BE1047" t="n">
        <v>8972</v>
      </c>
      <c r="BF1047" t="inlineStr">
        <is>
          <t>10.3390/ijerph17238972</t>
        </is>
      </c>
      <c r="BG1047">
        <f>HYPERLINK("http://dx.doi.org/10.3390/ijerph17238972","http://dx.doi.org/10.3390/ijerph17238972")</f>
        <v/>
      </c>
      <c r="BJ1047" t="n">
        <v>24</v>
      </c>
      <c r="BK1047" t="inlineStr">
        <is>
          <t>Environmental Sciences; Public, Environmental &amp; Occupational Health</t>
        </is>
      </c>
      <c r="BL1047" t="inlineStr">
        <is>
          <t>Science Citation Index Expanded (SCI-EXPANDED); Social Science Citation Index (SSCI)</t>
        </is>
      </c>
      <c r="BM1047" t="inlineStr">
        <is>
          <t>Environmental Sciences &amp; Ecology; Public, Environmental &amp; Occupational Health</t>
        </is>
      </c>
      <c r="BN1047" t="inlineStr">
        <is>
          <t>PD3PQ</t>
        </is>
      </c>
      <c r="BO1047" t="n">
        <v>33276576</v>
      </c>
      <c r="BP1047" t="inlineStr">
        <is>
          <t>gold, Green Published, Green Accepted</t>
        </is>
      </c>
      <c r="BS1047" t="inlineStr">
        <is>
          <t>2023-10-26</t>
        </is>
      </c>
      <c r="BT1047" t="inlineStr">
        <is>
          <t>WOS:000597601300001</t>
        </is>
      </c>
      <c r="BU1047">
        <f>HYPERLINK("https%3A%2F%2Fwww.webofscience.com%2Fwos%2Fwoscc%2Ffull-record%2FWOS:000597601300001","View Full Record in Web of Science")</f>
        <v/>
      </c>
    </row>
    <row r="1048">
      <c r="A1048" t="inlineStr">
        <is>
          <t>J</t>
        </is>
      </c>
      <c r="B1048" t="inlineStr">
        <is>
          <t>Jung, CR; Nishihama, Y; Nakayama, SF; Tamura, K; Isobe, T; Michikawa, T; Iwai-Shimada, M; Kobayashi, Y; Sekiyama, M; Taniguchi, Y; Yamazaki, S</t>
        </is>
      </c>
      <c r="F1048" t="inlineStr">
        <is>
          <t>Jung, Chau-Ren; Nishihama, Yukiko; Nakayama, Shoji F.; Tamura, Kenji; Isobe, Tomohiko; Michikawa, Takehiro; Iwai-Shimada, Miyuki; Kobayashi, Yayoi; Sekiyama, Makiko; Taniguchi, Yu; Yamazaki, Shin</t>
        </is>
      </c>
      <c r="H1048" t="inlineStr">
        <is>
          <t>Japan Environm Childrens Study Grp</t>
        </is>
      </c>
      <c r="J1048" t="inlineStr">
        <is>
          <t>ENVIRONMENTAL RESEARCH</t>
        </is>
      </c>
      <c r="M1048" t="inlineStr">
        <is>
          <t>English</t>
        </is>
      </c>
      <c r="N1048" t="inlineStr">
        <is>
          <t>Article</t>
        </is>
      </c>
      <c r="T1048" t="inlineStr">
        <is>
          <t>Indoor air quality of 5,000 households and its determinants. Part B: Volatile organic compounds and inorganic gaseous pollutants in the Japan Environment and Children's study</t>
        </is>
      </c>
      <c r="U1048" t="inlineStr">
        <is>
          <t>Dwelling characteristics; Inorganic gaseous pollutants; Indoor air; Random forest; Volatile organic compounds</t>
        </is>
      </c>
      <c r="V1048" t="inlineStr">
        <is>
          <t>NITROGEN-DIOXIDE; RANDOM FORESTS; VOC EMISSIONS; OUTDOOR AIR; HONG-KONG; IMPACT; HYDROCARBONS; FORMALDEHYDE; DWELLINGS; POLLUTION</t>
        </is>
      </c>
      <c r="W1048" t="inlineStr">
        <is>
          <t>Volatile organic compounds (VOCs) are major indoor air pollutants. Quantification of indoor concentrations of VOCs and identification of factors associated with these concentrations can help manage indoor air quality. This study measured the concentrations of VOCs and inorganic gaseous pollutants in around 5000 households in Japan and utilised a random forest model to estimate these concentrations and identify important determinants. The homes of 5017 randomly selected participants in the Japan Environment and Children's Study (JECS) were visited twice, when the children were aged 1.5 and 3 years. Twelve VOCs and inorganic gaseous pollutants were measured during 7 days by passive samplers. Various factors in these households, including household appliances, building characteristics, cooking styles, use of consumer products, renovation, pets, personal behaviours and ventilation were recorded. A random forest model with recursive feature elimination was utilised to identify factors predictive of VOCs and inorganic gaseous pollutants. Toluene, formaldehyde and acetaldehyde were the dominant indoor VOCs. The 95th percentiles of indoor p-dichlorobenzene concentrations at 1.5 and 3 years were 67 mu g/m3 and 71 mu g/m3, respectively. Random forest models with coefficients of determination ranging from 0.34 to 0.76 outperformed the traditional linear regression models. Factors associated with indoor VOC and inorganic gaseous pollutant concentrations included their outdoor concentrations, indoor and outdoor temperature and relative humidity, month of the year, hours windows were open, kerosene heater use and times of operation and building age. The results provided basic descriptions of indoor VOCs and inorganic gaseous pollutants in Japan and identified several determinants of these concentrations. These determinants should be considered to maintain indoor air quality. These results can be used in epidemiological assessments of the effects of VOCs and inorganic gaseous pollutants on health in children.</t>
        </is>
      </c>
      <c r="X1048" t="inlineStr">
        <is>
          <t>[Jung, Chau-Ren; Nishihama, Yukiko; Nakayama, Shoji F.; Tamura, Kenji; Isobe, Tomohiko; Michikawa, Takehiro; Iwai-Shimada, Miyuki; Kobayashi, Yayoi; Sekiyama, Makiko; Taniguchi, Yu; Yamazaki, Shin] Natl Inst Environm Studies, Hlth &amp; Environm Risk Div, Japan Environm &amp; Childrens Study Programme Off, Tsukuba, Ibaraki, Japan; [Jung, Chau-Ren] China Med Univ, Coll Publ Hlth, Dept Publ Hlth, Taichung, Taiwan; [Michikawa, Takehiro] Toho Univ, Sch Med, Dept Environm &amp; Occupat Hlth, Tokyo, Japan</t>
        </is>
      </c>
      <c r="Y1048" t="inlineStr">
        <is>
          <t>National Institute for Environmental Studies - Japan; China Medical University Taiwan; Toho University</t>
        </is>
      </c>
      <c r="Z1048" t="inlineStr">
        <is>
          <t>Yamazaki, S (corresponding author), Natl Inst Environm Studies, Japan Environm &amp; Childrens Study Programme Off, 16-2 Onogawa, Tsukuba, Ibaraki 3058506, Japan.</t>
        </is>
      </c>
      <c r="AA1048" t="inlineStr">
        <is>
          <t>fabre@nies.go.jp</t>
        </is>
      </c>
      <c r="AB1048" t="inlineStr">
        <is>
          <t>Jung, Chau-Ren/I-7618-2019; Isobe, Tomohiko/P-2114-2015; Nakayama, Shoji F/B-9027-2008</t>
        </is>
      </c>
      <c r="AC1048" t="inlineStr">
        <is>
          <t>Jung, Chau-Ren/0000-0003-0673-9968; Isobe, Tomohiko/0000-0001-9235-1227; Nakayama, Shoji F/0000-0001-7772-0389; Sekiyama, Makiko/0000-0002-2104-9140; Michikawa, Takehiro/0000-0002-2298-5133</t>
        </is>
      </c>
      <c r="AD1048" t="inlineStr">
        <is>
          <t>Ministry of the Environment, Japan</t>
        </is>
      </c>
      <c r="AE1048" t="inlineStr">
        <is>
          <t>Ministry of the Environment, Japan(Ministry of the Environment, Japan)</t>
        </is>
      </c>
      <c r="AF1048" t="inlineStr">
        <is>
          <t>This research was funded by the Ministry of the Environment, Japan. The authors declare no conflicts of interest.</t>
        </is>
      </c>
      <c r="AH1048" t="n">
        <v>57</v>
      </c>
      <c r="AI1048" t="n">
        <v>17</v>
      </c>
      <c r="AJ1048" t="n">
        <v>17</v>
      </c>
      <c r="AK1048" t="n">
        <v>4</v>
      </c>
      <c r="AL1048" t="n">
        <v>44</v>
      </c>
      <c r="AM1048" t="inlineStr">
        <is>
          <t>ACADEMIC PRESS INC ELSEVIER SCIENCE</t>
        </is>
      </c>
      <c r="AN1048" t="inlineStr">
        <is>
          <t>SAN DIEGO</t>
        </is>
      </c>
      <c r="AO1048" t="inlineStr">
        <is>
          <t>525 B ST, STE 1900, SAN DIEGO, CA 92101-4495 USA</t>
        </is>
      </c>
      <c r="AP1048" t="inlineStr">
        <is>
          <t>0013-9351</t>
        </is>
      </c>
      <c r="AQ1048" t="inlineStr">
        <is>
          <t>1096-0953</t>
        </is>
      </c>
      <c r="AS1048" t="inlineStr">
        <is>
          <t>ENVIRON RES</t>
        </is>
      </c>
      <c r="AT1048" t="inlineStr">
        <is>
          <t>Environ. Res.</t>
        </is>
      </c>
      <c r="AU1048" t="inlineStr">
        <is>
          <t>JUN</t>
        </is>
      </c>
      <c r="AV1048" t="n">
        <v>2021</v>
      </c>
      <c r="AW1048" t="n">
        <v>197</v>
      </c>
      <c r="BE1048" t="n">
        <v>111135</v>
      </c>
      <c r="BF1048" t="inlineStr">
        <is>
          <t>10.1016/j.envres.2021.111135</t>
        </is>
      </c>
      <c r="BG1048">
        <f>HYPERLINK("http://dx.doi.org/10.1016/j.envres.2021.111135","http://dx.doi.org/10.1016/j.envres.2021.111135")</f>
        <v/>
      </c>
      <c r="BI1048" t="inlineStr">
        <is>
          <t>APR 2021</t>
        </is>
      </c>
      <c r="BJ1048" t="n">
        <v>12</v>
      </c>
      <c r="BK1048" t="inlineStr">
        <is>
          <t>Environmental Sciences; Public, Environmental &amp; Occupational Health</t>
        </is>
      </c>
      <c r="BL1048" t="inlineStr">
        <is>
          <t>Science Citation Index Expanded (SCI-EXPANDED)</t>
        </is>
      </c>
      <c r="BM1048" t="inlineStr">
        <is>
          <t>Environmental Sciences &amp; Ecology; Public, Environmental &amp; Occupational Health</t>
        </is>
      </c>
      <c r="BN1048" t="inlineStr">
        <is>
          <t>SV3IT</t>
        </is>
      </c>
      <c r="BO1048" t="n">
        <v>33839115</v>
      </c>
      <c r="BP1048" t="inlineStr">
        <is>
          <t>hybrid</t>
        </is>
      </c>
      <c r="BS1048" t="inlineStr">
        <is>
          <t>2023-10-26</t>
        </is>
      </c>
      <c r="BT1048" t="inlineStr">
        <is>
          <t>WOS:000663716900003</t>
        </is>
      </c>
      <c r="BU1048">
        <f>HYPERLINK("https%3A%2F%2Fwww.webofscience.com%2Fwos%2Fwoscc%2Ffull-record%2FWOS:000663716900003","View Full Record in Web of Science")</f>
        <v/>
      </c>
    </row>
    <row r="1049">
      <c r="A1049" t="inlineStr">
        <is>
          <t>J</t>
        </is>
      </c>
      <c r="B1049" t="inlineStr">
        <is>
          <t>Jang, HY</t>
        </is>
      </c>
      <c r="F1049" t="inlineStr">
        <is>
          <t>Jang, Hye-Young</t>
        </is>
      </c>
      <c r="J1049" t="inlineStr">
        <is>
          <t>INTERNATIONAL JOURNAL OF ENVIRONMENTAL RESEARCH AND PUBLIC HEALTH</t>
        </is>
      </c>
      <c r="M1049" t="inlineStr">
        <is>
          <t>English</t>
        </is>
      </c>
      <c r="N1049" t="inlineStr">
        <is>
          <t>Article</t>
        </is>
      </c>
      <c r="T1049" t="inlineStr">
        <is>
          <t>Factors Associated with Successful Aging among Community-Dwelling Older Adults Based on Ecological System Model</t>
        </is>
      </c>
      <c r="U1049" t="inlineStr">
        <is>
          <t>successful aging; older adults; ecological system; community</t>
        </is>
      </c>
      <c r="V1049" t="inlineStr">
        <is>
          <t>ROWE; DEFINITIONS; HEALTH</t>
        </is>
      </c>
      <c r="W1049" t="inlineStr">
        <is>
          <t>This study was conducted to identify the factors associated with successful aging in older adults based on the ecological system model. Data from the 2017 National Survey of the Living Conditions of Korean Elderly were used. Participants comprised 10,074 older adults. The three principal components in the successful aging model developed by Rowe and Kahn, absence of disease and disease-related disability, maintenance of high mental and physical function, and continued engagement with life, were used to determine successful aging. The collected data were analyzed using descriptive statistics, chi-squared test, t-test, and logistic regression. The study results showed that the correlation factors were age, sex, educational level, economic status, heavy drinking, subjective health status, and health screening in the individual system; living arrangement, satisfaction with spouse, and frequency of contacting family, siblings, and relatives in the family system; and the frequency of contacting neighbors and friends, number of close neighbors and friends, and accessibility of neighborhood facilities in the community system. This study is significant because it confirms that individual characteristics and the environmental systems surrounding older adults should be considered for successful aging; it is necessary to develop and apply healthcare intervention programs that consider both of these aspects.</t>
        </is>
      </c>
      <c r="X1049" t="inlineStr">
        <is>
          <t>[Jang, Hye-Young] Hanyang Univ, Coll Nursing, Seoul 04763, South Korea</t>
        </is>
      </c>
      <c r="Y1049" t="inlineStr">
        <is>
          <t>Hanyang University</t>
        </is>
      </c>
      <c r="Z1049" t="inlineStr">
        <is>
          <t>Jang, HY (corresponding author), Hanyang Univ, Coll Nursing, Seoul 04763, South Korea.</t>
        </is>
      </c>
      <c r="AA1049" t="inlineStr">
        <is>
          <t>white0108@hanyang.ac.kr</t>
        </is>
      </c>
      <c r="AH1049" t="n">
        <v>48</v>
      </c>
      <c r="AI1049" t="n">
        <v>20</v>
      </c>
      <c r="AJ1049" t="n">
        <v>21</v>
      </c>
      <c r="AK1049" t="n">
        <v>4</v>
      </c>
      <c r="AL1049" t="n">
        <v>13</v>
      </c>
      <c r="AM1049" t="inlineStr">
        <is>
          <t>MDPI</t>
        </is>
      </c>
      <c r="AN1049" t="inlineStr">
        <is>
          <t>BASEL</t>
        </is>
      </c>
      <c r="AO1049" t="inlineStr">
        <is>
          <t>ST ALBAN-ANLAGE 66, CH-4052 BASEL, SWITZERLAND</t>
        </is>
      </c>
      <c r="AQ1049" t="inlineStr">
        <is>
          <t>1660-4601</t>
        </is>
      </c>
      <c r="AS1049" t="inlineStr">
        <is>
          <t>INT J ENV RES PUB HE</t>
        </is>
      </c>
      <c r="AT1049" t="inlineStr">
        <is>
          <t>Int. J. Environ. Res. Public Health</t>
        </is>
      </c>
      <c r="AU1049" t="inlineStr">
        <is>
          <t>MAY</t>
        </is>
      </c>
      <c r="AV1049" t="n">
        <v>2020</v>
      </c>
      <c r="AW1049" t="n">
        <v>17</v>
      </c>
      <c r="AX1049" t="n">
        <v>9</v>
      </c>
      <c r="BE1049" t="n">
        <v>3220</v>
      </c>
      <c r="BF1049" t="inlineStr">
        <is>
          <t>10.3390/ijerph17093220</t>
        </is>
      </c>
      <c r="BG1049">
        <f>HYPERLINK("http://dx.doi.org/10.3390/ijerph17093220","http://dx.doi.org/10.3390/ijerph17093220")</f>
        <v/>
      </c>
      <c r="BJ1049" t="n">
        <v>12</v>
      </c>
      <c r="BK1049" t="inlineStr">
        <is>
          <t>Environmental Sciences; Public, Environmental &amp; Occupational Health</t>
        </is>
      </c>
      <c r="BL1049" t="inlineStr">
        <is>
          <t>Science Citation Index Expanded (SCI-EXPANDED); Social Science Citation Index (SSCI)</t>
        </is>
      </c>
      <c r="BM1049" t="inlineStr">
        <is>
          <t>Environmental Sciences &amp; Ecology; Public, Environmental &amp; Occupational Health</t>
        </is>
      </c>
      <c r="BN1049" t="inlineStr">
        <is>
          <t>LR5OY</t>
        </is>
      </c>
      <c r="BO1049" t="n">
        <v>32384642</v>
      </c>
      <c r="BP1049" t="inlineStr">
        <is>
          <t>gold, Green Published</t>
        </is>
      </c>
      <c r="BS1049" t="inlineStr">
        <is>
          <t>2023-10-26</t>
        </is>
      </c>
      <c r="BT1049" t="inlineStr">
        <is>
          <t>WOS:000535745400244</t>
        </is>
      </c>
      <c r="BU1049">
        <f>HYPERLINK("https%3A%2F%2Fwww.webofscience.com%2Fwos%2Fwoscc%2Ffull-record%2FWOS:000535745400244","View Full Record in Web of Science")</f>
        <v/>
      </c>
    </row>
    <row r="1050">
      <c r="A1050" t="inlineStr">
        <is>
          <t>J</t>
        </is>
      </c>
      <c r="B1050" t="inlineStr">
        <is>
          <t>You, YX; Rivan, NFM; Singh, DKA; Rajab, NF; Ludin, AFM; Din, NC; Chin, AV; Fenech, M; Kamaruddin, MZA; Shahar, S</t>
        </is>
      </c>
      <c r="F1050" t="inlineStr">
        <is>
          <t>You, Yee Xing; Rivan, Nurul Fatin Malek; Singh, Devinder Kaur Ajit; Rajab, Nor Fadilah; Ludin, Arimi Fitri Mat; Din, Normah Che; Chin, Ai-Vyrn; Fenech, Michael; Kamaruddin, Mohd Zul Amin; Shahar, Suzana</t>
        </is>
      </c>
      <c r="J1050" t="inlineStr">
        <is>
          <t>INTERNATIONAL JOURNAL OF ENVIRONMENTAL RESEARCH AND PUBLIC HEALTH</t>
        </is>
      </c>
      <c r="M1050" t="inlineStr">
        <is>
          <t>English</t>
        </is>
      </c>
      <c r="N1050" t="inlineStr">
        <is>
          <t>Article</t>
        </is>
      </c>
      <c r="T1050" t="inlineStr">
        <is>
          <t>Incidence and Predictors of Mortality among Community-Dwelling Older Adults in Malaysia: A 5 Years Longitudinal Study</t>
        </is>
      </c>
      <c r="U1050" t="inlineStr">
        <is>
          <t>community; incidence; mortality; predictors; older adults</t>
        </is>
      </c>
      <c r="V1050" t="inlineStr">
        <is>
          <t>DIETARY FIBER INTAKE; RISK-FACTORS; SEX-DIFFERENCES; AGE; POPULATION; NUTRITION; INCREASE; PEOPLE; BRAIN; LEVEL</t>
        </is>
      </c>
      <c r="W1050" t="inlineStr">
        <is>
          <t>With older adults accounting for 10.7% of the Malaysian population, determining the predictors of mortality has now become crucial. Thus, this community-based longitudinal study aimed to investigate the predictors for mortality among community-dwelling older adults using a wide range of factors, including clinical or subclinical. A total of 2322 older adults were interviewed and assessed by trained fieldworkers using validated structured questionnaires. The questionnaire consisted of information on socio-demographic characteristics, health status, neuropsychological and psychosocial functions, lifestyle, dietary intake and biophysical measures. The incidence rate of mortality was 2.9 per 100 person-years. Cox regression analysis indicated that advancing age (Adjusted Hazard Ratio, Adj HR = 1.044, 95% CI: 1.024-1.064), male (Adj HR = 1.937, 95% CI: 1.402-2.675), non-married status (Adj HR = 1.410, 95% CI: 1.078-1.843), smoking (Adj HR = 1.314, 95% CI: 1.004-1.721), a higher fasting blood sugar (Adj HR = 1.075, 95% CI: 1.029-1.166), a lower serum albumin (Adj HR = 0.947, 95% CI: 0.905-0.990), a longer time to complete the TUG test (Adj HR = 1.059, 95% CI: 1.022-1.098), and a lower intake of total dietary fibre (Adj HR = 0.911, 95% CI: 0.873-0.980) were the predictors of mortality in this study. These findings provide an estimated rate of multiethnic mortality in middle-income countries and diet is one of the predictors. These predictors of mortality could be a reference in identifying new public health strategies to ensure longer healthier life spans with lower disability rate among community-dwelling older adults in Malaysia.</t>
        </is>
      </c>
      <c r="X1050" t="inlineStr">
        <is>
          <t>[You, Yee Xing; Shahar, Suzana] Univ Kebangsaan Malaysia, Fac Hlth Sci, Dietet Programme, Jalan Raja Muda Abdul Aziz, Kuala Lumpur 50300, Malaysia; [You, Yee Xing; Rivan, Nurul Fatin Malek; Rajab, Nor Fadilah; Ludin, Arimi Fitri Mat; Fenech, Michael; Kamaruddin, Mohd Zul Amin; Shahar, Suzana] Univ Kebangsaan Malaysia, Fac Hlth Sci, Ctr Hlth Ageing &amp; Wellness H CARE, Jalan Raja Muda Abdul Aziz, Kuala Lumpur 50300, Malaysia; [Rivan, Nurul Fatin Malek] Univ Kebangsaan Malaysia, Fac Hlth Sci, Nutr Sci Programme, Jalan Raja Muda Abdul Aziz, Kuala Lumpur 50300, Malaysia; [Singh, Devinder Kaur Ajit] Univ Kebangsaan Malaysia, Physiotherapy Programme, Jalan Raja Muda Abdul Aziz, Kuala Lumpur 50300, Malaysia; [Singh, Devinder Kaur Ajit] Univ Kebangsaan Malaysia, Ctr Hlth Ageing &amp; Wellness H CARE, Jalan Raja Muda Abdul Aziz, Kuala Lumpur 50300, Malaysia; [Rajab, Nor Fadilah; Ludin, Arimi Fitri Mat] Univ Kebangsaan Malaysia, Fac Hlth Sci, Biomed Sci Programme, Jalan Raja Muda Abdul Aziz, Kuala Lumpur 50300, Malaysia; [Din, Normah Che] Univ Kebangsaan Malaysia, Fac Hlth Sci, Hlth Psychol Programme, Jalan Raja Muda Abdul Aziz, Kuala Lumpur 50300, Malaysia; [Din, Normah Che] Univ Kebangsaan Malaysia, Fac Hlth Sci, Ctr Rehabil Sci, Jalan Raja Muda Abdul Aziz, Kuala Lumpur 50300, Malaysia; [Chin, Ai-Vyrn] Univ Malaya, Fac Med, Dept Med, Kuala Lumpur 50603, Malaysia</t>
        </is>
      </c>
      <c r="Y1050" t="inlineStr">
        <is>
          <t>Universiti Kebangsaan Malaysia; Universiti Kebangsaan Malaysia; Universiti Kebangsaan Malaysia; Universiti Kebangsaan Malaysia; Universiti Kebangsaan Malaysia; Universiti Kebangsaan Malaysia; Universiti Kebangsaan Malaysia; Universiti Kebangsaan Malaysia; Universiti Malaya</t>
        </is>
      </c>
      <c r="Z1050" t="inlineStr">
        <is>
          <t>Shahar, S (corresponding author), Univ Kebangsaan Malaysia, Fac Hlth Sci, Dietet Programme, Jalan Raja Muda Abdul Aziz, Kuala Lumpur 50300, Malaysia.;Shahar, S (corresponding author), Univ Kebangsaan Malaysia, Fac Hlth Sci, Ctr Hlth Ageing &amp; Wellness H CARE, Jalan Raja Muda Abdul Aziz, Kuala Lumpur 50300, Malaysia.</t>
        </is>
      </c>
      <c r="AA1050" t="inlineStr">
        <is>
          <t>youyeexing@ukm.edu.my; fatinmalek93@gmail.com; devinder@ukm.edu.my; nfadilah@ukm.edu.my; arimifitri@ukm.edu.my; normahcd@ukm.edu.my; avchin@um.edu.my; mf.ghf@outlook.com; m.zulamin@ukm.edu.my; suzana.shahar@ukm.edu.my</t>
        </is>
      </c>
      <c r="AB1050" t="inlineStr">
        <is>
          <t>Singh, Devinder Kaur Ajit/W-5552-2018; Mat Ludin, Arimi Fitri/E-1767-2017</t>
        </is>
      </c>
      <c r="AC1050" t="inlineStr">
        <is>
          <t>Singh, Devinder Kaur Ajit/0000-0002-6551-0437; Mat Ludin, Arimi Fitri/0000-0003-1517-2115; Malek Rivan, Nurul Fatin/0000-0002-7237-2319; You, Yee Xing/0000-0002-9876-7634</t>
        </is>
      </c>
      <c r="AD1050" t="inlineStr">
        <is>
          <t>Ministry of Higher Education, Malaysia [LRGS/1/2019/UM-UKM/1/4, LRGS/BU/2012/UKMUKM/K/01]; Universiti Kebangsaan Malaysia [DCP-2017-002/1, DCP-2017-002/2]</t>
        </is>
      </c>
      <c r="AE1050" t="inlineStr">
        <is>
          <t>Ministry of Higher Education, Malaysia(Ministry of Education, Malaysia); Universiti Kebangsaan Malaysia</t>
        </is>
      </c>
      <c r="AF1050" t="inlineStr">
        <is>
          <t>This work was supported by the Long-term Research Grant Scheme (LGRS) provided by the Ministry of Higher Education, Malaysia (LRGS/1/2019/UM-UKM/1/4, LRGS/BU/2012/UKMUKM/K/01) and Grand Challenge Grant Project 1 and Project 2 (DCP-2017-002/1, DCP-2017-002/2) funded by Universiti Kebangsaan Malaysia.</t>
        </is>
      </c>
      <c r="AH1050" t="n">
        <v>60</v>
      </c>
      <c r="AI1050" t="n">
        <v>0</v>
      </c>
      <c r="AJ1050" t="n">
        <v>0</v>
      </c>
      <c r="AK1050" t="n">
        <v>0</v>
      </c>
      <c r="AL1050" t="n">
        <v>0</v>
      </c>
      <c r="AM1050" t="inlineStr">
        <is>
          <t>MDPI</t>
        </is>
      </c>
      <c r="AN1050" t="inlineStr">
        <is>
          <t>BASEL</t>
        </is>
      </c>
      <c r="AO1050" t="inlineStr">
        <is>
          <t>ST ALBAN-ANLAGE 66, CH-4052 BASEL, SWITZERLAND</t>
        </is>
      </c>
      <c r="AQ1050" t="inlineStr">
        <is>
          <t>1660-4601</t>
        </is>
      </c>
      <c r="AS1050" t="inlineStr">
        <is>
          <t>INT J ENV RES PUB HE</t>
        </is>
      </c>
      <c r="AT1050" t="inlineStr">
        <is>
          <t>Int. J. Environ. Res. Public Health</t>
        </is>
      </c>
      <c r="AU1050" t="inlineStr">
        <is>
          <t>AUG</t>
        </is>
      </c>
      <c r="AV1050" t="n">
        <v>2022</v>
      </c>
      <c r="AW1050" t="n">
        <v>19</v>
      </c>
      <c r="AX1050" t="n">
        <v>15</v>
      </c>
      <c r="BE1050" t="n">
        <v>8943</v>
      </c>
      <c r="BF1050" t="inlineStr">
        <is>
          <t>10.3390/ijerph19158943</t>
        </is>
      </c>
      <c r="BG1050">
        <f>HYPERLINK("http://dx.doi.org/10.3390/ijerph19158943","http://dx.doi.org/10.3390/ijerph19158943")</f>
        <v/>
      </c>
      <c r="BJ1050" t="n">
        <v>16</v>
      </c>
      <c r="BK1050" t="inlineStr">
        <is>
          <t>Environmental Sciences; Public, Environmental &amp; Occupational Health</t>
        </is>
      </c>
      <c r="BL1050" t="inlineStr">
        <is>
          <t>Science Citation Index Expanded (SCI-EXPANDED); Social Science Citation Index (SSCI)</t>
        </is>
      </c>
      <c r="BM1050" t="inlineStr">
        <is>
          <t>Environmental Sciences &amp; Ecology; Public, Environmental &amp; Occupational Health</t>
        </is>
      </c>
      <c r="BN1050" t="inlineStr">
        <is>
          <t>3R5JA</t>
        </is>
      </c>
      <c r="BO1050" t="n">
        <v>35897315</v>
      </c>
      <c r="BP1050" t="inlineStr">
        <is>
          <t>gold, Green Published</t>
        </is>
      </c>
      <c r="BS1050" t="inlineStr">
        <is>
          <t>2023-10-26</t>
        </is>
      </c>
      <c r="BT1050" t="inlineStr">
        <is>
          <t>WOS:000838947600001</t>
        </is>
      </c>
      <c r="BU1050">
        <f>HYPERLINK("https%3A%2F%2Fwww.webofscience.com%2Fwos%2Fwoscc%2Ffull-record%2FWOS:000838947600001","View Full Record in Web of Science")</f>
        <v/>
      </c>
    </row>
    <row r="1051">
      <c r="A1051" t="inlineStr">
        <is>
          <t>J</t>
        </is>
      </c>
      <c r="B1051" t="inlineStr">
        <is>
          <t>Al-Awadi, L; Al-Rashidi, M; Pereira, B; Pillai, A; Khan, A</t>
        </is>
      </c>
      <c r="F1051" t="inlineStr">
        <is>
          <t>Al-Awadi, L.; Al-Rashidi, M.; Pereira, B.; Pillai, A.; Khan, A.</t>
        </is>
      </c>
      <c r="J1051" t="inlineStr">
        <is>
          <t>INTERNATIONAL JOURNAL OF ENVIRONMENTAL SCIENCE AND TECHNOLOGY</t>
        </is>
      </c>
      <c r="M1051" t="inlineStr">
        <is>
          <t>English</t>
        </is>
      </c>
      <c r="N1051" t="inlineStr">
        <is>
          <t>Article; Proceedings Paper</t>
        </is>
      </c>
      <c r="O1051" t="inlineStr">
        <is>
          <t>Workshop on Indoor Air Quality in Hot Arid Climate (IAQHAC)</t>
        </is>
      </c>
      <c r="P1051" t="inlineStr">
        <is>
          <t>APR 03-04, 2017</t>
        </is>
      </c>
      <c r="Q1051" t="inlineStr">
        <is>
          <t>Kuwait City, KUWAIT</t>
        </is>
      </c>
      <c r="T1051" t="inlineStr">
        <is>
          <t>Indoor air quality in printing press in Kuwait</t>
        </is>
      </c>
      <c r="U1051" t="inlineStr">
        <is>
          <t>Printing press; Indoor air quality; Volatile organic compounds; CO2; Sick building syndrome</t>
        </is>
      </c>
      <c r="V1051" t="inlineStr">
        <is>
          <t>VOLATILE ORGANIC-COMPOUNDS; OCCUPATIONAL-EXPOSURE; POLLUTANTS; SCHOOLS</t>
        </is>
      </c>
      <c r="W1051" t="inlineStr">
        <is>
          <t>The well-being of the workers in any place is the main health goal of any office; thereby, this study has focused on the printing press due to the inadequate indoor air quality. Most of the pollutants are emitted from the storage, use and disposal of chemicals and liquid/solid waste. Printing inks, toner and cartridges contain volatile organic components that have the potential to generate odors and can cause serious health risk. The press is located in a separate building, away from the main work area containing administration and laboratories. The press is responsible for various tasks, from visiting cards to conferences proceedings. Air quality inside the printing press has been assessed taking into consideration associated offices, administration, editing, printing and publications sections, and heating ventilation and air conditioning (HVAC) system performance was evaluated through continuous monitoring of temperature, humidity and carbon dioxide (CO2) levels. The assessment of the indoor air quality in printing press was completed by accurate measurements of volatile organic compounds (VOCs), CO2, temperature, humidity, ozone and particulate matters. These measured values were compared with national and international guidelines set for an acceptable indoor air quality. The results will be used for the identification of sources, which can be implemented in mitigation strategies to abate the prevalence of sick building syndrome if exists. Samples taken for 8 working hours revealed VOCs levels approached 7.72ppm where 33.82% contribution was from halogenated compounds where predominant compound was refrigerant trichlorofloromethane (R-11) leaked from refrigeration loop of HVAC system, followed by oxygenated group 25.84% mainly consisting of methyl tertiary butyl ether common additive of gasoline emitted from light vehicles. Aliphatic group constituted 25.62% of TVOC, where predominant compound was solvent cyclohexane, and aromatic group was the least 14.72% of the TVOC consisting of toluene common thinner.</t>
        </is>
      </c>
      <c r="X1051" t="inlineStr">
        <is>
          <t>[Al-Awadi, L.; Al-Rashidi, M.; Pereira, B.; Pillai, A.; Khan, A.] Kuwait Inst Sci Res, Environm &amp; Life Sci Res Ctr, POB 24885, Safat 13109, Kuwait</t>
        </is>
      </c>
      <c r="Y1051" t="inlineStr">
        <is>
          <t>Kuwait Institute for Scientific Research</t>
        </is>
      </c>
      <c r="Z1051" t="inlineStr">
        <is>
          <t>Al-Awadi, L (corresponding author), Kuwait Inst Sci Res, Environm &amp; Life Sci Res Ctr, POB 24885, Safat 13109, Kuwait.</t>
        </is>
      </c>
      <c r="AA1051" t="inlineStr">
        <is>
          <t>lawadi@kisr.edu.kw</t>
        </is>
      </c>
      <c r="AC1051" t="inlineStr">
        <is>
          <t>Al-Rashidi, Mufreh S/0000-0001-6032-6553</t>
        </is>
      </c>
      <c r="AH1051" t="n">
        <v>31</v>
      </c>
      <c r="AI1051" t="n">
        <v>4</v>
      </c>
      <c r="AJ1051" t="n">
        <v>4</v>
      </c>
      <c r="AK1051" t="n">
        <v>0</v>
      </c>
      <c r="AL1051" t="n">
        <v>20</v>
      </c>
      <c r="AM1051" t="inlineStr">
        <is>
          <t>SPRINGER</t>
        </is>
      </c>
      <c r="AN1051" t="inlineStr">
        <is>
          <t>NEW YORK</t>
        </is>
      </c>
      <c r="AO1051" t="inlineStr">
        <is>
          <t>233 SPRING ST, NEW YORK, NY 10013 USA</t>
        </is>
      </c>
      <c r="AP1051" t="inlineStr">
        <is>
          <t>1735-1472</t>
        </is>
      </c>
      <c r="AQ1051" t="inlineStr">
        <is>
          <t>1735-2630</t>
        </is>
      </c>
      <c r="AS1051" t="inlineStr">
        <is>
          <t>INT J ENVIRON SCI TE</t>
        </is>
      </c>
      <c r="AT1051" t="inlineStr">
        <is>
          <t>Int. J. Environ. Sci. Technol.</t>
        </is>
      </c>
      <c r="AU1051" t="inlineStr">
        <is>
          <t>JUN</t>
        </is>
      </c>
      <c r="AV1051" t="n">
        <v>2019</v>
      </c>
      <c r="AW1051" t="n">
        <v>16</v>
      </c>
      <c r="AX1051" t="n">
        <v>6</v>
      </c>
      <c r="BA1051" t="inlineStr">
        <is>
          <t>SI</t>
        </is>
      </c>
      <c r="BC1051" t="n">
        <v>2643</v>
      </c>
      <c r="BD1051" t="n">
        <v>2656</v>
      </c>
      <c r="BF1051" t="inlineStr">
        <is>
          <t>10.1007/s13762-018-1800-1</t>
        </is>
      </c>
      <c r="BG1051">
        <f>HYPERLINK("http://dx.doi.org/10.1007/s13762-018-1800-1","http://dx.doi.org/10.1007/s13762-018-1800-1")</f>
        <v/>
      </c>
      <c r="BJ1051" t="n">
        <v>14</v>
      </c>
      <c r="BK1051" t="inlineStr">
        <is>
          <t>Environmental Sciences</t>
        </is>
      </c>
      <c r="BL1051" t="inlineStr">
        <is>
          <t>Science Citation Index Expanded (SCI-EXPANDED); Conference Proceedings Citation Index - Science (CPCI-S)</t>
        </is>
      </c>
      <c r="BM1051" t="inlineStr">
        <is>
          <t>Environmental Sciences &amp; Ecology</t>
        </is>
      </c>
      <c r="BN1051" t="inlineStr">
        <is>
          <t>HY5LO</t>
        </is>
      </c>
      <c r="BS1051" t="inlineStr">
        <is>
          <t>2023-10-26</t>
        </is>
      </c>
      <c r="BT1051" t="inlineStr">
        <is>
          <t>WOS:000468169700012</t>
        </is>
      </c>
      <c r="BU1051">
        <f>HYPERLINK("https%3A%2F%2Fwww.webofscience.com%2Fwos%2Fwoscc%2Ffull-record%2FWOS:000468169700012","View Full Record in Web of Science")</f>
        <v/>
      </c>
    </row>
    <row r="1052">
      <c r="A1052" t="inlineStr">
        <is>
          <t>J</t>
        </is>
      </c>
      <c r="B1052" t="inlineStr">
        <is>
          <t>Moon, S; Choi, M; Sohn, M</t>
        </is>
      </c>
      <c r="F1052" t="inlineStr">
        <is>
          <t>Moon, Sungje; Choi, Mankyu; Sohn, Minsung</t>
        </is>
      </c>
      <c r="J1052" t="inlineStr">
        <is>
          <t>INTERNATIONAL JOURNAL OF ENVIRONMENTAL RESEARCH AND PUBLIC HEALTH</t>
        </is>
      </c>
      <c r="M1052" t="inlineStr">
        <is>
          <t>English</t>
        </is>
      </c>
      <c r="N1052" t="inlineStr">
        <is>
          <t>Article</t>
        </is>
      </c>
      <c r="T1052" t="inlineStr">
        <is>
          <t>Suicide among Older Adults with Dementia: Effects of Korea's Long-Term Care Insurance System</t>
        </is>
      </c>
      <c r="U1052" t="inlineStr">
        <is>
          <t>dementia; suicide; long-term care insurance; older adults; survival analysis</t>
        </is>
      </c>
      <c r="V1052" t="inlineStr">
        <is>
          <t>IDEATION; RISK</t>
        </is>
      </c>
      <c r="W1052" t="inlineStr">
        <is>
          <t>South Korea recently expanded its coverage rate of long-term care insurance (LTCI) by adding a dementia special grade in 2014 to improve care service accessibility and extend health life for older adults with dementia. In this study, we propose a multifaceted policy to reduce the suicide risk among older adults with dementia by evaluating the effectiveness of using the long-term care services (LTCS). A sample of 62,282 older adults was selected from the Older Adults Cohort DB of the National Health Insurance Service. We conducted Kaplan-Meier and Cox regression to represent the yearly survival curve from 2002 to 2015 according to the individual characteristics. Difference-in-difference estimation was conducted to identify the effect of LTCS on suicide rates by using LTCS before and after 2014. The suicide risk of older adults using LTCS was about 0.256-times lower than those who did not use it (OR = 0.296, 95% CI = 0.183-0.478), whereas it increased after the expansion of the dementia grading (OR = 2.131, 95% CI = 1.061-4.280). To prevent the risk of suicide among older adults with dementia, not only did the mortality rate vary depending on the sex, activities of daily living (ADL), and type of caregiver at the individual level but appropriate national intervention and management, such as improving the accessibility of LTCS, are also needed.</t>
        </is>
      </c>
      <c r="X1052" t="inlineStr">
        <is>
          <t>[Moon, Sungje] Korean Med Assoc, Res Inst Healthcare Policy, Seoul 04373, South Korea; [Choi, Mankyu] Korea Univ, Coll Hlth Sci, Dept Hlth Policy &amp; Management, BK21 FOUR R&amp;E Ctr Learning Hlth Syst, Seoul 02841, South Korea; [Sohn, Minsung] Cyber Univ Korea, Dept Hlth &amp; Care Adm, Seoul 03051, South Korea</t>
        </is>
      </c>
      <c r="Y1052" t="inlineStr">
        <is>
          <t>Korea University; Korea University Medicine (KU Medicine)</t>
        </is>
      </c>
      <c r="Z1052" t="inlineStr">
        <is>
          <t>Sohn, M (corresponding author), Cyber Univ Korea, Dept Hlth &amp; Care Adm, Seoul 03051, South Korea.</t>
        </is>
      </c>
      <c r="AA1052" t="inlineStr">
        <is>
          <t>msjess0329@hotmail.com; mkchoi@korea.ac.kr; minsinge@cuk.edu</t>
        </is>
      </c>
      <c r="AB1052" t="inlineStr">
        <is>
          <t>Sohn, Minsung/AAB-9976-2020</t>
        </is>
      </c>
      <c r="AC1052" t="inlineStr">
        <is>
          <t>Sohn, Minsung/0000-0001-7748-5622</t>
        </is>
      </c>
      <c r="AD1052" t="inlineStr">
        <is>
          <t>Ministry of Education of the Republic of Korea; National Research Foundation of Korea [NRF-2019S1A5A8039163]; National Research Foundation of Korea [2019S1A5A8039163] Funding Source: Korea Institute of Science &amp; Technology Information (KISTI), National Science &amp; Technology Information Service (NTIS)</t>
        </is>
      </c>
      <c r="AE1052" t="inlineStr">
        <is>
          <t>Ministry of Education of the Republic of Korea(Ministry of Education (MOE), Republic of Korea); National Research Foundation of Korea(National Research Foundation of Korea); National Research Foundation of Korea(National Research Foundation of Korea)</t>
        </is>
      </c>
      <c r="AF1052" t="inlineStr">
        <is>
          <t>This work was supported by the Ministry of Education of the Republic of Korea and the National Research Foundation of Korea (NRF-2019S1A5A8039163).</t>
        </is>
      </c>
      <c r="AH1052" t="n">
        <v>39</v>
      </c>
      <c r="AI1052" t="n">
        <v>3</v>
      </c>
      <c r="AJ1052" t="n">
        <v>3</v>
      </c>
      <c r="AK1052" t="n">
        <v>2</v>
      </c>
      <c r="AL1052" t="n">
        <v>18</v>
      </c>
      <c r="AM1052" t="inlineStr">
        <is>
          <t>MDPI</t>
        </is>
      </c>
      <c r="AN1052" t="inlineStr">
        <is>
          <t>BASEL</t>
        </is>
      </c>
      <c r="AO1052" t="inlineStr">
        <is>
          <t>ST ALBAN-ANLAGE 66, CH-4052 BASEL, SWITZERLAND</t>
        </is>
      </c>
      <c r="AQ1052" t="inlineStr">
        <is>
          <t>1660-4601</t>
        </is>
      </c>
      <c r="AS1052" t="inlineStr">
        <is>
          <t>INT J ENV RES PUB HE</t>
        </is>
      </c>
      <c r="AT1052" t="inlineStr">
        <is>
          <t>Int. J. Environ. Res. Public Health</t>
        </is>
      </c>
      <c r="AU1052" t="inlineStr">
        <is>
          <t>JUN</t>
        </is>
      </c>
      <c r="AV1052" t="n">
        <v>2021</v>
      </c>
      <c r="AW1052" t="n">
        <v>18</v>
      </c>
      <c r="AX1052" t="n">
        <v>12</v>
      </c>
      <c r="BE1052" t="n">
        <v>6582</v>
      </c>
      <c r="BF1052" t="inlineStr">
        <is>
          <t>10.3390/ijerph18126582</t>
        </is>
      </c>
      <c r="BG1052">
        <f>HYPERLINK("http://dx.doi.org/10.3390/ijerph18126582","http://dx.doi.org/10.3390/ijerph18126582")</f>
        <v/>
      </c>
      <c r="BJ1052" t="n">
        <v>14</v>
      </c>
      <c r="BK1052" t="inlineStr">
        <is>
          <t>Environmental Sciences; Public, Environmental &amp; Occupational Health</t>
        </is>
      </c>
      <c r="BL1052" t="inlineStr">
        <is>
          <t>Science Citation Index Expanded (SCI-EXPANDED); Social Science Citation Index (SSCI)</t>
        </is>
      </c>
      <c r="BM1052" t="inlineStr">
        <is>
          <t>Environmental Sciences &amp; Ecology; Public, Environmental &amp; Occupational Health</t>
        </is>
      </c>
      <c r="BN1052" t="inlineStr">
        <is>
          <t>TA2BX</t>
        </is>
      </c>
      <c r="BO1052" t="n">
        <v>34207323</v>
      </c>
      <c r="BP1052" t="inlineStr">
        <is>
          <t>gold, Green Published</t>
        </is>
      </c>
      <c r="BS1052" t="inlineStr">
        <is>
          <t>2023-10-26</t>
        </is>
      </c>
      <c r="BT1052" t="inlineStr">
        <is>
          <t>WOS:000667059000001</t>
        </is>
      </c>
      <c r="BU1052">
        <f>HYPERLINK("https%3A%2F%2Fwww.webofscience.com%2Fwos%2Fwoscc%2Ffull-record%2FWOS:000667059000001","View Full Record in Web of Science")</f>
        <v/>
      </c>
    </row>
    <row r="1053">
      <c r="A1053" t="inlineStr">
        <is>
          <t>J</t>
        </is>
      </c>
      <c r="B1053" t="inlineStr">
        <is>
          <t>Zhang, JF; Zhang, LJ; Qin, YC; Wang, X; Zheng, ZC</t>
        </is>
      </c>
      <c r="F1053" t="inlineStr">
        <is>
          <t>Zhang, Jingfei; Zhang, Lijun; Qin, Yaochen; Wang, Xia; Zheng, Zhicheng</t>
        </is>
      </c>
      <c r="J1053" t="inlineStr">
        <is>
          <t>JOURNAL OF CLEANER PRODUCTION</t>
        </is>
      </c>
      <c r="M1053" t="inlineStr">
        <is>
          <t>English</t>
        </is>
      </c>
      <c r="N1053" t="inlineStr">
        <is>
          <t>Article</t>
        </is>
      </c>
      <c r="T1053" t="inlineStr">
        <is>
          <t>Influence of the built environment on urban residential low-carbon cognition in zhengzhou, China</t>
        </is>
      </c>
      <c r="U1053" t="inlineStr">
        <is>
          <t>Low-carbon cognition; Distributed cognition; The built environment; Order logistic regression; Zhengzhou</t>
        </is>
      </c>
      <c r="V1053" t="inlineStr">
        <is>
          <t>ENERGY-SAVING BEHAVIORS; CONSUMPTION BEHAVIOR; EMISSIONS; AWARENESS; ATTITUDES</t>
        </is>
      </c>
      <c r="W1053" t="inlineStr">
        <is>
          <t>Low-carbon cognition can potentially impact low-carbon behavior, playing an important role in sustainable urban development. Traditional low-carbon cognition research has paid little attention to the built environment, causing an underestimation of the influence of urban spatial planning and regulation. Therefore, we constructed an analytical framework of low-carbon cognition and integrated the built environment 5D variables with local forces to investigate the cultural, local, and personal impact of low-carbon cognition. Low-carbon cognition in terms of energy use, daily travel, and consumption for 1485 households in Zhengzhou City was empirically studied. The results show that residents' low-carbon cognition is hierarchical. Low-carbon travel cognition is highly susceptible to the external environment, while low-carbon energy use cognition is susceptible to cultural factors. There are differences in the effects of the three forces on residents' low-carbon cognition. The personal and cultural forces have a greater impact on residents' low-carbon energy use and consumption cognition, while the local force affects various low-carbon cognition of residents. The heterogeneity of the built environmental impact should be focused on. The 5D built environment (Density, Diversity, Design, Distance to transit, and Destination accessibility) positively affects the level of low-carbon travel cognitive, but negatively affects the level of low-carbon consumption cognitive. This study comprehensively analyzes the low-carbon cognition of energy use, daily travel, and consumption, objectively measures the impact of Regional force on low-carbon cognition, and determines the heterogeneous effect of the external built environment on low-carbon cognition. We provide detailed policy recommendations for the construction of low-carbon cities and transformation of residents' living behaviors. (C) 2020 Elsevier Ltd. All rights reserved.</t>
        </is>
      </c>
      <c r="X1053" t="inlineStr">
        <is>
          <t>[Zhang, Jingfei; Zhang, Lijun; Qin, Yaochen; Wang, Xia; Zheng, Zhicheng] Henan Univ, Coll Environm &amp; Planning, Key Lab Geospatial Technol Middle &amp; Lower Yellow, Kaifeng 475004, Peoples R China</t>
        </is>
      </c>
      <c r="Y1053" t="inlineStr">
        <is>
          <t>Henan University</t>
        </is>
      </c>
      <c r="Z1053" t="inlineStr">
        <is>
          <t>Zhang, LJ (corresponding author), Henan Univ, Coll Environm &amp; Planning, Key Lab Geospatial Technol Middle &amp; Lower Yellow, Kaifeng 475004, Peoples R China.</t>
        </is>
      </c>
      <c r="AA1053" t="inlineStr">
        <is>
          <t>18211719372@163.com; zlj7happy@vip.henu.edu.cn; qinyc@henu.edu.cn; wxia0709@163.com; cui1583786@sina.com</t>
        </is>
      </c>
      <c r="AD1053" t="inlineStr">
        <is>
          <t>National Science Foundation of China [41671536, 41501588]; Postdoctoral Science Foundation of China [2016M600575]</t>
        </is>
      </c>
      <c r="AE1053" t="inlineStr">
        <is>
          <t>National Science Foundation of China(National Natural Science Foundation of China (NSFC)); Postdoctoral Science Foundation of China(China Postdoctoral Science Foundation)</t>
        </is>
      </c>
      <c r="AF1053" t="inlineStr">
        <is>
          <t>We would like to express appreciations to the students at College of Environment and Planning of Henan University for data collecting and processing. We would also like to thank relevant instructor for his patient and careful revision for this article. This research was also supported by grants from the National Science Foundation of China (No. 41671536, 41501588) and Postdoctoral Science Foundation of China(No. 2016M600575).</t>
        </is>
      </c>
      <c r="AH1053" t="n">
        <v>44</v>
      </c>
      <c r="AI1053" t="n">
        <v>10</v>
      </c>
      <c r="AJ1053" t="n">
        <v>12</v>
      </c>
      <c r="AK1053" t="n">
        <v>17</v>
      </c>
      <c r="AL1053" t="n">
        <v>115</v>
      </c>
      <c r="AM1053" t="inlineStr">
        <is>
          <t>ELSEVIER SCI LTD</t>
        </is>
      </c>
      <c r="AN1053" t="inlineStr">
        <is>
          <t>OXFORD</t>
        </is>
      </c>
      <c r="AO1053" t="inlineStr">
        <is>
          <t>THE BOULEVARD, LANGFORD LANE, KIDLINGTON, OXFORD OX5 1GB, OXON, ENGLAND</t>
        </is>
      </c>
      <c r="AP1053" t="inlineStr">
        <is>
          <t>0959-6526</t>
        </is>
      </c>
      <c r="AQ1053" t="inlineStr">
        <is>
          <t>1879-1786</t>
        </is>
      </c>
      <c r="AS1053" t="inlineStr">
        <is>
          <t>J CLEAN PROD</t>
        </is>
      </c>
      <c r="AT1053" t="inlineStr">
        <is>
          <t>J. Clean Prod.</t>
        </is>
      </c>
      <c r="AU1053" t="inlineStr">
        <is>
          <t>OCT 20</t>
        </is>
      </c>
      <c r="AV1053" t="n">
        <v>2020</v>
      </c>
      <c r="AW1053" t="n">
        <v>271</v>
      </c>
      <c r="BE1053" t="n">
        <v>122429</v>
      </c>
      <c r="BF1053" t="inlineStr">
        <is>
          <t>10.1016/j.jclepro.2020.122429</t>
        </is>
      </c>
      <c r="BG1053">
        <f>HYPERLINK("http://dx.doi.org/10.1016/j.jclepro.2020.122429","http://dx.doi.org/10.1016/j.jclepro.2020.122429")</f>
        <v/>
      </c>
      <c r="BJ1053" t="n">
        <v>10</v>
      </c>
      <c r="BK1053" t="inlineStr">
        <is>
          <t>Green &amp; Sustainable Science &amp; Technology; Engineering, Environmental; Environmental Sciences</t>
        </is>
      </c>
      <c r="BL1053" t="inlineStr">
        <is>
          <t>Science Citation Index Expanded (SCI-EXPANDED); Social Science Citation Index (SSCI)</t>
        </is>
      </c>
      <c r="BM1053" t="inlineStr">
        <is>
          <t>Science &amp; Technology - Other Topics; Engineering; Environmental Sciences &amp; Ecology</t>
        </is>
      </c>
      <c r="BN1053" t="inlineStr">
        <is>
          <t>NO2TH</t>
        </is>
      </c>
      <c r="BS1053" t="inlineStr">
        <is>
          <t>2023-10-26</t>
        </is>
      </c>
      <c r="BT1053" t="inlineStr">
        <is>
          <t>WOS:000569336500003</t>
        </is>
      </c>
      <c r="BU1053">
        <f>HYPERLINK("https%3A%2F%2Fwww.webofscience.com%2Fwos%2Fwoscc%2Ffull-record%2FWOS:000569336500003","View Full Record in Web of Science")</f>
        <v/>
      </c>
    </row>
    <row r="1054">
      <c r="A1054" t="inlineStr">
        <is>
          <t>J</t>
        </is>
      </c>
      <c r="B1054" t="inlineStr">
        <is>
          <t>Liu, Z; Yang, ZL; Osmani, M</t>
        </is>
      </c>
      <c r="F1054" t="inlineStr">
        <is>
          <t>Liu, Zhen; Yang, Zulan; Osmani, Mohamed</t>
        </is>
      </c>
      <c r="J1054" t="inlineStr">
        <is>
          <t>INTERNATIONAL JOURNAL OF ENVIRONMENTAL RESEARCH AND PUBLIC HEALTH</t>
        </is>
      </c>
      <c r="M1054" t="inlineStr">
        <is>
          <t>English</t>
        </is>
      </c>
      <c r="N1054" t="inlineStr">
        <is>
          <t>Article</t>
        </is>
      </c>
      <c r="T1054" t="inlineStr">
        <is>
          <t>The Relationship between Sustainable Built Environment, Art Therapy and Therapeutic Design in Promoting Health and Well-Being</t>
        </is>
      </c>
      <c r="U1054" t="inlineStr">
        <is>
          <t>health; therapeutic design; built environment; art therapy; sustainable development; digital technology; building information modeling (BIM); bibliometric analysis; VOSviewer</t>
        </is>
      </c>
      <c r="V1054" t="inlineStr">
        <is>
          <t>MENTAL-HEALTH; BUILDING DESIGN; OLDER-ADULTS; DEMENTIA; LANDSCAPES; PEOPLE; CARE; ARCHITECTURE; KNOWLEDGE; GARDENS</t>
        </is>
      </c>
      <c r="W1054" t="inlineStr">
        <is>
          <t>At present, a smart city from the perspective of the United Nations Sustainable Development Goals (SDGs) emphasizes the importance of providing citizens with promising health and well-being. However, with the continuous impact of coronavirus disease 2019 (COVID-19) and the increase of city population, the health of citizens is facing new challenges. Therefore, this paper aims to assess the relationship between building, environment, landscape design, art therapy (AT), and therapeutic design (TD) in promoting health within the context of sustainable development. It also summarizes the existing applied research areas and potential value of TD that informs future research. This paper adopts the macro-quantitative and micro-qualitative research methods of bibliometric analysis. The results show that: the built environment and AT are related to sustainable development, and closely associated with health and well-being; the application of TD in the environment, architecture, space, and landscape fields promotes the realization of SDGs and lays the foundation for integrating digital technologies such as Building Information Modeling (BIM) into the design process to potentially solve the challenges of TD; and the principle of TD can consider design elements and characteristics from based on people's health needs to better promote human health and well-being.</t>
        </is>
      </c>
      <c r="X1054" t="inlineStr">
        <is>
          <t>[Liu, Zhen; Yang, Zulan] South China Univ Technol, Sch Design, Guangzhou 510006, Peoples R China; [Osmani, Mohamed] Loughborough Univ, Sch Architecture Bldg &amp; Civil Engn, Loughborough LE11 3TU, Leics, England</t>
        </is>
      </c>
      <c r="Y1054" t="inlineStr">
        <is>
          <t>South China University of Technology; Loughborough University</t>
        </is>
      </c>
      <c r="Z1054" t="inlineStr">
        <is>
          <t>Liu, Z; Yang, ZL (corresponding author), South China Univ Technol, Sch Design, Guangzhou 510006, Peoples R China.</t>
        </is>
      </c>
      <c r="AA1054" t="inlineStr">
        <is>
          <t>liuzjames@scut.edu.cn; 201921052616@mail.scut.edu.cn; m.osmani@lboro.ac.uk</t>
        </is>
      </c>
      <c r="AB1054" t="inlineStr">
        <is>
          <t>Santana, Elaine/GNP-2710-2022</t>
        </is>
      </c>
      <c r="AC1054" t="inlineStr">
        <is>
          <t>Liu, Zhen/0000-0001-6548-4403; Yang, Zulan/0000-0001-7632-4624</t>
        </is>
      </c>
      <c r="AD1054" t="inlineStr">
        <is>
          <t>Guangzhou City Philosophy and Social Science Planning 2020 Annual Project [2020GZYB12]</t>
        </is>
      </c>
      <c r="AE1054" t="inlineStr">
        <is>
          <t>Guangzhou City Philosophy and Social Science Planning 2020 Annual Project</t>
        </is>
      </c>
      <c r="AF1054" t="inlineStr">
        <is>
          <t>This research was funded by Guangzhou City Philosophy and Social Science Planning 2020 Annual Project: grant number 2020GZYB12.</t>
        </is>
      </c>
      <c r="AH1054" t="n">
        <v>103</v>
      </c>
      <c r="AI1054" t="n">
        <v>4</v>
      </c>
      <c r="AJ1054" t="n">
        <v>4</v>
      </c>
      <c r="AK1054" t="n">
        <v>7</v>
      </c>
      <c r="AL1054" t="n">
        <v>103</v>
      </c>
      <c r="AM1054" t="inlineStr">
        <is>
          <t>MDPI</t>
        </is>
      </c>
      <c r="AN1054" t="inlineStr">
        <is>
          <t>BASEL</t>
        </is>
      </c>
      <c r="AO1054" t="inlineStr">
        <is>
          <t>ST ALBAN-ANLAGE 66, CH-4052 BASEL, SWITZERLAND</t>
        </is>
      </c>
      <c r="AQ1054" t="inlineStr">
        <is>
          <t>1660-4601</t>
        </is>
      </c>
      <c r="AS1054" t="inlineStr">
        <is>
          <t>INT J ENV RES PUB HE</t>
        </is>
      </c>
      <c r="AT1054" t="inlineStr">
        <is>
          <t>Int. J. Environ. Res. Public Health</t>
        </is>
      </c>
      <c r="AU1054" t="inlineStr">
        <is>
          <t>OCT</t>
        </is>
      </c>
      <c r="AV1054" t="n">
        <v>2021</v>
      </c>
      <c r="AW1054" t="n">
        <v>18</v>
      </c>
      <c r="AX1054" t="n">
        <v>20</v>
      </c>
      <c r="BE1054" t="n">
        <v>10906</v>
      </c>
      <c r="BF1054" t="inlineStr">
        <is>
          <t>10.3390/ijerph182010906</t>
        </is>
      </c>
      <c r="BG1054">
        <f>HYPERLINK("http://dx.doi.org/10.3390/ijerph182010906","http://dx.doi.org/10.3390/ijerph182010906")</f>
        <v/>
      </c>
      <c r="BJ1054" t="n">
        <v>18</v>
      </c>
      <c r="BK1054" t="inlineStr">
        <is>
          <t>Environmental Sciences; Public, Environmental &amp; Occupational Health</t>
        </is>
      </c>
      <c r="BL1054" t="inlineStr">
        <is>
          <t>Science Citation Index Expanded (SCI-EXPANDED); Social Science Citation Index (SSCI)</t>
        </is>
      </c>
      <c r="BM1054" t="inlineStr">
        <is>
          <t>Environmental Sciences &amp; Ecology; Public, Environmental &amp; Occupational Health</t>
        </is>
      </c>
      <c r="BN1054" t="inlineStr">
        <is>
          <t>WQ9MQ</t>
        </is>
      </c>
      <c r="BO1054" t="n">
        <v>34682646</v>
      </c>
      <c r="BP1054" t="inlineStr">
        <is>
          <t>Green Published, gold</t>
        </is>
      </c>
      <c r="BS1054" t="inlineStr">
        <is>
          <t>2023-10-26</t>
        </is>
      </c>
      <c r="BT1054" t="inlineStr">
        <is>
          <t>WOS:000714134200001</t>
        </is>
      </c>
      <c r="BU1054">
        <f>HYPERLINK("https%3A%2F%2Fwww.webofscience.com%2Fwos%2Fwoscc%2Ffull-record%2FWOS:000714134200001","View Full Record in Web of Science")</f>
        <v/>
      </c>
    </row>
    <row r="1055">
      <c r="A1055" t="inlineStr">
        <is>
          <t>J</t>
        </is>
      </c>
      <c r="B1055" t="inlineStr">
        <is>
          <t>Horgan, D; Dimitrijevic, B</t>
        </is>
      </c>
      <c r="F1055" t="inlineStr">
        <is>
          <t>Horgan, Donagh; Dimitrijevic, Branka</t>
        </is>
      </c>
      <c r="J1055" t="inlineStr">
        <is>
          <t>URBAN SCIENCE</t>
        </is>
      </c>
      <c r="M1055" t="inlineStr">
        <is>
          <t>English</t>
        </is>
      </c>
      <c r="N1055" t="inlineStr">
        <is>
          <t>Article</t>
        </is>
      </c>
      <c r="T1055" t="inlineStr">
        <is>
          <t>Social Innovation in the Built Environment: The Challenges Presented by the Politics of Space</t>
        </is>
      </c>
      <c r="U1055" t="inlineStr">
        <is>
          <t>social innovation; built environment; spatial inequality</t>
        </is>
      </c>
      <c r="V1055" t="inlineStr">
        <is>
          <t>RESILIENCE; DESIGN</t>
        </is>
      </c>
      <c r="W1055" t="inlineStr">
        <is>
          <t>This paper reports on social innovation systems for building resilient communities within different social and political contexts across four continents. It considers how social innovation in the built environment occurs over phases of network, framework and architecture and explores the linkages with the study of sustainability and resilience. It tracks the emergence of social innovation in response to social, economic and environmental challenges through nine case studies, using ethnography to probe the barriers and enablers of social innovation. Findings reveal the role that politics and ideological governance levers play in planning for sustainable, inclusive communities. An overview of the role of architecture in the politics of space from literature review is provided based both on historical and contemporary sources. Modern commentators who build on concepts such as the 'Right to the city' are considered, in the study of how networks can collaborate on frameworks for change that enable social equity in the built environment. Political themes have laid a foundation for both the literature review and investigation in the field-looking to enlightened policy, such as that based around the Right to the city, which may offer a theoretical framework for communities to effect planning and decision-making.</t>
        </is>
      </c>
      <c r="X1055" t="inlineStr">
        <is>
          <t>[Horgan, Donagh] Univ Strathclyde, Inst Future Cities, Glasgow G1 1XQ, Lanark, Scotland; [Dimitrijevic, Branka] Univ Strathclyde, Dept Architecture, Glasgow G1 1XQ, Lanark, Scotland</t>
        </is>
      </c>
      <c r="Y1055" t="inlineStr">
        <is>
          <t>University of Strathclyde; University of Strathclyde</t>
        </is>
      </c>
      <c r="Z1055" t="inlineStr">
        <is>
          <t>Horgan, D (corresponding author), Univ Strathclyde, Inst Future Cities, Glasgow G1 1XQ, Lanark, Scotland.</t>
        </is>
      </c>
      <c r="AA1055" t="inlineStr">
        <is>
          <t>donagh.horgan@strath.ac.uk; branka.dimitrijevic@strath.ac.uk</t>
        </is>
      </c>
      <c r="AC1055" t="inlineStr">
        <is>
          <t>Dimitrijevic, Branka/0000-0003-2817-7986; Horgan, Donagh/0000-0003-0979-4743</t>
        </is>
      </c>
      <c r="AD1055" t="inlineStr">
        <is>
          <t>University of Strathclyde and Building Research Establishment Trust</t>
        </is>
      </c>
      <c r="AE1055" t="inlineStr">
        <is>
          <t>University of Strathclyde and Building Research Establishment Trust</t>
        </is>
      </c>
      <c r="AF1055" t="inlineStr">
        <is>
          <t>PhD studentship was provided by the University of Strathclyde and Building Research Establishment Trust.</t>
        </is>
      </c>
      <c r="AH1055" t="n">
        <v>68</v>
      </c>
      <c r="AI1055" t="n">
        <v>8</v>
      </c>
      <c r="AJ1055" t="n">
        <v>8</v>
      </c>
      <c r="AK1055" t="n">
        <v>2</v>
      </c>
      <c r="AL1055" t="n">
        <v>16</v>
      </c>
      <c r="AM1055" t="inlineStr">
        <is>
          <t>MDPI</t>
        </is>
      </c>
      <c r="AN1055" t="inlineStr">
        <is>
          <t>BASEL</t>
        </is>
      </c>
      <c r="AO1055" t="inlineStr">
        <is>
          <t>ST ALBAN-ANLAGE 66, CH-4052 BASEL, SWITZERLAND</t>
        </is>
      </c>
      <c r="AQ1055" t="inlineStr">
        <is>
          <t>2413-8851</t>
        </is>
      </c>
      <c r="AS1055" t="inlineStr">
        <is>
          <t>URBAN SCI</t>
        </is>
      </c>
      <c r="AT1055" t="inlineStr">
        <is>
          <t>Urban Sci.</t>
        </is>
      </c>
      <c r="AU1055" t="inlineStr">
        <is>
          <t>MAR</t>
        </is>
      </c>
      <c r="AV1055" t="n">
        <v>2021</v>
      </c>
      <c r="AW1055" t="n">
        <v>5</v>
      </c>
      <c r="AX1055" t="n">
        <v>1</v>
      </c>
      <c r="BE1055" t="n">
        <v>1</v>
      </c>
      <c r="BF1055" t="inlineStr">
        <is>
          <t>10.3390/urbansci5010001</t>
        </is>
      </c>
      <c r="BG1055">
        <f>HYPERLINK("http://dx.doi.org/10.3390/urbansci5010001","http://dx.doi.org/10.3390/urbansci5010001")</f>
        <v/>
      </c>
      <c r="BJ1055" t="n">
        <v>22</v>
      </c>
      <c r="BK1055" t="inlineStr">
        <is>
          <t>Environmental Sciences; Environmental Studies; Geography; Regional &amp; Urban Planning; Urban Studies</t>
        </is>
      </c>
      <c r="BL1055" t="inlineStr">
        <is>
          <t>Emerging Sources Citation Index (ESCI)</t>
        </is>
      </c>
      <c r="BM1055" t="inlineStr">
        <is>
          <t>Environmental Sciences &amp; Ecology; Geography; Public Administration; Urban Studies</t>
        </is>
      </c>
      <c r="BN1055" t="inlineStr">
        <is>
          <t>RG5IZ</t>
        </is>
      </c>
      <c r="BP1055" t="inlineStr">
        <is>
          <t>gold, Green Accepted</t>
        </is>
      </c>
      <c r="BS1055" t="inlineStr">
        <is>
          <t>2023-10-26</t>
        </is>
      </c>
      <c r="BT1055" t="inlineStr">
        <is>
          <t>WOS:000635573100001</t>
        </is>
      </c>
      <c r="BU1055">
        <f>HYPERLINK("https%3A%2F%2Fwww.webofscience.com%2Fwos%2Fwoscc%2Ffull-record%2FWOS:000635573100001","View Full Record in Web of Science")</f>
        <v/>
      </c>
    </row>
    <row r="1056">
      <c r="A1056" t="inlineStr">
        <is>
          <t>J</t>
        </is>
      </c>
      <c r="B1056" t="inlineStr">
        <is>
          <t>de Koning, J; Richards, SH; Wood, GER; Stathi, A</t>
        </is>
      </c>
      <c r="F1056" t="inlineStr">
        <is>
          <t>de Koning, Jolanthe; Richards, Suzanne H.; Wood, Grace E. R.; Stathi, Afroditi</t>
        </is>
      </c>
      <c r="J1056" t="inlineStr">
        <is>
          <t>INTERNATIONAL JOURNAL OF ENVIRONMENTAL RESEARCH AND PUBLIC HEALTH</t>
        </is>
      </c>
      <c r="M1056" t="inlineStr">
        <is>
          <t>English</t>
        </is>
      </c>
      <c r="N1056" t="inlineStr">
        <is>
          <t>Article</t>
        </is>
      </c>
      <c r="T1056" t="inlineStr">
        <is>
          <t>Profiles of Loneliness and Social Isolation in Physically Active and Inactive Older Adults in Rural England</t>
        </is>
      </c>
      <c r="U1056" t="inlineStr">
        <is>
          <t>aging; mental health; qualitative; activity; socio-ecological; environment</t>
        </is>
      </c>
      <c r="V1056" t="inlineStr">
        <is>
          <t>LATER LIFE; EMOTIONAL LONELINESS; RISK-FACTORS; MORTALITY; PEOPLE; INTERVENTIONS; CONSEQUENCES; PERSPECTIVES; EXPERIENCES; DISABILITY</t>
        </is>
      </c>
      <c r="W1056" t="inlineStr">
        <is>
          <t>Objective: Loneliness and social isolation are associated with higher risk of morbidity and mortality and physical inactivity in older age. This study explored the socioecological context in which both physically active and inactive older adults experience loneliness and/or social isolation in a UK rural setting. Design: A mixed-methods design employed semi structured interviews and accelerometer-measured moderate-to-vigorous physical activity (MVPA). Interviews explored the personal, social and environmental factors influencing engagement with physical activities, guided by an adapted-socioecological model of physical activity behaviour. Findings: Twenty-four older adults (Mean Age = 73 (5.8 SD); 12 women) were interviewed. Transcripts were thematically analysed and seven profiles of physical activity, social isolation and loneliness were identified. The high-MVPA group had established PA habits, reported several sources of social contact and evaluated their physical environment as activity friendly. The low MVPA group had diverse experiences of past engagement in social activities. Similar to the high MVPA, they reported a range of sources of social contact but they did not perceive the physical environment as activity friendly. Conclusions: Loneliness and/or social isolation was reported by both physically active and inactive older adults. There is wide diversity and complexity in types and intensity of PA, loneliness and social isolation profiles and personal, social and environmental contexts.</t>
        </is>
      </c>
      <c r="X1056" t="inlineStr">
        <is>
          <t>[de Koning, Jolanthe] Univ Bath, Dept Hlth, Bath BA2 7AY, Avon, England; [Richards, Suzanne H.] Univ Leeds, Leeds Inst Hlth Sci, Leeds LS2 9NL, W Yorkshire, England; [Wood, Grace E. R.; Stathi, Afroditi] Univ Birmingham, Sch Sport Exercise &amp; Rehabil Sci, Birmingham B15 2TT, W Midlands, England</t>
        </is>
      </c>
      <c r="Y1056" t="inlineStr">
        <is>
          <t>University of Bath; University of Leeds; University of Birmingham</t>
        </is>
      </c>
      <c r="Z1056" t="inlineStr">
        <is>
          <t>Stathi, A (corresponding author), Univ Birmingham, Sch Sport Exercise &amp; Rehabil Sci, Birmingham B15 2TT, W Midlands, England.</t>
        </is>
      </c>
      <c r="AA1056" t="inlineStr">
        <is>
          <t>dekoning.jolanthe@gmail.com; s.h.richards@leeds.ac.uk; GXW877@student.bham.ac.uk; a.stathi@bham.ac.uk</t>
        </is>
      </c>
      <c r="AC1056" t="inlineStr">
        <is>
          <t>Wood, Grace/0000-0003-2622-2501; Stathi, Afroditi/0000-0003-2162-777X; de Koning, Jolanthe/0000-0001-6811-5726; Richards, Suzanne/0000-0003-1416-0569</t>
        </is>
      </c>
      <c r="AD1056" t="inlineStr">
        <is>
          <t>South West Doctoral Training Partnership programme</t>
        </is>
      </c>
      <c r="AE1056" t="inlineStr">
        <is>
          <t>South West Doctoral Training Partnership programme</t>
        </is>
      </c>
      <c r="AF1056" t="inlineStr">
        <is>
          <t>This work was supported by the South West Doctoral Training Partnership programme. We would like to thank the participants of the SHAPR study without whom this research would not have been possible.</t>
        </is>
      </c>
      <c r="AH1056" t="n">
        <v>67</v>
      </c>
      <c r="AI1056" t="n">
        <v>5</v>
      </c>
      <c r="AJ1056" t="n">
        <v>5</v>
      </c>
      <c r="AK1056" t="n">
        <v>4</v>
      </c>
      <c r="AL1056" t="n">
        <v>13</v>
      </c>
      <c r="AM1056" t="inlineStr">
        <is>
          <t>MDPI</t>
        </is>
      </c>
      <c r="AN1056" t="inlineStr">
        <is>
          <t>BASEL</t>
        </is>
      </c>
      <c r="AO1056" t="inlineStr">
        <is>
          <t>ST ALBAN-ANLAGE 66, CH-4052 BASEL, SWITZERLAND</t>
        </is>
      </c>
      <c r="AQ1056" t="inlineStr">
        <is>
          <t>1660-4601</t>
        </is>
      </c>
      <c r="AS1056" t="inlineStr">
        <is>
          <t>INT J ENV RES PUB HE</t>
        </is>
      </c>
      <c r="AT1056" t="inlineStr">
        <is>
          <t>Int. J. Environ. Res. Public Health</t>
        </is>
      </c>
      <c r="AU1056" t="inlineStr">
        <is>
          <t>APR</t>
        </is>
      </c>
      <c r="AV1056" t="n">
        <v>2021</v>
      </c>
      <c r="AW1056" t="n">
        <v>18</v>
      </c>
      <c r="AX1056" t="n">
        <v>8</v>
      </c>
      <c r="BE1056" t="n">
        <v>3971</v>
      </c>
      <c r="BF1056" t="inlineStr">
        <is>
          <t>10.3390/ijerph18083971</t>
        </is>
      </c>
      <c r="BG1056">
        <f>HYPERLINK("http://dx.doi.org/10.3390/ijerph18083971","http://dx.doi.org/10.3390/ijerph18083971")</f>
        <v/>
      </c>
      <c r="BJ1056" t="n">
        <v>16</v>
      </c>
      <c r="BK1056" t="inlineStr">
        <is>
          <t>Environmental Sciences; Public, Environmental &amp; Occupational Health</t>
        </is>
      </c>
      <c r="BL1056" t="inlineStr">
        <is>
          <t>Science Citation Index Expanded (SCI-EXPANDED); Social Science Citation Index (SSCI)</t>
        </is>
      </c>
      <c r="BM1056" t="inlineStr">
        <is>
          <t>Environmental Sciences &amp; Ecology; Public, Environmental &amp; Occupational Health</t>
        </is>
      </c>
      <c r="BN1056" t="inlineStr">
        <is>
          <t>RS9MQ</t>
        </is>
      </c>
      <c r="BO1056" t="n">
        <v>33918808</v>
      </c>
      <c r="BP1056" t="inlineStr">
        <is>
          <t>Green Published, gold</t>
        </is>
      </c>
      <c r="BS1056" t="inlineStr">
        <is>
          <t>2023-10-26</t>
        </is>
      </c>
      <c r="BT1056" t="inlineStr">
        <is>
          <t>WOS:000644095300001</t>
        </is>
      </c>
      <c r="BU1056">
        <f>HYPERLINK("https%3A%2F%2Fwww.webofscience.com%2Fwos%2Fwoscc%2Ffull-record%2FWOS:000644095300001","View Full Record in Web of Science")</f>
        <v/>
      </c>
    </row>
    <row r="1057">
      <c r="A1057" t="inlineStr">
        <is>
          <t>J</t>
        </is>
      </c>
      <c r="B1057" t="inlineStr">
        <is>
          <t>Yang, CC; Li, CL; Yeh, TF; Chang, YC</t>
        </is>
      </c>
      <c r="F1057" t="inlineStr">
        <is>
          <t>Yang, Cheng-Chia; Li, Cheng-Lun; Yeh, Te-Feng; Chang, Yu-Chia</t>
        </is>
      </c>
      <c r="J1057" t="inlineStr">
        <is>
          <t>INTERNATIONAL JOURNAL OF ENVIRONMENTAL RESEARCH AND PUBLIC HEALTH</t>
        </is>
      </c>
      <c r="M1057" t="inlineStr">
        <is>
          <t>English</t>
        </is>
      </c>
      <c r="N1057" t="inlineStr">
        <is>
          <t>Article</t>
        </is>
      </c>
      <c r="T1057" t="inlineStr">
        <is>
          <t>Assessing Older Adults' Intentions to Use a Smartphone: Using the Meta-Unified Theory of the Acceptance and Use of Technology</t>
        </is>
      </c>
      <c r="U1057" t="inlineStr">
        <is>
          <t>meta-UTAUT; older adults; behavioral intention; smartphone</t>
        </is>
      </c>
      <c r="V1057" t="inlineStr">
        <is>
          <t>CONSUMER ACCEPTANCE; INFORMATION-TECHNOLOGY; EMPIRICAL-EXAMINATION; BEHAVIORAL INTENTION; ADOPTION; UTAUT; MODEL; GERONTECHNOLOGY; METAANALYSIS; EXTENSION</t>
        </is>
      </c>
      <c r="W1057" t="inlineStr">
        <is>
          <t>Barriers to smartphone use often exist among older adults, and increasing smartphone use is beneficial to increasing older adults' quality of life. Studies of older adults' smartphone use intentions have mostly adopted the technology acceptance model or unified theory of acceptance and use of technology (UTAUT). However, these models have their limitations. A meta-UTAUT has been developed, but it has not been extensively verified with older adults. This study used the meta-UTAUT model to explore the influences on older adults' smartphone use intentions and behaviors. A total of 311 adults aged 60 to 75 years who had minimal experience with smartphones were recruited. They participated in a 16 h smartphone training and then completed a questionnaire. The results demonstrated that the meta-UTAUT model can predict older adults' smartphone use intentions and behaviors. Performance expectancy (PE) and social influence significantly influenced behavioral intention (BI) and attitude toward using smartphones (AT). PE was the strongest factor influencing BI. AT also affected BI. Although facilitating conditions did not significantly affect BI, they had a high influence on AT. To increase smartphone use among older adults, training can be implemented to teach smartphone skills and emphasize the benefits of using smartphones.</t>
        </is>
      </c>
      <c r="X1057" t="inlineStr">
        <is>
          <t>[Yang, Cheng-Chia; Chang, Yu-Chia] Asia Univ, Dept Healthcare Adm, Taichung 41354, Taiwan; [Li, Cheng-Lun] Jen Ai Hosp, Dept Med Res, Taichung 41265, Taiwan; [Yeh, Te-Feng] Cent Taiwan Univ Sci &amp; Technol, Dept Healthcare Adm, Taichung 40601, Taiwan; [Chang, Yu-Chia] Natl Quemoy Univ, Dept Long Term Care, Coll Nursing &amp; Hlth, Kinmen 892009, Taiwan</t>
        </is>
      </c>
      <c r="Y1057" t="inlineStr">
        <is>
          <t>Asia University Taiwan; Central Taiwan University Science &amp; Technology</t>
        </is>
      </c>
      <c r="Z1057" t="inlineStr">
        <is>
          <t>Chang, YC (corresponding author), Asia Univ, Dept Healthcare Adm, Taichung 41354, Taiwan.;Chang, YC (corresponding author), Natl Quemoy Univ, Dept Long Term Care, Coll Nursing &amp; Hlth, Kinmen 892009, Taiwan.</t>
        </is>
      </c>
      <c r="AA1057" t="inlineStr">
        <is>
          <t>chengchia@asia.edu.tw; jah5696@mail.jah.org.tw; tfyeh@ctust.edu.tw; ycchang@email.nqu.edu.tw</t>
        </is>
      </c>
      <c r="AB1057" t="inlineStr">
        <is>
          <t>Chang, Yu-Chia/IUP-6563-2023; Yang, Cheng-Chia/ACO-1467-2022; Yeh, Te-Feng/ABB-1096-2021</t>
        </is>
      </c>
      <c r="AC1057" t="inlineStr">
        <is>
          <t>Yang, Cheng-Chia/0000-0003-0579-7015; Yeh, Te-Feng/0000-0001-9787-6567; li, zheng lun/0000-0003-3916-4347</t>
        </is>
      </c>
      <c r="AD1057" t="inlineStr">
        <is>
          <t>Ministry of Science and Technology Taiwan [MOST 109-2410-H-468-004]</t>
        </is>
      </c>
      <c r="AE1057" t="inlineStr">
        <is>
          <t>Ministry of Science and Technology Taiwan(Ministry of Science and Technology, Taiwan)</t>
        </is>
      </c>
      <c r="AF1057" t="inlineStr">
        <is>
          <t>This research was funded by the Ministry of Science and Technology Taiwan (MOST 109-2410-H-468-004).</t>
        </is>
      </c>
      <c r="AH1057" t="n">
        <v>72</v>
      </c>
      <c r="AI1057" t="n">
        <v>6</v>
      </c>
      <c r="AJ1057" t="n">
        <v>6</v>
      </c>
      <c r="AK1057" t="n">
        <v>21</v>
      </c>
      <c r="AL1057" t="n">
        <v>59</v>
      </c>
      <c r="AM1057" t="inlineStr">
        <is>
          <t>MDPI</t>
        </is>
      </c>
      <c r="AN1057" t="inlineStr">
        <is>
          <t>BASEL</t>
        </is>
      </c>
      <c r="AO1057" t="inlineStr">
        <is>
          <t>ST ALBAN-ANLAGE 66, CH-4052 BASEL, SWITZERLAND</t>
        </is>
      </c>
      <c r="AQ1057" t="inlineStr">
        <is>
          <t>1660-4601</t>
        </is>
      </c>
      <c r="AS1057" t="inlineStr">
        <is>
          <t>INT J ENV RES PUB HE</t>
        </is>
      </c>
      <c r="AT1057" t="inlineStr">
        <is>
          <t>Int. J. Environ. Res. Public Health</t>
        </is>
      </c>
      <c r="AU1057" t="inlineStr">
        <is>
          <t>MAY</t>
        </is>
      </c>
      <c r="AV1057" t="n">
        <v>2022</v>
      </c>
      <c r="AW1057" t="n">
        <v>19</v>
      </c>
      <c r="AX1057" t="n">
        <v>9</v>
      </c>
      <c r="BE1057" t="n">
        <v>5403</v>
      </c>
      <c r="BF1057" t="inlineStr">
        <is>
          <t>10.3390/ijerph19095403</t>
        </is>
      </c>
      <c r="BG1057">
        <f>HYPERLINK("http://dx.doi.org/10.3390/ijerph19095403","http://dx.doi.org/10.3390/ijerph19095403")</f>
        <v/>
      </c>
      <c r="BJ1057" t="n">
        <v>14</v>
      </c>
      <c r="BK1057" t="inlineStr">
        <is>
          <t>Environmental Sciences; Public, Environmental &amp; Occupational Health</t>
        </is>
      </c>
      <c r="BL1057" t="inlineStr">
        <is>
          <t>Science Citation Index Expanded (SCI-EXPANDED); Social Science Citation Index (SSCI)</t>
        </is>
      </c>
      <c r="BM1057" t="inlineStr">
        <is>
          <t>Environmental Sciences &amp; Ecology; Public, Environmental &amp; Occupational Health</t>
        </is>
      </c>
      <c r="BN1057" t="inlineStr">
        <is>
          <t>1G9FY</t>
        </is>
      </c>
      <c r="BO1057" t="n">
        <v>35564798</v>
      </c>
      <c r="BP1057" t="inlineStr">
        <is>
          <t>gold, Green Published</t>
        </is>
      </c>
      <c r="BS1057" t="inlineStr">
        <is>
          <t>2023-10-26</t>
        </is>
      </c>
      <c r="BT1057" t="inlineStr">
        <is>
          <t>WOS:000796154700001</t>
        </is>
      </c>
      <c r="BU1057">
        <f>HYPERLINK("https%3A%2F%2Fwww.webofscience.com%2Fwos%2Fwoscc%2Ffull-record%2FWOS:000796154700001","View Full Record in Web of Science")</f>
        <v/>
      </c>
    </row>
    <row r="1058">
      <c r="A1058" t="inlineStr">
        <is>
          <t>J</t>
        </is>
      </c>
      <c r="B1058" t="inlineStr">
        <is>
          <t>Boumans, J; van de Mheen, D; Crutzen, R; Dupont, H; Bovens, R; Rozema, A</t>
        </is>
      </c>
      <c r="F1058" t="inlineStr">
        <is>
          <t>Boumans, Joge; van de Mheen, Dike; Crutzen, Rik; Dupont, Hans; Bovens, Rob; Rozema, Andrea</t>
        </is>
      </c>
      <c r="J1058" t="inlineStr">
        <is>
          <t>INTERNATIONAL JOURNAL OF ENVIRONMENTAL RESEARCH AND PUBLIC HEALTH</t>
        </is>
      </c>
      <c r="M1058" t="inlineStr">
        <is>
          <t>English</t>
        </is>
      </c>
      <c r="N1058" t="inlineStr">
        <is>
          <t>Article</t>
        </is>
      </c>
      <c r="T1058" t="inlineStr">
        <is>
          <t>Understanding How and Why Alcohol Interventions Prevent and Reduce Problematic Alcohol Consumption among Older Adults: A Systematic Review</t>
        </is>
      </c>
      <c r="U1058" t="inlineStr">
        <is>
          <t>alcohol; older adults; interventions; effective elements; realist evaluation</t>
        </is>
      </c>
      <c r="V1058" t="inlineStr">
        <is>
          <t>RANDOMIZED-CONTROLLED-TRIAL; BEHAVIORAL COUPLES THERAPY; INTERNET-BASED INTERVENTION; LIFE-STYLE INTERVENTION; FOLLOW-UP INTERVIEWS; AT-RISK DRINKING; USE DISORDERS; DRUG PROBLEMS; PRIMARY-CARE; SELF-HELP</t>
        </is>
      </c>
      <c r="W1058" t="inlineStr">
        <is>
          <t>Problematic alcohol use has been increasing in older adults (55+) in recent decades. Many of the effective interventions that are available to prevent or reduce the negative effects of alcohol consumption are aimed at adults in general. It is unclear whether these interventions also work for older adults. The objective of this review was to understand how (i.e., which elements), in which context, and why (which mechanisms) interventions are successful in preventing or reducing (problematic) alcohol consumption among older adults. A systematic review of articles published between 2000 and 2022 was performed using PubMed, PsycINFO, Web of Science and CHINAHL. Realist evaluation was used to analyze the data. We found 61 studies on interventions aimed at preventing or reducing problematic alcohol use. Most of the interventions were not specifically designed for older adults but also included older adults. The findings of the current study highlight three major effective elements of interventions: (1) providing information on the consequences of alcohol consumption; (2) being in contact with others and communicating with them about (alcohol) problems; and (3) personalized feedback about drinking behavior. Two of these elements were also used in the interventions especially designed for older adults. Being in contact with others and communicating with them about (alcohol) problems is an important element to pay attention to for developers of alcohol interventions for older adults because loneliness is a problem for this age group and there is a relationship between the use of alcohol and loneliness.</t>
        </is>
      </c>
      <c r="X1058" t="inlineStr">
        <is>
          <t>[Boumans, Joge; van de Mheen, Dike; Bovens, Rob; Rozema, Andrea] Tilburg Univ, Tranzo Sci Ctr Care &amp; Wellbeing, Sch Social &amp; Behav Sci, NL-5000 LE Tilburg, Netherlands; [Crutzen, Rik; Dupont, Hans] Maastricht Univ, Care &amp; Publ Hlth Res Inst CAPHRI, Dept Hlth Promot, NL-6200 MD Maastricht, Netherlands</t>
        </is>
      </c>
      <c r="Y1058" t="inlineStr">
        <is>
          <t>Tilburg University; Maastricht University</t>
        </is>
      </c>
      <c r="Z1058" t="inlineStr">
        <is>
          <t>Boumans, J (corresponding author), Tilburg Univ, Tranzo Sci Ctr Care &amp; Wellbeing, Sch Social &amp; Behav Sci, NL-5000 LE Tilburg, Netherlands.</t>
        </is>
      </c>
      <c r="AA1058" t="inlineStr">
        <is>
          <t>j.boumans@tilburguniversity.edu; h.vdmheen@tilburguniversity.edu; rik.crutzen@maastrichtuniversity.nl; h.dupont@mondriaan.eu; r.h.l.m.bovens@tilburguniversity.edu; a.d.rozema@tilburguniversity.edu</t>
        </is>
      </c>
      <c r="AD1058" t="inlineStr">
        <is>
          <t>Netherlands organisation for Health Research and Development [555002003]</t>
        </is>
      </c>
      <c r="AE1058" t="inlineStr">
        <is>
          <t>Netherlands organisation for Health Research and Development(Netherlands Organization for Health Research and Development)</t>
        </is>
      </c>
      <c r="AF1058" t="inlineStr">
        <is>
          <t>This research was funded by The Netherlands organisation for Health Research and Development (ZonMw number: 555002003).</t>
        </is>
      </c>
      <c r="AH1058" t="n">
        <v>107</v>
      </c>
      <c r="AI1058" t="n">
        <v>0</v>
      </c>
      <c r="AJ1058" t="n">
        <v>0</v>
      </c>
      <c r="AK1058" t="n">
        <v>4</v>
      </c>
      <c r="AL1058" t="n">
        <v>9</v>
      </c>
      <c r="AM1058" t="inlineStr">
        <is>
          <t>MDPI</t>
        </is>
      </c>
      <c r="AN1058" t="inlineStr">
        <is>
          <t>BASEL</t>
        </is>
      </c>
      <c r="AO1058" t="inlineStr">
        <is>
          <t>ST ALBAN-ANLAGE 66, CH-4052 BASEL, SWITZERLAND</t>
        </is>
      </c>
      <c r="AQ1058" t="inlineStr">
        <is>
          <t>1660-4601</t>
        </is>
      </c>
      <c r="AS1058" t="inlineStr">
        <is>
          <t>INT J ENV RES PUB HE</t>
        </is>
      </c>
      <c r="AT1058" t="inlineStr">
        <is>
          <t>Int. J. Environ. Res. Public Health</t>
        </is>
      </c>
      <c r="AU1058" t="inlineStr">
        <is>
          <t>MAR</t>
        </is>
      </c>
      <c r="AV1058" t="n">
        <v>2022</v>
      </c>
      <c r="AW1058" t="n">
        <v>19</v>
      </c>
      <c r="AX1058" t="n">
        <v>6</v>
      </c>
      <c r="BE1058" t="n">
        <v>3188</v>
      </c>
      <c r="BF1058" t="inlineStr">
        <is>
          <t>10.3390/ijerph19063188</t>
        </is>
      </c>
      <c r="BG1058">
        <f>HYPERLINK("http://dx.doi.org/10.3390/ijerph19063188","http://dx.doi.org/10.3390/ijerph19063188")</f>
        <v/>
      </c>
      <c r="BJ1058" t="n">
        <v>39</v>
      </c>
      <c r="BK1058" t="inlineStr">
        <is>
          <t>Environmental Sciences; Public, Environmental &amp; Occupational Health</t>
        </is>
      </c>
      <c r="BL1058" t="inlineStr">
        <is>
          <t>Science Citation Index Expanded (SCI-EXPANDED); Social Science Citation Index (SSCI)</t>
        </is>
      </c>
      <c r="BM1058" t="inlineStr">
        <is>
          <t>Environmental Sciences &amp; Ecology; Public, Environmental &amp; Occupational Health</t>
        </is>
      </c>
      <c r="BN1058" t="inlineStr">
        <is>
          <t>0C6LH</t>
        </is>
      </c>
      <c r="BO1058" t="n">
        <v>35328875</v>
      </c>
      <c r="BP1058" t="inlineStr">
        <is>
          <t>Green Published, gold</t>
        </is>
      </c>
      <c r="BS1058" t="inlineStr">
        <is>
          <t>2023-10-26</t>
        </is>
      </c>
      <c r="BT1058" t="inlineStr">
        <is>
          <t>WOS:000775421800001</t>
        </is>
      </c>
      <c r="BU1058">
        <f>HYPERLINK("https%3A%2F%2Fwww.webofscience.com%2Fwos%2Fwoscc%2Ffull-record%2FWOS:000775421800001","View Full Record in Web of Science")</f>
        <v/>
      </c>
    </row>
    <row r="1059">
      <c r="A1059" t="inlineStr">
        <is>
          <t>J</t>
        </is>
      </c>
      <c r="B1059" t="inlineStr">
        <is>
          <t>Yang, L; Guo, D; Zheng, JM; Guo, YT; Li, ZY</t>
        </is>
      </c>
      <c r="F1059" t="inlineStr">
        <is>
          <t>Yang, Le; Guo, Dan; Zheng, Jiaming; Guo, Yuting; Li, Zeyuan</t>
        </is>
      </c>
      <c r="J1059" t="inlineStr">
        <is>
          <t>INTERNATIONAL JOURNAL OF ENVIRONMENTAL RESEARCH AND PUBLIC HEALTH</t>
        </is>
      </c>
      <c r="M1059" t="inlineStr">
        <is>
          <t>English</t>
        </is>
      </c>
      <c r="N1059" t="inlineStr">
        <is>
          <t>Article</t>
        </is>
      </c>
      <c r="T1059" t="inlineStr">
        <is>
          <t>Association between Social Participation and Remaining Teeth and Urban-Rural Difference among Older Adults in China</t>
        </is>
      </c>
      <c r="U1059" t="inlineStr">
        <is>
          <t>social participation; oral health; older adults; urban-rural difference; China</t>
        </is>
      </c>
      <c r="V1059" t="inlineStr">
        <is>
          <t>QUALITY-OF-LIFE; ORAL-HEALTH; POPULATION; RISK; AGE; PERIODONTITIS; ENGAGEMENT; DEPRESSION; PROMOTION; SYMPTOMS</t>
        </is>
      </c>
      <c r="W1059" t="inlineStr">
        <is>
          <t>Oral health is an important part of older adults' general health. The study examined the association between social participation (formal and informal) and remaining teeth and the urban-rural difference based on a national survey of older adults in China. The data of older adults were extracted from the Chinese Longitudinal Healthy Longevity Survey (CLHLS) and analyzed. A total of 11,948 respondents were ultimately involved, including 6836 urban respondents and 5112 rural respondents. Informal social participation and formal social participation were used to assess social participation. The number of remaining natural teeth was measured. Social participation was significantly associated with remaining teeth among older adults, after adjusting for confounders, a one-level increase in the informal social participation was associated with a decrease in natural teeth by 0.152 (95% CI = -0.274; -0.030) and a one-level increase in the formal social participation was associated with a decrease in natural teeth by 0.370 (95% CI = -0.585; -0.156). In addition, the association between social participation (formal and informal) and remaining teeth was observed among urban older adults, but not rural older adults. A high level of social participation may effectively decrease the risk of oral-health problems for the Chinese older adults. The findings suggest recommendations for an older adults-targeted policy and the practice of oral-health promotion. However, the urban-rural difference should be taken into full consideration in social-participation-driven oral-health promotion interventions.</t>
        </is>
      </c>
      <c r="X1059" t="inlineStr">
        <is>
          <t>[Yang, Le; Guo, Dan; Zheng, Jiaming; Guo, Yuting; Li, Zeyuan] Shanxi Med Univ, Sch Management, 56 Xinjian South Rd, Taiyuan 030001, Peoples R China</t>
        </is>
      </c>
      <c r="Y1059" t="inlineStr">
        <is>
          <t>Shanxi Medical University</t>
        </is>
      </c>
      <c r="Z1059" t="inlineStr">
        <is>
          <t>Yang, L (corresponding author), Shanxi Med Univ, Sch Management, 56 Xinjian South Rd, Taiyuan 030001, Peoples R China.</t>
        </is>
      </c>
      <c r="AA1059" t="inlineStr">
        <is>
          <t>yangle05@sxmu.edu.cn</t>
        </is>
      </c>
      <c r="AH1059" t="n">
        <v>63</v>
      </c>
      <c r="AI1059" t="n">
        <v>1</v>
      </c>
      <c r="AJ1059" t="n">
        <v>1</v>
      </c>
      <c r="AK1059" t="n">
        <v>7</v>
      </c>
      <c r="AL1059" t="n">
        <v>15</v>
      </c>
      <c r="AM1059" t="inlineStr">
        <is>
          <t>MDPI</t>
        </is>
      </c>
      <c r="AN1059" t="inlineStr">
        <is>
          <t>BASEL</t>
        </is>
      </c>
      <c r="AO1059" t="inlineStr">
        <is>
          <t>ST ALBAN-ANLAGE 66, CH-4052 BASEL, SWITZERLAND</t>
        </is>
      </c>
      <c r="AQ1059" t="inlineStr">
        <is>
          <t>1660-4601</t>
        </is>
      </c>
      <c r="AS1059" t="inlineStr">
        <is>
          <t>INT J ENV RES PUB HE</t>
        </is>
      </c>
      <c r="AT1059" t="inlineStr">
        <is>
          <t>Int. J. Environ. Res. Public Health</t>
        </is>
      </c>
      <c r="AU1059" t="inlineStr">
        <is>
          <t>JAN</t>
        </is>
      </c>
      <c r="AV1059" t="n">
        <v>2023</v>
      </c>
      <c r="AW1059" t="n">
        <v>20</v>
      </c>
      <c r="AX1059" t="n">
        <v>2</v>
      </c>
      <c r="BE1059" t="n">
        <v>1283</v>
      </c>
      <c r="BF1059" t="inlineStr">
        <is>
          <t>10.3390/ijerph20021283</t>
        </is>
      </c>
      <c r="BG1059">
        <f>HYPERLINK("http://dx.doi.org/10.3390/ijerph20021283","http://dx.doi.org/10.3390/ijerph20021283")</f>
        <v/>
      </c>
      <c r="BJ1059" t="n">
        <v>10</v>
      </c>
      <c r="BK1059" t="inlineStr">
        <is>
          <t>Environmental Sciences; Public, Environmental &amp; Occupational Health</t>
        </is>
      </c>
      <c r="BL1059" t="inlineStr">
        <is>
          <t>Science Citation Index Expanded (SCI-EXPANDED); Social Science Citation Index (SSCI)</t>
        </is>
      </c>
      <c r="BM1059" t="inlineStr">
        <is>
          <t>Environmental Sciences &amp; Ecology; Public, Environmental &amp; Occupational Health</t>
        </is>
      </c>
      <c r="BN1059" t="inlineStr">
        <is>
          <t>7Y8GY</t>
        </is>
      </c>
      <c r="BO1059" t="n">
        <v>36674039</v>
      </c>
      <c r="BP1059" t="inlineStr">
        <is>
          <t>gold, Green Published</t>
        </is>
      </c>
      <c r="BS1059" t="inlineStr">
        <is>
          <t>2023-10-26</t>
        </is>
      </c>
      <c r="BT1059" t="inlineStr">
        <is>
          <t>WOS:000915111700001</t>
        </is>
      </c>
      <c r="BU1059">
        <f>HYPERLINK("https%3A%2F%2Fwww.webofscience.com%2Fwos%2Fwoscc%2Ffull-record%2FWOS:000915111700001","View Full Record in Web of Science")</f>
        <v/>
      </c>
    </row>
    <row r="1060">
      <c r="A1060" t="inlineStr">
        <is>
          <t>J</t>
        </is>
      </c>
      <c r="B1060" t="inlineStr">
        <is>
          <t>Jung, CC; Lin, WY; Hsu, NY; Wu, CD; Chang, HT; Su, HJ</t>
        </is>
      </c>
      <c r="F1060" t="inlineStr">
        <is>
          <t>Jung, Chien-Cheng; Lin, Wan-Yi; Hsu, Nai-Yun; Wu, Chih-Da; Chang, Hao-Ting; Su, Huey-Jen</t>
        </is>
      </c>
      <c r="J1060" t="inlineStr">
        <is>
          <t>INTERNATIONAL JOURNAL OF ENVIRONMENTAL RESEARCH AND PUBLIC HEALTH</t>
        </is>
      </c>
      <c r="M1060" t="inlineStr">
        <is>
          <t>English</t>
        </is>
      </c>
      <c r="N1060" t="inlineStr">
        <is>
          <t>Article</t>
        </is>
      </c>
      <c r="T1060" t="inlineStr">
        <is>
          <t>Development of Hourly Indoor PM2.5Concentration Prediction Model: The Role of Outdoor Air, Ventilation, Building Characteristic, and Human Activity</t>
        </is>
      </c>
      <c r="U1060" t="inlineStr">
        <is>
          <t>indoor air; multiple linear regression model; PM2.5</t>
        </is>
      </c>
      <c r="V1060" t="inlineStr">
        <is>
          <t>FINE PARTICULATE MATTER; RESIDENTIAL BUILDINGS; PM2.5 CONCENTRATIONS; ASSESSING EXPOSURE; PERSONAL EXPOSURE; POLLUTION; QUALITY; PM10; HEALTH; CITY</t>
        </is>
      </c>
      <c r="W1060" t="inlineStr">
        <is>
          <t>Exposure to indoor particulate matter less than 2.5 mu m in diameter (PM2.5) is a critical health risk factor. Therefore, measuring indoor PM(2.5)concentrations is important for assessing their health risks and further investigating the sources and influential factors. However, installing monitoring instruments to collect indoor PM(2.5)data is difficult and expensive. Therefore, several indoor PM(2.5)concentration prediction models have been developed. However, these prediction models only assess the daily average PM(2.5)concentrations in cold or temperate regions. The factors that influence PM(2.5)concentration differ according to climatic conditions. In this study, we developed a prediction model for hourly indoor PM(2.5)concentrations in Taiwan (tropical and subtropical region) by using a multiple linear regression model and investigated the impact factor. The sample comprised 93 study cases (1979 measurements) and 25 potential predictor variables. Cross-validation was performed to assess performance. The prediction model explained 74% of the variation, and outdoor PM(2.5)concentrations, the difference between indoor and outdoor CO(2)levels, building type, building floor level, bed sheet cleaning, bed sheet replacement, and mosquito coil burning were included in the prediction model. Cross-validation explained 75% of variation on average. The results also confirm that the prediction model can be used to estimate indoor PM(2.5)concentrations across seasons and areas. In summary, we developed a prediction model of hourly indoor PM(2.5)concentrations and suggested that outdoor PM(2.5)concentrations, ventilation, building characteristics, and human activities should be considered. Moreover, it is important to consider outdoor air quality while occupants open or close windows or doors for regulating ventilation rate and human activities changing also can reduce indoor PM(2.5)concentrations.</t>
        </is>
      </c>
      <c r="X1060" t="inlineStr">
        <is>
          <t>[Jung, Chien-Cheng] China Med Univ, Dept Publ Hlth, Taichung 40402, Taiwan; [Lin, Wan-Yi; Hsu, Nai-Yun; Chang, Hao-Ting; Su, Huey-Jen] Natl Cheng Kung Univ, Coll Med, Dept Environm &amp; Occupat Hlth, 138 Sheng Li Rd, Tainan 70403, Taiwan; [Wu, Chih-Da] Natl Cheng Kung Univ, Dept Geomat, Tainan 70403, Taiwan; [Wu, Chih-Da] Natl Hlth Res Inst, Natl Inst Environm Hlth Sci, Miaoli 35053, Taiwan</t>
        </is>
      </c>
      <c r="Y1060" t="inlineStr">
        <is>
          <t>China Medical University Taiwan; National Cheng Kung University; National Cheng Kung University; National Health Research Institutes - Taiwan</t>
        </is>
      </c>
      <c r="Z1060" t="inlineStr">
        <is>
          <t>Su, HJ (corresponding author), Natl Cheng Kung Univ, Coll Med, Dept Environm &amp; Occupat Hlth, 138 Sheng Li Rd, Tainan 70403, Taiwan.</t>
        </is>
      </c>
      <c r="AA1060" t="inlineStr">
        <is>
          <t>a2468126@gmail.com; wanyi821019@gmail.com; boni.hsu@gmail.com; chidawu@mail.ncku.edu.tw; oliverex800630@hotmail.com; hjsu@mail.ncku.edu.tw</t>
        </is>
      </c>
      <c r="AB1060" t="inlineStr">
        <is>
          <t>Hsu, Nai-Yun Boni/H-3318-2014; Wu, Chih-Da/AAI-7384-2021</t>
        </is>
      </c>
      <c r="AC1060" t="inlineStr">
        <is>
          <t>Hsu, Nai-Yun Boni/0000-0003-3321-6388; Wu, Chih-Da/0000-0001-9720-7937; Chang, Hao-Ting/0000-0001-8254-8923; Jung, Chien-Cheng/0000-0003-0124-689X</t>
        </is>
      </c>
      <c r="AD1060" t="inlineStr">
        <is>
          <t>Ministry of Science and Technology [NSC 101-2221-E-006-158-MY3]</t>
        </is>
      </c>
      <c r="AE1060" t="inlineStr">
        <is>
          <t>Ministry of Science and Technology(Spanish Government)</t>
        </is>
      </c>
      <c r="AF1060" t="inlineStr">
        <is>
          <t>We would like to thank the Ministry of Science and Technology (NSC 101-2221-E-006-158-MY3) for financially supporting this research through a grant.</t>
        </is>
      </c>
      <c r="AH1060" t="n">
        <v>51</v>
      </c>
      <c r="AI1060" t="n">
        <v>6</v>
      </c>
      <c r="AJ1060" t="n">
        <v>7</v>
      </c>
      <c r="AK1060" t="n">
        <v>7</v>
      </c>
      <c r="AL1060" t="n">
        <v>36</v>
      </c>
      <c r="AM1060" t="inlineStr">
        <is>
          <t>MDPI</t>
        </is>
      </c>
      <c r="AN1060" t="inlineStr">
        <is>
          <t>BASEL</t>
        </is>
      </c>
      <c r="AO1060" t="inlineStr">
        <is>
          <t>ST ALBAN-ANLAGE 66, CH-4052 BASEL, SWITZERLAND</t>
        </is>
      </c>
      <c r="AQ1060" t="inlineStr">
        <is>
          <t>1660-4601</t>
        </is>
      </c>
      <c r="AS1060" t="inlineStr">
        <is>
          <t>INT J ENV RES PUB HE</t>
        </is>
      </c>
      <c r="AT1060" t="inlineStr">
        <is>
          <t>Int. J. Environ. Res. Public Health</t>
        </is>
      </c>
      <c r="AU1060" t="inlineStr">
        <is>
          <t>AUG</t>
        </is>
      </c>
      <c r="AV1060" t="n">
        <v>2020</v>
      </c>
      <c r="AW1060" t="n">
        <v>17</v>
      </c>
      <c r="AX1060" t="n">
        <v>16</v>
      </c>
      <c r="BE1060" t="n">
        <v>5906</v>
      </c>
      <c r="BF1060" t="inlineStr">
        <is>
          <t>10.3390/ijerph17165906</t>
        </is>
      </c>
      <c r="BG1060">
        <f>HYPERLINK("http://dx.doi.org/10.3390/ijerph17165906","http://dx.doi.org/10.3390/ijerph17165906")</f>
        <v/>
      </c>
      <c r="BJ1060" t="n">
        <v>17</v>
      </c>
      <c r="BK1060" t="inlineStr">
        <is>
          <t>Environmental Sciences; Public, Environmental &amp; Occupational Health</t>
        </is>
      </c>
      <c r="BL1060" t="inlineStr">
        <is>
          <t>Science Citation Index Expanded (SCI-EXPANDED); Social Science Citation Index (SSCI)</t>
        </is>
      </c>
      <c r="BM1060" t="inlineStr">
        <is>
          <t>Environmental Sciences &amp; Ecology; Public, Environmental &amp; Occupational Health</t>
        </is>
      </c>
      <c r="BN1060" t="inlineStr">
        <is>
          <t>NI1QC</t>
        </is>
      </c>
      <c r="BO1060" t="n">
        <v>32823930</v>
      </c>
      <c r="BP1060" t="inlineStr">
        <is>
          <t>Green Published, gold</t>
        </is>
      </c>
      <c r="BS1060" t="inlineStr">
        <is>
          <t>2023-10-26</t>
        </is>
      </c>
      <c r="BT1060" t="inlineStr">
        <is>
          <t>WOS:000565131400001</t>
        </is>
      </c>
      <c r="BU1060">
        <f>HYPERLINK("https%3A%2F%2Fwww.webofscience.com%2Fwos%2Fwoscc%2Ffull-record%2FWOS:000565131400001","View Full Record in Web of Science")</f>
        <v/>
      </c>
    </row>
    <row r="1061">
      <c r="A1061" t="inlineStr">
        <is>
          <t>J</t>
        </is>
      </c>
      <c r="B1061" t="inlineStr">
        <is>
          <t>Mannan, M; Al-Ghamdi, SG</t>
        </is>
      </c>
      <c r="F1061" t="inlineStr">
        <is>
          <t>Mannan, Mehzabeen; Al-Ghamdi, Sami G.</t>
        </is>
      </c>
      <c r="J1061" t="inlineStr">
        <is>
          <t>INTERNATIONAL JOURNAL OF ENVIRONMENTAL RESEARCH AND PUBLIC HEALTH</t>
        </is>
      </c>
      <c r="M1061" t="inlineStr">
        <is>
          <t>English</t>
        </is>
      </c>
      <c r="N1061" t="inlineStr">
        <is>
          <t>Review</t>
        </is>
      </c>
      <c r="T1061" t="inlineStr">
        <is>
          <t>Indoor Air Quality in Buildings: A Comprehensive Review on the Factors Influencing Air Pollution in Residential and Commercial Structure</t>
        </is>
      </c>
      <c r="U1061" t="inlineStr">
        <is>
          <t>indoor air pollution; residential indoor pollutants; office indoor pollutants; school indoor pollutants; influencing factors indoor</t>
        </is>
      </c>
      <c r="W1061" t="inlineStr">
        <is>
          <t>Worldwide people tend to spend approximately 90% of their time in different indoor environments. Along with the penetration of outside air pollutants, contaminants are produced in indoor environments due to different activities such as heating, cooling, cooking, and emissions from building products and the materials used. As people spend most of their lives in indoor environments, this has a significant influence on human health and productivity. Despite the two decades of indoor air quality (IAQ) research from different perspectives, there is still a lack of comprehensive evaluation of peer-reviewed IAQ studies that specifically covers the relationship between the internal characteristics of different types of building environments with IAQ to help understand the progress and limitations of IAQ research worldwide. Therefore, this review of scientific studies presents a broad spectrum of pollutants identified in both residential and commercial indoor environments, highlighting the trends and gaps in IAQ research. Moreover, analysis of literature data enabled us to assess the different IAQs in buildings located in different countries/regions, thus reflecting the current global scientific understanding of IAQ. This review has the potential to benefit building professionals by establishing indoor air regulations that account for all indoor contaminant sources to create healthy and sustainable building environments.</t>
        </is>
      </c>
      <c r="X1061" t="inlineStr">
        <is>
          <t>[Mannan, Mehzabeen; Al-Ghamdi, Sami G.] Hamad Bin Khalifa Univ, Qatar Fdn, Coll Sci &amp; Engn, Div Sustainable Dev, Doha, Qatar</t>
        </is>
      </c>
      <c r="Y1061" t="inlineStr">
        <is>
          <t>Qatar Foundation (QF); Hamad Bin Khalifa University-Qatar</t>
        </is>
      </c>
      <c r="Z1061" t="inlineStr">
        <is>
          <t>Al-Ghamdi, SG (corresponding author), Hamad Bin Khalifa Univ, Qatar Fdn, Coll Sci &amp; Engn, Div Sustainable Dev, Doha, Qatar.</t>
        </is>
      </c>
      <c r="AA1061" t="inlineStr">
        <is>
          <t>mmannan@hbku.edu.qa; salghamdi@hbku.edu.qa</t>
        </is>
      </c>
      <c r="AB1061" t="inlineStr">
        <is>
          <t>Al-Ghamdi, Sami G./GPS-8949-2022; Al-Ghamdi, Sami G./AAH-6959-2020</t>
        </is>
      </c>
      <c r="AC1061" t="inlineStr">
        <is>
          <t>Al-Ghamdi, Sami G./0000-0002-7416-5153</t>
        </is>
      </c>
      <c r="AD1061" t="inlineStr">
        <is>
          <t>Hamad Bin Khalifa University [210004673]</t>
        </is>
      </c>
      <c r="AE1061" t="inlineStr">
        <is>
          <t>Hamad Bin Khalifa University</t>
        </is>
      </c>
      <c r="AF1061" t="inlineStr">
        <is>
          <t>This research was supported by a scholarship (210004673) from Hamad Bin Khalifa University (HBKU) a member of Qatar Foundation (QF). Any opinions, findings, and conclusions or recommendations expressed in this material are those of the author(s) and do not necessarily reflect the views of HBKU or QF.</t>
        </is>
      </c>
      <c r="AH1061" t="n">
        <v>92</v>
      </c>
      <c r="AI1061" t="n">
        <v>77</v>
      </c>
      <c r="AJ1061" t="n">
        <v>78</v>
      </c>
      <c r="AK1061" t="n">
        <v>25</v>
      </c>
      <c r="AL1061" t="n">
        <v>149</v>
      </c>
      <c r="AM1061" t="inlineStr">
        <is>
          <t>MDPI</t>
        </is>
      </c>
      <c r="AN1061" t="inlineStr">
        <is>
          <t>BASEL</t>
        </is>
      </c>
      <c r="AO1061" t="inlineStr">
        <is>
          <t>ST ALBAN-ANLAGE 66, CH-4052 BASEL, SWITZERLAND</t>
        </is>
      </c>
      <c r="AQ1061" t="inlineStr">
        <is>
          <t>1660-4601</t>
        </is>
      </c>
      <c r="AS1061" t="inlineStr">
        <is>
          <t>INT J ENV RES PUB HE</t>
        </is>
      </c>
      <c r="AT1061" t="inlineStr">
        <is>
          <t>Int. J. Environ. Res. Public Health</t>
        </is>
      </c>
      <c r="AU1061" t="inlineStr">
        <is>
          <t>MAR</t>
        </is>
      </c>
      <c r="AV1061" t="n">
        <v>2021</v>
      </c>
      <c r="AW1061" t="n">
        <v>18</v>
      </c>
      <c r="AX1061" t="n">
        <v>6</v>
      </c>
      <c r="BE1061" t="n">
        <v>3276</v>
      </c>
      <c r="BF1061" t="inlineStr">
        <is>
          <t>10.3390/ijerph18063276</t>
        </is>
      </c>
      <c r="BG1061">
        <f>HYPERLINK("http://dx.doi.org/10.3390/ijerph18063276","http://dx.doi.org/10.3390/ijerph18063276")</f>
        <v/>
      </c>
      <c r="BJ1061" t="n">
        <v>25</v>
      </c>
      <c r="BK1061" t="inlineStr">
        <is>
          <t>Environmental Sciences; Public, Environmental &amp; Occupational Health</t>
        </is>
      </c>
      <c r="BL1061" t="inlineStr">
        <is>
          <t>Science Citation Index Expanded (SCI-EXPANDED); Social Science Citation Index (SSCI)</t>
        </is>
      </c>
      <c r="BM1061" t="inlineStr">
        <is>
          <t>Environmental Sciences &amp; Ecology; Public, Environmental &amp; Occupational Health</t>
        </is>
      </c>
      <c r="BN1061" t="inlineStr">
        <is>
          <t>RL8EQ</t>
        </is>
      </c>
      <c r="BO1061" t="n">
        <v>33810001</v>
      </c>
      <c r="BP1061" t="inlineStr">
        <is>
          <t>Green Published, gold</t>
        </is>
      </c>
      <c r="BS1061" t="inlineStr">
        <is>
          <t>2023-10-26</t>
        </is>
      </c>
      <c r="BT1061" t="inlineStr">
        <is>
          <t>WOS:000639199600001</t>
        </is>
      </c>
      <c r="BU1061">
        <f>HYPERLINK("https%3A%2F%2Fwww.webofscience.com%2Fwos%2Fwoscc%2Ffull-record%2FWOS:000639199600001","View Full Record in Web of Science")</f>
        <v/>
      </c>
    </row>
    <row r="1062">
      <c r="A1062" t="inlineStr">
        <is>
          <t>J</t>
        </is>
      </c>
      <c r="B1062" t="inlineStr">
        <is>
          <t>Liu, BY; Chen, Y; Xiao, M</t>
        </is>
      </c>
      <c r="F1062" t="inlineStr">
        <is>
          <t>Liu, Binyu; Chen, Ye; Xiao, Meng</t>
        </is>
      </c>
      <c r="J1062" t="inlineStr">
        <is>
          <t>INTERNATIONAL JOURNAL OF ENVIRONMENTAL RESEARCH AND PUBLIC HEALTH</t>
        </is>
      </c>
      <c r="M1062" t="inlineStr">
        <is>
          <t>English</t>
        </is>
      </c>
      <c r="N1062" t="inlineStr">
        <is>
          <t>Article</t>
        </is>
      </c>
      <c r="T1062" t="inlineStr">
        <is>
          <t>The Social Utility and Health Benefits for Older Adults of Amenity Buildings in China's Urban Parks: A Nanjing Case Study</t>
        </is>
      </c>
      <c r="U1062" t="inlineStr">
        <is>
          <t>amenity building; social interaction; elderly-oriented; landscape; behavioral pattern</t>
        </is>
      </c>
      <c r="V1062" t="inlineStr">
        <is>
          <t>PUBLIC OPEN SPACES; GREEN SPACES; PHYSICAL-ACTIVITY; ENVIRONMENTAL BARRIERS; LIVING ENVIRONMENT; MENTAL-HEALTH; COMMUNITY; WALKING; SATISFACTION; PATTERNS</t>
        </is>
      </c>
      <c r="W1062" t="inlineStr">
        <is>
          <t>As China's population rapidly ages, research and discussion on how to better optimize public spaces for the elderly's health and benefit continue to deepen. This study uses observational surveys and questionnaires to investigate the elderly visitors of Nanjing's urban parks and explore the impact the parks' amenity buildings (structures built to provide visitors with conveniences, e.g., shelters and pavilions) has on their health and associated socialization tendencies. Data were collected from ten amenity buildings in ten separate parks to compose a total dataset of 728 activity statistics and 270 valid questionnaires. The study's results indicate that amenity buildings significantly increase opportunities for older adults to socialize and thereby can increase this demographic's associated health benefits. The social activities formed around amenity buildings are found to improve social interactions and connectedness among older adults more compared to other age groups. Elderly participation in social activities is also found to positively correlate with environmental characteristics. High-quality landscapes ensure healthy development of social activities within amenity buildings and promote the occurrence and continuation of social interactions. In order of highest to lowest impact on elderly activities, the following factors were identified and scored: amenity building scale, lighting, comprehensive surrounding environment, surrounding amenities, water features, and vegetation. This research also reveals that among existing amenity buildings, there is insufficient support for certain activities and therefore, parks need to be improved to address this deficiency. Overall, this study indicates that under China's current aging trends, amenity buildings have become an especially important infrastructure within urban public space, and their design trend is to incorporate the dual characteristics of recreation + society.</t>
        </is>
      </c>
      <c r="X1062" t="inlineStr">
        <is>
          <t>[Liu, Binyu; Chen, Ye] Southeast Univ, Sch Architecture, Landscape Architecture Dept, Digital Landscape Architecture Lab, Nanjing 210096, Peoples R China; [Xiao, Meng] China Construct Sci &amp; Technol Grp Co LTD, Shenzhen 518000, Peoples R China</t>
        </is>
      </c>
      <c r="Y1062" t="inlineStr">
        <is>
          <t>Southeast University - China</t>
        </is>
      </c>
      <c r="Z1062" t="inlineStr">
        <is>
          <t>Chen, Y (corresponding author), Southeast Univ, Sch Architecture, Landscape Architecture Dept, Digital Landscape Architecture Lab, Nanjing 210096, Peoples R China.</t>
        </is>
      </c>
      <c r="AA1062" t="inlineStr">
        <is>
          <t>220180070@seu.edu.cn; chenye@seu.edu.cn; xiao.meng@cscec.com</t>
        </is>
      </c>
      <c r="AD1062" t="inlineStr">
        <is>
          <t>National Natural Science Foundation of China [51578130]</t>
        </is>
      </c>
      <c r="AE1062" t="inlineStr">
        <is>
          <t>National Natural Science Foundation of China(National Natural Science Foundation of China (NSFC))</t>
        </is>
      </c>
      <c r="AF1062" t="inlineStr">
        <is>
          <t>This research was funded by National Natural Science Foundation of China, grant number 51578130.</t>
        </is>
      </c>
      <c r="AH1062" t="n">
        <v>94</v>
      </c>
      <c r="AI1062" t="n">
        <v>5</v>
      </c>
      <c r="AJ1062" t="n">
        <v>7</v>
      </c>
      <c r="AK1062" t="n">
        <v>16</v>
      </c>
      <c r="AL1062" t="n">
        <v>119</v>
      </c>
      <c r="AM1062" t="inlineStr">
        <is>
          <t>MDPI</t>
        </is>
      </c>
      <c r="AN1062" t="inlineStr">
        <is>
          <t>BASEL</t>
        </is>
      </c>
      <c r="AO1062" t="inlineStr">
        <is>
          <t>ST ALBAN-ANLAGE 66, CH-4052 BASEL, SWITZERLAND</t>
        </is>
      </c>
      <c r="AQ1062" t="inlineStr">
        <is>
          <t>1660-4601</t>
        </is>
      </c>
      <c r="AS1062" t="inlineStr">
        <is>
          <t>INT J ENV RES PUB HE</t>
        </is>
      </c>
      <c r="AT1062" t="inlineStr">
        <is>
          <t>Int. J. Environ. Res. Public Health</t>
        </is>
      </c>
      <c r="AU1062" t="inlineStr">
        <is>
          <t>OCT</t>
        </is>
      </c>
      <c r="AV1062" t="n">
        <v>2020</v>
      </c>
      <c r="AW1062" t="n">
        <v>17</v>
      </c>
      <c r="AX1062" t="n">
        <v>20</v>
      </c>
      <c r="BE1062" t="n">
        <v>7497</v>
      </c>
      <c r="BF1062" t="inlineStr">
        <is>
          <t>10.3390/ijerph17207497</t>
        </is>
      </c>
      <c r="BG1062">
        <f>HYPERLINK("http://dx.doi.org/10.3390/ijerph17207497","http://dx.doi.org/10.3390/ijerph17207497")</f>
        <v/>
      </c>
      <c r="BJ1062" t="n">
        <v>27</v>
      </c>
      <c r="BK1062" t="inlineStr">
        <is>
          <t>Environmental Sciences; Public, Environmental &amp; Occupational Health</t>
        </is>
      </c>
      <c r="BL1062" t="inlineStr">
        <is>
          <t>Science Citation Index Expanded (SCI-EXPANDED); Social Science Citation Index (SSCI)</t>
        </is>
      </c>
      <c r="BM1062" t="inlineStr">
        <is>
          <t>Environmental Sciences &amp; Ecology; Public, Environmental &amp; Occupational Health</t>
        </is>
      </c>
      <c r="BN1062" t="inlineStr">
        <is>
          <t>OL8CB</t>
        </is>
      </c>
      <c r="BO1062" t="n">
        <v>33076316</v>
      </c>
      <c r="BP1062" t="inlineStr">
        <is>
          <t>gold, Green Published</t>
        </is>
      </c>
      <c r="BS1062" t="inlineStr">
        <is>
          <t>2023-10-26</t>
        </is>
      </c>
      <c r="BT1062" t="inlineStr">
        <is>
          <t>WOS:000585559600001</t>
        </is>
      </c>
      <c r="BU1062">
        <f>HYPERLINK("https%3A%2F%2Fwww.webofscience.com%2Fwos%2Fwoscc%2Ffull-record%2FWOS:000585559600001","View Full Record in Web of Science")</f>
        <v/>
      </c>
    </row>
    <row r="1063">
      <c r="A1063" t="inlineStr">
        <is>
          <t>J</t>
        </is>
      </c>
      <c r="B1063" t="inlineStr">
        <is>
          <t>Chen, Y; Liu, T; Chen, RS; Zhao, MK</t>
        </is>
      </c>
      <c r="F1063" t="inlineStr">
        <is>
          <t>Chen, Yi; Liu, Tao; Chen, Ruishan; Zhao, Mengke</t>
        </is>
      </c>
      <c r="J1063" t="inlineStr">
        <is>
          <t>SUSTAINABILITY</t>
        </is>
      </c>
      <c r="M1063" t="inlineStr">
        <is>
          <t>English</t>
        </is>
      </c>
      <c r="N1063" t="inlineStr">
        <is>
          <t>Article</t>
        </is>
      </c>
      <c r="T1063" t="inlineStr">
        <is>
          <t>Influence of the Built Environment on Community Flood Resilience: Evidence from Nanjing City, China</t>
        </is>
      </c>
      <c r="U1063" t="inlineStr">
        <is>
          <t>flood resilience; built environment; community; influencing factors; Nanjing</t>
        </is>
      </c>
      <c r="V1063" t="inlineStr">
        <is>
          <t>CLIMATE-RELATED DISASTERS; SEA-LEVEL RISE; SOCIAL VULNERABILITY; GREEN INFRASTRUCTURE; COASTAL COMMUNITIES; URBAN DESIGN; TRAVEL; NETWORKS; BEHAVIOR; IMPACT</t>
        </is>
      </c>
      <c r="W1063" t="inlineStr">
        <is>
          <t>With the acceleration of global climate change and urbanization, many large and medium-sized cities in China have been frequently subjected to heavy rains and floods. Thus, the question of how to reduce the impact of floods and achieve rapid recovery has attracted much attention. We use the urban community as the basic unit to examine the living environment, internal facilities, and surrounding environment characteristics of six different types of communities in the Jianye District of Nanjing City. First, we use factor analysis and the binary logistic regression model to analyze pre-disaster preparation, disaster response, and post-disaster recovery. Second, we analyze the resilience of the community at different stages. Then, we explore the influencing factors of the built environment on the resilience of the community. Results show that the built-up environmental factors, such as topography, riverfront, building coverage ratio, green space rate, and land use diversity, have a significant impact on community resilience. Finally, we proposed several suggestions for improving the flood resilience of Nanjing City.</t>
        </is>
      </c>
      <c r="X1063" t="inlineStr">
        <is>
          <t>[Chen, Yi; Zhao, Mengke] Nanjing Tech Univ, Sch Architecture, Nanjing 211816, Peoples R China; [Liu, Tao] Peking Univ, Coll Urban &amp; Environm Sci, Beijing 100871, Peoples R China; [Chen, Ruishan] East China Normal Univ, Sch Geog Sci, Key Lab Geog Informat Sci, Minist Educ, Shanghai 200241, Peoples R China; [Chen, Ruishan] East China Normal Univ, Inst Ecochongming, Shanghai 200241, Peoples R China</t>
        </is>
      </c>
      <c r="Y1063" t="inlineStr">
        <is>
          <t>Nanjing Tech University; Peking University; East China Normal University; East China Normal University</t>
        </is>
      </c>
      <c r="Z1063" t="inlineStr">
        <is>
          <t>Liu, T (corresponding author), Peking Univ, Coll Urban &amp; Environm Sci, Beijing 100871, Peoples R China.;Chen, RS (corresponding author), East China Normal Univ, Sch Geog Sci, Key Lab Geog Informat Sci, Minist Educ, Shanghai 200241, Peoples R China.;Chen, RS (corresponding author), East China Normal Univ, Inst Ecochongming, Shanghai 200241, Peoples R China.</t>
        </is>
      </c>
      <c r="AA1063" t="inlineStr">
        <is>
          <t>chenyi2012@njtech.edu.cn; liutao@pku.edu.cn; rschen@geo.ecnu.edu.cn; zhaomengke1997@163.com</t>
        </is>
      </c>
      <c r="AB1063" t="inlineStr">
        <is>
          <t>LIU, Tao/B-6318-2009</t>
        </is>
      </c>
      <c r="AC1063" t="inlineStr">
        <is>
          <t>LIU, Tao/0000-0002-3568-4882; chen, ruishan/0000-0002-7221-8784</t>
        </is>
      </c>
      <c r="AD1063" t="inlineStr">
        <is>
          <t>National Natural Science Foundation of China [41701186, 41801146, 41571488]; Humanity and Social Science Youth Foundation of Ministry of Education [17YJCZH029, 18YJC840022]; College Student Innovation and Entrepreneurship Training Program of Jiangsu Province [201910291071Z]</t>
        </is>
      </c>
      <c r="AE1063" t="inlineStr">
        <is>
          <t>National Natural Science Foundation of China(National Natural Science Foundation of China (NSFC)); Humanity and Social Science Youth Foundation of Ministry of Education; College Student Innovation and Entrepreneurship Training Program of Jiangsu Province</t>
        </is>
      </c>
      <c r="AF1063" t="inlineStr">
        <is>
          <t>This research was funded by the National Natural Science Foundation of China (41701186, 41801146, 41571488), the Humanity and Social Science Youth Foundation of Ministry of Education (17YJCZH029, 18YJC840022), and the College Student Innovation and Entrepreneurship Training Program of Jiangsu Province (201910291071Z).</t>
        </is>
      </c>
      <c r="AH1063" t="n">
        <v>57</v>
      </c>
      <c r="AI1063" t="n">
        <v>9</v>
      </c>
      <c r="AJ1063" t="n">
        <v>9</v>
      </c>
      <c r="AK1063" t="n">
        <v>11</v>
      </c>
      <c r="AL1063" t="n">
        <v>80</v>
      </c>
      <c r="AM1063" t="inlineStr">
        <is>
          <t>MDPI</t>
        </is>
      </c>
      <c r="AN1063" t="inlineStr">
        <is>
          <t>BASEL</t>
        </is>
      </c>
      <c r="AO1063" t="inlineStr">
        <is>
          <t>ST ALBAN-ANLAGE 66, CH-4052 BASEL, SWITZERLAND</t>
        </is>
      </c>
      <c r="AQ1063" t="inlineStr">
        <is>
          <t>2071-1050</t>
        </is>
      </c>
      <c r="AS1063" t="inlineStr">
        <is>
          <t>SUSTAINABILITY-BASEL</t>
        </is>
      </c>
      <c r="AT1063" t="inlineStr">
        <is>
          <t>Sustainability</t>
        </is>
      </c>
      <c r="AU1063" t="inlineStr">
        <is>
          <t>MAR 2</t>
        </is>
      </c>
      <c r="AV1063" t="n">
        <v>2020</v>
      </c>
      <c r="AW1063" t="n">
        <v>12</v>
      </c>
      <c r="AX1063" t="n">
        <v>6</v>
      </c>
      <c r="BE1063" t="n">
        <v>2401</v>
      </c>
      <c r="BF1063" t="inlineStr">
        <is>
          <t>10.3390/su12062401</t>
        </is>
      </c>
      <c r="BG1063">
        <f>HYPERLINK("http://dx.doi.org/10.3390/su12062401","http://dx.doi.org/10.3390/su12062401")</f>
        <v/>
      </c>
      <c r="BJ1063" t="n">
        <v>16</v>
      </c>
      <c r="BK1063" t="inlineStr">
        <is>
          <t>Green &amp; Sustainable Science &amp; Technology; Environmental Sciences; Environmental Studies</t>
        </is>
      </c>
      <c r="BL1063" t="inlineStr">
        <is>
          <t>Science Citation Index Expanded (SCI-EXPANDED); Social Science Citation Index (SSCI)</t>
        </is>
      </c>
      <c r="BM1063" t="inlineStr">
        <is>
          <t>Science &amp; Technology - Other Topics; Environmental Sciences &amp; Ecology</t>
        </is>
      </c>
      <c r="BN1063" t="inlineStr">
        <is>
          <t>LA1YW</t>
        </is>
      </c>
      <c r="BP1063" t="inlineStr">
        <is>
          <t>gold, Green Published</t>
        </is>
      </c>
      <c r="BS1063" t="inlineStr">
        <is>
          <t>2023-10-26</t>
        </is>
      </c>
      <c r="BT1063" t="inlineStr">
        <is>
          <t>WOS:000523751400248</t>
        </is>
      </c>
      <c r="BU1063">
        <f>HYPERLINK("https%3A%2F%2Fwww.webofscience.com%2Fwos%2Fwoscc%2Ffull-record%2FWOS:000523751400248","View Full Record in Web of Science")</f>
        <v/>
      </c>
    </row>
    <row r="1064">
      <c r="A1064" t="inlineStr">
        <is>
          <t>J</t>
        </is>
      </c>
      <c r="B1064" t="inlineStr">
        <is>
          <t>Tola, G; Talu, V; Congiu, T; Bain, P; Lindert, J</t>
        </is>
      </c>
      <c r="F1064" t="inlineStr">
        <is>
          <t>Tola, Giulia; Talu, Valentina; Congiu, Tanja; Bain, Paul; Lindert, Jutta</t>
        </is>
      </c>
      <c r="J1064" t="inlineStr">
        <is>
          <t>INTERNATIONAL JOURNAL OF ENVIRONMENTAL RESEARCH AND PUBLIC HEALTH</t>
        </is>
      </c>
      <c r="M1064" t="inlineStr">
        <is>
          <t>English</t>
        </is>
      </c>
      <c r="N1064" t="inlineStr">
        <is>
          <t>Review</t>
        </is>
      </c>
      <c r="T1064" t="inlineStr">
        <is>
          <t>Built Environment Design and People with Autism Spectrum Disorder (ASD): A Scoping Review</t>
        </is>
      </c>
      <c r="U1064" t="inlineStr">
        <is>
          <t>built environment; autism spectrum disorder; spatial requirements; scoping review</t>
        </is>
      </c>
      <c r="V1064" t="inlineStr">
        <is>
          <t>DISABILITIES MONITORING NETWORK; AGED 8 YEARS; UNITED-STATES; 11 SITES; CHILDREN; ARCHITECTURE; PREVALENCE; STUDENTS; ADULTS</t>
        </is>
      </c>
      <c r="W1064" t="inlineStr">
        <is>
          <t>Built environment design can be considered as an influential factor in the quality of life of people with autism spectrum disorder (ASD). This scoping review provides an overview of the current available literature on the relationship between people with ASD and built environment in the specific field of the design of autism-friendly spaces. The literature review allowed the identification of three main factors to be considered when designing for people with ASD-the sensory quality, the intelligibility, and the predictability of the built environment-and, for each of them, a description of the spatial requirements that have been recognized as fundamental according to the specific spatial needs of people with ASD.</t>
        </is>
      </c>
      <c r="X1064" t="inlineStr">
        <is>
          <t>[Tola, Giulia; Talu, Valentina; Congiu, Tanja] Univ Sassari, Dept Architecture Design &amp; Planning, I-07100 Sassari, Italy; [Bain, Paul] Harvard Med Sch, Countway Lib Med, Cambridge, MA 02115 USA; [Lindert, Jutta] Univ Appl Sci Emden Leer, Dept Social Work &amp; Hlth, D-26723 Emden, Germany</t>
        </is>
      </c>
      <c r="Y1064" t="inlineStr">
        <is>
          <t>University of Sassari</t>
        </is>
      </c>
      <c r="Z1064" t="inlineStr">
        <is>
          <t>Talu, V (corresponding author), Univ Sassari, Dept Architecture Design &amp; Planning, I-07100 Sassari, Italy.</t>
        </is>
      </c>
      <c r="AA1064" t="inlineStr">
        <is>
          <t>giuliatola.20@gmail.com; vtalu@uniss.it; tancon@uniss.it; paul_bain@hms.harvard.edu; jutta.lindert@hs-emden-leer.de</t>
        </is>
      </c>
      <c r="AB1064" t="inlineStr">
        <is>
          <t>Talu, Valentina/ABG-6039-2021</t>
        </is>
      </c>
      <c r="AH1064" t="n">
        <v>51</v>
      </c>
      <c r="AI1064" t="n">
        <v>8</v>
      </c>
      <c r="AJ1064" t="n">
        <v>8</v>
      </c>
      <c r="AK1064" t="n">
        <v>8</v>
      </c>
      <c r="AL1064" t="n">
        <v>40</v>
      </c>
      <c r="AM1064" t="inlineStr">
        <is>
          <t>MDPI</t>
        </is>
      </c>
      <c r="AN1064" t="inlineStr">
        <is>
          <t>BASEL</t>
        </is>
      </c>
      <c r="AO1064" t="inlineStr">
        <is>
          <t>ST ALBAN-ANLAGE 66, CH-4052 BASEL, SWITZERLAND</t>
        </is>
      </c>
      <c r="AQ1064" t="inlineStr">
        <is>
          <t>1660-4601</t>
        </is>
      </c>
      <c r="AS1064" t="inlineStr">
        <is>
          <t>INT J ENV RES PUB HE</t>
        </is>
      </c>
      <c r="AT1064" t="inlineStr">
        <is>
          <t>Int. J. Environ. Res. Public Health</t>
        </is>
      </c>
      <c r="AU1064" t="inlineStr">
        <is>
          <t>FEB</t>
        </is>
      </c>
      <c r="AV1064" t="n">
        <v>2021</v>
      </c>
      <c r="AW1064" t="n">
        <v>18</v>
      </c>
      <c r="AX1064" t="n">
        <v>6</v>
      </c>
      <c r="BE1064" t="n">
        <v>3203</v>
      </c>
      <c r="BF1064" t="inlineStr">
        <is>
          <t>10.3390/ijerph18063203</t>
        </is>
      </c>
      <c r="BG1064">
        <f>HYPERLINK("http://dx.doi.org/10.3390/ijerph18063203","http://dx.doi.org/10.3390/ijerph18063203")</f>
        <v/>
      </c>
      <c r="BJ1064" t="n">
        <v>15</v>
      </c>
      <c r="BK1064" t="inlineStr">
        <is>
          <t>Environmental Sciences; Public, Environmental &amp; Occupational Health</t>
        </is>
      </c>
      <c r="BL1064" t="inlineStr">
        <is>
          <t>Science Citation Index Expanded (SCI-EXPANDED); Social Science Citation Index (SSCI)</t>
        </is>
      </c>
      <c r="BM1064" t="inlineStr">
        <is>
          <t>Environmental Sciences &amp; Ecology; Public, Environmental &amp; Occupational Health</t>
        </is>
      </c>
      <c r="BN1064" t="inlineStr">
        <is>
          <t>RL9AM</t>
        </is>
      </c>
      <c r="BO1064" t="n">
        <v>33808817</v>
      </c>
      <c r="BP1064" t="inlineStr">
        <is>
          <t>Green Published, gold</t>
        </is>
      </c>
      <c r="BS1064" t="inlineStr">
        <is>
          <t>2023-10-26</t>
        </is>
      </c>
      <c r="BT1064" t="inlineStr">
        <is>
          <t>WOS:000639256400001</t>
        </is>
      </c>
      <c r="BU1064">
        <f>HYPERLINK("https%3A%2F%2Fwww.webofscience.com%2Fwos%2Fwoscc%2Ffull-record%2FWOS:000639256400001","View Full Record in Web of Science")</f>
        <v/>
      </c>
    </row>
    <row r="1065">
      <c r="A1065" t="inlineStr">
        <is>
          <t>J</t>
        </is>
      </c>
      <c r="B1065" t="inlineStr">
        <is>
          <t>Irvine, KN; Fisher, D; Marselle, MR; Currie, M; Colley, K; Warber, SL</t>
        </is>
      </c>
      <c r="F1065" t="inlineStr">
        <is>
          <t>Irvine, Katherine N.; Fisher, Daniel; Marselle, Melissa R.; Currie, Margaret; Colley, Kathryn; Warber, Sara L.</t>
        </is>
      </c>
      <c r="J1065" t="inlineStr">
        <is>
          <t>INTERNATIONAL JOURNAL OF ENVIRONMENTAL RESEARCH AND PUBLIC HEALTH</t>
        </is>
      </c>
      <c r="M1065" t="inlineStr">
        <is>
          <t>English</t>
        </is>
      </c>
      <c r="N1065" t="inlineStr">
        <is>
          <t>Article</t>
        </is>
      </c>
      <c r="T1065" t="inlineStr">
        <is>
          <t>Social Isolation in Older Adults: A Qualitative Study on the Social Dimensions of Group Outdoor Health Walks</t>
        </is>
      </c>
      <c r="U1065" t="inlineStr">
        <is>
          <t>outdoor walking; nature-based intervention; wellbeing; social health; social wellbeing; loneliness; social support; group cohesion; social environment</t>
        </is>
      </c>
      <c r="V1065" t="inlineStr">
        <is>
          <t>PHYSICAL-ACTIVITY; GROUP COHESION; LONELINESS; INTERVENTIONS; COMMUNITY; PEOPLE; MODEL; PARTICIPATION; ENVIRONMENT; CONNECTION</t>
        </is>
      </c>
      <c r="W1065" t="inlineStr">
        <is>
          <t>Physical distancing practices during the COVID-19 global pandemic contributed to a high degree of social isolation among older adults. To reduce loneliness and other ill effects of social isolation, public health experts recommended outdoor social gathering, with physical distancing. Adopting a case study approach, we explored how social aspects of group outdoor health walks (GOHWs) mitigate social isolation for older adults and improve individual social wellbeing. We used semi-structured interviews to understand the experiences of social isolation and social relationships in nine older (50-80 s) adults participating in a GOHW in Scotland, United Kingdom (UK). Verbatim transcripts were analysed through an iterative process of thematic analysis carried out by an interdisciplinary team of qualitative researchers from environmental psychology, medicine, and geography. Themes provide insight into the social dimensions of GOHWs, the mediating effects of social experiences, and the contribution these make to individual social wellbeing. GOHWs provide opportunities to be part of a group and attend to the needs of inexperienced or physically challenged individuals. Being part of the group walk fosters casual interpersonal interactions through spontaneous mixing during and after the walk. This programmatic structure counters loneliness, engenders pleasurable anticipation of regular contact with others, supports physical activity, and fosters group cohesion. These in turn contribute to individual social wellbeing, including expanding social networks, meaningful relationships, a sense of belonging, and acting on empathy for others. GOWHs may be beneficial for mitigation of social isolation as we emerge from the COVID-19 pandemic. Findings were used to propose a conceptual model to parse social constructs and inform selection or development of quantitative social measures for future studies of nature-based interventions such as GOHWs.</t>
        </is>
      </c>
      <c r="X1065" t="inlineStr">
        <is>
          <t>[Irvine, Katherine N.; Fisher, Daniel; Currie, Margaret; Colley, Kathryn] James Hutton Inst, Social Econ &amp; Geog Sci Dept, Aberdeen AB15 8QH, Scotland; [Fisher, Daniel] Univ Glasgow, Sch Educ, Glasgow G3 6NH, Lanark, Scotland; [Marselle, Melissa R.] Univ Surrey, Sch Psychol, Environm Psychol Res Grp, Guildford GU2 7XH, Surrey, England; [Warber, Sara L.] Univ Michigan, Dept Family Med, Ann Arbor, MI 48104 USA; [Warber, Sara L.] Nova Inst Hlth, Baltimore, MD 21231 USA</t>
        </is>
      </c>
      <c r="Y1065" t="inlineStr">
        <is>
          <t>James Hutton Institute; University of Glasgow; University of Surrey; University of Michigan System; University of Michigan</t>
        </is>
      </c>
      <c r="Z1065" t="inlineStr">
        <is>
          <t>Irvine, KN (corresponding author), James Hutton Inst, Social Econ &amp; Geog Sci Dept, Aberdeen AB15 8QH, Scotland.</t>
        </is>
      </c>
      <c r="AA1065" t="inlineStr">
        <is>
          <t>kate.irvine@hutton.ac.uk; dan.fisher@glasgow.ac.uk; m.marselle@surrey.ac.uk; margaret.currie@hutton.ac.uk; kathryn.colley@hutton.ac.uk; swarber@umich.edu</t>
        </is>
      </c>
      <c r="AC1065" t="inlineStr">
        <is>
          <t>Marselle, Melissa/0000-0002-3245-7473; Warber, Sara/0000-0001-6917-4154; Currie, Margaret/0000-0003-4406-9387</t>
        </is>
      </c>
      <c r="AD1065" t="inlineStr">
        <is>
          <t>Scottish Government's Legacy 2014 Physical Activity Fund; Scottish Government under the Rural &amp; Environment Science &amp; Analytical Services Division (RESAS) Strategic Research Programme 2016-22; Nova Institute for Health, Baltimore, MD, USA</t>
        </is>
      </c>
      <c r="AE1065" t="inlineStr">
        <is>
          <t>Scottish Government's Legacy 2014 Physical Activity Fund; Scottish Government under the Rural &amp; Environment Science &amp; Analytical Services Division (RESAS) Strategic Research Programme 2016-22; Nova Institute for Health, Baltimore, MD, USA</t>
        </is>
      </c>
      <c r="AF1065" t="inlineStr">
        <is>
          <t>The activity tracker group outdoor health walk was made possible through funds from Scottish Government's Legacy 2014 Physical Activity Fund provided to Active Cairngorms, Cairngorms National Park Authority. K.N.I., D.F., M.C. and K.C were supported by the Scottish Government under the Rural &amp; Environment Science &amp; Analytical Services Division (RESAS) Strategic Research Programme 2016-22. S.L.W. is supported as a Scholar of Nova Institute for Health, Baltimore, MD, USA.</t>
        </is>
      </c>
      <c r="AH1065" t="n">
        <v>103</v>
      </c>
      <c r="AI1065" t="n">
        <v>4</v>
      </c>
      <c r="AJ1065" t="n">
        <v>4</v>
      </c>
      <c r="AK1065" t="n">
        <v>6</v>
      </c>
      <c r="AL1065" t="n">
        <v>23</v>
      </c>
      <c r="AM1065" t="inlineStr">
        <is>
          <t>MDPI</t>
        </is>
      </c>
      <c r="AN1065" t="inlineStr">
        <is>
          <t>BASEL</t>
        </is>
      </c>
      <c r="AO1065" t="inlineStr">
        <is>
          <t>ST ALBAN-ANLAGE 66, CH-4052 BASEL, SWITZERLAND</t>
        </is>
      </c>
      <c r="AQ1065" t="inlineStr">
        <is>
          <t>1660-4601</t>
        </is>
      </c>
      <c r="AS1065" t="inlineStr">
        <is>
          <t>INT J ENV RES PUB HE</t>
        </is>
      </c>
      <c r="AT1065" t="inlineStr">
        <is>
          <t>Int. J. Environ. Res. Public Health</t>
        </is>
      </c>
      <c r="AU1065" t="inlineStr">
        <is>
          <t>MAY</t>
        </is>
      </c>
      <c r="AV1065" t="n">
        <v>2022</v>
      </c>
      <c r="AW1065" t="n">
        <v>19</v>
      </c>
      <c r="AX1065" t="n">
        <v>9</v>
      </c>
      <c r="BE1065" t="n">
        <v>5353</v>
      </c>
      <c r="BF1065" t="inlineStr">
        <is>
          <t>10.3390/ijerph19095353</t>
        </is>
      </c>
      <c r="BG1065">
        <f>HYPERLINK("http://dx.doi.org/10.3390/ijerph19095353","http://dx.doi.org/10.3390/ijerph19095353")</f>
        <v/>
      </c>
      <c r="BJ1065" t="n">
        <v>26</v>
      </c>
      <c r="BK1065" t="inlineStr">
        <is>
          <t>Environmental Sciences; Public, Environmental &amp; Occupational Health</t>
        </is>
      </c>
      <c r="BL1065" t="inlineStr">
        <is>
          <t>Science Citation Index Expanded (SCI-EXPANDED); Social Science Citation Index (SSCI)</t>
        </is>
      </c>
      <c r="BM1065" t="inlineStr">
        <is>
          <t>Environmental Sciences &amp; Ecology; Public, Environmental &amp; Occupational Health</t>
        </is>
      </c>
      <c r="BN1065" t="inlineStr">
        <is>
          <t>1E7DP</t>
        </is>
      </c>
      <c r="BO1065" t="n">
        <v>35564752</v>
      </c>
      <c r="BP1065" t="inlineStr">
        <is>
          <t>Green Published, Green Accepted, gold</t>
        </is>
      </c>
      <c r="BS1065" t="inlineStr">
        <is>
          <t>2023-10-26</t>
        </is>
      </c>
      <c r="BT1065" t="inlineStr">
        <is>
          <t>WOS:000794644700001</t>
        </is>
      </c>
      <c r="BU1065">
        <f>HYPERLINK("https%3A%2F%2Fwww.webofscience.com%2Fwos%2Fwoscc%2Ffull-record%2FWOS:000794644700001","View Full Record in Web of Science")</f>
        <v/>
      </c>
    </row>
    <row r="1066">
      <c r="A1066" t="inlineStr">
        <is>
          <t>J</t>
        </is>
      </c>
      <c r="B1066" t="inlineStr">
        <is>
          <t>Tsai, TH; Wong, AM; Lee, HF; Tseng, KC</t>
        </is>
      </c>
      <c r="F1066" t="inlineStr">
        <is>
          <t>Tsai, Tsai-Hsuan; Wong, Alice M.; Lee, Hsiu-Feng; Tseng, Kevin C.</t>
        </is>
      </c>
      <c r="J1066" t="inlineStr">
        <is>
          <t>SUSTAINABILITY</t>
        </is>
      </c>
      <c r="M1066" t="inlineStr">
        <is>
          <t>English</t>
        </is>
      </c>
      <c r="N1066" t="inlineStr">
        <is>
          <t>Article</t>
        </is>
      </c>
      <c r="T1066" t="inlineStr">
        <is>
          <t>A Study on the Motivation of Older Adults to Participate in Exercise or Physical Fitness Activities</t>
        </is>
      </c>
      <c r="U1066" t="inlineStr">
        <is>
          <t>institutional healthcare; motivation; older adults; physical fitness</t>
        </is>
      </c>
      <c r="V1066" t="inlineStr">
        <is>
          <t>PLANNED BEHAVIOR; EMOTIONAL RESPONSES; PUBLIC-HEALTH; EMPATHY; SELF; TECHNOLOGY; SYMPATHY; IDENTITY; DISEASE; MODEL</t>
        </is>
      </c>
      <c r="W1066" t="inlineStr">
        <is>
          <t>Studies have found that older adults often experience severe problems due to a lack of exercise, including an increased risk of falls, increased psychological problems and reduced social participation. However, the practicality and sustainability of exercise or physical fitness activities among older adults are questionable because these adults may face physical and psychological obstacles. Hence, this study proposed a research model to explore the physical fitness behaviours of the elderly subjects and the specific factors for maintaining their motivation to participate in exercise or physical fitness activities. A survey for a total of 101 subjects of residents of Chang Gung Health and Culture Village (CGHCV) was conducted to investigate the effects of the elderly's group identification and psychological proximity on their attitude and intention toward physical fitness. The results show that the group identification of the physical fitness activities, psychological proximity, intention toward physical fitness and subjective norms of the subjects did not affect their attitudes towards physical fitness or their intention to participate in exercise or physical fitness activities in the future. Therefore, the influence of group identification with other older adults of the same age on empathy allowed the subjects to understand the problematic aspects of physical fitness. Group identification among the subjects allowed them to adjust to their physical fitness problems through sympathy. It mediated the physical fitness problems of the subjects through the ageism effect.</t>
        </is>
      </c>
      <c r="X1066" t="inlineStr">
        <is>
          <t>[Tsai, Tsai-Hsuan] Chang Gung Univ, Master Sci Degree Program Innovat Smart Med, Taoyuan 33302, Taiwan; [Tsai, Tsai-Hsuan] Chang Gung Univ, Dept Ind Design, Taoyuan 33302, Taiwan; [Tsai, Tsai-Hsuan; Lee, Hsiu-Feng] Chang Gung Univ, Grad Inst Business &amp; Management, Taoyuan 33302, Taiwan; [Tsai, Tsai-Hsuan; Wong, Alice M.] Chang Gung Mem Hosp, Dept Phys Med &amp; Rehabil, Taoyuan 33305, Taiwan; [Tsai, Tsai-Hsuan] Ming Chi Univ Technol, Dept Visual Commun Design, New Taipei 24301, Taiwan; [Tsai, Tsai-Hsuan; Wong, Alice M.; Tseng, Kevin C.] Prod Design &amp; Dev Lab, Taoyuan 33343, Taiwan; [Tseng, Kevin C.] Natl Taipei Univ Technol, Dept Ind Design, Taipei 10608, Taiwan</t>
        </is>
      </c>
      <c r="Y1066" t="inlineStr">
        <is>
          <t>Chang Gung University; Chang Gung University; Chang Gung University; Chang Gung Memorial Hospital; Ming Chi University of Technology; National Taipei University of Technology</t>
        </is>
      </c>
      <c r="Z1066" t="inlineStr">
        <is>
          <t>Tseng, KC (corresponding author), Prod Design &amp; Dev Lab, Taoyuan 33343, Taiwan.;Tseng, KC (corresponding author), Natl Taipei Univ Technol, Dept Ind Design, Taipei 10608, Taiwan.</t>
        </is>
      </c>
      <c r="AA1066" t="inlineStr">
        <is>
          <t>ttsai@mail.cgu.edu.tw; walice@cgmh.org.tw; phoenix843106@gmail.com; ktseng@pddlab.org</t>
        </is>
      </c>
      <c r="AC1066" t="inlineStr">
        <is>
          <t>Tseng, Kevin/0000-0003-4601-0143</t>
        </is>
      </c>
      <c r="AD1066" t="inlineStr">
        <is>
          <t>Ministry of Science and Technology, Taiwan [MOST 109-2410-H-027-003-MY2, MOST 108-2410-H-027-024-MY3]; Chang Gung Medical Foundation [CMRPD2F0213]; Chang Gung Medical Foundation (CMRPG5J0043), Chang Gung University [EMRPD1K0391]; Chang Gung University [EMRPD1K0481]</t>
        </is>
      </c>
      <c r="AE1066" t="inlineStr">
        <is>
          <t>Ministry of Science and Technology, Taiwan(Ministry of Science and Technology, Taiwan); Chang Gung Medical Foundation; Chang Gung Medical Foundation (CMRPG5J0043), Chang Gung University; Chang Gung University</t>
        </is>
      </c>
      <c r="AF1066" t="inlineStr">
        <is>
          <t>This research was funded by Ministry of Science and Technology, Taiwan (MOST 109-2410-H-027-003-MY2), Ministry of Science and Technology, Taiwan (MOST 108-2410-H-027-024-MY3), Chang Gung Medical Foundation (CMRPD2F0213), Chang Gung Medical Foundation (CMRPG5J0043), Chang Gung University (EMRPD1K0391), Chang Gung University (EMRPD1K0481). The funders had no role in the study design, data collection and analysis, decision to publish, or preparation of the manuscript.</t>
        </is>
      </c>
      <c r="AH1066" t="n">
        <v>67</v>
      </c>
      <c r="AI1066" t="n">
        <v>2</v>
      </c>
      <c r="AJ1066" t="n">
        <v>2</v>
      </c>
      <c r="AK1066" t="n">
        <v>8</v>
      </c>
      <c r="AL1066" t="n">
        <v>20</v>
      </c>
      <c r="AM1066" t="inlineStr">
        <is>
          <t>MDPI</t>
        </is>
      </c>
      <c r="AN1066" t="inlineStr">
        <is>
          <t>BASEL</t>
        </is>
      </c>
      <c r="AO1066" t="inlineStr">
        <is>
          <t>ST ALBAN-ANLAGE 66, CH-4052 BASEL, SWITZERLAND</t>
        </is>
      </c>
      <c r="AQ1066" t="inlineStr">
        <is>
          <t>2071-1050</t>
        </is>
      </c>
      <c r="AS1066" t="inlineStr">
        <is>
          <t>SUSTAINABILITY-BASEL</t>
        </is>
      </c>
      <c r="AT1066" t="inlineStr">
        <is>
          <t>Sustainability</t>
        </is>
      </c>
      <c r="AU1066" t="inlineStr">
        <is>
          <t>MAY</t>
        </is>
      </c>
      <c r="AV1066" t="n">
        <v>2022</v>
      </c>
      <c r="AW1066" t="n">
        <v>14</v>
      </c>
      <c r="AX1066" t="n">
        <v>10</v>
      </c>
      <c r="BE1066" t="n">
        <v>6355</v>
      </c>
      <c r="BF1066" t="inlineStr">
        <is>
          <t>10.3390/su14106355</t>
        </is>
      </c>
      <c r="BG1066">
        <f>HYPERLINK("http://dx.doi.org/10.3390/su14106355","http://dx.doi.org/10.3390/su14106355")</f>
        <v/>
      </c>
      <c r="BJ1066" t="n">
        <v>17</v>
      </c>
      <c r="BK1066" t="inlineStr">
        <is>
          <t>Green &amp; Sustainable Science &amp; Technology; Environmental Sciences; Environmental Studies</t>
        </is>
      </c>
      <c r="BL1066" t="inlineStr">
        <is>
          <t>Science Citation Index Expanded (SCI-EXPANDED); Social Science Citation Index (SSCI)</t>
        </is>
      </c>
      <c r="BM1066" t="inlineStr">
        <is>
          <t>Science &amp; Technology - Other Topics; Environmental Sciences &amp; Ecology</t>
        </is>
      </c>
      <c r="BN1066" t="inlineStr">
        <is>
          <t>1O8MC</t>
        </is>
      </c>
      <c r="BP1066" t="inlineStr">
        <is>
          <t>gold</t>
        </is>
      </c>
      <c r="BS1066" t="inlineStr">
        <is>
          <t>2023-10-26</t>
        </is>
      </c>
      <c r="BT1066" t="inlineStr">
        <is>
          <t>WOS:000801578000001</t>
        </is>
      </c>
      <c r="BU1066">
        <f>HYPERLINK("https%3A%2F%2Fwww.webofscience.com%2Fwos%2Fwoscc%2Ffull-record%2FWOS:000801578000001","View Full Record in Web of Science")</f>
        <v/>
      </c>
    </row>
    <row r="1067">
      <c r="A1067" t="inlineStr">
        <is>
          <t>J</t>
        </is>
      </c>
      <c r="B1067" t="inlineStr">
        <is>
          <t>Kim, SD</t>
        </is>
      </c>
      <c r="F1067" t="inlineStr">
        <is>
          <t>Kim, Sang-Dol</t>
        </is>
      </c>
      <c r="J1067" t="inlineStr">
        <is>
          <t>SUSTAINABILITY</t>
        </is>
      </c>
      <c r="M1067" t="inlineStr">
        <is>
          <t>English</t>
        </is>
      </c>
      <c r="N1067" t="inlineStr">
        <is>
          <t>Article</t>
        </is>
      </c>
      <c r="T1067" t="inlineStr">
        <is>
          <t>Impacts of Sociodemographic Characteristics and Cardinal Health Problems on Health-Related Quality of Life among Korean Older Adults</t>
        </is>
      </c>
      <c r="U1067" t="inlineStr">
        <is>
          <t>quality of life; older adults; activity limitation</t>
        </is>
      </c>
      <c r="V1067" t="inlineStr">
        <is>
          <t>EQ-5D</t>
        </is>
      </c>
      <c r="W1067" t="inlineStr">
        <is>
          <t>Background: Health-related quality of life is a critical health index for older adults. Objectives: The aim of this study was to identify the impacts of sociodemographic characteristics and cardinal health problems on health-related quality of life (HRQoL) among Korean older adults. Methods: Data were extracted from the 7th Korea National Health and Nutrition Examination Survey from 2018. The data were analyzed using SPSS 24.0, employing multiple linear regression with a complex sample design. Results: The overall mean score for HRQoL in the older Korean population was 0.89 points. HRQoL scores were significantly influenced by covariances adjusted for sociodemographic variables such as gender, age, marital status, and economic activities among Korean elderly (R-2= 0.110,p&lt; 0.001). They were also significantly influenced by covariances adjusted for cardinal health problems such as obesity, activity limitation, hypertension, diabetes mellitus, and hyperlipidemia among Korean older adults (R-2= 0.286,p&lt; 0.001); however, among the covariances, activity limitation was the only variable to significantly affect HRQoL among older Korean people (p&lt; 0.001). Conclusions: The findings implied that public health policies and programs for HRQoL are needed to promote proper physical activity and devise tailored measures for targeted sociodemographic variables among Korean older adults.</t>
        </is>
      </c>
      <c r="X1067" t="inlineStr">
        <is>
          <t>[Kim, Sang-Dol] Kangwon Natl Univ, Coll Hlth Sci, Dept Nursing, 346 Hwangjo Gil, Samcheok Si 25949, Gangwon Do, South Korea</t>
        </is>
      </c>
      <c r="Y1067" t="inlineStr">
        <is>
          <t>Kangwon National University</t>
        </is>
      </c>
      <c r="Z1067" t="inlineStr">
        <is>
          <t>Kim, SD (corresponding author), Kangwon Natl Univ, Coll Hlth Sci, Dept Nursing, 346 Hwangjo Gil, Samcheok Si 25949, Gangwon Do, South Korea.</t>
        </is>
      </c>
      <c r="AA1067" t="inlineStr">
        <is>
          <t>nu11110@kangwon.ac.kr</t>
        </is>
      </c>
      <c r="AH1067" t="n">
        <v>36</v>
      </c>
      <c r="AI1067" t="n">
        <v>0</v>
      </c>
      <c r="AJ1067" t="n">
        <v>0</v>
      </c>
      <c r="AK1067" t="n">
        <v>1</v>
      </c>
      <c r="AL1067" t="n">
        <v>2</v>
      </c>
      <c r="AM1067" t="inlineStr">
        <is>
          <t>MDPI</t>
        </is>
      </c>
      <c r="AN1067" t="inlineStr">
        <is>
          <t>BASEL</t>
        </is>
      </c>
      <c r="AO1067" t="inlineStr">
        <is>
          <t>ST ALBAN-ANLAGE 66, CH-4052 BASEL, SWITZERLAND</t>
        </is>
      </c>
      <c r="AQ1067" t="inlineStr">
        <is>
          <t>2071-1050</t>
        </is>
      </c>
      <c r="AS1067" t="inlineStr">
        <is>
          <t>SUSTAINABILITY-BASEL</t>
        </is>
      </c>
      <c r="AT1067" t="inlineStr">
        <is>
          <t>Sustainability</t>
        </is>
      </c>
      <c r="AU1067" t="inlineStr">
        <is>
          <t>SEP</t>
        </is>
      </c>
      <c r="AV1067" t="n">
        <v>2020</v>
      </c>
      <c r="AW1067" t="n">
        <v>12</v>
      </c>
      <c r="AX1067" t="n">
        <v>18</v>
      </c>
      <c r="BE1067" t="n">
        <v>7656</v>
      </c>
      <c r="BF1067" t="inlineStr">
        <is>
          <t>10.3390/su12187656</t>
        </is>
      </c>
      <c r="BG1067">
        <f>HYPERLINK("http://dx.doi.org/10.3390/su12187656","http://dx.doi.org/10.3390/su12187656")</f>
        <v/>
      </c>
      <c r="BJ1067" t="n">
        <v>9</v>
      </c>
      <c r="BK1067" t="inlineStr">
        <is>
          <t>Green &amp; Sustainable Science &amp; Technology; Environmental Sciences; Environmental Studies</t>
        </is>
      </c>
      <c r="BL1067" t="inlineStr">
        <is>
          <t>Science Citation Index Expanded (SCI-EXPANDED); Social Science Citation Index (SSCI)</t>
        </is>
      </c>
      <c r="BM1067" t="inlineStr">
        <is>
          <t>Science &amp; Technology - Other Topics; Environmental Sciences &amp; Ecology</t>
        </is>
      </c>
      <c r="BN1067" t="inlineStr">
        <is>
          <t>OK0AS</t>
        </is>
      </c>
      <c r="BP1067" t="inlineStr">
        <is>
          <t>Green Published, gold</t>
        </is>
      </c>
      <c r="BS1067" t="inlineStr">
        <is>
          <t>2023-10-26</t>
        </is>
      </c>
      <c r="BT1067" t="inlineStr">
        <is>
          <t>WOS:000584315600001</t>
        </is>
      </c>
      <c r="BU1067">
        <f>HYPERLINK("https%3A%2F%2Fwww.webofscience.com%2Fwos%2Fwoscc%2Ffull-record%2FWOS:000584315600001","View Full Record in Web of Science")</f>
        <v/>
      </c>
    </row>
    <row r="1068">
      <c r="A1068" t="inlineStr">
        <is>
          <t>J</t>
        </is>
      </c>
      <c r="B1068" t="inlineStr">
        <is>
          <t>Achepohl, G; Heaney, C; Rosas, LG; Moore, J; Rich, T; Winter, SJ</t>
        </is>
      </c>
      <c r="F1068" t="inlineStr">
        <is>
          <t>Achepohl, Grace; Heaney, Catherine; Rosas, Lisa G.; Moore, Jessie; Rich, Tia; Winter, Sandra J.</t>
        </is>
      </c>
      <c r="J1068" t="inlineStr">
        <is>
          <t>INTERNATIONAL JOURNAL OF ENVIRONMENTAL RESEARCH AND PUBLIC HEALTH</t>
        </is>
      </c>
      <c r="M1068" t="inlineStr">
        <is>
          <t>English</t>
        </is>
      </c>
      <c r="N1068" t="inlineStr">
        <is>
          <t>Article</t>
        </is>
      </c>
      <c r="T1068" t="inlineStr">
        <is>
          <t>The Value of Contemplative Practices: A Mixed Methods Approach Exploring Associations between Resilience and Experiences of the COVID-19 Pandemic among Older Adults</t>
        </is>
      </c>
      <c r="U1068" t="inlineStr">
        <is>
          <t>older adults; contemplative practices; resilience</t>
        </is>
      </c>
      <c r="V1068" t="inlineStr">
        <is>
          <t>CONNOR-DAVIDSON RESILIENCE; STRESS REDUCTION; EMOTION REGULATION; DECOUPLING MODEL; MINDFULNESS; NEUROSCIENCE; POPULATION; EQUANIMITY; EXPRESSION; CONSTRUCT</t>
        </is>
      </c>
      <c r="W1068" t="inlineStr">
        <is>
          <t>The aim of this study was to explore the association between resilience and experiences of the COVID-19 pandemic among older adults. We used a sequential explanatory mixed methods study design to recruit older adults who spoke English and were 60 and above during the pandemic. Survey data investigated older adults' resilience, post-traumatic growth, well-being, and demographics. Extreme case purposeful sampling of their resilience score was used to select interviewees. Qualitative data sought to understand the relationship between resilience and how older adults responded to the COVID-19 pandemic. Exploring the relationship between resilience (well-being in the face of challenge) and one's experience of the COVID-19 pandemic revealed that participants categorized as having high resilience had long held behaviors of contemplative practices that helped them effectively adapt to the COVID-19 pandemic. As we continue to face global challenges, we must redefine care, guide interventions, and promote healthy aging by incorporating contemplative practices into the lives of older adults.</t>
        </is>
      </c>
      <c r="X1068" t="inlineStr">
        <is>
          <t>[Achepohl, Grace; Heaney, Catherine; Moore, Jessie; Rich, Tia; Winter, Sandra J.] Stanford Univ, Stanford Prevent Res Ctr, 3180 Porter Dr, Palo Alto, CA 94304 USA; [Heaney, Catherine] Stanford Univ, Dept Psychol, Bldg 420,450 Jane Stanford Way, Stanford, CA 94305 USA; [Rosas, Lisa G.] Stanford Univ, Dept Epidemiol &amp; Populat Hlth, Alway Bldg,300 Pasteur Dr, Stanford, CA 94305 USA; [Rosas, Lisa G.] Stanford Univ, Div Primary Care &amp; Populat Hlth, Dept Med, 1265 Welch Rd, Stanford, CA 94305 USA; [Winter, Sandra J.] Senior Coastsiders, 925 Main St, Half Moon Bay, CA 94019 USA</t>
        </is>
      </c>
      <c r="Y1068" t="inlineStr">
        <is>
          <t>Stanford University; Stanford University; Stanford University; Stanford University</t>
        </is>
      </c>
      <c r="Z1068" t="inlineStr">
        <is>
          <t>Achepohl, G (corresponding author), Stanford Univ, Stanford Prevent Res Ctr, 3180 Porter Dr, Palo Alto, CA 94304 USA.</t>
        </is>
      </c>
      <c r="AA1068" t="inlineStr">
        <is>
          <t>gachepohl@gmail.com</t>
        </is>
      </c>
      <c r="AB1068" t="inlineStr">
        <is>
          <t>Winter, Sandi/HJA-3055-2022; Achepohl, Grace/JAX-4374-2023</t>
        </is>
      </c>
      <c r="AC1068" t="inlineStr">
        <is>
          <t>Winter, Sandi/0000-0002-4930-2005; Achepohl, Grace/0000-0001-6576-7008; Heaney, Catherine/0000-0002-6326-3807</t>
        </is>
      </c>
      <c r="AH1068" t="n">
        <v>62</v>
      </c>
      <c r="AI1068" t="n">
        <v>1</v>
      </c>
      <c r="AJ1068" t="n">
        <v>1</v>
      </c>
      <c r="AK1068" t="n">
        <v>0</v>
      </c>
      <c r="AL1068" t="n">
        <v>6</v>
      </c>
      <c r="AM1068" t="inlineStr">
        <is>
          <t>MDPI</t>
        </is>
      </c>
      <c r="AN1068" t="inlineStr">
        <is>
          <t>BASEL</t>
        </is>
      </c>
      <c r="AO1068" t="inlineStr">
        <is>
          <t>ST ALBAN-ANLAGE 66, CH-4052 BASEL, SWITZERLAND</t>
        </is>
      </c>
      <c r="AQ1068" t="inlineStr">
        <is>
          <t>1660-4601</t>
        </is>
      </c>
      <c r="AS1068" t="inlineStr">
        <is>
          <t>INT J ENV RES PUB HE</t>
        </is>
      </c>
      <c r="AT1068" t="inlineStr">
        <is>
          <t>Int. J. Environ. Res. Public Health</t>
        </is>
      </c>
      <c r="AU1068" t="inlineStr">
        <is>
          <t>AUG</t>
        </is>
      </c>
      <c r="AV1068" t="n">
        <v>2022</v>
      </c>
      <c r="AW1068" t="n">
        <v>19</v>
      </c>
      <c r="AX1068" t="n">
        <v>16</v>
      </c>
      <c r="BE1068" t="n">
        <v>10224</v>
      </c>
      <c r="BF1068" t="inlineStr">
        <is>
          <t>10.3390/ijerph191610224</t>
        </is>
      </c>
      <c r="BG1068">
        <f>HYPERLINK("http://dx.doi.org/10.3390/ijerph191610224","http://dx.doi.org/10.3390/ijerph191610224")</f>
        <v/>
      </c>
      <c r="BJ1068" t="n">
        <v>13</v>
      </c>
      <c r="BK1068" t="inlineStr">
        <is>
          <t>Environmental Sciences; Public, Environmental &amp; Occupational Health</t>
        </is>
      </c>
      <c r="BL1068" t="inlineStr">
        <is>
          <t>Science Citation Index Expanded (SCI-EXPANDED); Social Science Citation Index (SSCI)</t>
        </is>
      </c>
      <c r="BM1068" t="inlineStr">
        <is>
          <t>Environmental Sciences &amp; Ecology; Public, Environmental &amp; Occupational Health</t>
        </is>
      </c>
      <c r="BN1068" t="inlineStr">
        <is>
          <t>4B1XN</t>
        </is>
      </c>
      <c r="BO1068" t="n">
        <v>36011860</v>
      </c>
      <c r="BP1068" t="inlineStr">
        <is>
          <t>gold, Green Published</t>
        </is>
      </c>
      <c r="BS1068" t="inlineStr">
        <is>
          <t>2023-10-26</t>
        </is>
      </c>
      <c r="BT1068" t="inlineStr">
        <is>
          <t>WOS:000845579600001</t>
        </is>
      </c>
      <c r="BU1068">
        <f>HYPERLINK("https%3A%2F%2Fwww.webofscience.com%2Fwos%2Fwoscc%2Ffull-record%2FWOS:000845579600001","View Full Record in Web of Science")</f>
        <v/>
      </c>
    </row>
    <row r="1069">
      <c r="A1069" t="inlineStr">
        <is>
          <t>J</t>
        </is>
      </c>
      <c r="B1069" t="inlineStr">
        <is>
          <t>Latta, SC; Musher, LJ; Latta, KN; Katzner, TE</t>
        </is>
      </c>
      <c r="F1069" t="inlineStr">
        <is>
          <t>Latta, Steven C.; Musher, Lukas J.; Latta, Krista N.; Katzner, Todd E.</t>
        </is>
      </c>
      <c r="J1069" t="inlineStr">
        <is>
          <t>URBAN ECOSYSTEMS</t>
        </is>
      </c>
      <c r="M1069" t="inlineStr">
        <is>
          <t>English</t>
        </is>
      </c>
      <c r="N1069" t="inlineStr">
        <is>
          <t>Article</t>
        </is>
      </c>
      <c r="T1069" t="inlineStr">
        <is>
          <t>Influence of human population size and the built environment on avian assemblages in urban green spaces</t>
        </is>
      </c>
      <c r="V1069" t="inlineStr">
        <is>
          <t>NEST-SITE COMPETITION; SPECIES RICHNESS; EUROPEAN STARLINGS; BIRD COMMUNITIES; BREEDING BIRDS; LAND-USE; URBANIZATION; CONSERVATION; BIODIVERSITY; DIVERSITY</t>
        </is>
      </c>
      <c r="W1069" t="inlineStr">
        <is>
          <t>While studies of how habitat patch dynamics structures avian communities in urban environments has received some attention, there is considerably less known of how the built environment and human population size may influence the structuring of urban bird communities. We investigated bird populations in Pittsburgh, Pennsylvania (U.S.A.) through replicated point count surveys of breeding birds in 50 parks and cemeteries of varying sizes. We counted 4,435 individual birds in 441 counts. Of the 61 species detected, 27 were rare (detected at &lt; 8 points). Migratory species accounted for 46.1 % of all individuals, while 23.2 % of all individuals were of introduced species. Species richness increased significantly with green area size, as did the number of rare species. Species diversity decreased significantly with an increase in the proportion of individuals of introduced species; in particular, cavity nesters were less abundant when introduced species were present. Elements of the built urban environment including commercial development and transportation corridors were associated with significant reductions in park-wide species richness, mean number of species per point, and mean number of individual birds recorded per point. Human population size was positively related to increased numbers of individuals of introduced species, but a lower mean number of species per point. Ours is among the first to identify specific relationships between avian population characteristics and human population size, as few other studies have specifically incorporated human population size into a local, fine grain study design. Our data suggest that human population size is an important parameter that can be measured independently of characteristics of the built environment and the physical characteristics of the park itself as a correlate of avian diversity and abundance. Our study points to a variety of trade-offs needed to manage habitat for birds in urban settings.</t>
        </is>
      </c>
      <c r="Z1069" t="inlineStr">
        <is>
          <t>Latta, SC (corresponding author), Natl Aviary, Allegheny Commons West, Pittsburgh, PA 15212 USA.</t>
        </is>
      </c>
      <c r="AA1069" t="inlineStr">
        <is>
          <t>steven.latta@aviary.org</t>
        </is>
      </c>
      <c r="AC1069" t="inlineStr">
        <is>
          <t>Katzner, Todd/0000-0003-4503-8435</t>
        </is>
      </c>
      <c r="AH1069" t="n">
        <v>72</v>
      </c>
      <c r="AI1069" t="n">
        <v>15</v>
      </c>
      <c r="AJ1069" t="n">
        <v>19</v>
      </c>
      <c r="AK1069" t="n">
        <v>3</v>
      </c>
      <c r="AL1069" t="n">
        <v>178</v>
      </c>
      <c r="AM1069" t="inlineStr">
        <is>
          <t>SPRINGER</t>
        </is>
      </c>
      <c r="AN1069" t="inlineStr">
        <is>
          <t>DORDRECHT</t>
        </is>
      </c>
      <c r="AO1069" t="inlineStr">
        <is>
          <t>VAN GODEWIJCKSTRAAT 30, 3311 GZ DORDRECHT, NETHERLANDS</t>
        </is>
      </c>
      <c r="AP1069" t="inlineStr">
        <is>
          <t>1083-8155</t>
        </is>
      </c>
      <c r="AQ1069" t="inlineStr">
        <is>
          <t>1573-1642</t>
        </is>
      </c>
      <c r="AS1069" t="inlineStr">
        <is>
          <t>URBAN ECOSYST</t>
        </is>
      </c>
      <c r="AT1069" t="inlineStr">
        <is>
          <t>Urban Ecosyst.</t>
        </is>
      </c>
      <c r="AU1069" t="inlineStr">
        <is>
          <t>SEP</t>
        </is>
      </c>
      <c r="AV1069" t="n">
        <v>2013</v>
      </c>
      <c r="AW1069" t="n">
        <v>16</v>
      </c>
      <c r="AX1069" t="n">
        <v>3</v>
      </c>
      <c r="BC1069" t="n">
        <v>463</v>
      </c>
      <c r="BD1069" t="n">
        <v>479</v>
      </c>
      <c r="BF1069" t="inlineStr">
        <is>
          <t>10.1007/s11252-012-0282-z</t>
        </is>
      </c>
      <c r="BG1069">
        <f>HYPERLINK("http://dx.doi.org/10.1007/s11252-012-0282-z","http://dx.doi.org/10.1007/s11252-012-0282-z")</f>
        <v/>
      </c>
      <c r="BJ1069" t="n">
        <v>17</v>
      </c>
      <c r="BK1069" t="inlineStr">
        <is>
          <t>Biodiversity Conservation; Ecology; Environmental Sciences; Urban Studies</t>
        </is>
      </c>
      <c r="BL1069" t="inlineStr">
        <is>
          <t>Science Citation Index Expanded (SCI-EXPANDED)</t>
        </is>
      </c>
      <c r="BM1069" t="inlineStr">
        <is>
          <t>Biodiversity &amp; Conservation; Environmental Sciences &amp; Ecology; Urban Studies</t>
        </is>
      </c>
      <c r="BN1069" t="inlineStr">
        <is>
          <t>202MK</t>
        </is>
      </c>
      <c r="BS1069" t="inlineStr">
        <is>
          <t>2023-10-26</t>
        </is>
      </c>
      <c r="BT1069" t="inlineStr">
        <is>
          <t>WOS:000323220800005</t>
        </is>
      </c>
      <c r="BU1069">
        <f>HYPERLINK("https%3A%2F%2Fwww.webofscience.com%2Fwos%2Fwoscc%2Ffull-record%2FWOS:000323220800005","View Full Record in Web of Science")</f>
        <v/>
      </c>
    </row>
    <row r="1070">
      <c r="A1070" t="inlineStr">
        <is>
          <t>J</t>
        </is>
      </c>
      <c r="B1070" t="inlineStr">
        <is>
          <t>Wieser, AA; Scherz, M; Passer, A; Kreiner, H</t>
        </is>
      </c>
      <c r="F1070" t="inlineStr">
        <is>
          <t>Wieser, Antonija Ana; Scherz, Marco; Passer, Alexander; Kreiner, Helmuth</t>
        </is>
      </c>
      <c r="J1070" t="inlineStr">
        <is>
          <t>SUSTAINABILITY</t>
        </is>
      </c>
      <c r="M1070" t="inlineStr">
        <is>
          <t>English</t>
        </is>
      </c>
      <c r="N1070" t="inlineStr">
        <is>
          <t>Review</t>
        </is>
      </c>
      <c r="T1070" t="inlineStr">
        <is>
          <t>Challenges of a Healthy Built Environment: Air Pollution in Construction Industry</t>
        </is>
      </c>
      <c r="U1070" t="inlineStr">
        <is>
          <t>air pollution; construction industry; sustainable development goals; sustainable construction; healthy living environment</t>
        </is>
      </c>
      <c r="V1070" t="inlineStr">
        <is>
          <t>RESIDENTIAL BUILDINGS; DUST POLLUTION; PARTICULATE-EMISSIONS; MASS CONCENTRATIONS; INDOOR; QUALITY; URBAN; ENERGY; EXPOSURE; PM10</t>
        </is>
      </c>
      <c r="W1070" t="inlineStr">
        <is>
          <t>Air pollution is a global concern, especially in cities and urban areas, and has many implications for human health and for the environment. In common with other industrial sectors, the construction industry emits air pollutants. In scientific literature, the contribution the construction industry makes to air pollution is underexposed. This systematic literature review (SLR) paper gives an overview of the current literature regarding air pollution within the construction industry. Air pollution is discussed focusing mainly on three levels: (i) buildings and their building life cycle stages, (ii) construction processes and components, and (iii) building material and interior. The final sample of the SLR comprises 161 scientific articles addressing different aspects of the construction industry. The results show that most articles address the use stage of a building. Particulate matter in different sizes is the most frequently examined air pollutant within the SLR. Moreover, about a third of the articles refer to indoor air pollution, which shows the relevance of the topic. The construction industry can help to develop a healthier built environment and support the achievement of cleaner air within various life cycle stages, e.g., with optimized construction processes and healthier materials. International agreements and policies such as the Sustainable Development Goals (SDGs) can support the sustainable development of the construction industry.</t>
        </is>
      </c>
      <c r="X1070" t="inlineStr">
        <is>
          <t>[Wieser, Antonija Ana; Scherz, Marco; Passer, Alexander; Kreiner, Helmuth] Graz Univ Technol, Working Grp Sustainable Construct, Inst Technol &amp; Testing Construct Mat, Waagner Biro Str 100-XI, A-8020 Graz, Austria</t>
        </is>
      </c>
      <c r="Y1070" t="inlineStr">
        <is>
          <t>Graz University of Technology</t>
        </is>
      </c>
      <c r="Z1070" t="inlineStr">
        <is>
          <t>Kreiner, H (corresponding author), Graz Univ Technol, Working Grp Sustainable Construct, Inst Technol &amp; Testing Construct Mat, Waagner Biro Str 100-XI, A-8020 Graz, Austria.</t>
        </is>
      </c>
      <c r="AA1070" t="inlineStr">
        <is>
          <t>antonija.wieser@tugraz.at; marco.scherz@tugraz.at; alexander.passer@tugraz.at; helmuth.kreiner@tugraz.at</t>
        </is>
      </c>
      <c r="AC1070" t="inlineStr">
        <is>
          <t>Passer, Alexander/0000-0001-8773-8507; Scherz, Marco/0000-0002-7827-4074</t>
        </is>
      </c>
      <c r="AD1070" t="inlineStr">
        <is>
          <t>TU Graz Open Access Publishing Fund</t>
        </is>
      </c>
      <c r="AE1070" t="inlineStr">
        <is>
          <t>TU Graz Open Access Publishing Fund</t>
        </is>
      </c>
      <c r="AF1070" t="inlineStr">
        <is>
          <t>Supported by TU Graz Open Access Publishing Fund.</t>
        </is>
      </c>
      <c r="AH1070" t="n">
        <v>137</v>
      </c>
      <c r="AI1070" t="n">
        <v>13</v>
      </c>
      <c r="AJ1070" t="n">
        <v>13</v>
      </c>
      <c r="AK1070" t="n">
        <v>14</v>
      </c>
      <c r="AL1070" t="n">
        <v>83</v>
      </c>
      <c r="AM1070" t="inlineStr">
        <is>
          <t>MDPI</t>
        </is>
      </c>
      <c r="AN1070" t="inlineStr">
        <is>
          <t>BASEL</t>
        </is>
      </c>
      <c r="AO1070" t="inlineStr">
        <is>
          <t>ST ALBAN-ANLAGE 66, CH-4052 BASEL, SWITZERLAND</t>
        </is>
      </c>
      <c r="AQ1070" t="inlineStr">
        <is>
          <t>2071-1050</t>
        </is>
      </c>
      <c r="AS1070" t="inlineStr">
        <is>
          <t>SUSTAINABILITY-BASEL</t>
        </is>
      </c>
      <c r="AT1070" t="inlineStr">
        <is>
          <t>Sustainability</t>
        </is>
      </c>
      <c r="AU1070" t="inlineStr">
        <is>
          <t>SEP</t>
        </is>
      </c>
      <c r="AV1070" t="n">
        <v>2021</v>
      </c>
      <c r="AW1070" t="n">
        <v>13</v>
      </c>
      <c r="AX1070" t="n">
        <v>18</v>
      </c>
      <c r="BE1070" t="n">
        <v>10469</v>
      </c>
      <c r="BF1070" t="inlineStr">
        <is>
          <t>10.3390/su131810469</t>
        </is>
      </c>
      <c r="BG1070">
        <f>HYPERLINK("http://dx.doi.org/10.3390/su131810469","http://dx.doi.org/10.3390/su131810469")</f>
        <v/>
      </c>
      <c r="BJ1070" t="n">
        <v>29</v>
      </c>
      <c r="BK1070" t="inlineStr">
        <is>
          <t>Green &amp; Sustainable Science &amp; Technology; Environmental Sciences; Environmental Studies</t>
        </is>
      </c>
      <c r="BL1070" t="inlineStr">
        <is>
          <t>Science Citation Index Expanded (SCI-EXPANDED); Social Science Citation Index (SSCI)</t>
        </is>
      </c>
      <c r="BM1070" t="inlineStr">
        <is>
          <t>Science &amp; Technology - Other Topics; Environmental Sciences &amp; Ecology</t>
        </is>
      </c>
      <c r="BN1070" t="inlineStr">
        <is>
          <t>UY4SG</t>
        </is>
      </c>
      <c r="BP1070" t="inlineStr">
        <is>
          <t>Green Published, gold</t>
        </is>
      </c>
      <c r="BS1070" t="inlineStr">
        <is>
          <t>2023-10-26</t>
        </is>
      </c>
      <c r="BT1070" t="inlineStr">
        <is>
          <t>WOS:000701514800001</t>
        </is>
      </c>
      <c r="BU1070">
        <f>HYPERLINK("https%3A%2F%2Fwww.webofscience.com%2Fwos%2Fwoscc%2Ffull-record%2FWOS:000701514800001","View Full Record in Web of Science")</f>
        <v/>
      </c>
    </row>
    <row r="1071">
      <c r="A1071" t="inlineStr">
        <is>
          <t>J</t>
        </is>
      </c>
      <c r="B1071" t="inlineStr">
        <is>
          <t>Dharmowijoyo, DBE; Susilo, YO; Joewono, TB</t>
        </is>
      </c>
      <c r="F1071" t="inlineStr">
        <is>
          <t>Dharmowijoyo, Dimas Bayu Endrayana; Susilo, Yusak Octavius; Joewono, Tri Basuki</t>
        </is>
      </c>
      <c r="J1071" t="inlineStr">
        <is>
          <t>SUSTAINABILITY</t>
        </is>
      </c>
      <c r="M1071" t="inlineStr">
        <is>
          <t>English</t>
        </is>
      </c>
      <c r="N1071" t="inlineStr">
        <is>
          <t>Article</t>
        </is>
      </c>
      <c r="T1071" t="inlineStr">
        <is>
          <t>Residential Locations and Health Effects on Multitasking Behaviours and Day Experiences</t>
        </is>
      </c>
      <c r="U1071" t="inlineStr">
        <is>
          <t>built environment; health; activity duration; multitasking behaviour; day experience</t>
        </is>
      </c>
      <c r="V1071" t="inlineStr">
        <is>
          <t>OF-HOME ACTIVITIES; BUILT ENVIRONMENT; TRAVEL BEHAVIOR; URBAN FORM; TIME-USE; SATISFACTION; LIFE; DETERMINANTS; VARIABILITY; TRANSPORT</t>
        </is>
      </c>
      <c r="W1071" t="inlineStr">
        <is>
          <t>There has been a substantial amount of research on travel-based multitasking and its effect on travel and life satisfaction. Previous studies, however, have not considered the effect of built environment, health, and daily activity duration on such analyses. There is also a lack of knowledge about the effect of such multitasking on individuals' daily experience and how built environment, health, and activity duration correlate with one's daily satisfaction and cognitive well-being. The inclusion of time-space prism elements provides deeper insights into reasons and trade-off behaviours of individuals engaging in multitasking, through explaining interdependencies between trips and multitasking behaviours and their impacts on their activity engagement satisfaction and well-being appreciation. Using a three-week time-use diary from Indonesia, this study found that the influences of built environment and physical health on multitasking activities are relatively stronger than activity duration and trip parameters. The results also demonstrated positive correlations between polycentric city designs and people's day experiences. Whilst evidence from developed countries has shown that the effect of gender on multitasking is significant, this study found that the gender effects on multitasking activities participation were weaker than built environment and physical health factors.</t>
        </is>
      </c>
      <c r="X1071" t="inlineStr">
        <is>
          <t>[Dharmowijoyo, Dimas Bayu Endrayana] Univ Teknol PETRONAS, Dept Civil &amp; Environm Engn, Seri Iskandar 32610, Perak Darul Rid, Malaysia; [Dharmowijoyo, Dimas Bayu Endrayana] Univ Teknol Petronas, Inst Transport &amp; Infrastruct, Seri Iskandar 32610, Perak Darul Rid, Malaysia; [Dharmowijoyo, Dimas Bayu Endrayana] Bandung Inst Technol, Sch Architecture Planning &amp; Policy Dev, Bandung 40132, Indonesia; [Susilo, Yusak Octavius] Univ Nat Resources &amp; Life Sci, Dept Landscape Spatial &amp; Infrastruct Sci, Inst Transport Studies, Peter Jordan Str 82, A-1190 Vienna, Austria; [Joewono, Tri Basuki] Parahyangan Catholic Univ, Dept Civil Engn, Jalan Ciumbuleuit 94, Bandung 40117, Indonesia</t>
        </is>
      </c>
      <c r="Y1071" t="inlineStr">
        <is>
          <t>Universiti Teknologi Petronas; Universiti Teknologi Petronas; Institute Technology of Bandung; University of Natural Resources &amp; Life Sciences, Vienna; Universitas Katolik Parahyangan</t>
        </is>
      </c>
      <c r="Z1071" t="inlineStr">
        <is>
          <t>Dharmowijoyo, DBE (corresponding author), Univ Teknol PETRONAS, Dept Civil &amp; Environm Engn, Seri Iskandar 32610, Perak Darul Rid, Malaysia.;Dharmowijoyo, DBE (corresponding author), Univ Teknol Petronas, Inst Transport &amp; Infrastruct, Seri Iskandar 32610, Perak Darul Rid, Malaysia.;Dharmowijoyo, DBE (corresponding author), Bandung Inst Technol, Sch Architecture Planning &amp; Policy Dev, Bandung 40132, Indonesia.</t>
        </is>
      </c>
      <c r="AA1071" t="inlineStr">
        <is>
          <t>dimas.bayu@utp.edu.my; yusak.susilo@boku.ac.at; vftribas@unpar.ac.id</t>
        </is>
      </c>
      <c r="AB1071" t="inlineStr">
        <is>
          <t>Susilo, Yusak O/M-3707-2013; Joewono, Tri Basuki/ACI-0932-2022</t>
        </is>
      </c>
      <c r="AC1071" t="inlineStr">
        <is>
          <t>Susilo, Yusak O/0000-0001-7124-7164; Joewono, Tri Basuki/0000-0001-9011-0147</t>
        </is>
      </c>
      <c r="AD1071" t="inlineStr">
        <is>
          <t>Ministry of Research, Technology, and Higher Education, the Republic of Indonesia [013/SP2H/RDPKR-JAMAK/LL4/2021, III/LPPM/2021-07/127-PE]; UTP-Universitas Katolik Parahyangan International Research project [0153AB-M39]; Austrian FFG/BMK Endowed Professor DAVeMoS project</t>
        </is>
      </c>
      <c r="AE1071" t="inlineStr">
        <is>
          <t>Ministry of Research, Technology, and Higher Education, the Republic of Indonesia(Ministry of Research and Technology of the Republic of Indonesia (RISTEK)); UTP-Universitas Katolik Parahyangan International Research project; Austrian FFG/BMK Endowed Professor DAVeMoS project</t>
        </is>
      </c>
      <c r="AF1071" t="inlineStr">
        <is>
          <t>This study was funded by The Ministry of Research, Technology, and Higher Education, the Republic of Indonesia for the year 20172019 WCR Scheme 013/SP2H/RDPKR-JAMAK/LL4/2021 and III/LPPM/2021-07/127-PE), UTP-Universitas Katolik Parahyangan International Research project of 0153AB-M39, and the Austrian FFG/BMK Endowed Professor DAVeMoS project.</t>
        </is>
      </c>
      <c r="AH1071" t="n">
        <v>72</v>
      </c>
      <c r="AI1071" t="n">
        <v>2</v>
      </c>
      <c r="AJ1071" t="n">
        <v>2</v>
      </c>
      <c r="AK1071" t="n">
        <v>2</v>
      </c>
      <c r="AL1071" t="n">
        <v>8</v>
      </c>
      <c r="AM1071" t="inlineStr">
        <is>
          <t>MDPI</t>
        </is>
      </c>
      <c r="AN1071" t="inlineStr">
        <is>
          <t>BASEL</t>
        </is>
      </c>
      <c r="AO1071" t="inlineStr">
        <is>
          <t>ST ALBAN-ANLAGE 66, CH-4052 BASEL, SWITZERLAND</t>
        </is>
      </c>
      <c r="AQ1071" t="inlineStr">
        <is>
          <t>2071-1050</t>
        </is>
      </c>
      <c r="AS1071" t="inlineStr">
        <is>
          <t>SUSTAINABILITY-BASEL</t>
        </is>
      </c>
      <c r="AT1071" t="inlineStr">
        <is>
          <t>Sustainability</t>
        </is>
      </c>
      <c r="AU1071" t="inlineStr">
        <is>
          <t>OCT</t>
        </is>
      </c>
      <c r="AV1071" t="n">
        <v>2021</v>
      </c>
      <c r="AW1071" t="n">
        <v>13</v>
      </c>
      <c r="AX1071" t="n">
        <v>20</v>
      </c>
      <c r="BE1071" t="n">
        <v>11347</v>
      </c>
      <c r="BF1071" t="inlineStr">
        <is>
          <t>10.3390/su132011347</t>
        </is>
      </c>
      <c r="BG1071">
        <f>HYPERLINK("http://dx.doi.org/10.3390/su132011347","http://dx.doi.org/10.3390/su132011347")</f>
        <v/>
      </c>
      <c r="BJ1071" t="n">
        <v>21</v>
      </c>
      <c r="BK1071" t="inlineStr">
        <is>
          <t>Green &amp; Sustainable Science &amp; Technology; Environmental Sciences; Environmental Studies</t>
        </is>
      </c>
      <c r="BL1071" t="inlineStr">
        <is>
          <t>Science Citation Index Expanded (SCI-EXPANDED); Social Science Citation Index (SSCI)</t>
        </is>
      </c>
      <c r="BM1071" t="inlineStr">
        <is>
          <t>Science &amp; Technology - Other Topics; Environmental Sciences &amp; Ecology</t>
        </is>
      </c>
      <c r="BN1071" t="inlineStr">
        <is>
          <t>WV0VI</t>
        </is>
      </c>
      <c r="BP1071" t="inlineStr">
        <is>
          <t>gold</t>
        </is>
      </c>
      <c r="BS1071" t="inlineStr">
        <is>
          <t>2023-10-26</t>
        </is>
      </c>
      <c r="BT1071" t="inlineStr">
        <is>
          <t>WOS:000716955500001</t>
        </is>
      </c>
      <c r="BU1071">
        <f>HYPERLINK("https%3A%2F%2Fwww.webofscience.com%2Fwos%2Fwoscc%2Ffull-record%2FWOS:000716955500001","View Full Record in Web of Science")</f>
        <v/>
      </c>
    </row>
    <row r="1072">
      <c r="A1072" t="inlineStr">
        <is>
          <t>J</t>
        </is>
      </c>
      <c r="B1072" t="inlineStr">
        <is>
          <t>Pollock, NJ</t>
        </is>
      </c>
      <c r="F1072" t="inlineStr">
        <is>
          <t>Pollock, Nathaniel J.</t>
        </is>
      </c>
      <c r="J1072" t="inlineStr">
        <is>
          <t>INTERNATIONAL JOURNAL OF ENVIRONMENTAL RESEARCH AND PUBLIC HEALTH</t>
        </is>
      </c>
      <c r="M1072" t="inlineStr">
        <is>
          <t>English</t>
        </is>
      </c>
      <c r="N1072" t="inlineStr">
        <is>
          <t>Article</t>
        </is>
      </c>
      <c r="T1072" t="inlineStr">
        <is>
          <t>Place, the Built Environment, and Means Restriction in Suicide Prevention</t>
        </is>
      </c>
      <c r="U1072" t="inlineStr">
        <is>
          <t>suicide; means restriction; built environment; place; surveillance; epidemiology</t>
        </is>
      </c>
      <c r="V1072" t="inlineStr">
        <is>
          <t>RATES</t>
        </is>
      </c>
      <c r="W1072" t="inlineStr">
        <is>
          <t>Restricting access to lethal means is a key public health intervention for preventing suicide. Means restriction research has often focused on suicide methods that are modifiable through legislation or policy interventions. However, some of the most common methods such as hanging may not be sensitive to regulation. The aims of this paper are to examine built environment and place-based approaches to means restriction in suicide prevention, and further consider the connections between place, the environment, and suicide methods. To increase knowledge about specific methods and mechanisms of injury in suicide deaths, higher resolution data for surveillance and epidemiology is required. Data that can be used to better discern patterns about specific locations and materials used in suicide and self-harm will support efforts to uncover new directions for prevention.</t>
        </is>
      </c>
      <c r="X1072" t="inlineStr">
        <is>
          <t>[Pollock, Nathaniel J.] Univ Alberta, Sch Publ Hlth, Edmonton, AB T6G 2R3, Canada; [Pollock, Nathaniel J.] Mem Univ, Fac Med, Div Community Hlth &amp; Humanities, St John, NF A1C 5S7, Canada</t>
        </is>
      </c>
      <c r="Y1072" t="inlineStr">
        <is>
          <t>University of Alberta; Memorial University Newfoundland</t>
        </is>
      </c>
      <c r="Z1072" t="inlineStr">
        <is>
          <t>Pollock, NJ (corresponding author), Univ Alberta, Sch Publ Hlth, Edmonton, AB T6G 2R3, Canada.;Pollock, NJ (corresponding author), Mem Univ, Fac Med, Div Community Hlth &amp; Humanities, St John, NF A1C 5S7, Canada.</t>
        </is>
      </c>
      <c r="AA1072" t="inlineStr">
        <is>
          <t>nathaniel.pollock@med.mun.ca</t>
        </is>
      </c>
      <c r="AC1072" t="inlineStr">
        <is>
          <t>Pollock, Nathaniel/0000-0001-5699-7661</t>
        </is>
      </c>
      <c r="AD1072" t="inlineStr">
        <is>
          <t>Newfoundland and Labrador Support for People and Patient-Oriented Research and Trials (NL SUPPORT) program at Memorial University</t>
        </is>
      </c>
      <c r="AE1072" t="inlineStr">
        <is>
          <t>Newfoundland and Labrador Support for People and Patient-Oriented Research and Trials (NL SUPPORT) program at Memorial University</t>
        </is>
      </c>
      <c r="AF1072" t="inlineStr">
        <is>
          <t>The APC was funded by the Newfoundland and Labrador Support for People and Patient-Oriented Research and Trials (NL SUPPORT) program at Memorial University.</t>
        </is>
      </c>
      <c r="AH1072" t="n">
        <v>26</v>
      </c>
      <c r="AI1072" t="n">
        <v>7</v>
      </c>
      <c r="AJ1072" t="n">
        <v>7</v>
      </c>
      <c r="AK1072" t="n">
        <v>0</v>
      </c>
      <c r="AL1072" t="n">
        <v>3</v>
      </c>
      <c r="AM1072" t="inlineStr">
        <is>
          <t>MDPI</t>
        </is>
      </c>
      <c r="AN1072" t="inlineStr">
        <is>
          <t>BASEL</t>
        </is>
      </c>
      <c r="AO1072" t="inlineStr">
        <is>
          <t>ST ALBAN-ANLAGE 66, CH-4052 BASEL, SWITZERLAND</t>
        </is>
      </c>
      <c r="AP1072" t="inlineStr">
        <is>
          <t>1661-7827</t>
        </is>
      </c>
      <c r="AQ1072" t="inlineStr">
        <is>
          <t>1660-4601</t>
        </is>
      </c>
      <c r="AS1072" t="inlineStr">
        <is>
          <t>INT J ENV RES PUB HE</t>
        </is>
      </c>
      <c r="AT1072" t="inlineStr">
        <is>
          <t>Int. J. Environ. Res. Public Health</t>
        </is>
      </c>
      <c r="AU1072" t="inlineStr">
        <is>
          <t>NOV</t>
        </is>
      </c>
      <c r="AV1072" t="n">
        <v>2019</v>
      </c>
      <c r="AW1072" t="n">
        <v>16</v>
      </c>
      <c r="AX1072" t="n">
        <v>22</v>
      </c>
      <c r="BE1072" t="n">
        <v>4389</v>
      </c>
      <c r="BF1072" t="inlineStr">
        <is>
          <t>10.3390/ijerph16224389</t>
        </is>
      </c>
      <c r="BG1072">
        <f>HYPERLINK("http://dx.doi.org/10.3390/ijerph16224389","http://dx.doi.org/10.3390/ijerph16224389")</f>
        <v/>
      </c>
      <c r="BJ1072" t="n">
        <v>5</v>
      </c>
      <c r="BK1072" t="inlineStr">
        <is>
          <t>Environmental Sciences; Public, Environmental &amp; Occupational Health</t>
        </is>
      </c>
      <c r="BL1072" t="inlineStr">
        <is>
          <t>Science Citation Index Expanded (SCI-EXPANDED); Social Science Citation Index (SSCI)</t>
        </is>
      </c>
      <c r="BM1072" t="inlineStr">
        <is>
          <t>Environmental Sciences &amp; Ecology; Public, Environmental &amp; Occupational Health</t>
        </is>
      </c>
      <c r="BN1072" t="inlineStr">
        <is>
          <t>JV0KZ</t>
        </is>
      </c>
      <c r="BO1072" t="n">
        <v>31717635</v>
      </c>
      <c r="BP1072" t="inlineStr">
        <is>
          <t>gold, Green Published</t>
        </is>
      </c>
      <c r="BS1072" t="inlineStr">
        <is>
          <t>2023-10-26</t>
        </is>
      </c>
      <c r="BT1072" t="inlineStr">
        <is>
          <t>WOS:000502057400086</t>
        </is>
      </c>
      <c r="BU1072">
        <f>HYPERLINK("https%3A%2F%2Fwww.webofscience.com%2Fwos%2Fwoscc%2Ffull-record%2FWOS:000502057400086","View Full Record in Web of Science")</f>
        <v/>
      </c>
    </row>
    <row r="1073">
      <c r="A1073" t="inlineStr">
        <is>
          <t>J</t>
        </is>
      </c>
      <c r="B1073" t="inlineStr">
        <is>
          <t>Yan, D; Xu, MH; Chai, BB; Chen, ZW; Bai, CX</t>
        </is>
      </c>
      <c r="F1073" t="inlineStr">
        <is>
          <t>Yan, Dan; Xu, Minghui; Chai, Binbin; Chen, Zhiwen; Bai, Congxia</t>
        </is>
      </c>
      <c r="J1073" t="inlineStr">
        <is>
          <t>SUSTAINABILITY</t>
        </is>
      </c>
      <c r="M1073" t="inlineStr">
        <is>
          <t>English</t>
        </is>
      </c>
      <c r="N1073" t="inlineStr">
        <is>
          <t>Article</t>
        </is>
      </c>
      <c r="T1073" t="inlineStr">
        <is>
          <t>Interior/Exterior Form and Property Research on Wu-Style Residential Houses from the Perspective of Sustainable Development</t>
        </is>
      </c>
      <c r="U1073" t="inlineStr">
        <is>
          <t>interior; exterior; form; properties; regionality; Wu-style architecture</t>
        </is>
      </c>
      <c r="W1073" t="inlineStr">
        <is>
          <t>Research on regional residential buildings is an important means of exploring the natural climatic adaptability of buildings and the sustainable development of culture. It is also an important path of sustainable social development. However, current research methods for architectural space find it difficult to clarify the internal and external relations of space, and the function of architectural space to adapt to the regional climate and cultural heritage is difficult to quantitatively analyze and measure. This study constructs a new research method of architectural interiors/exteriors, takes the traditional residential buildings in Wu-style architecture in the Jinhua area as a case study, summarizes the types and characteristics of the interiors/exteriors of Wu-style architecture, and reveals the spatial construction rules of the internal and external types realizing environmental sustainability and traditional residences. The results show that: (1) the architecture of the Wu style has five typical types of interior/exterior, and the regional representation of its interior/exterior is affected by both the human and the natural environment; (2) influenced by traditional Confucian culture, the architecture of the Wu style shows a central axial secondary buckling type and an enclosed type of interior/exterior form, which has the value of the times to coordinate the relationship between people in today's society; (3) in terms of ventilation, daylighting, and heat dissipation, Wu-style buildings flexibly use the slender gray space form and wide cornice for the internal and external space transition, which effectively improves the ecological efficiency of the buildings' ventilation, lighting, heat dissipation, etc., and has important reference value for the development and utilization of traditional buildings and the architectural design of new dwellings. At present, this new research method for the internal and external spaces of buildings still has considerable potential and needs to be deepened and improved through further research.</t>
        </is>
      </c>
      <c r="X1073" t="inlineStr">
        <is>
          <t>[Yan, Dan; Xu, Minghui; Chai, Binbin; Chen, Zhiwen; Bai, Congxia] Zhejiang Normal Univ, Coll Geog &amp; Environm Sci, Jinhua 321004, Zhejiang, Peoples R China</t>
        </is>
      </c>
      <c r="Y1073" t="inlineStr">
        <is>
          <t>Zhejiang Normal University</t>
        </is>
      </c>
      <c r="Z1073" t="inlineStr">
        <is>
          <t>Chen, ZW (corresponding author), Zhejiang Normal Univ, Coll Geog &amp; Environm Sci, Jinhua 321004, Zhejiang, Peoples R China.</t>
        </is>
      </c>
      <c r="AA1073" t="inlineStr">
        <is>
          <t>yandan@zjnu.cn; xuminghui199812@163.com; cbb011007@163.com; zjjhczw@zjnu.edu.cn; baixue7189@163.com</t>
        </is>
      </c>
      <c r="AD1073" t="inlineStr">
        <is>
          <t>Natural Science Foundation of Zhejiang Province [LQ20E080008]; National philosophy and Social Science Foundation of China [18BSH089]</t>
        </is>
      </c>
      <c r="AE1073" t="inlineStr">
        <is>
          <t>Natural Science Foundation of Zhejiang Province(Natural Science Foundation of Zhejiang Province); National philosophy and Social Science Foundation of China</t>
        </is>
      </c>
      <c r="AF1073" t="inlineStr">
        <is>
          <t>The research is supported by the Natural Science Foundation of Zhejiang Province (LQ20E080008) and National philosophy and Social Science Foundation of China (18BSH089).</t>
        </is>
      </c>
      <c r="AH1073" t="n">
        <v>63</v>
      </c>
      <c r="AI1073" t="n">
        <v>0</v>
      </c>
      <c r="AJ1073" t="n">
        <v>0</v>
      </c>
      <c r="AK1073" t="n">
        <v>20</v>
      </c>
      <c r="AL1073" t="n">
        <v>29</v>
      </c>
      <c r="AM1073" t="inlineStr">
        <is>
          <t>MDPI</t>
        </is>
      </c>
      <c r="AN1073" t="inlineStr">
        <is>
          <t>BASEL</t>
        </is>
      </c>
      <c r="AO1073" t="inlineStr">
        <is>
          <t>ST ALBAN-ANLAGE 66, CH-4052 BASEL, SWITZERLAND</t>
        </is>
      </c>
      <c r="AQ1073" t="inlineStr">
        <is>
          <t>2071-1050</t>
        </is>
      </c>
      <c r="AS1073" t="inlineStr">
        <is>
          <t>SUSTAINABILITY-BASEL</t>
        </is>
      </c>
      <c r="AT1073" t="inlineStr">
        <is>
          <t>Sustainability</t>
        </is>
      </c>
      <c r="AU1073" t="inlineStr">
        <is>
          <t>MAY</t>
        </is>
      </c>
      <c r="AV1073" t="n">
        <v>2022</v>
      </c>
      <c r="AW1073" t="n">
        <v>14</v>
      </c>
      <c r="AX1073" t="n">
        <v>9</v>
      </c>
      <c r="BE1073" t="n">
        <v>5140</v>
      </c>
      <c r="BF1073" t="inlineStr">
        <is>
          <t>10.3390/su14095140</t>
        </is>
      </c>
      <c r="BG1073">
        <f>HYPERLINK("http://dx.doi.org/10.3390/su14095140","http://dx.doi.org/10.3390/su14095140")</f>
        <v/>
      </c>
      <c r="BJ1073" t="n">
        <v>23</v>
      </c>
      <c r="BK1073" t="inlineStr">
        <is>
          <t>Green &amp; Sustainable Science &amp; Technology; Environmental Sciences; Environmental Studies</t>
        </is>
      </c>
      <c r="BL1073" t="inlineStr">
        <is>
          <t>Science Citation Index Expanded (SCI-EXPANDED); Social Science Citation Index (SSCI)</t>
        </is>
      </c>
      <c r="BM1073" t="inlineStr">
        <is>
          <t>Science &amp; Technology - Other Topics; Environmental Sciences &amp; Ecology</t>
        </is>
      </c>
      <c r="BN1073" t="inlineStr">
        <is>
          <t>1F8JQ</t>
        </is>
      </c>
      <c r="BP1073" t="inlineStr">
        <is>
          <t>gold</t>
        </is>
      </c>
      <c r="BS1073" t="inlineStr">
        <is>
          <t>2023-10-26</t>
        </is>
      </c>
      <c r="BT1073" t="inlineStr">
        <is>
          <t>WOS:000795408700001</t>
        </is>
      </c>
      <c r="BU1073">
        <f>HYPERLINK("https%3A%2F%2Fwww.webofscience.com%2Fwos%2Fwoscc%2Ffull-record%2FWOS:000795408700001","View Full Record in Web of Science")</f>
        <v/>
      </c>
    </row>
    <row r="1074">
      <c r="A1074" t="inlineStr">
        <is>
          <t>J</t>
        </is>
      </c>
      <c r="B1074" t="inlineStr">
        <is>
          <t>Frumkin, H</t>
        </is>
      </c>
      <c r="F1074" t="inlineStr">
        <is>
          <t>Frumkin, Howard</t>
        </is>
      </c>
      <c r="J1074" t="inlineStr">
        <is>
          <t>ENVIRONMENTAL HEALTH PERSPECTIVES</t>
        </is>
      </c>
      <c r="M1074" t="inlineStr">
        <is>
          <t>English</t>
        </is>
      </c>
      <c r="N1074" t="inlineStr">
        <is>
          <t>Article</t>
        </is>
      </c>
      <c r="T1074" t="inlineStr">
        <is>
          <t>COVID-19, the Built Environment, and Health</t>
        </is>
      </c>
      <c r="V1074" t="inlineStr">
        <is>
          <t>GREEN EQUITY; DISPARITIES; SARS-COV-2</t>
        </is>
      </c>
      <c r="W1074" t="inlineStr">
        <is>
          <t>BACKGROUND: Since the dawn of cities, the built environment has both affected infectious disease transmission and evolved in response to infectious diseases. COVID-19 illustrates both dynamics. The pandemic presented an opportunity to implement health promotion and disease prevention strategies in numerous elements of the built environment. OBJECTIVES: This commentary aims to identify features of the built environment that affect the risk of COVID-19 as well as to identify elements of the pandemic response with implications for the built environment (and, therefore, for long-term public health). DISCUSSION: Built environment risk factors for COVID-19 transmission include crowding, poverty, and racism (as they manifest in housing and neighborhood features), poor indoor air circulation, and ambient air pollution. Potential long-term implications of COVID-19 for the built environment include changes in building design, increased teleworking, reconfigured streets, changing modes of travel, provision of parks and greenspace, and population shifts out of urban centers. Although it is too early to predict with confidence which of these responses may persist, identifying and monitoring them can help health professionals, architects, urban planners, and decision makers, as well as members of the public, optimize healthy built environments during and after recovery from the pandemic.</t>
        </is>
      </c>
      <c r="X1074" t="inlineStr">
        <is>
          <t>[Frumkin, Howard] Univ Washington, Sch Publ Hlth, Dept Environm &amp; Occupational Hlth Sci, Seattle, WA 98195 USA</t>
        </is>
      </c>
      <c r="Y1074" t="inlineStr">
        <is>
          <t>University of Washington; University of Washington Seattle</t>
        </is>
      </c>
      <c r="Z1074" t="inlineStr">
        <is>
          <t>Frumkin, H (corresponding author), Univ Washington, Box 351618, Seattle, WA 98195 USA.</t>
        </is>
      </c>
      <c r="AA1074" t="inlineStr">
        <is>
          <t>frumkin@uw.edu</t>
        </is>
      </c>
      <c r="AB1074" t="inlineStr">
        <is>
          <t>Frumkin, Howard/G-5640-2016</t>
        </is>
      </c>
      <c r="AC1074" t="inlineStr">
        <is>
          <t>Frumkin, Howard/0000-0001-7079-3534</t>
        </is>
      </c>
      <c r="AH1074" t="n">
        <v>215</v>
      </c>
      <c r="AI1074" t="n">
        <v>45</v>
      </c>
      <c r="AJ1074" t="n">
        <v>45</v>
      </c>
      <c r="AK1074" t="n">
        <v>9</v>
      </c>
      <c r="AL1074" t="n">
        <v>79</v>
      </c>
      <c r="AM1074" t="inlineStr">
        <is>
          <t>US DEPT HEALTH HUMAN SCIENCES PUBLIC HEALTH SCIENCE</t>
        </is>
      </c>
      <c r="AN1074" t="inlineStr">
        <is>
          <t>RES TRIANGLE PK</t>
        </is>
      </c>
      <c r="AO1074" t="inlineStr">
        <is>
          <t>NATL INST HEALTH, NATL INST ENVIRONMENTAL HEALTH SCIENCES, PO BOX 12233, RES TRIANGLE PK, NC 27709-2233 USA</t>
        </is>
      </c>
      <c r="AP1074" t="inlineStr">
        <is>
          <t>0091-6765</t>
        </is>
      </c>
      <c r="AQ1074" t="inlineStr">
        <is>
          <t>1552-9924</t>
        </is>
      </c>
      <c r="AS1074" t="inlineStr">
        <is>
          <t>ENVIRON HEALTH PERSP</t>
        </is>
      </c>
      <c r="AT1074" t="inlineStr">
        <is>
          <t>Environ. Health Perspect.</t>
        </is>
      </c>
      <c r="AU1074" t="inlineStr">
        <is>
          <t>JUL</t>
        </is>
      </c>
      <c r="AV1074" t="n">
        <v>2021</v>
      </c>
      <c r="AW1074" t="n">
        <v>129</v>
      </c>
      <c r="AX1074" t="n">
        <v>7</v>
      </c>
      <c r="BE1074" t="n">
        <v>75001</v>
      </c>
      <c r="BF1074" t="inlineStr">
        <is>
          <t>10.1289/EHP8888</t>
        </is>
      </c>
      <c r="BG1074">
        <f>HYPERLINK("http://dx.doi.org/10.1289/EHP8888","http://dx.doi.org/10.1289/EHP8888")</f>
        <v/>
      </c>
      <c r="BJ1074" t="n">
        <v>14</v>
      </c>
      <c r="BK1074" t="inlineStr">
        <is>
          <t>Environmental Sciences; Public, Environmental &amp; Occupational Health; Toxicology</t>
        </is>
      </c>
      <c r="BL1074" t="inlineStr">
        <is>
          <t>Science Citation Index Expanded (SCI-EXPANDED); Social Science Citation Index (SSCI)</t>
        </is>
      </c>
      <c r="BM1074" t="inlineStr">
        <is>
          <t>Environmental Sciences &amp; Ecology; Public, Environmental &amp; Occupational Health; Toxicology</t>
        </is>
      </c>
      <c r="BN1074" t="inlineStr">
        <is>
          <t>TZ2FH</t>
        </is>
      </c>
      <c r="BO1074" t="n">
        <v>34288733</v>
      </c>
      <c r="BP1074" t="inlineStr">
        <is>
          <t>gold, Green Published</t>
        </is>
      </c>
      <c r="BS1074" t="inlineStr">
        <is>
          <t>2023-10-26</t>
        </is>
      </c>
      <c r="BT1074" t="inlineStr">
        <is>
          <t>WOS:000684290500004</t>
        </is>
      </c>
      <c r="BU1074">
        <f>HYPERLINK("https%3A%2F%2Fwww.webofscience.com%2Fwos%2Fwoscc%2Ffull-record%2FWOS:000684290500004","View Full Record in Web of Science")</f>
        <v/>
      </c>
    </row>
    <row r="1075">
      <c r="A1075" t="inlineStr">
        <is>
          <t>J</t>
        </is>
      </c>
      <c r="B1075" t="inlineStr">
        <is>
          <t>Yaylagul, NK; Kirisik, H; Bernardo, J; Dantas, C; van Staalduinen, W; Illario, M; De Luca, V; Apóstolo, J; Silva, R</t>
        </is>
      </c>
      <c r="F1075" t="inlineStr">
        <is>
          <t>Yaylagul, Nilufer Korkmaz; Kirisik, Hande; Bernardo, Joana; Dantas, Carina; van Staalduinen, Willeke; Illario, Maddalena; De Luca, Vincenzo; Apostolo, Joao; Silva, Rosa</t>
        </is>
      </c>
      <c r="J1075" t="inlineStr">
        <is>
          <t>INTERNATIONAL JOURNAL OF ENVIRONMENTAL RESEARCH AND PUBLIC HEALTH</t>
        </is>
      </c>
      <c r="M1075" t="inlineStr">
        <is>
          <t>English</t>
        </is>
      </c>
      <c r="N1075" t="inlineStr">
        <is>
          <t>Review</t>
        </is>
      </c>
      <c r="T1075" t="inlineStr">
        <is>
          <t>Trends in Telecare Use among Community-Dwelling Older Adults: A Scoping Review</t>
        </is>
      </c>
      <c r="U1075" t="inlineStr">
        <is>
          <t>telecare; telehealth; telemedicine; older adults; home</t>
        </is>
      </c>
      <c r="V1075" t="inlineStr">
        <is>
          <t>HOME TELEHEALTH; PEOPLE; CARE; INTERVENTION; TECHNOLOGY; EXPERIENCES; FAILURE; SUPPORT; SYSTEM; IMPACT</t>
        </is>
      </c>
      <c r="W1075" t="inlineStr">
        <is>
          <t>A scoping review was conducted to map and analyze the concept of telecare services and the trends in telecare use. This scoping review was conducted according to Arksey and O'Malley's framework. A search was conducted in CINAHL (via EBSCO), ERIC, Academic Search Ultimate, and MEDLINE/PubMed databases. This scoping review considered quantitative (e.g., analytical observational studies, including prospective and retrospective cohort studies, case-control, analytical cross-sectional, and descriptive-observational studies), qualitative (e.g., phenomenology, grounded theory, ethnography, and action research), and mixed-method primary studies. Forty research articles published from 1 January 2012, to 1 January 2022 were included in this review, these studies met the eligibility criteria as all were focused on telecare and targeting older adults over 65 living at home. The reviewers coded the data in an Excel spreadsheet, including the articles' title, year, author, journal information and subject, research methods, sample size, location, and summary. Then, the researchers analyzed the conceptual definitions, measurement techniques, and findings in detail and the findings were grouped into categories. The trends around the concept of telecare are independent living, remote care, aging in place, and safety. Telecare research focuses mainly on service use, chronic illness, ethics, and cost-effectiveness. Technology acceptance among older individuals is a critical factor for telecare use. The results found in the literature about the cost-effectiveness of telecare are inconsistent.</t>
        </is>
      </c>
      <c r="X1075" t="inlineStr">
        <is>
          <t>[Yaylagul, Nilufer Korkmaz] Univ Akdeniz, Fac Hlth Sci, Dept Gerontol, TR-07070 Antalya, Turkey; [Kirisik, Hande] Univ Ankara, Vocat Sch Haymana, Elderly Care Program, TR-06860 Ankara, Turkey; [Bernardo, Joana; Apostolo, Joao; Silva, Rosa] Nursing Sch Coimbra ESEnfC, Hlth Sci Res Unit Nursing UICISA E, P-3000076 Coimbra, Portugal; [Dantas, Carina] SHINE 2Europe, P-3030163 Coimbra, Portugal; [van Staalduinen, Willeke] AFEdemy Acad Age Friendly Environm Europe, NL-2806 ED Gouda, Netherlands; [Illario, Maddalena; De Luca, Vincenzo] Univ Napoli Federico II, Dipartimento Sanita Pubbl, I-80131 Naples, Italy; [Apostolo, Joao; Silva, Rosa] Portugal Ctr Evidence Based Practice JBI Ctr Exce, P-3000232 Coimbra, Portugal</t>
        </is>
      </c>
      <c r="Y1075" t="inlineStr">
        <is>
          <t>Akdeniz University; Ankara University; Nursing School of Coimbra; University of Naples Federico II</t>
        </is>
      </c>
      <c r="Z1075" t="inlineStr">
        <is>
          <t>Kirisik, H (corresponding author), Univ Ankara, Vocat Sch Haymana, Elderly Care Program, TR-06860 Ankara, Turkey.</t>
        </is>
      </c>
      <c r="AA1075" t="inlineStr">
        <is>
          <t>handekirisik@hotmail.com</t>
        </is>
      </c>
      <c r="AB1075" t="inlineStr">
        <is>
          <t>Korkmaz Yaylagul, Nilufer/C-7494-2016</t>
        </is>
      </c>
      <c r="AC1075" t="inlineStr">
        <is>
          <t>Korkmaz Yaylagul, Nilufer/0000-0001-9918-7968; Kirisik, Hande/0000-0002-2395-7855; Dantas, Carina/0000-0002-9887-7622; Silva, Rosa/0000-0002-3947-7098; van Staalduinen, Willeke/0000-0002-3868-7683; Illario, Maddalena/0000-0001-9834-6517; Bernardo, Joana/0000-0003-3614-9061; De Luca, Vincenzo/0000-0002-6115-931X</t>
        </is>
      </c>
      <c r="AD1075" t="inlineStr">
        <is>
          <t>COST Action [19136]</t>
        </is>
      </c>
      <c r="AE1075" t="inlineStr">
        <is>
          <t>COST Action(European Cooperation in Science and Technology (COST))</t>
        </is>
      </c>
      <c r="AF1075" t="inlineStr">
        <is>
          <t>This article is based upon work from COST Action 19136 International Interdisciplinary Network on Smart Healthy Age-Friendly Environments, supported by COST (European Cooperation in Science and Technology),</t>
        </is>
      </c>
      <c r="AH1075" t="n">
        <v>63</v>
      </c>
      <c r="AI1075" t="n">
        <v>2</v>
      </c>
      <c r="AJ1075" t="n">
        <v>2</v>
      </c>
      <c r="AK1075" t="n">
        <v>2</v>
      </c>
      <c r="AL1075" t="n">
        <v>5</v>
      </c>
      <c r="AM1075" t="inlineStr">
        <is>
          <t>MDPI</t>
        </is>
      </c>
      <c r="AN1075" t="inlineStr">
        <is>
          <t>BASEL</t>
        </is>
      </c>
      <c r="AO1075" t="inlineStr">
        <is>
          <t>ST ALBAN-ANLAGE 66, CH-4052 BASEL, SWITZERLAND</t>
        </is>
      </c>
      <c r="AQ1075" t="inlineStr">
        <is>
          <t>1660-4601</t>
        </is>
      </c>
      <c r="AS1075" t="inlineStr">
        <is>
          <t>INT J ENV RES PUB HE</t>
        </is>
      </c>
      <c r="AT1075" t="inlineStr">
        <is>
          <t>Int. J. Environ. Res. Public Health</t>
        </is>
      </c>
      <c r="AU1075" t="inlineStr">
        <is>
          <t>DEC</t>
        </is>
      </c>
      <c r="AV1075" t="n">
        <v>2022</v>
      </c>
      <c r="AW1075" t="n">
        <v>19</v>
      </c>
      <c r="AX1075" t="n">
        <v>24</v>
      </c>
      <c r="BE1075" t="n">
        <v>16672</v>
      </c>
      <c r="BF1075" t="inlineStr">
        <is>
          <t>10.3390/ijerph192416672</t>
        </is>
      </c>
      <c r="BG1075">
        <f>HYPERLINK("http://dx.doi.org/10.3390/ijerph192416672","http://dx.doi.org/10.3390/ijerph192416672")</f>
        <v/>
      </c>
      <c r="BJ1075" t="n">
        <v>20</v>
      </c>
      <c r="BK1075" t="inlineStr">
        <is>
          <t>Environmental Sciences; Public, Environmental &amp; Occupational Health</t>
        </is>
      </c>
      <c r="BL1075" t="inlineStr">
        <is>
          <t>Science Citation Index Expanded (SCI-EXPANDED); Social Science Citation Index (SSCI)</t>
        </is>
      </c>
      <c r="BM1075" t="inlineStr">
        <is>
          <t>Environmental Sciences &amp; Ecology; Public, Environmental &amp; Occupational Health</t>
        </is>
      </c>
      <c r="BN1075" t="inlineStr">
        <is>
          <t>7G3PG</t>
        </is>
      </c>
      <c r="BO1075" t="n">
        <v>36554553</v>
      </c>
      <c r="BP1075" t="inlineStr">
        <is>
          <t>gold, Green Published</t>
        </is>
      </c>
      <c r="BS1075" t="inlineStr">
        <is>
          <t>2023-10-26</t>
        </is>
      </c>
      <c r="BT1075" t="inlineStr">
        <is>
          <t>WOS:000902440200001</t>
        </is>
      </c>
      <c r="BU1075">
        <f>HYPERLINK("https%3A%2F%2Fwww.webofscience.com%2Fwos%2Fwoscc%2Ffull-record%2FWOS:000902440200001","View Full Record in Web of Science")</f>
        <v/>
      </c>
    </row>
    <row r="1076">
      <c r="A1076" t="inlineStr">
        <is>
          <t>J</t>
        </is>
      </c>
      <c r="B1076" t="inlineStr">
        <is>
          <t>Wagoner, KG; Reboussin, DM; King, JL; Orlan, E; Ross, JC; Sutfin, EL</t>
        </is>
      </c>
      <c r="F1076" t="inlineStr">
        <is>
          <t>Wagoner, Kimberly G.; Reboussin, David M.; King, Jessica L.; Orlan, Elizabeth; Ross, Jennifer Cornacchione; Sutfin, Erin L.</t>
        </is>
      </c>
      <c r="J1076" t="inlineStr">
        <is>
          <t>INTERNATIONAL JOURNAL OF ENVIRONMENTAL RESEARCH AND PUBLIC HEALTH</t>
        </is>
      </c>
      <c r="M1076" t="inlineStr">
        <is>
          <t>English</t>
        </is>
      </c>
      <c r="N1076" t="inlineStr">
        <is>
          <t>Article</t>
        </is>
      </c>
      <c r="T1076" t="inlineStr">
        <is>
          <t>Who Is Exposed to E-Cigarette Advertising and Where? Differences between Adolescents, Young Adults and Older Adults</t>
        </is>
      </c>
      <c r="U1076" t="inlineStr">
        <is>
          <t>e-cigarette advertising; adolescents; young adults; adults</t>
        </is>
      </c>
      <c r="V1076" t="inlineStr">
        <is>
          <t>HIGH-SCHOOL-STUDENTS; UNITED-STATES; ELECTRONIC CIGARETTES; MARKETING EXPOSURE; TOBACCO-PRODUCT; MIDDLE; US; EXPENDITURES; RECEPTIVITY; PERCEPTIONS</t>
        </is>
      </c>
      <c r="W1076" t="inlineStr">
        <is>
          <t>Little is known about differences between adolescents' and adults' exposure to e-cigarette advertising in various media channels, such as retail establishments, print, television, radio, and digital marketing. We examined the exposure to e-cigarette advertising in these channels amongst adolescents ( 13-17), young adults ( 18-25), and older adults ( 26+). Adolescents ( N = 1124), young adults ( N = 809), and adults ( N = 4186) were recruited through two nationally representative phone surveys from 2014-2015. Lifetime e-cigarette advertising exposure was prevalent ( 84.5%). Overall, older adult males and older adult cigarette smokers reported the highest exposure to e-cigarette advertising ( p &lt; 0.001). Television was the largest source of exposure for all age groups. Adolescents and young adults had higher odds than older adults of exposure through television and digital marketing. However, adolescents had lower odds than young adults and older adults of exposure through retailers and print media. Although e-cigarette advertising appears to be reaching the intended audience of adult smokers, vulnerable populations are being exposed at high rates via television and digital marketing. Regulations aimed at curbing exposure through these media channels are needed, as are counter advertising and prevention campaigns.</t>
        </is>
      </c>
      <c r="X1076" t="inlineStr">
        <is>
          <t>[Wagoner, Kimberly G.; King, Jessica L.; Ross, Jennifer Cornacchione; Sutfin, Erin L.] Wake Forest Sch Med, Dept Social Sci &amp; Hlth Policy, Med Ctr Blvd, Winston Salem, NC 27157 USA; [Reboussin, David M.] Wake Forest Sch Med, Dept Biostat &amp; Data Sci, Med Ctr Blvd, Winston Salem, NC 27157 USA; [Orlan, Elizabeth] Univ N Carolina, Gillings Sch Global Publ Hlth, Dept Hlth Behav, Chapel Hill, NC 27514 USA</t>
        </is>
      </c>
      <c r="Y1076" t="inlineStr">
        <is>
          <t>Wake Forest University; Wake Forest University; University of North Carolina; University of North Carolina Chapel Hill</t>
        </is>
      </c>
      <c r="Z1076" t="inlineStr">
        <is>
          <t>Wagoner, KG (corresponding author), Wake Forest Sch Med, Dept Social Sci &amp; Hlth Policy, Med Ctr Blvd, Winston Salem, NC 27157 USA.</t>
        </is>
      </c>
      <c r="AA1076" t="inlineStr">
        <is>
          <t>kwagoner@wakehealth.edu</t>
        </is>
      </c>
      <c r="AC1076" t="inlineStr">
        <is>
          <t>Sutfin, Erin/0000-0003-2660-8383; Orlan, Elizabeth/0000-0002-3731-1078</t>
        </is>
      </c>
      <c r="AD1076" t="inlineStr">
        <is>
          <t>National Cancer Institute and Food and Drug Administration's Center for Tobacco Products [P50CA180907]</t>
        </is>
      </c>
      <c r="AE1076" t="inlineStr">
        <is>
          <t>National Cancer Institute and Food and Drug Administration's Center for Tobacco Products</t>
        </is>
      </c>
      <c r="AF1076" t="inlineStr">
        <is>
          <t>Research reported was supported by grant number P50CA180907 from the National Cancer Institute and Food and Drug Administration's Center for Tobacco Products. The content is solely the responsibility of the authors and does not necessarily represent the o ffi cial views of the National Institutes of Health or the Food and Drug Administration.</t>
        </is>
      </c>
      <c r="AH1076" t="n">
        <v>39</v>
      </c>
      <c r="AI1076" t="n">
        <v>19</v>
      </c>
      <c r="AJ1076" t="n">
        <v>19</v>
      </c>
      <c r="AK1076" t="n">
        <v>1</v>
      </c>
      <c r="AL1076" t="n">
        <v>12</v>
      </c>
      <c r="AM1076" t="inlineStr">
        <is>
          <t>MDPI</t>
        </is>
      </c>
      <c r="AN1076" t="inlineStr">
        <is>
          <t>BASEL</t>
        </is>
      </c>
      <c r="AO1076" t="inlineStr">
        <is>
          <t>ST ALBAN-ANLAGE 66, CH-4052 BASEL, SWITZERLAND</t>
        </is>
      </c>
      <c r="AQ1076" t="inlineStr">
        <is>
          <t>1660-4601</t>
        </is>
      </c>
      <c r="AS1076" t="inlineStr">
        <is>
          <t>INT J ENV RES PUB HE</t>
        </is>
      </c>
      <c r="AT1076" t="inlineStr">
        <is>
          <t>Int. J. Environ. Res. Public Health</t>
        </is>
      </c>
      <c r="AU1076" t="inlineStr">
        <is>
          <t>JUL 2</t>
        </is>
      </c>
      <c r="AV1076" t="n">
        <v>2019</v>
      </c>
      <c r="AW1076" t="n">
        <v>16</v>
      </c>
      <c r="AX1076" t="n">
        <v>14</v>
      </c>
      <c r="BE1076" t="n">
        <v>2533</v>
      </c>
      <c r="BF1076" t="inlineStr">
        <is>
          <t>10.3390/ijerph16142533</t>
        </is>
      </c>
      <c r="BG1076">
        <f>HYPERLINK("http://dx.doi.org/10.3390/ijerph16142533","http://dx.doi.org/10.3390/ijerph16142533")</f>
        <v/>
      </c>
      <c r="BJ1076" t="n">
        <v>11</v>
      </c>
      <c r="BK1076" t="inlineStr">
        <is>
          <t>Environmental Sciences; Public, Environmental &amp; Occupational Health</t>
        </is>
      </c>
      <c r="BL1076" t="inlineStr">
        <is>
          <t>Science Citation Index Expanded (SCI-EXPANDED); Social Science Citation Index (SSCI)</t>
        </is>
      </c>
      <c r="BM1076" t="inlineStr">
        <is>
          <t>Environmental Sciences &amp; Ecology; Public, Environmental &amp; Occupational Health</t>
        </is>
      </c>
      <c r="BN1076" t="inlineStr">
        <is>
          <t>IQ3NV</t>
        </is>
      </c>
      <c r="BO1076" t="n">
        <v>31315189</v>
      </c>
      <c r="BP1076" t="inlineStr">
        <is>
          <t>Green Published, gold, Green Submitted</t>
        </is>
      </c>
      <c r="BS1076" t="inlineStr">
        <is>
          <t>2023-10-26</t>
        </is>
      </c>
      <c r="BT1076" t="inlineStr">
        <is>
          <t>WOS:000480659300086</t>
        </is>
      </c>
      <c r="BU1076">
        <f>HYPERLINK("https%3A%2F%2Fwww.webofscience.com%2Fwos%2Fwoscc%2Ffull-record%2FWOS:000480659300086","View Full Record in Web of Science")</f>
        <v/>
      </c>
    </row>
    <row r="1077">
      <c r="A1077" t="inlineStr">
        <is>
          <t>J</t>
        </is>
      </c>
      <c r="B1077" t="inlineStr">
        <is>
          <t>Pengpid, S; Peltzer, K</t>
        </is>
      </c>
      <c r="F1077" t="inlineStr">
        <is>
          <t>Pengpid, Supa; Peltzer, Karl</t>
        </is>
      </c>
      <c r="J1077" t="inlineStr">
        <is>
          <t>INTERNATIONAL JOURNAL OF ENVIRONMENTAL RESEARCH AND PUBLIC HEALTH</t>
        </is>
      </c>
      <c r="M1077" t="inlineStr">
        <is>
          <t>English</t>
        </is>
      </c>
      <c r="N1077" t="inlineStr">
        <is>
          <t>Article</t>
        </is>
      </c>
      <c r="T1077" t="inlineStr">
        <is>
          <t>Prevalence and Associated Factors of Frailty in Community-Dwelling Older Adults in Indonesia, 2014-2015</t>
        </is>
      </c>
      <c r="U1077" t="inlineStr">
        <is>
          <t>frailty; prevalence; correlates; older adults; Indonesia</t>
        </is>
      </c>
      <c r="V1077" t="inlineStr">
        <is>
          <t>PHYSICAL-ACTIVITY QUESTIONNAIRE; SLEEP DISTURBANCE; RELIABILITY; VALIDITY; PEOPLE; INDEX</t>
        </is>
      </c>
      <c r="W1077" t="inlineStr">
        <is>
          <t>Objective: The investigation aims to study the prevalence and correlates of frailty in a national community-dwelling sample of older Indonesians. Methods: Participants were 2630 older adults, 60 years and older (median age 66.0 years, interquartile range = 9.0) who took part in the cross-sectional Indonesia Family Life Survey (IFLS-5) in 2014-2015. They were requested to provide information about sociodemographic and various health variables, including frailty. Multivariable Poisson regression analysis was utilized to estimate the correlates of socio-demographic factors, health variables, and frailty. Results: The overall prevalence of frailty was 8.1%; 61.6% were prefrail. In adjusted Poisson regression analysis, older age, being unmarried, separated, divorced or widowed, residing in Java and major island groups, poor cognitive functioning, loneliness, and functional disability were associated with frailty. Conclusion: Several sociodemographic and health risk factors for frailty were identified that can help in guiding intervention strategies in Indonesia.</t>
        </is>
      </c>
      <c r="X1077" t="inlineStr">
        <is>
          <t>[Pengpid, Supa] Mahidol Univ, ASEAN Inst Hlth Dev, Salaya 73170, Nakhon Pathom, Thailand; [Pengpid, Supa; Peltzer, Karl] Northwest Univ, Fac Hlth Sci, Lifestyle Dis Res Ent, ZA-2745 Mmabatho, South Africa</t>
        </is>
      </c>
      <c r="Y1077" t="inlineStr">
        <is>
          <t>Mahidol University; North West University - South Africa</t>
        </is>
      </c>
      <c r="Z1077" t="inlineStr">
        <is>
          <t>Peltzer, K (corresponding author), Northwest Univ, Fac Hlth Sci, Lifestyle Dis Res Ent, ZA-2745 Mmabatho, South Africa.</t>
        </is>
      </c>
      <c r="AA1077" t="inlineStr">
        <is>
          <t>supaprom@yahoo.com; kfpeltzer@gmail.com</t>
        </is>
      </c>
      <c r="AB1077" t="inlineStr">
        <is>
          <t>Peltzer, Karl/Q-7334-2019</t>
        </is>
      </c>
      <c r="AC1077" t="inlineStr">
        <is>
          <t>Peltzer, Karl/0000-0002-5980-0876</t>
        </is>
      </c>
      <c r="AH1077" t="n">
        <v>45</v>
      </c>
      <c r="AI1077" t="n">
        <v>12</v>
      </c>
      <c r="AJ1077" t="n">
        <v>12</v>
      </c>
      <c r="AK1077" t="n">
        <v>1</v>
      </c>
      <c r="AL1077" t="n">
        <v>23</v>
      </c>
      <c r="AM1077" t="inlineStr">
        <is>
          <t>MDPI</t>
        </is>
      </c>
      <c r="AN1077" t="inlineStr">
        <is>
          <t>BASEL</t>
        </is>
      </c>
      <c r="AO1077" t="inlineStr">
        <is>
          <t>ST ALBAN-ANLAGE 66, CH-4052 BASEL, SWITZERLAND</t>
        </is>
      </c>
      <c r="AQ1077" t="inlineStr">
        <is>
          <t>1660-4601</t>
        </is>
      </c>
      <c r="AS1077" t="inlineStr">
        <is>
          <t>INT J ENV RES PUB HE</t>
        </is>
      </c>
      <c r="AT1077" t="inlineStr">
        <is>
          <t>Int. J. Environ. Res. Public Health</t>
        </is>
      </c>
      <c r="AU1077" t="inlineStr">
        <is>
          <t>JAN</t>
        </is>
      </c>
      <c r="AV1077" t="n">
        <v>2020</v>
      </c>
      <c r="AW1077" t="n">
        <v>17</v>
      </c>
      <c r="AX1077" t="n">
        <v>1</v>
      </c>
      <c r="BE1077" t="n">
        <v>10</v>
      </c>
      <c r="BF1077" t="inlineStr">
        <is>
          <t>10.3390/ijerph17010010</t>
        </is>
      </c>
      <c r="BG1077">
        <f>HYPERLINK("http://dx.doi.org/10.3390/ijerph17010010","http://dx.doi.org/10.3390/ijerph17010010")</f>
        <v/>
      </c>
      <c r="BJ1077" t="n">
        <v>13</v>
      </c>
      <c r="BK1077" t="inlineStr">
        <is>
          <t>Environmental Sciences; Public, Environmental &amp; Occupational Health</t>
        </is>
      </c>
      <c r="BL1077" t="inlineStr">
        <is>
          <t>Science Citation Index Expanded (SCI-EXPANDED); Social Science Citation Index (SSCI)</t>
        </is>
      </c>
      <c r="BM1077" t="inlineStr">
        <is>
          <t>Environmental Sciences &amp; Ecology; Public, Environmental &amp; Occupational Health</t>
        </is>
      </c>
      <c r="BN1077" t="inlineStr">
        <is>
          <t>KF7AG</t>
        </is>
      </c>
      <c r="BO1077" t="n">
        <v>31861327</v>
      </c>
      <c r="BP1077" t="inlineStr">
        <is>
          <t>Green Published, gold</t>
        </is>
      </c>
      <c r="BS1077" t="inlineStr">
        <is>
          <t>2023-10-26</t>
        </is>
      </c>
      <c r="BT1077" t="inlineStr">
        <is>
          <t>WOS:000509391500010</t>
        </is>
      </c>
      <c r="BU1077">
        <f>HYPERLINK("https%3A%2F%2Fwww.webofscience.com%2Fwos%2Fwoscc%2Ffull-record%2FWOS:000509391500010","View Full Record in Web of Science")</f>
        <v/>
      </c>
    </row>
    <row r="1078">
      <c r="A1078" t="inlineStr">
        <is>
          <t>J</t>
        </is>
      </c>
      <c r="B1078" t="inlineStr">
        <is>
          <t>Diamond, ML; Okeme, JO; Melymuk, L</t>
        </is>
      </c>
      <c r="F1078" t="inlineStr">
        <is>
          <t>Diamond, Miriam L.; Okeme, Joseph O.; Melymuk, Lisa</t>
        </is>
      </c>
      <c r="J1078" t="inlineStr">
        <is>
          <t>ENVIRONMENTAL SCIENCE &amp; TECHNOLOGY LETTERS</t>
        </is>
      </c>
      <c r="M1078" t="inlineStr">
        <is>
          <t>English</t>
        </is>
      </c>
      <c r="N1078" t="inlineStr">
        <is>
          <t>Article</t>
        </is>
      </c>
      <c r="T1078" t="inlineStr">
        <is>
          <t>Hands as Agents of Chemical Transport in the Indoor Environment</t>
        </is>
      </c>
      <c r="V1078" t="inlineStr">
        <is>
          <t>POLYBROMINATED DIPHENYL ETHERS; SEMIVOLATILE ORGANIC-COMPOUNDS; FLAME-RETARDANTS; HUMAN EXPOSURE; PASSIVE AIR; DUST; CHILDREN; PBDES; FATE; EMISSIONS</t>
        </is>
      </c>
      <c r="W1078" t="inlineStr">
        <is>
          <t>Indoor environments are important sources of exposure to chemicals intentionally added to consumer products, building materials, etc. Previous work has shown that semivolatile organic compounds (SVOCs) migrate from product/material sources to partition to indoor surfaces, including skin and hands, and that SVOCs on hands reasonably indicate nondietary exposure to indoor SVOCs. We hypothesize that the hands of indoor occupants, which contact numerous products and surfaces, transport SVOCs in the indoor environment to an extent comparable to that of fugacity-driven and advective transport. This process of hand-based chemical transport is analogous to that of fomite transmission of pathogens. We explore this hypothesis using a data set of halogenated flame retardants, organophosphate esters, and phthalate esters in indoor air, floor dust, and wipes of hands and surfaces of electronic devices of 51 participants. Cluster analysis shows the similarity of the SVOC profiles on all participants' hands relative to those of all device surfaces, demonstrating the ubiquity of these SVOCs. Network analysis consistently shows the centrality of hands, followed by air, dust, and laptops, indicating that hands are most correlated with all sample types. The significance of this hypothesis lies in the ability of hands to rapidly transfer SVOCs among surfaces indoors, with implications for exposure.</t>
        </is>
      </c>
      <c r="X1078" t="inlineStr">
        <is>
          <t>[Melymuk, Lisa] Res Ctr Tox Cpds Environm RECETOX, Brno 62500, Czech Republic; [Diamond, Miriam L.] Univ Toronto, Dept Earth Sci, Toronto, ON M5S 3B1, Canada; [Diamond, Miriam L.] Univ Toronto, Sch Environm, Toronto, ON M5S 3E8, Canada; [Diamond, Miriam L.] Univ Toronto, Dalla Lana Sch Publ Hlth, Toronto, ON M5S 3E8, Canada; [Okeme, Joseph O.] Ontario Hlth, Occupat Canc Res Ctr, Toronto, ON M5G 1X3, Canada</t>
        </is>
      </c>
      <c r="Y1078" t="inlineStr">
        <is>
          <t>Masaryk University Brno; University of Toronto; University of Toronto; University of Toronto</t>
        </is>
      </c>
      <c r="Z1078" t="inlineStr">
        <is>
          <t>Diamond, ML (corresponding author), Univ Toronto, Sch Environm, Toronto, ON M5S 3E8, Canada.;Diamond, ML (corresponding author), Univ Toronto, Dalla Lana Sch Publ Hlth, Toronto, ON M5S 3E8, Canada.;Okeme, JO (corresponding author), Ontario Hlth, Occupat Canc Res Ctr, Toronto, ON M5G 1X3, Canada.</t>
        </is>
      </c>
      <c r="AA1078" t="inlineStr">
        <is>
          <t>miriam.diamond@utoronto.ca; joseph.okeme@ontariohealth.ca</t>
        </is>
      </c>
      <c r="AB1078" t="inlineStr">
        <is>
          <t>Diamond, Miriam L/D-1770-2013; Melymuk, Lisa/H-1061-2017</t>
        </is>
      </c>
      <c r="AC1078" t="inlineStr">
        <is>
          <t>Diamond, Miriam L/0000-0001-6296-6431; Melymuk, Lisa/0000-0001-6042-7688; Okeme, Joseph/0000-0001-7604-0736</t>
        </is>
      </c>
      <c r="AD1078" t="inlineStr">
        <is>
          <t>Health Canada's Clean Air Regulatory Agenda (CARA), Canada's Chemicals Management Plan (CMP); Natural Sciences and Engineering Research Council of Canada (NSERC) [RGPAS 429679-12, RGPIN-2017-06654]; European Union [734522]; Czech Ministry of Education, Youth and Sports (RECETOX RI) [LM2018121]</t>
        </is>
      </c>
      <c r="AE1078" t="inlineStr">
        <is>
          <t>Health Canada's Clean Air Regulatory Agenda (CARA), Canada's Chemicals Management Plan (CMP); Natural Sciences and Engineering Research Council of Canada (NSERC)(Natural Sciences and Engineering Research Council of Canada (NSERC)); European Union(European Union (EU)); Czech Ministry of Education, Youth and Sports (RECETOX RI)</t>
        </is>
      </c>
      <c r="AF1078" t="inlineStr">
        <is>
          <t>Funding was provided by Health Canada's Clean Air Regulatory Agenda (CARA), Canada's Chemicals Management Plan (CMP), the Natural Sciences and Engineering Research Council of Canada (to M.L.D., NSERC, RGPAS 429679-12 and RGPIN-2017-06654), the European Union's Horizon 2020 research and innovation program under Marie Sklodowska-Curie Grant Agreement 734522 (INTER-WASTE), and the Czech Ministry of Education, Youth and Sports (RECETOX RI, LM2018121). The authors thank Jir.i Kalina (RECETOX) and Ashton Anderson (University of Toronto) for consulting on statistical and network analysis methods and Congqiao Yang and Shelley A. Harris (University of Toronto), Liisa Jantunen and Bruce Fraser (Environment and Climate Change Canada), Lidija Latovic and Dina Tsirlin (formerly of Cancer Care Ontario), and Regina de la Campa, Melissa St.-Jean, Ryan Kukla, and Hongyu You (Exposure Assessment Division of Health Canada). J.O.O. thanks Victoria Arrandale (Cancer Care Ontario) for guidance.</t>
        </is>
      </c>
      <c r="AH1078" t="n">
        <v>54</v>
      </c>
      <c r="AI1078" t="n">
        <v>9</v>
      </c>
      <c r="AJ1078" t="n">
        <v>9</v>
      </c>
      <c r="AK1078" t="n">
        <v>6</v>
      </c>
      <c r="AL1078" t="n">
        <v>49</v>
      </c>
      <c r="AM1078" t="inlineStr">
        <is>
          <t>AMER CHEMICAL SOC</t>
        </is>
      </c>
      <c r="AN1078" t="inlineStr">
        <is>
          <t>WASHINGTON</t>
        </is>
      </c>
      <c r="AO1078" t="inlineStr">
        <is>
          <t>1155 16TH ST, NW, WASHINGTON, DC 20036 USA</t>
        </is>
      </c>
      <c r="AP1078" t="inlineStr">
        <is>
          <t>2328-8930</t>
        </is>
      </c>
      <c r="AS1078" t="inlineStr">
        <is>
          <t>ENVIRON SCI TECH LET</t>
        </is>
      </c>
      <c r="AT1078" t="inlineStr">
        <is>
          <t>Environ. Sci. Technol. Lett.</t>
        </is>
      </c>
      <c r="AU1078" t="inlineStr">
        <is>
          <t>APR 13</t>
        </is>
      </c>
      <c r="AV1078" t="n">
        <v>2021</v>
      </c>
      <c r="AW1078" t="n">
        <v>8</v>
      </c>
      <c r="AX1078" t="n">
        <v>4</v>
      </c>
      <c r="BC1078" t="n">
        <v>326</v>
      </c>
      <c r="BD1078" t="n">
        <v>332</v>
      </c>
      <c r="BF1078" t="inlineStr">
        <is>
          <t>10.1021/acs.estlett.0c01006</t>
        </is>
      </c>
      <c r="BG1078">
        <f>HYPERLINK("http://dx.doi.org/10.1021/acs.estlett.0c01006","http://dx.doi.org/10.1021/acs.estlett.0c01006")</f>
        <v/>
      </c>
      <c r="BI1078" t="inlineStr">
        <is>
          <t>MAR 2021</t>
        </is>
      </c>
      <c r="BJ1078" t="n">
        <v>7</v>
      </c>
      <c r="BK1078" t="inlineStr">
        <is>
          <t>Engineering, Environmental; Environmental Sciences</t>
        </is>
      </c>
      <c r="BL1078" t="inlineStr">
        <is>
          <t>Science Citation Index Expanded (SCI-EXPANDED)</t>
        </is>
      </c>
      <c r="BM1078" t="inlineStr">
        <is>
          <t>Engineering; Environmental Sciences &amp; Ecology</t>
        </is>
      </c>
      <c r="BN1078" t="inlineStr">
        <is>
          <t>RO2QR</t>
        </is>
      </c>
      <c r="BS1078" t="inlineStr">
        <is>
          <t>2023-10-26</t>
        </is>
      </c>
      <c r="BT1078" t="inlineStr">
        <is>
          <t>WOS:000640891100008</t>
        </is>
      </c>
      <c r="BU1078">
        <f>HYPERLINK("https%3A%2F%2Fwww.webofscience.com%2Fwos%2Fwoscc%2Ffull-record%2FWOS:000640891100008","View Full Record in Web of Science")</f>
        <v/>
      </c>
    </row>
    <row r="1079">
      <c r="A1079" t="inlineStr">
        <is>
          <t>J</t>
        </is>
      </c>
      <c r="B1079" t="inlineStr">
        <is>
          <t>Carmichael, A; Villalba-Romero, F; Liyanage, C</t>
        </is>
      </c>
      <c r="F1079" t="inlineStr">
        <is>
          <t>Carmichael, Andrew; Villalba-Romero, Felix; Liyanage, Champika</t>
        </is>
      </c>
      <c r="J1079" t="inlineStr">
        <is>
          <t>SUSTAINABILITY</t>
        </is>
      </c>
      <c r="M1079" t="inlineStr">
        <is>
          <t>English</t>
        </is>
      </c>
      <c r="N1079" t="inlineStr">
        <is>
          <t>Article</t>
        </is>
      </c>
      <c r="T1079" t="inlineStr">
        <is>
          <t>Rebuilding after Displacement: A Skills Competency Audit of Built Environment Professional Documentation</t>
        </is>
      </c>
      <c r="U1079" t="inlineStr">
        <is>
          <t>displacement; rebuilding; built; environment; competencies; skills; professional; capacities; documentation</t>
        </is>
      </c>
      <c r="V1079" t="inlineStr">
        <is>
          <t>FRAMEWORK</t>
        </is>
      </c>
      <c r="W1079" t="inlineStr">
        <is>
          <t>The displacement of people, caused by disasters, conflicts, and oppression, is a growing global problem, placing significant burdens on both the displaced and their hosts. The built environment is key to providing essential support and a sustainable future for these communities. This paper describes an audit of the competencies identified in built environment professional documentation and its mapping against the competencies determined as being relevant to rebuilding after displacement. Following a step-by-step methodology, an analysis of the built environment sector of four nations enables the identification of the current state of professional competencies through an in-depth review of their published standards. These results are compared with a framework of standards that would maximise the potential of the sector in offering support. It is also identified where there is alignment between existing and ideal competencies, and where there are gaps in provision. Finally, a criticality analysis offers both sector-wide and professional role review. This could help direct the efforts of policy makers, education providers, and the sector itself towards the most effective responses to displacement challenges.</t>
        </is>
      </c>
      <c r="X1079" t="inlineStr">
        <is>
          <t>[Carmichael, Andrew; Liyanage, Champika] Univ Cent Lancashire, Sch Engn, Preston PR1 2HE, England; [Villalba-Romero, Felix] Univ Malaga, Fac Econ &amp; Business Sci, Malaga 29016, Spain</t>
        </is>
      </c>
      <c r="Y1079" t="inlineStr">
        <is>
          <t>University of Central Lancashire; Universidad de Malaga</t>
        </is>
      </c>
      <c r="Z1079" t="inlineStr">
        <is>
          <t>Carmichael, A (corresponding author), Univ Cent Lancashire, Sch Engn, Preston PR1 2HE, England.</t>
        </is>
      </c>
      <c r="AA1079" t="inlineStr">
        <is>
          <t>acarmichael2@uclan.ac.uk</t>
        </is>
      </c>
      <c r="AC1079" t="inlineStr">
        <is>
          <t>Carmichael, Andrew/0000-0001-9540-2114</t>
        </is>
      </c>
      <c r="AH1079" t="n">
        <v>22</v>
      </c>
      <c r="AI1079" t="n">
        <v>0</v>
      </c>
      <c r="AJ1079" t="n">
        <v>0</v>
      </c>
      <c r="AK1079" t="n">
        <v>1</v>
      </c>
      <c r="AL1079" t="n">
        <v>2</v>
      </c>
      <c r="AM1079" t="inlineStr">
        <is>
          <t>MDPI</t>
        </is>
      </c>
      <c r="AN1079" t="inlineStr">
        <is>
          <t>BASEL</t>
        </is>
      </c>
      <c r="AO1079" t="inlineStr">
        <is>
          <t>ST ALBAN-ANLAGE 66, CH-4052 BASEL, SWITZERLAND</t>
        </is>
      </c>
      <c r="AQ1079" t="inlineStr">
        <is>
          <t>2071-1050</t>
        </is>
      </c>
      <c r="AS1079" t="inlineStr">
        <is>
          <t>SUSTAINABILITY-BASEL</t>
        </is>
      </c>
      <c r="AT1079" t="inlineStr">
        <is>
          <t>Sustainability</t>
        </is>
      </c>
      <c r="AU1079" t="inlineStr">
        <is>
          <t>DEC</t>
        </is>
      </c>
      <c r="AV1079" t="n">
        <v>2022</v>
      </c>
      <c r="AW1079" t="n">
        <v>14</v>
      </c>
      <c r="AX1079" t="n">
        <v>23</v>
      </c>
      <c r="BE1079" t="n">
        <v>15930</v>
      </c>
      <c r="BF1079" t="inlineStr">
        <is>
          <t>10.3390/su142315930</t>
        </is>
      </c>
      <c r="BG1079">
        <f>HYPERLINK("http://dx.doi.org/10.3390/su142315930","http://dx.doi.org/10.3390/su142315930")</f>
        <v/>
      </c>
      <c r="BJ1079" t="n">
        <v>27</v>
      </c>
      <c r="BK1079" t="inlineStr">
        <is>
          <t>Green &amp; Sustainable Science &amp; Technology; Environmental Sciences; Environmental Studies</t>
        </is>
      </c>
      <c r="BL1079" t="inlineStr">
        <is>
          <t>Science Citation Index Expanded (SCI-EXPANDED); Social Science Citation Index (SSCI)</t>
        </is>
      </c>
      <c r="BM1079" t="inlineStr">
        <is>
          <t>Science &amp; Technology - Other Topics; Environmental Sciences &amp; Ecology</t>
        </is>
      </c>
      <c r="BN1079" t="inlineStr">
        <is>
          <t>6X7SG</t>
        </is>
      </c>
      <c r="BP1079" t="inlineStr">
        <is>
          <t>Green Accepted, gold</t>
        </is>
      </c>
      <c r="BS1079" t="inlineStr">
        <is>
          <t>2023-10-26</t>
        </is>
      </c>
      <c r="BT1079" t="inlineStr">
        <is>
          <t>WOS:000896608800001</t>
        </is>
      </c>
      <c r="BU1079">
        <f>HYPERLINK("https%3A%2F%2Fwww.webofscience.com%2Fwos%2Fwoscc%2Ffull-record%2FWOS:000896608800001","View Full Record in Web of Science")</f>
        <v/>
      </c>
    </row>
    <row r="1080">
      <c r="A1080" t="inlineStr">
        <is>
          <t>J</t>
        </is>
      </c>
      <c r="B1080" t="inlineStr">
        <is>
          <t>Zaldo-Aubanell, Q; Serra, I; Sardanyés, J; Alsedà, L; Maneja, R</t>
        </is>
      </c>
      <c r="F1080" t="inlineStr">
        <is>
          <t>Zaldo-Aubanell, Quim; Serra, Isabel; Sardanyes, Josep; Alseda, Lluis; Maneja, Roser</t>
        </is>
      </c>
      <c r="J1080" t="inlineStr">
        <is>
          <t>ENVIRONMENTAL RESEARCH</t>
        </is>
      </c>
      <c r="M1080" t="inlineStr">
        <is>
          <t>English</t>
        </is>
      </c>
      <c r="N1080" t="inlineStr">
        <is>
          <t>Review</t>
        </is>
      </c>
      <c r="T1080" t="inlineStr">
        <is>
          <t>Reviewing the reliability of Land Use and Land Cover data in studies relating human health to the environment</t>
        </is>
      </c>
      <c r="U1080" t="inlineStr">
        <is>
          <t>GIS; Nature; Green spaces; Environment and public health; Statistical models; Modelling</t>
        </is>
      </c>
      <c r="V1080" t="inlineStr">
        <is>
          <t>URBAN GREEN SPACE; BODY-MASS INDEX; PHYSICAL-ACTIVITY; NATURAL ENVIRONMENTS; BUILT ENVIRONMENT; MENTAL-HEALTH; NEIGHBORHOOD; BIODIVERSITY; CLASSIFICATION; ASSOCIATIONS</t>
        </is>
      </c>
      <c r="W1080" t="inlineStr">
        <is>
          <t>Background: In recent years, research has been increasingly devoted to understanding the complex human health-environment relationship. Nevertheless, many different measurements have been applied to characterize the environment. Among them, the application of Land Use and Land Cover (LULC) data is becoming more noticeable over time. Aims: This research aims to analyse the reliability of Land Use and Land Cover data (LULC) data as a suitable describer of the environment in studies relating human health to the environment. With a specific focus on the methodologies using LULC data, we also examine the study designs and analytical methods that have been commonly performed so far. Materials and Methods: We gathered studies relating human health outcomes to Land Use and Land Cover (LULC) data. A Boolean search limited to reviews was conducted in February 2019 using Web of Science Core Collection search engines. Five reviews were selected as our preliminary starting set of literature and from those, two backward snowballing searches were conducted. The first backward snowballing search used the reference lists of the first 5 reviews and revealed 17 articles. From these, the second search gathered 24 new articles also fulfilling the inclusion criteria established. In total, 41 articles were examined. Results: Our main results reported that Land Use and Land Cover (LULC) data national level data was preferred over LULC international level data. However, this tendency seems to be strongly related to the specific aims of the articles. They essentially defined the living environment either through buffer zones, using the administrative boundaries wherein the individuals reside, or using the specific location of the individuals assessed. As for the characterization of the environment, authors performed 4 principal methodologies: extracting the percentage of green space, computing the Land Use mix, recording the type of land cover, and using the percentage of tree canopy. Besides, all the articles included measurements in urban contexts and most of them evaluated the accessibility of individuals to their surroundings. Furthermore, it was clearly stated that the complexity of the topic and the challenging data leads authors to carry out advanced statistical methods and mostly cross-sectional designs with no causal relations. Discussion and Conclusions: Land Use and Land Cover (LULC) data has been demonstrated to be a versatile tool supporting both local-focused studies with few individuals involved and broad territorial-scoped studies with huge populations. Promising synergy has been highlighted between Electronic Health Records (EHR) and LULC data in studies dealing with massive information and broader scopes with regards to the assessment of territorial realities. As this emerging topic matures, investigators should (1) elucidate subjects of ongoing debate such as themeasurement of the living environment and its characterization; (2) explore the whole potential of LULC data, using methodologies that encompass both their biophysical and socioeconomic information; (3) perform innovative designs that are able to establish causal relationships among the studied variables (for example, Cellular Automata models), and (4) expand the current set of studied health outcomes leveraging comprehensive and trustworthy health data sources such as EHR.</t>
        </is>
      </c>
      <c r="X1080" t="inlineStr">
        <is>
          <t>[Zaldo-Aubanell, Quim] Univ Autonoma Barcelona, Inst Ciencia &amp; Tecnol Ambientals ICTA UAB, Barcelona 08193, Spain; [Zaldo-Aubanell, Quim; Maneja, Roser] Forest Sci &amp; Technol Ctr Catalonia, Environm &amp; Human Hlth Lab EH2 Lab, Ctra St Llorenc de Morunys,Km 2, Solsona 25280, Spain; [Serra, Isabel; Sardanyes, Josep; Alseda, Lluis] Ctr Recerca Matemat, Edifici C, Barcelona 08193, Spain; [Serra, Isabel; Sardanyes, Josep; Alseda, Lluis] Barcelona Grad Sch Math BGSMath, Edici C, Barcelona 08193, Spain; [Alseda, Lluis] Univ Autonoma Barcelona, Fac Ciencies, Dept Matemat, Edifici C, Barcelona 08193, Spain; [Maneja, Roser] Univ Autonoma Barcelona, Geog Dept, Edifici B, Barcelona 08193, Spain; [Maneja, Roser] Forest Sci &amp; Technol Ctr Catalonia, Ctra St Llorenc de Morunys,Km 2, Solsona 25280, Spain</t>
        </is>
      </c>
      <c r="Y1080" t="inlineStr">
        <is>
          <t>Autonomous University of Barcelona; Centre de Recerca Matematica (CRM); Autonomous University of Barcelona; Autonomous University of Barcelona</t>
        </is>
      </c>
      <c r="Z1080" t="inlineStr">
        <is>
          <t>Zaldo-Aubanell, Q (corresponding author), Inst Ciencia &amp; Tecnol Ambientals ICTA UAB, Z Bldg Carrer Columns Off Z-151, Barcelona 08193, Spain.</t>
        </is>
      </c>
      <c r="AA1080" t="inlineStr">
        <is>
          <t>quim.zaldo@uab.cat; iserra@crm.cat; jsardanyes@crm.cat; llalseda@crm.cat; roser.maneja@uab.cat</t>
        </is>
      </c>
      <c r="AB1080" t="inlineStr">
        <is>
          <t>Serra, Isabel/AAE-1120-2022; Serra, Isabel/AAE-1146-2022; Maneja-Zaragoza, Roser/AAC-1480-2021</t>
        </is>
      </c>
      <c r="AC1080" t="inlineStr">
        <is>
          <t>Serra, Isabel/0000-0002-2465-8574; Zaldo-Aubanell, Quim/0000-0002-5857-4520</t>
        </is>
      </c>
      <c r="AD1080" t="inlineStr">
        <is>
          <t>AGAUR FI fellowship [7720]; la Caixa Foundation; MINECO; Spanish MINECO [PGC-FIS2018-099629-B-I00]; AGAUR [2014SGR-1307]; Ramon y Cajal contract [RYC-2017-22243]; Spain's Agencia Estatal de Investigacion (AEI) [RTI2018-098322-B-I00]; Programme CERCA from Generalitat de Catalunya; AEI [MTM2017-86795-C3-1-P]</t>
        </is>
      </c>
      <c r="AE1080" t="inlineStr">
        <is>
          <t>AGAUR FI fellowship; la Caixa Foundation(La Caixa Foundation); MINECO(Spanish Government); Spanish MINECO(Spanish Government); AGAUR(Agencia de Gestio D'Ajuts Universitaris de Recerca Agaur (AGAUR)); Ramon y Cajal contract(Spanish Government); Spain's Agencia Estatal de Investigacion (AEI); Programme CERCA from Generalitat de Catalunya; AEI</t>
        </is>
      </c>
      <c r="AF1080" t="inlineStr">
        <is>
          <t>This study is supported by AGAUR FI fellowship (DOGC num. 7720, of October 5, 2018) and has received funding from la Caixa Foundation, from a MINECO grant awarded to the Barcelona Graduate School of Mathematics (BGSMath) under the Maria de Maeztu. IS has been supported from projects PGC-FIS2018-099629-B-I00 from Spanish MINECO; 2014SGR-1307 from AGAUR. JS has been funded by a Ramon y Cajal contract RYC-2017-22243 and by the Spain's Agencia Estatal de Investigacion (AEI) with grant RTI2018-098322-B-I00. This work has also been supported by the Programme CERCA from Generalitat de Catalunya. LlA has been supported by the AEI grant MTM2017-86795-C3-1-P. The funding sources have not been involved in the collection, the analysis and interpretation of data, the writing of the report and the decision to submit the article for publication.Involvement of human subjects: This study does not involve human subjects. However, it does review studies that involve human subjects.</t>
        </is>
      </c>
      <c r="AH1080" t="n">
        <v>68</v>
      </c>
      <c r="AI1080" t="n">
        <v>8</v>
      </c>
      <c r="AJ1080" t="n">
        <v>9</v>
      </c>
      <c r="AK1080" t="n">
        <v>3</v>
      </c>
      <c r="AL1080" t="n">
        <v>32</v>
      </c>
      <c r="AM1080" t="inlineStr">
        <is>
          <t>ACADEMIC PRESS INC ELSEVIER SCIENCE</t>
        </is>
      </c>
      <c r="AN1080" t="inlineStr">
        <is>
          <t>SAN DIEGO</t>
        </is>
      </c>
      <c r="AO1080" t="inlineStr">
        <is>
          <t>525 B ST, STE 1900, SAN DIEGO, CA 92101-4495 USA</t>
        </is>
      </c>
      <c r="AP1080" t="inlineStr">
        <is>
          <t>0013-9351</t>
        </is>
      </c>
      <c r="AQ1080" t="inlineStr">
        <is>
          <t>1096-0953</t>
        </is>
      </c>
      <c r="AS1080" t="inlineStr">
        <is>
          <t>ENVIRON RES</t>
        </is>
      </c>
      <c r="AT1080" t="inlineStr">
        <is>
          <t>Environ. Res.</t>
        </is>
      </c>
      <c r="AU1080" t="inlineStr">
        <is>
          <t>MAR</t>
        </is>
      </c>
      <c r="AV1080" t="n">
        <v>2021</v>
      </c>
      <c r="AW1080" t="n">
        <v>194</v>
      </c>
      <c r="BE1080" t="n">
        <v>110578</v>
      </c>
      <c r="BF1080" t="inlineStr">
        <is>
          <t>10.1016/j.envres.2020.110578</t>
        </is>
      </c>
      <c r="BG1080">
        <f>HYPERLINK("http://dx.doi.org/10.1016/j.envres.2020.110578","http://dx.doi.org/10.1016/j.envres.2020.110578")</f>
        <v/>
      </c>
      <c r="BJ1080" t="n">
        <v>9</v>
      </c>
      <c r="BK1080" t="inlineStr">
        <is>
          <t>Environmental Sciences; Public, Environmental &amp; Occupational Health</t>
        </is>
      </c>
      <c r="BL1080" t="inlineStr">
        <is>
          <t>Science Citation Index Expanded (SCI-EXPANDED); Social Science Citation Index (SSCI)</t>
        </is>
      </c>
      <c r="BM1080" t="inlineStr">
        <is>
          <t>Environmental Sciences &amp; Ecology; Public, Environmental &amp; Occupational Health</t>
        </is>
      </c>
      <c r="BN1080" t="inlineStr">
        <is>
          <t>RC1YT</t>
        </is>
      </c>
      <c r="BO1080" t="n">
        <v>33333037</v>
      </c>
      <c r="BS1080" t="inlineStr">
        <is>
          <t>2023-10-26</t>
        </is>
      </c>
      <c r="BT1080" t="inlineStr">
        <is>
          <t>WOS:000632601800002</t>
        </is>
      </c>
      <c r="BU1080">
        <f>HYPERLINK("https%3A%2F%2Fwww.webofscience.com%2Fwos%2Fwoscc%2Ffull-record%2FWOS:000632601800002","View Full Record in Web of Science")</f>
        <v/>
      </c>
    </row>
    <row r="1081">
      <c r="A1081" t="inlineStr">
        <is>
          <t>J</t>
        </is>
      </c>
      <c r="B1081" t="inlineStr">
        <is>
          <t>Pfafferott, J; Rissmann, S; Halbig, G; Schroeder, F; Saad, S</t>
        </is>
      </c>
      <c r="F1081" t="inlineStr">
        <is>
          <t>Pfafferott, Jens; Rissmann, Sascha; Halbig, Guido; Schroeder, Franz; Saad, Sascha</t>
        </is>
      </c>
      <c r="J1081" t="inlineStr">
        <is>
          <t>INTERNATIONAL JOURNAL OF ENVIRONMENTAL RESEARCH AND PUBLIC HEALTH</t>
        </is>
      </c>
      <c r="M1081" t="inlineStr">
        <is>
          <t>English</t>
        </is>
      </c>
      <c r="N1081" t="inlineStr">
        <is>
          <t>Article</t>
        </is>
      </c>
      <c r="T1081" t="inlineStr">
        <is>
          <t>Towards a Generic Residential Building Model for Heat-Health Warning Systems</t>
        </is>
      </c>
      <c r="U1081" t="inlineStr">
        <is>
          <t>heat-health warning system; building simulation; generic models; monitoring campaigns; statistical methods; indoor heat stress; thermal comfort; residential buildings</t>
        </is>
      </c>
      <c r="V1081" t="inlineStr">
        <is>
          <t>THERMAL COMFORT; USER BEHAVIOR; CLIMATE; SUMMER</t>
        </is>
      </c>
      <c r="W1081" t="inlineStr">
        <is>
          <t>A strong heat load in buildings and cities during the summer is not a new phenomenon. However, prolonged heat waves and increasing urbanization are intensifying the heat island effect in our cities; hence, the heat exposure in residential buildings. The thermophysiological load in the interior and exterior environments can be reduced in the medium and long term, through urban planning and building physics measures. In the short term, an increasingly vulnerable population must be effectively informed of an impending heat wave. Building simulation models can be favorably used to evaluate indoor heat stress. This study presents a generic simulation model, developed from monitoring data in urban multi-unit residential buildings during a summer period and using statistical methods. The model determines both the average room temperature and its deviations and, thus, consists of three sub-models: cool, average, and warm building types. The simulation model is based on the same mathematical algorithm, whereas each building type is described by a specific data set, concerning its building physical parameters and user behavior, respectively. The generic building model may be used in urban climate analyses with many individual buildings distributed across the city or in heat-health warning systems, with different building and user types distributed across a region. An urban climate analysis (with weather data from a database) may evaluate local differences in urban and indoor climate, whereas heat-health warning systems (driven by a weather forecast) obtain additional information on indoor heat stress and its expected deviations.</t>
        </is>
      </c>
      <c r="X1081" t="inlineStr">
        <is>
          <t>[Pfafferott, Jens; Rissmann, Sascha] Offenburg Univ Appl Sci, Inst Sustainable Energy Syst, D-77652 Offenburg, Germany; [Halbig, Guido] Deutsch Wetterdienst, D-45133 Essen, Germany; [Schroeder, Franz] Metrona Union GmbH, D-81379 Munich, Germany; [Saad, Sascha] Agl Hartz Saad Wendl Landschafts Stadt &amp; Raumplan, D-66111 Saarbrucken, Germany</t>
        </is>
      </c>
      <c r="Y1081" t="inlineStr">
        <is>
          <t>Hochschule Offenburg</t>
        </is>
      </c>
      <c r="Z1081" t="inlineStr">
        <is>
          <t>Pfafferott, J (corresponding author), Offenburg Univ Appl Sci, Inst Sustainable Energy Syst, D-77652 Offenburg, Germany.</t>
        </is>
      </c>
      <c r="AA1081" t="inlineStr">
        <is>
          <t>jens.pfafferott@hs-offenburg.de; sascha.rissmann@hs-offenburg.de; Guido.Halbig@dwd.de; f.schroeder@metrona-union.de; saschasaad@agl-online.de</t>
        </is>
      </c>
      <c r="AD1081" t="inlineStr">
        <is>
          <t>German Federal Ministry of Education and Research (BMBF) [01LP1601C]; Baden-Wuerttemberg Stiftung</t>
        </is>
      </c>
      <c r="AE1081" t="inlineStr">
        <is>
          <t>German Federal Ministry of Education and Research (BMBF)(Federal Ministry of Education &amp; Research (BMBF)); Baden-Wuerttemberg Stiftung</t>
        </is>
      </c>
      <c r="AF1081" t="inlineStr">
        <is>
          <t>This study has been supported by the German Federal Ministry of Education and Research (BMBF), under the grant no. 01LP1601C and within the framework of the Urban Climate Under Change [UC]2 program, as well as by the Baden-Wuerttemberg Stiftung, within the framework of the Adaptation to Climate Change program, which is greatly acknowledged.</t>
        </is>
      </c>
      <c r="AH1081" t="n">
        <v>52</v>
      </c>
      <c r="AI1081" t="n">
        <v>1</v>
      </c>
      <c r="AJ1081" t="n">
        <v>1</v>
      </c>
      <c r="AK1081" t="n">
        <v>0</v>
      </c>
      <c r="AL1081" t="n">
        <v>4</v>
      </c>
      <c r="AM1081" t="inlineStr">
        <is>
          <t>MDPI</t>
        </is>
      </c>
      <c r="AN1081" t="inlineStr">
        <is>
          <t>BASEL</t>
        </is>
      </c>
      <c r="AO1081" t="inlineStr">
        <is>
          <t>ST ALBAN-ANLAGE 66, CH-4052 BASEL, SWITZERLAND</t>
        </is>
      </c>
      <c r="AQ1081" t="inlineStr">
        <is>
          <t>1660-4601</t>
        </is>
      </c>
      <c r="AS1081" t="inlineStr">
        <is>
          <t>INT J ENV RES PUB HE</t>
        </is>
      </c>
      <c r="AT1081" t="inlineStr">
        <is>
          <t>Int. J. Environ. Res. Public Health</t>
        </is>
      </c>
      <c r="AU1081" t="inlineStr">
        <is>
          <t>DEC</t>
        </is>
      </c>
      <c r="AV1081" t="n">
        <v>2021</v>
      </c>
      <c r="AW1081" t="n">
        <v>18</v>
      </c>
      <c r="AX1081" t="n">
        <v>24</v>
      </c>
      <c r="BE1081" t="n">
        <v>13050</v>
      </c>
      <c r="BF1081" t="inlineStr">
        <is>
          <t>10.3390/ijerph182413050</t>
        </is>
      </c>
      <c r="BG1081">
        <f>HYPERLINK("http://dx.doi.org/10.3390/ijerph182413050","http://dx.doi.org/10.3390/ijerph182413050")</f>
        <v/>
      </c>
      <c r="BJ1081" t="n">
        <v>26</v>
      </c>
      <c r="BK1081" t="inlineStr">
        <is>
          <t>Environmental Sciences; Public, Environmental &amp; Occupational Health</t>
        </is>
      </c>
      <c r="BL1081" t="inlineStr">
        <is>
          <t>Science Citation Index Expanded (SCI-EXPANDED); Social Science Citation Index (SSCI)</t>
        </is>
      </c>
      <c r="BM1081" t="inlineStr">
        <is>
          <t>Environmental Sciences &amp; Ecology; Public, Environmental &amp; Occupational Health</t>
        </is>
      </c>
      <c r="BN1081" t="inlineStr">
        <is>
          <t>YA3LP</t>
        </is>
      </c>
      <c r="BO1081" t="n">
        <v>34948658</v>
      </c>
      <c r="BP1081" t="inlineStr">
        <is>
          <t>Green Published, gold</t>
        </is>
      </c>
      <c r="BS1081" t="inlineStr">
        <is>
          <t>2023-10-26</t>
        </is>
      </c>
      <c r="BT1081" t="inlineStr">
        <is>
          <t>WOS:000738239300001</t>
        </is>
      </c>
      <c r="BU1081">
        <f>HYPERLINK("https%3A%2F%2Fwww.webofscience.com%2Fwos%2Fwoscc%2Ffull-record%2FWOS:000738239300001","View Full Record in Web of Science")</f>
        <v/>
      </c>
    </row>
    <row r="1082">
      <c r="A1082" t="inlineStr">
        <is>
          <t>J</t>
        </is>
      </c>
      <c r="B1082" t="inlineStr">
        <is>
          <t>Caçador, C; Teixeira-Lemos, E; Oliveira, J; Pinheiro, J; Mascarenhas-Melo, F; Ramos, F</t>
        </is>
      </c>
      <c r="F1082" t="inlineStr">
        <is>
          <t>Cacador, Catarina; Teixeira-Lemos, Edite; Oliveira, Jorge; Pinheiro, Joao; Mascarenhas-Melo, Filipa; Ramos, Fernando</t>
        </is>
      </c>
      <c r="J1082" t="inlineStr">
        <is>
          <t>INTERNATIONAL JOURNAL OF ENVIRONMENTAL RESEARCH AND PUBLIC HEALTH</t>
        </is>
      </c>
      <c r="M1082" t="inlineStr">
        <is>
          <t>English</t>
        </is>
      </c>
      <c r="N1082" t="inlineStr">
        <is>
          <t>Article</t>
        </is>
      </c>
      <c r="T1082" t="inlineStr">
        <is>
          <t>The Relationship between Nutritional Status and Functional Capacity: A Contribution Study in Institutionalised Portuguese Older Adults</t>
        </is>
      </c>
      <c r="U1082" t="inlineStr">
        <is>
          <t>older adults; nursing homes; exercise; nutrition; cognition; Portugal</t>
        </is>
      </c>
      <c r="V1082" t="inlineStr">
        <is>
          <t>OBESITY; HEIGHT; INDEX</t>
        </is>
      </c>
      <c r="W1082" t="inlineStr">
        <is>
          <t>Demographic aging of the population allied with the new family structures and societal dynamics is generating an increasing demand for institutions for older adults. Nutritional status is a key health determinant that impacts the quality of life among older adults. Hence, the aim of the present study was to evaluate the relationship between nutritional status and nutritional risk, functional capacity, and cognition in institutionalised Portuguese older adults by a cross-sectional study in 15 institutions. Nutritional status (body mass index (BMI), waist circumference (WC), nutritional risk (mini nutritional assessment (MNA)), degree of functional independence (Barthel index (BI)), and cognitive ability (mini mental state examination (MMSE)) were assessed. Of the 214 older adults evaluated, 28.0% were at risk of malnutrition, 69.6% were mildly functional dependent, and 39.3% presented minor cognitive impairment. The risk of malnutrition increased functional dependence and cognitive impairment. The MNA score, but not the BMI or WC, was related to disability and deficits in cognition. A differential interdependence was found between nutritional, cognitive, and functional status. Strategies to improve self-care and well-being in nursing homes should consider a correct diet and a closer evaluation of nutritional risk to preserve cognition, independence, and autonomy.</t>
        </is>
      </c>
      <c r="X1082" t="inlineStr">
        <is>
          <t>[Cacador, Catarina; Ramos, Fernando] Univ Coimbra, Fac Pharm, P-3000548 Coimbra, Portugal; [Teixeira-Lemos, Edite; Oliveira, Jorge] Polytech Inst Viseu, Agr Scholl IPV, P-3504510 Viseu, Portugal; [Teixeira-Lemos, Edite; Oliveira, Jorge] Polytech Inst Viseu, CERNAS IPV Res Ctr, P-3504510 Viseu, Portugal; [Pinheiro, Joao] Univ Coimbra, Fac Med, P-3000548 Coimbra, Portugal; [Mascarenhas-Melo, Filipa] Univ Coimbra, Fac Pharm, Dept Pharmaceut Technol, P-3000548 Coimbra, Portugal; [Ramos, Fernando] REQUIMTE LAQV, RD Manuel 2,Apartado 55142, P-4051401 Porto, Portugal</t>
        </is>
      </c>
      <c r="Y1082" t="inlineStr">
        <is>
          <t>Universidade de Coimbra; Instituto Politecnico de Viseu; Instituto Politecnico de Viseu; Universidade de Coimbra; Universidade de Coimbra</t>
        </is>
      </c>
      <c r="Z1082" t="inlineStr">
        <is>
          <t>Ramos, F (corresponding author), Univ Coimbra, Fac Pharm, P-3000548 Coimbra, Portugal.;Ramos, F (corresponding author), REQUIMTE LAQV, RD Manuel 2,Apartado 55142, P-4051401 Porto, Portugal.</t>
        </is>
      </c>
      <c r="AA1082" t="inlineStr">
        <is>
          <t>cacasabel@hotmail.com; etlemos3@gmail.com; joliveira@esav.ipv.pt; jpinheiro@fmed.uc.pt; filipamelo99@yahoo.com; framos@ff.uc.pt</t>
        </is>
      </c>
      <c r="AB1082" t="inlineStr">
        <is>
          <t>Oliveira, Jorge/C-6443-2014; Ramos, Fernando/H-9356-2012; Mascarenhas-Melo, Filipa/AAT-6427-2021; Teixeira-Lemos, Edite/AAW-9401-2021</t>
        </is>
      </c>
      <c r="AC1082" t="inlineStr">
        <is>
          <t>Oliveira, Jorge/0000-0002-9391-5191; Ramos, Fernando/0000-0002-6043-819X; Mascarenhas-Melo, Filipa/0000-0003-0786-6280; Teixeira-Lemos, Edite/0000-0002-6346-8319; Cacador, Catarina/0000-0002-0673-8060</t>
        </is>
      </c>
      <c r="AD1082" t="inlineStr">
        <is>
          <t>National Funds through FCT/MCTES-Portuguese Foundation for Science and Technology [UIDB/50006/2020]</t>
        </is>
      </c>
      <c r="AE1082" t="inlineStr">
        <is>
          <t>National Funds through FCT/MCTES-Portuguese Foundation for Science and Technology(Fundacao para a Ciencia e a Tecnologia (FCT))</t>
        </is>
      </c>
      <c r="AF1082" t="inlineStr">
        <is>
          <t>This research was financed by National Funds through FCT/MCTES-Portuguese Foundation for Science and Technology [grant No. UIDB/50006/2020].</t>
        </is>
      </c>
      <c r="AH1082" t="n">
        <v>35</v>
      </c>
      <c r="AI1082" t="n">
        <v>7</v>
      </c>
      <c r="AJ1082" t="n">
        <v>8</v>
      </c>
      <c r="AK1082" t="n">
        <v>0</v>
      </c>
      <c r="AL1082" t="n">
        <v>3</v>
      </c>
      <c r="AM1082" t="inlineStr">
        <is>
          <t>MDPI</t>
        </is>
      </c>
      <c r="AN1082" t="inlineStr">
        <is>
          <t>BASEL</t>
        </is>
      </c>
      <c r="AO1082" t="inlineStr">
        <is>
          <t>ST ALBAN-ANLAGE 66, CH-4052 BASEL, SWITZERLAND</t>
        </is>
      </c>
      <c r="AQ1082" t="inlineStr">
        <is>
          <t>1660-4601</t>
        </is>
      </c>
      <c r="AS1082" t="inlineStr">
        <is>
          <t>INT J ENV RES PUB HE</t>
        </is>
      </c>
      <c r="AT1082" t="inlineStr">
        <is>
          <t>Int. J. Environ. Res. Public Health</t>
        </is>
      </c>
      <c r="AU1082" t="inlineStr">
        <is>
          <t>APR</t>
        </is>
      </c>
      <c r="AV1082" t="n">
        <v>2021</v>
      </c>
      <c r="AW1082" t="n">
        <v>18</v>
      </c>
      <c r="AX1082" t="n">
        <v>7</v>
      </c>
      <c r="BE1082" t="n">
        <v>3789</v>
      </c>
      <c r="BF1082" t="inlineStr">
        <is>
          <t>10.3390/ijerph18073789</t>
        </is>
      </c>
      <c r="BG1082">
        <f>HYPERLINK("http://dx.doi.org/10.3390/ijerph18073789","http://dx.doi.org/10.3390/ijerph18073789")</f>
        <v/>
      </c>
      <c r="BJ1082" t="n">
        <v>10</v>
      </c>
      <c r="BK1082" t="inlineStr">
        <is>
          <t>Environmental Sciences; Public, Environmental &amp; Occupational Health</t>
        </is>
      </c>
      <c r="BL1082" t="inlineStr">
        <is>
          <t>Science Citation Index Expanded (SCI-EXPANDED); Social Science Citation Index (SSCI)</t>
        </is>
      </c>
      <c r="BM1082" t="inlineStr">
        <is>
          <t>Environmental Sciences &amp; Ecology; Public, Environmental &amp; Occupational Health</t>
        </is>
      </c>
      <c r="BN1082" t="inlineStr">
        <is>
          <t>RK9BZ</t>
        </is>
      </c>
      <c r="BO1082" t="n">
        <v>33916422</v>
      </c>
      <c r="BP1082" t="inlineStr">
        <is>
          <t>Green Published, gold</t>
        </is>
      </c>
      <c r="BS1082" t="inlineStr">
        <is>
          <t>2023-10-26</t>
        </is>
      </c>
      <c r="BT1082" t="inlineStr">
        <is>
          <t>WOS:000638583600001</t>
        </is>
      </c>
      <c r="BU1082">
        <f>HYPERLINK("https%3A%2F%2Fwww.webofscience.com%2Fwos%2Fwoscc%2Ffull-record%2FWOS:000638583600001","View Full Record in Web of Science")</f>
        <v/>
      </c>
    </row>
    <row r="1083">
      <c r="A1083" t="inlineStr">
        <is>
          <t>J</t>
        </is>
      </c>
      <c r="B1083" t="inlineStr">
        <is>
          <t>Li, YX; Yuan, XL; Wei, J; Sun, YY; Ni, WQ; Zhang, HM; Zhang, Y; Wang, R; Xu, RJ; Chen, GB; Liu, YW; Xu, J</t>
        </is>
      </c>
      <c r="F1083" t="inlineStr">
        <is>
          <t>Li, Yingxin; Yuan, Xueli; Wei, Jing; Sun, Yuanying; Ni, Wenqing; Zhang, Hongmin; Zhang, Yan; Wang, Rui; Xu, Ruijun; Chen, Gongbo; Liu, Yuewei; Xu, Jian</t>
        </is>
      </c>
      <c r="J1083" t="inlineStr">
        <is>
          <t>ATMOSPHERIC ENVIRONMENT</t>
        </is>
      </c>
      <c r="M1083" t="inlineStr">
        <is>
          <t>English</t>
        </is>
      </c>
      <c r="N1083" t="inlineStr">
        <is>
          <t>Article</t>
        </is>
      </c>
      <c r="T1083" t="inlineStr">
        <is>
          <t>Long-term exposure to ambient particulate matter and kidney function in older adults</t>
        </is>
      </c>
      <c r="U1083" t="inlineStr">
        <is>
          <t>Ambient particulate matter pollution; Kidney function; Estimated glomerular filtration rate; Chronic kidney disease; Proteinuria; Older adults</t>
        </is>
      </c>
      <c r="V1083" t="inlineStr">
        <is>
          <t>AIR-POLLUTION; CARDIOVASCULAR-DISEASE; OXIDATIVE STRESS; RENAL-FUNCTION; PARTICLE-SIZE; PM2.5; RISK; ASSOCIATIONS; ALBUMINURIA; MORTALITY</t>
        </is>
      </c>
      <c r="W1083" t="inlineStr">
        <is>
          <t>Background: Accumulating studies have linked ambient particulate matter (PM) pollution to impaired kidney function, but the results are still inconsistent and the effect of particulate matter with an aerodynamic diameter &lt;= 1 pm (PM1) on the kidney remains less clear. Objective: This study aimed to investigate the association of long-term exposure to ambient PM1, particulate matter with an aerodynamic diameter &lt;= 2.5 mu m (PM2.5), and particulate matter with an aerodynamic diameter &lt;= 10 mu m (PM10) with kidney function in older adults. Methods: In this cross-sectional study, we investigated 199,635 adults who were &gt;= 65 years and underwent physical examinations in 695 community health service centers in Shenzhen, China from 2018 to 2019. An estimated glomerular filtration rate (eGFR) of each subject was derived by the Chronic Kidney Disease Epide-miology Collaboration (CKD-EPI) equation. Chronic kidney disease (CKD) was defined as eGFR &lt;60 ml/min/ 1.73 m2. Proteinuria was assessed by a urine dipstick test on freshly voided urine. A validated 10 km x 10 km grid dataset was used to assess long-term residential exposure to PM1, PM2.5, and PM10 for each subject. Linear regression models and logistic regression models were implemented to quantify the association of exposure to PM with eGFR level, CKD, and proteinuria. Results: Each 10 mu g/m3 increase of exposure to PM1, PM2.5, and PM10 was associated with a 0.9%, 2.7%, and 1.0% decrease in eGFR level, an 18%, 36%, and 17% increase in odds of CKD, and a 15%, 11%, and 10% increase in odds of proteinuria, respectively (all p &lt; 0.05). The associations of exposure to PM with the eGFR level and CKD were stronger among women and subjects who were aged &lt;75 years, never smoked, and never drank alcohol. Conclusions: Long-term exposure to ambient PM1, PM2.5, and PM10 was significantly associated with kidney function impairment in older adults.</t>
        </is>
      </c>
      <c r="X1083" t="inlineStr">
        <is>
          <t>[Li, Yingxin; Xu, Ruijun; Liu, Yuewei] Sun Yat Sen Univ, Sch Publ Hlth, Dept Epidemiol, 74 Zhongshan Second Rd, Guangzhou 510080, Guangdong, Peoples R China; [Yuan, Xueli; Sun, Yuanying; Ni, Wenqing; Zhang, Hongmin; Zhang, Yan; Xu, Jian] Shenzhen Ctr Chron Dis Control, 2021 Buxin Rd, Shenzhen 518020, Guangdong, Peoples R China; [Wei, Jing] Univ Maryland, Earth Syst Sci Interdisciplinary Ctr, Dept Atmospher &amp; Ocean Sci, College Pk, MD USA; [Wang, Rui] Luohu Ctr Chron Dis Control, Shenzhen, Guangdong, Peoples R China; [Chen, Gongbo] Sun Yat Sen Univ, Sch Publ Hlth, Dept Occupat &amp; Environm Hlth, Guangzhou, Guangdong, Peoples R China</t>
        </is>
      </c>
      <c r="Y1083" t="inlineStr">
        <is>
          <t>Sun Yat Sen University; University System of Maryland; University of Maryland College Park; Sun Yat Sen University</t>
        </is>
      </c>
      <c r="Z1083" t="inlineStr">
        <is>
          <t>Liu, YW (corresponding author), Sun Yat Sen Univ, Sch Publ Hlth, Dept Epidemiol, 74 Zhongshan Second Rd, Guangzhou 510080, Guangdong, Peoples R China.;Xu, J (corresponding author), Shenzhen Ctr Chron Dis Control, 2021 Buxin Rd, Shenzhen 518020, Guangdong, Peoples R China.</t>
        </is>
      </c>
      <c r="AA1083" t="inlineStr">
        <is>
          <t>liuyuewei@mail.sysu.edu.cn; anniexu73@126.com</t>
        </is>
      </c>
      <c r="AB1083" t="inlineStr">
        <is>
          <t>Wei, Jing/L-5459-2017; wang, yu/IUQ-6654-2023; Liu, Yuewei/J-5147-2019; ni, wenqing/ABE-4730-2020</t>
        </is>
      </c>
      <c r="AC1083" t="inlineStr">
        <is>
          <t>Wei, Jing/0000-0002-8803-7056; Liu, Yuewei/0000-0001-5970-4262;</t>
        </is>
      </c>
      <c r="AD1083" t="inlineStr">
        <is>
          <t>Science and Technology Planning Project of Shenzhen City, Guangdong Province, China [JCYJ20180703145202065, KCXFZ20201221173600001]; Shenzhen Medical Key Discipline Construction Fund, Sanming Project of Medicine in Shenzhen [SZSM201811093]; Medical Scientific Research Foundation of Guangdong Province, China [A2022082]; Fundamental Research Funds for the Central Universities [2021qntd42]; Health Commission of Hubei Province [WJ2019Z016]</t>
        </is>
      </c>
      <c r="AE1083" t="inlineStr">
        <is>
          <t>Science and Technology Planning Project of Shenzhen City, Guangdong Province, China; Shenzhen Medical Key Discipline Construction Fund, Sanming Project of Medicine in Shenzhen; Medical Scientific Research Foundation of Guangdong Province, China; Fundamental Research Funds for the Central Universities(Fundamental Research Funds for the Central Universities); Health Commission of Hubei Province</t>
        </is>
      </c>
      <c r="AF1083" t="inlineStr">
        <is>
          <t>This study was supported by the Science and Technology Planning Project of Shenzhen City, Guangdong Province, China (grant number: JCYJ20180703145202065) , the Science and Technology Planning Project of Shenzhen City, Guangdong Province, China (grant number: KCXFZ20201221173600001) , Shenzhen Medical Key Discipline Construction Fund, Sanming Project of Medicine in Shenzhen (grant number: SZSM201811093) , Medical Scientific Research Foundation of Guangdong Province, China (grant number: A2022082) , Fundamental Research Funds for the Central Universities (grant number: 2021qntd42) , and the Health Commission of Hubei Province (grant number: WJ2019Z016) .</t>
        </is>
      </c>
      <c r="AH1083" t="n">
        <v>58</v>
      </c>
      <c r="AI1083" t="n">
        <v>1</v>
      </c>
      <c r="AJ1083" t="n">
        <v>1</v>
      </c>
      <c r="AK1083" t="n">
        <v>8</v>
      </c>
      <c r="AL1083" t="n">
        <v>11</v>
      </c>
      <c r="AM1083" t="inlineStr">
        <is>
          <t>PERGAMON-ELSEVIER SCIENCE LTD</t>
        </is>
      </c>
      <c r="AN1083" t="inlineStr">
        <is>
          <t>OXFORD</t>
        </is>
      </c>
      <c r="AO1083" t="inlineStr">
        <is>
          <t>THE BOULEVARD, LANGFORD LANE, KIDLINGTON, OXFORD OX5 1GB, ENGLAND</t>
        </is>
      </c>
      <c r="AP1083" t="inlineStr">
        <is>
          <t>1352-2310</t>
        </is>
      </c>
      <c r="AQ1083" t="inlineStr">
        <is>
          <t>1873-2844</t>
        </is>
      </c>
      <c r="AS1083" t="inlineStr">
        <is>
          <t>ATMOS ENVIRON</t>
        </is>
      </c>
      <c r="AT1083" t="inlineStr">
        <is>
          <t>Atmos. Environ.</t>
        </is>
      </c>
      <c r="AU1083" t="inlineStr">
        <is>
          <t>FEB 15</t>
        </is>
      </c>
      <c r="AV1083" t="n">
        <v>2023</v>
      </c>
      <c r="AW1083" t="n">
        <v>295</v>
      </c>
      <c r="BE1083" t="n">
        <v>119535</v>
      </c>
      <c r="BF1083" t="inlineStr">
        <is>
          <t>10.1016/j.atmosenv.2022.119535</t>
        </is>
      </c>
      <c r="BG1083">
        <f>HYPERLINK("http://dx.doi.org/10.1016/j.atmosenv.2022.119535","http://dx.doi.org/10.1016/j.atmosenv.2022.119535")</f>
        <v/>
      </c>
      <c r="BI1083" t="inlineStr">
        <is>
          <t>DEC 2022</t>
        </is>
      </c>
      <c r="BJ1083" t="n">
        <v>8</v>
      </c>
      <c r="BK1083" t="inlineStr">
        <is>
          <t>Environmental Sciences; Meteorology &amp; Atmospheric Sciences</t>
        </is>
      </c>
      <c r="BL1083" t="inlineStr">
        <is>
          <t>Science Citation Index Expanded (SCI-EXPANDED)</t>
        </is>
      </c>
      <c r="BM1083" t="inlineStr">
        <is>
          <t>Environmental Sciences &amp; Ecology; Meteorology &amp; Atmospheric Sciences</t>
        </is>
      </c>
      <c r="BN1083" t="inlineStr">
        <is>
          <t>7R1KX</t>
        </is>
      </c>
      <c r="BS1083" t="inlineStr">
        <is>
          <t>2023-10-26</t>
        </is>
      </c>
      <c r="BT1083" t="inlineStr">
        <is>
          <t>WOS:000909838200001</t>
        </is>
      </c>
      <c r="BU1083">
        <f>HYPERLINK("https%3A%2F%2Fwww.webofscience.com%2Fwos%2Fwoscc%2Ffull-record%2FWOS:000909838200001","View Full Record in Web of Science")</f>
        <v/>
      </c>
    </row>
    <row r="1084">
      <c r="A1084" t="inlineStr">
        <is>
          <t>J</t>
        </is>
      </c>
      <c r="B1084" t="inlineStr">
        <is>
          <t>Zhang, XY; Liang, JY; Wang, BB; Lv, Y; Xie, JC</t>
        </is>
      </c>
      <c r="F1084" t="inlineStr">
        <is>
          <t>Zhang, Xueyan; Liang, Jingyi; Wang, Beibei; Lv, Yang; Xie, Jingchao</t>
        </is>
      </c>
      <c r="J1084" t="inlineStr">
        <is>
          <t>INTERNATIONAL JOURNAL OF ENVIRONMENTAL RESEARCH AND PUBLIC HEALTH</t>
        </is>
      </c>
      <c r="M1084" t="inlineStr">
        <is>
          <t>English</t>
        </is>
      </c>
      <c r="N1084" t="inlineStr">
        <is>
          <t>Article</t>
        </is>
      </c>
      <c r="T1084" t="inlineStr">
        <is>
          <t>Indoor Air Design Parameters of Air Conditioners for Mold-Prevention and Antibacterial in Island Residential Buildings</t>
        </is>
      </c>
      <c r="U1084" t="inlineStr">
        <is>
          <t>island residential buildings; dominant fungi; design parameters of air conditioner; mold-prevention and antibacterial</t>
        </is>
      </c>
      <c r="V1084" t="inlineStr">
        <is>
          <t>FUNGAL GROWTH; MOISTURE; HUMIDITY; HEALTH; CONTAMINATION; ASSOCIATIONS; TEMPERATURE; BACTERIA; DAMPNESS</t>
        </is>
      </c>
      <c r="W1084" t="inlineStr">
        <is>
          <t>The climate characteristics of the islands in the Nansha Islands of China are a typical marine climate including high temperature, high relative humidity, high salt content, strong solar radiation, and long sunshine. These can provide suitable conditions for mold reproduction on the surface of the wall in a building. Therefore, mildew pollution on the wall for a long time can easily damage the building's structure. It does not only directly affect the appearance of the building, but also indirectly affects the indoor environment and human health. In this paper, dominant fungi in the residential buildings on thee Nansha Islands of China are Aspergillus, Penicillium, and Cladosporium. Critical lines of temperature and relative humidity for mould growth on the interior surfaces of island residential building envelopes have been given and discussed. The results show that the risk of mould growth on the wall with different materials, from low to high, is reinforced concrete, aerated concrete block, coral aggregate, brick, and wood. Furthermore, in order to prevent the room regulated by air conditioner from being contaminated by mould, indoor air temperature should be set variable and controlled between 26 degrees C and 28 degrees C, the relative humidity should be changed between 50% and 80%.</t>
        </is>
      </c>
      <c r="X1084" t="inlineStr">
        <is>
          <t>[Zhang, Xueyan; Liang, Jingyi; Wang, Beibei; Lv, Yang] Dalian Univ Technol, Sch Civil Engn, Dalian 116024, Peoples R China; [Xie, Jingchao] Beijing Univ Technol, Sch Construct Engn, Beijing 100000, Peoples R China</t>
        </is>
      </c>
      <c r="Y1084" t="inlineStr">
        <is>
          <t>Dalian University of Technology; Beijing University of Technology</t>
        </is>
      </c>
      <c r="Z1084" t="inlineStr">
        <is>
          <t>Lv, Y (corresponding author), Dalian Univ Technol, Sch Civil Engn, Dalian 116024, Peoples R China.</t>
        </is>
      </c>
      <c r="AA1084" t="inlineStr">
        <is>
          <t>xueyan@dlut.edu.cn; liangjingyi1216@163.com; 17863900970@163.com; lvyang@dlut.edu.cn; xiejc@bjut.edu.cn</t>
        </is>
      </c>
      <c r="AD1084" t="inlineStr">
        <is>
          <t>National Key RD Program [2018yfc0704055]; NSFC Programs [91743102, 51308088, 52078098, 51608092, 51978118]</t>
        </is>
      </c>
      <c r="AE1084" t="inlineStr">
        <is>
          <t>National Key RD Program; NSFC Programs(National Natural Science Foundation of China (NSFC))</t>
        </is>
      </c>
      <c r="AF1084" t="inlineStr">
        <is>
          <t>The work was supported by the National Key R&amp;D Program (2018yfc0704055), and the NSFC Programs (No.91743102, 51308088, 52078098, 51608092, 51978118).</t>
        </is>
      </c>
      <c r="AH1084" t="n">
        <v>58</v>
      </c>
      <c r="AI1084" t="n">
        <v>3</v>
      </c>
      <c r="AJ1084" t="n">
        <v>5</v>
      </c>
      <c r="AK1084" t="n">
        <v>3</v>
      </c>
      <c r="AL1084" t="n">
        <v>33</v>
      </c>
      <c r="AM1084" t="inlineStr">
        <is>
          <t>MDPI</t>
        </is>
      </c>
      <c r="AN1084" t="inlineStr">
        <is>
          <t>BASEL</t>
        </is>
      </c>
      <c r="AO1084" t="inlineStr">
        <is>
          <t>ST ALBAN-ANLAGE 66, CH-4052 BASEL, SWITZERLAND</t>
        </is>
      </c>
      <c r="AQ1084" t="inlineStr">
        <is>
          <t>1660-4601</t>
        </is>
      </c>
      <c r="AS1084" t="inlineStr">
        <is>
          <t>INT J ENV RES PUB HE</t>
        </is>
      </c>
      <c r="AT1084" t="inlineStr">
        <is>
          <t>Int. J. Environ. Res. Public Health</t>
        </is>
      </c>
      <c r="AU1084" t="inlineStr">
        <is>
          <t>OCT</t>
        </is>
      </c>
      <c r="AV1084" t="n">
        <v>2020</v>
      </c>
      <c r="AW1084" t="n">
        <v>17</v>
      </c>
      <c r="AX1084" t="n">
        <v>19</v>
      </c>
      <c r="BE1084" t="n">
        <v>7316</v>
      </c>
      <c r="BF1084" t="inlineStr">
        <is>
          <t>10.3390/ijerph17197316</t>
        </is>
      </c>
      <c r="BG1084">
        <f>HYPERLINK("http://dx.doi.org/10.3390/ijerph17197316","http://dx.doi.org/10.3390/ijerph17197316")</f>
        <v/>
      </c>
      <c r="BJ1084" t="n">
        <v>16</v>
      </c>
      <c r="BK1084" t="inlineStr">
        <is>
          <t>Environmental Sciences; Public, Environmental &amp; Occupational Health</t>
        </is>
      </c>
      <c r="BL1084" t="inlineStr">
        <is>
          <t>Science Citation Index Expanded (SCI-EXPANDED); Social Science Citation Index (SSCI)</t>
        </is>
      </c>
      <c r="BM1084" t="inlineStr">
        <is>
          <t>Environmental Sciences &amp; Ecology; Public, Environmental &amp; Occupational Health</t>
        </is>
      </c>
      <c r="BN1084" t="inlineStr">
        <is>
          <t>ON5IU</t>
        </is>
      </c>
      <c r="BO1084" t="n">
        <v>33036400</v>
      </c>
      <c r="BP1084" t="inlineStr">
        <is>
          <t>Green Published, gold</t>
        </is>
      </c>
      <c r="BS1084" t="inlineStr">
        <is>
          <t>2023-10-26</t>
        </is>
      </c>
      <c r="BT1084" t="inlineStr">
        <is>
          <t>WOS:000586735300001</t>
        </is>
      </c>
      <c r="BU1084">
        <f>HYPERLINK("https%3A%2F%2Fwww.webofscience.com%2Fwos%2Fwoscc%2Ffull-record%2FWOS:000586735300001","View Full Record in Web of Science")</f>
        <v/>
      </c>
    </row>
    <row r="1085">
      <c r="A1085" t="inlineStr">
        <is>
          <t>J</t>
        </is>
      </c>
      <c r="B1085" t="inlineStr">
        <is>
          <t>Callway, R; Pineo, H; Moore, G</t>
        </is>
      </c>
      <c r="F1085" t="inlineStr">
        <is>
          <t>Callway, Rosalie; Pineo, Helen; Moore, Gemma</t>
        </is>
      </c>
      <c r="J1085" t="inlineStr">
        <is>
          <t>SUSTAINABILITY</t>
        </is>
      </c>
      <c r="M1085" t="inlineStr">
        <is>
          <t>English</t>
        </is>
      </c>
      <c r="N1085" t="inlineStr">
        <is>
          <t>Article</t>
        </is>
      </c>
      <c r="T1085" t="inlineStr">
        <is>
          <t>Understanding the Role of Standards in the Negotiation of a Healthy Built Environment</t>
        </is>
      </c>
      <c r="U1085" t="inlineStr">
        <is>
          <t>health; wellbeing; standards; built environment; negotiation; urban sustainability; implementation</t>
        </is>
      </c>
      <c r="W1085" t="inlineStr">
        <is>
          <t>A growing number of international standards promote Healthy Built Environment (HBE) principles which aim to enhance occupant and user health and wellbeing. Few studies examine the implementation of these standards; whether and how they affect health through changes to built-environment design, construction, and operations. This study reviews a set of sustainability and HBE standards, based on a qualitative analysis of standard documents, standard and socio-technical literature on normalization and negotiation, and interviews with 31 practitioners from four geographical regions. The analysis indicates that standards can impact individual, organizational, and market-scale definitions of an HBE. Some changes to practice are identified, such as procurement and internal layout decisions. There is more limited evidence of changes to dominant, short-term decision-making practices related to cost control and user engagement in operational decisions. HBE standards risk establishing narrow definitions of health and wellbeing focused on building occupants rather than promoting broader, contextually situated, principles of equity, inclusion, and ecosystem functioning crucial for health. There is a need to improve sustainability and HBE standards to take better account of local contexts and promote systems thinking. Further examination of dominant collective negotiation processes is required to identify opportunities to better embed standards within organizational practice.</t>
        </is>
      </c>
      <c r="X1085" t="inlineStr">
        <is>
          <t>[Callway, Rosalie; Pineo, Helen; Moore, Gemma] UCL Inst Environm Design &amp; Engn IEDE, London WC1H 0NN, England</t>
        </is>
      </c>
      <c r="Y1085" t="inlineStr">
        <is>
          <t>University of London; University College London</t>
        </is>
      </c>
      <c r="Z1085" t="inlineStr">
        <is>
          <t>Callway, R (corresponding author), UCL Inst Environm Design &amp; Engn IEDE, London WC1H 0NN, England.</t>
        </is>
      </c>
      <c r="AA1085" t="inlineStr">
        <is>
          <t>rfcallway@gmail.com; helen.pineo@ucl.ac.uk; Gemma.Moore@ucl.ac.uk</t>
        </is>
      </c>
      <c r="AB1085" t="inlineStr">
        <is>
          <t>Callway, Rosalie/AFS-3765-2022</t>
        </is>
      </c>
      <c r="AC1085" t="inlineStr">
        <is>
          <t>Callway, Rosalie/0000-0002-9603-1789; Moore, Gemma/0000-0001-8175-4645</t>
        </is>
      </c>
      <c r="AD1085" t="inlineStr">
        <is>
          <t>Guy's and St Thomas' Charity; Complex Urban Systems for Sustainability and Health project (Wellcome Trust) [209387/Z/17/Z]</t>
        </is>
      </c>
      <c r="AE1085" t="inlineStr">
        <is>
          <t>Guy's and St Thomas' Charity; Complex Urban Systems for Sustainability and Health project (Wellcome Trust)(Wellcome Trust)</t>
        </is>
      </c>
      <c r="AF1085" t="inlineStr">
        <is>
          <t>This research was funded by Guy's and St Thomas' Charity and the Complex Urban Systems for Sustainability and Health project (Wellcome Trust grant 209387/Z/17/Z).</t>
        </is>
      </c>
      <c r="AH1085" t="n">
        <v>84</v>
      </c>
      <c r="AI1085" t="n">
        <v>2</v>
      </c>
      <c r="AJ1085" t="n">
        <v>3</v>
      </c>
      <c r="AK1085" t="n">
        <v>0</v>
      </c>
      <c r="AL1085" t="n">
        <v>8</v>
      </c>
      <c r="AM1085" t="inlineStr">
        <is>
          <t>MDPI</t>
        </is>
      </c>
      <c r="AN1085" t="inlineStr">
        <is>
          <t>BASEL</t>
        </is>
      </c>
      <c r="AO1085" t="inlineStr">
        <is>
          <t>ST ALBAN-ANLAGE 66, CH-4052 BASEL, SWITZERLAND</t>
        </is>
      </c>
      <c r="AQ1085" t="inlineStr">
        <is>
          <t>2071-1050</t>
        </is>
      </c>
      <c r="AS1085" t="inlineStr">
        <is>
          <t>SUSTAINABILITY-BASEL</t>
        </is>
      </c>
      <c r="AT1085" t="inlineStr">
        <is>
          <t>Sustainability</t>
        </is>
      </c>
      <c r="AU1085" t="inlineStr">
        <is>
          <t>DEC</t>
        </is>
      </c>
      <c r="AV1085" t="n">
        <v>2020</v>
      </c>
      <c r="AW1085" t="n">
        <v>12</v>
      </c>
      <c r="AX1085" t="n">
        <v>23</v>
      </c>
      <c r="BE1085" t="n">
        <v>9884</v>
      </c>
      <c r="BF1085" t="inlineStr">
        <is>
          <t>10.3390/su12239884</t>
        </is>
      </c>
      <c r="BG1085">
        <f>HYPERLINK("http://dx.doi.org/10.3390/su12239884","http://dx.doi.org/10.3390/su12239884")</f>
        <v/>
      </c>
      <c r="BJ1085" t="n">
        <v>26</v>
      </c>
      <c r="BK1085" t="inlineStr">
        <is>
          <t>Green &amp; Sustainable Science &amp; Technology; Environmental Sciences; Environmental Studies</t>
        </is>
      </c>
      <c r="BL1085" t="inlineStr">
        <is>
          <t>Science Citation Index Expanded (SCI-EXPANDED); Social Science Citation Index (SSCI)</t>
        </is>
      </c>
      <c r="BM1085" t="inlineStr">
        <is>
          <t>Science &amp; Technology - Other Topics; Environmental Sciences &amp; Ecology</t>
        </is>
      </c>
      <c r="BN1085" t="inlineStr">
        <is>
          <t>PD1TV</t>
        </is>
      </c>
      <c r="BO1085" t="n">
        <v>33408880</v>
      </c>
      <c r="BP1085" t="inlineStr">
        <is>
          <t>gold, Green Accepted, Green Submitted</t>
        </is>
      </c>
      <c r="BS1085" t="inlineStr">
        <is>
          <t>2023-10-26</t>
        </is>
      </c>
      <c r="BT1085" t="inlineStr">
        <is>
          <t>WOS:000597477000001</t>
        </is>
      </c>
      <c r="BU1085">
        <f>HYPERLINK("https%3A%2F%2Fwww.webofscience.com%2Fwos%2Fwoscc%2Ffull-record%2FWOS:000597477000001","View Full Record in Web of Science")</f>
        <v/>
      </c>
    </row>
    <row r="1086">
      <c r="A1086" t="inlineStr">
        <is>
          <t>J</t>
        </is>
      </c>
      <c r="B1086" t="inlineStr">
        <is>
          <t>Al-Rawi, M; Lazonby, A; Wai, AA</t>
        </is>
      </c>
      <c r="F1086" t="inlineStr">
        <is>
          <t>Al-Rawi, Mohammad; Lazonby, Annette; Wai, Abel A.</t>
        </is>
      </c>
      <c r="J1086" t="inlineStr">
        <is>
          <t>ATMOSPHERE</t>
        </is>
      </c>
      <c r="M1086" t="inlineStr">
        <is>
          <t>English</t>
        </is>
      </c>
      <c r="N1086" t="inlineStr">
        <is>
          <t>Article</t>
        </is>
      </c>
      <c r="T1086" t="inlineStr">
        <is>
          <t>Assessing Indoor Environmental Quality in a Crowded Low-Quality Built Environment: A Case Study</t>
        </is>
      </c>
      <c r="U1086" t="inlineStr">
        <is>
          <t>computational fluid dynamics (CFD); Healthy Homes Standards 2019; American Society of Heating; Refrigeration and Airconditioning Engineers (ASHRAE) 55-2017; New Zealand Housing; thermal comfort</t>
        </is>
      </c>
      <c r="V1086" t="inlineStr">
        <is>
          <t>CHILDHOOD HOSPITAL ADMISSIONS; ACUTE RESPIRATORY-INFECTION; SIMULATION; OFFICE</t>
        </is>
      </c>
      <c r="W1086" t="inlineStr">
        <is>
          <t>Home heating, cooling and ventilation are a major concern for those living in low-quality built environments, particularly those with high occupancy rates (crowded houses). In New Zealand, both owner-occupiers and tenants can experience problems associated with poor Indoor Environmental Quality (IEQ), such as poor thermal comfort and dampness, when Heating Ventilation and Air-Conditioning (HVAC) systems are not installed, improperly installed or too expensive to run. Occupants of poorer households are the most affected by high installation or running costs of HVAC systems, and are also more likely to live in households with a higher level of crowding. Poor IEQ in housing is associated with adverse health outcomes, particularly respiratory illness. This paper outlines the IEQ problems experienced by households living in an area of New Zealand with higher levels deprivation and shows how an HVAC system could be employed to remedy poor IEQ. This report presents a case study of a house with poor IEQ that was selected from a survey conducted across 24 homes in the Manukau, Auckland region of New Zealand. The IEQ results are presented for this house, which performs poorly in terms of relative humidity, temperature and thermal comfort. This house is then analysed using the computational fluid dynamics (CFD) approach in ANSYS CFX 2021R1 based on the American Society of Heating, Refrigeration and Airconditioning Engineers (ASHRAE) standard 55-2017 and a model of temperature and air flow is created in the software, which can identify ways to improve these parameters in the house. These results are compared with the New Zealand Healthy Homes Standards 2019. The simulation showed the system was capable of lifting the indoor temperature to above 21 degrees C, eliminating cold spots and improving thermal comfort, and reduced relative humidity to below 50%.</t>
        </is>
      </c>
      <c r="X1086" t="inlineStr">
        <is>
          <t>[Al-Rawi, Mohammad] Univ Auckland, Fac Engn Chem &amp; Mat Engn, Auckland 1010, New Zealand; [Al-Rawi, Mohammad] Waikato Inst Technol, Ctr Engn &amp; Ind Design CEID, Hamilton 3240, New Zealand; [Lazonby, Annette] Univ Auckland, Fac Business &amp; Econ, Auckland 1010, New Zealand; [Wai, Abel A.] Hasting Deering PNG Ltd, Port Moresby 121, Papua N Guinea</t>
        </is>
      </c>
      <c r="Y1086" t="inlineStr">
        <is>
          <t>University of Auckland; Waikato Institute of Technology; University of Auckland</t>
        </is>
      </c>
      <c r="Z1086" t="inlineStr">
        <is>
          <t>Al-Rawi, M (corresponding author), Univ Auckland, Fac Engn Chem &amp; Mat Engn, Auckland 1010, New Zealand.;Al-Rawi, M (corresponding author), Waikato Inst Technol, Ctr Engn &amp; Ind Design CEID, Hamilton 3240, New Zealand.</t>
        </is>
      </c>
      <c r="AA1086" t="inlineStr">
        <is>
          <t>mohammad.al-rawi@auckland.ac.nz</t>
        </is>
      </c>
      <c r="AB1086" t="inlineStr">
        <is>
          <t>AL-Rawi, Mohammad/AAU-8479-2021</t>
        </is>
      </c>
      <c r="AC1086" t="inlineStr">
        <is>
          <t>AL-Rawi, Mohammad/0000-0002-5794-6871</t>
        </is>
      </c>
      <c r="AD1086" t="inlineStr">
        <is>
          <t>Centre for Engineering and Industrial Design, Te Pukenga-Waikato Institute of Technology</t>
        </is>
      </c>
      <c r="AE1086" t="inlineStr">
        <is>
          <t>Centre for Engineering and Industrial Design, Te Pukenga-Waikato Institute of Technology</t>
        </is>
      </c>
      <c r="AF1086" t="inlineStr">
        <is>
          <t>The research presented in this paper was partially supported by the Centre for Engineering and Industrial Design, Te Pukenga-Waikato Institute of Technology. The authors would also like to acknowledge Te Pukenga-Manukau Institute of Technology and the following: Shikhsha Mudun, Ranjit Singh and Kashyap Rajendrakumar Patel for collecting the survey data.</t>
        </is>
      </c>
      <c r="AH1086" t="n">
        <v>24</v>
      </c>
      <c r="AI1086" t="n">
        <v>0</v>
      </c>
      <c r="AJ1086" t="n">
        <v>0</v>
      </c>
      <c r="AK1086" t="n">
        <v>0</v>
      </c>
      <c r="AL1086" t="n">
        <v>2</v>
      </c>
      <c r="AM1086" t="inlineStr">
        <is>
          <t>MDPI</t>
        </is>
      </c>
      <c r="AN1086" t="inlineStr">
        <is>
          <t>BASEL</t>
        </is>
      </c>
      <c r="AO1086" t="inlineStr">
        <is>
          <t>ST ALBAN-ANLAGE 66, CH-4052 BASEL, SWITZERLAND</t>
        </is>
      </c>
      <c r="AQ1086" t="inlineStr">
        <is>
          <t>2073-4433</t>
        </is>
      </c>
      <c r="AS1086" t="inlineStr">
        <is>
          <t>ATMOSPHERE-BASEL</t>
        </is>
      </c>
      <c r="AT1086" t="inlineStr">
        <is>
          <t>Atmosphere</t>
        </is>
      </c>
      <c r="AU1086" t="inlineStr">
        <is>
          <t>OCT</t>
        </is>
      </c>
      <c r="AV1086" t="n">
        <v>2022</v>
      </c>
      <c r="AW1086" t="n">
        <v>13</v>
      </c>
      <c r="AX1086" t="n">
        <v>10</v>
      </c>
      <c r="BE1086" t="n">
        <v>1703</v>
      </c>
      <c r="BF1086" t="inlineStr">
        <is>
          <t>10.3390/atmos13101703</t>
        </is>
      </c>
      <c r="BG1086">
        <f>HYPERLINK("http://dx.doi.org/10.3390/atmos13101703","http://dx.doi.org/10.3390/atmos13101703")</f>
        <v/>
      </c>
      <c r="BJ1086" t="n">
        <v>16</v>
      </c>
      <c r="BK1086" t="inlineStr">
        <is>
          <t>Environmental Sciences; Meteorology &amp; Atmospheric Sciences</t>
        </is>
      </c>
      <c r="BL1086" t="inlineStr">
        <is>
          <t>Science Citation Index Expanded (SCI-EXPANDED)</t>
        </is>
      </c>
      <c r="BM1086" t="inlineStr">
        <is>
          <t>Environmental Sciences &amp; Ecology; Meteorology &amp; Atmospheric Sciences</t>
        </is>
      </c>
      <c r="BN1086" t="inlineStr">
        <is>
          <t>5O2PH</t>
        </is>
      </c>
      <c r="BP1086" t="inlineStr">
        <is>
          <t>gold</t>
        </is>
      </c>
      <c r="BS1086" t="inlineStr">
        <is>
          <t>2023-10-26</t>
        </is>
      </c>
      <c r="BT1086" t="inlineStr">
        <is>
          <t>WOS:000872321200001</t>
        </is>
      </c>
      <c r="BU1086">
        <f>HYPERLINK("https%3A%2F%2Fwww.webofscience.com%2Fwos%2Fwoscc%2Ffull-record%2FWOS:000872321200001","View Full Record in Web of Science")</f>
        <v/>
      </c>
    </row>
    <row r="1087">
      <c r="A1087" t="inlineStr">
        <is>
          <t>J</t>
        </is>
      </c>
      <c r="B1087" t="inlineStr">
        <is>
          <t>Park, SY; Newton, C; Lee, R</t>
        </is>
      </c>
      <c r="F1087" t="inlineStr">
        <is>
          <t>Park, So Yeon; Newton, Caroline; Lee, Rachel</t>
        </is>
      </c>
      <c r="J1087" t="inlineStr">
        <is>
          <t>INTERNATIONAL JOURNAL OF ENVIRONMENTAL RESEARCH AND PUBLIC HEALTH</t>
        </is>
      </c>
      <c r="M1087" t="inlineStr">
        <is>
          <t>English</t>
        </is>
      </c>
      <c r="N1087" t="inlineStr">
        <is>
          <t>Article</t>
        </is>
      </c>
      <c r="T1087" t="inlineStr">
        <is>
          <t>How to Alleviate Feelings of Crowding in a Working from Home Environment: Lessons Learned from the COVID-19 Pandemic</t>
        </is>
      </c>
      <c r="U1087" t="inlineStr">
        <is>
          <t>feelings of crowding; working from home; work environment; COVID-19; health; productivity</t>
        </is>
      </c>
      <c r="V1087" t="inlineStr">
        <is>
          <t>OFFICE NOISE; PHYSICAL-ENVIRONMENT; EMPLOYEE REACTIONS; PERSONAL CONTROL; WORKSPACE; DENSITY; SATISFACTION; PERFORMANCE; PRIVACY; IMPACT</t>
        </is>
      </c>
      <c r="W1087" t="inlineStr">
        <is>
          <t>The sudden adoption of working from home (WFH) during the COVID-19 pandemic has required the reconfiguration of home spaces to fit space for remote work into existing spaces already filled with other domestic functions. This resulted in blurring of home and work boundaries, the potential lack of space for telecommuting from home, and telecommuters' feelings of crowding. Numerous studies have shown the negative effects of crowding feelings on workers' responses. This study focused on the issue of crowding in the residential workspace. An online survey was conducted to investigate how features of the home workspace correlate with telecommuters' feelings of crowding and how these feelings affect satisfaction, health, and productivity. As a result, we found that various environmental features of home workspaces (e.g., house size, purpose of workspace, accessible balcony, lighting, noise, etc.), as well as psychological aspects (e.g., individual control over space use), had significant effects on telecommuters' feelings of crowdedness. It was also found that feelings of crowding in the WFH environment can directly and indirectly affect teleworkers' satisfaction with work environments, well-being, and work performance. Based on the results, we offered various potential ways to alleviate overcrowding issues in the WFH context.</t>
        </is>
      </c>
      <c r="X1087" t="inlineStr">
        <is>
          <t>[Park, So Yeon; Newton, Caroline] Delft Univ Technol TU Delft, Fac Architecture &amp; Built Environm, Dept Urbanism, Julianalaan 134, NL-2628 BL Delft, Netherlands; [Lee, Rachel] Delft Univ Technol TU Delft, Fac Architecture &amp; Built Environm, Dept Architecture, Julianalaan 134, NL-2628 BL Delft, Netherlands</t>
        </is>
      </c>
      <c r="Z1087" t="inlineStr">
        <is>
          <t>Park, SY (corresponding author), Delft Univ Technol TU Delft, Fac Architecture &amp; Built Environm, Dept Urbanism, Julianalaan 134, NL-2628 BL Delft, Netherlands.</t>
        </is>
      </c>
      <c r="AA1087" t="inlineStr">
        <is>
          <t>s.y.park-1@tudelft.nl</t>
        </is>
      </c>
      <c r="AC1087" t="inlineStr">
        <is>
          <t>Lee, Rachel/0000-0002-4438-2237; Newton, Caroline/0000-0002-0537-4373</t>
        </is>
      </c>
      <c r="AD1087" t="inlineStr">
        <is>
          <t>Basic Science Research Program through the National Research Foundation of Korea (NRF) - Ministry of Education [NRF-2021R1A6A3A03040072]</t>
        </is>
      </c>
      <c r="AE1087" t="inlineStr">
        <is>
          <t>Basic Science Research Program through the National Research Foundation of Korea (NRF) - Ministry of Education(National Research Foundation of KoreaMinistry of Education (MOE), Republic of KoreaNational Research Council for Economics, Humanities &amp; Social Sciences, Republic of Korea)</t>
        </is>
      </c>
      <c r="AF1087" t="inlineStr">
        <is>
          <t>This research was supported by Basic Science Research Program through the National Research Foundation of Korea (NRF) funded by the Ministry of Education (No. NRF-2021R1A6A3A03040072).</t>
        </is>
      </c>
      <c r="AH1087" t="n">
        <v>102</v>
      </c>
      <c r="AI1087" t="n">
        <v>1</v>
      </c>
      <c r="AJ1087" t="n">
        <v>1</v>
      </c>
      <c r="AK1087" t="n">
        <v>10</v>
      </c>
      <c r="AL1087" t="n">
        <v>14</v>
      </c>
      <c r="AM1087" t="inlineStr">
        <is>
          <t>MDPI</t>
        </is>
      </c>
      <c r="AN1087" t="inlineStr">
        <is>
          <t>BASEL</t>
        </is>
      </c>
      <c r="AO1087" t="inlineStr">
        <is>
          <t>ST ALBAN-ANLAGE 66, CH-4052 BASEL, SWITZERLAND</t>
        </is>
      </c>
      <c r="AQ1087" t="inlineStr">
        <is>
          <t>1660-4601</t>
        </is>
      </c>
      <c r="AS1087" t="inlineStr">
        <is>
          <t>INT J ENV RES PUB HE</t>
        </is>
      </c>
      <c r="AT1087" t="inlineStr">
        <is>
          <t>Int. J. Environ. Res. Public Health</t>
        </is>
      </c>
      <c r="AU1087" t="inlineStr">
        <is>
          <t>JAN</t>
        </is>
      </c>
      <c r="AV1087" t="n">
        <v>2023</v>
      </c>
      <c r="AW1087" t="n">
        <v>20</v>
      </c>
      <c r="AX1087" t="n">
        <v>2</v>
      </c>
      <c r="BE1087" t="n">
        <v>1025</v>
      </c>
      <c r="BF1087" t="inlineStr">
        <is>
          <t>10.3390/ijerph20021025</t>
        </is>
      </c>
      <c r="BG1087">
        <f>HYPERLINK("http://dx.doi.org/10.3390/ijerph20021025","http://dx.doi.org/10.3390/ijerph20021025")</f>
        <v/>
      </c>
      <c r="BJ1087" t="n">
        <v>21</v>
      </c>
      <c r="BK1087" t="inlineStr">
        <is>
          <t>Environmental Sciences; Public, Environmental &amp; Occupational Health</t>
        </is>
      </c>
      <c r="BL1087" t="inlineStr">
        <is>
          <t>Science Citation Index Expanded (SCI-EXPANDED); Social Science Citation Index (SSCI)</t>
        </is>
      </c>
      <c r="BM1087" t="inlineStr">
        <is>
          <t>Environmental Sciences &amp; Ecology; Public, Environmental &amp; Occupational Health</t>
        </is>
      </c>
      <c r="BN1087" t="inlineStr">
        <is>
          <t>7Y8QE</t>
        </is>
      </c>
      <c r="BO1087" t="n">
        <v>36673782</v>
      </c>
      <c r="BP1087" t="inlineStr">
        <is>
          <t>Green Published, gold</t>
        </is>
      </c>
      <c r="BS1087" t="inlineStr">
        <is>
          <t>2023-10-26</t>
        </is>
      </c>
      <c r="BT1087" t="inlineStr">
        <is>
          <t>WOS:000915135700001</t>
        </is>
      </c>
      <c r="BU1087">
        <f>HYPERLINK("https%3A%2F%2Fwww.webofscience.com%2Fwos%2Fwoscc%2Ffull-record%2FWOS:000915135700001","View Full Record in Web of Science")</f>
        <v/>
      </c>
    </row>
    <row r="1088">
      <c r="A1088" t="inlineStr">
        <is>
          <t>S</t>
        </is>
      </c>
      <c r="B1088" t="inlineStr">
        <is>
          <t>Vu, TV; Harrison, RM</t>
        </is>
      </c>
      <c r="D1088" t="inlineStr">
        <is>
          <t>Harrison, RM; Hester, RE</t>
        </is>
      </c>
      <c r="F1088" t="inlineStr">
        <is>
          <t>Vu, Tuan V.; Harrison, Roy M.</t>
        </is>
      </c>
      <c r="J1088" t="inlineStr">
        <is>
          <t>INDOOR AIR POLLUTION</t>
        </is>
      </c>
      <c r="K1088" t="inlineStr">
        <is>
          <t>Issues in Environmental Science and Technology Series</t>
        </is>
      </c>
      <c r="M1088" t="inlineStr">
        <is>
          <t>English</t>
        </is>
      </c>
      <c r="N1088" t="inlineStr">
        <is>
          <t>Article; Book Chapter</t>
        </is>
      </c>
      <c r="T1088" t="inlineStr">
        <is>
          <t>Chemical and Physical Properties of Indoor Aerosols</t>
        </is>
      </c>
      <c r="V1088" t="inlineStr">
        <is>
          <t>SECONDARY ORGANIC AEROSOL; FINE-PARTICLE EMISSIONS; OZONE-INITIATED REACTIONS; ULTRAFINE PARTICLES; SIZE DISTRIBUTIONS; TOBACCO-SMOKE; DEPOSITION RATES; HYGROSCOPIC GROWTH; PARTICULATE MATTER; CIGARETTE-SMOKE</t>
        </is>
      </c>
      <c r="W1088" t="inlineStr">
        <is>
          <t>Air pollution presents one of the greatest health risks worldwide; hence indoor pollutants have received considerable attention, with a rapidly increasing number of publications in recent decades. This chapter reviews and updates the state of knowledge on indoor aerosols with a focus on their behaviour, physicochemical properties and implications for health assessment studies. It begins with a brief outline of fundamental aerosol dynamics (i.e. deposition, coagulation, evaporation and nucleation) and the main factors that control and affect the concentration and behaviour of aerosols indoors. It then summarizes the concentrations and physicochemical profiles of aerosols in different major indoor sources and microenvironments such as homes, offices and schools. Implications of particle properties for lung dose calculations are discussed. Based on this work, it is concluded that indoor aerosols show a range of particle size distributions and chemical compositions, depending on different indoor emissions and aerosol indoor dynamics. Household aerosols are identified as a main contributor to the total and regional lung dose of ambient particles, especially when expressed by number dose.</t>
        </is>
      </c>
      <c r="X1088" t="inlineStr">
        <is>
          <t>[Vu, Tuan V.; Harrison, Roy M.] Univ Birmingham, Dept Environm Hlth &amp; Risk Management, Birmingham B15 2TT, W Midlands, England; [Harrison, Roy M.] King Abdulaziz Univ, Dept Environm Sci, Ctr Excellence Environm Studies, POB 80203, Jeddah 21589, Saudi Arabia</t>
        </is>
      </c>
      <c r="Y1088" t="inlineStr">
        <is>
          <t>University of Birmingham; King Abdulaziz University</t>
        </is>
      </c>
      <c r="Z1088" t="inlineStr">
        <is>
          <t>Harrison, RM (corresponding author), Univ Birmingham, Dept Environm Hlth &amp; Risk Management, Birmingham B15 2TT, W Midlands, England.;Harrison, RM (corresponding author), King Abdulaziz Univ, Dept Environm Sci, Ctr Excellence Environm Studies, POB 80203, Jeddah 21589, Saudi Arabia.</t>
        </is>
      </c>
      <c r="AA1088" t="inlineStr">
        <is>
          <t>r.m.harrison@bham.ac.uk</t>
        </is>
      </c>
      <c r="AB1088" t="inlineStr">
        <is>
          <t>Vu, Tuan/ABC-3022-2020; Harrison, Roy Michael/A-2256-2008; Vu, Tuan/AAF-9502-2019</t>
        </is>
      </c>
      <c r="AC1088" t="inlineStr">
        <is>
          <t>Harrison, Roy Michael/0000-0002-2684-5226; Vu, Tuan/0000-0002-7100-096X</t>
        </is>
      </c>
      <c r="AD1088" t="inlineStr">
        <is>
          <t>Natural Environment Research Council though the AIRPOLL-Beijing project within the APHH programme [NE/N007190/1]; European Union through HEXACOMM [FP7/MC-ITN/315760]</t>
        </is>
      </c>
      <c r="AE1088" t="inlineStr">
        <is>
          <t>Natural Environment Research Council though the AIRPOLL-Beijing project within the APHH programme(UK Research &amp; Innovation (UKRI)Natural Environment Research Council (NERC)); European Union through HEXACOMM</t>
        </is>
      </c>
      <c r="AF1088" t="inlineStr">
        <is>
          <t>This research was supported by Natural Environment Research Council funding though the AIRPOLL-Beijing project within the APHH programme (NE/N007190/1) and the European Union through HEXACOMM(FP7/MC-ITN/315760).</t>
        </is>
      </c>
      <c r="AH1088" t="n">
        <v>155</v>
      </c>
      <c r="AI1088" t="n">
        <v>6</v>
      </c>
      <c r="AJ1088" t="n">
        <v>6</v>
      </c>
      <c r="AK1088" t="n">
        <v>0</v>
      </c>
      <c r="AL1088" t="n">
        <v>8</v>
      </c>
      <c r="AM1088" t="inlineStr">
        <is>
          <t>ROYAL SOC CHEMISTRY</t>
        </is>
      </c>
      <c r="AN1088" t="inlineStr">
        <is>
          <t>CAMBRIDGE</t>
        </is>
      </c>
      <c r="AO1088" t="inlineStr">
        <is>
          <t>THOMAS GRAHAM HOUSE, SCIENCE PARK, CAMBRIDGE CB4 4WF, CAMBS, ENGLAND</t>
        </is>
      </c>
      <c r="AP1088" t="inlineStr">
        <is>
          <t>1350-7583</t>
        </is>
      </c>
      <c r="AR1088" t="inlineStr">
        <is>
          <t>978-1-78801-617-9; 978-1-78801-514-1</t>
        </is>
      </c>
      <c r="AS1088" t="inlineStr">
        <is>
          <t>ISS ENVIRON SCI TECH</t>
        </is>
      </c>
      <c r="AT1088" t="inlineStr">
        <is>
          <t>Iss Environ. Sci. Technol. Ser.</t>
        </is>
      </c>
      <c r="AV1088" t="n">
        <v>2019</v>
      </c>
      <c r="AW1088" t="n">
        <v>48</v>
      </c>
      <c r="BC1088" t="n">
        <v>66</v>
      </c>
      <c r="BD1088" t="n">
        <v>96</v>
      </c>
      <c r="BH1088" t="inlineStr">
        <is>
          <t>10.1039/9781788016179</t>
        </is>
      </c>
      <c r="BJ1088" t="n">
        <v>31</v>
      </c>
      <c r="BK1088" t="inlineStr">
        <is>
          <t>Environmental Sciences</t>
        </is>
      </c>
      <c r="BL1088" t="inlineStr">
        <is>
          <t>Book Citation Index – Science (BKCI-S)</t>
        </is>
      </c>
      <c r="BM1088" t="inlineStr">
        <is>
          <t>Environmental Sciences &amp; Ecology</t>
        </is>
      </c>
      <c r="BN1088" t="inlineStr">
        <is>
          <t>BO5PM</t>
        </is>
      </c>
      <c r="BP1088" t="inlineStr">
        <is>
          <t>Green Submitted</t>
        </is>
      </c>
      <c r="BS1088" t="inlineStr">
        <is>
          <t>2023-10-26</t>
        </is>
      </c>
      <c r="BT1088" t="inlineStr">
        <is>
          <t>WOS:000518621300004</t>
        </is>
      </c>
      <c r="BU1088">
        <f>HYPERLINK("https%3A%2F%2Fwww.webofscience.com%2Fwos%2Fwoscc%2Ffull-record%2FWOS:000518621300004","View Full Record in Web of Science")</f>
        <v/>
      </c>
    </row>
    <row r="1089">
      <c r="A1089" t="inlineStr">
        <is>
          <t>J</t>
        </is>
      </c>
      <c r="B1089" t="inlineStr">
        <is>
          <t>Ilies, DC; Herman, GV; Safarov, B; Ilies, A; Blaga, L; Caciora, T; Peres, AC; Grama, V; Bambang, SW; Brou, T; Taglioni, F; Hassan, TH; Hossain, MA</t>
        </is>
      </c>
      <c r="F1089" t="inlineStr">
        <is>
          <t>Ilies, Dorina Camelia; Herman, Grigore Vasile; Safarov, Bahodirhon; Ilies, Alexandru; Blaga, Lucian; Caciora, Tudor; Peres, Ana Cornelia; Grama, Vasile; Bambang, Sigit Widodo; Brou, Telesphore; Taglioni, Francois; Hassan, Thowayeb H. H.; Hossain, Mallik Akram</t>
        </is>
      </c>
      <c r="J1089" t="inlineStr">
        <is>
          <t>SUSTAINABILITY</t>
        </is>
      </c>
      <c r="M1089" t="inlineStr">
        <is>
          <t>English</t>
        </is>
      </c>
      <c r="N1089" t="inlineStr">
        <is>
          <t>Article</t>
        </is>
      </c>
      <c r="T1089" t="inlineStr">
        <is>
          <t>Indoor Air Quality Perception in Built Cultural Heritage in Times of Climate Change</t>
        </is>
      </c>
      <c r="U1089" t="inlineStr">
        <is>
          <t>perception; indoor air quality; museums; cultural heritage; tourism; human health; microclimate change</t>
        </is>
      </c>
      <c r="V1089" t="inlineStr">
        <is>
          <t>HEALTH-RISKS; MUSEUM HOUSE; ENVIRONMENT; UNIVERSITY; BUILDINGS; ARCHIVES; CONTAMINATION; POLLUTION; CHURCHES; ORADEA</t>
        </is>
      </c>
      <c r="W1089" t="inlineStr">
        <is>
          <t>Low quality in a museum's internal microclimate can induce both the deterioration of the exhibit collections, as well as affecting the health of visitors, employees and restorers. Starting from this premise, the present study aims to study the perception of visitors and employees of Darvas-La Roche Museum House (Romania) in relation to the air quality in the exhibition spaces. Their opinions were analyzed based on a questionnaire comprising 11 items aimed at understanding the influence of the indoor environment on the health of individuals, the degree of disturbance induced by the indoor air, if they experienced symptoms of illness after visiting the museum, etc. The obtained data were analyzed statistically in the SPSS 28 program, using tests such as coefficient, analysis of variance (ANOVA) and model summary, in order to obtain correlations between the sets of variables. The results obtained indicate that the majority of respondents perceived the indoor air quality as good, but there were also exceptions (approximately 20% of the respondents), which indicated different symptoms induced by the indoor air. Most of those (%) affected stated that they had pre-existing conditions, wear contact lenses or are smokers. In their case, the statistical-mathematical analyses indicated strong correlations between the ailments they suffer from and the appearance of certain discomforts (caused by too low or too high temperature, dust or dry air, etc.) and disease symptoms (nasal congestion, eye and skin irritations, coughs, migraines, frequent colds, etc.).</t>
        </is>
      </c>
      <c r="X1089" t="inlineStr">
        <is>
          <t>[Ilies, Dorina Camelia; Herman, Grigore Vasile; Ilies, Alexandru; Blaga, Lucian; Caciora, Tudor; Grama, Vasile] Univ Oradea, Fac Geog Tourism &amp; Sport, Dept Geog Tourism &amp; Terr Planning, 1 Univ St, Oradea 410087, Romania; [Safarov, Bahodirhon] Samarkand State Univ, Dept Digital Econ, Samarkand 140105, Uzbekistan; [Peres, Ana Cornelia] Univ Oradea, Fac Environm Protect, Dept Environm Engn, Magheru St 26, Oradea 410087, Romania; [Bambang, Sigit Widodo] Univ Negeri Surabaya, Fac Social Sci &amp; Law, Dept Geog Educ, Surabaya 60213, Indonesia; [Brou, Telesphore; Taglioni, Francois] Univ Reun Isl, Dept Geog Planning Environm &amp; Dev, BP 7151, F-97715 St Denis 9, France; [Hassan, Thowayeb H. H.] King Faisal Univ, Coll Arts, Dept Social Studies, Al Hasa 31982, Saudi Arabia; [Hassan, Thowayeb H. H.] Helwan Univ, Fac Tourism &amp; Hotel Management, Tourism Studies Dept, Cairo 12612, Egypt; [Hossain, Mallik Akram] Jagannath Univ, Dept Geog &amp; Environm, Dhaka 1100, Bangladesh</t>
        </is>
      </c>
      <c r="Y1089" t="inlineStr">
        <is>
          <t>University of Oradea; Samarkand State University; University of Oradea; Universitas Negeri Surabaya; King Faisal University; Egyptian Knowledge Bank (EKB); Helwan University</t>
        </is>
      </c>
      <c r="Z1089" t="inlineStr">
        <is>
          <t>Caciora, T (corresponding author), Univ Oradea, Fac Geog Tourism &amp; Sport, Dept Geog Tourism &amp; Terr Planning, 1 Univ St, Oradea 410087, Romania.</t>
        </is>
      </c>
      <c r="AA1089" t="inlineStr">
        <is>
          <t>dilies@uoradea.ro; gherman@uoradea.ro; safarovb@rambler.ru; ilies@uoradea.ro; lblaga@uoradea.ro; tudor.caciora@yahoo.com; peresana@uoradea.ro; vgrama@uoradea.ro; bambangsigit@unesa.ac.id; telesphore.brou@univ-reunion.fr; francois.taglioni@univ-reunion.fr; thassan@kfu.edu.sa; mallik.a@geography.jnu.ac.bd</t>
        </is>
      </c>
      <c r="AB1089" t="inlineStr">
        <is>
          <t>Herman, Grigore Vasile/A-8371-2019; VASILE, GRAMA/AAB-5592-2021; Pereș, Ana Cornelia/ADL-3033-2022; CAMELIA, ILIES DORINA/AAQ-8904-2020; Blaga, Lucian/U-7061-2017</t>
        </is>
      </c>
      <c r="AC1089" t="inlineStr">
        <is>
          <t>Herman, Grigore Vasile/0000-0002-7586-6226; VASILE, GRAMA/0000-0003-0600-1138; Pereș, Ana Cornelia/0000-0001-9434-3490; CAMELIA, ILIES DORINA/0000-0002-1381-7146; Blaga, Lucian/0000-0003-1572-9817; Taglioni, Francois/0000-0002-3660-4207; Safarov, Bahodirhon/0000-0002-2736-7000</t>
        </is>
      </c>
      <c r="AD1089" t="inlineStr">
        <is>
          <t>Deanship of Scientific Research, Vice Presidency for Graduate Studies and Scientific Research, King Faisal University, Saudi Arabia [3272]</t>
        </is>
      </c>
      <c r="AE1089" t="inlineStr">
        <is>
          <t>Deanship of Scientific Research, Vice Presidency for Graduate Studies and Scientific Research, King Faisal University, Saudi Arabia</t>
        </is>
      </c>
      <c r="AF1089" t="inlineStr">
        <is>
          <t>This work was supported by the Deanship of Scientific Research, Vice Presidency for Graduate Studies and Scientific Research, King Faisal University, Saudi Arabia [Grant No. 3272].</t>
        </is>
      </c>
      <c r="AH1089" t="n">
        <v>79</v>
      </c>
      <c r="AI1089" t="n">
        <v>0</v>
      </c>
      <c r="AJ1089" t="n">
        <v>0</v>
      </c>
      <c r="AK1089" t="n">
        <v>2</v>
      </c>
      <c r="AL1089" t="n">
        <v>2</v>
      </c>
      <c r="AM1089" t="inlineStr">
        <is>
          <t>MDPI</t>
        </is>
      </c>
      <c r="AN1089" t="inlineStr">
        <is>
          <t>BASEL</t>
        </is>
      </c>
      <c r="AO1089" t="inlineStr">
        <is>
          <t>ST ALBAN-ANLAGE 66, CH-4052 BASEL, SWITZERLAND</t>
        </is>
      </c>
      <c r="AQ1089" t="inlineStr">
        <is>
          <t>2071-1050</t>
        </is>
      </c>
      <c r="AS1089" t="inlineStr">
        <is>
          <t>SUSTAINABILITY-BASEL</t>
        </is>
      </c>
      <c r="AT1089" t="inlineStr">
        <is>
          <t>Sustainability</t>
        </is>
      </c>
      <c r="AU1089" t="inlineStr">
        <is>
          <t>MAY 19</t>
        </is>
      </c>
      <c r="AV1089" t="n">
        <v>2023</v>
      </c>
      <c r="AW1089" t="n">
        <v>15</v>
      </c>
      <c r="AX1089" t="n">
        <v>10</v>
      </c>
      <c r="BE1089" t="n">
        <v>8284</v>
      </c>
      <c r="BF1089" t="inlineStr">
        <is>
          <t>10.3390/su15108284</t>
        </is>
      </c>
      <c r="BG1089">
        <f>HYPERLINK("http://dx.doi.org/10.3390/su15108284","http://dx.doi.org/10.3390/su15108284")</f>
        <v/>
      </c>
      <c r="BJ1089" t="n">
        <v>15</v>
      </c>
      <c r="BK1089" t="inlineStr">
        <is>
          <t>Green &amp; Sustainable Science &amp; Technology; Environmental Sciences; Environmental Studies</t>
        </is>
      </c>
      <c r="BL1089" t="inlineStr">
        <is>
          <t>Science Citation Index Expanded (SCI-EXPANDED); Social Science Citation Index (SSCI)</t>
        </is>
      </c>
      <c r="BM1089" t="inlineStr">
        <is>
          <t>Science &amp; Technology - Other Topics; Environmental Sciences &amp; Ecology</t>
        </is>
      </c>
      <c r="BN1089" t="inlineStr">
        <is>
          <t>H6XB9</t>
        </is>
      </c>
      <c r="BP1089" t="inlineStr">
        <is>
          <t>gold, Green Published</t>
        </is>
      </c>
      <c r="BS1089" t="inlineStr">
        <is>
          <t>2023-10-26</t>
        </is>
      </c>
      <c r="BT1089" t="inlineStr">
        <is>
          <t>WOS:000997357600001</t>
        </is>
      </c>
      <c r="BU1089">
        <f>HYPERLINK("https%3A%2F%2Fwww.webofscience.com%2Fwos%2Fwoscc%2Ffull-record%2FWOS:000997357600001","View Full Record in Web of Science")</f>
        <v/>
      </c>
    </row>
    <row r="1090">
      <c r="A1090" t="inlineStr">
        <is>
          <t>J</t>
        </is>
      </c>
      <c r="B1090" t="inlineStr">
        <is>
          <t>Zhao, YT; Zheng, WH; Ma, SM; Kong, WK; Han, B; Yu, J</t>
        </is>
      </c>
      <c r="F1090" t="inlineStr">
        <is>
          <t>Zhao, Yunting; Zheng, Wenhui; Ma, Simeng; Kong, Weikai; Han, Bo; Yu, Jian</t>
        </is>
      </c>
      <c r="J1090" t="inlineStr">
        <is>
          <t>AEROSOL AND AIR QUALITY RESEARCH</t>
        </is>
      </c>
      <c r="M1090" t="inlineStr">
        <is>
          <t>English</t>
        </is>
      </c>
      <c r="N1090" t="inlineStr">
        <is>
          <t>Article</t>
        </is>
      </c>
      <c r="T1090" t="inlineStr">
        <is>
          <t>Impacts of PM on Indoor Air Quality of Airport Terminal Buildings in a Core City of North China Plain</t>
        </is>
      </c>
      <c r="U1090" t="inlineStr">
        <is>
          <t>Airport; Terminal building; Particulate matter; I; O ratio; Respiratory deposition dose</t>
        </is>
      </c>
      <c r="V1090" t="inlineStr">
        <is>
          <t>PARTICULATE MATTER; INDOOR/OUTDOOR RELATIONSHIPS; ULTRAFINE PARTICLES; PM2.5 CONCENTRATION; FINE PARTICLES; AMBIENT PM2.5; HUMAN HEALTH; OUTDOOR; EMISSIONS; EXPOSURE</t>
        </is>
      </c>
      <c r="W1090" t="inlineStr">
        <is>
          <t>With the economic growth and globalization, a great deal of airports are being or planned to be constructed or retrofitted in China. The air quality in airport terminal buildings has not been studied as in-depth as airport ambient air quality. Due to its unique architectural and operational characteristics, the airport terminal buildings have individual performance of indoor air quality. The contribution of outdoor particulate matter (PM) to indoor environment and passengers' exposure to indoor PM is not well understood. The indoor (i.e., terminal buildings) and outdoor PM concentrations with particle sizes from 0.25 to 32 mu m of Tianjin Binhai International Airport (IATA: TSN) were monitored continuously during two cases in winter and summer 2020. Higher indoor PM concentrations occurred in winter as well as in the arrival halls of TSN. During winter case, the indoor sources contributed more to the indoor environment than the outdoor sources, whereas the opposite was found during summer case. Sharp variation of indoor PM number concentrations existed in particles within the range of 0.25-0.40 mu m in size, with a peak number concentration at particle size of about 0.30 mu m. PM with smaller particle sizes were more likely to enter the indoor environment from outdoor. The comprehensive exposure in the TSN terminal buildings was higher than those in the transportation microenvironments, residences and other buildings. Significant diurnal variations of Respiratory deposition dose (RDD) were observed under various exposure durations. Our results highlight the need for further monitoring and improving the air quality in the terminal buildings.</t>
        </is>
      </c>
      <c r="X1090" t="inlineStr">
        <is>
          <t>[Zhao, Yunting; Zheng, Wenhui; Ma, Simeng; Han, Bo; Yu, Jian] Civil Aviat Univ China, Res Ctr Environm &amp; Sustainable Dev Civil Aviat Chi, Sch Transportat Sci &amp; Engn, Tianjin, Peoples R China; [Zhao, Yunting; Zheng, Wenhui] Civil Aviat Univ China, Coll Air Traff Management, Tianjin, Peoples R China; [Kong, Weikai] Shandong Airlines, Air Safety Support Dept, Jinan, Peoples R China</t>
        </is>
      </c>
      <c r="Y1090" t="inlineStr">
        <is>
          <t>Civil Aviation University of China; Civil Aviation University of China</t>
        </is>
      </c>
      <c r="Z1090" t="inlineStr">
        <is>
          <t>Ma, SM; Han, B (corresponding author), Civil Aviat Univ China, Res Ctr Environm &amp; Sustainable Dev Civil Aviat Chi, Sch Transportat Sci &amp; Engn, Tianjin, Peoples R China.</t>
        </is>
      </c>
      <c r="AA1090" t="inlineStr">
        <is>
          <t>masimeng1004@163.com; bhan@cauc.edu.cn</t>
        </is>
      </c>
      <c r="AD1090" t="inlineStr">
        <is>
          <t>National Natural Science Foundation of China [U2133206, U1933110]; Fundamental Research Funds for the Central Universities [3122022PT04]</t>
        </is>
      </c>
      <c r="AE1090" t="inlineStr">
        <is>
          <t>National Natural Science Foundation of China(National Natural Science Foundation of China (NSFC)); Fundamental Research Funds for the Central Universities(Fundamental Research Funds for the Central Universities)</t>
        </is>
      </c>
      <c r="AF1090" t="inlineStr">
        <is>
          <t>Acknowledgments This work was financially supported by the National Natural Science Foundation of China (No. U2133206, U1933110) and the Fundamental Research Funds for the Central Universities (No. 3122022PT04) .</t>
        </is>
      </c>
      <c r="AH1090" t="n">
        <v>62</v>
      </c>
      <c r="AI1090" t="n">
        <v>0</v>
      </c>
      <c r="AJ1090" t="n">
        <v>0</v>
      </c>
      <c r="AK1090" t="n">
        <v>4</v>
      </c>
      <c r="AL1090" t="n">
        <v>4</v>
      </c>
      <c r="AM1090" t="inlineStr">
        <is>
          <t>TAIWAN ASSOC AEROSOL RES-TAAR</t>
        </is>
      </c>
      <c r="AN1090" t="inlineStr">
        <is>
          <t>TAICHUNG COUNTY</t>
        </is>
      </c>
      <c r="AO1090" t="inlineStr">
        <is>
          <t>CHAOYANG UNIV TECH, DEPT ENV ENG &amp; MGMT, PROD CTR AAQR, NO 168, JIFONG E RD, WUFONG TOWNSHIP, TAICHUNG COUNTY, 41349, TAIWAN</t>
        </is>
      </c>
      <c r="AP1090" t="inlineStr">
        <is>
          <t>1680-8584</t>
        </is>
      </c>
      <c r="AQ1090" t="inlineStr">
        <is>
          <t>2071-1409</t>
        </is>
      </c>
      <c r="AS1090" t="inlineStr">
        <is>
          <t>AEROSOL AIR QUAL RES</t>
        </is>
      </c>
      <c r="AT1090" t="inlineStr">
        <is>
          <t>Aerosol Air Qual. Res.</t>
        </is>
      </c>
      <c r="AU1090" t="inlineStr">
        <is>
          <t>JUN</t>
        </is>
      </c>
      <c r="AV1090" t="n">
        <v>2023</v>
      </c>
      <c r="AW1090" t="n">
        <v>23</v>
      </c>
      <c r="AX1090" t="n">
        <v>6</v>
      </c>
      <c r="BE1090" t="n">
        <v>220357</v>
      </c>
      <c r="BF1090" t="inlineStr">
        <is>
          <t>10.4209/aaqr.220357</t>
        </is>
      </c>
      <c r="BG1090">
        <f>HYPERLINK("http://dx.doi.org/10.4209/aaqr.220357","http://dx.doi.org/10.4209/aaqr.220357")</f>
        <v/>
      </c>
      <c r="BJ1090" t="n">
        <v>16</v>
      </c>
      <c r="BK1090" t="inlineStr">
        <is>
          <t>Environmental Sciences</t>
        </is>
      </c>
      <c r="BL1090" t="inlineStr">
        <is>
          <t>Science Citation Index Expanded (SCI-EXPANDED)</t>
        </is>
      </c>
      <c r="BM1090" t="inlineStr">
        <is>
          <t>Environmental Sciences &amp; Ecology</t>
        </is>
      </c>
      <c r="BN1090" t="inlineStr">
        <is>
          <t>H2YD3</t>
        </is>
      </c>
      <c r="BP1090" t="inlineStr">
        <is>
          <t>gold</t>
        </is>
      </c>
      <c r="BS1090" t="inlineStr">
        <is>
          <t>2023-10-26</t>
        </is>
      </c>
      <c r="BT1090" t="inlineStr">
        <is>
          <t>WOS:000994664900001</t>
        </is>
      </c>
      <c r="BU1090">
        <f>HYPERLINK("https%3A%2F%2Fwww.webofscience.com%2Fwos%2Fwoscc%2Ffull-record%2FWOS:000994664900001","View Full Record in Web of Science")</f>
        <v/>
      </c>
    </row>
    <row r="1091">
      <c r="A1091" t="inlineStr">
        <is>
          <t>J</t>
        </is>
      </c>
      <c r="B1091" t="inlineStr">
        <is>
          <t>Conde-Pipó, J; Melguizo-Ibáñez, E; Mariscal-Arcas, M; Zurita-Ortega, F; Ubago-Jiménez, JL; Ramírez-Granizo, I; González-Valero, G</t>
        </is>
      </c>
      <c r="F1091" t="inlineStr">
        <is>
          <t>Conde-Pipo, Javier; Melguizo-Ibanez, Eduardo; Mariscal-Arcas, Miguel; Zurita-Ortega, Felix; Luis Ubago-Jimenez, Jose; Ramirez-Granizo, Irwin; Gonzalez-Valero, Gabriel</t>
        </is>
      </c>
      <c r="J1091" t="inlineStr">
        <is>
          <t>INTERNATIONAL JOURNAL OF ENVIRONMENTAL RESEARCH AND PUBLIC HEALTH</t>
        </is>
      </c>
      <c r="M1091" t="inlineStr">
        <is>
          <t>English</t>
        </is>
      </c>
      <c r="N1091" t="inlineStr">
        <is>
          <t>Article</t>
        </is>
      </c>
      <c r="T1091" t="inlineStr">
        <is>
          <t>Physical Self-Concept Changes in Adults and Older Adults: Influence of Emotional Intelligence, Intrinsic Motivation and Sports Habits</t>
        </is>
      </c>
      <c r="U1091" t="inlineStr">
        <is>
          <t>physical self-concept; psychosocial factors; older adults; physical activity; lifespan; aging</t>
        </is>
      </c>
      <c r="W1091" t="inlineStr">
        <is>
          <t>Lifespan is increasing globally as never before, and leading to an aging world population. Thus, the challenge for society and individuals is now how to live these years in the best possible health and wellbeing. Despite the benefits of physical activity for both are well documented, older people are not active enough. Physical self-concept is correlated with high levels of sports practice, although its evolution across one's life span is not clear. The aim of this research has been to analyze the physical self-concept in older adults and its relationship with emotional intelligence, motivation and sports habits. The sample of 520 adults aged between 41 and 80 was clustered in ranges of age; 70.96% were men (n = 369; 57.34 years (SD: 7.97)) and 29.04% women (n = 151; age = 55.56 years (SD: 9.12)). Questionnaires adapted to Spanish were used to measure physical self-concept (Physical Self-Perception Profile), motivation (Sport Motivation Scale), and emotional intelligence (Trait Meta-Mood Scale). Regarding physical self-concept, the youngest group obtained the highest mean values and the oldest group the lowest. Physical self-concept correlated positively with emotional regulation and intrinsic motivation. Initiation to sports in childhood, the practice of sports activities for more than 150' per week, and the practice of three or more sports, were associated with a higher score of physical self-concept. The findings reveal that physical self-concept declines in older adults, slightly at first, and sharply between 71 and 80 years, being intrinsic motivation, emotional regulation, and sports habits, factors to consider in favoring a positive physical self-concept and adherence to sporting activities.</t>
        </is>
      </c>
      <c r="X1091" t="inlineStr">
        <is>
          <t>[Conde-Pipo, Javier; Melguizo-Ibanez, Eduardo; Zurita-Ortega, Felix; Luis Ubago-Jimenez, Jose; Ramirez-Granizo, Irwin; Gonzalez-Valero, Gabriel] Univ Granada, Dept Didact Mus Plast &amp; Corporal Express, Campus Univ Cartuja S-N, Granada 18071, Spain; [Mariscal-Arcas, Miguel] Univ Granada, Dept Nutr &amp; Food Sci, Campus Univ Cartuja S-N, Granada 18071, Spain</t>
        </is>
      </c>
      <c r="Y1091" t="inlineStr">
        <is>
          <t>University of Granada; University of Granada</t>
        </is>
      </c>
      <c r="Z1091" t="inlineStr">
        <is>
          <t>Ubago-Jiménez, JL (corresponding author), Univ Granada, Dept Didact Mus Plast &amp; Corporal Express, Campus Univ Cartuja S-N, Granada 18071, Spain.</t>
        </is>
      </c>
      <c r="AA1091" t="inlineStr">
        <is>
          <t>javiconde@correo.ugr.es; edumeliba@correo.ugr.es; mariscal@ugr.es; felixzo@ugr.es; jlubago@ugr.es; irwinrg@ugr.es; ggvalero@ugr.es</t>
        </is>
      </c>
      <c r="AB1091" t="inlineStr">
        <is>
          <t>Mariscal-Arcas, Miguel/R-3406-2019; Melguizo-Ibáñez, Eduardo/AAW-7538-2021; Conde Pipó, Javier/AAH-4848-2020; Ubago-Jiménez, José Luis/J-4644-2019; Ramirez-Granizo, Irwin/R-3500-2017; Gonzalez Valero, Gabriel/G-9817-2018; ZURITA, FELIX/I-9017-2017</t>
        </is>
      </c>
      <c r="AC1091" t="inlineStr">
        <is>
          <t>Mariscal-Arcas, Miguel/0000-0001-9852-4950; Melguizo-Ibáñez, Eduardo/0000-0003-3693-2769; Conde Pipó, Javier/0000-0003-0646-4044; Ubago-Jiménez, José Luis/0000-0002-7252-209X; Ramirez-Granizo, Irwin/0000-0002-6944-3737; Gonzalez Valero, Gabriel/0000-0001-7472-5694; ZURITA, FELIX/0000-0002-1189-894X</t>
        </is>
      </c>
      <c r="AH1091" t="n">
        <v>77</v>
      </c>
      <c r="AI1091" t="n">
        <v>24</v>
      </c>
      <c r="AJ1091" t="n">
        <v>24</v>
      </c>
      <c r="AK1091" t="n">
        <v>4</v>
      </c>
      <c r="AL1091" t="n">
        <v>44</v>
      </c>
      <c r="AM1091" t="inlineStr">
        <is>
          <t>MDPI</t>
        </is>
      </c>
      <c r="AN1091" t="inlineStr">
        <is>
          <t>BASEL</t>
        </is>
      </c>
      <c r="AO1091" t="inlineStr">
        <is>
          <t>ST ALBAN-ANLAGE 66, CH-4052 BASEL, SWITZERLAND</t>
        </is>
      </c>
      <c r="AQ1091" t="inlineStr">
        <is>
          <t>1660-4601</t>
        </is>
      </c>
      <c r="AS1091" t="inlineStr">
        <is>
          <t>INT J ENV RES PUB HE</t>
        </is>
      </c>
      <c r="AT1091" t="inlineStr">
        <is>
          <t>Int. J. Environ. Res. Public Health</t>
        </is>
      </c>
      <c r="AU1091" t="inlineStr">
        <is>
          <t>FEB</t>
        </is>
      </c>
      <c r="AV1091" t="n">
        <v>2021</v>
      </c>
      <c r="AW1091" t="n">
        <v>18</v>
      </c>
      <c r="AX1091" t="n">
        <v>4</v>
      </c>
      <c r="BE1091" t="n">
        <v>1711</v>
      </c>
      <c r="BF1091" t="inlineStr">
        <is>
          <t>10.3390/ijerph18041711</t>
        </is>
      </c>
      <c r="BG1091">
        <f>HYPERLINK("http://dx.doi.org/10.3390/ijerph18041711","http://dx.doi.org/10.3390/ijerph18041711")</f>
        <v/>
      </c>
      <c r="BJ1091" t="n">
        <v>14</v>
      </c>
      <c r="BK1091" t="inlineStr">
        <is>
          <t>Environmental Sciences; Public, Environmental &amp; Occupational Health</t>
        </is>
      </c>
      <c r="BL1091" t="inlineStr">
        <is>
          <t>Science Citation Index Expanded (SCI-EXPANDED); Social Science Citation Index (SSCI)</t>
        </is>
      </c>
      <c r="BM1091" t="inlineStr">
        <is>
          <t>Environmental Sciences &amp; Ecology; Public, Environmental &amp; Occupational Health</t>
        </is>
      </c>
      <c r="BN1091" t="inlineStr">
        <is>
          <t>QP0NJ</t>
        </is>
      </c>
      <c r="BO1091" t="n">
        <v>33578889</v>
      </c>
      <c r="BP1091" t="inlineStr">
        <is>
          <t>gold, Green Published</t>
        </is>
      </c>
      <c r="BS1091" t="inlineStr">
        <is>
          <t>2023-10-26</t>
        </is>
      </c>
      <c r="BT1091" t="inlineStr">
        <is>
          <t>WOS:000623534100001</t>
        </is>
      </c>
      <c r="BU1091">
        <f>HYPERLINK("https%3A%2F%2Fwww.webofscience.com%2Fwos%2Fwoscc%2Ffull-record%2FWOS:000623534100001","View Full Record in Web of Science")</f>
        <v/>
      </c>
    </row>
    <row r="1092">
      <c r="A1092" t="inlineStr">
        <is>
          <t>J</t>
        </is>
      </c>
      <c r="B1092" t="inlineStr">
        <is>
          <t>Tyler, CM; McKee, GB; Alzueta, E; Perrin, PB; Kingsley, K; Baker, FC; Arango-Lasprilla, JC</t>
        </is>
      </c>
      <c r="F1092" t="inlineStr">
        <is>
          <t>Tyler, Carmen M.; McKee, Grace B.; Alzueta, Elisabet; Perrin, Paul B.; Kingsley, Kristine; Baker, Fiona C.; Arango-Lasprilla, Juan Carlos</t>
        </is>
      </c>
      <c r="J1092" t="inlineStr">
        <is>
          <t>INTERNATIONAL JOURNAL OF ENVIRONMENTAL RESEARCH AND PUBLIC HEALTH</t>
        </is>
      </c>
      <c r="M1092" t="inlineStr">
        <is>
          <t>English</t>
        </is>
      </c>
      <c r="N1092" t="inlineStr">
        <is>
          <t>Article</t>
        </is>
      </c>
      <c r="T1092" t="inlineStr">
        <is>
          <t>A Study of Older Adults' Mental Health across 33 Countries during the COVID-19 Pandemic</t>
        </is>
      </c>
      <c r="U1092" t="inlineStr">
        <is>
          <t>older adults; COVID-19; coronavirus; pandemic; depression; anxiety; mental health; international</t>
        </is>
      </c>
      <c r="V1092" t="inlineStr">
        <is>
          <t>CROSS-NATIONAL EPIDEMIOLOGY; PRIMARY-CARE; DEPRESSION; ANXIETY</t>
        </is>
      </c>
      <c r="W1092" t="inlineStr">
        <is>
          <t>Despite older adults' extremely high vulnerability to COVID-19 complications and death, few studies have examined how personal characteristics and the COVID-19 pandemic have impacted the mental health of older adults at the global level. The purpose of this study was to examine the relationships among demographics, COVID-19 life impacts, and depression and anxiety in adults aged 60 and older from 33 countries. A sample of 823 older adults aged 60-94 and residing in 33 countries completed a 10-min online survey following recruitment from mailing lists and social media. Being separated from and having conflicts with loved ones predicted both anxiety and depression, as did residing in a country with higher income. Getting medical treatment for severe symptoms of COVID-19 and having decreased work responsibilities predicted depression, but adjustment to working from home and younger age predicted both depression and anxiety. Participants from Europe and Central Asia reported higher depression than those from all other regions and higher anxiety than those from Latin America and the Caribbean. The COVID-19 pandemic has had serious deleterious effects on the mental health of older adults worldwide. The current findings have direct implications for mental health services that may be delivered to older adults to help facilitate healthy psychological adjustment.</t>
        </is>
      </c>
      <c r="X1092" t="inlineStr">
        <is>
          <t>[Tyler, Carmen M.; McKee, Grace B.; Perrin, Paul B.] Virginia Commonwealth Univ, Dept Psychol, Richmond, VA 23284 USA; [McKee, Grace B.] Cent Virginia VA Hlth Care Syst, Midatlantic Mental Illness Res Educ &amp; Clin Ctr MI, Adv Fellowship Program Mental Illness Res &amp; Treat, Richmond, VA 23249 USA; [Alzueta, Elisabet; Baker, Fiona C.] SRI Int, Ctr Hlth Sci, Menlo Pk, CA 94025 USA; [Alzueta, Elisabet] Autonomous Univ Madrid, Dept Biol &amp; Hlth Psychol, Madrid 28049, Spain; [Kingsley, Kristine] Inst Cognit &amp; Emot Wellness, Westchester, NY 10801 USA; [Baker, Fiona C.] Univ Witwatersrand, Dept Physiol, ZA-2050 Johannesburg, South Africa; [Arango-Lasprilla, Juan Carlos] BioCruces Hlth Res Inst, Baracaldo 48903, Spain; [Arango-Lasprilla, Juan Carlos] Basque Fdn Sci, Ikerbasque, Bilbao 48009, Spain; [Arango-Lasprilla, Juan Carlos] Univ Basque Country, UPV EHU, Dept Cell Biol &amp; Histol, Leioa 48940, Vizcaya, Spain</t>
        </is>
      </c>
      <c r="Y1092" t="inlineStr">
        <is>
          <t>Virginia Commonwealth University; SRI International; Autonomous University of Madrid; University of Witwatersrand; Basque Foundation for Science; University of Basque Country</t>
        </is>
      </c>
      <c r="Z1092" t="inlineStr">
        <is>
          <t>Arango-Lasprilla, JC (corresponding author), BioCruces Hlth Res Inst, Baracaldo 48903, Spain.;Arango-Lasprilla, JC (corresponding author), Basque Fdn Sci, Ikerbasque, Bilbao 48009, Spain.;Arango-Lasprilla, JC (corresponding author), Univ Basque Country, UPV EHU, Dept Cell Biol &amp; Histol, Leioa 48940, Vizcaya, Spain.</t>
        </is>
      </c>
      <c r="AA1092" t="inlineStr">
        <is>
          <t>tylercm2@vcu.edu; gboyers@smu.edu; elisabet.alzueta@sri.com; pperrin@vcu.edu; cognitiveandemotionalwellness@gmail.com; fiona.baker@sri.com; jcalasprilla@gmail.com</t>
        </is>
      </c>
      <c r="AB1092" t="inlineStr">
        <is>
          <t>Alzueta, Elisabet/M-3443-2017; Tyler, Carmen/ISA-2483-2023; Walther, Cordula/HNI-7449-2023; Perrin, Paul/L-5373-2015</t>
        </is>
      </c>
      <c r="AC1092" t="inlineStr">
        <is>
          <t>Alzueta, Elisabet/0000-0002-2770-2104; Baker, Fiona/0000-0001-9602-6165; McKee, Grace/0000-0001-5823-203X; Tyler, Carmen/0000-0001-5265-184X; Perrin, Paul/0000-0003-2070-215X</t>
        </is>
      </c>
      <c r="AH1092" t="n">
        <v>69</v>
      </c>
      <c r="AI1092" t="n">
        <v>26</v>
      </c>
      <c r="AJ1092" t="n">
        <v>27</v>
      </c>
      <c r="AK1092" t="n">
        <v>2</v>
      </c>
      <c r="AL1092" t="n">
        <v>43</v>
      </c>
      <c r="AM1092" t="inlineStr">
        <is>
          <t>MDPI</t>
        </is>
      </c>
      <c r="AN1092" t="inlineStr">
        <is>
          <t>BASEL</t>
        </is>
      </c>
      <c r="AO1092" t="inlineStr">
        <is>
          <t>ST ALBAN-ANLAGE 66, CH-4052 BASEL, SWITZERLAND</t>
        </is>
      </c>
      <c r="AQ1092" t="inlineStr">
        <is>
          <t>1660-4601</t>
        </is>
      </c>
      <c r="AS1092" t="inlineStr">
        <is>
          <t>INT J ENV RES PUB HE</t>
        </is>
      </c>
      <c r="AT1092" t="inlineStr">
        <is>
          <t>Int. J. Environ. Res. Public Health</t>
        </is>
      </c>
      <c r="AU1092" t="inlineStr">
        <is>
          <t>MAY</t>
        </is>
      </c>
      <c r="AV1092" t="n">
        <v>2021</v>
      </c>
      <c r="AW1092" t="n">
        <v>18</v>
      </c>
      <c r="AX1092" t="n">
        <v>10</v>
      </c>
      <c r="BE1092" t="n">
        <v>5090</v>
      </c>
      <c r="BF1092" t="inlineStr">
        <is>
          <t>10.3390/ijerph18105090</t>
        </is>
      </c>
      <c r="BG1092">
        <f>HYPERLINK("http://dx.doi.org/10.3390/ijerph18105090","http://dx.doi.org/10.3390/ijerph18105090")</f>
        <v/>
      </c>
      <c r="BJ1092" t="n">
        <v>15</v>
      </c>
      <c r="BK1092" t="inlineStr">
        <is>
          <t>Environmental Sciences; Public, Environmental &amp; Occupational Health</t>
        </is>
      </c>
      <c r="BL1092" t="inlineStr">
        <is>
          <t>Science Citation Index Expanded (SCI-EXPANDED); Social Science Citation Index (SSCI)</t>
        </is>
      </c>
      <c r="BM1092" t="inlineStr">
        <is>
          <t>Environmental Sciences &amp; Ecology; Public, Environmental &amp; Occupational Health</t>
        </is>
      </c>
      <c r="BN1092" t="inlineStr">
        <is>
          <t>SI5BW</t>
        </is>
      </c>
      <c r="BO1092" t="n">
        <v>34064973</v>
      </c>
      <c r="BP1092" t="inlineStr">
        <is>
          <t>Green Published, gold</t>
        </is>
      </c>
      <c r="BS1092" t="inlineStr">
        <is>
          <t>2023-10-26</t>
        </is>
      </c>
      <c r="BT1092" t="inlineStr">
        <is>
          <t>WOS:000654840600001</t>
        </is>
      </c>
      <c r="BU1092">
        <f>HYPERLINK("https%3A%2F%2Fwww.webofscience.com%2Fwos%2Fwoscc%2Ffull-record%2FWOS:000654840600001","View Full Record in Web of Science")</f>
        <v/>
      </c>
    </row>
    <row r="1093">
      <c r="A1093" t="inlineStr">
        <is>
          <t>J</t>
        </is>
      </c>
      <c r="B1093" t="inlineStr">
        <is>
          <t>Irga, PJ; Pettit, TJ; Torpy, FR</t>
        </is>
      </c>
      <c r="F1093" t="inlineStr">
        <is>
          <t>Irga, P. J.; Pettit, T. J.; Torpy, F. R.</t>
        </is>
      </c>
      <c r="J1093" t="inlineStr">
        <is>
          <t>REVIEWS IN ENVIRONMENTAL SCIENCE AND BIO-TECHNOLOGY</t>
        </is>
      </c>
      <c r="M1093" t="inlineStr">
        <is>
          <t>English</t>
        </is>
      </c>
      <c r="N1093" t="inlineStr">
        <is>
          <t>Review</t>
        </is>
      </c>
      <c r="T1093" t="inlineStr">
        <is>
          <t>The phytoremediation of indoor air pollution: a review on the technology development from the potted plant through to functional green wall biofilters</t>
        </is>
      </c>
      <c r="U1093" t="inlineStr">
        <is>
          <t>Biofiltration; Indoor air; Indoor plants; Air pollution; Purification</t>
        </is>
      </c>
      <c r="V1093" t="inlineStr">
        <is>
          <t>VOLATILE ORGANIC-COMPOUNDS; REMOVAL EFFICIENCY; FORMALDEHYDE REMOVAL; ACTIVATED CARBON; FOLIAGE PLANTS; LIVING WALL; VOC REMOVAL; ROOT-ZONE; TOLUENE; POLLUTANTS</t>
        </is>
      </c>
      <c r="W1093" t="inlineStr">
        <is>
          <t>Poor indoor air quality is a health problem of escalating magnitude, as communities become increasingly urbanised and people's behaviours change, lending to lives spent almost exclusively in indoor environments. The accumulation of, and continued exposure to, indoor air pollution has been shown to result in detrimental health outcomes. Particulate matter penetrating into the building, volatile organic compounds (VOCs) outgassing from synthetic materials and carbon dioxide from human respiration are the main contributors to these indoor air quality concerns. Whilst a range of physiochemical methods have been developed to remove contaminants from indoor air, all methods have high maintenance costs. Despite many years of study and substantial market demand, a well evidenced procedure for indoor air bioremediation for all applications is yet to be developed. This review presents the main aspects of using horticultural biotechnological tools for improving indoor air quality, and explores the history of the technology, from the humble potted plant through to active botanical biofiltration. Regarding the procedure of air purification by potted plants, many researchers and decades of work have confirmed that the plants remove CO2 through photosynthesis, degrade VOCs through the metabolic action of rhizospheric microbes, and can sequester particulate matter through a range of physical mechanisms. These benefits notwithstanding, there are practical barriers reducing the value of potted plants as standalone air cleaning devices. Recent technological advancements have led to the development of active botanical biofilters, or functional green walls, which are becoming increasingly efficient and have the potential for the functional mitigation of indoor air pollutant concentrations.</t>
        </is>
      </c>
      <c r="X1093" t="inlineStr">
        <is>
          <t>[Irga, P. J.] Univ Technol Sydney, Fac Engn &amp; Informat Technol, Plants &amp; Environm Qual Res Grp, Ultimo, NSW, Australia; [Pettit, T. J.; Torpy, F. R.] Univ Technol Sydney, Fac Sci, Plants &amp; Environm Qual Res Grp, Ultimo, NSW, Australia</t>
        </is>
      </c>
      <c r="Y1093" t="inlineStr">
        <is>
          <t>University of Technology Sydney; University of Technology Sydney</t>
        </is>
      </c>
      <c r="Z1093" t="inlineStr">
        <is>
          <t>Irga, PJ (corresponding author), Univ Technol Sydney, Fac Engn &amp; Informat Technol, Plants &amp; Environm Qual Res Grp, Ultimo, NSW, Australia.</t>
        </is>
      </c>
      <c r="AA1093" t="inlineStr">
        <is>
          <t>peter.irga@uts.edu.au</t>
        </is>
      </c>
      <c r="AB1093" t="inlineStr">
        <is>
          <t>Torpy, Fraser/I-5392-2019</t>
        </is>
      </c>
      <c r="AC1093" t="inlineStr">
        <is>
          <t>Irga, Peter/0000-0001-5952-0658; Torpy, Fraser/0000-0002-9137-6948; Pettit, Thomas/0000-0003-2707-7764</t>
        </is>
      </c>
      <c r="AH1093" t="n">
        <v>119</v>
      </c>
      <c r="AI1093" t="n">
        <v>60</v>
      </c>
      <c r="AJ1093" t="n">
        <v>61</v>
      </c>
      <c r="AK1093" t="n">
        <v>9</v>
      </c>
      <c r="AL1093" t="n">
        <v>223</v>
      </c>
      <c r="AM1093" t="inlineStr">
        <is>
          <t>SPRINGER</t>
        </is>
      </c>
      <c r="AN1093" t="inlineStr">
        <is>
          <t>DORDRECHT</t>
        </is>
      </c>
      <c r="AO1093" t="inlineStr">
        <is>
          <t>VAN GODEWIJCKSTRAAT 30, 3311 GZ DORDRECHT, NETHERLANDS</t>
        </is>
      </c>
      <c r="AP1093" t="inlineStr">
        <is>
          <t>1569-1705</t>
        </is>
      </c>
      <c r="AQ1093" t="inlineStr">
        <is>
          <t>1572-9826</t>
        </is>
      </c>
      <c r="AS1093" t="inlineStr">
        <is>
          <t>REV ENVIRON SCI BIO</t>
        </is>
      </c>
      <c r="AT1093" t="inlineStr">
        <is>
          <t>Rev. Environ. Sci. Bio-Technol.</t>
        </is>
      </c>
      <c r="AU1093" t="inlineStr">
        <is>
          <t>JUN</t>
        </is>
      </c>
      <c r="AV1093" t="n">
        <v>2018</v>
      </c>
      <c r="AW1093" t="n">
        <v>17</v>
      </c>
      <c r="AX1093" t="n">
        <v>2</v>
      </c>
      <c r="BC1093" t="n">
        <v>395</v>
      </c>
      <c r="BD1093" t="n">
        <v>415</v>
      </c>
      <c r="BF1093" t="inlineStr">
        <is>
          <t>10.1007/s11157-018-9465-2</t>
        </is>
      </c>
      <c r="BG1093">
        <f>HYPERLINK("http://dx.doi.org/10.1007/s11157-018-9465-2","http://dx.doi.org/10.1007/s11157-018-9465-2")</f>
        <v/>
      </c>
      <c r="BJ1093" t="n">
        <v>21</v>
      </c>
      <c r="BK1093" t="inlineStr">
        <is>
          <t>Biotechnology &amp; Applied Microbiology; Environmental Sciences</t>
        </is>
      </c>
      <c r="BL1093" t="inlineStr">
        <is>
          <t>Science Citation Index Expanded (SCI-EXPANDED)</t>
        </is>
      </c>
      <c r="BM1093" t="inlineStr">
        <is>
          <t>Biotechnology &amp; Applied Microbiology; Environmental Sciences &amp; Ecology</t>
        </is>
      </c>
      <c r="BN1093" t="inlineStr">
        <is>
          <t>GE7GG</t>
        </is>
      </c>
      <c r="BS1093" t="inlineStr">
        <is>
          <t>2023-10-26</t>
        </is>
      </c>
      <c r="BT1093" t="inlineStr">
        <is>
          <t>WOS:000431400700007</t>
        </is>
      </c>
      <c r="BU1093">
        <f>HYPERLINK("https%3A%2F%2Fwww.webofscience.com%2Fwos%2Fwoscc%2Ffull-record%2FWOS:000431400700007","View Full Record in Web of Science")</f>
        <v/>
      </c>
    </row>
    <row r="1094">
      <c r="A1094" t="inlineStr">
        <is>
          <t>J</t>
        </is>
      </c>
      <c r="B1094" t="inlineStr">
        <is>
          <t>Yu, YZ; Wang, B; You, SJ; Ye, TZ; Zheng, WD; Wei, S; Yang, ST; Wang, YY; Li, K</t>
        </is>
      </c>
      <c r="F1094" t="inlineStr">
        <is>
          <t>Yu, Yanzhe; Wang, Bei; You, Shijun; Ye, Tianzhen; Zheng, Wandong; Wei, Shen; Yang, Shuting; Wang, Yuanyuan; Li, Kun</t>
        </is>
      </c>
      <c r="J1094" t="inlineStr">
        <is>
          <t>AIR QUALITY ATMOSPHERE AND HEALTH</t>
        </is>
      </c>
      <c r="M1094" t="inlineStr">
        <is>
          <t>English</t>
        </is>
      </c>
      <c r="N1094" t="inlineStr">
        <is>
          <t>Article</t>
        </is>
      </c>
      <c r="T1094" t="inlineStr">
        <is>
          <t>The effects of manual airing strategies and architectural factors on the indoor air quality in college classrooms: a case study</t>
        </is>
      </c>
      <c r="U1094" t="inlineStr">
        <is>
          <t>Indoor air quality; Classrooms; Manual airing strategies; Natural ventilation; Influential factors</t>
        </is>
      </c>
      <c r="V1094" t="inlineStr">
        <is>
          <t>CARBON-DIOXIDE CONCENTRATION; AIRBORNE PARTICULATE MATTER; VENTILATION RATES; SCHOOL CLASSROOMS; CO2 CONCENTRATION; OPENING BEHAVIOR; BUILDINGS; EXPOSURE; HEALTH; LEVEL</t>
        </is>
      </c>
      <c r="W1094" t="inlineStr">
        <is>
          <t>In China, natural ventilation is a common way of improving indoor air quality (IAQ) in college classrooms. However, until now, the effects of both manual airing strategies and architectural factors on IAQ in classrooms have not been well explored. The present work aimed to investigate the effect of manual airing strategies, such as opening doors and opening exterior or interior windows, on the concentrations of both carbon dioxide (CO2) and fine particulate matter (PM2.5) in classrooms using field measurements. Through simulation, the effects of floor level, room orientation and the height of interior windows on CO2 concentration were also analysed. The results of this study revealed that (1) simultaneously opening doors and exterior windows or opening the doors alone could effectively reduce the indoor CO2 concentration, but the same effect could not be achieved by opening interior windows only; (2) the indoor PM2.5 concentration was primarily affected by the level of outdoor PM2.5, and it may exceed the recommended limit by 33% when the outdoor pollution level is high, even with closed doors and windows; and (3) in winter, both floor level and classroom orientation exerted a significant influence on the indoor CO2 concentration, but the height of interior windows had no effect.</t>
        </is>
      </c>
      <c r="X1094" t="inlineStr">
        <is>
          <t>[Yu, Yanzhe; Wang, Bei; You, Shijun; Ye, Tianzhen; Zheng, Wandong; Yang, Shuting; Wang, Yuanyuan] Tianjin Univ, Sch Environm Sci &amp; Engn, Tianjin 300350, Peoples R China; [You, Shijun] Tianjin Univ, Key Lab Efficient Utilizat Low &amp; Medium Grade Ene, Minist Educ China, Tianjin 300350, Peoples R China; [Wei, Shen] Univ Coll London UCL, Bartlett Sch Sustainable Construct, 1-19 Torrington Pl, London WC1E 7HB, England; [Li, Kun] Tianjin Rail Transit, Tianjin 300220, Peoples R China</t>
        </is>
      </c>
      <c r="Y1094" t="inlineStr">
        <is>
          <t>Tianjin University; Tianjin University; Ministry of Education, China; University of London; University College London</t>
        </is>
      </c>
      <c r="Z1094" t="inlineStr">
        <is>
          <t>Ye, TZ (corresponding author), Tianjin Univ, Sch Environm Sci &amp; Engn, Tianjin 300350, Peoples R China.</t>
        </is>
      </c>
      <c r="AA1094" t="inlineStr">
        <is>
          <t>yuyanzhe@tju.edu.cn; 15944349976@163.com; yousj@tju.edu.cn; tzhye@tju.edu.cn; wdzheng@tju.edu.cn; shen.wei@ucl.ac.uk; yangshutingtju@126.com; yuanyuan16336@tju.edu.cn; 244064400@qq.com</t>
        </is>
      </c>
      <c r="AB1094" t="inlineStr">
        <is>
          <t>Wang, Yu/GZL-9655-2022; WANG, YUANYUAN/IQR-4295-2023; Wang, Yuan/HHC-1520-2022; wangwangwang, yuanyaunyuan/HHN-6432-2022; Lv, Yuanjie/AER-0767-2022; Zheng, Wandong/Q-3638-2017</t>
        </is>
      </c>
      <c r="AC1094" t="inlineStr">
        <is>
          <t>Yu, Yanzhe/0000-0003-4868-3632; Zheng, Wandong/0000-0002-3747-3202</t>
        </is>
      </c>
      <c r="AD1094" t="inlineStr">
        <is>
          <t>Natural Science Foundation of Tianjin City [20JCQNJC01910]</t>
        </is>
      </c>
      <c r="AE1094" t="inlineStr">
        <is>
          <t>Natural Science Foundation of Tianjin City(Natural Science Foundation of Tianjin)</t>
        </is>
      </c>
      <c r="AF1094" t="inlineStr">
        <is>
          <t>This work was supported by the Natural Science Foundation of Tianjin City (20JCQNJC01910).</t>
        </is>
      </c>
      <c r="AH1094" t="n">
        <v>53</v>
      </c>
      <c r="AI1094" t="n">
        <v>2</v>
      </c>
      <c r="AJ1094" t="n">
        <v>2</v>
      </c>
      <c r="AK1094" t="n">
        <v>3</v>
      </c>
      <c r="AL1094" t="n">
        <v>49</v>
      </c>
      <c r="AM1094" t="inlineStr">
        <is>
          <t>SPRINGER</t>
        </is>
      </c>
      <c r="AN1094" t="inlineStr">
        <is>
          <t>DORDRECHT</t>
        </is>
      </c>
      <c r="AO1094" t="inlineStr">
        <is>
          <t>VAN GODEWIJCKSTRAAT 30, 3311 GZ DORDRECHT, NETHERLANDS</t>
        </is>
      </c>
      <c r="AP1094" t="inlineStr">
        <is>
          <t>1873-9318</t>
        </is>
      </c>
      <c r="AQ1094" t="inlineStr">
        <is>
          <t>1873-9326</t>
        </is>
      </c>
      <c r="AS1094" t="inlineStr">
        <is>
          <t>AIR QUAL ATMOS HLTH</t>
        </is>
      </c>
      <c r="AT1094" t="inlineStr">
        <is>
          <t>Air Qual. Atmos. Health</t>
        </is>
      </c>
      <c r="AU1094" t="inlineStr">
        <is>
          <t>JAN</t>
        </is>
      </c>
      <c r="AV1094" t="n">
        <v>2022</v>
      </c>
      <c r="AW1094" t="n">
        <v>15</v>
      </c>
      <c r="AX1094" t="n">
        <v>1</v>
      </c>
      <c r="BC1094" t="n">
        <v>1</v>
      </c>
      <c r="BD1094" t="n">
        <v>13</v>
      </c>
      <c r="BF1094" t="inlineStr">
        <is>
          <t>10.1007/s11869-021-01074-y</t>
        </is>
      </c>
      <c r="BG1094">
        <f>HYPERLINK("http://dx.doi.org/10.1007/s11869-021-01074-y","http://dx.doi.org/10.1007/s11869-021-01074-y")</f>
        <v/>
      </c>
      <c r="BI1094" t="inlineStr">
        <is>
          <t>SEP 2021</t>
        </is>
      </c>
      <c r="BJ1094" t="n">
        <v>13</v>
      </c>
      <c r="BK1094" t="inlineStr">
        <is>
          <t>Environmental Sciences</t>
        </is>
      </c>
      <c r="BL1094" t="inlineStr">
        <is>
          <t>Science Citation Index Expanded (SCI-EXPANDED)</t>
        </is>
      </c>
      <c r="BM1094" t="inlineStr">
        <is>
          <t>Environmental Sciences &amp; Ecology</t>
        </is>
      </c>
      <c r="BN1094" t="inlineStr">
        <is>
          <t>YT5EX</t>
        </is>
      </c>
      <c r="BP1094" t="inlineStr">
        <is>
          <t>Green Submitted</t>
        </is>
      </c>
      <c r="BS1094" t="inlineStr">
        <is>
          <t>2023-10-26</t>
        </is>
      </c>
      <c r="BT1094" t="inlineStr">
        <is>
          <t>WOS:000691954400001</t>
        </is>
      </c>
      <c r="BU1094">
        <f>HYPERLINK("https%3A%2F%2Fwww.webofscience.com%2Fwos%2Fwoscc%2Ffull-record%2FWOS:000691954400001","View Full Record in Web of Science")</f>
        <v/>
      </c>
    </row>
    <row r="1095">
      <c r="A1095" t="inlineStr">
        <is>
          <t>J</t>
        </is>
      </c>
      <c r="B1095" t="inlineStr">
        <is>
          <t>Chupin, JP; Hazbei, M; Pelchat, KA</t>
        </is>
      </c>
      <c r="F1095" t="inlineStr">
        <is>
          <t>Chupin, Jean-Pierre; Hazbei, Morteza; Pelchat, Karl-Antoine</t>
        </is>
      </c>
      <c r="J1095" t="inlineStr">
        <is>
          <t>SUSTAINABILITY</t>
        </is>
      </c>
      <c r="M1095" t="inlineStr">
        <is>
          <t>English</t>
        </is>
      </c>
      <c r="N1095" t="inlineStr">
        <is>
          <t>Article</t>
        </is>
      </c>
      <c r="T1095" t="inlineStr">
        <is>
          <t>Three Types of Architectural Educational Strategies (AES) in Sustainable Buildings for Learning Environments in Canada</t>
        </is>
      </c>
      <c r="U1095" t="inlineStr">
        <is>
          <t>sustainable architecture; sustainable buildings; green architecture; learning centres; educational strategies; educational intentions; eco-didactic architecture; university buildings</t>
        </is>
      </c>
      <c r="W1095" t="inlineStr">
        <is>
          <t>This article explores a trend provisionally called eco-didacticism observable for nearly 15 years in art, design and architecture. The corpus concentrates on learning centres as buildings meant to diffuse advanced knowledge in the field of sustainable architecture. We found evidence of additional educational intentions to the pedagogical or scientific programs that these buildings have already been mandated to host and support. A variety of practices or devices have sometimes been added to the architecture, sometimes integrated, while others determine the overall structuring of these educational buildings. Seven cases of learning centres built in Canada between 2004 and 2018 have been screened through three epistemological filters distinguishing forms of architectural didactics: 1-a labeling often quantitative approach, 2-an experiential or practical approach, 3-a visually narrative or iconic approach. While outlining definitions of these Architectural Educational Strategies (AES), we offer initial explanations for their distinctive features. It appears that architects, designers and critics altogether operate on the belief that forms of architectural communication can operate as elements of a language that would be accessible to non-experts. Our conclusion indicates how future research could question the very possibility of giving lessons through formal language and aesthetic features.</t>
        </is>
      </c>
      <c r="X1095" t="inlineStr">
        <is>
          <t>[Chupin, Jean-Pierre] Univ Montreal, Fac Amenagement, Ecole Architecture, Montreal, PQ H3C 3J7, Canada; [Hazbei, Morteza] Concordia Univ, Sch Grad Studies, Montreal, PQ H3G 1M8, Canada; [Pelchat, Karl-Antoine] Univ Montreal, Fac Arts &amp; Sci, Dept Philosophie, Montreal, PQ H3C 3J7, Canada</t>
        </is>
      </c>
      <c r="Y1095" t="inlineStr">
        <is>
          <t>Universite de Montreal; Concordia University - Canada; Universite de Montreal</t>
        </is>
      </c>
      <c r="Z1095" t="inlineStr">
        <is>
          <t>Chupin, JP (corresponding author), Univ Montreal, Fac Amenagement, Ecole Architecture, Montreal, PQ H3C 3J7, Canada.</t>
        </is>
      </c>
      <c r="AA1095" t="inlineStr">
        <is>
          <t>jean-pierre.chupin@umontreal.ca; morteza.hazbei@concordia.ca; karl-antoine.pelchat@umontreal.ca</t>
        </is>
      </c>
      <c r="AC1095" t="inlineStr">
        <is>
          <t>Chupin, Jean-Pierre/0000-0003-4164-5166; Hazbei, Morteza/0000-0001-5436-3833</t>
        </is>
      </c>
      <c r="AD1095" t="inlineStr">
        <is>
          <t>Social Sciences and Research Council of Canada [435-2018-1161]</t>
        </is>
      </c>
      <c r="AE1095" t="inlineStr">
        <is>
          <t>Social Sciences and Research Council of Canada(Social Sciences and Humanities Research Council of Canada (SSHRC))</t>
        </is>
      </c>
      <c r="AF1095" t="inlineStr">
        <is>
          <t>Social Sciences and Research Council of Canada #435-2018-1161.</t>
        </is>
      </c>
      <c r="AH1095" t="n">
        <v>55</v>
      </c>
      <c r="AI1095" t="n">
        <v>0</v>
      </c>
      <c r="AJ1095" t="n">
        <v>0</v>
      </c>
      <c r="AK1095" t="n">
        <v>3</v>
      </c>
      <c r="AL1095" t="n">
        <v>9</v>
      </c>
      <c r="AM1095" t="inlineStr">
        <is>
          <t>MDPI</t>
        </is>
      </c>
      <c r="AN1095" t="inlineStr">
        <is>
          <t>BASEL</t>
        </is>
      </c>
      <c r="AO1095" t="inlineStr">
        <is>
          <t>ST ALBAN-ANLAGE 66, CH-4052 BASEL, SWITZERLAND</t>
        </is>
      </c>
      <c r="AQ1095" t="inlineStr">
        <is>
          <t>2071-1050</t>
        </is>
      </c>
      <c r="AS1095" t="inlineStr">
        <is>
          <t>SUSTAINABILITY-BASEL</t>
        </is>
      </c>
      <c r="AT1095" t="inlineStr">
        <is>
          <t>Sustainability</t>
        </is>
      </c>
      <c r="AU1095" t="inlineStr">
        <is>
          <t>AUG</t>
        </is>
      </c>
      <c r="AV1095" t="n">
        <v>2021</v>
      </c>
      <c r="AW1095" t="n">
        <v>13</v>
      </c>
      <c r="AX1095" t="n">
        <v>15</v>
      </c>
      <c r="BE1095" t="n">
        <v>8166</v>
      </c>
      <c r="BF1095" t="inlineStr">
        <is>
          <t>10.3390/su13158166</t>
        </is>
      </c>
      <c r="BG1095">
        <f>HYPERLINK("http://dx.doi.org/10.3390/su13158166","http://dx.doi.org/10.3390/su13158166")</f>
        <v/>
      </c>
      <c r="BJ1095" t="n">
        <v>25</v>
      </c>
      <c r="BK1095" t="inlineStr">
        <is>
          <t>Green &amp; Sustainable Science &amp; Technology; Environmental Sciences; Environmental Studies</t>
        </is>
      </c>
      <c r="BL1095" t="inlineStr">
        <is>
          <t>Science Citation Index Expanded (SCI-EXPANDED); Social Science Citation Index (SSCI)</t>
        </is>
      </c>
      <c r="BM1095" t="inlineStr">
        <is>
          <t>Science &amp; Technology - Other Topics; Environmental Sciences &amp; Ecology</t>
        </is>
      </c>
      <c r="BN1095" t="inlineStr">
        <is>
          <t>TW2TJ</t>
        </is>
      </c>
      <c r="BP1095" t="inlineStr">
        <is>
          <t>gold</t>
        </is>
      </c>
      <c r="BS1095" t="inlineStr">
        <is>
          <t>2023-10-26</t>
        </is>
      </c>
      <c r="BT1095" t="inlineStr">
        <is>
          <t>WOS:000682259000001</t>
        </is>
      </c>
      <c r="BU1095">
        <f>HYPERLINK("https%3A%2F%2Fwww.webofscience.com%2Fwos%2Fwoscc%2Ffull-record%2FWOS:000682259000001","View Full Record in Web of Science")</f>
        <v/>
      </c>
    </row>
    <row r="1096">
      <c r="A1096" t="inlineStr">
        <is>
          <t>J</t>
        </is>
      </c>
      <c r="B1096" t="inlineStr">
        <is>
          <t>Zhou, N; Zhang, X; Yan, JQ; Yu, YQ; Cai, Y</t>
        </is>
      </c>
      <c r="F1096" t="inlineStr">
        <is>
          <t>Zhou, Na; Zhang, Xin; Yan, Jia-Qing; Yu, Ya-Qin; Cai, Yan</t>
        </is>
      </c>
      <c r="J1096" t="inlineStr">
        <is>
          <t>INTERNATIONAL JOURNAL OF ENVIRONMENTAL RESEARCH AND PUBLIC HEALTH</t>
        </is>
      </c>
      <c r="M1096" t="inlineStr">
        <is>
          <t>English</t>
        </is>
      </c>
      <c r="N1096" t="inlineStr">
        <is>
          <t>Review</t>
        </is>
      </c>
      <c r="T1096" t="inlineStr">
        <is>
          <t>Prevalence of Oral Mucosal Diseases in Older Adults in Mainland China: A Meta-Analysis of Observational Studies</t>
        </is>
      </c>
      <c r="U1096" t="inlineStr">
        <is>
          <t>oral mucosal disease; older adults; meta-analysis; prevalence</t>
        </is>
      </c>
      <c r="V1096" t="inlineStr">
        <is>
          <t>HEALTH STATUS; LESIONS; PEOPLE; DISORDERS</t>
        </is>
      </c>
      <c r="W1096" t="inlineStr">
        <is>
          <t>Oral mucosal disease (OMD) is a public health challenge globally, but the epidemiological findings in older adults have been inconsistent in China. Thus, this meta-analysis was carried out to explore the prevalence of OMD and its moderating factors in this population. An electronic literature search was conducted of both international (PubMed, PsycINFO, and EMBASE) and Chinese (China National Knowledge Infrastructure and WanFang) databases from inception to November 1, 2019. The Der-Simonian and Laird random effects model was used to synthesize the prevalence of OMD and its 95% confidence intervals (95% CI). Twenty-four studies covering 23,653 older adults were included. The pooled prevalence of OMD was 23% (95% confidence interval: 17.9%-29.0%) Subgroup analyses and meta-analysis revealed that the prevalence of OMD was significantly associated with the reporting sampling, year of publication, and survey (all p values &lt;0.05). This meta-analysis found that the prevalence of OMD among older adults in mainland China was significantly high. Early detection and effective intervention of OMD in older adults have public health and clinical importance.</t>
        </is>
      </c>
      <c r="X1096" t="inlineStr">
        <is>
          <t>[Zhou, Na; Yan, Jia-Qing; Cai, Yan] Jilin Univ, Hosp Stomatol, Changchun 130021, Peoples R China; [Zhang, Xin] First Hosp Jilin Univ, Dept Pharm, Changchun 130021, Peoples R China; [Yu, Ya-Qin] Jilin Univ, Sch Publ Hlth, Dept Epidemiol &amp; Biostat, Changchun 130021, Peoples R China</t>
        </is>
      </c>
      <c r="Y1096" t="inlineStr">
        <is>
          <t>Jilin University; Jilin University; Jilin University</t>
        </is>
      </c>
      <c r="Z1096" t="inlineStr">
        <is>
          <t>Cai, Y (corresponding author), Jilin Univ, Hosp Stomatol, Changchun 130021, Peoples R China.</t>
        </is>
      </c>
      <c r="AA1096" t="inlineStr">
        <is>
          <t>zhoun708@jlu.edu.cn; happy_potato531@163.com; yjq@mail.jlu.edu.cn; yuyaqin5540@163.com; caiyan@jlu.edu.cn</t>
        </is>
      </c>
      <c r="AB1096" t="inlineStr">
        <is>
          <t>Yan, Jia-qing/AAI-1974-2020</t>
        </is>
      </c>
      <c r="AC1096" t="inlineStr">
        <is>
          <t>Zhou, Na/0000-0003-2656-7948</t>
        </is>
      </c>
      <c r="AD1096" t="inlineStr">
        <is>
          <t>Jilin Province Health Promote Appropriate Technology Project [20195007]</t>
        </is>
      </c>
      <c r="AE1096" t="inlineStr">
        <is>
          <t>Jilin Province Health Promote Appropriate Technology Project</t>
        </is>
      </c>
      <c r="AF1096" t="inlineStr">
        <is>
          <t>The study was supported by the Jilin Province Health Promote Appropriate Technology Project (No. 20195007).</t>
        </is>
      </c>
      <c r="AH1096" t="n">
        <v>43</v>
      </c>
      <c r="AI1096" t="n">
        <v>2</v>
      </c>
      <c r="AJ1096" t="n">
        <v>3</v>
      </c>
      <c r="AK1096" t="n">
        <v>1</v>
      </c>
      <c r="AL1096" t="n">
        <v>9</v>
      </c>
      <c r="AM1096" t="inlineStr">
        <is>
          <t>MDPI</t>
        </is>
      </c>
      <c r="AN1096" t="inlineStr">
        <is>
          <t>BASEL</t>
        </is>
      </c>
      <c r="AO1096" t="inlineStr">
        <is>
          <t>ST ALBAN-ANLAGE 66, CH-4052 BASEL, SWITZERLAND</t>
        </is>
      </c>
      <c r="AQ1096" t="inlineStr">
        <is>
          <t>1660-4601</t>
        </is>
      </c>
      <c r="AS1096" t="inlineStr">
        <is>
          <t>INT J ENV RES PUB HE</t>
        </is>
      </c>
      <c r="AT1096" t="inlineStr">
        <is>
          <t>Int. J. Environ. Res. Public Health</t>
        </is>
      </c>
      <c r="AU1096" t="inlineStr">
        <is>
          <t>MAR 2</t>
        </is>
      </c>
      <c r="AV1096" t="n">
        <v>2020</v>
      </c>
      <c r="AW1096" t="n">
        <v>17</v>
      </c>
      <c r="AX1096" t="n">
        <v>6</v>
      </c>
      <c r="BE1096" t="n">
        <v>1887</v>
      </c>
      <c r="BF1096" t="inlineStr">
        <is>
          <t>10.3390/ijerph17061887</t>
        </is>
      </c>
      <c r="BG1096">
        <f>HYPERLINK("http://dx.doi.org/10.3390/ijerph17061887","http://dx.doi.org/10.3390/ijerph17061887")</f>
        <v/>
      </c>
      <c r="BJ1096" t="n">
        <v>10</v>
      </c>
      <c r="BK1096" t="inlineStr">
        <is>
          <t>Environmental Sciences; Public, Environmental &amp; Occupational Health</t>
        </is>
      </c>
      <c r="BL1096" t="inlineStr">
        <is>
          <t>Science Citation Index Expanded (SCI-EXPANDED); Social Science Citation Index (SSCI)</t>
        </is>
      </c>
      <c r="BM1096" t="inlineStr">
        <is>
          <t>Environmental Sciences &amp; Ecology; Public, Environmental &amp; Occupational Health</t>
        </is>
      </c>
      <c r="BN1096" t="inlineStr">
        <is>
          <t>LI2VS</t>
        </is>
      </c>
      <c r="BO1096" t="n">
        <v>32183318</v>
      </c>
      <c r="BP1096" t="inlineStr">
        <is>
          <t>Green Published, gold</t>
        </is>
      </c>
      <c r="BS1096" t="inlineStr">
        <is>
          <t>2023-10-26</t>
        </is>
      </c>
      <c r="BT1096" t="inlineStr">
        <is>
          <t>WOS:000529342300077</t>
        </is>
      </c>
      <c r="BU1096">
        <f>HYPERLINK("https%3A%2F%2Fwww.webofscience.com%2Fwos%2Fwoscc%2Ffull-record%2FWOS:000529342300077","View Full Record in Web of Science")</f>
        <v/>
      </c>
    </row>
    <row r="1097">
      <c r="A1097" t="inlineStr">
        <is>
          <t>J</t>
        </is>
      </c>
      <c r="B1097" t="inlineStr">
        <is>
          <t>Zhou, B; Wu, X; Zeng, YK; Tan, ML; Liu, F; Zhuang, QS</t>
        </is>
      </c>
      <c r="F1097" t="inlineStr">
        <is>
          <t>Zhou, Bin; Wu, Xiao; Zeng, Yue-Kai; Tan, Mei-Lan; Liu, Feng; Zhuang, Qi-Sheng</t>
        </is>
      </c>
      <c r="J1097" t="inlineStr">
        <is>
          <t>JOURNAL OF CLEANER PRODUCTION</t>
        </is>
      </c>
      <c r="M1097" t="inlineStr">
        <is>
          <t>English</t>
        </is>
      </c>
      <c r="N1097" t="inlineStr">
        <is>
          <t>Article</t>
        </is>
      </c>
      <c r="T1097" t="inlineStr">
        <is>
          <t>Experimental investigation on the purification performance of particle and planktonic bacteria in the human body micro-environment using low-temperature plasma</t>
        </is>
      </c>
      <c r="U1097" t="inlineStr">
        <is>
          <t>Indoor air; Built environment; Particle; Planktonic bacteria</t>
        </is>
      </c>
      <c r="V1097" t="inlineStr">
        <is>
          <t>AIRBORNE BACTERIA; VENTILATION; RESUSPENSION; TRANSMISSION; EVAPORATION; DISPERSION; DROPLETS; AEROSOLS; IMPACT; ROOM</t>
        </is>
      </c>
      <c r="W1097" t="inlineStr">
        <is>
          <t>Airborne infectious disease transmission in the built environment has caused casualty to people's life. To minimize the inhalation risk of bioaerosol in the human body micro-environment, a wearable low-temperature plasma (LTP) device was developed. The gas fractions produced by the device were studied by the optical emission spectroscopy. The sterilization performance on E. coli and S. albus at different treatment times was investigated. Meanwhile, the purification efficiency of particle and planktonic bacteria in a confined indoor space was also investigated by combining the wearable device with a thermal manikin. Results demonstrated that N-2(B-3 Pi g -&gt; A(3)Sigma(+)(u)) and center dot OH were the main active species. The concentration of E. coli and S. albus could be reduced from 0.05 to 0.92 log units after treatment by LTP sterilized species. Besides, the particle removal efficiency of LTP on the thermal manikin ranges from 12.55% to 36.37%. By combination of the LTP device and the indoor air cleaners (ACs), the particle cleaning efficiency in the breathing zone of people can be significantly improved. Compared with the natural settlement scenario, the purification efficiency of the planktonic bacteria by the LTP device could reach 24.96%. This study shows that LTP technology can be used as a complementary tool to the current HVAC technology for protection of occupant's breathing air in the human body micro-environment.</t>
        </is>
      </c>
      <c r="X1097" t="inlineStr">
        <is>
          <t>[Zhou, Bin; Wu, Xiao; Zeng, Yue-Kai; Tan, Mei-Lan] Nanjing Tech Univ, Coll Urban Construct, Dept HVAC, POB 81,30 Puzhu Rd S, Nanjing 211816, Peoples R China; [Zhou, Bin] Natl Air Cleaner &amp; Gas Detect Prod Qual Supervis &amp;, Suzhou, Peoples R China; [Liu, Feng] Nanjing Tech Univ, Sch Elect Engn &amp; Control Sci, Nanjing, Peoples R China; [Zhuang, Qi-Sheng] Nanjing Tech Univ, Sch Econ &amp; Management, Nanjing, Peoples R China</t>
        </is>
      </c>
      <c r="Y1097" t="inlineStr">
        <is>
          <t>Nanjing Tech University; Nanjing Tech University; Nanjing Tech University</t>
        </is>
      </c>
      <c r="Z1097" t="inlineStr">
        <is>
          <t>Zhou, B (corresponding author), Nanjing Tech Univ, Coll Urban Construct, Dept HVAC, POB 81,30 Puzhu Rd S, Nanjing 211816, Peoples R China.</t>
        </is>
      </c>
      <c r="AA1097" t="inlineStr">
        <is>
          <t>bin.zhou@njtech.edu.cn</t>
        </is>
      </c>
      <c r="AB1097" t="inlineStr">
        <is>
          <t>Zhou, Bin/H-6798-2013; Liu, Feng/J-8617-2019</t>
        </is>
      </c>
      <c r="AC1097" t="inlineStr">
        <is>
          <t>Zhou, Bin/0000-0002-1399-5591; Liu, Feng/0000-0002-0511-8177</t>
        </is>
      </c>
      <c r="AD1097" t="inlineStr">
        <is>
          <t>National Natural Science Foundation of China [52108078]; Six Talent Peaks Project of Jiangsu Province [JNHB-043]; Postgraduate Research &amp; Practice Innovation Program of Jiangsu Province [SJCX20_0324]; 2022 Open Fund Project for Innovation, Entrepreneurship and Practice of University Student from Nanjing Tech University [2022DC0261]</t>
        </is>
      </c>
      <c r="AE1097" t="inlineStr">
        <is>
          <t>National Natural Science Foundation of China(National Natural Science Foundation of China (NSFC)); Six Talent Peaks Project of Jiangsu Province; Postgraduate Research &amp; Practice Innovation Program of Jiangsu Province; 2022 Open Fund Project for Innovation, Entrepreneurship and Practice of University Student from Nanjing Tech University</t>
        </is>
      </c>
      <c r="AF1097" t="inlineStr">
        <is>
          <t>This work is financially supported by the National Natural Science Foundation of China (52108078) , the Six Talent Peaks Project of Jiangsu Province (JNHB-043) , Postgraduate Research &amp; Practice Innovation Program of Jiangsu Province (SJCX20_0324) and 2022 Open Fund Project for Innovation, Entrepreneurship and Practice of University Student from Nanjing Tech University (2022DC0261) . Acknowledge-ment is also given to Mr. Qing Huang and Mr. Guo-Li Ma for the help during experiment.</t>
        </is>
      </c>
      <c r="AH1097" t="n">
        <v>41</v>
      </c>
      <c r="AI1097" t="n">
        <v>0</v>
      </c>
      <c r="AJ1097" t="n">
        <v>0</v>
      </c>
      <c r="AK1097" t="n">
        <v>9</v>
      </c>
      <c r="AL1097" t="n">
        <v>19</v>
      </c>
      <c r="AM1097" t="inlineStr">
        <is>
          <t>ELSEVIER SCI LTD</t>
        </is>
      </c>
      <c r="AN1097" t="inlineStr">
        <is>
          <t>OXFORD</t>
        </is>
      </c>
      <c r="AO1097" t="inlineStr">
        <is>
          <t>THE BOULEVARD, LANGFORD LANE, KIDLINGTON, OXFORD OX5 1GB, OXON, ENGLAND</t>
        </is>
      </c>
      <c r="AP1097" t="inlineStr">
        <is>
          <t>0959-6526</t>
        </is>
      </c>
      <c r="AQ1097" t="inlineStr">
        <is>
          <t>1879-1786</t>
        </is>
      </c>
      <c r="AS1097" t="inlineStr">
        <is>
          <t>J CLEAN PROD</t>
        </is>
      </c>
      <c r="AT1097" t="inlineStr">
        <is>
          <t>J. Clean Prod.</t>
        </is>
      </c>
      <c r="AU1097" t="inlineStr">
        <is>
          <t>JAN 15</t>
        </is>
      </c>
      <c r="AV1097" t="n">
        <v>2023</v>
      </c>
      <c r="AW1097" t="n">
        <v>384</v>
      </c>
      <c r="BE1097" t="n">
        <v>135577</v>
      </c>
      <c r="BF1097" t="inlineStr">
        <is>
          <t>10.1016/j.jclepro.2022.135577</t>
        </is>
      </c>
      <c r="BG1097">
        <f>HYPERLINK("http://dx.doi.org/10.1016/j.jclepro.2022.135577","http://dx.doi.org/10.1016/j.jclepro.2022.135577")</f>
        <v/>
      </c>
      <c r="BI1097" t="inlineStr">
        <is>
          <t>DEC 2022</t>
        </is>
      </c>
      <c r="BJ1097" t="n">
        <v>11</v>
      </c>
      <c r="BK1097" t="inlineStr">
        <is>
          <t>Green &amp; Sustainable Science &amp; Technology; Engineering, Environmental; Environmental Sciences</t>
        </is>
      </c>
      <c r="BL1097" t="inlineStr">
        <is>
          <t>Science Citation Index Expanded (SCI-EXPANDED)</t>
        </is>
      </c>
      <c r="BM1097" t="inlineStr">
        <is>
          <t>Science &amp; Technology - Other Topics; Engineering; Environmental Sciences &amp; Ecology</t>
        </is>
      </c>
      <c r="BN1097" t="inlineStr">
        <is>
          <t>7Q9IZ</t>
        </is>
      </c>
      <c r="BS1097" t="inlineStr">
        <is>
          <t>2023-10-26</t>
        </is>
      </c>
      <c r="BT1097" t="inlineStr">
        <is>
          <t>WOS:000909697200001</t>
        </is>
      </c>
      <c r="BU1097">
        <f>HYPERLINK("https%3A%2F%2Fwww.webofscience.com%2Fwos%2Fwoscc%2Ffull-record%2FWOS:000909697200001","View Full Record in Web of Science")</f>
        <v/>
      </c>
    </row>
    <row r="1098">
      <c r="A1098" t="inlineStr">
        <is>
          <t>J</t>
        </is>
      </c>
      <c r="B1098" t="inlineStr">
        <is>
          <t>Rifai, HS; Kiaghadi, A; Burleson, DW</t>
        </is>
      </c>
      <c r="F1098" t="inlineStr">
        <is>
          <t>Rifai, Hanadi S.; Kiaghadi, Amin; Burleson, Daniel W.</t>
        </is>
      </c>
      <c r="J1098" t="inlineStr">
        <is>
          <t>FRONTIERS IN CLIMATE</t>
        </is>
      </c>
      <c r="M1098" t="inlineStr">
        <is>
          <t>English</t>
        </is>
      </c>
      <c r="N1098" t="inlineStr">
        <is>
          <t>Article</t>
        </is>
      </c>
      <c r="T1098" t="inlineStr">
        <is>
          <t>Assessing Damages to Built and Natural Environments: Linking Hydrodynamic and Geospatial Enviro-Economical Models</t>
        </is>
      </c>
      <c r="U1098" t="inlineStr">
        <is>
          <t>compound flooding; inundation; spills and leaks; ADCIRC; EFDC</t>
        </is>
      </c>
      <c r="V1098" t="inlineStr">
        <is>
          <t>SEA-LEVEL RISE; STORM-SURGE; CLIMATE-CHANGE; HURRICANE; VULNERABILITY; FRAMEWORK; LESSONS; KATRINA; GIS; COUNTY</t>
        </is>
      </c>
      <c r="W1098" t="inlineStr">
        <is>
          <t>In this study, a novel framework was developed to provide a holistic damage assessment caused by severe hydrologic events whether individually or as a compound event. The novel framework uses a developed hurricane-specific water quality model, Environmental Fluid Dynamic Code-Storm Surge model (EFDC-SS) and an ArcGIS-based framework, the Facility Economic Damage and Environmental Release Planning (FEDERAP) to assess damages to the built and natural environment. The developed framework could be used to compare different hurricanes and storms with a focus on land inundation, spill destination in both land and water and their associated risks, as well as economic loss including both physical and secondary losses. The results showed different spreading mechanisms during surge and rainfall-based hurricanes. While storm surge pushed contaminants (from spills) upstream, the rainfall-based hurricane caused a larger footprint of contamination on land. Though different in spreading patterns, spills during both hurricane types can widely spread miles away from the release location in a very short period of time. The FEDERAP economic loss model showed that facility area, average land elevation, the number of storage tanks and process units at the facility, and daily production are key drivers in the calculated total losses for a given hydrologic event.</t>
        </is>
      </c>
      <c r="X1098" t="inlineStr">
        <is>
          <t>[Rifai, Hanadi S.; Kiaghadi, Amin; Burleson, Daniel W.] Univ Houston, Civil &amp; Environm Engn, Houston, TX 77004 USA; [Kiaghadi, Amin] Univ Texas Austin, Oden Inst, Computat Hydraul Grp, Austin, TX USA</t>
        </is>
      </c>
      <c r="Y1098" t="inlineStr">
        <is>
          <t>University of Houston System; University of Houston; University of Texas System; University of Texas Austin</t>
        </is>
      </c>
      <c r="Z1098" t="inlineStr">
        <is>
          <t>Rifai, HS (corresponding author), Univ Houston, Civil &amp; Environm Engn, Houston, TX 77004 USA.</t>
        </is>
      </c>
      <c r="AA1098" t="inlineStr">
        <is>
          <t>rifai@uh.edu</t>
        </is>
      </c>
      <c r="AD1098" t="inlineStr">
        <is>
          <t>National Science Foundation [1759440]; Hurricane Resilience Research Institute; Texas Commission on Environmental Quality; US EPA; Severe Storm Prediction, Evaluation, and Evacuation from Disaster Center</t>
        </is>
      </c>
      <c r="AE1098" t="inlineStr">
        <is>
          <t>National Science Foundation(National Science Foundation (NSF)); Hurricane Resilience Research Institute; Texas Commission on Environmental Quality; US EPA(United States Environmental Protection Agency); Severe Storm Prediction, Evaluation, and Evacuation from Disaster Center</t>
        </is>
      </c>
      <c r="AF1098" t="inlineStr">
        <is>
          <t>The National Science Foundation award #1759440 provided funding for this research. Additional funding was received from the Hurricane Resilience Research Institute, the Severe Storm Prediction, Evaluation, and Evacuation from Disaster Center, the Texas Commission on Environmental Quality, and the US EPA. DSI, LLC is acknowledged for granting a license for use of the EFDC model and its interfaces to develop EFDC-SS. Their support is gratefully acknowledged.</t>
        </is>
      </c>
      <c r="AH1098" t="n">
        <v>48</v>
      </c>
      <c r="AI1098" t="n">
        <v>0</v>
      </c>
      <c r="AJ1098" t="n">
        <v>0</v>
      </c>
      <c r="AK1098" t="n">
        <v>0</v>
      </c>
      <c r="AL1098" t="n">
        <v>0</v>
      </c>
      <c r="AM1098" t="inlineStr">
        <is>
          <t>FRONTIERS MEDIA SA</t>
        </is>
      </c>
      <c r="AN1098" t="inlineStr">
        <is>
          <t>LAUSANNE</t>
        </is>
      </c>
      <c r="AO1098" t="inlineStr">
        <is>
          <t>AVENUE DU TRIBUNAL FEDERAL 34, LAUSANNE, CH-1015, SWITZERLAND</t>
        </is>
      </c>
      <c r="AQ1098" t="inlineStr">
        <is>
          <t>2624-9553</t>
        </is>
      </c>
      <c r="AS1098" t="inlineStr">
        <is>
          <t>FRONT CLIM</t>
        </is>
      </c>
      <c r="AT1098" t="inlineStr">
        <is>
          <t>Front. Clim.</t>
        </is>
      </c>
      <c r="AU1098" t="inlineStr">
        <is>
          <t>AUG 19</t>
        </is>
      </c>
      <c r="AV1098" t="n">
        <v>2021</v>
      </c>
      <c r="AW1098" t="n">
        <v>3</v>
      </c>
      <c r="BE1098" t="n">
        <v>610593</v>
      </c>
      <c r="BF1098" t="inlineStr">
        <is>
          <t>10.3389/fclim.2021.610593</t>
        </is>
      </c>
      <c r="BG1098">
        <f>HYPERLINK("http://dx.doi.org/10.3389/fclim.2021.610593","http://dx.doi.org/10.3389/fclim.2021.610593")</f>
        <v/>
      </c>
      <c r="BJ1098" t="n">
        <v>17</v>
      </c>
      <c r="BK1098" t="inlineStr">
        <is>
          <t>Environmental Sciences; Environmental Studies</t>
        </is>
      </c>
      <c r="BL1098" t="inlineStr">
        <is>
          <t>Emerging Sources Citation Index (ESCI)</t>
        </is>
      </c>
      <c r="BM1098" t="inlineStr">
        <is>
          <t>Environmental Sciences &amp; Ecology</t>
        </is>
      </c>
      <c r="BN1098" t="inlineStr">
        <is>
          <t>L4XR3</t>
        </is>
      </c>
      <c r="BP1098" t="inlineStr">
        <is>
          <t>gold</t>
        </is>
      </c>
      <c r="BS1098" t="inlineStr">
        <is>
          <t>2023-10-26</t>
        </is>
      </c>
      <c r="BT1098" t="inlineStr">
        <is>
          <t>WOS:001023315900001</t>
        </is>
      </c>
      <c r="BU1098">
        <f>HYPERLINK("https%3A%2F%2Fwww.webofscience.com%2Fwos%2Fwoscc%2Ffull-record%2FWOS:001023315900001","View Full Record in Web of Science")</f>
        <v/>
      </c>
    </row>
    <row r="1099">
      <c r="A1099" t="inlineStr">
        <is>
          <t>J</t>
        </is>
      </c>
      <c r="B1099" t="inlineStr">
        <is>
          <t>Xiong, YY; Krogmann, U; Mainelis, G; Rodenburg, LA; Andrews, CJ</t>
        </is>
      </c>
      <c r="F1099" t="inlineStr">
        <is>
          <t>Xiong, Youyou; Krogmann, Uta; Mainelis, Gediminas; Rodenburg, Lisa A.; Andrews, Clinton J.</t>
        </is>
      </c>
      <c r="J1099" t="inlineStr">
        <is>
          <t>JOURNAL OF ENVIRONMENTAL SCIENCE AND HEALTH PART A-TOXIC/HAZARDOUS SUBSTANCES &amp; ENVIRONMENTAL ENGINEERING</t>
        </is>
      </c>
      <c r="M1099" t="inlineStr">
        <is>
          <t>English</t>
        </is>
      </c>
      <c r="N1099" t="inlineStr">
        <is>
          <t>Article</t>
        </is>
      </c>
      <c r="T1099" t="inlineStr">
        <is>
          <t>Indoor air quality in green buildings: A case-study in a residential high-rise building in the northeastern United States</t>
        </is>
      </c>
      <c r="U1099" t="inlineStr">
        <is>
          <t>IAQ; residential high-rise building; Green building; VOC; LEED; particulate matter</t>
        </is>
      </c>
      <c r="V1099" t="inlineStr">
        <is>
          <t>FORMALDEHYDE; VENTILATION; RATES</t>
        </is>
      </c>
      <c r="W1099" t="inlineStr">
        <is>
          <t>Improved indoor air quality (IAQ) is one of the critical components of green building design. Green building tax credit (e.g., New York State Green Building Tax Credit (GBTC)) and certification programs (e.g., Leadership in Energy &amp; Environmental Design (LEED)) require indoor air quality measures and compliance with allowable maximum concentrations of common indoor air pollutants. It is not yet entirely clear whether compliance with these programs results in improved IAQ and ultimately human health. As a case in point, annual indoor air quality measurements were conducted in a residential green high-rise building for five consecutive years by an industrial hygiene contractor to comply with the building's GBTC requirements. The implementation of green design measures resulted in better IAQ compared to data in references of conventional homes for some parameters, but could not be confirmed for others. Relative humidity and carbon dioxide were satisfactory according to existing standards. Formaldehyde levels during four out of five years were below the most recent proposed exposure limits found in the literature. To some degree, particulate matter (PM) levels were lower than that in studies from conventional residential buildings. Concentrations of Volatile Organic Compounds (VOCs) with known permissible exposure limits were below levels known to cause chronic health effects, but their concentrations were inconclusive regarding cancer health effects due to relatively high detection limits. Although measured indoor air parameters met all IAQ maximum allowable concentrations in GBTC and applicable LEED requirements at the time of sampling, we argue that these measurements were not sufficient to assess IAQ comprehensively because more sensitive sampling/analytical methods for PM and VOCs are needed; in addition, there is a need for a formal process to ensure rigor and adequacy of sampling and analysis methods. Also, we suggest that a comprehensive IAQ assessment should include mixed mode thermal comfort models, semi-volatile organic compounds, assessment of new chemicals, and permissible exposure levels of many known indoor VOCs and bioaerosols. Plus, the relationship between energy consumption and IAQ, and tenant education on health effects of indoor pollutants and their sources may need more attention in IAQ investigations in green buildings.</t>
        </is>
      </c>
      <c r="X1099" t="inlineStr">
        <is>
          <t>[Xiong, Youyou; Krogmann, Uta; Mainelis, Gediminas; Rodenburg, Lisa A.] Rutgers State Univ, Dept Environm Sci, New Brunswick, NJ 08901 USA; [Andrews, Clinton J.] Rutgers State Univ, Edward J Bloustein Sch Planning &amp; Publ Policy, New Brunswick, NJ 08901 USA</t>
        </is>
      </c>
      <c r="Y1099" t="inlineStr">
        <is>
          <t>Rutgers State University New Brunswick; Rutgers State University New Brunswick</t>
        </is>
      </c>
      <c r="Z1099" t="inlineStr">
        <is>
          <t>Krogmann, U (corresponding author), Rutgers State Univ, Dept Environm Sci, 14 Coll Farm Rd, New Brunswick, NJ 08901 USA.</t>
        </is>
      </c>
      <c r="AA1099" t="inlineStr">
        <is>
          <t>krogmann@aesop.rutgers.edu</t>
        </is>
      </c>
      <c r="AB1099" t="inlineStr">
        <is>
          <t>Mainelis, Gediminas/A-9340-2013; Andrews, Clinton J./X-6346-2018; Rodenburg, Lisa/AAV-8043-2021; Rodenburg, Lisa/L-6882-2015</t>
        </is>
      </c>
      <c r="AC1099" t="inlineStr">
        <is>
          <t>Mainelis, Gediminas/0000-0002-5837-0413; Andrews, Clinton J./0000-0002-2989-8091; Rodenburg, Lisa/0000-0002-6828-173X</t>
        </is>
      </c>
      <c r="AD1099" t="inlineStr">
        <is>
          <t>National Science Foundation [CMS-0725503]</t>
        </is>
      </c>
      <c r="AE1099" t="inlineStr">
        <is>
          <t>National Science Foundation(National Science Foundation (NSF))</t>
        </is>
      </c>
      <c r="AF1099" t="inlineStr">
        <is>
          <t>This work was funded by the National Science Foundation grant CMS-0725503.</t>
        </is>
      </c>
      <c r="AH1099" t="n">
        <v>70</v>
      </c>
      <c r="AI1099" t="n">
        <v>21</v>
      </c>
      <c r="AJ1099" t="n">
        <v>22</v>
      </c>
      <c r="AK1099" t="n">
        <v>1</v>
      </c>
      <c r="AL1099" t="n">
        <v>95</v>
      </c>
      <c r="AM1099" t="inlineStr">
        <is>
          <t>TAYLOR &amp; FRANCIS INC</t>
        </is>
      </c>
      <c r="AN1099" t="inlineStr">
        <is>
          <t>PHILADELPHIA</t>
        </is>
      </c>
      <c r="AO1099" t="inlineStr">
        <is>
          <t>530 WALNUT STREET, STE 850, PHILADELPHIA, PA 19106 USA</t>
        </is>
      </c>
      <c r="AP1099" t="inlineStr">
        <is>
          <t>1093-4529</t>
        </is>
      </c>
      <c r="AQ1099" t="inlineStr">
        <is>
          <t>1532-4117</t>
        </is>
      </c>
      <c r="AS1099" t="inlineStr">
        <is>
          <t>J ENVIRON SCI HEAL A</t>
        </is>
      </c>
      <c r="AT1099" t="inlineStr">
        <is>
          <t>J. Environ. Sci. Health Part A-Toxic/Hazard. Subst. Environ. Eng.</t>
        </is>
      </c>
      <c r="AV1099" t="n">
        <v>2015</v>
      </c>
      <c r="AW1099" t="n">
        <v>50</v>
      </c>
      <c r="AX1099" t="n">
        <v>3</v>
      </c>
      <c r="BC1099" t="n">
        <v>225</v>
      </c>
      <c r="BD1099" t="n">
        <v>242</v>
      </c>
      <c r="BF1099" t="inlineStr">
        <is>
          <t>10.1080/10934529.2015.981101</t>
        </is>
      </c>
      <c r="BG1099">
        <f>HYPERLINK("http://dx.doi.org/10.1080/10934529.2015.981101","http://dx.doi.org/10.1080/10934529.2015.981101")</f>
        <v/>
      </c>
      <c r="BJ1099" t="n">
        <v>18</v>
      </c>
      <c r="BK1099" t="inlineStr">
        <is>
          <t>Engineering, Environmental; Environmental Sciences</t>
        </is>
      </c>
      <c r="BL1099" t="inlineStr">
        <is>
          <t>Science Citation Index Expanded (SCI-EXPANDED)</t>
        </is>
      </c>
      <c r="BM1099" t="inlineStr">
        <is>
          <t>Engineering; Environmental Sciences &amp; Ecology</t>
        </is>
      </c>
      <c r="BN1099" t="inlineStr">
        <is>
          <t>AZ4OD</t>
        </is>
      </c>
      <c r="BO1099" t="n">
        <v>25594117</v>
      </c>
      <c r="BS1099" t="inlineStr">
        <is>
          <t>2023-10-26</t>
        </is>
      </c>
      <c r="BT1099" t="inlineStr">
        <is>
          <t>WOS:000348201000001</t>
        </is>
      </c>
      <c r="BU1099">
        <f>HYPERLINK("https%3A%2F%2Fwww.webofscience.com%2Fwos%2Fwoscc%2Ffull-record%2FWOS:000348201000001","View Full Record in Web of Science")</f>
        <v/>
      </c>
    </row>
    <row r="1100">
      <c r="A1100" t="inlineStr">
        <is>
          <t>J</t>
        </is>
      </c>
      <c r="B1100" t="inlineStr">
        <is>
          <t>Calogiuri, G; Elliott, LR</t>
        </is>
      </c>
      <c r="F1100" t="inlineStr">
        <is>
          <t>Calogiuri, Giovanna; Elliott, Lewis R.</t>
        </is>
      </c>
      <c r="J1100" t="inlineStr">
        <is>
          <t>INTERNATIONAL JOURNAL OF ENVIRONMENTAL RESEARCH AND PUBLIC HEALTH</t>
        </is>
      </c>
      <c r="M1100" t="inlineStr">
        <is>
          <t>English</t>
        </is>
      </c>
      <c r="N1100" t="inlineStr">
        <is>
          <t>Article</t>
        </is>
      </c>
      <c r="T1100" t="inlineStr">
        <is>
          <t>Why Do People Exercise in Natural Environments? Norwegian Adults' Motives for Nature-, Gym-, and Sports-Based Exercise</t>
        </is>
      </c>
      <c r="U1100" t="inlineStr">
        <is>
          <t>outdoor recreation; health promotion; physical activity; greenspace; sedentary; leisure time</t>
        </is>
      </c>
      <c r="V1100" t="inlineStr">
        <is>
          <t>PHYSICAL-ACTIVITY; GREEN SPACE; BEHAVIOR; PREDICTORS; FREQUENCY; WALKING; INDOOR; HEALTH; IMPACT; AGE</t>
        </is>
      </c>
      <c r="W1100" t="inlineStr">
        <is>
          <t>Exercise in natural environments (green exercise) confers numerous health benefits, but little is known about why people engage in green exercise. This study examined the importance of nature experiences as a motive for physical activity and the motivational profile of people who engage in green exercise compared to gym-and sports-based exercise. Physical activity motives and typical times spent in different domains of physical activity were reported by 2168 Norwegian adults in a survey. Experiencing nature was generally rated as the second-most important physical activity motive, exceeded only by convenience motives, and it was especially important for older adults and those who engage in greater amounts of instrumental physical activity. Green exercisers reported stronger motives concerning convenience and experiencing nature, whereas gym-or sports-based exercisers reported stronger motives for physical health and sociability. The motives associated with different leisure-time exercise domains may assist in understanding optimal promotion of green exercise.</t>
        </is>
      </c>
      <c r="X1100" t="inlineStr">
        <is>
          <t>[Calogiuri, Giovanna] Inland Norway Univ Appl Sci, Fac Publ Hlth, Dept Dent Care &amp; Publ Hlth, Hamarveien 112, N-2411 Elverum, Norway; [Elliott, Lewis R.] Univ Exeter Med Sch, European Ctr Environm &amp; Human Hlth, Royal Cornwall Hosp, Knowledge Spa, Truro TR1 3HD, Cornwall, England; [Elliott, Lewis R.] Univ Exeter, Sch Med, Psychol Appl Hlth PAtH, Coll House, St Lukes Campus, Exeter EX1 2LU, Devon, England</t>
        </is>
      </c>
      <c r="Y1100" t="inlineStr">
        <is>
          <t>Inland Norway University of Applied Sciences; Royal Cornwall Hospital; University of Exeter</t>
        </is>
      </c>
      <c r="Z1100" t="inlineStr">
        <is>
          <t>Calogiuri, G (corresponding author), Inland Norway Univ Appl Sci, Fac Publ Hlth, Dept Dent Care &amp; Publ Hlth, Hamarveien 112, N-2411 Elverum, Norway.</t>
        </is>
      </c>
      <c r="AA1100" t="inlineStr">
        <is>
          <t>giovanna.calogiuri@inn.no; L.R.Elliott@exeter.ac.uk</t>
        </is>
      </c>
      <c r="AC1100" t="inlineStr">
        <is>
          <t>Elliott, Lewis/0000-0003-3864-9465; Calogiuri, Giovanna/0000-0003-1289-1026</t>
        </is>
      </c>
      <c r="AD1100" t="inlineStr">
        <is>
          <t>Inland Norway University of Applied Sciences</t>
        </is>
      </c>
      <c r="AE1100" t="inlineStr">
        <is>
          <t>Inland Norway University of Applied Sciences</t>
        </is>
      </c>
      <c r="AF1100" t="inlineStr">
        <is>
          <t>The authors declare no conflict of interest. Norsk Friluftsliv designed the questionnaire used in the survey and sponsored the collection of data, which was performed through a private statistical agency (Ipsos MMI, Oslo). Norsk Friluftsliv had no role in the design of the study, the analyses or the interpretation of data, in the writing of the manuscript, or in the decision to publish the results. The authors are not employed at Norsk Friluftsliv or otherwise related to projects of this organization. Giovanna Calogiuri's participation in this research was entirely funded by Inland Norway University of Applied Sciences, and Calogiuri did not receive any specific grant from funding agencies in the public, commercial, or not-for-profit sectors. Lewis R. Elliott declares that his participation in this research did not receive any specific grant from funding agencies in the public, commercial, or not-for-profit sectors.</t>
        </is>
      </c>
      <c r="AH1100" t="n">
        <v>46</v>
      </c>
      <c r="AI1100" t="n">
        <v>52</v>
      </c>
      <c r="AJ1100" t="n">
        <v>53</v>
      </c>
      <c r="AK1100" t="n">
        <v>13</v>
      </c>
      <c r="AL1100" t="n">
        <v>88</v>
      </c>
      <c r="AM1100" t="inlineStr">
        <is>
          <t>MDPI</t>
        </is>
      </c>
      <c r="AN1100" t="inlineStr">
        <is>
          <t>BASEL</t>
        </is>
      </c>
      <c r="AO1100" t="inlineStr">
        <is>
          <t>ST ALBAN-ANLAGE 66, CH-4052 BASEL, SWITZERLAND</t>
        </is>
      </c>
      <c r="AQ1100" t="inlineStr">
        <is>
          <t>1660-4601</t>
        </is>
      </c>
      <c r="AS1100" t="inlineStr">
        <is>
          <t>INT J ENV RES PUB HE</t>
        </is>
      </c>
      <c r="AT1100" t="inlineStr">
        <is>
          <t>Int. J. Environ. Res. Public Health</t>
        </is>
      </c>
      <c r="AU1100" t="inlineStr">
        <is>
          <t>APR</t>
        </is>
      </c>
      <c r="AV1100" t="n">
        <v>2017</v>
      </c>
      <c r="AW1100" t="n">
        <v>14</v>
      </c>
      <c r="AX1100" t="n">
        <v>4</v>
      </c>
      <c r="BE1100" t="n">
        <v>377</v>
      </c>
      <c r="BF1100" t="inlineStr">
        <is>
          <t>10.3390/ijerph14040377</t>
        </is>
      </c>
      <c r="BG1100">
        <f>HYPERLINK("http://dx.doi.org/10.3390/ijerph14040377","http://dx.doi.org/10.3390/ijerph14040377")</f>
        <v/>
      </c>
      <c r="BJ1100" t="n">
        <v>15</v>
      </c>
      <c r="BK1100" t="inlineStr">
        <is>
          <t>Environmental Sciences; Public, Environmental &amp; Occupational Health</t>
        </is>
      </c>
      <c r="BL1100" t="inlineStr">
        <is>
          <t>Science Citation Index Expanded (SCI-EXPANDED); Social Science Citation Index (SSCI)</t>
        </is>
      </c>
      <c r="BM1100" t="inlineStr">
        <is>
          <t>Environmental Sciences &amp; Ecology; Public, Environmental &amp; Occupational Health</t>
        </is>
      </c>
      <c r="BN1100" t="inlineStr">
        <is>
          <t>EY6PG</t>
        </is>
      </c>
      <c r="BO1100" t="n">
        <v>28375192</v>
      </c>
      <c r="BP1100" t="inlineStr">
        <is>
          <t>Green Published, Green Submitted, gold</t>
        </is>
      </c>
      <c r="BS1100" t="inlineStr">
        <is>
          <t>2023-10-26</t>
        </is>
      </c>
      <c r="BT1100" t="inlineStr">
        <is>
          <t>WOS:000404105100041</t>
        </is>
      </c>
      <c r="BU1100">
        <f>HYPERLINK("https%3A%2F%2Fwww.webofscience.com%2Fwos%2Fwoscc%2Ffull-record%2FWOS:000404105100041","View Full Record in Web of Science")</f>
        <v/>
      </c>
    </row>
    <row r="1101">
      <c r="A1101" t="inlineStr">
        <is>
          <t>J</t>
        </is>
      </c>
      <c r="B1101" t="inlineStr">
        <is>
          <t>Hung, YC; Chen, YH; Lee, MC; Yeh, CJ</t>
        </is>
      </c>
      <c r="F1101" t="inlineStr">
        <is>
          <t>Hung, Yu-Chan; Chen, Yong-Hsin; Lee, Meng-Chih; Yeh, Chih-Jung</t>
        </is>
      </c>
      <c r="J1101" t="inlineStr">
        <is>
          <t>INTERNATIONAL JOURNAL OF ENVIRONMENTAL RESEARCH AND PUBLIC HEALTH</t>
        </is>
      </c>
      <c r="M1101" t="inlineStr">
        <is>
          <t>English</t>
        </is>
      </c>
      <c r="N1101" t="inlineStr">
        <is>
          <t>Article</t>
        </is>
      </c>
      <c r="T1101" t="inlineStr">
        <is>
          <t>Effect of Spousal Loss on Depression in Older Adults: Impacts of Time Passing, Living Arrangement, and Spouse's Health Status before Death</t>
        </is>
      </c>
      <c r="U1101" t="inlineStr">
        <is>
          <t>spousal death; depression; older adults</t>
        </is>
      </c>
      <c r="V1101" t="inlineStr">
        <is>
          <t>SELF-RATED HEALTH; MARITAL-STATUS; REPRESENTATIVE SAMPLE; ALCOHOL-CONSUMPTION; CHRONIC DISEASE; FAMILY SUPPORT; RISK-FACTORS; WIDOWHOOD; MORTALITY; SYMPTOMS</t>
        </is>
      </c>
      <c r="W1101" t="inlineStr">
        <is>
          <t>In addition to increasing the mortality among older adults, spousal death (SD) increases their risk of depression. This study explored the factors affecting depression among widowed older adults to provide health care strategies for successful aging. A total of 710 adults older than 60 years completed a questionnaire before and after their spouses' deaths. The survey data included age, sex, ethnic group, education level, financial station socioeconomic status, SD (including time point), smoking status, alcohol consumption, self-rated health status, Center for Epidemiologic Studies Depression Scale score, mobility, and degree of support from relatives and friends. The proportion of participants with depression after SD was 1.7 times that of before SD (p &lt; 0.0001). Worsened mobility (odds ratio [OR] = 1.3, p &lt; 0.01), low self-rated health status (OR = 0.5, p &lt; 0.01), and a high degree of support from relatives and friends (OR = 1.5, p &lt; 0.01) had a significant positive correlation with depression after SD. The proportion of depression that occurred within 6 months after SD was 6.0 times higher than that of depression before SD. Participants who lived alone after losing their spouses who were healthy before their deaths exhibited a significantly increased proportion of depression after their spouses' deaths. Male sex, spouse's health, and the period of 6 months after SD are risk factors for depression in older adults. The maintenance of mobility, positive self-rated health status, and a shorter period of depression after a spouse's death result in more favorable adaptability among women. Social workers or family members should focus on older adults whose spouses died unexpectedly or within the last 6 months. Living with family members after SD can alleviate depression in older adults.</t>
        </is>
      </c>
      <c r="X1101" t="inlineStr">
        <is>
          <t>[Hung, Yu-Chan; Chen, Yong-Hsin; Yeh, Chih-Jung] Chung Shan Med Univ, Dept Publ Hlth, Taichung, Taiwan; [Chen, Yong-Hsin] Chung Shan Med Univ Hosp, Dept Occupat Safety &amp; Hlth, Taichung, Taiwan; [Lee, Meng-Chih] Chung Shan Med Univ, Inst Med, Taichung, Taiwan; [Lee, Meng-Chih] Taichung Hosp, Dept Family Med, Minist Hlth &amp; Welf, Taichung 40201, Taiwan; [Lee, Meng-Chih] Inst Populat Hlth Sci, Natl Hlth Res Inst, Miaoli 35053, Taiwan</t>
        </is>
      </c>
      <c r="Y1101" t="inlineStr">
        <is>
          <t>Chung Shan Medical University; Chung Shan Medical University; Chung Shan Medical University Hospital; Chung Shan Medical University; National Health Research Institutes - Taiwan</t>
        </is>
      </c>
      <c r="Z1101" t="inlineStr">
        <is>
          <t>Yeh, CJ (corresponding author), Chung Shan Med Univ, Dept Publ Hlth, Taichung, Taiwan.;Lee, MC (corresponding author), Chung Shan Med Univ, Inst Med, Taichung, Taiwan.;Lee, MC (corresponding author), Taichung Hosp, Dept Family Med, Minist Hlth &amp; Welf, Taichung 40201, Taiwan.;Lee, MC (corresponding author), Inst Populat Hlth Sci, Natl Hlth Res Inst, Miaoli 35053, Taiwan.</t>
        </is>
      </c>
      <c r="AA1101" t="inlineStr">
        <is>
          <t>ych0610@gmail.com; a6328539@gmail.com; mengchihlee@gmail.com; alexyeh@csmu.edu.tw</t>
        </is>
      </c>
      <c r="AB1101" t="inlineStr">
        <is>
          <t>Yeh, Cj/AFC-0951-2022</t>
        </is>
      </c>
      <c r="AC1101" t="inlineStr">
        <is>
          <t>Lee, Meng-Chih/0000-0003-4650-395X; Chen, Yong-Hsin/0000-0002-0979-6696</t>
        </is>
      </c>
      <c r="AD1101" t="inlineStr">
        <is>
          <t>Health Promotion Administration, Ministry of Health andWelfare, Taiwan</t>
        </is>
      </c>
      <c r="AE1101" t="inlineStr">
        <is>
          <t>Health Promotion Administration, Ministry of Health andWelfare, Taiwan</t>
        </is>
      </c>
      <c r="AF1101" t="inlineStr">
        <is>
          <t>The TLSA was supported by the Health Promotion Administration, Ministry of Health andWelfare, Taiwan.</t>
        </is>
      </c>
      <c r="AH1101" t="n">
        <v>49</v>
      </c>
      <c r="AI1101" t="n">
        <v>2</v>
      </c>
      <c r="AJ1101" t="n">
        <v>3</v>
      </c>
      <c r="AK1101" t="n">
        <v>0</v>
      </c>
      <c r="AL1101" t="n">
        <v>9</v>
      </c>
      <c r="AM1101" t="inlineStr">
        <is>
          <t>MDPI</t>
        </is>
      </c>
      <c r="AN1101" t="inlineStr">
        <is>
          <t>BASEL</t>
        </is>
      </c>
      <c r="AO1101" t="inlineStr">
        <is>
          <t>ST ALBAN-ANLAGE 66, CH-4052 BASEL, SWITZERLAND</t>
        </is>
      </c>
      <c r="AQ1101" t="inlineStr">
        <is>
          <t>1660-4601</t>
        </is>
      </c>
      <c r="AS1101" t="inlineStr">
        <is>
          <t>INT J ENV RES PUB HE</t>
        </is>
      </c>
      <c r="AT1101" t="inlineStr">
        <is>
          <t>Int. J. Environ. Res. Public Health</t>
        </is>
      </c>
      <c r="AU1101" t="inlineStr">
        <is>
          <t>DEC</t>
        </is>
      </c>
      <c r="AV1101" t="n">
        <v>2021</v>
      </c>
      <c r="AW1101" t="n">
        <v>18</v>
      </c>
      <c r="AX1101" t="n">
        <v>24</v>
      </c>
      <c r="BE1101" t="n">
        <v>13032</v>
      </c>
      <c r="BF1101" t="inlineStr">
        <is>
          <t>10.3390/ijerph182413032</t>
        </is>
      </c>
      <c r="BG1101">
        <f>HYPERLINK("http://dx.doi.org/10.3390/ijerph182413032","http://dx.doi.org/10.3390/ijerph182413032")</f>
        <v/>
      </c>
      <c r="BJ1101" t="n">
        <v>12</v>
      </c>
      <c r="BK1101" t="inlineStr">
        <is>
          <t>Environmental Sciences; Public, Environmental &amp; Occupational Health</t>
        </is>
      </c>
      <c r="BL1101" t="inlineStr">
        <is>
          <t>Science Citation Index Expanded (SCI-EXPANDED); Social Science Citation Index (SSCI)</t>
        </is>
      </c>
      <c r="BM1101" t="inlineStr">
        <is>
          <t>Environmental Sciences &amp; Ecology; Public, Environmental &amp; Occupational Health</t>
        </is>
      </c>
      <c r="BN1101" t="inlineStr">
        <is>
          <t>YA9WX</t>
        </is>
      </c>
      <c r="BO1101" t="n">
        <v>34948641</v>
      </c>
      <c r="BP1101" t="inlineStr">
        <is>
          <t>Green Published, gold</t>
        </is>
      </c>
      <c r="BS1101" t="inlineStr">
        <is>
          <t>2023-10-26</t>
        </is>
      </c>
      <c r="BT1101" t="inlineStr">
        <is>
          <t>WOS:000738676200001</t>
        </is>
      </c>
      <c r="BU1101">
        <f>HYPERLINK("https%3A%2F%2Fwww.webofscience.com%2Fwos%2Fwoscc%2Ffull-record%2FWOS:000738676200001","View Full Record in Web of Science")</f>
        <v/>
      </c>
    </row>
    <row r="1102">
      <c r="A1102" t="inlineStr">
        <is>
          <t>J</t>
        </is>
      </c>
      <c r="B1102" t="inlineStr">
        <is>
          <t>Azuma, K; Kagi, N; Yanagi, U; Osawa, H</t>
        </is>
      </c>
      <c r="F1102" t="inlineStr">
        <is>
          <t>Azuma, Kenichi; Kagi, Naoki; Yanagi, U.; Osawa, Haruki</t>
        </is>
      </c>
      <c r="J1102" t="inlineStr">
        <is>
          <t>ENVIRONMENT INTERNATIONAL</t>
        </is>
      </c>
      <c r="M1102" t="inlineStr">
        <is>
          <t>English</t>
        </is>
      </c>
      <c r="N1102" t="inlineStr">
        <is>
          <t>Review</t>
        </is>
      </c>
      <c r="T1102" t="inlineStr">
        <is>
          <t>Effects of low-level inhalation exposure to carbon dioxide in indoor environments: A short review on human health and psychomotor performance</t>
        </is>
      </c>
      <c r="U1102" t="inlineStr">
        <is>
          <t>Carbon dioxide; Indoor air; Low-level exposure; Physiological change; Psychomotor performance</t>
        </is>
      </c>
      <c r="V1102" t="inlineStr">
        <is>
          <t>SICK BUILDING SYNDROME; DAY-CARE-CENTERS; CO2 CONCENTRATIONS; AIR-QUALITY; OFFICE BUILDINGS; VENTILATION RATE; DECISION-MAKING; SYMPTOMS; RESPONSES; WORKERS</t>
        </is>
      </c>
      <c r="W1102" t="inlineStr">
        <is>
          <t>Scientific literature and documents pertaining to the effects of inhalation exposure to carbon dioxide (CO2) on human health and psychomotor performance were reviewed. Linear physiological changes in circulatory, cardiovascular, and autonomic systems on exposure to CO2 at concentrations ranging from 500 to 5000 ppm were evident. Human experimental studies have suggested that short-term CO2 exposure beginning at 1000 ppm affects cognitive performances including decision making and problem resolution. Changes in autonomic systems due to low-level exposure to CO2 may involve these effects. Further research on the long-term effects of low-level CO2 exposure on the autonomic system is required. Numerous epidemiological studies indicate an association between low-level exposure to CO2 beginning at 700 ppm and building-related symptoms. Respiratory symptoms have been indicated in children exposed to indoor CO2 concentrations higher than 1000 ppm. However, other indoor comorbid pollutants are possibly involved in such effects. In the context of significant linear increase of globally ambient CO2 concentration caused by anthropogenic activities and sources, reducing indoor CO2 levels by ventilation with ambient air represents an increase in energy consumption in an air-conditioned building. For the efficient energy control of CO2 intruding a building from ambient air, the rise of atmospheric CO2 concentration needs to be urgently suppressed.</t>
        </is>
      </c>
      <c r="X1102" t="inlineStr">
        <is>
          <t>[Azuma, Kenichi] Kindai Univ, Fac Med, Dept Environm Med &amp; Behav Sci, 377-2 Ohnohigashi, Osakasayama, Osaka 5898511, Japan; [Kagi, Naoki] Tokyo Inst Technol, Grad Sch Informat Sci &amp; Engn, Dept Mech &amp; Environm Informat, Tokyo 1528550, Japan; [Yanagi, U.] Kogakuin Univ, Sch Architecture, Dept Architecture, Tokyo 1638677, Japan; [Azuma, Kenichi; Kagi, Naoki; Yanagi, U.; Osawa, Haruki] Natl Inst Publ Hlth, Dept Environm Hlth, Wako, Saitama 3510197, Japan</t>
        </is>
      </c>
      <c r="Y1102" t="inlineStr">
        <is>
          <t>Tokyo Institute of Technology; Kogakuin University; National Institute of Public Health - Japan</t>
        </is>
      </c>
      <c r="Z1102" t="inlineStr">
        <is>
          <t>Azuma, K (corresponding author), Kindai Univ, Fac Med, Dept Environm Med &amp; Behav Sci, 377-2 Ohnohigashi, Osakasayama, Osaka 5898511, Japan.</t>
        </is>
      </c>
      <c r="AA1102" t="inlineStr">
        <is>
          <t>kenazuma@med.kindai.ac.jp; kagi.n.aa@m.titech.ac.jp; yanagi@cc.kogakuin.ac.jp; osawa@niph.go.jp</t>
        </is>
      </c>
      <c r="AB1102" t="inlineStr">
        <is>
          <t>Kagi, Naoki/AAA-2154-2021</t>
        </is>
      </c>
      <c r="AC1102" t="inlineStr">
        <is>
          <t>Kagi, Naoki/0000-0002-1466-8410; Azuma, Kenichi/0000-0002-6382-9807</t>
        </is>
      </c>
      <c r="AD1102" t="inlineStr">
        <is>
          <t>Health and Labour Sciences Research [H26-health/crisis-007]; Ministry of Health, Labour and Welfare, Japan</t>
        </is>
      </c>
      <c r="AE1102" t="inlineStr">
        <is>
          <t>Health and Labour Sciences Research(Ministry of Health, Labour and Welfare, Japan); Ministry of Health, Labour and Welfare, Japan(Ministry of Health, Labour and Welfare, Japan)</t>
        </is>
      </c>
      <c r="AF1102" t="inlineStr">
        <is>
          <t>This study was financially supported by a Health and Labour Sciences Research Grant-in-Aid (H26-health/crisis-007) provided by the Ministry of Health, Labour and Welfare, Japan.</t>
        </is>
      </c>
      <c r="AH1102" t="n">
        <v>61</v>
      </c>
      <c r="AI1102" t="n">
        <v>155</v>
      </c>
      <c r="AJ1102" t="n">
        <v>155</v>
      </c>
      <c r="AK1102" t="n">
        <v>7</v>
      </c>
      <c r="AL1102" t="n">
        <v>94</v>
      </c>
      <c r="AM1102" t="inlineStr">
        <is>
          <t>PERGAMON-ELSEVIER SCIENCE LTD</t>
        </is>
      </c>
      <c r="AN1102" t="inlineStr">
        <is>
          <t>OXFORD</t>
        </is>
      </c>
      <c r="AO1102" t="inlineStr">
        <is>
          <t>THE BOULEVARD, LANGFORD LANE, KIDLINGTON, OXFORD OX5 1GB, ENGLAND</t>
        </is>
      </c>
      <c r="AP1102" t="inlineStr">
        <is>
          <t>0160-4120</t>
        </is>
      </c>
      <c r="AQ1102" t="inlineStr">
        <is>
          <t>1873-6750</t>
        </is>
      </c>
      <c r="AS1102" t="inlineStr">
        <is>
          <t>ENVIRON INT</t>
        </is>
      </c>
      <c r="AT1102" t="inlineStr">
        <is>
          <t>Environ. Int.</t>
        </is>
      </c>
      <c r="AU1102" t="inlineStr">
        <is>
          <t>DEC</t>
        </is>
      </c>
      <c r="AV1102" t="n">
        <v>2018</v>
      </c>
      <c r="AW1102" t="n">
        <v>121</v>
      </c>
      <c r="AY1102" t="n">
        <v>1</v>
      </c>
      <c r="BC1102" t="n">
        <v>51</v>
      </c>
      <c r="BD1102" t="n">
        <v>56</v>
      </c>
      <c r="BF1102" t="inlineStr">
        <is>
          <t>10.1016/j.envint.2018.08.059</t>
        </is>
      </c>
      <c r="BG1102">
        <f>HYPERLINK("http://dx.doi.org/10.1016/j.envint.2018.08.059","http://dx.doi.org/10.1016/j.envint.2018.08.059")</f>
        <v/>
      </c>
      <c r="BJ1102" t="n">
        <v>6</v>
      </c>
      <c r="BK1102" t="inlineStr">
        <is>
          <t>Environmental Sciences</t>
        </is>
      </c>
      <c r="BL1102" t="inlineStr">
        <is>
          <t>Science Citation Index Expanded (SCI-EXPANDED)</t>
        </is>
      </c>
      <c r="BM1102" t="inlineStr">
        <is>
          <t>Environmental Sciences &amp; Ecology</t>
        </is>
      </c>
      <c r="BN1102" t="inlineStr">
        <is>
          <t>GZ0RA</t>
        </is>
      </c>
      <c r="BO1102" t="n">
        <v>30172928</v>
      </c>
      <c r="BP1102" t="inlineStr">
        <is>
          <t>hybrid</t>
        </is>
      </c>
      <c r="BS1102" t="inlineStr">
        <is>
          <t>2023-10-26</t>
        </is>
      </c>
      <c r="BT1102" t="inlineStr">
        <is>
          <t>WOS:000449071000006</t>
        </is>
      </c>
      <c r="BU1102">
        <f>HYPERLINK("https%3A%2F%2Fwww.webofscience.com%2Fwos%2Fwoscc%2Ffull-record%2FWOS:000449071000006","View Full Record in Web of Science")</f>
        <v/>
      </c>
    </row>
    <row r="1103">
      <c r="A1103" t="inlineStr">
        <is>
          <t>J</t>
        </is>
      </c>
      <c r="B1103" t="inlineStr">
        <is>
          <t>Egfors, D; Gunnarsson, AG; Ricklund, N</t>
        </is>
      </c>
      <c r="F1103" t="inlineStr">
        <is>
          <t>Egfors, Della; Gunnarsson, Anita Gidlof; Ricklund, Niklas</t>
        </is>
      </c>
      <c r="J1103" t="inlineStr">
        <is>
          <t>INTERNATIONAL JOURNAL OF ENVIRONMENTAL RESEARCH AND PUBLIC HEALTH</t>
        </is>
      </c>
      <c r="M1103" t="inlineStr">
        <is>
          <t>English</t>
        </is>
      </c>
      <c r="N1103" t="inlineStr">
        <is>
          <t>Article</t>
        </is>
      </c>
      <c r="T1103" t="inlineStr">
        <is>
          <t>Changes in Reported Symptoms Attributed to Office Environments in Sweden between 1995 and 2020</t>
        </is>
      </c>
      <c r="U1103" t="inlineStr">
        <is>
          <t>non-specific building-related symptoms; sick building syndrome; office worker; indoor work environment; occupational medicine</t>
        </is>
      </c>
      <c r="V1103" t="inlineStr">
        <is>
          <t>SICK BUILDING SYNDROME; INDOOR ENVIRONMENTS; RISK-FACTORS; WORK; PREVALENCE</t>
        </is>
      </c>
      <c r="W1103" t="inlineStr">
        <is>
          <t>Non-specific building-related symptoms (NBRSs) describe various symptoms in those affected. Questionnaires are the first step in investigating suspected NBRSs in office environments and have been used for over two decades. However, changes in reporting of symptoms among office workers over time are currently unknown. The overall aim was thus to investigate if reported symptoms and perceived causality to the office environment have changed during 25 years of using the MM 040 NA Office questionnaire. A cross-sectional study of 26,477 questionnaires from 1995-2020 was conducted, where 12 symptoms and perceived causality to office environment were examined using logistic regression analyses of 5-year groups adjusted for sex and atopy. Reporting trends in the year groups varied slightly among symptoms, but eight symptoms were statistically significant in the 2015-2020 group compared to the 1995-1999 group. Seven symptoms had increased: fatigue, heavy-feeling head, headache, difficulties concentrating, itchy/irritated eyes, congested/runny nose, and dry/red hands. One symptom decreased: hoarseness/dry throat. Perceived causality of symptoms to the office environment decreased to a statistically significant degree in 2015-2020 for 11 symptoms, and there was an overall trend of decreasing perceived causality throughout the year groups for most symptoms. The observed time trends suggest a need for up-to-date reference data, to keep up with changes in symptom reporting in office environments over time.</t>
        </is>
      </c>
      <c r="X1103" t="inlineStr">
        <is>
          <t>[Egfors, Della; Gunnarsson, Anita Gidlof] Orebro Univ, Fac Med &amp; Hlth, Sch Med Sci, Dept Occupat &amp; Environm Med, SE-70182 Orebro, Sweden; [Ricklund, Niklas] Orebro Univ, Fac Business Sci &amp; Engn, Dept Occupat &amp; Environm Hlth, SE-70182 Orebro, Sweden</t>
        </is>
      </c>
      <c r="Y1103" t="inlineStr">
        <is>
          <t>Orebro University; Orebro University</t>
        </is>
      </c>
      <c r="Z1103" t="inlineStr">
        <is>
          <t>Ricklund, N (corresponding author), Orebro Univ, Fac Business Sci &amp; Engn, Dept Occupat &amp; Environm Hlth, SE-70182 Orebro, Sweden.</t>
        </is>
      </c>
      <c r="AA1103" t="inlineStr">
        <is>
          <t>niklas.ricklund@regionorebrolan.se</t>
        </is>
      </c>
      <c r="AH1103" t="n">
        <v>37</v>
      </c>
      <c r="AI1103" t="n">
        <v>0</v>
      </c>
      <c r="AJ1103" t="n">
        <v>0</v>
      </c>
      <c r="AK1103" t="n">
        <v>0</v>
      </c>
      <c r="AL1103" t="n">
        <v>4</v>
      </c>
      <c r="AM1103" t="inlineStr">
        <is>
          <t>MDPI</t>
        </is>
      </c>
      <c r="AN1103" t="inlineStr">
        <is>
          <t>BASEL</t>
        </is>
      </c>
      <c r="AO1103" t="inlineStr">
        <is>
          <t>ST ALBAN-ANLAGE 66, CH-4052 BASEL, SWITZERLAND</t>
        </is>
      </c>
      <c r="AQ1103" t="inlineStr">
        <is>
          <t>1660-4601</t>
        </is>
      </c>
      <c r="AS1103" t="inlineStr">
        <is>
          <t>INT J ENV RES PUB HE</t>
        </is>
      </c>
      <c r="AT1103" t="inlineStr">
        <is>
          <t>Int. J. Environ. Res. Public Health</t>
        </is>
      </c>
      <c r="AU1103" t="inlineStr">
        <is>
          <t>SEP</t>
        </is>
      </c>
      <c r="AV1103" t="n">
        <v>2022</v>
      </c>
      <c r="AW1103" t="n">
        <v>19</v>
      </c>
      <c r="AX1103" t="n">
        <v>18</v>
      </c>
      <c r="BE1103" t="n">
        <v>11434</v>
      </c>
      <c r="BF1103" t="inlineStr">
        <is>
          <t>10.3390/ijerph191811434</t>
        </is>
      </c>
      <c r="BG1103">
        <f>HYPERLINK("http://dx.doi.org/10.3390/ijerph191811434","http://dx.doi.org/10.3390/ijerph191811434")</f>
        <v/>
      </c>
      <c r="BJ1103" t="n">
        <v>14</v>
      </c>
      <c r="BK1103" t="inlineStr">
        <is>
          <t>Environmental Sciences; Public, Environmental &amp; Occupational Health</t>
        </is>
      </c>
      <c r="BL1103" t="inlineStr">
        <is>
          <t>Science Citation Index Expanded (SCI-EXPANDED); Social Science Citation Index (SSCI)</t>
        </is>
      </c>
      <c r="BM1103" t="inlineStr">
        <is>
          <t>Environmental Sciences &amp; Ecology; Public, Environmental &amp; Occupational Health</t>
        </is>
      </c>
      <c r="BN1103" t="inlineStr">
        <is>
          <t>4T6QI</t>
        </is>
      </c>
      <c r="BO1103" t="n">
        <v>36141707</v>
      </c>
      <c r="BP1103" t="inlineStr">
        <is>
          <t>Green Published, gold</t>
        </is>
      </c>
      <c r="BS1103" t="inlineStr">
        <is>
          <t>2023-10-26</t>
        </is>
      </c>
      <c r="BT1103" t="inlineStr">
        <is>
          <t>WOS:000858238700001</t>
        </is>
      </c>
      <c r="BU1103">
        <f>HYPERLINK("https%3A%2F%2Fwww.webofscience.com%2Fwos%2Fwoscc%2Ffull-record%2FWOS:000858238700001","View Full Record in Web of Science")</f>
        <v/>
      </c>
    </row>
    <row r="1104">
      <c r="A1104" t="inlineStr">
        <is>
          <t>J</t>
        </is>
      </c>
      <c r="B1104" t="inlineStr">
        <is>
          <t>Lee, Y</t>
        </is>
      </c>
      <c r="F1104" t="inlineStr">
        <is>
          <t>Lee, Yungsoo</t>
        </is>
      </c>
      <c r="J1104" t="inlineStr">
        <is>
          <t>INTERNATIONAL JOURNAL OF ENVIRONMENTAL RESEARCH AND PUBLIC HEALTH</t>
        </is>
      </c>
      <c r="M1104" t="inlineStr">
        <is>
          <t>English</t>
        </is>
      </c>
      <c r="N1104" t="inlineStr">
        <is>
          <t>Article</t>
        </is>
      </c>
      <c r="T1104" t="inlineStr">
        <is>
          <t>Activity Profiles among Older Adults: Latent Class Analysis Using the Korean Time Use Survey</t>
        </is>
      </c>
      <c r="U1104" t="inlineStr">
        <is>
          <t>older adults; activity in later life; KTUS; LCA; time use</t>
        </is>
      </c>
      <c r="V1104" t="inlineStr">
        <is>
          <t>PRODUCTIVE ACTIVITY; LEISURE ACTIVITIES; DEPRESSIVE SYMPTOMS; LATER LIFE; PATTERNS; GENDER; RETIREMENT; ENGAGEMENT; VOLUNTEER; PEOPLE</t>
        </is>
      </c>
      <c r="W1104" t="inlineStr">
        <is>
          <t>This study empirically explored the activity profiles of Korean older adults by considering a wide range of activities simultaneously and further investigated the socioeconomic factors associated with activity profiles. Gender differences in activity profiles were examined in-depth. Latent class analysis (LCA) was used to identify activity profiles based on a nationally representative sample of older adults from the most recent two waves of the Korean Time Use Survey (n = 3034 for 2014 and n = 3960 for 2019). Multinomial logistic regression analysis was employed to further examine the factors associated with the activity profiles. The findings revealed four distinct activity groups, although there were differences in activity profiles between the two waves. Several sociodemographic factors, such as gender, age, assets and income, were significantly associated with the activity profiles. Findings from this study can inform policy makers seeking interventions that enhance the overall well-being of older adults through activity engagement.</t>
        </is>
      </c>
      <c r="X1104" t="inlineStr">
        <is>
          <t>[Lee, Yungsoo] Incheon Natl Univ, Dept Social Welf, 119 Acad Ro, Incheon 22012, South Korea</t>
        </is>
      </c>
      <c r="Y1104" t="inlineStr">
        <is>
          <t>Incheon National University</t>
        </is>
      </c>
      <c r="Z1104" t="inlineStr">
        <is>
          <t>Lee, Y (corresponding author), Incheon Natl Univ, Dept Social Welf, 119 Acad Ro, Incheon 22012, South Korea.</t>
        </is>
      </c>
      <c r="AA1104" t="inlineStr">
        <is>
          <t>yslee@inu.ac.kr</t>
        </is>
      </c>
      <c r="AH1104" t="n">
        <v>69</v>
      </c>
      <c r="AI1104" t="n">
        <v>0</v>
      </c>
      <c r="AJ1104" t="n">
        <v>0</v>
      </c>
      <c r="AK1104" t="n">
        <v>5</v>
      </c>
      <c r="AL1104" t="n">
        <v>13</v>
      </c>
      <c r="AM1104" t="inlineStr">
        <is>
          <t>MDPI</t>
        </is>
      </c>
      <c r="AN1104" t="inlineStr">
        <is>
          <t>BASEL</t>
        </is>
      </c>
      <c r="AO1104" t="inlineStr">
        <is>
          <t>ST ALBAN-ANLAGE 66, CH-4052 BASEL, SWITZERLAND</t>
        </is>
      </c>
      <c r="AQ1104" t="inlineStr">
        <is>
          <t>1660-4601</t>
        </is>
      </c>
      <c r="AS1104" t="inlineStr">
        <is>
          <t>INT J ENV RES PUB HE</t>
        </is>
      </c>
      <c r="AT1104" t="inlineStr">
        <is>
          <t>Int. J. Environ. Res. Public Health</t>
        </is>
      </c>
      <c r="AU1104" t="inlineStr">
        <is>
          <t>AUG</t>
        </is>
      </c>
      <c r="AV1104" t="n">
        <v>2021</v>
      </c>
      <c r="AW1104" t="n">
        <v>18</v>
      </c>
      <c r="AX1104" t="n">
        <v>16</v>
      </c>
      <c r="BE1104" t="n">
        <v>8786</v>
      </c>
      <c r="BF1104" t="inlineStr">
        <is>
          <t>10.3390/ijerph18168786</t>
        </is>
      </c>
      <c r="BG1104">
        <f>HYPERLINK("http://dx.doi.org/10.3390/ijerph18168786","http://dx.doi.org/10.3390/ijerph18168786")</f>
        <v/>
      </c>
      <c r="BJ1104" t="n">
        <v>18</v>
      </c>
      <c r="BK1104" t="inlineStr">
        <is>
          <t>Environmental Sciences; Public, Environmental &amp; Occupational Health</t>
        </is>
      </c>
      <c r="BL1104" t="inlineStr">
        <is>
          <t>Science Citation Index Expanded (SCI-EXPANDED); Social Science Citation Index (SSCI)</t>
        </is>
      </c>
      <c r="BM1104" t="inlineStr">
        <is>
          <t>Environmental Sciences &amp; Ecology; Public, Environmental &amp; Occupational Health</t>
        </is>
      </c>
      <c r="BN1104" t="inlineStr">
        <is>
          <t>UI3SE</t>
        </is>
      </c>
      <c r="BO1104" t="n">
        <v>34444535</v>
      </c>
      <c r="BP1104" t="inlineStr">
        <is>
          <t>gold, Green Published</t>
        </is>
      </c>
      <c r="BS1104" t="inlineStr">
        <is>
          <t>2023-10-26</t>
        </is>
      </c>
      <c r="BT1104" t="inlineStr">
        <is>
          <t>WOS:000690530600001</t>
        </is>
      </c>
      <c r="BU1104">
        <f>HYPERLINK("https%3A%2F%2Fwww.webofscience.com%2Fwos%2Fwoscc%2Ffull-record%2FWOS:000690530600001","View Full Record in Web of Science")</f>
        <v/>
      </c>
    </row>
    <row r="1105">
      <c r="A1105" t="inlineStr">
        <is>
          <t>J</t>
        </is>
      </c>
      <c r="B1105" t="inlineStr">
        <is>
          <t>Wolkoff, P</t>
        </is>
      </c>
      <c r="F1105" t="inlineStr">
        <is>
          <t>Wolkoff, Peder</t>
        </is>
      </c>
      <c r="J1105" t="inlineStr">
        <is>
          <t>ENVIRONMENT INTERNATIONAL</t>
        </is>
      </c>
      <c r="M1105" t="inlineStr">
        <is>
          <t>English</t>
        </is>
      </c>
      <c r="N1105" t="inlineStr">
        <is>
          <t>Review</t>
        </is>
      </c>
      <c r="T1105" t="inlineStr">
        <is>
          <t>The mystery of dry indoor air - An overview</t>
        </is>
      </c>
      <c r="U1105" t="inlineStr">
        <is>
          <t>Aerosols; Airways; Dry air; Humidity; Indoor air quality; Respiratory symptoms</t>
        </is>
      </c>
      <c r="V1105" t="inlineStr">
        <is>
          <t>SICK BUILDING SYNDROME; LOW RELATIVE-HUMIDITY; OFFICE BUILDINGS; ALLERGIC RHINITIS; MUCOCILIARY CLEARANCE; PARTICULATE MATTER; NASAL OBSTRUCTION; ORGANIC-COMPOUNDS; HUMAN RESPONSE; MINERAL DUSTS</t>
        </is>
      </c>
      <c r="W1105" t="inlineStr">
        <is>
          <t>Dry air is a major and abundant indoor air quality complaint in office-like environments. The causality of perceived dry air and associated respiratory effects continues to be debated, despite no clear definition of the complaint, yet, has been provided. The perception of dry air is semantically confusing without an associated receptor but mimics a proto-state of sensory irritation like a cooling sensation. Dry air may also be confused with another common indoor air quality complaint stuffy air, which mimics the sense of no fresh air and of nasal congestion. Low indoor air humidity (IAH) was dismissed more than four decades ago as cause of dry air complaints, rather indoor pollutants was proposed as possible exacerbating causative agents during the cold season. Many studies, however, have shown adverse effects of low IAH and beneficial effects of elevated IAH. In this literature overview, we try to answer, What is perceived dry air in indoor environments and its associated causalities. Many studies have shown that the perception is caused not only by extended exposure to low IAH, but also simultaneously with and possibly exacerbated by indoor air pollutants that aggravate the protective mucous layer in the airways and the eye tear film. Immanent diseases in the nose and airways in the general population may also contribute to the overall complaint rate and including other risk factors like age of the population, use of medication, and external factors like the local ambient humidity. Low IAH may be the single cause of perceived dry air in the elderly population, while certain indoor air pollutants may come into play among susceptible people, in addition to baseline contribution of nasal diseases. Thus, perceived dry air intercorrelates with dry eyes and throat, certain indoor air pollutants, ambient humidity, low IAH, and nasal diseases.</t>
        </is>
      </c>
      <c r="X1105" t="inlineStr">
        <is>
          <t>[Wolkoff, Peder] Natl Res Ctr Working Environm, Lerso Parkalle 105, DK-2100 Copenhagen, Denmark</t>
        </is>
      </c>
      <c r="Y1105" t="inlineStr">
        <is>
          <t>National Research Centre for the Working Environment</t>
        </is>
      </c>
      <c r="Z1105" t="inlineStr">
        <is>
          <t>Wolkoff, P (corresponding author), Natl Res Ctr Working Environm, Lerso Parkalle 105, DK-2100 Copenhagen, Denmark.</t>
        </is>
      </c>
      <c r="AA1105" t="inlineStr">
        <is>
          <t>pwo@nrcwe.dk</t>
        </is>
      </c>
      <c r="AC1105" t="inlineStr">
        <is>
          <t>Wolkoff, Peder/0000-0003-1933-7351</t>
        </is>
      </c>
      <c r="AD1105" t="inlineStr">
        <is>
          <t>National Research Centre for the Working Environment, Denmark</t>
        </is>
      </c>
      <c r="AE1105" t="inlineStr">
        <is>
          <t>National Research Centre for the Working Environment, Denmark</t>
        </is>
      </c>
      <c r="AF1105" t="inlineStr">
        <is>
          <t>This work was supported by an internal grant from the National Research Centre for the Working Environment, Denmark (2018). I am grateful to Dr. Kjell Andersson, Orebro for valuable comments.</t>
        </is>
      </c>
      <c r="AH1105" t="n">
        <v>104</v>
      </c>
      <c r="AI1105" t="n">
        <v>31</v>
      </c>
      <c r="AJ1105" t="n">
        <v>33</v>
      </c>
      <c r="AK1105" t="n">
        <v>2</v>
      </c>
      <c r="AL1105" t="n">
        <v>37</v>
      </c>
      <c r="AM1105" t="inlineStr">
        <is>
          <t>PERGAMON-ELSEVIER SCIENCE LTD</t>
        </is>
      </c>
      <c r="AN1105" t="inlineStr">
        <is>
          <t>OXFORD</t>
        </is>
      </c>
      <c r="AO1105" t="inlineStr">
        <is>
          <t>THE BOULEVARD, LANGFORD LANE, KIDLINGTON, OXFORD OX5 1GB, ENGLAND</t>
        </is>
      </c>
      <c r="AP1105" t="inlineStr">
        <is>
          <t>0160-4120</t>
        </is>
      </c>
      <c r="AQ1105" t="inlineStr">
        <is>
          <t>1873-6750</t>
        </is>
      </c>
      <c r="AS1105" t="inlineStr">
        <is>
          <t>ENVIRON INT</t>
        </is>
      </c>
      <c r="AT1105" t="inlineStr">
        <is>
          <t>Environ. Int.</t>
        </is>
      </c>
      <c r="AU1105" t="inlineStr">
        <is>
          <t>DEC</t>
        </is>
      </c>
      <c r="AV1105" t="n">
        <v>2018</v>
      </c>
      <c r="AW1105" t="n">
        <v>121</v>
      </c>
      <c r="AY1105" t="n">
        <v>2</v>
      </c>
      <c r="BC1105" t="n">
        <v>1058</v>
      </c>
      <c r="BD1105" t="n">
        <v>1065</v>
      </c>
      <c r="BF1105" t="inlineStr">
        <is>
          <t>10.1016/j.envint.2018.10.053</t>
        </is>
      </c>
      <c r="BG1105">
        <f>HYPERLINK("http://dx.doi.org/10.1016/j.envint.2018.10.053","http://dx.doi.org/10.1016/j.envint.2018.10.053")</f>
        <v/>
      </c>
      <c r="BJ1105" t="n">
        <v>8</v>
      </c>
      <c r="BK1105" t="inlineStr">
        <is>
          <t>Environmental Sciences</t>
        </is>
      </c>
      <c r="BL1105" t="inlineStr">
        <is>
          <t>Science Citation Index Expanded (SCI-EXPANDED)</t>
        </is>
      </c>
      <c r="BM1105" t="inlineStr">
        <is>
          <t>Environmental Sciences &amp; Ecology</t>
        </is>
      </c>
      <c r="BN1105" t="inlineStr">
        <is>
          <t>HE2CS</t>
        </is>
      </c>
      <c r="BO1105" t="n">
        <v>30389384</v>
      </c>
      <c r="BP1105" t="inlineStr">
        <is>
          <t>hybrid</t>
        </is>
      </c>
      <c r="BS1105" t="inlineStr">
        <is>
          <t>2023-10-26</t>
        </is>
      </c>
      <c r="BT1105" t="inlineStr">
        <is>
          <t>WOS:000453083000003</t>
        </is>
      </c>
      <c r="BU1105">
        <f>HYPERLINK("https%3A%2F%2Fwww.webofscience.com%2Fwos%2Fwoscc%2Ffull-record%2FWOS:000453083000003","View Full Record in Web of Science")</f>
        <v/>
      </c>
    </row>
    <row r="1106">
      <c r="A1106" t="inlineStr">
        <is>
          <t>J</t>
        </is>
      </c>
      <c r="B1106" t="inlineStr">
        <is>
          <t>Kim, J; Heo, W</t>
        </is>
      </c>
      <c r="F1106" t="inlineStr">
        <is>
          <t>Kim, Jeongah; Heo, Wookjae</t>
        </is>
      </c>
      <c r="J1106" t="inlineStr">
        <is>
          <t>INTERNATIONAL JOURNAL OF ENVIRONMENTAL RESEARCH AND PUBLIC HEALTH</t>
        </is>
      </c>
      <c r="M1106" t="inlineStr">
        <is>
          <t>English</t>
        </is>
      </c>
      <c r="N1106" t="inlineStr">
        <is>
          <t>Article</t>
        </is>
      </c>
      <c r="T1106" t="inlineStr">
        <is>
          <t>Importance of Interior Design: An Environmental Mediator for Perceiving Life Satisfaction and Financial Stress</t>
        </is>
      </c>
      <c r="U1106" t="inlineStr">
        <is>
          <t>stimuli-organism-response framework; interior design; mental responses; emotional perception; HLM; SEM</t>
        </is>
      </c>
      <c r="V1106" t="inlineStr">
        <is>
          <t>ART INFUSION; ATMOSPHERE; COLOR; PERCEPTION; IMPACT; BEHAVIOR; POWER; MODEL; REAL; MOOD</t>
        </is>
      </c>
      <c r="W1106" t="inlineStr">
        <is>
          <t>Based on the stimuli-organism-response framework, this study investigates how artistic stimuli (i.e., interior design) influence a person's mental responses (i.e., situational satisfaction and stress). Prior to checking the main analysis, demographic features were checked to determine whether they were significant precedents to the stimuli by using hierarchical linear modeling. As the main model, structural equation modeling was used to find (a) how stimuli (i.e., interior design) were associated with organisms (i.e., emotional perception) and (b) how organisms were associated with mental responses. The results showed that demographic features were not significantly associated with the stimuli. Stimuli were partially and significantly associated with organisms and the organisms were partially and significantly associated with the mental responses. The study has implications for practitioners in commercial fields who might recognize the importance of interior design and employ their utilities in practical applications.</t>
        </is>
      </c>
      <c r="X1106" t="inlineStr">
        <is>
          <t>[Kim, Jeongah] Keimyung Univ, Coll Engn, Daegu 42601, South Korea; [Heo, Wookjae] Purdue Univ, Sch Hosp &amp; Tourism Management, W Lafayette, IN 47907 USA</t>
        </is>
      </c>
      <c r="Y1106" t="inlineStr">
        <is>
          <t>Keimyung University; Purdue University System; Purdue University West Lafayette Campus; Purdue University</t>
        </is>
      </c>
      <c r="Z1106" t="inlineStr">
        <is>
          <t>Heo, W (corresponding author), Purdue Univ, Sch Hosp &amp; Tourism Management, W Lafayette, IN 47907 USA.</t>
        </is>
      </c>
      <c r="AA1106" t="inlineStr">
        <is>
          <t>design1@kmu.ac.kr; heo28@purdue.edu</t>
        </is>
      </c>
      <c r="AB1106" t="inlineStr">
        <is>
          <t>Heo, Wookjae/I-4890-2016</t>
        </is>
      </c>
      <c r="AC1106" t="inlineStr">
        <is>
          <t>Heo, Wookjae/0000-0001-5807-9792</t>
        </is>
      </c>
      <c r="AH1106" t="n">
        <v>65</v>
      </c>
      <c r="AI1106" t="n">
        <v>0</v>
      </c>
      <c r="AJ1106" t="n">
        <v>0</v>
      </c>
      <c r="AK1106" t="n">
        <v>8</v>
      </c>
      <c r="AL1106" t="n">
        <v>31</v>
      </c>
      <c r="AM1106" t="inlineStr">
        <is>
          <t>MDPI</t>
        </is>
      </c>
      <c r="AN1106" t="inlineStr">
        <is>
          <t>BASEL</t>
        </is>
      </c>
      <c r="AO1106" t="inlineStr">
        <is>
          <t>ST ALBAN-ANLAGE 66, CH-4052 BASEL, SWITZERLAND</t>
        </is>
      </c>
      <c r="AQ1106" t="inlineStr">
        <is>
          <t>1660-4601</t>
        </is>
      </c>
      <c r="AS1106" t="inlineStr">
        <is>
          <t>INT J ENV RES PUB HE</t>
        </is>
      </c>
      <c r="AT1106" t="inlineStr">
        <is>
          <t>Int. J. Environ. Res. Public Health</t>
        </is>
      </c>
      <c r="AU1106" t="inlineStr">
        <is>
          <t>OCT</t>
        </is>
      </c>
      <c r="AV1106" t="n">
        <v>2021</v>
      </c>
      <c r="AW1106" t="n">
        <v>18</v>
      </c>
      <c r="AX1106" t="n">
        <v>19</v>
      </c>
      <c r="BE1106" t="n">
        <v>10195</v>
      </c>
      <c r="BF1106" t="inlineStr">
        <is>
          <t>10.3390/ijerph181910195</t>
        </is>
      </c>
      <c r="BG1106">
        <f>HYPERLINK("http://dx.doi.org/10.3390/ijerph181910195","http://dx.doi.org/10.3390/ijerph181910195")</f>
        <v/>
      </c>
      <c r="BJ1106" t="n">
        <v>15</v>
      </c>
      <c r="BK1106" t="inlineStr">
        <is>
          <t>Environmental Sciences; Public, Environmental &amp; Occupational Health</t>
        </is>
      </c>
      <c r="BL1106" t="inlineStr">
        <is>
          <t>Science Citation Index Expanded (SCI-EXPANDED); Social Science Citation Index (SSCI)</t>
        </is>
      </c>
      <c r="BM1106" t="inlineStr">
        <is>
          <t>Environmental Sciences &amp; Ecology; Public, Environmental &amp; Occupational Health</t>
        </is>
      </c>
      <c r="BN1106" t="inlineStr">
        <is>
          <t>WG2ZV</t>
        </is>
      </c>
      <c r="BO1106" t="n">
        <v>34639497</v>
      </c>
      <c r="BP1106" t="inlineStr">
        <is>
          <t>gold, Green Published</t>
        </is>
      </c>
      <c r="BS1106" t="inlineStr">
        <is>
          <t>2023-10-26</t>
        </is>
      </c>
      <c r="BT1106" t="inlineStr">
        <is>
          <t>WOS:000706866900001</t>
        </is>
      </c>
      <c r="BU1106">
        <f>HYPERLINK("https%3A%2F%2Fwww.webofscience.com%2Fwos%2Fwoscc%2Ffull-record%2FWOS:000706866900001","View Full Record in Web of Science")</f>
        <v/>
      </c>
    </row>
    <row r="1107">
      <c r="A1107" t="inlineStr">
        <is>
          <t>J</t>
        </is>
      </c>
      <c r="B1107" t="inlineStr">
        <is>
          <t>Narenthiran, OP; Torero, J; Woodrow, M</t>
        </is>
      </c>
      <c r="F1107" t="inlineStr">
        <is>
          <t>Narenthiran, Olivia Phoeby; Torero, Jose; Woodrow, Michael</t>
        </is>
      </c>
      <c r="J1107" t="inlineStr">
        <is>
          <t>SUSTAINABILITY</t>
        </is>
      </c>
      <c r="M1107" t="inlineStr">
        <is>
          <t>English</t>
        </is>
      </c>
      <c r="N1107" t="inlineStr">
        <is>
          <t>Article</t>
        </is>
      </c>
      <c r="T1107" t="inlineStr">
        <is>
          <t>Inclusive Design of Workspaces: Mixed Methods Approach to Understanding Users</t>
        </is>
      </c>
      <c r="U1107" t="inlineStr">
        <is>
          <t>inclusive design; wellbeing; workspaces; accessibility; neurodiversity; disability; social sustainability; interior design; environmental design</t>
        </is>
      </c>
      <c r="V1107" t="inlineStr">
        <is>
          <t>WORK; ERGONOMICS; PERFORMANCE; ENVIRONMENT; EMPLOYEES; HEALTH; IMPACT; SPACE; SOUND; LIGHT</t>
        </is>
      </c>
      <c r="W1107" t="inlineStr">
        <is>
          <t>Accessible design within the built environment has often focused on mobility conditions and has recently widened to include mental health. Additionally, as one in seven are neurodivergent (including conditions such as ADHD, autism, dyslexia, and dyspraxia), this highlights a growing need for designing for 'non-visible' conditions in addition to mobility. Emphasised by the growing disability pay gap and the disability perception gap, people with disabilities are still facing discrimination and physical barriers within the workplace. This research aimed to identify key ways of reducing physical barriers faced by people with a disability and thus encourage more comfortable and productive use of workspaces for all. Once the need for designing for a spectrum of users and inclusive workspace design was understood, a survey was then circulated to students and staff at a large university in the UK (working remotely from home), with the aim of understanding how people have adapted their home spaces and what barriers they continue to face. Quantitative and qualitative results were compared to the literature read with key issues emerging, such as separating work and rest from spaces in bedrooms. The survey findings and literature were evaluated, extracting key performance-based goals (e.g., productivity and focus within a study space) and prescriptive design features (e.g., lighting, furniture, and thermal comfort), whilst also considering the inclusivity of these features. The key conclusion establishes that, to achieve maximum benefit, it is important to work with the users to understand specific needs and identify creative and inclusive solutions.</t>
        </is>
      </c>
      <c r="X1107" t="inlineStr">
        <is>
          <t>[Narenthiran, Olivia Phoeby] UCL, Bartlett Sch Architecture, London WC1H 0AY, England; [Torero, Jose; Woodrow, Michael] UCL, Dept Civil Environm &amp; Geomat Engn, London WC1H 0AY, England</t>
        </is>
      </c>
      <c r="Y1107" t="inlineStr">
        <is>
          <t>University of London; University College London; University of London; University College London</t>
        </is>
      </c>
      <c r="Z1107" t="inlineStr">
        <is>
          <t>Narenthiran, OP (corresponding author), UCL, Bartlett Sch Architecture, London WC1H 0AY, England.</t>
        </is>
      </c>
      <c r="AA1107" t="inlineStr">
        <is>
          <t>phoeby.narenthiran.17@ucl.ac.uk; j.torero@ucl.ac.uk; m.woodrow@ucl.ac.uk</t>
        </is>
      </c>
      <c r="AH1107" t="n">
        <v>91</v>
      </c>
      <c r="AI1107" t="n">
        <v>3</v>
      </c>
      <c r="AJ1107" t="n">
        <v>3</v>
      </c>
      <c r="AK1107" t="n">
        <v>14</v>
      </c>
      <c r="AL1107" t="n">
        <v>30</v>
      </c>
      <c r="AM1107" t="inlineStr">
        <is>
          <t>MDPI</t>
        </is>
      </c>
      <c r="AN1107" t="inlineStr">
        <is>
          <t>BASEL</t>
        </is>
      </c>
      <c r="AO1107" t="inlineStr">
        <is>
          <t>ST ALBAN-ANLAGE 66, CH-4052 BASEL, SWITZERLAND</t>
        </is>
      </c>
      <c r="AQ1107" t="inlineStr">
        <is>
          <t>2071-1050</t>
        </is>
      </c>
      <c r="AS1107" t="inlineStr">
        <is>
          <t>SUSTAINABILITY-BASEL</t>
        </is>
      </c>
      <c r="AT1107" t="inlineStr">
        <is>
          <t>Sustainability</t>
        </is>
      </c>
      <c r="AU1107" t="inlineStr">
        <is>
          <t>MAR</t>
        </is>
      </c>
      <c r="AV1107" t="n">
        <v>2022</v>
      </c>
      <c r="AW1107" t="n">
        <v>14</v>
      </c>
      <c r="AX1107" t="n">
        <v>6</v>
      </c>
      <c r="BE1107" t="n">
        <v>3337</v>
      </c>
      <c r="BF1107" t="inlineStr">
        <is>
          <t>10.3390/su14063337</t>
        </is>
      </c>
      <c r="BG1107">
        <f>HYPERLINK("http://dx.doi.org/10.3390/su14063337","http://dx.doi.org/10.3390/su14063337")</f>
        <v/>
      </c>
      <c r="BJ1107" t="n">
        <v>29</v>
      </c>
      <c r="BK1107" t="inlineStr">
        <is>
          <t>Green &amp; Sustainable Science &amp; Technology; Environmental Sciences; Environmental Studies</t>
        </is>
      </c>
      <c r="BL1107" t="inlineStr">
        <is>
          <t>Science Citation Index Expanded (SCI-EXPANDED); Social Science Citation Index (SSCI)</t>
        </is>
      </c>
      <c r="BM1107" t="inlineStr">
        <is>
          <t>Science &amp; Technology - Other Topics; Environmental Sciences &amp; Ecology</t>
        </is>
      </c>
      <c r="BN1107" t="inlineStr">
        <is>
          <t>0E0AI</t>
        </is>
      </c>
      <c r="BP1107" t="inlineStr">
        <is>
          <t>gold, Green Published</t>
        </is>
      </c>
      <c r="BS1107" t="inlineStr">
        <is>
          <t>2023-10-26</t>
        </is>
      </c>
      <c r="BT1107" t="inlineStr">
        <is>
          <t>WOS:000776348600001</t>
        </is>
      </c>
      <c r="BU1107">
        <f>HYPERLINK("https%3A%2F%2Fwww.webofscience.com%2Fwos%2Fwoscc%2Ffull-record%2FWOS:000776348600001","View Full Record in Web of Science")</f>
        <v/>
      </c>
    </row>
    <row r="1108">
      <c r="A1108" t="inlineStr">
        <is>
          <t>J</t>
        </is>
      </c>
      <c r="B1108" t="inlineStr">
        <is>
          <t>Fiocco, AJ; Gryspeerdt, C; Franco, G</t>
        </is>
      </c>
      <c r="F1108" t="inlineStr">
        <is>
          <t>Fiocco, Alexandra J.; Gryspeerdt, Charlie; Franco, Giselle</t>
        </is>
      </c>
      <c r="J1108" t="inlineStr">
        <is>
          <t>INTERNATIONAL JOURNAL OF ENVIRONMENTAL RESEARCH AND PUBLIC HEALTH</t>
        </is>
      </c>
      <c r="M1108" t="inlineStr">
        <is>
          <t>English</t>
        </is>
      </c>
      <c r="N1108" t="inlineStr">
        <is>
          <t>Article</t>
        </is>
      </c>
      <c r="T1108" t="inlineStr">
        <is>
          <t>Stress and Adjustment during the COVID-19 Pandemic: A Qualitative Study on the Lived Experience of Canadian Older Adults</t>
        </is>
      </c>
      <c r="U1108" t="inlineStr">
        <is>
          <t>COVID-19; pandemic; stress; coping; older adults; resilience</t>
        </is>
      </c>
      <c r="V1108" t="inlineStr">
        <is>
          <t>SOCIAL-PARTICIPATION; MENTAL-HEALTH; DEPRESSION</t>
        </is>
      </c>
      <c r="W1108" t="inlineStr">
        <is>
          <t>In response to the COVID-19 pandemic, social distancing measures were put into place to flatten the pandemic curve. It was projected that older adults were at increased risk for poor psychological and health outcomes resulting from increased social isolation and loneliness. However, little research has supported this projection among community-dwelling older adults. While a growing body of research has examined the impact of the COVID-19 pandemic on older adults, there is a paucity of qualitative research that captures the lived experience of community-dwelling older adults in Canada. The current study aimed to better understand the lived experience of community-dwelling older adults during the first six months of the pandemic in Ontario, Canada. Semi-structured one-on-one interviews were conducted with independent-living older adults aged 65 years and older. A total of 22 interviews were analyzed using inductive thematic analysis. Following a recursive process, two overarching themes were identified: perceived threat and challenges of the pandemic, and coping with the pandemic. Specifically, participants reflected on the threat of contracting the virus and challenges associated with living arrangements, social isolation, and financial insecurity. Participants shared their coping strategies to maintain health and wellbeing, including behavioral strategies, emotion-focused strategies, and social support. Overall, this research highlights resilience among older adults during the first six months of the pandemic.</t>
        </is>
      </c>
      <c r="X1108" t="inlineStr">
        <is>
          <t>[Fiocco, Alexandra J.; Gryspeerdt, Charlie; Franco, Giselle] Ryerson Univ, Dept Psychol, Toronto, ON M5B 2K3, Canada</t>
        </is>
      </c>
      <c r="Y1108" t="inlineStr">
        <is>
          <t>Toronto Metropolitan University</t>
        </is>
      </c>
      <c r="Z1108" t="inlineStr">
        <is>
          <t>Fiocco, AJ (corresponding author), Ryerson Univ, Dept Psychol, Toronto, ON M5B 2K3, Canada.</t>
        </is>
      </c>
      <c r="AA1108" t="inlineStr">
        <is>
          <t>afiocco@ryerson.ca; cgryspeerdt@ryerson.ca; giselle.franco@ryerson.ca</t>
        </is>
      </c>
      <c r="AC1108" t="inlineStr">
        <is>
          <t>Franco, Giselle/0000-0001-8882-4773; Fiocco, Alexandra/0000-0002-9353-476X</t>
        </is>
      </c>
      <c r="AH1108" t="n">
        <v>42</v>
      </c>
      <c r="AI1108" t="n">
        <v>6</v>
      </c>
      <c r="AJ1108" t="n">
        <v>6</v>
      </c>
      <c r="AK1108" t="n">
        <v>1</v>
      </c>
      <c r="AL1108" t="n">
        <v>6</v>
      </c>
      <c r="AM1108" t="inlineStr">
        <is>
          <t>MDPI</t>
        </is>
      </c>
      <c r="AN1108" t="inlineStr">
        <is>
          <t>BASEL</t>
        </is>
      </c>
      <c r="AO1108" t="inlineStr">
        <is>
          <t>ST ALBAN-ANLAGE 66, CH-4052 BASEL, SWITZERLAND</t>
        </is>
      </c>
      <c r="AQ1108" t="inlineStr">
        <is>
          <t>1660-4601</t>
        </is>
      </c>
      <c r="AS1108" t="inlineStr">
        <is>
          <t>INT J ENV RES PUB HE</t>
        </is>
      </c>
      <c r="AT1108" t="inlineStr">
        <is>
          <t>Int. J. Environ. Res. Public Health</t>
        </is>
      </c>
      <c r="AU1108" t="inlineStr">
        <is>
          <t>DEC</t>
        </is>
      </c>
      <c r="AV1108" t="n">
        <v>2021</v>
      </c>
      <c r="AW1108" t="n">
        <v>18</v>
      </c>
      <c r="AX1108" t="n">
        <v>24</v>
      </c>
      <c r="BE1108" t="n">
        <v>12922</v>
      </c>
      <c r="BF1108" t="inlineStr">
        <is>
          <t>10.3390/ijerph182412922</t>
        </is>
      </c>
      <c r="BG1108">
        <f>HYPERLINK("http://dx.doi.org/10.3390/ijerph182412922","http://dx.doi.org/10.3390/ijerph182412922")</f>
        <v/>
      </c>
      <c r="BJ1108" t="n">
        <v>28</v>
      </c>
      <c r="BK1108" t="inlineStr">
        <is>
          <t>Environmental Sciences; Public, Environmental &amp; Occupational Health</t>
        </is>
      </c>
      <c r="BL1108" t="inlineStr">
        <is>
          <t>Science Citation Index Expanded (SCI-EXPANDED); Social Science Citation Index (SSCI)</t>
        </is>
      </c>
      <c r="BM1108" t="inlineStr">
        <is>
          <t>Environmental Sciences &amp; Ecology; Public, Environmental &amp; Occupational Health</t>
        </is>
      </c>
      <c r="BN1108" t="inlineStr">
        <is>
          <t>XZ7LI</t>
        </is>
      </c>
      <c r="BO1108" t="n">
        <v>34948534</v>
      </c>
      <c r="BP1108" t="inlineStr">
        <is>
          <t>gold, Green Published</t>
        </is>
      </c>
      <c r="BS1108" t="inlineStr">
        <is>
          <t>2023-10-26</t>
        </is>
      </c>
      <c r="BT1108" t="inlineStr">
        <is>
          <t>WOS:000737829700001</t>
        </is>
      </c>
      <c r="BU1108">
        <f>HYPERLINK("https%3A%2F%2Fwww.webofscience.com%2Fwos%2Fwoscc%2Ffull-record%2FWOS:000737829700001","View Full Record in Web of Science")</f>
        <v/>
      </c>
    </row>
    <row r="1109">
      <c r="A1109" t="inlineStr">
        <is>
          <t>J</t>
        </is>
      </c>
      <c r="B1109" t="inlineStr">
        <is>
          <t>Yin, CY; Shao, CF; Wang, XQ</t>
        </is>
      </c>
      <c r="F1109" t="inlineStr">
        <is>
          <t>Yin, Chaoying; Shao, Chunfu; Wang, Xiaoquan</t>
        </is>
      </c>
      <c r="J1109" t="inlineStr">
        <is>
          <t>SUSTAINABILITY</t>
        </is>
      </c>
      <c r="M1109" t="inlineStr">
        <is>
          <t>English</t>
        </is>
      </c>
      <c r="N1109" t="inlineStr">
        <is>
          <t>Article</t>
        </is>
      </c>
      <c r="T1109" t="inlineStr">
        <is>
          <t>Built Environment and Parking Availability: Impacts on Car Ownership and Use</t>
        </is>
      </c>
      <c r="U1109" t="inlineStr">
        <is>
          <t>car ownership and use; built environment; parking availability; binary logistic model; China</t>
        </is>
      </c>
      <c r="V1109" t="inlineStr">
        <is>
          <t>COMMUTER MODE CHOICE; VEHICLE OWNERSHIP; TRAVEL BEHAVIOR; SELF-SELECTION; LAND-USE; DETERMINANTS; EMISSIONS; SUBSIDIES; CITY</t>
        </is>
      </c>
      <c r="W1109" t="inlineStr">
        <is>
          <t>Along with urbanization and economic development, the number of private cars has increased rapidly in recent years in China, which contributes to concerns about traffic congestion, hard parking, energy consumption, and emissions. This study aims to investigate the joint effect of built environment and parking availability on car ownership and use based on a household travel survey conducted in Changchun, China. The binary logistic model was first employed to investigate the determinants of the car ownership in Changchun. Next, this study examined the potential impacts of the built environment and parking availability on car use for the journey to work. The result shows that built environment and parking availability can be both significantly associated with car ownership and use after controlling for the socio-economic characteristics. Moreover, in contrast with the model ignoring the parking availability, the model for car use considering the joint effect fit the data better. The results indicate that car dependency depends on the joint effect of the built environment and parking availability. These results suggest that transit-oriented urban expansion and compact land use can contribute to reducing car commuting. Meanwhile, parking restrictions at both trip start and end would be effective for sustainable transport because parking oversupply could encourage more car dependency.</t>
        </is>
      </c>
      <c r="X1109" t="inlineStr">
        <is>
          <t>[Yin, Chaoying; Wang, Xiaoquan] Beijing Jiaotong Univ, MOE Key Lab Urban Transportat Complex Syst Theory, Beijing 100044, Peoples R China; [Shao, Chunfu] Beijing Jiaotong Univ, Key Lab Transport Ind Big Data Applicat Technol C, Beijing 100044, Peoples R China</t>
        </is>
      </c>
      <c r="Y1109" t="inlineStr">
        <is>
          <t>Beijing Jiaotong University; Beijing Jiaotong University</t>
        </is>
      </c>
      <c r="Z1109" t="inlineStr">
        <is>
          <t>Shao, CF (corresponding author), Beijing Jiaotong Univ, Key Lab Transport Ind Big Data Applicat Technol C, Beijing 100044, Peoples R China.</t>
        </is>
      </c>
      <c r="AA1109" t="inlineStr">
        <is>
          <t>15114226@bjtu.edu.cn; cfshao@bjtu.edu.cn; 15120886@bjtu.edu.cn</t>
        </is>
      </c>
      <c r="AB1109" t="inlineStr">
        <is>
          <t>Shao, Chunfu/GRR-5132-2022</t>
        </is>
      </c>
      <c r="AC1109" t="inlineStr">
        <is>
          <t>Yin, Chaoying/0000-0002-6895-0585; Wang, Xiaoquan/0000-0002-2509-7473</t>
        </is>
      </c>
      <c r="AD1109" t="inlineStr">
        <is>
          <t>Hebei Natural Science Foundation [E2016513016]</t>
        </is>
      </c>
      <c r="AE1109" t="inlineStr">
        <is>
          <t>Hebei Natural Science Foundation(Natural Science Foundation of Hebei Province)</t>
        </is>
      </c>
      <c r="AF1109" t="inlineStr">
        <is>
          <t>This research was funded by [Hebei Natural Science Foundation] grant number [E2016513016].</t>
        </is>
      </c>
      <c r="AH1109" t="n">
        <v>58</v>
      </c>
      <c r="AI1109" t="n">
        <v>19</v>
      </c>
      <c r="AJ1109" t="n">
        <v>20</v>
      </c>
      <c r="AK1109" t="n">
        <v>6</v>
      </c>
      <c r="AL1109" t="n">
        <v>34</v>
      </c>
      <c r="AM1109" t="inlineStr">
        <is>
          <t>MDPI</t>
        </is>
      </c>
      <c r="AN1109" t="inlineStr">
        <is>
          <t>BASEL</t>
        </is>
      </c>
      <c r="AO1109" t="inlineStr">
        <is>
          <t>ST ALBAN-ANLAGE 66, CH-4052 BASEL, SWITZERLAND</t>
        </is>
      </c>
      <c r="AQ1109" t="inlineStr">
        <is>
          <t>2071-1050</t>
        </is>
      </c>
      <c r="AS1109" t="inlineStr">
        <is>
          <t>SUSTAINABILITY-BASEL</t>
        </is>
      </c>
      <c r="AT1109" t="inlineStr">
        <is>
          <t>Sustainability</t>
        </is>
      </c>
      <c r="AU1109" t="inlineStr">
        <is>
          <t>JUL</t>
        </is>
      </c>
      <c r="AV1109" t="n">
        <v>2018</v>
      </c>
      <c r="AW1109" t="n">
        <v>10</v>
      </c>
      <c r="AX1109" t="n">
        <v>7</v>
      </c>
      <c r="BE1109" t="n">
        <v>2285</v>
      </c>
      <c r="BF1109" t="inlineStr">
        <is>
          <t>10.3390/su10072285</t>
        </is>
      </c>
      <c r="BG1109">
        <f>HYPERLINK("http://dx.doi.org/10.3390/su10072285","http://dx.doi.org/10.3390/su10072285")</f>
        <v/>
      </c>
      <c r="BJ1109" t="n">
        <v>15</v>
      </c>
      <c r="BK1109" t="inlineStr">
        <is>
          <t>Green &amp; Sustainable Science &amp; Technology; Environmental Sciences; Environmental Studies</t>
        </is>
      </c>
      <c r="BL1109" t="inlineStr">
        <is>
          <t>Science Citation Index Expanded (SCI-EXPANDED); Social Science Citation Index (SSCI)</t>
        </is>
      </c>
      <c r="BM1109" t="inlineStr">
        <is>
          <t>Science &amp; Technology - Other Topics; Environmental Sciences &amp; Ecology</t>
        </is>
      </c>
      <c r="BN1109" t="inlineStr">
        <is>
          <t>GP5WQ</t>
        </is>
      </c>
      <c r="BP1109" t="inlineStr">
        <is>
          <t>Green Submitted, gold</t>
        </is>
      </c>
      <c r="BS1109" t="inlineStr">
        <is>
          <t>2023-10-26</t>
        </is>
      </c>
      <c r="BT1109" t="inlineStr">
        <is>
          <t>WOS:000440947600176</t>
        </is>
      </c>
      <c r="BU1109">
        <f>HYPERLINK("https%3A%2F%2Fwww.webofscience.com%2Fwos%2Fwoscc%2Ffull-record%2FWOS:000440947600176","View Full Record in Web of Science")</f>
        <v/>
      </c>
    </row>
    <row r="1110">
      <c r="A1110" t="inlineStr">
        <is>
          <t>J</t>
        </is>
      </c>
      <c r="B1110" t="inlineStr">
        <is>
          <t>Melymuk, L; Bohlin-Nizzetto, P; Kukucka, P; Vojta, S; Kalina, J; Cupr, P; Klánová, J</t>
        </is>
      </c>
      <c r="F1110" t="inlineStr">
        <is>
          <t>Melymuk, Lisa; Bohlin-Nizzetto, Pernilla; Kukucka, Petr; Vojta, Simon; Kalina, Jiri; Cupr, Pavel; Klanova, Jana</t>
        </is>
      </c>
      <c r="J1110" t="inlineStr">
        <is>
          <t>ENVIRONMENTAL POLLUTION</t>
        </is>
      </c>
      <c r="M1110" t="inlineStr">
        <is>
          <t>English</t>
        </is>
      </c>
      <c r="N1110" t="inlineStr">
        <is>
          <t>Article</t>
        </is>
      </c>
      <c r="T1110" t="inlineStr">
        <is>
          <t>Seasonality and indoor/outdoor relationships of flame retardants and PCBs in residential air</t>
        </is>
      </c>
      <c r="U1110" t="inlineStr">
        <is>
          <t>Indoor air; Flame retardants; PCBs; Indoor sources; Seasonal trends</t>
        </is>
      </c>
      <c r="V1110" t="inlineStr">
        <is>
          <t>POLYBROMINATED DIPHENYL ETHERS; POLYCHLORINATED-BIPHENYLS PCBS; SEMIVOLATILE ORGANIC-COMPOUNDS; GREAT-LAKES ATMOSPHERE; OUTDOOR AIR; INDOOR AIR; COMPOUNDS SVOCS; PBDES; EMISSIONS; SEALANTS</t>
        </is>
      </c>
      <c r="W1110" t="inlineStr">
        <is>
          <t>This study is a systematic assessment of different houses and apartments, their ages and renovation status, indoors and outdoors, and in summer vs. winter, with a goal of bringing some insight into the major sources of semivolatile organic compounds (SVOCs) and their variability. Indoor and outdoor air concentrations of polychlorinated biphenyls (PCBs), polybrominated diphenyl ethers (PBDEs) and novel flame retardants (NFRs) were determined at 17-20 homes in Czech Republic in winter and summer. Indoor concentrations were consistently higher than outdoor concentrations for all compounds; indoor/outdoor ratios ranged from 2-20, with larger differences for the current use NFRs than for legacy PCBs. Seasonal trends differed according to the use status of the compounds: the PCBs had higher summer concentrations both indoors and outdoors, suggesting volatilization as a source of PCBs to air. PBDEs had no seasonal trends indoors, but higher summer concentrations outdoors. Several NFRs (TBX, PBT, PBEB) had higher indoor concentrations in winter relative to summer. The seasonal trends in the flame retardants suggest differences in air exchange rates due to lower building ventilation in winter could be driving the concentration differences. Weak relationships were found with building age for PCBs, with higher concentrations indoors in buildings built before 1984, and with the number of electronics for PBDEs, with higher concentrations in rooms with three or more electronic items. Indoor environments are the primary contributor to human inhalation exposure to these SVOCs, due to the high percentage of time spent indoors (&gt;90%) combined with the higher indoors levels for all the studied compounds. Exposure via the indoor environment contributed similar to 96% of the total chronic daily intake via inhalation in summer and similar to 98% in winter. (C) 2016 Elsevier Ltd. All rights reserved.</t>
        </is>
      </c>
      <c r="X1110" t="inlineStr">
        <is>
          <t>[Melymuk, Lisa; Kukucka, Petr; Vojta, Simon; Kalina, Jiri; Cupr, Pavel; Klanova, Jana] Res Ctr Tox Cpds Environm RECETOX, Kamenice 753-5, Brno 62500, Czech Republic; [Bohlin-Nizzetto, Pernilla] NILU Norwegian Inst Air Res, Inst Veien 18,POB 100, NO-2017 Kjeller, Norway</t>
        </is>
      </c>
      <c r="Y1110" t="inlineStr">
        <is>
          <t>Masaryk University Brno; NILU</t>
        </is>
      </c>
      <c r="Z1110" t="inlineStr">
        <is>
          <t>Melymuk, L (corresponding author), Res Ctr Tox Cpds Environm RECETOX, Kamenice 753-5, Brno 62500, Czech Republic.;Bohlin-Nizzetto, P (corresponding author), NILU Norwegian Inst Air Res, Inst Veien 18,POB 100, NO-2017 Kjeller, Norway.</t>
        </is>
      </c>
      <c r="AA1110" t="inlineStr">
        <is>
          <t>melymuk@recetox.muni.cz; pbn@nilu.no</t>
        </is>
      </c>
      <c r="AB1110" t="inlineStr">
        <is>
          <t>Klanova, Jana/H-1207-2012; Čupr, Pavel/H-4180-2012; Kukucka, Petr/F-7064-2016; Kalina, Jiří/F-3221-2016; Melymuk, Lisa/AAF-2526-2021; Bohlin-Nizzetto, Pernilla/C-3345-2019; Melymuk, Lisa/H-1061-2017</t>
        </is>
      </c>
      <c r="AC1110" t="inlineStr">
        <is>
          <t>Klanova, Jana/0000-0002-8818-5307; Čupr, Pavel/0000-0002-3848-7091; Kukucka, Petr/0000-0003-1733-8334; Kalina, Jiří/0000-0002-4103-6937; Melymuk, Lisa/0000-0001-6042-7688; Melymuk, Lisa/0000-0001-6042-7688; Vojta, Simon/0000-0003-4528-8346; Bohlin-Nizzetto, Pernilla/0000-0003-2835-8509</t>
        </is>
      </c>
      <c r="AD1110" t="inlineStr">
        <is>
          <t>RECETOX research infrastructure (the Czech Ministry of Education) [LO1214, LM2015051]; AMVIS/KONTAKT II project [LH12074]; Employment of Best Young Scientists for International Cooperation Empowerment [CZ.1.07/2.3.00/30.0037]</t>
        </is>
      </c>
      <c r="AE1110" t="inlineStr">
        <is>
          <t>RECETOX research infrastructure (the Czech Ministry of Education); AMVIS/KONTAKT II project; Employment of Best Young Scientists for International Cooperation Empowerment</t>
        </is>
      </c>
      <c r="AF1110" t="inlineStr">
        <is>
          <t>This research was supported by the RECETOX research infrastructure (the Czech Ministry of Education LO1214 and LM2015051), AMVIS/KONTAKT II project (LH12074), and Employment of Best Young Scientists for International Cooperation Empowerment (CZ.1.07/2.3.00/30.0037). We thank Alice Dvorska for assistance with the questionnaires.</t>
        </is>
      </c>
      <c r="AH1110" t="n">
        <v>48</v>
      </c>
      <c r="AI1110" t="n">
        <v>28</v>
      </c>
      <c r="AJ1110" t="n">
        <v>30</v>
      </c>
      <c r="AK1110" t="n">
        <v>3</v>
      </c>
      <c r="AL1110" t="n">
        <v>78</v>
      </c>
      <c r="AM1110" t="inlineStr">
        <is>
          <t>ELSEVIER SCI LTD</t>
        </is>
      </c>
      <c r="AN1110" t="inlineStr">
        <is>
          <t>OXFORD</t>
        </is>
      </c>
      <c r="AO1110" t="inlineStr">
        <is>
          <t>THE BOULEVARD, LANGFORD LANE, KIDLINGTON, OXFORD OX5 1GB, OXON, ENGLAND</t>
        </is>
      </c>
      <c r="AP1110" t="inlineStr">
        <is>
          <t>0269-7491</t>
        </is>
      </c>
      <c r="AQ1110" t="inlineStr">
        <is>
          <t>1873-6424</t>
        </is>
      </c>
      <c r="AS1110" t="inlineStr">
        <is>
          <t>ENVIRON POLLUT</t>
        </is>
      </c>
      <c r="AT1110" t="inlineStr">
        <is>
          <t>Environ. Pollut.</t>
        </is>
      </c>
      <c r="AU1110" t="inlineStr">
        <is>
          <t>NOV</t>
        </is>
      </c>
      <c r="AV1110" t="n">
        <v>2016</v>
      </c>
      <c r="AW1110" t="n">
        <v>218</v>
      </c>
      <c r="BC1110" t="n">
        <v>392</v>
      </c>
      <c r="BD1110" t="n">
        <v>401</v>
      </c>
      <c r="BF1110" t="inlineStr">
        <is>
          <t>10.1016/j.envpol.2016.07.018</t>
        </is>
      </c>
      <c r="BG1110">
        <f>HYPERLINK("http://dx.doi.org/10.1016/j.envpol.2016.07.018","http://dx.doi.org/10.1016/j.envpol.2016.07.018")</f>
        <v/>
      </c>
      <c r="BJ1110" t="n">
        <v>10</v>
      </c>
      <c r="BK1110" t="inlineStr">
        <is>
          <t>Environmental Sciences</t>
        </is>
      </c>
      <c r="BL1110" t="inlineStr">
        <is>
          <t>Science Citation Index Expanded (SCI-EXPANDED)</t>
        </is>
      </c>
      <c r="BM1110" t="inlineStr">
        <is>
          <t>Environmental Sciences &amp; Ecology</t>
        </is>
      </c>
      <c r="BN1110" t="inlineStr">
        <is>
          <t>DZ1JZ</t>
        </is>
      </c>
      <c r="BO1110" t="n">
        <v>27431696</v>
      </c>
      <c r="BS1110" t="inlineStr">
        <is>
          <t>2023-10-26</t>
        </is>
      </c>
      <c r="BT1110" t="inlineStr">
        <is>
          <t>WOS:000385596000043</t>
        </is>
      </c>
      <c r="BU1110">
        <f>HYPERLINK("https%3A%2F%2Fwww.webofscience.com%2Fwos%2Fwoscc%2Ffull-record%2FWOS:000385596000043","View Full Record in Web of Science")</f>
        <v/>
      </c>
    </row>
    <row r="1111">
      <c r="A1111" t="inlineStr">
        <is>
          <t>J</t>
        </is>
      </c>
      <c r="B1111" t="inlineStr">
        <is>
          <t>Giannakopoulou, S; Kaliampakos, D</t>
        </is>
      </c>
      <c r="F1111" t="inlineStr">
        <is>
          <t>Giannakopoulou, Stella; Kaliampakos, Dimitris</t>
        </is>
      </c>
      <c r="J1111" t="inlineStr">
        <is>
          <t>JOURNAL OF MOUNTAIN SCIENCE</t>
        </is>
      </c>
      <c r="M1111" t="inlineStr">
        <is>
          <t>English</t>
        </is>
      </c>
      <c r="N1111" t="inlineStr">
        <is>
          <t>Article</t>
        </is>
      </c>
      <c r="T1111" t="inlineStr">
        <is>
          <t>Protection of architectural heritage: attitudes of local residents and visitors in Sirako, Greece</t>
        </is>
      </c>
      <c r="U1111" t="inlineStr">
        <is>
          <t>Architectural heritage; Contingent valuation; Mountains; Cultural goods</t>
        </is>
      </c>
      <c r="V1111" t="inlineStr">
        <is>
          <t>PLACE ATTACHMENT; CONTINGENT VALUATION; CULTURAL-HERITAGE; ECONOMIC VALUE; BENEFITS; IDENTITY; ENVIRONMENT; TOURISM; SITES</t>
        </is>
      </c>
      <c r="W1111" t="inlineStr">
        <is>
          <t>Architectural heritage comprises one of the most important elements of mountain settlements in Greece. It holds high cultural value, represents the tangible continuation of the past and forms the unique character and identity of each mountain region. Yet, controversy regarding funding for its preservation often arises. In this paper, we used two Contingent Valuation surveys to estimate the social benefit deriving from protecting the traditional architecture in the mountainous village of Sirako and, through it, to examine perceptions and attitudes of local residents and visitors. Research findings revealed a strong social will in favor of the good's protection followed by high percentages of positive willingness to pay (WTP). However, WTP is significantly higher among residents. Cultural heritage value, of the good, appears to prevail, along with the environmental one. However, both residents and visitors pointed out that local heritage, if well-preserved, will boost tourism development. Residents appeared to better recognize the true level of architectural decay, expressed higher apprehension for its protection and were willing to pay higher amount of money. Tourists, on the other side, expressed high satisfaction for their visit, appreciated the beauty and serenity emerging from local built and natural environment and spent several days visiting the surrounding area. The longer they stayed and got familiar with the village, the more willing they were to contribute to local heritage's protection. Percentages reflecting indifference for protecting architecture were extremely low. Yet, they were higher among tourists. Traditional architecture is considered as public good; an opinion resulting in an important percentage of visitors stating that national government should provide the necessary funding. In addition, the architecture appears to hold a high level of topicality. Those descending from Sirako or emotionally connected to it, of both social groups, turned out to be more concerned about the good and with a stronger sense of responsibility for it. Use-value of the good holds high economic value, as well, while higher percentages of zero WTP appeared among non-users. Research findings revealed social attitudes and perceptions on what constitutes architectural heritage, in its cultural and economic frame. If taken under consideration, they may form useful drivers for local, heritage-based, sustainable development.</t>
        </is>
      </c>
      <c r="X1111" t="inlineStr">
        <is>
          <t>[Giannakopoulou, Stella] Natl Tech Univ Athens, Sch Architectural Engn, Metsov Interdisciplinary Res Ctr, Athens 15780, Greece; Natl Tech Univ Athens, Sch Min &amp; Met Engn, Metsov Interdisciplinary Res Ctr, Athens 15780, Greece</t>
        </is>
      </c>
      <c r="Y1111" t="inlineStr">
        <is>
          <t>National Technical University of Athens; National Technical University of Athens</t>
        </is>
      </c>
      <c r="Z1111" t="inlineStr">
        <is>
          <t>Giannakopoulou, S (corresponding author), Natl Tech Univ Athens, Sch Architectural Engn, Metsov Interdisciplinary Res Ctr, Athens 15780, Greece.</t>
        </is>
      </c>
      <c r="AA1111" t="inlineStr">
        <is>
          <t>stellina@central.ntua.gr; dkal@central.ntua.gr</t>
        </is>
      </c>
      <c r="AB1111" t="inlineStr">
        <is>
          <t>Giannakopoulou, Stella/AAO-9386-2021; Giannakopoulou, Stella/B-6728-2015</t>
        </is>
      </c>
      <c r="AC1111" t="inlineStr">
        <is>
          <t>Giannakopoulou, Stella/0000-0002-2407-5926</t>
        </is>
      </c>
      <c r="AH1111" t="n">
        <v>83</v>
      </c>
      <c r="AI1111" t="n">
        <v>9</v>
      </c>
      <c r="AJ1111" t="n">
        <v>9</v>
      </c>
      <c r="AK1111" t="n">
        <v>3</v>
      </c>
      <c r="AL1111" t="n">
        <v>69</v>
      </c>
      <c r="AM1111" t="inlineStr">
        <is>
          <t>SCIENCE PRESS</t>
        </is>
      </c>
      <c r="AN1111" t="inlineStr">
        <is>
          <t>BEIJING</t>
        </is>
      </c>
      <c r="AO1111" t="inlineStr">
        <is>
          <t>16 DONGHUANGCHENGGEN NORTH ST, BEIJING 100717, PEOPLES R CHINA</t>
        </is>
      </c>
      <c r="AP1111" t="inlineStr">
        <is>
          <t>1672-6316</t>
        </is>
      </c>
      <c r="AQ1111" t="inlineStr">
        <is>
          <t>1993-0321</t>
        </is>
      </c>
      <c r="AS1111" t="inlineStr">
        <is>
          <t>J MT SCI-ENGL</t>
        </is>
      </c>
      <c r="AT1111" t="inlineStr">
        <is>
          <t>J Mt. Sci.</t>
        </is>
      </c>
      <c r="AU1111" t="inlineStr">
        <is>
          <t>MAR</t>
        </is>
      </c>
      <c r="AV1111" t="n">
        <v>2016</v>
      </c>
      <c r="AW1111" t="n">
        <v>13</v>
      </c>
      <c r="AX1111" t="n">
        <v>3</v>
      </c>
      <c r="BC1111" t="n">
        <v>424</v>
      </c>
      <c r="BD1111" t="n">
        <v>439</v>
      </c>
      <c r="BF1111" t="inlineStr">
        <is>
          <t>10.1007/s11629-015-3482-1</t>
        </is>
      </c>
      <c r="BG1111">
        <f>HYPERLINK("http://dx.doi.org/10.1007/s11629-015-3482-1","http://dx.doi.org/10.1007/s11629-015-3482-1")</f>
        <v/>
      </c>
      <c r="BJ1111" t="n">
        <v>16</v>
      </c>
      <c r="BK1111" t="inlineStr">
        <is>
          <t>Environmental Sciences</t>
        </is>
      </c>
      <c r="BL1111" t="inlineStr">
        <is>
          <t>Science Citation Index Expanded (SCI-EXPANDED)</t>
        </is>
      </c>
      <c r="BM1111" t="inlineStr">
        <is>
          <t>Environmental Sciences &amp; Ecology</t>
        </is>
      </c>
      <c r="BN1111" t="inlineStr">
        <is>
          <t>DH8CC</t>
        </is>
      </c>
      <c r="BS1111" t="inlineStr">
        <is>
          <t>2023-10-26</t>
        </is>
      </c>
      <c r="BT1111" t="inlineStr">
        <is>
          <t>WOS:000373020100005</t>
        </is>
      </c>
      <c r="BU1111">
        <f>HYPERLINK("https%3A%2F%2Fwww.webofscience.com%2Fwos%2Fwoscc%2Ffull-record%2FWOS:000373020100005","View Full Record in Web of Science")</f>
        <v/>
      </c>
    </row>
    <row r="1112">
      <c r="A1112" t="inlineStr">
        <is>
          <t>J</t>
        </is>
      </c>
      <c r="B1112" t="inlineStr">
        <is>
          <t>Wuyts, W; Miatto, A; Sedlitzky, R; Tanikawa, H</t>
        </is>
      </c>
      <c r="F1112" t="inlineStr">
        <is>
          <t>Wuyts, Wendy; Miatto, Alessio; Sedlitzky, Raphael; Tanikawa, Hiroki</t>
        </is>
      </c>
      <c r="J1112" t="inlineStr">
        <is>
          <t>JOURNAL OF CLEANER PRODUCTION</t>
        </is>
      </c>
      <c r="M1112" t="inlineStr">
        <is>
          <t>English</t>
        </is>
      </c>
      <c r="N1112" t="inlineStr">
        <is>
          <t>Article</t>
        </is>
      </c>
      <c r="T1112" t="inlineStr">
        <is>
          <t>Extending or ending the life of residential buildings in Japan: A social circular economy approach to the problem of short-lived constructions</t>
        </is>
      </c>
      <c r="U1112" t="inlineStr">
        <is>
          <t>Built environment; Circular consumption; Lifespan; Obsolescence; Residential buildings; Stakeholders</t>
        </is>
      </c>
      <c r="V1112" t="inlineStr">
        <is>
          <t>MATERIAL STOCK; OBSOLESCENCE; DEMOLITION; SPACE; CONSUMPTION; RENOVATION; EARTHQUAKE; CONCRETE; IMPACT; ENERGY</t>
        </is>
      </c>
      <c r="W1112" t="inlineStr">
        <is>
          <t>The construction of residential buildings requires the extraction and production of large amounts of materials, with obvious consequences on the natural environment. Buildings are capital-intensive, requiring considerable physical, economic, and societal investments. In order to amortize their environmental impact, buildings should be used for a period of time that maximises their utility. However, the average lifespan of a residential building in Japan is of only 25 years, a time that has been shortening since the World War II. Numerous Japanese houses are used for less than a generation before being demolished or abandoned, posing a risk for public health, decorum, and safety. This study presents a holistic view of the pressing societal and environmental concerns related to short-lived buildings, which can be used to identify sustainable strategies for the realization of a circular built environment in Japan. This study used a qualitative approach (i.e., media content analysis, field visits to local communities and citizens, expert interviews, and statistical validation) to identify the factors and path dependencies that have led to a low average building lifespan during the second half of the 20th century; moreover, the study investigated the stakeholders in favour of these short lifespans, their own motivations, and the rationale behind recent countermeasures initiated at the local to governmental levels. Numerous stakeholders were motivated by the economic costs or alternative post-materialist values, attitudes and aspirations, emotional attachment, or by a combination of these factors. Their decisions resulted from reflections and personal experiences of societal issues related to short-lived constructions in Japan. The article concludes that all residential buildings should be serving society and presents a framework for the identification of delayed, justified, or premature obsolescence. This framework can be used to decide whether the life of a residential building should be extended or ended. (C) 2019 Elsevier Ltd. All rights reserved.</t>
        </is>
      </c>
      <c r="X1112" t="inlineStr">
        <is>
          <t>[Wuyts, Wendy; Tanikawa, Hiroki] Nagoya Univ, Grad Sch Environm Studies, Nagoya, Aichi, Japan; [Miatto, Alessio] Yale Univ, Sch Forestry &amp; Environm Studies, Ctr Ind Ecol, New Haven, CT 06520 USA; [Sedlitzky, Raphael] Barcelona Lab Urban Environm Justice &amp; Sustainabi, Barcelona, Spain; [Sedlitzky, Raphael] Univ Vienna, Inst Geog &amp; Reg Res, Vienna, Austria</t>
        </is>
      </c>
      <c r="Y1112" t="inlineStr">
        <is>
          <t>Nagoya University; Yale University; University of Vienna</t>
        </is>
      </c>
      <c r="Z1112" t="inlineStr">
        <is>
          <t>Wuyts, W (corresponding author), Chikusa Ku,Furou Cho,D2-1 510, Nagoya, Aichi 4648601, Japan.</t>
        </is>
      </c>
      <c r="AA1112" t="inlineStr">
        <is>
          <t>wuyts.wendy@h.mbox.nagoya-u.ac.jp</t>
        </is>
      </c>
      <c r="AB1112" t="inlineStr">
        <is>
          <t>Miatto, Alessio/R-9972-2019; Wuyts, Wendy/AAX-3254-2020; Tanikawa, Hiroki/G-8033-2012; Wuyts, Wendy/GPT-0348-2022</t>
        </is>
      </c>
      <c r="AC1112" t="inlineStr">
        <is>
          <t>Miatto, Alessio/0000-0001-7541-9330; Wuyts, Wendy/0000-0002-7383-2428; Tanikawa, Hiroki/0000-0002-5896-9629; Wuyts, Wendy/0000-0002-7383-2428</t>
        </is>
      </c>
      <c r="AD1112" t="inlineStr">
        <is>
          <t>Environment Research and Technology Development Fund of the Ministry of the Environment, Japan [2-1711]; Environmental Restoration and Conservation Agency</t>
        </is>
      </c>
      <c r="AE1112" t="inlineStr">
        <is>
          <t>Environment Research and Technology Development Fund of the Ministry of the Environment, Japan(Ministry of the Environment, Japan); Environmental Restoration and Conservation Agency</t>
        </is>
      </c>
      <c r="AF1112" t="inlineStr">
        <is>
          <t>This research was supported by the Environment Research and Technology Development Fund (2-1711) of the Ministry of the Environment, Japan, and the Environmental Restoration and Conservation Agency. We want to thank Rachel Abela for her help with proofreading and the anonymous reviewers for their comments.</t>
        </is>
      </c>
      <c r="AH1112" t="n">
        <v>84</v>
      </c>
      <c r="AI1112" t="n">
        <v>36</v>
      </c>
      <c r="AJ1112" t="n">
        <v>36</v>
      </c>
      <c r="AK1112" t="n">
        <v>4</v>
      </c>
      <c r="AL1112" t="n">
        <v>49</v>
      </c>
      <c r="AM1112" t="inlineStr">
        <is>
          <t>ELSEVIER SCI LTD</t>
        </is>
      </c>
      <c r="AN1112" t="inlineStr">
        <is>
          <t>OXFORD</t>
        </is>
      </c>
      <c r="AO1112" t="inlineStr">
        <is>
          <t>THE BOULEVARD, LANGFORD LANE, KIDLINGTON, OXFORD OX5 1GB, OXON, ENGLAND</t>
        </is>
      </c>
      <c r="AP1112" t="inlineStr">
        <is>
          <t>0959-6526</t>
        </is>
      </c>
      <c r="AQ1112" t="inlineStr">
        <is>
          <t>1879-1786</t>
        </is>
      </c>
      <c r="AS1112" t="inlineStr">
        <is>
          <t>J CLEAN PROD</t>
        </is>
      </c>
      <c r="AT1112" t="inlineStr">
        <is>
          <t>J. Clean Prod.</t>
        </is>
      </c>
      <c r="AU1112" t="inlineStr">
        <is>
          <t>SEP 10</t>
        </is>
      </c>
      <c r="AV1112" t="n">
        <v>2019</v>
      </c>
      <c r="AW1112" t="n">
        <v>231</v>
      </c>
      <c r="BC1112" t="n">
        <v>660</v>
      </c>
      <c r="BD1112" t="n">
        <v>670</v>
      </c>
      <c r="BF1112" t="inlineStr">
        <is>
          <t>10.1016/j.jclepro.2019.05.258</t>
        </is>
      </c>
      <c r="BG1112">
        <f>HYPERLINK("http://dx.doi.org/10.1016/j.jclepro.2019.05.258","http://dx.doi.org/10.1016/j.jclepro.2019.05.258")</f>
        <v/>
      </c>
      <c r="BJ1112" t="n">
        <v>11</v>
      </c>
      <c r="BK1112" t="inlineStr">
        <is>
          <t>Green &amp; Sustainable Science &amp; Technology; Engineering, Environmental; Environmental Sciences</t>
        </is>
      </c>
      <c r="BL1112" t="inlineStr">
        <is>
          <t>Science Citation Index Expanded (SCI-EXPANDED); Social Science Citation Index (SSCI)</t>
        </is>
      </c>
      <c r="BM1112" t="inlineStr">
        <is>
          <t>Science &amp; Technology - Other Topics; Engineering; Environmental Sciences &amp; Ecology</t>
        </is>
      </c>
      <c r="BN1112" t="inlineStr">
        <is>
          <t>IH7JO</t>
        </is>
      </c>
      <c r="BS1112" t="inlineStr">
        <is>
          <t>2023-10-26</t>
        </is>
      </c>
      <c r="BT1112" t="inlineStr">
        <is>
          <t>WOS:000474680100056</t>
        </is>
      </c>
      <c r="BU1112">
        <f>HYPERLINK("https%3A%2F%2Fwww.webofscience.com%2Fwos%2Fwoscc%2Ffull-record%2FWOS:000474680100056","View Full Record in Web of Science")</f>
        <v/>
      </c>
    </row>
    <row r="1113">
      <c r="A1113" t="inlineStr">
        <is>
          <t>J</t>
        </is>
      </c>
      <c r="B1113" t="inlineStr">
        <is>
          <t>Ruiz-Montero, PJ; Chiva-Bartoll, O; Salvador-García, C; González-García, C</t>
        </is>
      </c>
      <c r="F1113" t="inlineStr">
        <is>
          <t>Ruiz-Montero, Pedro J.; Chiva-Bartoll, Oscar; Salvador-Garcia, Celina; Gonzalez-Garcia, Cristian</t>
        </is>
      </c>
      <c r="J1113" t="inlineStr">
        <is>
          <t>SUSTAINABILITY</t>
        </is>
      </c>
      <c r="M1113" t="inlineStr">
        <is>
          <t>English</t>
        </is>
      </c>
      <c r="N1113" t="inlineStr">
        <is>
          <t>Article</t>
        </is>
      </c>
      <c r="T1113" t="inlineStr">
        <is>
          <t>Learning with Older Adults through Intergenerational Service Learning in Physical Education Teacher Education</t>
        </is>
      </c>
      <c r="U1113" t="inlineStr">
        <is>
          <t>service learning; physical education teacher education; older adults; initial teacher training; health-care</t>
        </is>
      </c>
      <c r="V1113" t="inlineStr">
        <is>
          <t>STUDENTS PERCEPTIONS; GERONTOLOGY; ATTITUDES; COLLEGE; METAANALYSIS; EXPERIENCE; RESIDENTS; OUTCOMES; PROGRAM; FITNESS</t>
        </is>
      </c>
      <c r="W1113" t="inlineStr">
        <is>
          <t>(1) Background: The population of older adults is growing faster but most of them experience physical, psychological, and social limitations. Higher education should reflect these concerns by providing students appropriate skills to support a sustainable society and putting the acquired theoretical knowledge into practice. Intergenerational Service Learning (SL) is an educational approach capable of contributing to these requirements. The goal of the study was to analyze the effects of an intergenerational SL program from the complementary perspective of the different agents involved. (2) Methods: The study used hermeneutic phenomenological methodology, widely used in educational research. A total of 23 (three female) Physical Education Teacher Education students (PETEs) and 20 older adults (three male) participated. Reflective journals were used for PETEs and semi-structured group interviews for older adults. (3) Results: The following categories emerged from PETEs: social sensitivity and disconfirmation of negative stereotypes, academic and professional learnings, satisfaction and personal growth, and desire for social justice. From older adults, four complementary categories emerged: disconfirmation of negative stereotypes, improvement of physical function, satisfaction and desire of continuity, and social interaction. (4) Conclusions: Intergenerational SL offers important social and educational inputs by deconstructing negative stereotypes and providing positive experiences to both PETEs and older adults.</t>
        </is>
      </c>
      <c r="X1113" t="inlineStr">
        <is>
          <t>[Ruiz-Montero, Pedro J.] Univ Malaga, Fac Educ, E-29071 Malaga, Spain; [Ruiz-Montero, Pedro J.; Gonzalez-Garcia, Cristian] Univ Granada, Fac Educ &amp; Social Sci, Dept Phys Educ &amp; Sport, Campus Melilla, Melilla 52005, Spain; [Chiva-Bartoll, Oscar; Salvador-Garcia, Celina] Univ Jaume 1, Dept Educ, Fac Human &amp; Social Sci, Castellon de La Plana 12071, Spain; [Salvador-Garcia, Celina] Univ Int la Rioja, Fac Educ, Logrono 26006, Spain</t>
        </is>
      </c>
      <c r="Y1113" t="inlineStr">
        <is>
          <t>Universidad de Malaga; University of Granada; Universitat Jaume I; Universidad Internacional de La Rioja (UNIR)</t>
        </is>
      </c>
      <c r="Z1113" t="inlineStr">
        <is>
          <t>Chiva-Bartoll, O (corresponding author), Univ Jaume 1, Dept Educ, Fac Human &amp; Social Sci, Castellon de La Plana 12071, Spain.</t>
        </is>
      </c>
      <c r="AA1113" t="inlineStr">
        <is>
          <t>pedrorumo@uma.es; ochiva@uji.es; salvadoc@uji.es; cristiangg97@correo.ugr.es</t>
        </is>
      </c>
      <c r="AB1113" t="inlineStr">
        <is>
          <t>Ruiz-Montero, Pedro Jesús/AAN-7540-2021; Salvador-Garcia, Celina/AAA-1249-2020; Chiva-Bartoll, Oscar/AAR-4718-2021</t>
        </is>
      </c>
      <c r="AC1113" t="inlineStr">
        <is>
          <t>Ruiz-Montero, Pedro Jesús/0000-0001-9349-2478; Salvador-Garcia, Celina/0000-0003-0776-8760; Chiva-Bartoll, Oscar/0000-0001-7128-3560</t>
        </is>
      </c>
      <c r="AD1113" t="inlineStr">
        <is>
          <t>University of Granada, Plan FIDO 2018, Quality and Innovation Unit [572]; Vice-Rector's Office for Scientific Policy and Research, UGR; [UJI-A2019-01]</t>
        </is>
      </c>
      <c r="AE1113" t="inlineStr">
        <is>
          <t>University of Granada, Plan FIDO 2018, Quality and Innovation Unit; Vice-Rector's Office for Scientific Policy and Research, UGR;</t>
        </is>
      </c>
      <c r="AF1113" t="inlineStr">
        <is>
          <t>This research was funded by (1) UJI-A2019-01, (2) University of Granada, Plan FIDO 2018, Quality and Innovation Unit, project no572, and (3), Scholarship to CGG, Initiation in Research by Vice-Rector's Office for Scientific Policy and Research, UGR.</t>
        </is>
      </c>
      <c r="AH1113" t="n">
        <v>66</v>
      </c>
      <c r="AI1113" t="n">
        <v>16</v>
      </c>
      <c r="AJ1113" t="n">
        <v>19</v>
      </c>
      <c r="AK1113" t="n">
        <v>0</v>
      </c>
      <c r="AL1113" t="n">
        <v>9</v>
      </c>
      <c r="AM1113" t="inlineStr">
        <is>
          <t>MDPI</t>
        </is>
      </c>
      <c r="AN1113" t="inlineStr">
        <is>
          <t>BASEL</t>
        </is>
      </c>
      <c r="AO1113" t="inlineStr">
        <is>
          <t>ST ALBAN-ANLAGE 66, CH-4052 BASEL, SWITZERLAND</t>
        </is>
      </c>
      <c r="AQ1113" t="inlineStr">
        <is>
          <t>2071-1050</t>
        </is>
      </c>
      <c r="AS1113" t="inlineStr">
        <is>
          <t>SUSTAINABILITY-BASEL</t>
        </is>
      </c>
      <c r="AT1113" t="inlineStr">
        <is>
          <t>Sustainability</t>
        </is>
      </c>
      <c r="AU1113" t="inlineStr">
        <is>
          <t>FEB</t>
        </is>
      </c>
      <c r="AV1113" t="n">
        <v>2020</v>
      </c>
      <c r="AW1113" t="n">
        <v>12</v>
      </c>
      <c r="AX1113" t="n">
        <v>3</v>
      </c>
      <c r="BE1113" t="n">
        <v>1127</v>
      </c>
      <c r="BF1113" t="inlineStr">
        <is>
          <t>10.3390/su12031127</t>
        </is>
      </c>
      <c r="BG1113">
        <f>HYPERLINK("http://dx.doi.org/10.3390/su12031127","http://dx.doi.org/10.3390/su12031127")</f>
        <v/>
      </c>
      <c r="BJ1113" t="n">
        <v>14</v>
      </c>
      <c r="BK1113" t="inlineStr">
        <is>
          <t>Green &amp; Sustainable Science &amp; Technology; Environmental Sciences; Environmental Studies</t>
        </is>
      </c>
      <c r="BL1113" t="inlineStr">
        <is>
          <t>Science Citation Index Expanded (SCI-EXPANDED); Social Science Citation Index (SSCI)</t>
        </is>
      </c>
      <c r="BM1113" t="inlineStr">
        <is>
          <t>Science &amp; Technology - Other Topics; Environmental Sciences &amp; Ecology</t>
        </is>
      </c>
      <c r="BN1113" t="inlineStr">
        <is>
          <t>LB8SF</t>
        </is>
      </c>
      <c r="BP1113" t="inlineStr">
        <is>
          <t>Green Published, gold</t>
        </is>
      </c>
      <c r="BS1113" t="inlineStr">
        <is>
          <t>2023-10-26</t>
        </is>
      </c>
      <c r="BT1113" t="inlineStr">
        <is>
          <t>WOS:000524899602014</t>
        </is>
      </c>
      <c r="BU1113">
        <f>HYPERLINK("https%3A%2F%2Fwww.webofscience.com%2Fwos%2Fwoscc%2Ffull-record%2FWOS:000524899602014","View Full Record in Web of Science")</f>
        <v/>
      </c>
    </row>
    <row r="1114">
      <c r="A1114" t="inlineStr">
        <is>
          <t>J</t>
        </is>
      </c>
      <c r="B1114" t="inlineStr">
        <is>
          <t>Sasaki, Y; Shobugawa, Y; Nozaki, I; Takagi, D; Nagamine, Y; Funato, M; Chihara, Y; Shirakura, Y; Lwin, KT; Zin, PE; Bo, TZ; Sone, T; Win, HH</t>
        </is>
      </c>
      <c r="F1114" t="inlineStr">
        <is>
          <t>Sasaki, Yuri; Shobugawa, Yugo; Nozaki, Ikuma; Takagi, Daisuke; Nagamine, Yuiko; Funato, Masafumi; Chihara, Yuki; Shirakura, Yuki; Lwin, Kay Thi; Zin, Poe Ei; Bo, Thae Zarchi; Sone, Tomofumi; Win, Hla Hla</t>
        </is>
      </c>
      <c r="J1114" t="inlineStr">
        <is>
          <t>INTERNATIONAL JOURNAL OF ENVIRONMENTAL RESEARCH AND PUBLIC HEALTH</t>
        </is>
      </c>
      <c r="M1114" t="inlineStr">
        <is>
          <t>English</t>
        </is>
      </c>
      <c r="N1114" t="inlineStr">
        <is>
          <t>Article</t>
        </is>
      </c>
      <c r="T1114" t="inlineStr">
        <is>
          <t>Rural-Urban Differences in the Factors Affecting Depressive Symptoms among Older Adults of Two Regions in Myanmar</t>
        </is>
      </c>
      <c r="U1114" t="inlineStr">
        <is>
          <t>depressive symptom; older adult; urban and rural area; gender differences; Myanmar</t>
        </is>
      </c>
      <c r="V1114" t="inlineStr">
        <is>
          <t>ABBREVIATED MENTAL TEST; GERIATRIC DEPRESSION; SOCIAL SUPPORT; RISK-FACTORS; HEALTH; AREA; INEQUALITIES; PREVALENCE; RELIGION; ANXIETY</t>
        </is>
      </c>
      <c r="W1114" t="inlineStr">
        <is>
          <t>The aim of the study was to investigate rural-urban differences in depressive symptoms in terms of the risk factors among older adults of two regions in Myanmar to provide appropriate intervention for depression depending on local characteristics. This cross-sectional study, conducted between September and December, 2018, used a multistage sampling method to recruit participants from the two regions, for face-to-face interviews. Depressive symptoms were assessed using the 15-item version of the Geriatric Depression Scale (GDS). Depressive symptoms were positively associated with living in rural areas (B = 0.42; 95% confidence interval (CI): 0.12,0.72), female (B = 0.55; 95% CI: 0.31,0.79), illness during the preceding year (B = 0.68; 95% CI: 0.45,0.91) and non-Buddhist religion (B = 0.57; 95% CI: 0.001,1.15) and protectively associated with education to middle school level or higher (B = -0.61; 95% CI: -0.94, -0.28) and the frequency of visits to religious facilities (B = -0.20; 95% CI: -0.30, -0.10). In women in urban areas, depressive symptoms were positively associated with illness during the preceding year (B = 0.78; 95% CI: 0.36, 1.20) and protectively associated with education to middle school level or higher (B = -0.67; 95% CI: -1.23, -0.11), middle or high wealth index (B = -0.92; 95% CI: -1.59, -0.25) and the frequency of visits to religious facilities (B = -0.20; 95% CI: -0.38, -0.03). In men in rural areas, illness during the preceding year was positively associated with depressive symptoms (B = 0.87; 95% CI: 0.33, 1.42). In women in rural areas, depressive symptoms were positively associated with illness during the preceding year (B = 0.83; 95% CI: 0.36, 1.30) and protectively associated with primary education (B = -0.62; 95% CI: -1.12, -0.12) and the frequency of visits to religious facilities (B = -0.44; 95% CI: -0.68, -0.21). Religion and wealth could have different levels of association with depression between older adults in the urban and rural areas and men and women. Interventions for depression in older adults should consider regional and gender differences in the roles of religion and wealth in Myanmar.</t>
        </is>
      </c>
      <c r="X1114" t="inlineStr">
        <is>
          <t>[Sasaki, Yuri] Natl Inst Publ Hlth, Dept Int Hlth &amp; Collaborat, Wako, Saitama 3510197, Japan; [Shobugawa, Yugo; Chihara, Yuki; Shirakura, Yuki] Niigata Univ, Grad Sch Med &amp; Dent Sci, Niigata 9518510, Japan; [Nozaki, Ikuma] Bur Int Hlth Cooperat, Natl Ctr Global Hlth &amp; Med, Tokyo 1628655, Japan; [Takagi, Daisuke] Univ Tokyo, Grad Sch Med, Dept Hlth &amp; Social Behav, Tokyo 1130033, Japan; [Nagamine, Yuiko] Tokyo Med &amp; Dent Univ, Dept Family Med, Tokyo 1138510, Japan; [Funato, Masafumi] Harvard TH Chan Sch Publ Hlth, Boston, MA 02115 USA; [Lwin, Kay Thi; Zin, Poe Ei; Bo, Thae Zarchi; Win, Hla Hla] Univ Med 1, Dept Prevent &amp; Social Med, Yangon 245, Myanmar; [Sone, Tomofumi] Natl Inst Publ Hlth, Wako, Saitama 3510197, Japan</t>
        </is>
      </c>
      <c r="Y1114" t="inlineStr">
        <is>
          <t>National Institute of Public Health - Japan; Niigata University; National Center for Global Health &amp; Medicine - Japan; University of Tokyo; Tokyo Medical &amp; Dental University (TMDU); Harvard University; Harvard T.H. Chan School of Public Health; National Institute of Public Health - Japan</t>
        </is>
      </c>
      <c r="Z1114" t="inlineStr">
        <is>
          <t>Sasaki, Y (corresponding author), Natl Inst Publ Hlth, Dept Int Hlth &amp; Collaborat, Wako, Saitama 3510197, Japan.</t>
        </is>
      </c>
      <c r="AA1114" t="inlineStr">
        <is>
          <t>sasaki.y.aa@niph.go.jp; yugo@med.niigata-u.ac.jp; i-nozaki@it.ncgm.go.jp; dtakagi-utokyo@umin.ac.jp; yuiko.mail@gmail.com; masafumifunato2@gmail.com; nakayu0821@gmail.com; yshira@med.niigata-u.ac.jp; kaythilwin.ktl2@gmail.com; poeeizin1988@gmail.com; thaezarchibo@gmail.com; sone.t.aa@niph.go.jp; prof.hlahlawin@gmail.com</t>
        </is>
      </c>
      <c r="AB1114" t="inlineStr">
        <is>
          <t>Nozaki, Ikuma/U-4909-2019</t>
        </is>
      </c>
      <c r="AC1114" t="inlineStr">
        <is>
          <t>Nozaki, Ikuma/0000-0001-5168-6709; Nagamine, Yuiko/0000-0003-1901-6697; Shirakura, Yuki/0000-0002-6251-5419</t>
        </is>
      </c>
      <c r="AD1114" t="inlineStr">
        <is>
          <t>AMED (Japan Agency for Medical Research and Development) [17984739]; Japan Society for the Promotion of Science [19K19472, 20BA2002]; World Health Organization Kobe Centre for Health Development fund (WHO Kobe Centre-WKC) [K18015]; Grants-in-Aid for Scientific Research [19K19472] Funding Source: KAKEN</t>
        </is>
      </c>
      <c r="AE1114" t="inlineStr">
        <is>
          <t>AMED (Japan Agency for Medical Research and Development)(Japan Agency for Medical Research and Development (AMED)); Japan Society for the Promotion of Science(Ministry of Education, Culture, Sports, Science and Technology, Japan (MEXT)Japan Society for the Promotion of Science); World Health Organization Kobe Centre for Health Development fund (WHO Kobe Centre-WKC); Grants-in-Aid for Scientific Research(Ministry of Education, Culture, Sports, Science and Technology, Japan (MEXT)Japan Society for the Promotion of ScienceGrants-in-Aid for Scientific Research (KAKENHI))</t>
        </is>
      </c>
      <c r="AF1114" t="inlineStr">
        <is>
          <t>This research was funded by AMED (Japan Agency for Medical Research and Development), for the project titled, Development of Health Equity Assessment Tool Based on Social Epidemiological Survey for Older Adults in Myanmar and Malaysia(17984739), Grants in aid for Scientific Research from the Japan Society for the Promotion of Science, for the project titled, Differences in Social Capital Influence on Depression among Older People-A Comparative Study of Three Asian Countries (19K19472) and Grants in aid for Health and Labor Administration Promotion Research Project titled Study on promotion of active and healthy aging in ASEAN (20BA2002). In addition, theWorld Health Organization Kobe Centre for Health Development funded the research as research to accelerate universal health coverage in light of population ageing in ASEAN countries for research titled, Development and Validation of Questionnaire Instrument for Evaluating the Determinants of Health Status and Universal Health Coverage in Older Adults in Selected Population in Myanmar and Malaysia (WHO Kobe Centre-WKC: K18015).</t>
        </is>
      </c>
      <c r="AH1114" t="n">
        <v>63</v>
      </c>
      <c r="AI1114" t="n">
        <v>7</v>
      </c>
      <c r="AJ1114" t="n">
        <v>7</v>
      </c>
      <c r="AK1114" t="n">
        <v>5</v>
      </c>
      <c r="AL1114" t="n">
        <v>11</v>
      </c>
      <c r="AM1114" t="inlineStr">
        <is>
          <t>MDPI</t>
        </is>
      </c>
      <c r="AN1114" t="inlineStr">
        <is>
          <t>BASEL</t>
        </is>
      </c>
      <c r="AO1114" t="inlineStr">
        <is>
          <t>ST ALBAN-ANLAGE 66, CH-4052 BASEL, SWITZERLAND</t>
        </is>
      </c>
      <c r="AQ1114" t="inlineStr">
        <is>
          <t>1660-4601</t>
        </is>
      </c>
      <c r="AS1114" t="inlineStr">
        <is>
          <t>INT J ENV RES PUB HE</t>
        </is>
      </c>
      <c r="AT1114" t="inlineStr">
        <is>
          <t>Int. J. Environ. Res. Public Health</t>
        </is>
      </c>
      <c r="AU1114" t="inlineStr">
        <is>
          <t>MAR</t>
        </is>
      </c>
      <c r="AV1114" t="n">
        <v>2021</v>
      </c>
      <c r="AW1114" t="n">
        <v>18</v>
      </c>
      <c r="AX1114" t="n">
        <v>6</v>
      </c>
      <c r="BE1114" t="n">
        <v>2818</v>
      </c>
      <c r="BF1114" t="inlineStr">
        <is>
          <t>10.3390/ijerph18062818</t>
        </is>
      </c>
      <c r="BG1114">
        <f>HYPERLINK("http://dx.doi.org/10.3390/ijerph18062818","http://dx.doi.org/10.3390/ijerph18062818")</f>
        <v/>
      </c>
      <c r="BJ1114" t="n">
        <v>12</v>
      </c>
      <c r="BK1114" t="inlineStr">
        <is>
          <t>Environmental Sciences; Public, Environmental &amp; Occupational Health</t>
        </is>
      </c>
      <c r="BL1114" t="inlineStr">
        <is>
          <t>Science Citation Index Expanded (SCI-EXPANDED); Social Science Citation Index (SSCI)</t>
        </is>
      </c>
      <c r="BM1114" t="inlineStr">
        <is>
          <t>Environmental Sciences &amp; Ecology; Public, Environmental &amp; Occupational Health</t>
        </is>
      </c>
      <c r="BN1114" t="inlineStr">
        <is>
          <t>RL8KA</t>
        </is>
      </c>
      <c r="BO1114" t="n">
        <v>33802054</v>
      </c>
      <c r="BP1114" t="inlineStr">
        <is>
          <t>gold, Green Published</t>
        </is>
      </c>
      <c r="BS1114" t="inlineStr">
        <is>
          <t>2023-10-26</t>
        </is>
      </c>
      <c r="BT1114" t="inlineStr">
        <is>
          <t>WOS:000639213600001</t>
        </is>
      </c>
      <c r="BU1114">
        <f>HYPERLINK("https%3A%2F%2Fwww.webofscience.com%2Fwos%2Fwoscc%2Ffull-record%2FWOS:000639213600001","View Full Record in Web of Science")</f>
        <v/>
      </c>
    </row>
    <row r="1115">
      <c r="A1115" t="inlineStr">
        <is>
          <t>J</t>
        </is>
      </c>
      <c r="B1115" t="inlineStr">
        <is>
          <t>de Matos, DG; de Santana, JL; Mendelson, AA; Duhamel, TA; Villar, R</t>
        </is>
      </c>
      <c r="F1115" t="inlineStr">
        <is>
          <t>de Matos, Dihogo Gama; de Santana, Jefferson Lima; Mendelson, Asher A.; Duhamel, Todd A.; Villar, Rodrigo</t>
        </is>
      </c>
      <c r="J1115" t="inlineStr">
        <is>
          <t>INTERNATIONAL JOURNAL OF ENVIRONMENTAL RESEARCH AND PUBLIC HEALTH</t>
        </is>
      </c>
      <c r="M1115" t="inlineStr">
        <is>
          <t>English</t>
        </is>
      </c>
      <c r="N1115" t="inlineStr">
        <is>
          <t>Article</t>
        </is>
      </c>
      <c r="T1115" t="inlineStr">
        <is>
          <t>Integrated Dynamic Autonomic and Cardiovascular Regulation during Postural Transitions in Older Adults Living with Frailty: A Systematic Review Protocol</t>
        </is>
      </c>
      <c r="U1115" t="inlineStr">
        <is>
          <t>older adults; frailty; dysautonomia; cardiovascular dysfunction; postural transition</t>
        </is>
      </c>
      <c r="V1115" t="inlineStr">
        <is>
          <t>ORTHOSTATIC HYPOTENSION; DIAGNOSIS</t>
        </is>
      </c>
      <c r="W1115" t="inlineStr">
        <is>
          <t>Older adults often experience episodes of a sudden drop in blood pressure when standing, known as orthostatic hypotension (OH). OH is associated with an increased risk of life-threatening health problems, falls, and death. Although OH has been studied in older adults, the integrated dynamic autonomic and cardiovascular regulation during postural transitions in older adults with frailty remains scarce and poorly understood. The primary aim of this systematic review is to determine the association between how active (e.g., lie-to-stand) and passive (head-up tilt) postural transitions affect the dynamic integrated autonomic and cardiovascular regulatory responses, comparing older adults with different levels of frailty (non-frail, pre-frail, or frail). A second aim is to perform a meta-analysis to compare autonomic and cardiovascular responses during active postural transitions in non-frail, pre-frail, and frail older adults. The systematic review will be outlined according to the Preferred Reporting Items for Systematic Review and Meta-Analysis Protocols. The meta-analysis will generate estimates of the comparative autonomic and cardiovascular responses after active postural transitions in adults who are non-frail, pre-frail, and frail. This systematic review will provide critical information on how integrated dynamic autonomic and cardiovascular regulation occurs during postural transitions in older adults with different frailty statuses.</t>
        </is>
      </c>
      <c r="X1115" t="inlineStr">
        <is>
          <t>[de Matos, Dihogo Gama; de Santana, Jefferson Lima; Villar, Rodrigo] Univ Manitoba, Fac Kinesiol &amp; Recreat Management, Cardioresp &amp; Physiol Exercise Res Lab, Winnipeg, MB R3T 2N2, Canada; [Mendelson, Asher A.] Univ Manitoba, Rady Fac Hlth Sci, Dept Med, Sect Crit Care, Winnipeg, MB R3E 0W2, Canada; [Duhamel, Todd A.] Univ Manitoba, Fac Kinesiol &amp; Recreat Management, Winnipeg, MB R3T 2N2, Canada; [Duhamel, Todd A.] St Boniface Gen Hosp Albrechtsen Res Ctr, Inst Cardiovasc Sci, Winnipeg, MB R2H 2A6, Canada</t>
        </is>
      </c>
      <c r="Y1115" t="inlineStr">
        <is>
          <t>University of Manitoba; University of Manitoba; University of Manitoba</t>
        </is>
      </c>
      <c r="Z1115" t="inlineStr">
        <is>
          <t>Villar, R (corresponding author), Univ Manitoba, Fac Kinesiol &amp; Recreat Management, Cardioresp &amp; Physiol Exercise Res Lab, Winnipeg, MB R3T 2N2, Canada.</t>
        </is>
      </c>
      <c r="AA1115" t="inlineStr">
        <is>
          <t>rodrigo.villar@umanitoba.ca</t>
        </is>
      </c>
      <c r="AB1115" t="inlineStr">
        <is>
          <t>Villar, Rodrigo/HOC-8108-2023; Duhamel, Todd/F-4433-2017</t>
        </is>
      </c>
      <c r="AC1115" t="inlineStr">
        <is>
          <t>Lima de Santana, Jefferson/0000-0002-4401-731X; Villar, Rodrigo/0000-0001-8568-3346; Duhamel, Todd/0000-0001-8467-4800; Mendelson, Asher/0000-0003-2108-4752</t>
        </is>
      </c>
      <c r="AD1115" t="inlineStr">
        <is>
          <t>University Research Grants Program [URGP: 324102-350000-2000]; Jack MacDonell Scholarship for Research in Aging, Centre on Aging at the University of Manitoba</t>
        </is>
      </c>
      <c r="AE1115" t="inlineStr">
        <is>
          <t>University Research Grants Program; Jack MacDonell Scholarship for Research in Aging, Centre on Aging at the University of Manitoba</t>
        </is>
      </c>
      <c r="AF1115" t="inlineStr">
        <is>
          <t>This research was supported by the University Research Grants Program (URGP: 324102-350000-2000) and the Jack MacDonell Scholarship for Research in Aging, Centre on Aging at the University of Manitoba.</t>
        </is>
      </c>
      <c r="AH1115" t="n">
        <v>49</v>
      </c>
      <c r="AI1115" t="n">
        <v>0</v>
      </c>
      <c r="AJ1115" t="n">
        <v>0</v>
      </c>
      <c r="AK1115" t="n">
        <v>1</v>
      </c>
      <c r="AL1115" t="n">
        <v>1</v>
      </c>
      <c r="AM1115" t="inlineStr">
        <is>
          <t>MDPI</t>
        </is>
      </c>
      <c r="AN1115" t="inlineStr">
        <is>
          <t>BASEL</t>
        </is>
      </c>
      <c r="AO1115" t="inlineStr">
        <is>
          <t>ST ALBAN-ANLAGE 66, CH-4052 BASEL, SWITZERLAND</t>
        </is>
      </c>
      <c r="AQ1115" t="inlineStr">
        <is>
          <t>1660-4601</t>
        </is>
      </c>
      <c r="AS1115" t="inlineStr">
        <is>
          <t>INT J ENV RES PUB HE</t>
        </is>
      </c>
      <c r="AT1115" t="inlineStr">
        <is>
          <t>Int. J. Environ. Res. Public Health</t>
        </is>
      </c>
      <c r="AU1115" t="inlineStr">
        <is>
          <t>JAN</t>
        </is>
      </c>
      <c r="AV1115" t="n">
        <v>2023</v>
      </c>
      <c r="AW1115" t="n">
        <v>20</v>
      </c>
      <c r="AX1115" t="n">
        <v>1</v>
      </c>
      <c r="BE1115" t="n">
        <v>566</v>
      </c>
      <c r="BF1115" t="inlineStr">
        <is>
          <t>10.3390/ijerph20010566</t>
        </is>
      </c>
      <c r="BG1115">
        <f>HYPERLINK("http://dx.doi.org/10.3390/ijerph20010566","http://dx.doi.org/10.3390/ijerph20010566")</f>
        <v/>
      </c>
      <c r="BJ1115" t="n">
        <v>12</v>
      </c>
      <c r="BK1115" t="inlineStr">
        <is>
          <t>Environmental Sciences; Public, Environmental &amp; Occupational Health</t>
        </is>
      </c>
      <c r="BL1115" t="inlineStr">
        <is>
          <t>Science Citation Index Expanded (SCI-EXPANDED); Social Science Citation Index (SSCI)</t>
        </is>
      </c>
      <c r="BM1115" t="inlineStr">
        <is>
          <t>Environmental Sciences &amp; Ecology; Public, Environmental &amp; Occupational Health</t>
        </is>
      </c>
      <c r="BN1115" t="inlineStr">
        <is>
          <t>8D3OZ</t>
        </is>
      </c>
      <c r="BO1115" t="n">
        <v>36612888</v>
      </c>
      <c r="BP1115" t="inlineStr">
        <is>
          <t>Green Published, gold</t>
        </is>
      </c>
      <c r="BS1115" t="inlineStr">
        <is>
          <t>2023-10-26</t>
        </is>
      </c>
      <c r="BT1115" t="inlineStr">
        <is>
          <t>WOS:000918207800001</t>
        </is>
      </c>
      <c r="BU1115">
        <f>HYPERLINK("https%3A%2F%2Fwww.webofscience.com%2Fwos%2Fwoscc%2Ffull-record%2FWOS:000918207800001","View Full Record in Web of Science")</f>
        <v/>
      </c>
    </row>
    <row r="1116">
      <c r="A1116" t="inlineStr">
        <is>
          <t>J</t>
        </is>
      </c>
      <c r="B1116" t="inlineStr">
        <is>
          <t>Schorr, AV; Yehuda, I; Tamir, S</t>
        </is>
      </c>
      <c r="F1116" t="inlineStr">
        <is>
          <t>Vitman Schorr, Adi; Yehuda, Itamar; Tamir, Snait</t>
        </is>
      </c>
      <c r="J1116" t="inlineStr">
        <is>
          <t>INTERNATIONAL JOURNAL OF ENVIRONMENTAL RESEARCH AND PUBLIC HEALTH</t>
        </is>
      </c>
      <c r="M1116" t="inlineStr">
        <is>
          <t>English</t>
        </is>
      </c>
      <c r="N1116" t="inlineStr">
        <is>
          <t>Article</t>
        </is>
      </c>
      <c r="T1116" t="inlineStr">
        <is>
          <t>Loneliness, Malnutrition and Change in Subjective Age among Older Adults during COVID-19 Pandemic</t>
        </is>
      </c>
      <c r="U1116" t="inlineStr">
        <is>
          <t>feelings of loneliness; subjective age; malnutrition; COVID-19; older adults</t>
        </is>
      </c>
      <c r="V1116" t="inlineStr">
        <is>
          <t>MEMORY PERFORMANCE; MENTAL-HEALTH; UNITED-STATES; RISK-FACTORS; LIFE-SPAN; DEPRESSION; STRESS; METAANALYSIS; PREVALENCE; DISABILITY</t>
        </is>
      </c>
      <c r="W1116" t="inlineStr">
        <is>
          <t>Objectives: We examined the effect of loneliness and the role of two mediating factors, depressive symptoms and malnutrition on subjective age among older adults during the 2020 COVID-19 pandemic, and explored how the pandemic is affecting subjective age. Design: A convenience sample of 201 older adults aged 65 and over was interviewed. Using bootstrapping, we tested the strength and significance of the indirect effect of depressive symptoms and malnutrition (mediators) on the relationship between feelings of loneliness and subjective age. Results: The relationship between feelings of loneliness and subjective age during the COVID-19 pandemic was mediated by malnutrition, but not by depressive symptoms. In addition, the participants felt older during the COVID-19 pandemic compared with the preceding period. Conclusions: An association was found among feelings of loneliness, malnutrition, and subjective age. To overcome these feelings in times of crisis like the pandemic, it is essential to develop new communication methods (technologies for managing and addressing the needs of the older population; technologies to encourage social engagement, and technologies for managing and providing remote medical services) for and with older adults that are effective in reducing loneliness, and to promote good nutrition. Possible practical solutions include new social network technologies for reducing loneliness combined with continued reliance on phone communication as an intervention of psychological support to promote a healthy lifestyle and prevent malnutrition.</t>
        </is>
      </c>
      <c r="X1116" t="inlineStr">
        <is>
          <t>[Vitman Schorr, Adi; Yehuda, Itamar] Univ Haifa, Shamir Res Inst, IL-1290000 Katsrin, Israel; [Yehuda, Itamar; Tamir, Snait] Tel Hai Coll, Fac Sci &amp; Technol, IL-1220800 Upper Galilee, Israel; [Tamir, Snait] MIGAL Galilee Res Inst, Lab Human Hlth &amp; Nutr Sci, IL-11016 Kiryat Shmona, Israel</t>
        </is>
      </c>
      <c r="Y1116" t="inlineStr">
        <is>
          <t>University of Haifa; Tel Hai Academy College</t>
        </is>
      </c>
      <c r="Z1116" t="inlineStr">
        <is>
          <t>Schorr, AV (corresponding author), Univ Haifa, Shamir Res Inst, IL-1290000 Katsrin, Israel.</t>
        </is>
      </c>
      <c r="AA1116" t="inlineStr">
        <is>
          <t>adivitman@gmail.com; itamary@telhai.ac.il; snait@telhai.ac.il</t>
        </is>
      </c>
      <c r="AC1116" t="inlineStr">
        <is>
          <t>Tamir, Snait/0000-0002-7473-7369</t>
        </is>
      </c>
      <c r="AD1116" t="inlineStr">
        <is>
          <t>Tel Hai academic college [3/2020-5]; Tel Hai academic college</t>
        </is>
      </c>
      <c r="AE1116" t="inlineStr">
        <is>
          <t>Tel Hai academic college; Tel Hai academic college</t>
        </is>
      </c>
      <c r="AF1116" t="inlineStr">
        <is>
          <t>This research was funded by Tel Hai academic college grant number 3/2020-5 and the APC was funded by Tel Hai academic college.</t>
        </is>
      </c>
      <c r="AH1116" t="n">
        <v>77</v>
      </c>
      <c r="AI1116" t="n">
        <v>10</v>
      </c>
      <c r="AJ1116" t="n">
        <v>10</v>
      </c>
      <c r="AK1116" t="n">
        <v>4</v>
      </c>
      <c r="AL1116" t="n">
        <v>34</v>
      </c>
      <c r="AM1116" t="inlineStr">
        <is>
          <t>MDPI</t>
        </is>
      </c>
      <c r="AN1116" t="inlineStr">
        <is>
          <t>BASEL</t>
        </is>
      </c>
      <c r="AO1116" t="inlineStr">
        <is>
          <t>ST ALBAN-ANLAGE 66, CH-4052 BASEL, SWITZERLAND</t>
        </is>
      </c>
      <c r="AQ1116" t="inlineStr">
        <is>
          <t>1660-4601</t>
        </is>
      </c>
      <c r="AS1116" t="inlineStr">
        <is>
          <t>INT J ENV RES PUB HE</t>
        </is>
      </c>
      <c r="AT1116" t="inlineStr">
        <is>
          <t>Int. J. Environ. Res. Public Health</t>
        </is>
      </c>
      <c r="AU1116" t="inlineStr">
        <is>
          <t>JAN</t>
        </is>
      </c>
      <c r="AV1116" t="n">
        <v>2021</v>
      </c>
      <c r="AW1116" t="n">
        <v>18</v>
      </c>
      <c r="AX1116" t="n">
        <v>1</v>
      </c>
      <c r="BE1116" t="n">
        <v>106</v>
      </c>
      <c r="BF1116" t="inlineStr">
        <is>
          <t>10.3390/ijerph18010106</t>
        </is>
      </c>
      <c r="BG1116">
        <f>HYPERLINK("http://dx.doi.org/10.3390/ijerph18010106","http://dx.doi.org/10.3390/ijerph18010106")</f>
        <v/>
      </c>
      <c r="BJ1116" t="n">
        <v>13</v>
      </c>
      <c r="BK1116" t="inlineStr">
        <is>
          <t>Environmental Sciences; Public, Environmental &amp; Occupational Health</t>
        </is>
      </c>
      <c r="BL1116" t="inlineStr">
        <is>
          <t>Science Citation Index Expanded (SCI-EXPANDED); Social Science Citation Index (SSCI)</t>
        </is>
      </c>
      <c r="BM1116" t="inlineStr">
        <is>
          <t>Environmental Sciences &amp; Ecology; Public, Environmental &amp; Occupational Health</t>
        </is>
      </c>
      <c r="BN1116" t="inlineStr">
        <is>
          <t>PP8EL</t>
        </is>
      </c>
      <c r="BO1116" t="n">
        <v>33375219</v>
      </c>
      <c r="BP1116" t="inlineStr">
        <is>
          <t>Green Published, gold</t>
        </is>
      </c>
      <c r="BS1116" t="inlineStr">
        <is>
          <t>2023-10-26</t>
        </is>
      </c>
      <c r="BT1116" t="inlineStr">
        <is>
          <t>WOS:000606089200001</t>
        </is>
      </c>
      <c r="BU1116">
        <f>HYPERLINK("https%3A%2F%2Fwww.webofscience.com%2Fwos%2Fwoscc%2Ffull-record%2FWOS:000606089200001","View Full Record in Web of Science")</f>
        <v/>
      </c>
    </row>
    <row r="1117">
      <c r="A1117" t="inlineStr">
        <is>
          <t>J</t>
        </is>
      </c>
      <c r="B1117" t="inlineStr">
        <is>
          <t>Pandiaraj, S; Jaffar, AA; Muthusamy, S; Panchal, H; Pandiyan, S</t>
        </is>
      </c>
      <c r="F1117" t="inlineStr">
        <is>
          <t>Pandiaraj, Selvakumar; Abdul Jaffar, Abubakkar; Muthusamy, Suresh; Panchal, Hitesh; Pandiyan, Santhiya</t>
        </is>
      </c>
      <c r="J1117" t="inlineStr">
        <is>
          <t>ENERGY SOURCES PART A-RECOVERY UTILIZATION AND ENVIRONMENTAL EFFECTS</t>
        </is>
      </c>
      <c r="M1117" t="inlineStr">
        <is>
          <t>English</t>
        </is>
      </c>
      <c r="N1117" t="inlineStr">
        <is>
          <t>Article</t>
        </is>
      </c>
      <c r="T1117" t="inlineStr">
        <is>
          <t>A study of solar heat gain variation in building applied photovoltaic buildings and its impact on environment and indoor air quality</t>
        </is>
      </c>
      <c r="U1117" t="inlineStr">
        <is>
          <t>Solar heat gain; building applied photovoltaic; radiant time series method; sustainability; indoor air quality</t>
        </is>
      </c>
      <c r="V1117" t="inlineStr">
        <is>
          <t>THERMAL PERFORMANCE; COOLING LOADS; ROOF; ALBEDO; OFFICES; COMFORT</t>
        </is>
      </c>
      <c r="W1117" t="inlineStr">
        <is>
          <t>The solar heat gain is a significant factor to be considered while designing sustainable Heating Ventilation and Air-Conditioning system for the working rooms in the future. By installing photovoltaics on rooftop, building can be insulated from heat and the cooling load requirement for the rooms can be reduced significantly. Advantages of building applied photovoltaic systems for building insulation are justified by means of measurements and modeling. Thermal and air quality measurements outside and inside rooms of similar area, under different types of PV arrays are observed and the phenomenon of solar heat gain is studied. The experiment was conducted in Perundurai, Tamil Nadu, India, in the months of February and March of 2019. Thermal infrared imaging data for room ceilings showed a reduction of up to 2.5 degrees C under PV array compared to those with open roof. Computer simulations indicated significant differences in temperature, between ceilings covered by PV array and ceilings with open rooftop. The relative humidity inside the rooms covered by PV arrays is 10% higher as compared to rooms with open rooftop. Due to the installed 100 kW(e) solar photovoltaic plant, emission of nearly 100 kg CO2 is reduced per day. There is a reduction in 28.5% CO2 inside the room with elevated PV panels at the roof top compared to room without PV panels.</t>
        </is>
      </c>
      <c r="X1117" t="inlineStr">
        <is>
          <t>[Pandiaraj, Selvakumar; Abdul Jaffar, Abubakkar] Kongu Engn Coll Autonomous, Dept Mech Engn, Perundurai, Erode, India; [Muthusamy, Suresh] Kongu Engn Coll Autonomous, Dept Elect &amp; Commun Engn, Perundurai, Erode, India; [Panchal, Hitesh] Govt Engn Coll, Dept Mech Engn, Patan, India; [Pandiyan, Santhiya] Kongu Engn Coll Autonomous, Dept Comp Sci &amp; Engn, Perundurai, Erode, India</t>
        </is>
      </c>
      <c r="Y1117" t="inlineStr">
        <is>
          <t>Kongu Engineering College; Kongu Engineering College; Kongu Engineering College</t>
        </is>
      </c>
      <c r="Z1117" t="inlineStr">
        <is>
          <t>Pandiaraj, S (corresponding author), Kongu Engn Coll Autonomous, Dept Mech Engn, Perundurai, Erode, India.;Muthusamy, S (corresponding author), Kongu Engn Coll Autonomous, Dept Elect &amp; Commun Engn, Perundurai, Erode, India.</t>
        </is>
      </c>
      <c r="AA1117" t="inlineStr">
        <is>
          <t>kecselvakumarp@gmail.com; infostosuresh@gmail.com</t>
        </is>
      </c>
      <c r="AB1117" t="inlineStr">
        <is>
          <t>P, Selvakumar/D-5373-2018; Dr. Hitesh, Panchal/Q-1778-2016; Muthusamy, Suresh/AAL-7258-2020</t>
        </is>
      </c>
      <c r="AC1117" t="inlineStr">
        <is>
          <t>P, Selvakumar/0000-0002-4197-9986; Dr. Hitesh, Panchal/0000-0002-3787-9712; Muthusamy, Suresh/0000-0002-9156-2054; Pandiyan, Santhiya/0000-0002-7815-0821</t>
        </is>
      </c>
      <c r="AD1117" t="inlineStr">
        <is>
          <t>Department of Mechanical Engineering, Kongu Engineering College</t>
        </is>
      </c>
      <c r="AE1117" t="inlineStr">
        <is>
          <t>Department of Mechanical Engineering, Kongu Engineering College</t>
        </is>
      </c>
      <c r="AF1117" t="inlineStr">
        <is>
          <t>This work was supported by the Department of Mechanical Engineering, Kongu Engineering College. The instruments for conducting the study were provided by the personnel of Heat Transfer Laboratory, and we convey our gratitude to them.</t>
        </is>
      </c>
      <c r="AH1117" t="n">
        <v>39</v>
      </c>
      <c r="AI1117" t="n">
        <v>4</v>
      </c>
      <c r="AJ1117" t="n">
        <v>4</v>
      </c>
      <c r="AK1117" t="n">
        <v>3</v>
      </c>
      <c r="AL1117" t="n">
        <v>5</v>
      </c>
      <c r="AM1117" t="inlineStr">
        <is>
          <t>TAYLOR &amp; FRANCIS INC</t>
        </is>
      </c>
      <c r="AN1117" t="inlineStr">
        <is>
          <t>PHILADELPHIA</t>
        </is>
      </c>
      <c r="AO1117" t="inlineStr">
        <is>
          <t>530 WALNUT STREET, STE 850, PHILADELPHIA, PA 19106 USA</t>
        </is>
      </c>
      <c r="AP1117" t="inlineStr">
        <is>
          <t>1556-7036</t>
        </is>
      </c>
      <c r="AQ1117" t="inlineStr">
        <is>
          <t>1556-7230</t>
        </is>
      </c>
      <c r="AS1117" t="inlineStr">
        <is>
          <t>ENERG SOURCE PART A</t>
        </is>
      </c>
      <c r="AT1117" t="inlineStr">
        <is>
          <t>Energy Sources Part A-Recovery Util. Environ. Eff.</t>
        </is>
      </c>
      <c r="AU1117" t="inlineStr">
        <is>
          <t>SEP 14</t>
        </is>
      </c>
      <c r="AV1117" t="n">
        <v>2022</v>
      </c>
      <c r="AW1117" t="n">
        <v>44</v>
      </c>
      <c r="AX1117" t="n">
        <v>3</v>
      </c>
      <c r="BC1117" t="n">
        <v>6192</v>
      </c>
      <c r="BD1117" t="n">
        <v>6212</v>
      </c>
      <c r="BF1117" t="inlineStr">
        <is>
          <t>10.1080/15567036.2022.2096725</t>
        </is>
      </c>
      <c r="BG1117">
        <f>HYPERLINK("http://dx.doi.org/10.1080/15567036.2022.2096725","http://dx.doi.org/10.1080/15567036.2022.2096725")</f>
        <v/>
      </c>
      <c r="BJ1117" t="n">
        <v>21</v>
      </c>
      <c r="BK1117" t="inlineStr">
        <is>
          <t>Energy &amp; Fuels; Engineering, Chemical; Environmental Sciences</t>
        </is>
      </c>
      <c r="BL1117" t="inlineStr">
        <is>
          <t>Science Citation Index Expanded (SCI-EXPANDED)</t>
        </is>
      </c>
      <c r="BM1117" t="inlineStr">
        <is>
          <t>Energy &amp; Fuels; Engineering; Environmental Sciences &amp; Ecology</t>
        </is>
      </c>
      <c r="BN1117" t="inlineStr">
        <is>
          <t>2U5YW</t>
        </is>
      </c>
      <c r="BS1117" t="inlineStr">
        <is>
          <t>2023-10-26</t>
        </is>
      </c>
      <c r="BT1117" t="inlineStr">
        <is>
          <t>WOS:000823236900001</t>
        </is>
      </c>
      <c r="BU1117">
        <f>HYPERLINK("https%3A%2F%2Fwww.webofscience.com%2Fwos%2Fwoscc%2Ffull-record%2FWOS:000823236900001","View Full Record in Web of Science")</f>
        <v/>
      </c>
    </row>
    <row r="1118">
      <c r="A1118" t="inlineStr">
        <is>
          <t>J</t>
        </is>
      </c>
      <c r="B1118" t="inlineStr">
        <is>
          <t>Rollings, KA; Bollo, CS</t>
        </is>
      </c>
      <c r="F1118" t="inlineStr">
        <is>
          <t>Rollings, Kimberly A.; Bollo, Christina S.</t>
        </is>
      </c>
      <c r="J1118" t="inlineStr">
        <is>
          <t>INTERNATIONAL JOURNAL OF ENVIRONMENTAL RESEARCH AND PUBLIC HEALTH</t>
        </is>
      </c>
      <c r="M1118" t="inlineStr">
        <is>
          <t>English</t>
        </is>
      </c>
      <c r="N1118" t="inlineStr">
        <is>
          <t>Review</t>
        </is>
      </c>
      <c r="T1118" t="inlineStr">
        <is>
          <t>Permanent Supportive Housing Design Characteristics Associated with the Mental Health of Formerly Homeless Adults in the US and Canada: An Integrative Review</t>
        </is>
      </c>
      <c r="U1118" t="inlineStr">
        <is>
          <t>homelessness; permanent supportive housing; Housing First; Treatment First; mental health; behavioral health; built environment; architecture; design; integrative review</t>
        </is>
      </c>
      <c r="V1118" t="inlineStr">
        <is>
          <t>QUALITY-OF-LIFE; BUILT ENVIRONMENT; 1ST; COMMUNITY; ILLNESS; PEOPLE; IMPACT; SATISFACTION; ARCHITECTURE; EXPERIENCE</t>
        </is>
      </c>
      <c r="W1118" t="inlineStr">
        <is>
          <t>The built environment directly and indirectly affects mental health, especially for people transitioning from long-term homelessness to permanent supportive housing (PSH) who often experience co-occurring behavioral health challenges. Despite a rapid increase in PSH availability, little research examines influences of architecture and design within this context. This integrative review synthesized limited research on PSH design in the U.S. and Canada to identify built environment characteristics associated with PSH residents' mental health, highlight gaps in the literature, and prioritize future research directions. A systematic search for peer-reviewed articles was conducted using nine databases drawing from multiple disciplines including architecture, environmental psychology, interior design, psychology, psychiatry, medicine, and nursing. Seventeen articles met inclusion criteria. Study design, methodology, built environment properties, place attributes, and relevant findings were extracted and iteratively analyzed. Three domains relevant to architecture and design were identified related to home, ontological security, and trauma sensitivity; dwelling unit type, privacy, control, safety, housing quality and location, and access to amenities; and shared common space. Integrative review results emphasize the potential of architecture and design to contribute to improved built environment quality and mental health outcomes among PSH residents. Methodological limitations and directions for future research are also discussed.</t>
        </is>
      </c>
      <c r="X1118" t="inlineStr">
        <is>
          <t>[Rollings, Kimberly A.] Univ Notre Dame, Sch Architecture, Dept Psychol, Notre Dame, IN 46556 USA; [Rollings, Kimberly A.] Univ Michigan, Inst Healthcare Policy &amp; Innovat, Hlth &amp; Design Fellowship Program, Ann Arbor, MI 48109 USA; [Bollo, Christina S.] Univ Illinois, Sch Architecture, Urbana, IL 61820 USA</t>
        </is>
      </c>
      <c r="Y1118" t="inlineStr">
        <is>
          <t>University of Notre Dame; University of Michigan System; University of Michigan; University of Illinois System; University of Illinois Urbana-Champaign</t>
        </is>
      </c>
      <c r="Z1118" t="inlineStr">
        <is>
          <t>Rollings, KA (corresponding author), Univ Notre Dame, Sch Architecture, Dept Psychol, Notre Dame, IN 46556 USA.;Rollings, KA (corresponding author), Univ Michigan, Inst Healthcare Policy &amp; Innovat, Hlth &amp; Design Fellowship Program, Ann Arbor, MI 48109 USA.</t>
        </is>
      </c>
      <c r="AA1118" t="inlineStr">
        <is>
          <t>kirollin@umich.edu; cbollo@illinois.edu</t>
        </is>
      </c>
      <c r="AB1118" t="inlineStr">
        <is>
          <t>Bollo, Christina/JHU-7274-2023; Rollings, Kimberly/K-2393-2016</t>
        </is>
      </c>
      <c r="AC1118" t="inlineStr">
        <is>
          <t>Rollings, Kimberly/0000-0002-3091-3340; Bollo, Christina/0000-0001-9241-2923</t>
        </is>
      </c>
      <c r="AD1118" t="inlineStr">
        <is>
          <t>University of Notre Dame School of Architecture</t>
        </is>
      </c>
      <c r="AE1118" t="inlineStr">
        <is>
          <t>University of Notre Dame School of Architecture</t>
        </is>
      </c>
      <c r="AF1118" t="inlineStr">
        <is>
          <t>This research was supported by the University of Notre Dame School of Architecture where K.R. was employed while completing most of her work on this paper.</t>
        </is>
      </c>
      <c r="AH1118" t="n">
        <v>119</v>
      </c>
      <c r="AI1118" t="n">
        <v>8</v>
      </c>
      <c r="AJ1118" t="n">
        <v>8</v>
      </c>
      <c r="AK1118" t="n">
        <v>5</v>
      </c>
      <c r="AL1118" t="n">
        <v>27</v>
      </c>
      <c r="AM1118" t="inlineStr">
        <is>
          <t>MDPI</t>
        </is>
      </c>
      <c r="AN1118" t="inlineStr">
        <is>
          <t>BASEL</t>
        </is>
      </c>
      <c r="AO1118" t="inlineStr">
        <is>
          <t>ST ALBAN-ANLAGE 66, CH-4052 BASEL, SWITZERLAND</t>
        </is>
      </c>
      <c r="AQ1118" t="inlineStr">
        <is>
          <t>1660-4601</t>
        </is>
      </c>
      <c r="AS1118" t="inlineStr">
        <is>
          <t>INT J ENV RES PUB HE</t>
        </is>
      </c>
      <c r="AT1118" t="inlineStr">
        <is>
          <t>Int. J. Environ. Res. Public Health</t>
        </is>
      </c>
      <c r="AU1118" t="inlineStr">
        <is>
          <t>SEP</t>
        </is>
      </c>
      <c r="AV1118" t="n">
        <v>2021</v>
      </c>
      <c r="AW1118" t="n">
        <v>18</v>
      </c>
      <c r="AX1118" t="n">
        <v>18</v>
      </c>
      <c r="BE1118" t="n">
        <v>9588</v>
      </c>
      <c r="BF1118" t="inlineStr">
        <is>
          <t>10.3390/ijerph18189588</t>
        </is>
      </c>
      <c r="BG1118">
        <f>HYPERLINK("http://dx.doi.org/10.3390/ijerph18189588","http://dx.doi.org/10.3390/ijerph18189588")</f>
        <v/>
      </c>
      <c r="BJ1118" t="n">
        <v>37</v>
      </c>
      <c r="BK1118" t="inlineStr">
        <is>
          <t>Environmental Sciences; Public, Environmental &amp; Occupational Health</t>
        </is>
      </c>
      <c r="BL1118" t="inlineStr">
        <is>
          <t>Science Citation Index Expanded (SCI-EXPANDED); Social Science Citation Index (SSCI)</t>
        </is>
      </c>
      <c r="BM1118" t="inlineStr">
        <is>
          <t>Environmental Sciences &amp; Ecology; Public, Environmental &amp; Occupational Health</t>
        </is>
      </c>
      <c r="BN1118" t="inlineStr">
        <is>
          <t>UV7JK</t>
        </is>
      </c>
      <c r="BO1118" t="n">
        <v>34574513</v>
      </c>
      <c r="BP1118" t="inlineStr">
        <is>
          <t>Green Published, gold</t>
        </is>
      </c>
      <c r="BS1118" t="inlineStr">
        <is>
          <t>2023-10-26</t>
        </is>
      </c>
      <c r="BT1118" t="inlineStr">
        <is>
          <t>WOS:000699649500001</t>
        </is>
      </c>
      <c r="BU1118">
        <f>HYPERLINK("https%3A%2F%2Fwww.webofscience.com%2Fwos%2Fwoscc%2Ffull-record%2FWOS:000699649500001","View Full Record in Web of Science")</f>
        <v/>
      </c>
    </row>
    <row r="1119">
      <c r="A1119" t="inlineStr">
        <is>
          <t>J</t>
        </is>
      </c>
      <c r="B1119" t="inlineStr">
        <is>
          <t>Bao, GS; Chen, S; Espeso, LA</t>
        </is>
      </c>
      <c r="F1119" t="inlineStr">
        <is>
          <t>Bao, Gaoshan; Chen, Sheng; Espeso, Lorna A.</t>
        </is>
      </c>
      <c r="J1119" t="inlineStr">
        <is>
          <t>FRESENIUS ENVIRONMENTAL BULLETIN</t>
        </is>
      </c>
      <c r="M1119" t="inlineStr">
        <is>
          <t>English</t>
        </is>
      </c>
      <c r="N1119" t="inlineStr">
        <is>
          <t>Article</t>
        </is>
      </c>
      <c r="T1119" t="inlineStr">
        <is>
          <t>THE INFLUENCE OF INDOOR AMBIENT AIR QUALITY ON RELATED BLOOD INDEXES OF BODYBUILDERS WITH DIFFERENT INTENSITIES</t>
        </is>
      </c>
      <c r="U1119" t="inlineStr">
        <is>
          <t>Indoor environment; air quality; fitness; blood indicators; impact</t>
        </is>
      </c>
      <c r="V1119" t="inlineStr">
        <is>
          <t>OZONE; EXERCISE</t>
        </is>
      </c>
      <c r="W1119" t="inlineStr">
        <is>
          <t>The speed of urbanization in China is accelerating, and urban residents' pursuit of health is getting higher and higher. Many fitness enthusiasts are more willing to train in an indoor environment to improve the basis of sports standards for various physical indicators. Indoor ambient air quality has a certain impact on the health of the builders. According to the different standards and differences of indoor ambient air quality, we analyze and evaluate the blood indicators of exercisers of different intensities, and propose an analysis of the influence of changes in indoor environmental air quality on the changes of exercisers' blood indexes. We select 48 fitness athletes as the research objects and divide them into four ABCD groups. The ABC group all exercise in an environment with normal, poor, and bad indoor ambient air quality, and the D group is a clean indoor ambient air quality training. We compare the results of the 4 groups and observe the changes in blood indexes. The average results of the hemoglobin concentration (Hb) of the three groups of ABC: 132g/L (14.2g/dl) in group A, 125g/L (13.5g/dl) in group B, 122g/L (11.5g/dl) in group C. Indoor fitness is performed in environments with normal, poor, and bad indoor air quality. The hemoglobin concentration indicators of the three groups of people show a gradual decrease trend, which shows that it is easier to cause the hemoglobin concentration to decrease in an environment with poor indoor air quality. The D group 149g/L (14.2g/dl) maintains a reasonable range, and the normal indoor environment has no influence on it. The test results of the red blood cell count (RBC) of the ABC group are: A group of 4.5X1012/L, B group of 5.6X1012/L, and C group of 6.1X1012/L, indicating that poor indoor air quality can cause certain cellular anemia and hematopoietic disorders, affect the operation of the lungs and heart, and be harmful to the human body.</t>
        </is>
      </c>
      <c r="X1119" t="inlineStr">
        <is>
          <t>[Bao, Gaoshan; Chen, Sheng] Chengdu Univ, Coll Phys Educ, Chengdu 610106, Sichuan, Peoples R China; [Chen, Sheng] Southwest Univ, Coll Phys Educ, Chongqing 400715, Peoples R China; [Espeso, Lorna A.] Adamson Univ, Primary Sch, Manila 1007, Philippines</t>
        </is>
      </c>
      <c r="Y1119" t="inlineStr">
        <is>
          <t>Chengdu University; Southwest University - China; Adamson University</t>
        </is>
      </c>
      <c r="Z1119" t="inlineStr">
        <is>
          <t>Bao, GS (corresponding author), Chengdu Univ, Coll Phys Educ, Chengdu 610106, Sichuan, Peoples R China.</t>
        </is>
      </c>
      <c r="AA1119" t="inlineStr">
        <is>
          <t>gaoshanbao9517@163.com</t>
        </is>
      </c>
      <c r="AH1119" t="n">
        <v>20</v>
      </c>
      <c r="AI1119" t="n">
        <v>0</v>
      </c>
      <c r="AJ1119" t="n">
        <v>0</v>
      </c>
      <c r="AK1119" t="n">
        <v>0</v>
      </c>
      <c r="AL1119" t="n">
        <v>3</v>
      </c>
      <c r="AM1119" t="inlineStr">
        <is>
          <t>PARLAR SCIENTIFIC PUBLICATIONS (P S P)</t>
        </is>
      </c>
      <c r="AN1119" t="inlineStr">
        <is>
          <t>FREISING</t>
        </is>
      </c>
      <c r="AO1119" t="inlineStr">
        <is>
          <t>ANGERSTR. 12, 85354 FREISING, GERMANY</t>
        </is>
      </c>
      <c r="AP1119" t="inlineStr">
        <is>
          <t>1018-4619</t>
        </is>
      </c>
      <c r="AQ1119" t="inlineStr">
        <is>
          <t>1610-2304</t>
        </is>
      </c>
      <c r="AS1119" t="inlineStr">
        <is>
          <t>FRESEN ENVIRON BULL</t>
        </is>
      </c>
      <c r="AT1119" t="inlineStr">
        <is>
          <t>Fresenius Environ. Bull.</t>
        </is>
      </c>
      <c r="AV1119" t="n">
        <v>2021</v>
      </c>
      <c r="AW1119" t="n">
        <v>30</v>
      </c>
      <c r="AX1119" t="inlineStr">
        <is>
          <t>6B</t>
        </is>
      </c>
      <c r="BC1119" t="n">
        <v>7436</v>
      </c>
      <c r="BD1119" t="n">
        <v>7443</v>
      </c>
      <c r="BJ1119" t="n">
        <v>8</v>
      </c>
      <c r="BK1119" t="inlineStr">
        <is>
          <t>Environmental Sciences</t>
        </is>
      </c>
      <c r="BL1119" t="inlineStr">
        <is>
          <t>Science Citation Index Expanded (SCI-EXPANDED)</t>
        </is>
      </c>
      <c r="BM1119" t="inlineStr">
        <is>
          <t>Environmental Sciences &amp; Ecology</t>
        </is>
      </c>
      <c r="BN1119" t="inlineStr">
        <is>
          <t>TE9CH</t>
        </is>
      </c>
      <c r="BS1119" t="inlineStr">
        <is>
          <t>2023-10-26</t>
        </is>
      </c>
      <c r="BT1119" t="inlineStr">
        <is>
          <t>WOS:000670303700032</t>
        </is>
      </c>
      <c r="BU1119">
        <f>HYPERLINK("https%3A%2F%2Fwww.webofscience.com%2Fwos%2Fwoscc%2Ffull-record%2FWOS:000670303700032","View Full Record in Web of Science")</f>
        <v/>
      </c>
    </row>
    <row r="1120">
      <c r="A1120" t="inlineStr">
        <is>
          <t>J</t>
        </is>
      </c>
      <c r="B1120" t="inlineStr">
        <is>
          <t>Audy, O; Melymuk, L; Venier, M; Vojta, S; Becanova, J; Romanak, K; Vykoukalova, M; Prokes, R; Kukucka, P; Diamond, ML; Klanova, J</t>
        </is>
      </c>
      <c r="F1120" t="inlineStr">
        <is>
          <t>Audy, Ondrej; Melymuk, Lisa; Venier, Marta; Vojta, Simon; Becanova, Jitka; Romanak, Kevin; Vykoukalova, Martina; Prokes, Roman; Kukucka, Petr; Diamond, Miriam L.; Klanova, Jana</t>
        </is>
      </c>
      <c r="J1120" t="inlineStr">
        <is>
          <t>CHEMOSPHERE</t>
        </is>
      </c>
      <c r="M1120" t="inlineStr">
        <is>
          <t>English</t>
        </is>
      </c>
      <c r="N1120" t="inlineStr">
        <is>
          <t>Article</t>
        </is>
      </c>
      <c r="T1120" t="inlineStr">
        <is>
          <t>PCBs and organochlorine pesticides in indoor environments - A comparison of indoor contamination in Canada and Czech Republic</t>
        </is>
      </c>
      <c r="U1120" t="inlineStr">
        <is>
          <t>Polychlorinated biphenyls; Organochlorine pesticides; DDT; HCB; HCH; Country differences</t>
        </is>
      </c>
      <c r="V1120" t="inlineStr">
        <is>
          <t>SEMIVOLATILE ORGANIC-COMPOUNDS; BROMINATED FLAME-RETARDANTS; POLYBROMINATED DIPHENYL ETHERS; POLYCHLORINATED-BIPHENYLS PCBS; ENDOCRINE-DISRUPTING COMPOUNDS; PASSIVE AIR SAMPLERS; HUMAN EXPOSURE; OUTDOOR AIR; SETTLED DUST; HOUSE-DUST</t>
        </is>
      </c>
      <c r="W1120" t="inlineStr">
        <is>
          <t>Polychlorinated biphenyls (PCBs) and organochlorine pesticides (OCP5) are restricted compounds that are ubiquitously detected in the environment, including indoor matrices such as air and residential dust. We report concentrations of PCBs and selected OCPs in indoor air and dust from homes in Canada (23 homes) and Czech Republic (20 homes). Indoor air concentrations of PCBs and OCPs were-10 times higher than that outdoors. PCB concentrations of similar to 450 ng/m(3) were similar in both countries, higher in homes built before the restrictions on PCBs, and had congener profiles consistent with PCB mixtures manufactured or used in each country. All OCP air concentrations were higher in the Czech Republic than in the Canadian samples, suggesting greater indoor use of, for example, DDT and HCH. These data emphasize the persistence of these organochlorine compounds indoors and their presence in homes even decades after new usage was prohibited. Indoor levels of these legacy POPs remain at similar concentrations to compounds of current concern, such as brominated flame retardants and per fluorinated alkyl substances, emphasizing that they deserve ongoing attention in view of knowledge of PCB and OCP toxicity. (C) 2018 Elsevier Ltd. All rights reserved.</t>
        </is>
      </c>
      <c r="X1120" t="inlineStr">
        <is>
          <t>[Audy, Ondrej; Melymuk, Lisa; Vojta, Simon; Becanova, Jitka; Vykoukalova, Martina; Prokes, Roman; Kukucka, Petr; Klanova, Jana] Masaryk Univ, RECETOX, Kamenice 753-5,Pavil A29, Brno 62500, Czech Republic; [Venier, Marta; Romanak, Kevin] Indiana Univ, Sch Publ &amp; Environm Affairs, 702 Walnut Grove Ave, Bloomington, IN 47405 USA; [Diamond, Miriam L.] Univ Toronto, Dept Earth Sci, 22 Russell St, Toronto, ON M5S 3B1, Canada; [Vojta, Simon; Becanova, Jitka] Univ Rhode Isl, Grad Sch Oceanog, Narragansett, RI 02882 USA</t>
        </is>
      </c>
      <c r="Y1120" t="inlineStr">
        <is>
          <t>Masaryk University Brno; Indiana University System; Indiana University Bloomington; University of Toronto; University of Rhode Island</t>
        </is>
      </c>
      <c r="Z1120" t="inlineStr">
        <is>
          <t>Melymuk, L (corresponding author), Masaryk Univ, RECETOX, Kamenice 753-5,Pavil A29, Brno 62500, Czech Republic.</t>
        </is>
      </c>
      <c r="AA1120" t="inlineStr">
        <is>
          <t>melymuk@recetox.muni.cz</t>
        </is>
      </c>
      <c r="AB1120" t="inlineStr">
        <is>
          <t>Kukucka, Petr/F-7064-2016; Melymuk, Lisa/H-1061-2017; Melymuk, Lisa/AAF-2526-2021; Klanova, Jana/H-1207-2012; Diamond, Miriam L/D-1770-2013</t>
        </is>
      </c>
      <c r="AC1120" t="inlineStr">
        <is>
          <t>Kukucka, Petr/0000-0003-1733-8334; Melymuk, Lisa/0000-0001-6042-7688; Melymuk, Lisa/0000-0001-6042-7688; Klanova, Jana/0000-0002-8818-5307; Diamond, Miriam L/0000-0001-6296-6431; Becanova, Jitka/0000-0002-3091-1054; Prokes, Roman/0000-0002-0573-843X; Vojta, Simon/0000-0003-4528-8346</t>
        </is>
      </c>
      <c r="AD1120" t="inlineStr">
        <is>
          <t>Czech-American Scientific Cooperation Program (AMVIS/KONTAKT II) [LH12074]; Czech Ministry of Education, Youth and Sports [LM2015051]; European Structural and Investment Funds [CZ.02.1.01/0.0/0.0/16_013/0001761]; Allergy, Genes and Environment Network (AllerGenNCE); Natural Sciences and Engineering Research Council of Canada (NSERC)</t>
        </is>
      </c>
      <c r="AE1120" t="inlineStr">
        <is>
          <t>Czech-American Scientific Cooperation Program (AMVIS/KONTAKT II); Czech Ministry of Education, Youth and Sports(Ministry of Education, Youth &amp; Sports - Czech Republic); European Structural and Investment Funds; Allergy, Genes and Environment Network (AllerGenNCE); Natural Sciences and Engineering Research Council of Canada (NSERC)(Natural Sciences and Engineering Research Council of Canada (NSERC))</t>
        </is>
      </c>
      <c r="AF1120" t="inlineStr">
        <is>
          <t>This work was supported by the Czech-American Scientific Cooperation Program (AMVIS/KONTAKT II, LH12074). RECETOX research infrastructure was supported by the Czech Ministry of Education, Youth and Sports (LM2015051) and the European Structural and Investment Funds (CZ.02.1.01/0.0/0.0/16_013/0001761). Support in Canada was provided by Allergy, Genes and Environment Network (AllerGenNCE) and the Natural Sciences and Engineering Research Council of Canada (NSERC). We thank Joseph Okeme and Amandeep Saini (University of Toronto) for collecting samples in Canada. We also thank all volunteers in Bloomington (IN, USA), Toronto (Canada) and Brno (Czech Republic) for their participation.</t>
        </is>
      </c>
      <c r="AH1120" t="n">
        <v>83</v>
      </c>
      <c r="AI1120" t="n">
        <v>41</v>
      </c>
      <c r="AJ1120" t="n">
        <v>42</v>
      </c>
      <c r="AK1120" t="n">
        <v>5</v>
      </c>
      <c r="AL1120" t="n">
        <v>107</v>
      </c>
      <c r="AM1120" t="inlineStr">
        <is>
          <t>PERGAMON-ELSEVIER SCIENCE LTD</t>
        </is>
      </c>
      <c r="AN1120" t="inlineStr">
        <is>
          <t>OXFORD</t>
        </is>
      </c>
      <c r="AO1120" t="inlineStr">
        <is>
          <t>THE BOULEVARD, LANGFORD LANE, KIDLINGTON, OXFORD OX5 1GB, ENGLAND</t>
        </is>
      </c>
      <c r="AP1120" t="inlineStr">
        <is>
          <t>0045-6535</t>
        </is>
      </c>
      <c r="AQ1120" t="inlineStr">
        <is>
          <t>1879-1298</t>
        </is>
      </c>
      <c r="AS1120" t="inlineStr">
        <is>
          <t>CHEMOSPHERE</t>
        </is>
      </c>
      <c r="AT1120" t="inlineStr">
        <is>
          <t>Chemosphere</t>
        </is>
      </c>
      <c r="AU1120" t="inlineStr">
        <is>
          <t>SEP</t>
        </is>
      </c>
      <c r="AV1120" t="n">
        <v>2018</v>
      </c>
      <c r="AW1120" t="n">
        <v>206</v>
      </c>
      <c r="BC1120" t="n">
        <v>622</v>
      </c>
      <c r="BD1120" t="n">
        <v>631</v>
      </c>
      <c r="BF1120" t="inlineStr">
        <is>
          <t>10.1016/j.chemosphere.2018.05.016</t>
        </is>
      </c>
      <c r="BG1120">
        <f>HYPERLINK("http://dx.doi.org/10.1016/j.chemosphere.2018.05.016","http://dx.doi.org/10.1016/j.chemosphere.2018.05.016")</f>
        <v/>
      </c>
      <c r="BJ1120" t="n">
        <v>10</v>
      </c>
      <c r="BK1120" t="inlineStr">
        <is>
          <t>Environmental Sciences</t>
        </is>
      </c>
      <c r="BL1120" t="inlineStr">
        <is>
          <t>Science Citation Index Expanded (SCI-EXPANDED)</t>
        </is>
      </c>
      <c r="BM1120" t="inlineStr">
        <is>
          <t>Environmental Sciences &amp; Ecology</t>
        </is>
      </c>
      <c r="BN1120" t="inlineStr">
        <is>
          <t>GK5LC</t>
        </is>
      </c>
      <c r="BO1120" t="n">
        <v>29778940</v>
      </c>
      <c r="BS1120" t="inlineStr">
        <is>
          <t>2023-10-26</t>
        </is>
      </c>
      <c r="BT1120" t="inlineStr">
        <is>
          <t>WOS:000436215600070</t>
        </is>
      </c>
      <c r="BU1120">
        <f>HYPERLINK("https%3A%2F%2Fwww.webofscience.com%2Fwos%2Fwoscc%2Ffull-record%2FWOS:000436215600070","View Full Record in Web of Science")</f>
        <v/>
      </c>
    </row>
    <row r="1121">
      <c r="A1121" t="inlineStr">
        <is>
          <t>J</t>
        </is>
      </c>
      <c r="B1121" t="inlineStr">
        <is>
          <t>Talbot, N; Kubelová, L; Makes, O; Ondrácek, J; Cusack, M; Schwarz, J; Vodicka, P; Zíková, N; Zdímal, V</t>
        </is>
      </c>
      <c r="F1121" t="inlineStr">
        <is>
          <t>Talbot, Nicholas; Kubelova, Lucie; Makes, Otakar; Ondracek, Jakub; Cusack, Michael; Schwarz, Jaroslav; Vodicka, Petr; Zikova, Nadezda; Zdimal, Vladimir</t>
        </is>
      </c>
      <c r="J1121" t="inlineStr">
        <is>
          <t>AEROSOL AND AIR QUALITY RESEARCH</t>
        </is>
      </c>
      <c r="M1121" t="inlineStr">
        <is>
          <t>English</t>
        </is>
      </c>
      <c r="N1121" t="inlineStr">
        <is>
          <t>Article</t>
        </is>
      </c>
      <c r="T1121" t="inlineStr">
        <is>
          <t>Transformations of Aerosol Particles from an Outdoor to Indoor Environment</t>
        </is>
      </c>
      <c r="U1121" t="inlineStr">
        <is>
          <t>I/O ratio; Shrinkage; Dissociation; Aerosols; Ammonium nitrate</t>
        </is>
      </c>
      <c r="V1121" t="inlineStr">
        <is>
          <t>AIR-POLLUTION; SIZE CHARACTERIZATION; NUMBER CONCENTRATIONS; ULTRAFINE PARTICLES; PARTICULATE NITRATE; RESIDENTIAL HOUSES; SUBURBAN SITE; MASS; URBAN; PM2.5</t>
        </is>
      </c>
      <c r="W1121" t="inlineStr">
        <is>
          <t>Aerosol particle size and chemical composition during summer and winter were investigated in this study. An automated switching valve allowed for indoor and outdoor environments to be sampled near-simultaneously with the same high temporal-resolution instrumentation. During the study, no known indoor sources were present and the sampled room was unoccupied throughout. Accumulation mode indoor/outdoor (I/O) ratios were substantially lower in winter than in summer. This reduction was attributed to particles of outdoor origin shrinking as they entered the warmer and drier indoor environment. An essential factor in this process appeared to be the difference (gradient) between the temperature and relative humidity of the indoor and outdoor environments during the winter. Online aerosol mass spectrometer measurements recorded a 34-38% decrease in I/O ratios for all nonrefractory species during the winter relative to the summer. A similar change in I/O ratios for all species indicated that physical, rather than chemical, processes were responsible. To assess the relative influence of various physical factors on I/O relationships, Spearman rank statistical tests were carried out. These identified wind speed to be negatively correlated to the indoor concentrations for all species. Wind roses incorporating I/O ratios were applied and showed that the wind speed and direction influenced the changes in the indoor composition. The relative outdoor concentration of different aerosol species, steepness of the I/O temperature gradient, and wind speed variability are concluded to be essential factors in I/O aerosol transformations.</t>
        </is>
      </c>
      <c r="X1121" t="inlineStr">
        <is>
          <t>[Talbot, Nicholas; Kubelova, Lucie; Makes, Otakar; Ondracek, Jakub; Cusack, Michael; Schwarz, Jaroslav; Vodicka, Petr; Zikova, Nadezda; Zdimal, Vladimir] CAS, Vvi, Inst Chem Proc Fundamentals, Rozvojova 2, Prague 16502, Czech Republic; [Talbot, Nicholas; Kubelova, Lucie; Makes, Otakar] Charles Univ Prague, Dept Environm Studies, Fac Sci, Prague 12843, Czech Republic</t>
        </is>
      </c>
      <c r="Y1121" t="inlineStr">
        <is>
          <t>Czech Academy of Sciences; Institute of Chemical Process Fundamentals of the Czech Academy of Sciences; Charles University Prague</t>
        </is>
      </c>
      <c r="Z1121" t="inlineStr">
        <is>
          <t>Zdímal, V (corresponding author), CAS, Vvi, Inst Chem Proc Fundamentals, Rozvojova 2, Prague 16502, Czech Republic.</t>
        </is>
      </c>
      <c r="AA1121" t="inlineStr">
        <is>
          <t>zdimal@icpf.cas.cz</t>
        </is>
      </c>
      <c r="AB1121" t="inlineStr">
        <is>
          <t>Zdimal, Vladimir/H-3434-2014; Zikova, Nadezda/H-3433-2014; Schwarz, Jaroslav/H-3429-2014; Makes, Otakar/H-3426-2014; Kubelová, Lucie/H-3424-2014; Ondráček, Jakub/H-3428-2014; Vodicka, Petr/H-3432-2014</t>
        </is>
      </c>
      <c r="AC1121" t="inlineStr">
        <is>
          <t>Zdimal, Vladimir/0000-0002-8167-1804; Zikova, Nadezda/0000-0001-8753-386X; Makes, Otakar/0000-0001-8781-9227; Kubelová, Lucie/0000-0001-9147-9149; Vodicka, Petr/0000-0002-9381-3646; Ondracek, Jakub/0000-0003-0629-257X; Schwarz, Jaroslav/0000-0003-3951-5928</t>
        </is>
      </c>
      <c r="AD1121" t="inlineStr">
        <is>
          <t>European Union Seventh Framework Programme (FP7/2007-2013) [315760 HEXACOMM]</t>
        </is>
      </c>
      <c r="AE1121" t="inlineStr">
        <is>
          <t>European Union Seventh Framework Programme (FP7/2007-2013)</t>
        </is>
      </c>
      <c r="AF1121" t="inlineStr">
        <is>
          <t>The authors acknowledge support provided for this research by the European Union Seventh Framework Programme (FP7/2007-2013) under grant agreement no. 315760 HEXACOMM.</t>
        </is>
      </c>
      <c r="AH1121" t="n">
        <v>60</v>
      </c>
      <c r="AI1121" t="n">
        <v>17</v>
      </c>
      <c r="AJ1121" t="n">
        <v>17</v>
      </c>
      <c r="AK1121" t="n">
        <v>1</v>
      </c>
      <c r="AL1121" t="n">
        <v>29</v>
      </c>
      <c r="AM1121" t="inlineStr">
        <is>
          <t>TAIWAN ASSOC AEROSOL RES-TAAR</t>
        </is>
      </c>
      <c r="AN1121" t="inlineStr">
        <is>
          <t>TAICHUNG COUNTY</t>
        </is>
      </c>
      <c r="AO1121" t="inlineStr">
        <is>
          <t>CHAOYANG UNIV TECH, DEPT ENV ENG &amp; MGMT, PROD CTR AAQR, NO 168, JIFONG E RD, WUFONG TOWNSHIP, TAICHUNG COUNTY, 41349, TAIWAN</t>
        </is>
      </c>
      <c r="AP1121" t="inlineStr">
        <is>
          <t>1680-8584</t>
        </is>
      </c>
      <c r="AQ1121" t="inlineStr">
        <is>
          <t>2071-1409</t>
        </is>
      </c>
      <c r="AS1121" t="inlineStr">
        <is>
          <t>AEROSOL AIR QUAL RES</t>
        </is>
      </c>
      <c r="AT1121" t="inlineStr">
        <is>
          <t>Aerosol Air Qual. Res.</t>
        </is>
      </c>
      <c r="AU1121" t="inlineStr">
        <is>
          <t>MAR</t>
        </is>
      </c>
      <c r="AV1121" t="n">
        <v>2017</v>
      </c>
      <c r="AW1121" t="n">
        <v>17</v>
      </c>
      <c r="AX1121" t="n">
        <v>3</v>
      </c>
      <c r="BC1121" t="n">
        <v>653</v>
      </c>
      <c r="BD1121" t="n">
        <v>665</v>
      </c>
      <c r="BF1121" t="inlineStr">
        <is>
          <t>10.4209/aaqr.2016.08.0355</t>
        </is>
      </c>
      <c r="BG1121">
        <f>HYPERLINK("http://dx.doi.org/10.4209/aaqr.2016.08.0355","http://dx.doi.org/10.4209/aaqr.2016.08.0355")</f>
        <v/>
      </c>
      <c r="BJ1121" t="n">
        <v>13</v>
      </c>
      <c r="BK1121" t="inlineStr">
        <is>
          <t>Environmental Sciences</t>
        </is>
      </c>
      <c r="BL1121" t="inlineStr">
        <is>
          <t>Science Citation Index Expanded (SCI-EXPANDED)</t>
        </is>
      </c>
      <c r="BM1121" t="inlineStr">
        <is>
          <t>Environmental Sciences &amp; Ecology</t>
        </is>
      </c>
      <c r="BN1121" t="inlineStr">
        <is>
          <t>EQ6NJ</t>
        </is>
      </c>
      <c r="BP1121" t="inlineStr">
        <is>
          <t>Green Submitted, gold</t>
        </is>
      </c>
      <c r="BS1121" t="inlineStr">
        <is>
          <t>2023-10-26</t>
        </is>
      </c>
      <c r="BT1121" t="inlineStr">
        <is>
          <t>WOS:000398198400001</t>
        </is>
      </c>
      <c r="BU1121">
        <f>HYPERLINK("https%3A%2F%2Fwww.webofscience.com%2Fwos%2Fwoscc%2Ffull-record%2FWOS:000398198400001","View Full Record in Web of Science")</f>
        <v/>
      </c>
    </row>
    <row r="1122">
      <c r="A1122" t="inlineStr">
        <is>
          <t>J</t>
        </is>
      </c>
      <c r="B1122" t="inlineStr">
        <is>
          <t>Hatami, F; Thill, JC</t>
        </is>
      </c>
      <c r="F1122" t="inlineStr">
        <is>
          <t>Hatami, Faizeh; Thill, Jean-Claude</t>
        </is>
      </c>
      <c r="J1122" t="inlineStr">
        <is>
          <t>SUSTAINABILITY</t>
        </is>
      </c>
      <c r="M1122" t="inlineStr">
        <is>
          <t>English</t>
        </is>
      </c>
      <c r="N1122" t="inlineStr">
        <is>
          <t>Article</t>
        </is>
      </c>
      <c r="T1122" t="inlineStr">
        <is>
          <t>Spatiotemporal Evaluation of the Built Environment's Impact on Commuting Duration</t>
        </is>
      </c>
      <c r="U1122" t="inlineStr">
        <is>
          <t>commuting duration; built environment type; D variables; spatial panel data models; selection bias; urban mobility</t>
        </is>
      </c>
      <c r="V1122" t="inlineStr">
        <is>
          <t>TRAVEL BEHAVIOR; SELF-SELECTION; NEIGHBORHOOD TYPE; MODE CHOICE; FOCUS</t>
        </is>
      </c>
      <c r="W1122" t="inlineStr">
        <is>
          <t>Upward trends in commuting duration and distance due to urban sprawl in the United States have raised concerns about the ensuing environmental, social and economic problems. Various urban planning approaches have been developed, hypothesizing that built environment variables such as density, diversity, design, distance to transit and destination accessibility contribute to reducing travel consumption. This study evaluates the impact of the built environment on commuting duration in Mecklenburg County, North Carolina, in two steps. First, the built environment is classified into four types of exurban, suburban, urban, and compact and transit-accessible development (CTAD). Second, the impact of built environment types on commuting duration is evaluated for 2000 and 2015 using spatial panel data models controlling for selection bias. Results show that CTAD areas have shorter commuting durations than other areas in 2015; however, the commuting duration in both CTAD and urban areas has increased over time. Given the multifaceted nature of urban transportation-built environment interactions and their importance for sustainable futures, this calls for further attention from urban researchers and planners to more comprehensively consider the various dimensions of this matter, with an explicit focus on the changing nature of urban environments.</t>
        </is>
      </c>
      <c r="X1122" t="inlineStr">
        <is>
          <t>[Hatami, Faizeh; Thill, Jean-Claude] Univ North Carolina Charlotte, Dept Geog &amp; Earth Sci, 9201 Univ City Blvd, Charlotte, NC 28223 USA; [Thill, Jean-Claude] Univ North Carolina Charlotte, Sch Data Sci, 9201 Univ City Blvd, Charlotte, NC 28223 USA</t>
        </is>
      </c>
      <c r="Y1122" t="inlineStr">
        <is>
          <t>University of North Carolina; University of North Carolina Charlotte; University of North Carolina; University of North Carolina Charlotte</t>
        </is>
      </c>
      <c r="Z1122" t="inlineStr">
        <is>
          <t>Thill, JC (corresponding author), Univ North Carolina Charlotte, Dept Geog &amp; Earth Sci, 9201 Univ City Blvd, Charlotte, NC 28223 USA.;Thill, JC (corresponding author), Univ North Carolina Charlotte, Sch Data Sci, 9201 Univ City Blvd, Charlotte, NC 28223 USA.</t>
        </is>
      </c>
      <c r="AA1122" t="inlineStr">
        <is>
          <t>fhatami@uncc.edu; jfthill@uncc.edu</t>
        </is>
      </c>
      <c r="AC1122" t="inlineStr">
        <is>
          <t>Hatami, Faizeh/0000-0001-6056-9408; Thill, Jean-Claude/0000-0002-6651-8123</t>
        </is>
      </c>
      <c r="AH1122" t="n">
        <v>62</v>
      </c>
      <c r="AI1122" t="n">
        <v>2</v>
      </c>
      <c r="AJ1122" t="n">
        <v>2</v>
      </c>
      <c r="AK1122" t="n">
        <v>13</v>
      </c>
      <c r="AL1122" t="n">
        <v>22</v>
      </c>
      <c r="AM1122" t="inlineStr">
        <is>
          <t>MDPI</t>
        </is>
      </c>
      <c r="AN1122" t="inlineStr">
        <is>
          <t>BASEL</t>
        </is>
      </c>
      <c r="AO1122" t="inlineStr">
        <is>
          <t>ST ALBAN-ANLAGE 66, CH-4052 BASEL, SWITZERLAND</t>
        </is>
      </c>
      <c r="AQ1122" t="inlineStr">
        <is>
          <t>2071-1050</t>
        </is>
      </c>
      <c r="AS1122" t="inlineStr">
        <is>
          <t>SUSTAINABILITY-BASEL</t>
        </is>
      </c>
      <c r="AT1122" t="inlineStr">
        <is>
          <t>Sustainability</t>
        </is>
      </c>
      <c r="AU1122" t="inlineStr">
        <is>
          <t>JUN</t>
        </is>
      </c>
      <c r="AV1122" t="n">
        <v>2022</v>
      </c>
      <c r="AW1122" t="n">
        <v>14</v>
      </c>
      <c r="AX1122" t="n">
        <v>12</v>
      </c>
      <c r="BE1122" t="n">
        <v>7179</v>
      </c>
      <c r="BF1122" t="inlineStr">
        <is>
          <t>10.3390/su14127179</t>
        </is>
      </c>
      <c r="BG1122">
        <f>HYPERLINK("http://dx.doi.org/10.3390/su14127179","http://dx.doi.org/10.3390/su14127179")</f>
        <v/>
      </c>
      <c r="BJ1122" t="n">
        <v>19</v>
      </c>
      <c r="BK1122" t="inlineStr">
        <is>
          <t>Green &amp; Sustainable Science &amp; Technology; Environmental Sciences; Environmental Studies</t>
        </is>
      </c>
      <c r="BL1122" t="inlineStr">
        <is>
          <t>Science Citation Index Expanded (SCI-EXPANDED); Social Science Citation Index (SSCI)</t>
        </is>
      </c>
      <c r="BM1122" t="inlineStr">
        <is>
          <t>Science &amp; Technology - Other Topics; Environmental Sciences &amp; Ecology</t>
        </is>
      </c>
      <c r="BN1122" t="inlineStr">
        <is>
          <t>2L1IU</t>
        </is>
      </c>
      <c r="BP1122" t="inlineStr">
        <is>
          <t>gold</t>
        </is>
      </c>
      <c r="BS1122" t="inlineStr">
        <is>
          <t>2023-10-26</t>
        </is>
      </c>
      <c r="BT1122" t="inlineStr">
        <is>
          <t>WOS:000816776700001</t>
        </is>
      </c>
      <c r="BU1122">
        <f>HYPERLINK("https%3A%2F%2Fwww.webofscience.com%2Fwos%2Fwoscc%2Ffull-record%2FWOS:000816776700001","View Full Record in Web of Science")</f>
        <v/>
      </c>
    </row>
    <row r="1123">
      <c r="A1123" t="inlineStr">
        <is>
          <t>J</t>
        </is>
      </c>
      <c r="B1123" t="inlineStr">
        <is>
          <t>Felgueiras, F; Mourao, Z; Morais, C; Santos, H; Gabriel, MF; Fernandes, ED</t>
        </is>
      </c>
      <c r="F1123" t="inlineStr">
        <is>
          <t>Felgueiras, Fatima; Mourao, Zenaida; Morais, Catarina; Santos, Hugo; Gabriel, Marta Fonseca; Fernandes, Eduardo de Oliveira</t>
        </is>
      </c>
      <c r="J1123" t="inlineStr">
        <is>
          <t>ENVIRONMENT INTERNATIONAL</t>
        </is>
      </c>
      <c r="M1123" t="inlineStr">
        <is>
          <t>English</t>
        </is>
      </c>
      <c r="N1123" t="inlineStr">
        <is>
          <t>Article</t>
        </is>
      </c>
      <c r="T1123" t="inlineStr">
        <is>
          <t>Comprehensive assessment of the indoor air quality in a chlorinated Olympic-size swimming pool</t>
        </is>
      </c>
      <c r="U1123" t="inlineStr">
        <is>
          <t>Disinfection by-products; Exposure assessment; Indoor air quality; Indoor swimming pool; Ultrafine particles</t>
        </is>
      </c>
      <c r="V1123" t="inlineStr">
        <is>
          <t>DISINFECTION BY-PRODUCTS; ULTRAFINE PARTICLES; EXPOSURE; ASTHMA; WATER; POLLUTION; TOXICITY; SWIMMERS; SCHOOL; URBAN</t>
        </is>
      </c>
      <c r="W1123" t="inlineStr">
        <is>
          <t>Elite swimmers and swimming pool employees are likely to be at greater health risk due to their regular and intense exposure to air stressors in the indoor swimming pool environment. Since data on the real long-term exposure is limited, a long-term monitoring and sampling plan (22 non-consecutive days, from March to July 2017) was carried out in an indoor Olympic-size pool with a chlorine-based disinfection method to characterize indoor environments to which people involved in elite swimming and maintenance staff may be exposed to. A comprehensive set of parameters related with comfort and environmental conditions (temperature, relative humidity (RH), carbon dioxide (CO2) and monoxide and ultrafine particles (UFP)) were monitored both indoors and outdoors in order to determine indoor-to-outdoor (I/O) ratios. Additionally, an analysis of volatile organic compounds (VOC) concentration and its dynamics was implemented in three 1-hr periods: early morning, evening elite swimmers training session and late evening. Samplings were simultaneously carried out in the air layer above the water surface and in the air surrounding the pool, selected to be representative of swimmers and coaches/employees' breathing zones, respectively. The results of this work showed that the indoor climate was very stable in terms of air temperature, RH and CO 2 . In terms of the other measured parameters, mean indoor UFP number concentrations (5158 pt/cm(3)) were about 50% of those measured outdoors whereas chloroform was the predominant substance detected in all samples collected indoors (13.0-369.3 mu g/m(3)), among a varied list of chemical compounds. An I/O non-trihalomethanes (THM) VOC concentration ratio of 2.7 was also found, suggesting that, beyond THM, other potentially hazardous VOC have also their source(s) indoors. THM and non-THM VOC concentration were found to increase consistently during the evening training session and exhibited a significant seasonal pattern. Compared to their coaches, elite swimmers seemed to be exposed via inhalation to significantly higher total THM levels, but to similar concentrations of non-THM VOC, during routine training activities. Regarding swimming employees, the exposure to THM and other VOC appeared to be significantly minimized during the early morning period. The air/water temperature ratio and RH were identified as important parameters that are likely to trigger the transfer processes of volatile substances from water to air and of their accumulation in the indoor environment of the swimming pool, respectively.</t>
        </is>
      </c>
      <c r="X1123" t="inlineStr">
        <is>
          <t>[Felgueiras, Fatima; Mourao, Zenaida; Morais, Catarina; Santos, Hugo; Gabriel, Marta Fonseca] INEGI, Inst Sci &amp; Innovat Mech &amp; Ind Engn, Porto, Portugal; [Fernandes, Eduardo de Oliveira] Univ Porto, Fac Engn, Porto, Portugal</t>
        </is>
      </c>
      <c r="Y1123" t="inlineStr">
        <is>
          <t>Universidade do Porto; Universidade do Porto</t>
        </is>
      </c>
      <c r="Z1123" t="inlineStr">
        <is>
          <t>Gabriel, MF (corresponding author), Inst Sci &amp; Innovat Mech &amp; Ind Engn INEGI, Energy Grp, Porto, Portugal.</t>
        </is>
      </c>
      <c r="AA1123" t="inlineStr">
        <is>
          <t>mgabriel20023@gmail.com</t>
        </is>
      </c>
      <c r="AB1123" t="inlineStr">
        <is>
          <t>Gabriel, Marta/J-2741-2014</t>
        </is>
      </c>
      <c r="AC1123" t="inlineStr">
        <is>
          <t>Gabriel, Marta/0000-0001-6920-9038; Sobral Mourao, Zenaida/0000-0002-6499-3596; Santos, Hugo/0000-0001-5331-5901; Morais, Catarina/0000-0002-9881-3514; Felgueiras, Fatima/0000-0002-8932-4268</t>
        </is>
      </c>
      <c r="AD1123" t="inlineStr">
        <is>
          <t>Health, Comfort and Energy in the Built Environment (HEBE) [NORTE-01-0145-FEDER-000010]; Programa Operacional Regional do Norte (NORTE2020), through Fundo Europeu de Desenvolvimento Regional (FEDER)</t>
        </is>
      </c>
      <c r="AE1123" t="inlineStr">
        <is>
          <t>Health, Comfort and Energy in the Built Environment (HEBE); Programa Operacional Regional do Norte (NORTE2020), through Fundo Europeu de Desenvolvimento Regional (FEDER)</t>
        </is>
      </c>
      <c r="AF1123" t="inlineStr">
        <is>
          <t>The authors gratefully acknowledge the funding of Project NORTE-01-0145-FEDER-000010 - Health, Comfort and Energy in the Built Environment (HEBE), co-financed by Programa Operacional Regional do Norte (NORTE2020), through Fundo Europeu de Desenvolvimento Regional (FEDER). The authors also express their gratitude to the sportive entity for kindly accept to collaborate with the study.</t>
        </is>
      </c>
      <c r="AH1123" t="n">
        <v>43</v>
      </c>
      <c r="AI1123" t="n">
        <v>11</v>
      </c>
      <c r="AJ1123" t="n">
        <v>11</v>
      </c>
      <c r="AK1123" t="n">
        <v>2</v>
      </c>
      <c r="AL1123" t="n">
        <v>14</v>
      </c>
      <c r="AM1123" t="inlineStr">
        <is>
          <t>PERGAMON-ELSEVIER SCIENCE LTD</t>
        </is>
      </c>
      <c r="AN1123" t="inlineStr">
        <is>
          <t>OXFORD</t>
        </is>
      </c>
      <c r="AO1123" t="inlineStr">
        <is>
          <t>THE BOULEVARD, LANGFORD LANE, KIDLINGTON, OXFORD OX5 1GB, ENGLAND</t>
        </is>
      </c>
      <c r="AP1123" t="inlineStr">
        <is>
          <t>0160-4120</t>
        </is>
      </c>
      <c r="AQ1123" t="inlineStr">
        <is>
          <t>1873-6750</t>
        </is>
      </c>
      <c r="AS1123" t="inlineStr">
        <is>
          <t>ENVIRON INT</t>
        </is>
      </c>
      <c r="AT1123" t="inlineStr">
        <is>
          <t>Environ. Int.</t>
        </is>
      </c>
      <c r="AU1123" t="inlineStr">
        <is>
          <t>MAR</t>
        </is>
      </c>
      <c r="AV1123" t="n">
        <v>2020</v>
      </c>
      <c r="AW1123" t="n">
        <v>136</v>
      </c>
      <c r="BE1123" t="n">
        <v>105401</v>
      </c>
      <c r="BF1123" t="inlineStr">
        <is>
          <t>10.1016/j.envint.2019.105401</t>
        </is>
      </c>
      <c r="BG1123">
        <f>HYPERLINK("http://dx.doi.org/10.1016/j.envint.2019.105401","http://dx.doi.org/10.1016/j.envint.2019.105401")</f>
        <v/>
      </c>
      <c r="BJ1123" t="n">
        <v>10</v>
      </c>
      <c r="BK1123" t="inlineStr">
        <is>
          <t>Environmental Sciences</t>
        </is>
      </c>
      <c r="BL1123" t="inlineStr">
        <is>
          <t>Science Citation Index Expanded (SCI-EXPANDED)</t>
        </is>
      </c>
      <c r="BM1123" t="inlineStr">
        <is>
          <t>Environmental Sciences &amp; Ecology</t>
        </is>
      </c>
      <c r="BN1123" t="inlineStr">
        <is>
          <t>KK1UC</t>
        </is>
      </c>
      <c r="BO1123" t="n">
        <v>31884411</v>
      </c>
      <c r="BP1123" t="inlineStr">
        <is>
          <t>gold</t>
        </is>
      </c>
      <c r="BS1123" t="inlineStr">
        <is>
          <t>2023-10-26</t>
        </is>
      </c>
      <c r="BT1123" t="inlineStr">
        <is>
          <t>WOS:000512533700009</t>
        </is>
      </c>
      <c r="BU1123">
        <f>HYPERLINK("https%3A%2F%2Fwww.webofscience.com%2Fwos%2Fwoscc%2Ffull-record%2FWOS:000512533700009","View Full Record in Web of Science")</f>
        <v/>
      </c>
    </row>
    <row r="1124">
      <c r="A1124" t="inlineStr">
        <is>
          <t>J</t>
        </is>
      </c>
      <c r="B1124" t="inlineStr">
        <is>
          <t>Fang, WT; Ng, E; Chang, MC</t>
        </is>
      </c>
      <c r="F1124" t="inlineStr">
        <is>
          <t>Fang, Wei-Ta; Ng, Eric; Chang, Mei-Chuan</t>
        </is>
      </c>
      <c r="J1124" t="inlineStr">
        <is>
          <t>INTERNATIONAL JOURNAL OF ENVIRONMENTAL RESEARCH AND PUBLIC HEALTH</t>
        </is>
      </c>
      <c r="M1124" t="inlineStr">
        <is>
          <t>English</t>
        </is>
      </c>
      <c r="N1124" t="inlineStr">
        <is>
          <t>Article</t>
        </is>
      </c>
      <c r="T1124" t="inlineStr">
        <is>
          <t>Physical Outdoor Activity versus Indoor Activity: Their Influence on Environmental Behaviors</t>
        </is>
      </c>
      <c r="U1124" t="inlineStr">
        <is>
          <t>environmental behaviors; physical outdoor activity; primary school children; social norms</t>
        </is>
      </c>
      <c r="V1124" t="inlineStr">
        <is>
          <t>EXERCISE; NORMS; DETERMINANTS; HEALTH; IMPACT; ADULTS; GREEN</t>
        </is>
      </c>
      <c r="W1124" t="inlineStr">
        <is>
          <t>There are strong evidences linking physical outdoor activity and health benefits; however, little is known about the impact on environmental behaviors. Thus, this study aims to close this gap by investigating the influence of physical outdoor activity on environmental behaviors. A total of 416 surveys were distributed to students in eight public primary schools located near the Hsinchu Science and Industrial Park in Taiwan. Findings from the analysis revealed that subjective norms had a more influential effect on environmental behaviors for participants who engaged in physical activity at outdoor parks. In contrast, descriptive norms had a direct predictive impact on environmental behaviors for participants whose main physical activity venue was at the indoor after-school centers. Research results also highlighted attitude as the strongest predictive variable influence on environmental behaviors for children who engaged in physical indoor and outdoor activities.</t>
        </is>
      </c>
      <c r="X1124" t="inlineStr">
        <is>
          <t>[Fang, Wei-Ta; Chang, Mei-Chuan] Natl Taiwan Normal Univ, Grad Inst Environm Educ, Taipei 116, Taiwan; [Ng, Eric] Univ Southern Queensland, Sch Management &amp; Enterprise, Toowoomba, Qld 4350, Australia</t>
        </is>
      </c>
      <c r="Y1124" t="inlineStr">
        <is>
          <t>National Taiwan Normal University; University of Southern Queensland</t>
        </is>
      </c>
      <c r="Z1124" t="inlineStr">
        <is>
          <t>Fang, WT (corresponding author), Natl Taiwan Normal Univ, Grad Inst Environm Educ, Taipei 116, Taiwan.;Ng, E (corresponding author), Univ Southern Queensland, Sch Management &amp; Enterprise, Toowoomba, Qld 4350, Australia.</t>
        </is>
      </c>
      <c r="AA1124" t="inlineStr">
        <is>
          <t>wtfang@ntnu.edu.tw; eric.ng@usq.edu.au; db1305@yahoo.com.tw</t>
        </is>
      </c>
      <c r="AB1124" t="inlineStr">
        <is>
          <t>Ng, Eric/ABB-6091-2021</t>
        </is>
      </c>
      <c r="AC1124" t="inlineStr">
        <is>
          <t>Ng, Eric/0000-0002-0833-9047</t>
        </is>
      </c>
      <c r="AD1124" t="inlineStr">
        <is>
          <t>Ministry of Science and Technology [105-2511-S-003-021-MY3]; National Taiwan Normal University (NTNU), Taiwan, ROC</t>
        </is>
      </c>
      <c r="AE1124" t="inlineStr">
        <is>
          <t>Ministry of Science and Technology(Spanish Government); National Taiwan Normal University (NTNU), Taiwan, ROC</t>
        </is>
      </c>
      <c r="AF1124" t="inlineStr">
        <is>
          <t>We thank members of the Graduate Institute of Environmental Education, National Taiwan Normal University (NTNU), for their contributions to the manuscript. This work was supported by grants from the Ministry of Science and Technology (105-2511-S-003-021-MY3 to W.-T. Fang). This article was also subsidized by the National Taiwan Normal University (NTNU), Taiwan, ROC. The useful suggestions from anonymous reviewers were incorporated into the manuscript.</t>
        </is>
      </c>
      <c r="AH1124" t="n">
        <v>43</v>
      </c>
      <c r="AI1124" t="n">
        <v>13</v>
      </c>
      <c r="AJ1124" t="n">
        <v>13</v>
      </c>
      <c r="AK1124" t="n">
        <v>0</v>
      </c>
      <c r="AL1124" t="n">
        <v>25</v>
      </c>
      <c r="AM1124" t="inlineStr">
        <is>
          <t>MDPI</t>
        </is>
      </c>
      <c r="AN1124" t="inlineStr">
        <is>
          <t>BASEL</t>
        </is>
      </c>
      <c r="AO1124" t="inlineStr">
        <is>
          <t>ST ALBAN-ANLAGE 66, CH-4052 BASEL, SWITZERLAND</t>
        </is>
      </c>
      <c r="AQ1124" t="inlineStr">
        <is>
          <t>1660-4601</t>
        </is>
      </c>
      <c r="AS1124" t="inlineStr">
        <is>
          <t>INT J ENV RES PUB HE</t>
        </is>
      </c>
      <c r="AT1124" t="inlineStr">
        <is>
          <t>Int. J. Environ. Res. Public Health</t>
        </is>
      </c>
      <c r="AU1124" t="inlineStr">
        <is>
          <t>JUL</t>
        </is>
      </c>
      <c r="AV1124" t="n">
        <v>2017</v>
      </c>
      <c r="AW1124" t="n">
        <v>14</v>
      </c>
      <c r="AX1124" t="n">
        <v>7</v>
      </c>
      <c r="BE1124" t="n">
        <v>797</v>
      </c>
      <c r="BF1124" t="inlineStr">
        <is>
          <t>10.3390/ijerph14070797</t>
        </is>
      </c>
      <c r="BG1124">
        <f>HYPERLINK("http://dx.doi.org/10.3390/ijerph14070797","http://dx.doi.org/10.3390/ijerph14070797")</f>
        <v/>
      </c>
      <c r="BJ1124" t="n">
        <v>12</v>
      </c>
      <c r="BK1124" t="inlineStr">
        <is>
          <t>Environmental Sciences; Public, Environmental &amp; Occupational Health</t>
        </is>
      </c>
      <c r="BL1124" t="inlineStr">
        <is>
          <t>Science Citation Index Expanded (SCI-EXPANDED); Social Science Citation Index (SSCI)</t>
        </is>
      </c>
      <c r="BM1124" t="inlineStr">
        <is>
          <t>Environmental Sciences &amp; Ecology; Public, Environmental &amp; Occupational Health</t>
        </is>
      </c>
      <c r="BN1124" t="inlineStr">
        <is>
          <t>FD2ND</t>
        </is>
      </c>
      <c r="BO1124" t="n">
        <v>28714934</v>
      </c>
      <c r="BP1124" t="inlineStr">
        <is>
          <t>gold, Green Accepted, Green Published, Green Submitted</t>
        </is>
      </c>
      <c r="BS1124" t="inlineStr">
        <is>
          <t>2023-10-26</t>
        </is>
      </c>
      <c r="BT1124" t="inlineStr">
        <is>
          <t>WOS:000407370700129</t>
        </is>
      </c>
      <c r="BU1124">
        <f>HYPERLINK("https%3A%2F%2Fwww.webofscience.com%2Fwos%2Fwoscc%2Ffull-record%2FWOS:000407370700129","View Full Record in Web of Science")</f>
        <v/>
      </c>
    </row>
    <row r="1125">
      <c r="A1125" t="inlineStr">
        <is>
          <t>J</t>
        </is>
      </c>
      <c r="B1125" t="inlineStr">
        <is>
          <t>Yang, L; Cheng, JM; Wang, HM</t>
        </is>
      </c>
      <c r="F1125" t="inlineStr">
        <is>
          <t>Yang, Le; Cheng, Jingmin; Wang, Hongman</t>
        </is>
      </c>
      <c r="J1125" t="inlineStr">
        <is>
          <t>INTERNATIONAL JOURNAL OF ENVIRONMENTAL RESEARCH AND PUBLIC HEALTH</t>
        </is>
      </c>
      <c r="M1125" t="inlineStr">
        <is>
          <t>English</t>
        </is>
      </c>
      <c r="N1125" t="inlineStr">
        <is>
          <t>Article</t>
        </is>
      </c>
      <c r="T1125" t="inlineStr">
        <is>
          <t>Place of Residence and Cognitive Function in Older Adults in China: The Mediating Role of Social Participation</t>
        </is>
      </c>
      <c r="U1125" t="inlineStr">
        <is>
          <t>social participation; older adults; place of residence; cognitive function</t>
        </is>
      </c>
      <c r="V1125" t="inlineStr">
        <is>
          <t>RURAL-AREAS; HEALTH; IMPACT; URBAN; DECLINE; DISENGAGEMENT; ENVIRONMENT; IMPAIRMENT; DEMENTIA</t>
        </is>
      </c>
      <c r="W1125" t="inlineStr">
        <is>
          <t>Background: Cognitive impairment is a severe health problem faced by older adults and their families, as well as the countries in which they live. Differences in place of residence may contribute to differences in the cognitive function of older adults, and the mediating effect of social participation has rarely been studied in China. Methods: A total of 10,014 older adult participants were included, using data from the Chinese Longitudinal Healthy Longevity Survey (CLHLS). Place of residence was described as either a city, town, or rural area. The frequency of participation in organized social activities and visits and interactions with friends was used to assess both formal and informal social participation. The Chinese version of a Mini-Mental State Examination (MMSE) was used as a measure of cognitive function. The mediation analysis was conducted using Hayes' process version 3.4 on SPSS (IBM, Armonk, NY, USA). Results: Place of residence had a negative effect on cognitive function in older adults. The mediating functions of both informal (a1b1 = 0.199) and formal (a2b2 = -0.056) social participation indicate a suppression effect on the part of informal social participation and a partial mediation effect on the part of formal social participation in terms of the association between place of residence and cognitive function in older adults. Promoting both informal and formal social participation seems to be an important strategy for preventing a decline in the cognitive function of older adults, especially for those living in rural areas.</t>
        </is>
      </c>
      <c r="X1125" t="inlineStr">
        <is>
          <t>[Yang, Le; Cheng, Jingmin] Shanxi Med Univ, Sch Management, 56 Xinjian South Rd, Taiyuan 030001, Peoples R China; [Wang, Hongman] Peking Univ, Sch Hlth Humanities, 38 Xueyuan Rd, Beijing 100191, Peoples R China</t>
        </is>
      </c>
      <c r="Y1125" t="inlineStr">
        <is>
          <t>Shanxi Medical University; Peking University</t>
        </is>
      </c>
      <c r="Z1125" t="inlineStr">
        <is>
          <t>Yang, L (corresponding author), Shanxi Med Univ, Sch Management, 56 Xinjian South Rd, Taiyuan 030001, Peoples R China.</t>
        </is>
      </c>
      <c r="AA1125" t="inlineStr">
        <is>
          <t>yangle05@sxmu.edu.cn; jingmincheng@sxmu.edu.cn; cde@pku.edu.cn</t>
        </is>
      </c>
      <c r="AB1125" t="inlineStr">
        <is>
          <t>Yang, Le/N-7422-2019</t>
        </is>
      </c>
      <c r="AC1125" t="inlineStr">
        <is>
          <t>Yang, Le/0000-0003-3466-1854</t>
        </is>
      </c>
      <c r="AH1125" t="n">
        <v>53</v>
      </c>
      <c r="AI1125" t="n">
        <v>9</v>
      </c>
      <c r="AJ1125" t="n">
        <v>9</v>
      </c>
      <c r="AK1125" t="n">
        <v>13</v>
      </c>
      <c r="AL1125" t="n">
        <v>53</v>
      </c>
      <c r="AM1125" t="inlineStr">
        <is>
          <t>MDPI</t>
        </is>
      </c>
      <c r="AN1125" t="inlineStr">
        <is>
          <t>BASEL</t>
        </is>
      </c>
      <c r="AO1125" t="inlineStr">
        <is>
          <t>ST ALBAN-ANLAGE 66, CH-4052 BASEL, SWITZERLAND</t>
        </is>
      </c>
      <c r="AQ1125" t="inlineStr">
        <is>
          <t>1660-4601</t>
        </is>
      </c>
      <c r="AS1125" t="inlineStr">
        <is>
          <t>INT J ENV RES PUB HE</t>
        </is>
      </c>
      <c r="AT1125" t="inlineStr">
        <is>
          <t>Int. J. Environ. Res. Public Health</t>
        </is>
      </c>
      <c r="AU1125" t="inlineStr">
        <is>
          <t>JAN</t>
        </is>
      </c>
      <c r="AV1125" t="n">
        <v>2022</v>
      </c>
      <c r="AW1125" t="n">
        <v>19</v>
      </c>
      <c r="AX1125" t="n">
        <v>1</v>
      </c>
      <c r="BE1125" t="n">
        <v>13</v>
      </c>
      <c r="BF1125" t="inlineStr">
        <is>
          <t>10.3390/ijerph19010013</t>
        </is>
      </c>
      <c r="BG1125">
        <f>HYPERLINK("http://dx.doi.org/10.3390/ijerph19010013","http://dx.doi.org/10.3390/ijerph19010013")</f>
        <v/>
      </c>
      <c r="BJ1125" t="n">
        <v>10</v>
      </c>
      <c r="BK1125" t="inlineStr">
        <is>
          <t>Environmental Sciences; Public, Environmental &amp; Occupational Health</t>
        </is>
      </c>
      <c r="BL1125" t="inlineStr">
        <is>
          <t>Science Citation Index Expanded (SCI-EXPANDED); Social Science Citation Index (SSCI)</t>
        </is>
      </c>
      <c r="BM1125" t="inlineStr">
        <is>
          <t>Environmental Sciences &amp; Ecology; Public, Environmental &amp; Occupational Health</t>
        </is>
      </c>
      <c r="BN1125" t="inlineStr">
        <is>
          <t>ZE0MP</t>
        </is>
      </c>
      <c r="BO1125" t="n">
        <v>35010273</v>
      </c>
      <c r="BP1125" t="inlineStr">
        <is>
          <t>gold, Green Published</t>
        </is>
      </c>
      <c r="BS1125" t="inlineStr">
        <is>
          <t>2023-10-26</t>
        </is>
      </c>
      <c r="BT1125" t="inlineStr">
        <is>
          <t>WOS:000758586700001</t>
        </is>
      </c>
      <c r="BU1125">
        <f>HYPERLINK("https%3A%2F%2Fwww.webofscience.com%2Fwos%2Fwoscc%2Ffull-record%2FWOS:000758586700001","View Full Record in Web of Science")</f>
        <v/>
      </c>
    </row>
    <row r="1126">
      <c r="A1126" t="inlineStr">
        <is>
          <t>J</t>
        </is>
      </c>
      <c r="B1126" t="inlineStr">
        <is>
          <t>Metzler, B; Nathvani, R; Sharmanska, V; Bai, WJ; Muller, E; Moulds, S; Agyei-Asabere, C; Adjei-Boadi, D; Kyere-Gyeabour, E; Tetteh, JD; Owusu, G; Agyei-Mensah, S; Baumgartner, J; Robinson, BE; Arku, RE; Ezzati, M</t>
        </is>
      </c>
      <c r="F1126" t="inlineStr">
        <is>
          <t>Metzler, Barbara; Nathvani, Ricky; Sharmanska, Viktoriia; Bai, Wenjia; Muller, Emily; Moulds, Simon; Agyei-Asabere, Charles; Adjei-Boadi, Dina; Kyere-Gyeabour, Elvis; Tetteh, Jacob Doku; Owusu, George; Agyei-Mensah, Samuel; Baumgartner, Jill; Robinson, Brian E.; Arku, Raphael E.; Ezzati, Majid</t>
        </is>
      </c>
      <c r="J1126" t="inlineStr">
        <is>
          <t>SCIENCE OF THE TOTAL ENVIRONMENT</t>
        </is>
      </c>
      <c r="M1126" t="inlineStr">
        <is>
          <t>English</t>
        </is>
      </c>
      <c r="N1126" t="inlineStr">
        <is>
          <t>Article</t>
        </is>
      </c>
      <c r="T1126" t="inlineStr">
        <is>
          <t>Phenotyping urban built and natural environments with high-resolution satellite images and unsupervised deep learning</t>
        </is>
      </c>
      <c r="U1126" t="inlineStr">
        <is>
          <t>Urban environment; Built and natural environment; High-resolution satellite images; Clustering; Deep learning; Sub-Saharan Africa</t>
        </is>
      </c>
      <c r="V1126" t="inlineStr">
        <is>
          <t>BUILDING ORIENTATION; ACCRA; CLASSIFICATION; HOUSEHOLD; ALGORITHM; POVERTY; IMPACT; ENERGY; CITY</t>
        </is>
      </c>
      <c r="W1126" t="inlineStr">
        <is>
          <t>Cities in the developing world are expanding rapidly, and undergoing changes to their roads, buildings, vegetation, and other land use characteristics. Timely data are needed to ensure that urban change enhances health, wellbeing and sustainability. We present and evaluate a novel unsupervised deep clustering method to classify and characterise the complex and multidimensional built and natural environments of cities into interpretable clusters using highresolution satellite images. We applied our approach to a high-resolution (0.3 m/pixel) satellite image of Accra, Ghana, one of the fastest growing cities in sub-Saharan Africa, and contextualised the results with demographic and environmental data that were not used for clustering. We show that clusters obtained solely from images capture distinct interpretable phenotypes of the urban natural (vegetation and water) and built (building count, size, density, and orientation; length and arrangement of roads) environment, and population, either as a unique defining charac- teristic (e.g., bodies of water or dense vegetation) or in combination (e.g., buildings surrounded by vegetation or sparsely populated areas intermixed with roads). Clusters that were based on a single defining characteristic were robust to the spatial scale of analysis and the choice of cluster number, whereas those based on a combina- tion of characteristics changed based on scale and number of clusters. The results demonstrate that satellite data and unsupervised deep learning provide a cost-effective, interpretable and scalable approach for real-time track- ing of sustainable urban development, especially where traditional environmental and demographic data are limited and infrequent.</t>
        </is>
      </c>
      <c r="X1126" t="inlineStr">
        <is>
          <t>[Metzler, Barbara; Nathvani, Ricky; Muller, Emily; Ezzati, Majid] Imperial Coll London, Sch Publ Hlth, Dept Epidemiol &amp; Biostat, London, England; [Metzler, Barbara; Nathvani, Ricky; Muller, Emily; Ezzati, Majid] Imperial Coll London, MRC Ctr Environm &amp; Hlth, London, England; [Sharmanska, Viktoriia] Univ Sussex, Dept Informat, Brighton, England; [Sharmanska, Viktoriia; Bai, Wenjia] Imperial Coll London, Dept Comp, London, England; [Bai, Wenjia] Imperial Coll London, Dept Brain Sci, London, England; [Moulds, Simon] Univ Oxford, Sch Geog &amp; Environm, Oxford, England; [Agyei-Asabere, Charles; Ezzati, Majid] Univ Ghana, Reg Inst Populat Studies, Accra, Ghana; [Adjei-Boadi, Dina; Kyere-Gyeabour, Elvis; Tetteh, Jacob Doku; Agyei-Mensah, Samuel] Univ Ghana, Dept Geog &amp; Resource Dev, Accra, Ghana; [Owusu, George] Univ Ghana, Inst Stat Social &amp; Econ Res, Accra, Ghana; [Baumgartner, Jill] McGill Univ, Dept Epidemiol &amp; Biostat, Montreal, PQ, Canada; [Baumgartner, Jill] McGill Univ, Dept Equ Eth &amp; Policy, Montreal, PQ, Canada; [Robinson, Brian E.] McGill Univ, Dept Geog, Montreal, PQ, Canada; [Arku, Raphael E.] Univ Massachusetts, Sch Publ Hlth &amp; Hlth Sci, Dept Environm Hlth Sci, Amherst, MA USA; [Ezzati, Majid] Imperial Coll London, Abdul Latif Jameel Inst Dis &amp; Emergency Analyt, London, England; [Ezzati, Majid] Imperial Coll London, Michael Uren Hub, White City Campus,86 Wood Ln, London W12 0BZ, England</t>
        </is>
      </c>
      <c r="Y1126" t="inlineStr">
        <is>
          <t>Imperial College London; Imperial College London; University of Sussex; Imperial College London; Imperial College London; University of Oxford; University of Ghana; University of Ghana; University of Ghana; McGill University; McGill University; McGill University; University of Massachusetts System; University of Massachusetts Amherst; Imperial College London; Imperial College London</t>
        </is>
      </c>
      <c r="Z1126" t="inlineStr">
        <is>
          <t>Ezzati, M (corresponding author), Imperial Coll London, Michael Uren Hub, White City Campus,86 Wood Ln, London W12 0BZ, England.</t>
        </is>
      </c>
      <c r="AA1126" t="inlineStr">
        <is>
          <t>majid.ezzati@imperial.ac.uk</t>
        </is>
      </c>
      <c r="AB1126" t="inlineStr">
        <is>
          <t>Owusu, George/AAI-3380-2020</t>
        </is>
      </c>
      <c r="AC1126" t="inlineStr">
        <is>
          <t>Owusu, George/0000-0003-3859-5540; Tetteh, Jacob Doku/0000-0001-9188-2472; Agyei-Mensah, Samuel/0000-0002-6418-393X; Sharmanska, Viktoriia/0000-0003-0192-9308; Kyere-Gyeabour, Elvis/0000-0002-5595-5045</t>
        </is>
      </c>
      <c r="AD1126" t="inlineStr">
        <is>
          <t>Wellcome Trust [209376/Z/17/Z]; Imperial College President's PhD scholarship; Wellcome Trust [209376/Z/17/Z] Funding Source: Wellcome Trust</t>
        </is>
      </c>
      <c r="AE1126" t="inlineStr">
        <is>
          <t>Wellcome Trust(Wellcome Trust); Imperial College President's PhD scholarship; Wellcome Trust(Wellcome Trust)</t>
        </is>
      </c>
      <c r="AF1126" t="inlineStr">
        <is>
          <t>This work was supported by the Pathways to Equitable Healthy Cities grant from the Wellcome Trust (209376/Z/17/Z). Antje Barbara Metzler is supported by an Imperial College President's PhD scholarship. For the purpose of Open Access, the author has applied a CC BY public copyright licence to any Author Accepted Manuscript version arising from this submission.</t>
        </is>
      </c>
      <c r="AH1126" t="n">
        <v>90</v>
      </c>
      <c r="AI1126" t="n">
        <v>0</v>
      </c>
      <c r="AJ1126" t="n">
        <v>0</v>
      </c>
      <c r="AK1126" t="n">
        <v>5</v>
      </c>
      <c r="AL1126" t="n">
        <v>5</v>
      </c>
      <c r="AM1126" t="inlineStr">
        <is>
          <t>ELSEVIER</t>
        </is>
      </c>
      <c r="AN1126" t="inlineStr">
        <is>
          <t>AMSTERDAM</t>
        </is>
      </c>
      <c r="AO1126" t="inlineStr">
        <is>
          <t>RADARWEG 29, 1043 NX AMSTERDAM, NETHERLANDS</t>
        </is>
      </c>
      <c r="AP1126" t="inlineStr">
        <is>
          <t>0048-9697</t>
        </is>
      </c>
      <c r="AQ1126" t="inlineStr">
        <is>
          <t>1879-1026</t>
        </is>
      </c>
      <c r="AS1126" t="inlineStr">
        <is>
          <t>SCI TOTAL ENVIRON</t>
        </is>
      </c>
      <c r="AT1126" t="inlineStr">
        <is>
          <t>Sci. Total Environ.</t>
        </is>
      </c>
      <c r="AU1126" t="inlineStr">
        <is>
          <t>OCT 1</t>
        </is>
      </c>
      <c r="AV1126" t="n">
        <v>2023</v>
      </c>
      <c r="AW1126" t="n">
        <v>893</v>
      </c>
      <c r="BE1126" t="n">
        <v>164794</v>
      </c>
      <c r="BF1126" t="inlineStr">
        <is>
          <t>10.1016/j.scitotenv.2023.164794</t>
        </is>
      </c>
      <c r="BG1126">
        <f>HYPERLINK("http://dx.doi.org/10.1016/j.scitotenv.2023.164794","http://dx.doi.org/10.1016/j.scitotenv.2023.164794")</f>
        <v/>
      </c>
      <c r="BI1126" t="inlineStr">
        <is>
          <t>JUN 2023</t>
        </is>
      </c>
      <c r="BJ1126" t="n">
        <v>14</v>
      </c>
      <c r="BK1126" t="inlineStr">
        <is>
          <t>Environmental Sciences</t>
        </is>
      </c>
      <c r="BL1126" t="inlineStr">
        <is>
          <t>Science Citation Index Expanded (SCI-EXPANDED)</t>
        </is>
      </c>
      <c r="BM1126" t="inlineStr">
        <is>
          <t>Environmental Sciences &amp; Ecology</t>
        </is>
      </c>
      <c r="BN1126" t="inlineStr">
        <is>
          <t>N2VU9</t>
        </is>
      </c>
      <c r="BO1126" t="n">
        <v>37315611</v>
      </c>
      <c r="BP1126" t="inlineStr">
        <is>
          <t>hybrid</t>
        </is>
      </c>
      <c r="BS1126" t="inlineStr">
        <is>
          <t>2023-10-26</t>
        </is>
      </c>
      <c r="BT1126" t="inlineStr">
        <is>
          <t>WOS:001035660500001</t>
        </is>
      </c>
      <c r="BU1126">
        <f>HYPERLINK("https%3A%2F%2Fwww.webofscience.com%2Fwos%2Fwoscc%2Ffull-record%2FWOS:001035660500001","View Full Record in Web of Science")</f>
        <v/>
      </c>
    </row>
    <row r="1127">
      <c r="A1127" t="inlineStr">
        <is>
          <t>J</t>
        </is>
      </c>
      <c r="B1127" t="inlineStr">
        <is>
          <t>Lee, EJ; Park, SJ</t>
        </is>
      </c>
      <c r="F1127" t="inlineStr">
        <is>
          <t>Lee, Eun-Ji; Park, Sung-Jun</t>
        </is>
      </c>
      <c r="J1127" t="inlineStr">
        <is>
          <t>INTERNATIONAL JOURNAL OF ENVIRONMENTAL RESEARCH AND PUBLIC HEALTH</t>
        </is>
      </c>
      <c r="M1127" t="inlineStr">
        <is>
          <t>English</t>
        </is>
      </c>
      <c r="N1127" t="inlineStr">
        <is>
          <t>Article</t>
        </is>
      </c>
      <c r="T1127" t="inlineStr">
        <is>
          <t>Biophilic Experience-Based Residential Hybrid Framework</t>
        </is>
      </c>
      <c r="U1127" t="inlineStr">
        <is>
          <t>biophilic design; human nature connectedness; residential environment; hybridization; hybrid framework</t>
        </is>
      </c>
      <c r="V1127" t="inlineStr">
        <is>
          <t>MENTAL-HEALTH; GREEN ROOFS; BENEFITS; ENVIRONMENT; THERAPY; CONNECTEDNESS; SATISFACTION; EXPOSURE; CONTEXT; STRESS</t>
        </is>
      </c>
      <c r="W1127" t="inlineStr">
        <is>
          <t>There has been increasing academic interest in biophilic design in response to recent environmental and climate change issues, including the COVID-19 pandemic. However, discussions of the utilization of digital technology in providing universal access to nature, and opportunities to experience more diverse nature, are lacking. This study aimed to compare and analyze major theoretical systems for biophilic experiences in a residential environment, and to propose a hybrid framework that combines physical and digital design techniques for comparison and analysis. This paper discusses framework application strategies in line with scales of residential environments. Based on a systematic literature review, this study integrated and derived key elements of biophilic experience for a better quality of life in a modern residential environment and proposed a hybrid framework and strategy based on this. As a result, a hybrid framework of 15 integrated factors for three biophilic experiences was derived, and various strengths and potential opportunities were identified in terms of application depending on the scales. At the unit scale, it was found that the well-being and health of residents improved; at the building scale, the potential for sustainability was highlighted; at the complex scale, there was a contribution to higher residential competitiveness in multi-dimensional aspects. In particular, the biophilic experience-based hybrid framework in this study provided insights into addressing the weaknesses and threats discussed in the existing biophilic design.</t>
        </is>
      </c>
      <c r="X1127" t="inlineStr">
        <is>
          <t>[Lee, Eun-Ji] Keimyung Univ, Dept Architecture, Daegu 42601, South Korea; [Park, Sung-Jun] Keimyung Univ, Dept Architectural Engn, Daegu 42601, South Korea</t>
        </is>
      </c>
      <c r="Y1127" t="inlineStr">
        <is>
          <t>Keimyung University; Keimyung University</t>
        </is>
      </c>
      <c r="Z1127" t="inlineStr">
        <is>
          <t>Park, SJ (corresponding author), Keimyung Univ, Dept Architectural Engn, Daegu 42601, South Korea.</t>
        </is>
      </c>
      <c r="AA1127" t="inlineStr">
        <is>
          <t>yej@stu.kmu.ac.kr; sjpark@kmu.ac.kr</t>
        </is>
      </c>
      <c r="AC1127" t="inlineStr">
        <is>
          <t>Lee, Eun Ji/0000-0003-3948-1641</t>
        </is>
      </c>
      <c r="AD1127" t="inlineStr">
        <is>
          <t>National Research Foundation of Korea (NRF) under the Korean Government Ministry of Education, Science and Technology (MEST) [2021R1A2C1012228]; National Research Foundation of Korea [2021R1A2C1012228] Funding Source: Korea Institute of Science &amp; Technology Information (KISTI), National Science &amp; Technology Information Service (NTIS)</t>
        </is>
      </c>
      <c r="AE1127" t="inlineStr">
        <is>
          <t>National Research Foundation of Korea (NRF) under the Korean Government Ministry of Education, Science and Technology (MEST)(National Research Foundation of KoreaMinistry of Education, Science &amp; Technology (MEST), Republic of Korea); National Research Foundation of Korea(National Research Foundation of Korea)</t>
        </is>
      </c>
      <c r="AF1127" t="inlineStr">
        <is>
          <t>This research was funded by National Research Foundation of Korea (NRF) under the Korean Government Ministry of Education, Science and Technology (MEST), grant number 2021R1A2C1012228.</t>
        </is>
      </c>
      <c r="AH1127" t="n">
        <v>125</v>
      </c>
      <c r="AI1127" t="n">
        <v>1</v>
      </c>
      <c r="AJ1127" t="n">
        <v>1</v>
      </c>
      <c r="AK1127" t="n">
        <v>8</v>
      </c>
      <c r="AL1127" t="n">
        <v>19</v>
      </c>
      <c r="AM1127" t="inlineStr">
        <is>
          <t>MDPI</t>
        </is>
      </c>
      <c r="AN1127" t="inlineStr">
        <is>
          <t>BASEL</t>
        </is>
      </c>
      <c r="AO1127" t="inlineStr">
        <is>
          <t>ST ALBAN-ANLAGE 66, CH-4052 BASEL, SWITZERLAND</t>
        </is>
      </c>
      <c r="AQ1127" t="inlineStr">
        <is>
          <t>1660-4601</t>
        </is>
      </c>
      <c r="AS1127" t="inlineStr">
        <is>
          <t>INT J ENV RES PUB HE</t>
        </is>
      </c>
      <c r="AT1127" t="inlineStr">
        <is>
          <t>Int. J. Environ. Res. Public Health</t>
        </is>
      </c>
      <c r="AU1127" t="inlineStr">
        <is>
          <t>JUL</t>
        </is>
      </c>
      <c r="AV1127" t="n">
        <v>2022</v>
      </c>
      <c r="AW1127" t="n">
        <v>19</v>
      </c>
      <c r="AX1127" t="n">
        <v>14</v>
      </c>
      <c r="BE1127" t="n">
        <v>8512</v>
      </c>
      <c r="BF1127" t="inlineStr">
        <is>
          <t>10.3390/ijerph19148512</t>
        </is>
      </c>
      <c r="BG1127">
        <f>HYPERLINK("http://dx.doi.org/10.3390/ijerph19148512","http://dx.doi.org/10.3390/ijerph19148512")</f>
        <v/>
      </c>
      <c r="BJ1127" t="n">
        <v>25</v>
      </c>
      <c r="BK1127" t="inlineStr">
        <is>
          <t>Environmental Sciences; Public, Environmental &amp; Occupational Health</t>
        </is>
      </c>
      <c r="BL1127" t="inlineStr">
        <is>
          <t>Science Citation Index Expanded (SCI-EXPANDED); Social Science Citation Index (SSCI)</t>
        </is>
      </c>
      <c r="BM1127" t="inlineStr">
        <is>
          <t>Environmental Sciences &amp; Ecology; Public, Environmental &amp; Occupational Health</t>
        </is>
      </c>
      <c r="BN1127" t="inlineStr">
        <is>
          <t>3K0AS</t>
        </is>
      </c>
      <c r="BO1127" t="n">
        <v>35886362</v>
      </c>
      <c r="BP1127" t="inlineStr">
        <is>
          <t>Green Published, gold</t>
        </is>
      </c>
      <c r="BS1127" t="inlineStr">
        <is>
          <t>2023-10-26</t>
        </is>
      </c>
      <c r="BT1127" t="inlineStr">
        <is>
          <t>WOS:000833749800001</t>
        </is>
      </c>
      <c r="BU1127">
        <f>HYPERLINK("https%3A%2F%2Fwww.webofscience.com%2Fwos%2Fwoscc%2Ffull-record%2FWOS:000833749800001","View Full Record in Web of Science")</f>
        <v/>
      </c>
    </row>
    <row r="1128">
      <c r="A1128" t="inlineStr">
        <is>
          <t>J</t>
        </is>
      </c>
      <c r="B1128" t="inlineStr">
        <is>
          <t>Swapan, AY; Bay, JH; Marinova, D</t>
        </is>
      </c>
      <c r="F1128" t="inlineStr">
        <is>
          <t>Swapan, Abu Yousuf; Bay, Joo Hwa; Marinova, Dora</t>
        </is>
      </c>
      <c r="J1128" t="inlineStr">
        <is>
          <t>SUSTAINABILITY</t>
        </is>
      </c>
      <c r="M1128" t="inlineStr">
        <is>
          <t>English</t>
        </is>
      </c>
      <c r="N1128" t="inlineStr">
        <is>
          <t>Article</t>
        </is>
      </c>
      <c r="T1128" t="inlineStr">
        <is>
          <t>Built Form and Community Building in Residential Neighbourhoods: A Case Study of Physical Distance in Subiaco, Western Australia</t>
        </is>
      </c>
      <c r="U1128" t="inlineStr">
        <is>
          <t>social sustainability; sense of community; quality of life; community building; built form typology; front yard; street; communication; social interaction; distance; closeness; social bonding</t>
        </is>
      </c>
      <c r="V1128" t="inlineStr">
        <is>
          <t>CONTEMPORARY PUBLIC SPACE; URBAN DESIGN; SOCIAL SUSTAINABILITY; LIFE SATISFACTION; SENSE; IMPACT; INFRASTRUCTURE; CLASSIFICATION; CONTEXTS; MEDIA</t>
        </is>
      </c>
      <c r="W1128" t="inlineStr">
        <is>
          <t>With physical and social aspects being inseparable within urban environments, design for sustainability needs to include the link between the distance and sense of community. However, only a few studies examine residential suburbs and specifically focus on the physical and social interactions occurring within the streets and adjacent to them spaces, such as verges, sidewalks and front yards. Using a case study method, including observation and a perception-based survey in the inner-city suburb of Subiaco in Perth, Western Australia, this investigation opens up a new understanding of physical distance and social interaction. It develops a novel typology of physical distances and social closeness within a residential neighbourhood which allows better conceptualising the sense of community for achieving integrated sustainability.</t>
        </is>
      </c>
      <c r="X1128" t="inlineStr">
        <is>
          <t>[Swapan, Abu Yousuf; Marinova, Dora] Curtin Univ, Sustainabil Policy Inst, Bldg 209, Perth, WA 6102, Australia; [Bay, Joo Hwa] Curtin Univ, Sch Design &amp; Built Environm, Perth, WA 6102, Australia</t>
        </is>
      </c>
      <c r="Y1128" t="inlineStr">
        <is>
          <t>Curtin University; Curtin University</t>
        </is>
      </c>
      <c r="Z1128" t="inlineStr">
        <is>
          <t>Swapan, AY (corresponding author), Curtin Univ, Sustainabil Policy Inst, Bldg 209, Perth, WA 6102, Australia.</t>
        </is>
      </c>
      <c r="AA1128" t="inlineStr">
        <is>
          <t>swapan4794@gmail.com; philipjhbay@yahoo.com; d.marinova@curtin.edu.au</t>
        </is>
      </c>
      <c r="AB1128" t="inlineStr">
        <is>
          <t>Marinova, Dora/H-2093-2013</t>
        </is>
      </c>
      <c r="AC1128" t="inlineStr">
        <is>
          <t>Marinova, Dora/0000-0001-5125-8878; Swapan, Abu Yousuf/0000-0001-9754-9718</t>
        </is>
      </c>
      <c r="AD1128" t="inlineStr">
        <is>
          <t>Curtin University</t>
        </is>
      </c>
      <c r="AE1128" t="inlineStr">
        <is>
          <t>Curtin University</t>
        </is>
      </c>
      <c r="AF1128" t="inlineStr">
        <is>
          <t>Funding for research and publication was provided by Curtin University.</t>
        </is>
      </c>
      <c r="AH1128" t="n">
        <v>84</v>
      </c>
      <c r="AI1128" t="n">
        <v>3</v>
      </c>
      <c r="AJ1128" t="n">
        <v>3</v>
      </c>
      <c r="AK1128" t="n">
        <v>3</v>
      </c>
      <c r="AL1128" t="n">
        <v>15</v>
      </c>
      <c r="AM1128" t="inlineStr">
        <is>
          <t>MDPI</t>
        </is>
      </c>
      <c r="AN1128" t="inlineStr">
        <is>
          <t>BASEL</t>
        </is>
      </c>
      <c r="AO1128" t="inlineStr">
        <is>
          <t>ST ALBAN-ANLAGE 66, CH-4052 BASEL, SWITZERLAND</t>
        </is>
      </c>
      <c r="AP1128" t="inlineStr">
        <is>
          <t>2071-1050</t>
        </is>
      </c>
      <c r="AS1128" t="inlineStr">
        <is>
          <t>SUSTAINABILITY-BASEL</t>
        </is>
      </c>
      <c r="AT1128" t="inlineStr">
        <is>
          <t>Sustainability</t>
        </is>
      </c>
      <c r="AU1128" t="inlineStr">
        <is>
          <t>JUN</t>
        </is>
      </c>
      <c r="AV1128" t="n">
        <v>2018</v>
      </c>
      <c r="AW1128" t="n">
        <v>10</v>
      </c>
      <c r="AX1128" t="n">
        <v>6</v>
      </c>
      <c r="BE1128" t="n">
        <v>1703</v>
      </c>
      <c r="BF1128" t="inlineStr">
        <is>
          <t>10.3390/su10061703</t>
        </is>
      </c>
      <c r="BG1128">
        <f>HYPERLINK("http://dx.doi.org/10.3390/su10061703","http://dx.doi.org/10.3390/su10061703")</f>
        <v/>
      </c>
      <c r="BJ1128" t="n">
        <v>19</v>
      </c>
      <c r="BK1128" t="inlineStr">
        <is>
          <t>Green &amp; Sustainable Science &amp; Technology; Environmental Sciences; Environmental Studies</t>
        </is>
      </c>
      <c r="BL1128" t="inlineStr">
        <is>
          <t>Science Citation Index Expanded (SCI-EXPANDED); Social Science Citation Index (SSCI)</t>
        </is>
      </c>
      <c r="BM1128" t="inlineStr">
        <is>
          <t>Science &amp; Technology - Other Topics; Environmental Sciences &amp; Ecology</t>
        </is>
      </c>
      <c r="BN1128" t="inlineStr">
        <is>
          <t>GK9LE</t>
        </is>
      </c>
      <c r="BP1128" t="inlineStr">
        <is>
          <t>gold, Green Submitted</t>
        </is>
      </c>
      <c r="BS1128" t="inlineStr">
        <is>
          <t>2023-10-26</t>
        </is>
      </c>
      <c r="BT1128" t="inlineStr">
        <is>
          <t>WOS:000436570100015</t>
        </is>
      </c>
      <c r="BU1128">
        <f>HYPERLINK("https%3A%2F%2Fwww.webofscience.com%2Fwos%2Fwoscc%2Ffull-record%2FWOS:000436570100015","View Full Record in Web of Science")</f>
        <v/>
      </c>
    </row>
    <row r="1129">
      <c r="A1129" t="inlineStr">
        <is>
          <t>J</t>
        </is>
      </c>
      <c r="B1129" t="inlineStr">
        <is>
          <t>Davidova, M</t>
        </is>
      </c>
      <c r="F1129" t="inlineStr">
        <is>
          <t>Davidova, Marie</t>
        </is>
      </c>
      <c r="J1129" t="inlineStr">
        <is>
          <t>SUSTAINABILITY</t>
        </is>
      </c>
      <c r="M1129" t="inlineStr">
        <is>
          <t>English</t>
        </is>
      </c>
      <c r="N1129" t="inlineStr">
        <is>
          <t>Article</t>
        </is>
      </c>
      <c r="T1129" t="inlineStr">
        <is>
          <t>Breathing Artifacts of Urban BioClimatic Layers for Post-Anthropocene Urban Environment</t>
        </is>
      </c>
      <c r="U1129" t="inlineStr">
        <is>
          <t>post-Anthropocene; cross-species coliving; systemic design; systems-oriented design; systemic approach to architectural performance; metabolic cities; breathing walls; responsive wood; gigamapping</t>
        </is>
      </c>
      <c r="W1129" t="inlineStr">
        <is>
          <t>This article seeks the qualitative synthesis of schools of thought from extreme climate regions that could support urban biodiversity and climate change adaptation through architectural design. It proposes that climate comfort and biodiversity are closely related. This article suggests a possible systemic urban metabolism within a built environment that can support a transition to post-Anthropocene, where humans and other species live together in synergy. This article exemplifies and seeks systemic relations and reflections of gathered field studies documentation of case studies of breathing walls, envelopes, and screens generating bioclimatic layers in the cultural landscape, selected for their penetrability and performance. The samples from diverse study journeys that were codesigned through vernacular cultures and the author's research by design speculations on the responsive screen 'Ray' are investigated and speculated upon through gigamapping (visual complexity mapping). This gigamapping is not to present any hard data model but to relate, inform and speculate on the investigated field that is grounded in research by design on cross-species coliving. This is approached through possible architectures and architectural and urban design parasites, transitioning towards synergetic landscapes of our envisioned colived and cocreated futures.</t>
        </is>
      </c>
      <c r="X1129" t="inlineStr">
        <is>
          <t>[Davidova, Marie] Univ Stuttgart, Cluster Excellence Integrat Computat Design &amp; Con, D-70174 Stuttgart, Germany</t>
        </is>
      </c>
      <c r="Y1129" t="inlineStr">
        <is>
          <t>University of Stuttgart</t>
        </is>
      </c>
      <c r="Z1129" t="inlineStr">
        <is>
          <t>Davidova, M (corresponding author), Univ Stuttgart, Cluster Excellence Integrat Computat Design &amp; Con, D-70174 Stuttgart, Germany.</t>
        </is>
      </c>
      <c r="AA1129" t="inlineStr">
        <is>
          <t>marie.davidova@intcdc.uni-stuttgart.de</t>
        </is>
      </c>
      <c r="AB1129" t="inlineStr">
        <is>
          <t>Davidova, Marie/Q-3813-2017</t>
        </is>
      </c>
      <c r="AC1129" t="inlineStr">
        <is>
          <t>Davidova, Marie/0000-0002-1820-148X</t>
        </is>
      </c>
      <c r="AD1129" t="inlineStr">
        <is>
          <t>Deutsche Forschungsgemeinschaft (DFG, German Research Foundation) under Germanys Excellence Strategy [EXC 2120/1390831618]</t>
        </is>
      </c>
      <c r="AE1129" t="inlineStr">
        <is>
          <t>Deutsche Forschungsgemeinschaft (DFG, German Research Foundation) under Germanys Excellence Strategy(German Research Foundation (DFG))</t>
        </is>
      </c>
      <c r="AF1129" t="inlineStr">
        <is>
          <t>The research published in this article is supported by the Deutsche Forschungsgemeinschaft (DFG, German Research Foundation) under Germanys Excellence StrategyEXC 2120/1390831618. The authors cordially thank the DFG.</t>
        </is>
      </c>
      <c r="AH1129" t="n">
        <v>89</v>
      </c>
      <c r="AI1129" t="n">
        <v>2</v>
      </c>
      <c r="AJ1129" t="n">
        <v>2</v>
      </c>
      <c r="AK1129" t="n">
        <v>0</v>
      </c>
      <c r="AL1129" t="n">
        <v>8</v>
      </c>
      <c r="AM1129" t="inlineStr">
        <is>
          <t>MDPI</t>
        </is>
      </c>
      <c r="AN1129" t="inlineStr">
        <is>
          <t>BASEL</t>
        </is>
      </c>
      <c r="AO1129" t="inlineStr">
        <is>
          <t>ST ALBAN-ANLAGE 66, CH-4052 BASEL, SWITZERLAND</t>
        </is>
      </c>
      <c r="AQ1129" t="inlineStr">
        <is>
          <t>2071-1050</t>
        </is>
      </c>
      <c r="AS1129" t="inlineStr">
        <is>
          <t>SUSTAINABILITY-BASEL</t>
        </is>
      </c>
      <c r="AT1129" t="inlineStr">
        <is>
          <t>Sustainability</t>
        </is>
      </c>
      <c r="AU1129" t="inlineStr">
        <is>
          <t>OCT</t>
        </is>
      </c>
      <c r="AV1129" t="n">
        <v>2021</v>
      </c>
      <c r="AW1129" t="n">
        <v>13</v>
      </c>
      <c r="AX1129" t="n">
        <v>20</v>
      </c>
      <c r="BE1129" t="n">
        <v>11307</v>
      </c>
      <c r="BF1129" t="inlineStr">
        <is>
          <t>10.3390/su132011307</t>
        </is>
      </c>
      <c r="BG1129">
        <f>HYPERLINK("http://dx.doi.org/10.3390/su132011307","http://dx.doi.org/10.3390/su132011307")</f>
        <v/>
      </c>
      <c r="BJ1129" t="n">
        <v>36</v>
      </c>
      <c r="BK1129" t="inlineStr">
        <is>
          <t>Green &amp; Sustainable Science &amp; Technology; Environmental Sciences; Environmental Studies</t>
        </is>
      </c>
      <c r="BL1129" t="inlineStr">
        <is>
          <t>Science Citation Index Expanded (SCI-EXPANDED); Social Science Citation Index (SSCI)</t>
        </is>
      </c>
      <c r="BM1129" t="inlineStr">
        <is>
          <t>Science &amp; Technology - Other Topics; Environmental Sciences &amp; Ecology</t>
        </is>
      </c>
      <c r="BN1129" t="inlineStr">
        <is>
          <t>WQ4WJ</t>
        </is>
      </c>
      <c r="BP1129" t="inlineStr">
        <is>
          <t>gold</t>
        </is>
      </c>
      <c r="BS1129" t="inlineStr">
        <is>
          <t>2023-10-26</t>
        </is>
      </c>
      <c r="BT1129" t="inlineStr">
        <is>
          <t>WOS:000713818300001</t>
        </is>
      </c>
      <c r="BU1129">
        <f>HYPERLINK("https%3A%2F%2Fwww.webofscience.com%2Fwos%2Fwoscc%2Ffull-record%2FWOS:000713818300001","View Full Record in Web of Science")</f>
        <v/>
      </c>
    </row>
    <row r="1130">
      <c r="A1130" t="inlineStr">
        <is>
          <t>J</t>
        </is>
      </c>
      <c r="B1130" t="inlineStr">
        <is>
          <t>Ko, Y; Han, SY; Jang, HY</t>
        </is>
      </c>
      <c r="F1130" t="inlineStr">
        <is>
          <t>Ko, Young; Han, Song Yi; Jang, Hye-Young</t>
        </is>
      </c>
      <c r="J1130" t="inlineStr">
        <is>
          <t>INTERNATIONAL JOURNAL OF ENVIRONMENTAL RESEARCH AND PUBLIC HEALTH</t>
        </is>
      </c>
      <c r="M1130" t="inlineStr">
        <is>
          <t>English</t>
        </is>
      </c>
      <c r="N1130" t="inlineStr">
        <is>
          <t>Article</t>
        </is>
      </c>
      <c r="T1130" t="inlineStr">
        <is>
          <t>Factors Influencing Suicidal Ideation and Attempts among Older Korean Adults: Focusing on Age Discrimination and Neglect</t>
        </is>
      </c>
      <c r="U1130" t="inlineStr">
        <is>
          <t>older adults; suicidal ideation; suicide attempt; age discrimination; neglect</t>
        </is>
      </c>
      <c r="V1130" t="inlineStr">
        <is>
          <t>PERCEIVED DISCRIMINATION; AFRICAN-AMERICANS; METAANALYSIS; PREVALENCE; HEALTH</t>
        </is>
      </c>
      <c r="W1130" t="inlineStr">
        <is>
          <t>This study was conducted to identify factors influencing the development of suicidal ideation and the transition from suicidal ideation to attempts by focusing on experiences of age discrimination and neglect among older Korean adults. This study analyzed data from 10,042 older adults from the 2017 National Survey of Older Koreans using national representative samples. Multiple logistic analyses were used to identify factors influencing the development of suicidal ideation and transition from suicidal ideation to attempts. While younger age, higher educational attainment, living alone, number of chronic diseases, depressive symptoms, social isolation, social support, experience of neglect, and age discrimination influenced the development of suicidal ideation, all of these did not influence the transition from ideation to attempts. Factors influencing this transition included male gender, less educational attainment, and experience of age discrimination. Thus, social efforts to reduce age discrimination are necessary to prevent suicide attempts among Korean older adults.</t>
        </is>
      </c>
      <c r="X1130" t="inlineStr">
        <is>
          <t>[Ko, Young] Gachon Univ, Coll Nursing, Incheon 21936, South Korea; [Han, Song Yi] Sunmoon Univ, Dept Nursing Sci, Asan 31460, South Korea; [Jang, Hye-Young] Hanyang Univ, Coll Nursing, Seoul 04763, South Korea</t>
        </is>
      </c>
      <c r="Y1130" t="inlineStr">
        <is>
          <t>Gachon University; Sun Moon University; Hanyang University</t>
        </is>
      </c>
      <c r="Z1130" t="inlineStr">
        <is>
          <t>Jang, HY (corresponding author), Hanyang Univ, Coll Nursing, Seoul 04763, South Korea.</t>
        </is>
      </c>
      <c r="AA1130" t="inlineStr">
        <is>
          <t>moodory@gmail.com; syhan@sunmoon.ac.kr; white0108@hanyang.ac.kr</t>
        </is>
      </c>
      <c r="AB1130" t="inlineStr">
        <is>
          <t>ko, young/ABE-8258-2021</t>
        </is>
      </c>
      <c r="AC1130" t="inlineStr">
        <is>
          <t>Ko, Young/0000-0003-2708-8543</t>
        </is>
      </c>
      <c r="AH1130" t="n">
        <v>49</v>
      </c>
      <c r="AI1130" t="n">
        <v>9</v>
      </c>
      <c r="AJ1130" t="n">
        <v>9</v>
      </c>
      <c r="AK1130" t="n">
        <v>2</v>
      </c>
      <c r="AL1130" t="n">
        <v>9</v>
      </c>
      <c r="AM1130" t="inlineStr">
        <is>
          <t>MDPI</t>
        </is>
      </c>
      <c r="AN1130" t="inlineStr">
        <is>
          <t>BASEL</t>
        </is>
      </c>
      <c r="AO1130" t="inlineStr">
        <is>
          <t>ST ALBAN-ANLAGE 66, CH-4052 BASEL, SWITZERLAND</t>
        </is>
      </c>
      <c r="AQ1130" t="inlineStr">
        <is>
          <t>1660-4601</t>
        </is>
      </c>
      <c r="AS1130" t="inlineStr">
        <is>
          <t>INT J ENV RES PUB HE</t>
        </is>
      </c>
      <c r="AT1130" t="inlineStr">
        <is>
          <t>Int. J. Environ. Res. Public Health</t>
        </is>
      </c>
      <c r="AU1130" t="inlineStr">
        <is>
          <t>FEB</t>
        </is>
      </c>
      <c r="AV1130" t="n">
        <v>2021</v>
      </c>
      <c r="AW1130" t="n">
        <v>18</v>
      </c>
      <c r="AX1130" t="n">
        <v>4</v>
      </c>
      <c r="BE1130" t="n">
        <v>1852</v>
      </c>
      <c r="BF1130" t="inlineStr">
        <is>
          <t>10.3390/ijerph18041852</t>
        </is>
      </c>
      <c r="BG1130">
        <f>HYPERLINK("http://dx.doi.org/10.3390/ijerph18041852","http://dx.doi.org/10.3390/ijerph18041852")</f>
        <v/>
      </c>
      <c r="BJ1130" t="n">
        <v>13</v>
      </c>
      <c r="BK1130" t="inlineStr">
        <is>
          <t>Environmental Sciences; Public, Environmental &amp; Occupational Health</t>
        </is>
      </c>
      <c r="BL1130" t="inlineStr">
        <is>
          <t>Science Citation Index Expanded (SCI-EXPANDED); Social Science Citation Index (SSCI)</t>
        </is>
      </c>
      <c r="BM1130" t="inlineStr">
        <is>
          <t>Environmental Sciences &amp; Ecology; Public, Environmental &amp; Occupational Health</t>
        </is>
      </c>
      <c r="BN1130" t="inlineStr">
        <is>
          <t>QP2AU</t>
        </is>
      </c>
      <c r="BO1130" t="n">
        <v>33672881</v>
      </c>
      <c r="BP1130" t="inlineStr">
        <is>
          <t>Green Published, gold</t>
        </is>
      </c>
      <c r="BS1130" t="inlineStr">
        <is>
          <t>2023-10-26</t>
        </is>
      </c>
      <c r="BT1130" t="inlineStr">
        <is>
          <t>WOS:000623639100001</t>
        </is>
      </c>
      <c r="BU1130">
        <f>HYPERLINK("https%3A%2F%2Fwww.webofscience.com%2Fwos%2Fwoscc%2Ffull-record%2FWOS:000623639100001","View Full Record in Web of Science")</f>
        <v/>
      </c>
    </row>
    <row r="1131">
      <c r="A1131" t="inlineStr">
        <is>
          <t>J</t>
        </is>
      </c>
      <c r="B1131" t="inlineStr">
        <is>
          <t>Dai, QZ; Min, X; Weng, ML</t>
        </is>
      </c>
      <c r="F1131" t="inlineStr">
        <is>
          <t>Dai, Qizhou; Min, Xia; Weng, Mili</t>
        </is>
      </c>
      <c r="J1131" t="inlineStr">
        <is>
          <t>JOURNAL OF THE AIR &amp; WASTE MANAGEMENT ASSOCIATION</t>
        </is>
      </c>
      <c r="M1131" t="inlineStr">
        <is>
          <t>English</t>
        </is>
      </c>
      <c r="N1131" t="inlineStr">
        <is>
          <t>Review</t>
        </is>
      </c>
      <c r="T1131" t="inlineStr">
        <is>
          <t>A review of polychlorinated biphenyls (PCBs) pollution in indoor air environment</t>
        </is>
      </c>
      <c r="V1131" t="inlineStr">
        <is>
          <t>POLYBROMINATED DIPHENYL ETHERS; HUDSON RIVER COMMUNITIES; DIBENZO-P-DIOXINS; HUMAN EXPOSURE; SOUTH-KOREA; ATMOSPHERIC CONCENTRATIONS; ORGANOCHLORINE PESTICIDES; OLDER RESIDENTS; GYEONGGI-DO; DL-PCBS</t>
        </is>
      </c>
      <c r="W1131" t="inlineStr">
        <is>
          <t>Polychlorinated biphenyls (PCBs) were widely used in industrial production due to the unique physical and chemical properties. As a kind of persistent organic pollutants, the PCBs would lead to environment pollution and cause serious problems for human health. Thus, they have been banned since the 1980s due to the environment pollution in the past years. Indoor air is the most direct and important environment medium to human beings; thus, the PCBs pollution research in indoor air is important for the protection of human health. This paper introduces the industrial application and potential harm of PCBs, summarizes the sampling, extracting, and analytical methods of environment monitoring, and compares the indoor air levels of urban areas with those of industrial areas in different countries according to various reports. This paper can provide a basic summary for PCBs pollution control in the indoor air environment. Implications: The review of PCBs pollution in indoor air in China is still limited. In this paper, we introduce the industrial application and potential harm of PCBs, summarize the sampling, extracting, and analytical methods of environment monitoring, and compare the indoor air levels of urban areas with industrial areas in different countries according to various reports.</t>
        </is>
      </c>
      <c r="X1131" t="inlineStr">
        <is>
          <t>[Dai, Qizhou; Min, Xia] Zhejiang Univ Technol, Coll Environm, Hangzhou, Zhejiang, Peoples R China; [Weng, Mili] Zhejiang Agr &amp; Forestry Univ, Sch Environm &amp; Resource Sci, Hangzhou Linan 311300, Peoples R China</t>
        </is>
      </c>
      <c r="Y1131" t="inlineStr">
        <is>
          <t>Zhejiang University of Technology; Zhejiang A&amp;F University</t>
        </is>
      </c>
      <c r="Z1131" t="inlineStr">
        <is>
          <t>Weng, ML (corresponding author), Zhejiang Agr &amp; Forestry Univ, Sch Environm &amp; Resource Sci, Hangzhou Linan 311300, Peoples R China.</t>
        </is>
      </c>
      <c r="AA1131" t="inlineStr">
        <is>
          <t>wengml@163.com</t>
        </is>
      </c>
      <c r="AD1131" t="inlineStr">
        <is>
          <t>National Natural Science Foundation of China [21207116]; Scientific Research Foundation of Zhejiang Agriculture and Forestry University [2010FR090]</t>
        </is>
      </c>
      <c r="AE1131" t="inlineStr">
        <is>
          <t>National Natural Science Foundation of China(National Natural Science Foundation of China (NSFC)); Scientific Research Foundation of Zhejiang Agriculture and Forestry University</t>
        </is>
      </c>
      <c r="AF1131" t="inlineStr">
        <is>
          <t>The authors are grateful for the financial support provided by the National Natural Science Foundation of China (21207116) and the Scientific Research Foundation of Zhejiang Agriculture and Forestry University (2010FR090).</t>
        </is>
      </c>
      <c r="AH1131" t="n">
        <v>59</v>
      </c>
      <c r="AI1131" t="n">
        <v>35</v>
      </c>
      <c r="AJ1131" t="n">
        <v>36</v>
      </c>
      <c r="AK1131" t="n">
        <v>8</v>
      </c>
      <c r="AL1131" t="n">
        <v>83</v>
      </c>
      <c r="AM1131" t="inlineStr">
        <is>
          <t>TAYLOR &amp; FRANCIS INC</t>
        </is>
      </c>
      <c r="AN1131" t="inlineStr">
        <is>
          <t>PHILADELPHIA</t>
        </is>
      </c>
      <c r="AO1131" t="inlineStr">
        <is>
          <t>530 WALNUT STREET, STE 850, PHILADELPHIA, PA 19106 USA</t>
        </is>
      </c>
      <c r="AP1131" t="inlineStr">
        <is>
          <t>1096-2247</t>
        </is>
      </c>
      <c r="AQ1131" t="inlineStr">
        <is>
          <t>2162-2906</t>
        </is>
      </c>
      <c r="AS1131" t="inlineStr">
        <is>
          <t>J AIR WASTE MANAGE</t>
        </is>
      </c>
      <c r="AT1131" t="inlineStr">
        <is>
          <t>J. Air Waste Manage. Assoc.</t>
        </is>
      </c>
      <c r="AV1131" t="n">
        <v>2016</v>
      </c>
      <c r="AW1131" t="n">
        <v>66</v>
      </c>
      <c r="AX1131" t="n">
        <v>10</v>
      </c>
      <c r="BC1131" t="n">
        <v>941</v>
      </c>
      <c r="BD1131" t="n">
        <v>950</v>
      </c>
      <c r="BF1131" t="inlineStr">
        <is>
          <t>10.1080/10962247.2016.1184193</t>
        </is>
      </c>
      <c r="BG1131">
        <f>HYPERLINK("http://dx.doi.org/10.1080/10962247.2016.1184193","http://dx.doi.org/10.1080/10962247.2016.1184193")</f>
        <v/>
      </c>
      <c r="BJ1131" t="n">
        <v>10</v>
      </c>
      <c r="BK1131" t="inlineStr">
        <is>
          <t>Engineering, Environmental; Environmental Sciences; Meteorology &amp; Atmospheric Sciences</t>
        </is>
      </c>
      <c r="BL1131" t="inlineStr">
        <is>
          <t>Science Citation Index Expanded (SCI-EXPANDED)</t>
        </is>
      </c>
      <c r="BM1131" t="inlineStr">
        <is>
          <t>Engineering; Environmental Sciences &amp; Ecology; Meteorology &amp; Atmospheric Sciences</t>
        </is>
      </c>
      <c r="BN1131" t="inlineStr">
        <is>
          <t>EA7XN</t>
        </is>
      </c>
      <c r="BO1131" t="n">
        <v>27191511</v>
      </c>
      <c r="BP1131" t="inlineStr">
        <is>
          <t>Bronze</t>
        </is>
      </c>
      <c r="BS1131" t="inlineStr">
        <is>
          <t>2023-10-26</t>
        </is>
      </c>
      <c r="BT1131" t="inlineStr">
        <is>
          <t>WOS:000386846300001</t>
        </is>
      </c>
      <c r="BU1131">
        <f>HYPERLINK("https%3A%2F%2Fwww.webofscience.com%2Fwos%2Fwoscc%2Ffull-record%2FWOS:000386846300001","View Full Record in Web of Science")</f>
        <v/>
      </c>
    </row>
    <row r="1132">
      <c r="A1132" t="inlineStr">
        <is>
          <t>J</t>
        </is>
      </c>
      <c r="B1132" t="inlineStr">
        <is>
          <t>Cardoso, AF; Bobrowicz-Campos, E; Teixeira-Santos, L; Cardoso, D; Couto, F; Apóstolo, J</t>
        </is>
      </c>
      <c r="F1132" t="inlineStr">
        <is>
          <t>Cardoso, Ana Filipa; Bobrowicz-Campos, Elzbieta; Teixeira-Santos, Luisa; Cardoso, Daniela; Couto, Filipa; Apostolo, Joao</t>
        </is>
      </c>
      <c r="J1132" t="inlineStr">
        <is>
          <t>INTERNATIONAL JOURNAL OF ENVIRONMENTAL RESEARCH AND PUBLIC HEALTH</t>
        </is>
      </c>
      <c r="M1132" t="inlineStr">
        <is>
          <t>English</t>
        </is>
      </c>
      <c r="N1132" t="inlineStr">
        <is>
          <t>Article</t>
        </is>
      </c>
      <c r="T1132" t="inlineStr">
        <is>
          <t>Validation and Screening Capacity of the European Portuguese Version of the SUNFRAIL Tool for Community-Dwelling Older Adults</t>
        </is>
      </c>
      <c r="U1132" t="inlineStr">
        <is>
          <t>SUNFRAIL; psychometric properties; screening tool; frailty; older adults</t>
        </is>
      </c>
      <c r="W1132" t="inlineStr">
        <is>
          <t>Early detection of frailty may prevent or delay adverse health outcomes in community-dwelling older adults. In Portugal, there are currently no valid multidimensional frailty screening tools. SUNFRAIL is a user-friendly multidimensional tool for frailty screening that can be used in primary care. Aims: (i) to determine the validity and reliability of the European Portuguese version of the SUNFRAIL tool for use in community-dwelling older adults; (ii) to assess the screening capacity of this version of SUNFRAIL using Fried's phenotypic model criteria for frailty as a reference test. Methods: Cross-sectional pilot study in a convenience sample of 128 community-dwelling older adults. Objective and subjective data were collected. Internal consistency, concurrent validity, sensitivity, and specificity (ROC curve analysis) were examined. Results: Internal consistency was low. Significant moderate to strong correlations were found between different domains and the total score. The differences between robust, pre-frail, and frail older adults were significant. SUNFRAIL was also correlated with multimorbidity. Sensitivity and specificity were satisfactory. Conclusions: The European Portuguese version of the SUNFRAIL tool is a promising frailty screening tool for community-dwelling older adults to be routinely used in clinical practice. However, more consistent results on its validity and reliability are needed to be used nationwide.</t>
        </is>
      </c>
      <c r="X1132" t="inlineStr">
        <is>
          <t>[Cardoso, Ana Filipa; Cardoso, Daniela; Apostolo, Joao] Portugal Ctr Evidence Based Practice, Nursing Sch Coimbra, Hlth Sci Res Unit, Nursing, P-3004011 Coimbra, Portugal; [Bobrowicz-Campos, Elzbieta] Univ Coimbra, Fac Psychol &amp; Educ Sci, Ctr 20th Century Interdisciplinary Studies, P-3000115 Coimbra, Portugal; [Teixeira-Santos, Luisa] Nursing Sch Coimbra, Hlth Sci Res Unit, Nursing, P-3004011 Coimbra, Portugal; [Couto, Filipa] Nursing Sch Coimbra, Hlth Sci Res Unit, Alfena Hosp, Trofa Hlth Grp,Nursing, P-3000232 Coimbra, Portugal</t>
        </is>
      </c>
      <c r="Y1132" t="inlineStr">
        <is>
          <t>Nursing School of Coimbra; Universidade de Coimbra; Nursing School of Coimbra; Nursing School of Coimbra</t>
        </is>
      </c>
      <c r="Z1132" t="inlineStr">
        <is>
          <t>Cardoso, AF (corresponding author), Portugal Ctr Evidence Based Practice, Nursing Sch Coimbra, Hlth Sci Res Unit, Nursing, P-3004011 Coimbra, Portugal.</t>
        </is>
      </c>
      <c r="AA1132" t="inlineStr">
        <is>
          <t>fcardoso@esenfc.pt; elzbieta.campos@gmail.com; luisasants@esenfc.pt; dcardoso@esenfc.pt; filipadccouto@gmail.com; apostolo@esenfc.pt</t>
        </is>
      </c>
      <c r="AB1132" t="inlineStr">
        <is>
          <t>Apostolo, Joao L A/H-6281-2012; Cardoso, Ana Filipa dos Reis Marques/JCF-2444-2023; Cardoso, Daniela/J-2985-2014</t>
        </is>
      </c>
      <c r="AC1132" t="inlineStr">
        <is>
          <t>Apostolo, Joao L A/0000-0002-3050-4264; Cardoso, Ana Filipa dos Reis Marques/0000-0003-1573-7657; Bobrowicz Campos, Elzbieta Malgorzata/0000-0001-5889-5642; Cardoso, Daniela/0000-0002-1425-885X; Teixeira-Santos, Luisa/0000-0003-3110-7276</t>
        </is>
      </c>
      <c r="AD1132" t="inlineStr">
        <is>
          <t>FCT-Portuguese Foundation for Science and Technology, I.P. [UIDB/00742/2020]</t>
        </is>
      </c>
      <c r="AE1132" t="inlineStr">
        <is>
          <t>FCT-Portuguese Foundation for Science and Technology, I.P.</t>
        </is>
      </c>
      <c r="AF1132" t="inlineStr">
        <is>
          <t>This work is funded by national funds through FCT-Portuguese Foundation for Science and Technology, I.P., within the scope of project Ref. UIDB/00742/2020.</t>
        </is>
      </c>
      <c r="AH1132" t="n">
        <v>25</v>
      </c>
      <c r="AI1132" t="n">
        <v>3</v>
      </c>
      <c r="AJ1132" t="n">
        <v>3</v>
      </c>
      <c r="AK1132" t="n">
        <v>0</v>
      </c>
      <c r="AL1132" t="n">
        <v>4</v>
      </c>
      <c r="AM1132" t="inlineStr">
        <is>
          <t>MDPI</t>
        </is>
      </c>
      <c r="AN1132" t="inlineStr">
        <is>
          <t>BASEL</t>
        </is>
      </c>
      <c r="AO1132" t="inlineStr">
        <is>
          <t>ST ALBAN-ANLAGE 66, CH-4052 BASEL, SWITZERLAND</t>
        </is>
      </c>
      <c r="AQ1132" t="inlineStr">
        <is>
          <t>1660-4601</t>
        </is>
      </c>
      <c r="AS1132" t="inlineStr">
        <is>
          <t>INT J ENV RES PUB HE</t>
        </is>
      </c>
      <c r="AT1132" t="inlineStr">
        <is>
          <t>Int. J. Environ. Res. Public Health</t>
        </is>
      </c>
      <c r="AU1132" t="inlineStr">
        <is>
          <t>FEB</t>
        </is>
      </c>
      <c r="AV1132" t="n">
        <v>2021</v>
      </c>
      <c r="AW1132" t="n">
        <v>18</v>
      </c>
      <c r="AX1132" t="n">
        <v>4</v>
      </c>
      <c r="BE1132" t="n">
        <v>1394</v>
      </c>
      <c r="BF1132" t="inlineStr">
        <is>
          <t>10.3390/ijerph18041394</t>
        </is>
      </c>
      <c r="BG1132">
        <f>HYPERLINK("http://dx.doi.org/10.3390/ijerph18041394","http://dx.doi.org/10.3390/ijerph18041394")</f>
        <v/>
      </c>
      <c r="BJ1132" t="n">
        <v>10</v>
      </c>
      <c r="BK1132" t="inlineStr">
        <is>
          <t>Environmental Sciences; Public, Environmental &amp; Occupational Health</t>
        </is>
      </c>
      <c r="BL1132" t="inlineStr">
        <is>
          <t>Science Citation Index Expanded (SCI-EXPANDED); Social Science Citation Index (SSCI)</t>
        </is>
      </c>
      <c r="BM1132" t="inlineStr">
        <is>
          <t>Environmental Sciences &amp; Ecology; Public, Environmental &amp; Occupational Health</t>
        </is>
      </c>
      <c r="BN1132" t="inlineStr">
        <is>
          <t>QP1BM</t>
        </is>
      </c>
      <c r="BO1132" t="n">
        <v>33546251</v>
      </c>
      <c r="BP1132" t="inlineStr">
        <is>
          <t>gold, Green Published</t>
        </is>
      </c>
      <c r="BS1132" t="inlineStr">
        <is>
          <t>2023-10-26</t>
        </is>
      </c>
      <c r="BT1132" t="inlineStr">
        <is>
          <t>WOS:000623571800001</t>
        </is>
      </c>
      <c r="BU1132">
        <f>HYPERLINK("https%3A%2F%2Fwww.webofscience.com%2Fwos%2Fwoscc%2Ffull-record%2FWOS:000623571800001","View Full Record in Web of Science")</f>
        <v/>
      </c>
    </row>
    <row r="1133">
      <c r="A1133" t="inlineStr">
        <is>
          <t>J</t>
        </is>
      </c>
      <c r="B1133" t="inlineStr">
        <is>
          <t>Sun, HX; Wang, L; Yan, J; Liu, XJ</t>
        </is>
      </c>
      <c r="F1133" t="inlineStr">
        <is>
          <t>Sun, Hongxia; Wang, Liang; Yan, Jing; Liu, Xijuan</t>
        </is>
      </c>
      <c r="J1133" t="inlineStr">
        <is>
          <t>JOURNAL OF ENVIRONMENTAL PROTECTION AND ECOLOGY</t>
        </is>
      </c>
      <c r="M1133" t="inlineStr">
        <is>
          <t>English</t>
        </is>
      </c>
      <c r="N1133" t="inlineStr">
        <is>
          <t>Article</t>
        </is>
      </c>
      <c r="T1133" t="inlineStr">
        <is>
          <t>DISCUSSION ON PHYSICAL EXERCISE ON ADOLESCENTS PHYSICAL HEALTH AND SPORTS ABILITY FROM THE PERSPECTIVE OF ECOLOGICAL ENVIRONMENT</t>
        </is>
      </c>
      <c r="U1133" t="inlineStr">
        <is>
          <t>ecological environment; physical exercise; adolescents; functional impact</t>
        </is>
      </c>
      <c r="V1133" t="inlineStr">
        <is>
          <t>PARTICIPATION; BARRIERS</t>
        </is>
      </c>
      <c r="W1133" t="inlineStr">
        <is>
          <t>In order to make adolescents grow up better and acquire healthy physical quality and cultivate their healthy personality, the theory of ecological environment and ecological sports is firstly elaborated from the perspective of ecological environment. Then, through the way of investigation and experiment, the changes of physical fitness and sports ability of students who exercise under the influence of ecological environment are explored. The results show that the physical skills of adolescents who take part in physical exercise in the perspective of ecological environment are obviously improved, the reaction is more agile, the negative emotions is relatively reduced, and the number of participating in school activities is significantly higher. It is concluded that the physical exercise mode based on the perspective of ecological environment is more in line with the law of physical and mental development of adolescents and can better promote the healthy growth of adolescents.</t>
        </is>
      </c>
      <c r="X1133" t="inlineStr">
        <is>
          <t>[Sun, Hongxia] Beijing City Univ, Comm Sport, Beijing, Peoples R China; [Wang, Liang] Baoding Vocat &amp; Tech Coll, Baoding, Peoples R China; [Yan, Jing] Chinese Acad Customs Adm, Qinhuangdao, Hebei, Peoples R China; [Liu, Xijuan] Shanghai Univ Tradit Chinese Med, Shanghai, Peoples R China</t>
        </is>
      </c>
      <c r="Y1133" t="inlineStr">
        <is>
          <t>Shanghai University of Traditional Chinese Medicine</t>
        </is>
      </c>
      <c r="Z1133" t="inlineStr">
        <is>
          <t>Liu, XJ (corresponding author), Shanghai Univ Tradit Chinese Med, Shanghai, Peoples R China.</t>
        </is>
      </c>
      <c r="AA1133" t="inlineStr">
        <is>
          <t>1013453687@qq.com</t>
        </is>
      </c>
      <c r="AB1133" t="inlineStr">
        <is>
          <t>li, xiao/HKV-8405-2023</t>
        </is>
      </c>
      <c r="AH1133" t="n">
        <v>10</v>
      </c>
      <c r="AI1133" t="n">
        <v>0</v>
      </c>
      <c r="AJ1133" t="n">
        <v>0</v>
      </c>
      <c r="AK1133" t="n">
        <v>1</v>
      </c>
      <c r="AL1133" t="n">
        <v>11</v>
      </c>
      <c r="AM1133" t="inlineStr">
        <is>
          <t>SCIBULCOM LTD</t>
        </is>
      </c>
      <c r="AN1133" t="inlineStr">
        <is>
          <t>SOFIA</t>
        </is>
      </c>
      <c r="AO1133" t="inlineStr">
        <is>
          <t>PO BOX 249, 1113 SOFIA, BULGARIA</t>
        </is>
      </c>
      <c r="AP1133" t="inlineStr">
        <is>
          <t>1311-5065</t>
        </is>
      </c>
      <c r="AS1133" t="inlineStr">
        <is>
          <t>J ENVIRON PROT ECOL</t>
        </is>
      </c>
      <c r="AT1133" t="inlineStr">
        <is>
          <t>J. Environ. Prot. Ecol.</t>
        </is>
      </c>
      <c r="AV1133" t="n">
        <v>2019</v>
      </c>
      <c r="AW1133" t="n">
        <v>20</v>
      </c>
      <c r="BA1133" t="inlineStr">
        <is>
          <t>B</t>
        </is>
      </c>
      <c r="BC1133" t="inlineStr">
        <is>
          <t>S658</t>
        </is>
      </c>
      <c r="BD1133" t="inlineStr">
        <is>
          <t>S663</t>
        </is>
      </c>
      <c r="BJ1133" t="n">
        <v>6</v>
      </c>
      <c r="BK1133" t="inlineStr">
        <is>
          <t>Environmental Sciences</t>
        </is>
      </c>
      <c r="BL1133" t="inlineStr">
        <is>
          <t>Science Citation Index Expanded (SCI-EXPANDED)</t>
        </is>
      </c>
      <c r="BM1133" t="inlineStr">
        <is>
          <t>Environmental Sciences &amp; Ecology</t>
        </is>
      </c>
      <c r="BN1133" t="inlineStr">
        <is>
          <t>LL9OQ</t>
        </is>
      </c>
      <c r="BS1133" t="inlineStr">
        <is>
          <t>2023-10-26</t>
        </is>
      </c>
      <c r="BT1133" t="inlineStr">
        <is>
          <t>WOS:000531884900036</t>
        </is>
      </c>
      <c r="BU1133">
        <f>HYPERLINK("https%3A%2F%2Fwww.webofscience.com%2Fwos%2Fwoscc%2Ffull-record%2FWOS:000531884900036","View Full Record in Web of Science")</f>
        <v/>
      </c>
    </row>
    <row r="1134">
      <c r="A1134" t="inlineStr">
        <is>
          <t>J</t>
        </is>
      </c>
      <c r="B1134" t="inlineStr">
        <is>
          <t>Pelclová, J; Frömel, K; Cuberek, R</t>
        </is>
      </c>
      <c r="F1134" t="inlineStr">
        <is>
          <t>Pelclova, Jana; Froemel, Karel; Cuberek, Roman</t>
        </is>
      </c>
      <c r="J1134" t="inlineStr">
        <is>
          <t>INTERNATIONAL JOURNAL OF ENVIRONMENTAL RESEARCH AND PUBLIC HEALTH</t>
        </is>
      </c>
      <c r="M1134" t="inlineStr">
        <is>
          <t>English</t>
        </is>
      </c>
      <c r="N1134" t="inlineStr">
        <is>
          <t>Article</t>
        </is>
      </c>
      <c r="T1134" t="inlineStr">
        <is>
          <t>Gender-Specific Associations between Perceived Neighbourhood Walkability and Meeting Walking Recommendations When Walking for Transport and Recreation for Czech Inhabitants over 50 Years of Age</t>
        </is>
      </c>
      <c r="U1134" t="inlineStr">
        <is>
          <t>ANEWS; IPAQ; walking recommendations; neighbourhood environment</t>
        </is>
      </c>
      <c r="V1134" t="inlineStr">
        <is>
          <t>PHYSICAL-ACTIVITY; BUILT ENVIRONMENT; ADULTS; TIME</t>
        </is>
      </c>
      <c r="W1134" t="inlineStr">
        <is>
          <t>Few studies have investigated the different effects that the built environment may have on the physical activity behaviours of men and women. Therefore, the aim of this study was to estimate the gender differences in meeting walking recommendations in relation to perceived neighbourhood walkability attributes within the active transportation and leisure-time domains for Czech inhabitants over 50 years of age. The sample included 1,417 men and 1,422 women who were randomly selected. The Abbreviated Neighbourhood Environment Walkability Scale (ANEWS) was used to obtain information about the perceived environment. The self-administered long version of the IPAQ was used to assess physical activity levels. When walking for transport, men living in neighbourhoods with high street connectivity (OR = 1.47, CI = 1.04-2.9) and higher traffic and crime safety (OR = 1.28, CI = 1.02-1.6) and women living in neighbourhoods with high proximity (OR = 1.36, CI = 1.04-1.77) and high neighbourhood aesthetics (OR = 1.36, CI = 1.04-1.76) were more likely to meet recommended levels of walking. No environmental attributes were found to significantly influence the accomplishment of walking recommendations by men or women when walking for leisure. The study results indicate the gender-specific associations between transportation-related walking and the environment factors. The consideration of those factors in the design of gender-specific walking interventions for Czech inhabitants may help the interventions to be more effective in promotion of physical activity.</t>
        </is>
      </c>
      <c r="X1134" t="inlineStr">
        <is>
          <t>[Pelclova, Jana; Froemel, Karel; Cuberek, Roman] Palacky Univ, Fac Phys Culture, Inst Act Lifestyle, Ctr Kinanthropol Res, Olomouc 77111, Czech Republic</t>
        </is>
      </c>
      <c r="Y1134" t="inlineStr">
        <is>
          <t>Palacky University Olomouc</t>
        </is>
      </c>
      <c r="Z1134" t="inlineStr">
        <is>
          <t>Pelclová, J (corresponding author), Palacky Univ, Fac Phys Culture, Inst Act Lifestyle, Ctr Kinanthropol Res, Tr Miru 115, Olomouc 77111, Czech Republic.</t>
        </is>
      </c>
      <c r="AA1134" t="inlineStr">
        <is>
          <t>jana.pelclova@upol.cz; karel.fromel@upol.cz; roman.cuberek@upol.cz</t>
        </is>
      </c>
      <c r="AB1134" t="inlineStr">
        <is>
          <t>Frömel, Karel/AAU-2222-2020; Cuberek, Roman/E-1810-2016; Pelclova, Jana/J-7439-2017; Frömel, Karel/L-9865-2017</t>
        </is>
      </c>
      <c r="AC1134" t="inlineStr">
        <is>
          <t>Frömel, Karel/0000-0001-7848-3418; Cuberek, Roman/0000-0003-1686-835X; Pelclova, Jana/0000-0001-8104-001X; Frömel, Karel/0000-0001-7848-3418</t>
        </is>
      </c>
      <c r="AD1134" t="inlineStr">
        <is>
          <t>Czech Science Foundation [13-32105S]</t>
        </is>
      </c>
      <c r="AE1134" t="inlineStr">
        <is>
          <t>Czech Science Foundation(Grant Agency of the Czech Republic)</t>
        </is>
      </c>
      <c r="AF1134" t="inlineStr">
        <is>
          <t>The authors acknowledge and thank the participants who took part in this study. The study was supported by a research grant from the Czech Science Foundation (No. 13-32105S) Analysis of health-related benefits of walking: assessment of walking intervention in sedentary adults and was conducted as a part of the International Physical Activity and the Environment Network.</t>
        </is>
      </c>
      <c r="AH1134" t="n">
        <v>21</v>
      </c>
      <c r="AI1134" t="n">
        <v>23</v>
      </c>
      <c r="AJ1134" t="n">
        <v>24</v>
      </c>
      <c r="AK1134" t="n">
        <v>3</v>
      </c>
      <c r="AL1134" t="n">
        <v>41</v>
      </c>
      <c r="AM1134" t="inlineStr">
        <is>
          <t>MDPI</t>
        </is>
      </c>
      <c r="AN1134" t="inlineStr">
        <is>
          <t>BASEL</t>
        </is>
      </c>
      <c r="AO1134" t="inlineStr">
        <is>
          <t>ST ALBAN-ANLAGE 66, CH-4052 BASEL, SWITZERLAND</t>
        </is>
      </c>
      <c r="AQ1134" t="inlineStr">
        <is>
          <t>1660-4601</t>
        </is>
      </c>
      <c r="AS1134" t="inlineStr">
        <is>
          <t>INT J ENV RES PUB HE</t>
        </is>
      </c>
      <c r="AT1134" t="inlineStr">
        <is>
          <t>Int. J. Environ. Res. Public Health</t>
        </is>
      </c>
      <c r="AU1134" t="inlineStr">
        <is>
          <t>JAN</t>
        </is>
      </c>
      <c r="AV1134" t="n">
        <v>2014</v>
      </c>
      <c r="AW1134" t="n">
        <v>11</v>
      </c>
      <c r="AX1134" t="n">
        <v>1</v>
      </c>
      <c r="BC1134" t="n">
        <v>527</v>
      </c>
      <c r="BD1134" t="n">
        <v>536</v>
      </c>
      <c r="BF1134" t="inlineStr">
        <is>
          <t>10.3390/ijerph110100527</t>
        </is>
      </c>
      <c r="BG1134">
        <f>HYPERLINK("http://dx.doi.org/10.3390/ijerph110100527","http://dx.doi.org/10.3390/ijerph110100527")</f>
        <v/>
      </c>
      <c r="BJ1134" t="n">
        <v>10</v>
      </c>
      <c r="BK1134" t="inlineStr">
        <is>
          <t>Environmental Sciences; Public, Environmental &amp; Occupational Health</t>
        </is>
      </c>
      <c r="BL1134" t="inlineStr">
        <is>
          <t>Science Citation Index Expanded (SCI-EXPANDED)</t>
        </is>
      </c>
      <c r="BM1134" t="inlineStr">
        <is>
          <t>Environmental Sciences &amp; Ecology; Public, Environmental &amp; Occupational Health</t>
        </is>
      </c>
      <c r="BN1134" t="inlineStr">
        <is>
          <t>AB0BI</t>
        </is>
      </c>
      <c r="BO1134" t="n">
        <v>24380981</v>
      </c>
      <c r="BP1134" t="inlineStr">
        <is>
          <t>Green Published, gold</t>
        </is>
      </c>
      <c r="BS1134" t="inlineStr">
        <is>
          <t>2023-10-26</t>
        </is>
      </c>
      <c r="BT1134" t="inlineStr">
        <is>
          <t>WOS:000331456400026</t>
        </is>
      </c>
      <c r="BU1134">
        <f>HYPERLINK("https%3A%2F%2Fwww.webofscience.com%2Fwos%2Fwoscc%2Ffull-record%2FWOS:000331456400026","View Full Record in Web of Science")</f>
        <v/>
      </c>
    </row>
    <row r="1135">
      <c r="A1135" t="inlineStr">
        <is>
          <t>J</t>
        </is>
      </c>
      <c r="B1135" t="inlineStr">
        <is>
          <t>Chan, YM; Sahril, N; Chan, YY; Ab Wahab, NA; Shamsuddin, N; Ismail, MZH</t>
        </is>
      </c>
      <c r="F1135" t="inlineStr">
        <is>
          <t>Chan, Yee Mang; Sahril, Norhafizah; Chan, Ying Ying; Ab Wahab, Nor' Ain; Shamsuddin, Norliza; Ismail, Muhd Zulfadli Hafiz</t>
        </is>
      </c>
      <c r="J1135" t="inlineStr">
        <is>
          <t>INTERNATIONAL JOURNAL OF ENVIRONMENTAL RESEARCH AND PUBLIC HEALTH</t>
        </is>
      </c>
      <c r="M1135" t="inlineStr">
        <is>
          <t>English</t>
        </is>
      </c>
      <c r="N1135" t="inlineStr">
        <is>
          <t>Article</t>
        </is>
      </c>
      <c r="T1135" t="inlineStr">
        <is>
          <t>Vision and Hearing Impairments Affecting Activities of Daily Living among Malaysian Older Adults by Gender</t>
        </is>
      </c>
      <c r="U1135" t="inlineStr">
        <is>
          <t>hearing impairment; vision impairment; ADL disability; older adults</t>
        </is>
      </c>
      <c r="V1135" t="inlineStr">
        <is>
          <t>PHYSICAL-DISABILITY; FUNCTIONAL DISABILITY; ELDERLY POPULATION; VISUAL IMPAIRMENT; DETERMINANTS; COMMUNITY; HEALTH; LIFE</t>
        </is>
      </c>
      <c r="W1135" t="inlineStr">
        <is>
          <t>Vision and hearing impairments are common among older adults and can cause undesirable health effects. There are limited studies from low- and middle-income countries exploring gender differences between vision and hearing impairment with Activities of Daily Living (ADL) disability. Therefore, this study aimed to investigate gender differences between vision and hearing impairments with ADL disability among older adults in Malaysia. Cross-sectional data from 3977 respondents aged 60 and above from the Malaysian National Health and Morbidity Survey 2018 were used. We used logistic regression analysis to measure associations between vision and hearing impairments with ADL disability, adjusted for covariates. The prevalence of ADL disability was higher among females than males (p &lt; 0.001). The adjusted associations between vision impairment and ADL disability were significant among males (aOR 3.79; 95%CI 2.26, 6.38) and females (aOR 2.66; 95%CI 1.36, 5.21). Similarly, significant adjusted associations were found between hearing impairment and ADL disability among males (aOR 5.76; 95%CI 3.52, 9.40) and females (aOR 3.30; 95%CI 1.17, 9.33). Vision and hearing impairments were significantly associated with ADL disability, with no gender differences identified. Early detection and effective management of vision and hearing impairments are important to prevent ADL disability and improve older adults' level of independence.</t>
        </is>
      </c>
      <c r="X1135" t="inlineStr">
        <is>
          <t>[Chan, Yee Mang; Sahril, Norhafizah; Chan, Ying Ying; Ab Wahab, Nor' Ain; Shamsuddin, Norliza] Minist Hlth, Natl Inst Hlth, Inst Publ Hlth, Shah Alam 40170, Selangor, Malaysia; [Ismail, Muhd Zulfadli Hafiz] Minist Hlth, Sect Biostat &amp; Data Repository, Natl Inst Hlth, Shah Alam 40170, Selangor, Malaysia</t>
        </is>
      </c>
      <c r="Y1135" t="inlineStr">
        <is>
          <t>Kementerian Kesihatan Malaysia; Kementerian Kesihatan Malaysia</t>
        </is>
      </c>
      <c r="Z1135" t="inlineStr">
        <is>
          <t>Chan, YM (corresponding author), Minist Hlth, Natl Inst Hlth, Inst Publ Hlth, Shah Alam 40170, Selangor, Malaysia.</t>
        </is>
      </c>
      <c r="AA1135" t="inlineStr">
        <is>
          <t>chan.yy@moh.gov.my; norhafizah_s@moh.gov.my; chanyeemang@moh.gov.my; norain.ab@moh.gov.my; norlizas@moh.gov.my; m.zulfadli@moh.gov.my</t>
        </is>
      </c>
      <c r="AB1135" t="inlineStr">
        <is>
          <t>Chan, Yee Mang/AAU-1479-2021</t>
        </is>
      </c>
      <c r="AD1135" t="inlineStr">
        <is>
          <t>Ministry of Health Malaysia</t>
        </is>
      </c>
      <c r="AE1135" t="inlineStr">
        <is>
          <t>Ministry of Health Malaysia</t>
        </is>
      </c>
      <c r="AF1135" t="inlineStr">
        <is>
          <t>The research was fully supported by a Ministry of Health Malaysia research grant. There is no conflict of interest with the funder, who had no influence on the design, data collection, data analysis or writing of the manuscript.</t>
        </is>
      </c>
      <c r="AH1135" t="n">
        <v>33</v>
      </c>
      <c r="AI1135" t="n">
        <v>5</v>
      </c>
      <c r="AJ1135" t="n">
        <v>5</v>
      </c>
      <c r="AK1135" t="n">
        <v>2</v>
      </c>
      <c r="AL1135" t="n">
        <v>18</v>
      </c>
      <c r="AM1135" t="inlineStr">
        <is>
          <t>MDPI</t>
        </is>
      </c>
      <c r="AN1135" t="inlineStr">
        <is>
          <t>BASEL</t>
        </is>
      </c>
      <c r="AO1135" t="inlineStr">
        <is>
          <t>ST ALBAN-ANLAGE 66, CH-4052 BASEL, SWITZERLAND</t>
        </is>
      </c>
      <c r="AQ1135" t="inlineStr">
        <is>
          <t>1660-4601</t>
        </is>
      </c>
      <c r="AS1135" t="inlineStr">
        <is>
          <t>INT J ENV RES PUB HE</t>
        </is>
      </c>
      <c r="AT1135" t="inlineStr">
        <is>
          <t>Int. J. Environ. Res. Public Health</t>
        </is>
      </c>
      <c r="AU1135" t="inlineStr">
        <is>
          <t>JUN</t>
        </is>
      </c>
      <c r="AV1135" t="n">
        <v>2021</v>
      </c>
      <c r="AW1135" t="n">
        <v>18</v>
      </c>
      <c r="AX1135" t="n">
        <v>12</v>
      </c>
      <c r="BE1135" t="n">
        <v>6271</v>
      </c>
      <c r="BF1135" t="inlineStr">
        <is>
          <t>10.3390/ijerph18126271</t>
        </is>
      </c>
      <c r="BG1135">
        <f>HYPERLINK("http://dx.doi.org/10.3390/ijerph18126271","http://dx.doi.org/10.3390/ijerph18126271")</f>
        <v/>
      </c>
      <c r="BJ1135" t="n">
        <v>12</v>
      </c>
      <c r="BK1135" t="inlineStr">
        <is>
          <t>Environmental Sciences; Public, Environmental &amp; Occupational Health</t>
        </is>
      </c>
      <c r="BL1135" t="inlineStr">
        <is>
          <t>Science Citation Index Expanded (SCI-EXPANDED); Social Science Citation Index (SSCI)</t>
        </is>
      </c>
      <c r="BM1135" t="inlineStr">
        <is>
          <t>Environmental Sciences &amp; Ecology; Public, Environmental &amp; Occupational Health</t>
        </is>
      </c>
      <c r="BN1135" t="inlineStr">
        <is>
          <t>SZ6JL</t>
        </is>
      </c>
      <c r="BO1135" t="n">
        <v>34200564</v>
      </c>
      <c r="BP1135" t="inlineStr">
        <is>
          <t>gold, Green Published</t>
        </is>
      </c>
      <c r="BS1135" t="inlineStr">
        <is>
          <t>2023-10-26</t>
        </is>
      </c>
      <c r="BT1135" t="inlineStr">
        <is>
          <t>WOS:000666669000001</t>
        </is>
      </c>
      <c r="BU1135">
        <f>HYPERLINK("https%3A%2F%2Fwww.webofscience.com%2Fwos%2Fwoscc%2Ffull-record%2FWOS:000666669000001","View Full Record in Web of Science")</f>
        <v/>
      </c>
    </row>
    <row r="1136">
      <c r="A1136" t="inlineStr">
        <is>
          <t>J</t>
        </is>
      </c>
      <c r="B1136" t="inlineStr">
        <is>
          <t>Lambert, A; Vlaar, J; Herrington, S; Brussoni, M</t>
        </is>
      </c>
      <c r="F1136" t="inlineStr">
        <is>
          <t>Lambert, Amalie; Vlaar, Janae; Herrington, Susan; Brussoni, Mariana</t>
        </is>
      </c>
      <c r="J1136" t="inlineStr">
        <is>
          <t>INTERNATIONAL JOURNAL OF ENVIRONMENTAL RESEARCH AND PUBLIC HEALTH</t>
        </is>
      </c>
      <c r="M1136" t="inlineStr">
        <is>
          <t>English</t>
        </is>
      </c>
      <c r="N1136" t="inlineStr">
        <is>
          <t>Review</t>
        </is>
      </c>
      <c r="T1136" t="inlineStr">
        <is>
          <t>What Is the Relationship between the Neighbourhood Built Environment and Time Spent in Outdoor Play? A Systematic Review</t>
        </is>
      </c>
      <c r="U1136" t="inlineStr">
        <is>
          <t>unstructured play; playability; child; adolescent; neighbourhood design</t>
        </is>
      </c>
      <c r="V1136" t="inlineStr">
        <is>
          <t>PHYSICAL-ACTIVITY; SHORT QUESTIONNAIRE; PARENTAL CONCERNS; CHILDRENS SAFETY; ACTIVITY SPACES; RISKY PLAY; HEALTH; VALIDITY; SCALE; YOUTH</t>
        </is>
      </c>
      <c r="W1136" t="inlineStr">
        <is>
          <t>Outdoor play has been associated with children's and adolescents' healthy development and physical activity. Attributes of the neighbourhood built environment can influence play behaviours. This systematic review examined the relationship between attributes of the neighbourhood built environment and the time children and adolescents (0-18 years) spend in self-directed outdoor play. We identified and evaluated 18 relevant papers using the Mixed Methods Appraisal Tool and developed a narrative synthesis of study results. We found moderate evidence that lower traffic volumes (ages 6-11), yard access (ages 3-10), and increased neighbourhood greenness (ages 2-15) were positively associated with time spent in outdoor play, as well as limited evidence that specific traffic-calming street features such as fewer intersections, low traffic speeds, neighbourhood disorder, and low residential density were positively associated with time spent in outdoor play. To our knowledge, this is the first systematic review on this topic. The limited number of good quality studies identified highlights the need for additional research on the topic.</t>
        </is>
      </c>
      <c r="X1136" t="inlineStr">
        <is>
          <t>[Vlaar, Janae] Univ British Columbia, Human Early Learning Partnership, Suite 440,2206 East Mall, Vancouver, BC V6T 1Z3, Canada; [Herrington, Susan] Univ British Columbia, Sch Architecture &amp; Landscape Architecture, 379-2357 Main Mall, Vancouver, BC V6T 1Z4, Canada; [Brussoni, Mariana] Univ British Columbia, British Columbia Injury Res &amp; Prevent Unit, British Columbia Childrens Hosp, Dept Pediat,Sch Populat &amp; Publ Hlth,Res Inst, F511-4480 Oak St, Vancouver, BC V6H 3V4, Canada</t>
        </is>
      </c>
      <c r="Y1136" t="inlineStr">
        <is>
          <t>University of British Columbia; University of British Columbia; BC Childrens Hospital; University of British Columbia</t>
        </is>
      </c>
      <c r="Z1136" t="inlineStr">
        <is>
          <t>Brussoni, M (corresponding author), Univ British Columbia, British Columbia Injury Res &amp; Prevent Unit, British Columbia Childrens Hosp, Dept Pediat,Sch Populat &amp; Publ Hlth,Res Inst, F511-4480 Oak St, Vancouver, BC V6H 3V4, Canada.</t>
        </is>
      </c>
      <c r="AA1136" t="inlineStr">
        <is>
          <t>amalie.lambert@alumni.ubc.ca; janae.vlaar@ubc.ca; susan.herrington@ubc.ca; mbrussoni@bcchr.ubc.ca</t>
        </is>
      </c>
      <c r="AB1136" t="inlineStr">
        <is>
          <t>Brussoni, Mariana/U-9404-2018</t>
        </is>
      </c>
      <c r="AC1136" t="inlineStr">
        <is>
          <t>Brussoni, Mariana/0000-0002-1495-816X</t>
        </is>
      </c>
      <c r="AD1136" t="inlineStr">
        <is>
          <t>Canadian Institutes of Health Research [MOP-142262]; British Columbia Children's Hospital Research Institute</t>
        </is>
      </c>
      <c r="AE1136" t="inlineStr">
        <is>
          <t>Canadian Institutes of Health Research(Canadian Institutes of Health Research (CIHR)); British Columbia Children's Hospital Research Institute</t>
        </is>
      </c>
      <c r="AF1136" t="inlineStr">
        <is>
          <t>This study was funded by the Canadian Institutes of Health Research, Grant #MOP-142262. M.B. is supported by salary award from the British Columbia Children's Hospital Research Institute.</t>
        </is>
      </c>
      <c r="AH1136" t="n">
        <v>82</v>
      </c>
      <c r="AI1136" t="n">
        <v>42</v>
      </c>
      <c r="AJ1136" t="n">
        <v>44</v>
      </c>
      <c r="AK1136" t="n">
        <v>7</v>
      </c>
      <c r="AL1136" t="n">
        <v>40</v>
      </c>
      <c r="AM1136" t="inlineStr">
        <is>
          <t>MDPI</t>
        </is>
      </c>
      <c r="AN1136" t="inlineStr">
        <is>
          <t>BASEL</t>
        </is>
      </c>
      <c r="AO1136" t="inlineStr">
        <is>
          <t>ST ALBAN-ANLAGE 66, CH-4052 BASEL, SWITZERLAND</t>
        </is>
      </c>
      <c r="AQ1136" t="inlineStr">
        <is>
          <t>1660-4601</t>
        </is>
      </c>
      <c r="AS1136" t="inlineStr">
        <is>
          <t>INT J ENV RES PUB HE</t>
        </is>
      </c>
      <c r="AT1136" t="inlineStr">
        <is>
          <t>Int. J. Environ. Res. Public Health</t>
        </is>
      </c>
      <c r="AU1136" t="inlineStr">
        <is>
          <t>OCT</t>
        </is>
      </c>
      <c r="AV1136" t="n">
        <v>2019</v>
      </c>
      <c r="AW1136" t="n">
        <v>16</v>
      </c>
      <c r="AX1136" t="n">
        <v>20</v>
      </c>
      <c r="BE1136" t="n">
        <v>3840</v>
      </c>
      <c r="BF1136" t="inlineStr">
        <is>
          <t>10.3390/ijerph16203840</t>
        </is>
      </c>
      <c r="BG1136">
        <f>HYPERLINK("http://dx.doi.org/10.3390/ijerph16203840","http://dx.doi.org/10.3390/ijerph16203840")</f>
        <v/>
      </c>
      <c r="BJ1136" t="n">
        <v>35</v>
      </c>
      <c r="BK1136" t="inlineStr">
        <is>
          <t>Environmental Sciences; Public, Environmental &amp; Occupational Health</t>
        </is>
      </c>
      <c r="BL1136" t="inlineStr">
        <is>
          <t>Science Citation Index Expanded (SCI-EXPANDED); Social Science Citation Index (SSCI)</t>
        </is>
      </c>
      <c r="BM1136" t="inlineStr">
        <is>
          <t>Environmental Sciences &amp; Ecology; Public, Environmental &amp; Occupational Health</t>
        </is>
      </c>
      <c r="BN1136" t="inlineStr">
        <is>
          <t>JK3XV</t>
        </is>
      </c>
      <c r="BO1136" t="n">
        <v>31614536</v>
      </c>
      <c r="BP1136" t="inlineStr">
        <is>
          <t>Green Submitted, gold, Green Published</t>
        </is>
      </c>
      <c r="BS1136" t="inlineStr">
        <is>
          <t>2023-10-26</t>
        </is>
      </c>
      <c r="BT1136" t="inlineStr">
        <is>
          <t>WOS:000494779100054</t>
        </is>
      </c>
      <c r="BU1136">
        <f>HYPERLINK("https%3A%2F%2Fwww.webofscience.com%2Fwos%2Fwoscc%2Ffull-record%2FWOS:000494779100054","View Full Record in Web of Science")</f>
        <v/>
      </c>
    </row>
    <row r="1137">
      <c r="A1137" t="inlineStr">
        <is>
          <t>J</t>
        </is>
      </c>
      <c r="B1137" t="inlineStr">
        <is>
          <t>Fathabadi, ZA; Ehrampoush, MH; Mirzaei, M; Mokhtari, M; Sakhvidi, MN; Rahimdel, A; Tafti, AD; Yakhdani, MF; Atefi, A; Eslami, H; Ebrahimi, AA</t>
        </is>
      </c>
      <c r="F1137" t="inlineStr">
        <is>
          <t>Abaszadeh Fathabadi, Zeynab; Ehrampoush, Mohamad Hassan; Mirzaei, Masuod; Mokhtari, Mehdi; Nadi Sakhvidi, Mohamad; Rahimdel, Abolghasem; Dehghani Tafti, Arefeh; Fallah Yakhdani, Monire; Atefi, Atefe; Eslami, Hadi; Ebrahimi, Ali Asghar</t>
        </is>
      </c>
      <c r="J1137" t="inlineStr">
        <is>
          <t>ENVIRONMENTAL SCIENCE AND POLLUTION RESEARCH</t>
        </is>
      </c>
      <c r="M1137" t="inlineStr">
        <is>
          <t>English</t>
        </is>
      </c>
      <c r="N1137" t="inlineStr">
        <is>
          <t>Article</t>
        </is>
      </c>
      <c r="T1137" t="inlineStr">
        <is>
          <t>The relationship of indoor radon gas concentration with multiple sclerosis: a case-control study</t>
        </is>
      </c>
      <c r="U1137" t="inlineStr">
        <is>
          <t>Indoor radon gas; Multiple sclerosis (MS); Case-control study; Mental health</t>
        </is>
      </c>
      <c r="V1137" t="inlineStr">
        <is>
          <t>BUILDING-MATERIALS; EXHALATION RATE; ENVIRONMENT; DWELLINGS; INSIGHTS; TIME; IRAN</t>
        </is>
      </c>
      <c r="W1137" t="inlineStr">
        <is>
          <t>This case-control study aimed to investigate the relationship of indoor radon gas concentration and residential building characteristics with mental health with multiple sclerosis (MS) in Yazd City, Iran. The participants included 45 patients with MS and 100 healthy individuals. The participants' socio-economic status and residential building characteristics were investigated using a questionnaire. The radon gas concentration was also measured by CR-39 detectors over a 6-month period. Furthermore, the participants' mental health data were collected using General Health Questionnaire (GHQ-28). The mean concentrations of radon gas were 66.77 and 65.33 Bq/m(3) in the homes of patients with MS and healthy individuals, respectively, but the difference was not significant (p = 0.882). However, the radon gas concentration had a significant relationship with the building's age (p = 0.038), ventilation (p = 0.053), and cooling system (p = 0.021). A significant difference was observed between the two study groups in terms of the mental health (p = 0.018), depression (p = 0.037), somatic symptoms (p &lt;= 0.001), and physical activity (p = 0.030). Since the indoor radon gas concentration did not have any significant relationship with MS prevalence, more studies are required in this regard, especially in long-term exposure.</t>
        </is>
      </c>
      <c r="X1137" t="inlineStr">
        <is>
          <t>[Abaszadeh Fathabadi, Zeynab; Ehrampoush, Mohamad Hassan; Mokhtari, Mehdi; Fallah Yakhdani, Monire; Ebrahimi, Ali Asghar] Shahid Sadoughi Univ Med Sci, Sch Publ Hlth, Dept Environm Hlth Engn, Environm Sci &amp; Technol Res Ctr, Yazd, Iran; [Mirzaei, Masuod; Dehghani Tafti, Arefeh] Shahid Sadoughi Univ Med Sci, Sch Publ Hlth, Dept Epidemiol, Yazd, Iran; [Nadi Sakhvidi, Mohamad] Shahid Sadoughi Univ Med Sci, Sch Med, Dept Psychiat, Yazd, Iran; [Rahimdel, Abolghasem] Shahid Sadoughi Univ Med Sci, Sch Med, Dept Neurol, Yazd, Iran; [Atefi, Atefe] Shahid Sadoughi Univ Med Sci, Yazd Multiple Sclerosis Soc, Shahid Sadoughi Hosp, Yazd, Iran; [Eslami, Hadi] Rafsanjan Univ Med Sci, Sch Hlth, Dept Environm Hlth Engn, Rafsanjan, Iran</t>
        </is>
      </c>
      <c r="Z1137" t="inlineStr">
        <is>
          <t>Ebrahimi, AA (corresponding author), Shahid Sadoughi Univ Med Sci, Sch Publ Hlth, Dept Environm Hlth Engn, Environm Sci &amp; Technol Res Ctr, Yazd, Iran.</t>
        </is>
      </c>
      <c r="AA1137" t="inlineStr">
        <is>
          <t>ebrahimi20007@gmail.com</t>
        </is>
      </c>
      <c r="AB1137" t="inlineStr">
        <is>
          <t>Eslami, Hadi/M-5828-2019; Mokhtari, Mehdi/A-1845-2009; Rahimdel, Abolghasem/AAL-6660-2021; eslami, hadi/S-6433-2017; Ehrampoush, mohammad hassan/Q-5028-2017</t>
        </is>
      </c>
      <c r="AC1137" t="inlineStr">
        <is>
          <t>Eslami, Hadi/0000-0001-5137-4764; eslami, hadi/0000-0001-5137-4764; Ehrampoush, mohammad hassan/0000-0002-0388-3211; Nadi Sakhvidi, Mohammad/0000-0003-4590-6220</t>
        </is>
      </c>
      <c r="AD1137" t="inlineStr">
        <is>
          <t>Shahid Sadoughi University of Medical Sciences, Yazd, Iran</t>
        </is>
      </c>
      <c r="AE1137" t="inlineStr">
        <is>
          <t>Shahid Sadoughi University of Medical Sciences, Yazd, Iran</t>
        </is>
      </c>
      <c r="AF1137" t="inlineStr">
        <is>
          <t>This study was funded by Shahid Sadoughi University of Medical Sciences, Yazd, Iran.</t>
        </is>
      </c>
      <c r="AH1137" t="n">
        <v>55</v>
      </c>
      <c r="AI1137" t="n">
        <v>4</v>
      </c>
      <c r="AJ1137" t="n">
        <v>4</v>
      </c>
      <c r="AK1137" t="n">
        <v>0</v>
      </c>
      <c r="AL1137" t="n">
        <v>8</v>
      </c>
      <c r="AM1137" t="inlineStr">
        <is>
          <t>SPRINGER HEIDELBERG</t>
        </is>
      </c>
      <c r="AN1137" t="inlineStr">
        <is>
          <t>HEIDELBERG</t>
        </is>
      </c>
      <c r="AO1137" t="inlineStr">
        <is>
          <t>TIERGARTENSTRASSE 17, D-69121 HEIDELBERG, GERMANY</t>
        </is>
      </c>
      <c r="AP1137" t="inlineStr">
        <is>
          <t>0944-1344</t>
        </is>
      </c>
      <c r="AQ1137" t="inlineStr">
        <is>
          <t>1614-7499</t>
        </is>
      </c>
      <c r="AS1137" t="inlineStr">
        <is>
          <t>ENVIRON SCI POLLUT R</t>
        </is>
      </c>
      <c r="AT1137" t="inlineStr">
        <is>
          <t>Environ. Sci. Pollut. Res.</t>
        </is>
      </c>
      <c r="AU1137" t="inlineStr">
        <is>
          <t>MAY</t>
        </is>
      </c>
      <c r="AV1137" t="n">
        <v>2020</v>
      </c>
      <c r="AW1137" t="n">
        <v>27</v>
      </c>
      <c r="AX1137" t="n">
        <v>14</v>
      </c>
      <c r="BC1137" t="n">
        <v>16350</v>
      </c>
      <c r="BD1137" t="n">
        <v>16361</v>
      </c>
      <c r="BF1137" t="inlineStr">
        <is>
          <t>10.1007/s11356-020-08147-y</t>
        </is>
      </c>
      <c r="BG1137">
        <f>HYPERLINK("http://dx.doi.org/10.1007/s11356-020-08147-y","http://dx.doi.org/10.1007/s11356-020-08147-y")</f>
        <v/>
      </c>
      <c r="BI1137" t="inlineStr">
        <is>
          <t>MAR 2020</t>
        </is>
      </c>
      <c r="BJ1137" t="n">
        <v>12</v>
      </c>
      <c r="BK1137" t="inlineStr">
        <is>
          <t>Environmental Sciences</t>
        </is>
      </c>
      <c r="BL1137" t="inlineStr">
        <is>
          <t>Science Citation Index Expanded (SCI-EXPANDED)</t>
        </is>
      </c>
      <c r="BM1137" t="inlineStr">
        <is>
          <t>Environmental Sciences &amp; Ecology</t>
        </is>
      </c>
      <c r="BN1137" t="inlineStr">
        <is>
          <t>LP3LH</t>
        </is>
      </c>
      <c r="BO1137" t="n">
        <v>32124296</v>
      </c>
      <c r="BS1137" t="inlineStr">
        <is>
          <t>2023-10-26</t>
        </is>
      </c>
      <c r="BT1137" t="inlineStr">
        <is>
          <t>WOS:000517720600006</t>
        </is>
      </c>
      <c r="BU1137">
        <f>HYPERLINK("https%3A%2F%2Fwww.webofscience.com%2Fwos%2Fwoscc%2Ffull-record%2FWOS:000517720600006","View Full Record in Web of Science")</f>
        <v/>
      </c>
    </row>
    <row r="1138">
      <c r="A1138" t="inlineStr">
        <is>
          <t>J</t>
        </is>
      </c>
      <c r="B1138" t="inlineStr">
        <is>
          <t>Khatib, GF; Collins, J; Otness, P; Goode, J; Tomley, S; Franklin, P; Ross, J</t>
        </is>
      </c>
      <c r="F1138" t="inlineStr">
        <is>
          <t>Khatib, Georgia Frangioudakis; Collins, Julia; Otness, Pierina; Goode, James; Tomley, Stacey; Franklin, Peter; Ross, Justine</t>
        </is>
      </c>
      <c r="J1138" t="inlineStr">
        <is>
          <t>SUSTAINABILITY</t>
        </is>
      </c>
      <c r="M1138" t="inlineStr">
        <is>
          <t>English</t>
        </is>
      </c>
      <c r="N1138" t="inlineStr">
        <is>
          <t>Review</t>
        </is>
      </c>
      <c r="T1138" t="inlineStr">
        <is>
          <t>Australia's Ongoing Challenge of Legacy Asbestos in the Built Environment: A Review of Contemporary Asbestos Exposure Risks</t>
        </is>
      </c>
      <c r="U1138" t="inlineStr">
        <is>
          <t>asbestos; asbestos-containing materials (ACMs); asbestos exposure risk; built environment</t>
        </is>
      </c>
      <c r="V1138" t="inlineStr">
        <is>
          <t>AIRBORNE ASBESTOS; MESOTHELIOMA; RENOVATION; DEMOLITION; RELEASE</t>
        </is>
      </c>
      <c r="W1138" t="inlineStr">
        <is>
          <t>Asbestos remains ubiquitous in the Australian built environment. Of the 13 million tonnes of asbestos products installed in earlier decades, an estimated 50% remain in situ today. Because of the extensive past use of asbestos, and the increasing age of these products, the potential for exposure to asbestos fibres in both indoor and outdoor environments remains high, even while the actual asbestos exposure levels are mostly very low. Sources of these exposures include disturbance of in situ asbestos-containing materials (ACMs), for example during renovations or following disaster events such as fires, cyclones and floods. Our understanding of the risk of asbestos-related disease arising from long-term low-level or background exposure, however, is poor. We provide the most up-to-date review of asbestos exposure risks currently affecting different groups of the Australian population and the settings in which this can manifest. From this, a need for low-level asbestos monitoring has emerged, and further research is required to address whether current exposure monitoring approaches are adequate. In addition, we make the case for proactive asbestos removal to reduce the risk of ongoing asbestos contamination and exposure due to deteriorating, disturbed or damaged ACMs, while improving long-term building sustainability, as well as the sustainability of limited resources.</t>
        </is>
      </c>
      <c r="X1138" t="inlineStr">
        <is>
          <t>[Khatib, Georgia Frangioudakis; Collins, Julia; Tomley, Stacey; Ross, Justine] Australian Govt Asbestos Safety &amp; Eradicat Agcy AS, Surry Hills, NSW 2010, Australia; [Otness, Pierina; Franklin, Peter] Western Australian Govt Dept Hlth, East Perth, WA 6004, Australia; [Goode, James] Water Serv Assoc Australia, Docklands, Vic 3008, Australia; [Franklin, Peter] Univ Western Australia, Sch Populat &amp; Global Hlth, Nedlands, WA 6009, Australia</t>
        </is>
      </c>
      <c r="Y1138" t="inlineStr">
        <is>
          <t>University of Western Australia</t>
        </is>
      </c>
      <c r="Z1138" t="inlineStr">
        <is>
          <t>Khatib, GF (corresponding author), Australian Govt Asbestos Safety &amp; Eradicat Agcy AS, Surry Hills, NSW 2010, Australia.</t>
        </is>
      </c>
      <c r="AA1138" t="inlineStr">
        <is>
          <t>georgia.khatib@asbestossafety.gov.au</t>
        </is>
      </c>
      <c r="AC1138" t="inlineStr">
        <is>
          <t>Franklin, Peter/0000-0002-9983-1212</t>
        </is>
      </c>
      <c r="AH1138" t="n">
        <v>101</v>
      </c>
      <c r="AI1138" t="n">
        <v>0</v>
      </c>
      <c r="AJ1138" t="n">
        <v>0</v>
      </c>
      <c r="AK1138" t="n">
        <v>2</v>
      </c>
      <c r="AL1138" t="n">
        <v>2</v>
      </c>
      <c r="AM1138" t="inlineStr">
        <is>
          <t>MDPI</t>
        </is>
      </c>
      <c r="AN1138" t="inlineStr">
        <is>
          <t>BASEL</t>
        </is>
      </c>
      <c r="AO1138" t="inlineStr">
        <is>
          <t>ST ALBAN-ANLAGE 66, CH-4052 BASEL, SWITZERLAND</t>
        </is>
      </c>
      <c r="AQ1138" t="inlineStr">
        <is>
          <t>2071-1050</t>
        </is>
      </c>
      <c r="AS1138" t="inlineStr">
        <is>
          <t>SUSTAINABILITY-BASEL</t>
        </is>
      </c>
      <c r="AT1138" t="inlineStr">
        <is>
          <t>Sustainability</t>
        </is>
      </c>
      <c r="AU1138" t="inlineStr">
        <is>
          <t>AUG</t>
        </is>
      </c>
      <c r="AV1138" t="n">
        <v>2023</v>
      </c>
      <c r="AW1138" t="n">
        <v>15</v>
      </c>
      <c r="AX1138" t="n">
        <v>15</v>
      </c>
      <c r="BE1138" t="n">
        <v>12071</v>
      </c>
      <c r="BF1138" t="inlineStr">
        <is>
          <t>10.3390/su151512071</t>
        </is>
      </c>
      <c r="BG1138">
        <f>HYPERLINK("http://dx.doi.org/10.3390/su151512071","http://dx.doi.org/10.3390/su151512071")</f>
        <v/>
      </c>
      <c r="BJ1138" t="n">
        <v>23</v>
      </c>
      <c r="BK1138" t="inlineStr">
        <is>
          <t>Green &amp; Sustainable Science &amp; Technology; Environmental Sciences; Environmental Studies</t>
        </is>
      </c>
      <c r="BL1138" t="inlineStr">
        <is>
          <t>Science Citation Index Expanded (SCI-EXPANDED); Social Science Citation Index (SSCI)</t>
        </is>
      </c>
      <c r="BM1138" t="inlineStr">
        <is>
          <t>Science &amp; Technology - Other Topics; Environmental Sciences &amp; Ecology</t>
        </is>
      </c>
      <c r="BN1138" t="inlineStr">
        <is>
          <t>O7UY7</t>
        </is>
      </c>
      <c r="BP1138" t="inlineStr">
        <is>
          <t>gold</t>
        </is>
      </c>
      <c r="BS1138" t="inlineStr">
        <is>
          <t>2023-10-26</t>
        </is>
      </c>
      <c r="BT1138" t="inlineStr">
        <is>
          <t>WOS:001045830600001</t>
        </is>
      </c>
      <c r="BU1138">
        <f>HYPERLINK("https%3A%2F%2Fwww.webofscience.com%2Fwos%2Fwoscc%2Ffull-record%2FWOS:001045830600001","View Full Record in Web of Science")</f>
        <v/>
      </c>
    </row>
    <row r="1139">
      <c r="A1139" t="inlineStr">
        <is>
          <t>J</t>
        </is>
      </c>
      <c r="B1139" t="inlineStr">
        <is>
          <t>Yang, Y; Hu, K; Liu, YB; Wang, ZH; Dong, KH; Lv, PJ; Shi, X</t>
        </is>
      </c>
      <c r="F1139" t="inlineStr">
        <is>
          <t>Yang, Yue; Hu, Kai; Liu, Yibiao; Wang, Zhihuang; Dong, Kaihong; Lv, Peijuan; Shi, Xing</t>
        </is>
      </c>
      <c r="J1139" t="inlineStr">
        <is>
          <t>SUSTAINABILITY</t>
        </is>
      </c>
      <c r="M1139" t="inlineStr">
        <is>
          <t>English</t>
        </is>
      </c>
      <c r="N1139" t="inlineStr">
        <is>
          <t>Article</t>
        </is>
      </c>
      <c r="T1139" t="inlineStr">
        <is>
          <t>Optimisation of Building Green Performances Using Vertical Greening Systems: A Case Study in Changzhou, China</t>
        </is>
      </c>
      <c r="U1139" t="inlineStr">
        <is>
          <t>vertical greening system (VGS); building green performance; real-time monitoring; thermal environment; indoor air quality; energy conservation</t>
        </is>
      </c>
      <c r="V1139" t="inlineStr">
        <is>
          <t>LIFE-CYCLE ASSESSMENT; ENERGY PERFORMANCE; PARTICULATE MATTER; LIVING WALLS; IMPACT; ACCUMULATION; VEGETATION; FACADES; ROOFS</t>
        </is>
      </c>
      <c r="W1139" t="inlineStr">
        <is>
          <t>The benefits of greening systems on buildings have been frequently examined using experimental methods. However, few studies have adopted dynamic monitoring of real operational buildings to quantify the effects of greening systems on multiple building green performance indexes, such as thermal comfort, indoor air quality, and energy consumption. In this study, a type of multi-in-one indoor environmental quality monitoring device was adopted for vertical greening systems in a green-certified building in Changzhou, China, with real-time data collection through an Internet of Things platform. Measurements of the indoor thermal environment and air quality were recorded from four testing points during a 90 day period from spring to summer in 2021. For comparison, the testing points were divided into group A (office zone) and group B (exhibition zone). Our results demonstrated that, in the presence of a vertical greening system, the seasonal average indoor temperatures decreased by up to 0.7 degrees C. The green facade outperformed the ordinary exterior wall, optimising both indoor thermal comfort and thermal inertia. Furthermore, judicious indoor greening designs significantly reduced the indoor air-pollutant concentrations, such as particulate matter, carbon dioxide, and organic pollutants. The median values for particulate matter 10 and formaldehyde concentration decreased by 20.7% and 33.3%, respectively, thus improving the indoor air quality. Lastly, the annual electricity consumption of the building with vertical greening systems was about 25% lower than that of similar buildings, underlining the potential contribution of vertical greening systems to building energy conservation. Such findings collectively demonstrate that greening systems offer quantifiable benefits for building parameters such as thermal properties, indoor air quality, and energy conservation.</t>
        </is>
      </c>
      <c r="X1139" t="inlineStr">
        <is>
          <t>[Yang, Yue; Liu, Yibiao] Jiangsu Res Inst Bldg Sci Co Ltd, Nanjing 210008, Peoples R China; [Yang, Yue; Hu, Kai; Liu, Yibiao; Wang, Zhihuang; Dong, Kaihong; Lv, Peijuan] Jiangsu Jianke Identificat Consulting Co Ltd, Nanjing 210008, Peoples R China; [Shi, Xing] Tongji Univ, Coll Architecture &amp; Urban Planning, Shanghai 200092, Peoples R China; [Shi, Xing] Minist Educ, Key Lab Ecol &amp; Energy Saving Study Dense Habitat, Shanghai 200092, Peoples R China</t>
        </is>
      </c>
      <c r="Y1139" t="inlineStr">
        <is>
          <t>Tongji University</t>
        </is>
      </c>
      <c r="Z1139" t="inlineStr">
        <is>
          <t>Shi, X (corresponding author), Tongji Univ, Coll Architecture &amp; Urban Planning, Shanghai 200092, Peoples R China.;Shi, X (corresponding author), Minist Educ, Key Lab Ecol &amp; Energy Saving Study Dense Habitat, Shanghai 200092, Peoples R China.</t>
        </is>
      </c>
      <c r="AA1139" t="inlineStr">
        <is>
          <t>20101@tongji.edu.cn</t>
        </is>
      </c>
      <c r="AB1139" t="inlineStr">
        <is>
          <t>Shi, Xing/IZQ-2735-2023</t>
        </is>
      </c>
      <c r="AH1139" t="n">
        <v>43</v>
      </c>
      <c r="AI1139" t="n">
        <v>1</v>
      </c>
      <c r="AJ1139" t="n">
        <v>1</v>
      </c>
      <c r="AK1139" t="n">
        <v>15</v>
      </c>
      <c r="AL1139" t="n">
        <v>19</v>
      </c>
      <c r="AM1139" t="inlineStr">
        <is>
          <t>MDPI</t>
        </is>
      </c>
      <c r="AN1139" t="inlineStr">
        <is>
          <t>BASEL</t>
        </is>
      </c>
      <c r="AO1139" t="inlineStr">
        <is>
          <t>ST ALBAN-ANLAGE 66, CH-4052 BASEL, SWITZERLAND</t>
        </is>
      </c>
      <c r="AQ1139" t="inlineStr">
        <is>
          <t>2071-1050</t>
        </is>
      </c>
      <c r="AS1139" t="inlineStr">
        <is>
          <t>SUSTAINABILITY-BASEL</t>
        </is>
      </c>
      <c r="AT1139" t="inlineStr">
        <is>
          <t>Sustainability</t>
        </is>
      </c>
      <c r="AU1139" t="inlineStr">
        <is>
          <t>MAR</t>
        </is>
      </c>
      <c r="AV1139" t="n">
        <v>2023</v>
      </c>
      <c r="AW1139" t="n">
        <v>15</v>
      </c>
      <c r="AX1139" t="n">
        <v>5</v>
      </c>
      <c r="BE1139" t="n">
        <v>4494</v>
      </c>
      <c r="BF1139" t="inlineStr">
        <is>
          <t>10.3390/su15054494</t>
        </is>
      </c>
      <c r="BG1139">
        <f>HYPERLINK("http://dx.doi.org/10.3390/su15054494","http://dx.doi.org/10.3390/su15054494")</f>
        <v/>
      </c>
      <c r="BJ1139" t="n">
        <v>30</v>
      </c>
      <c r="BK1139" t="inlineStr">
        <is>
          <t>Green &amp; Sustainable Science &amp; Technology; Environmental Sciences; Environmental Studies</t>
        </is>
      </c>
      <c r="BL1139" t="inlineStr">
        <is>
          <t>Science Citation Index Expanded (SCI-EXPANDED); Social Science Citation Index (SSCI)</t>
        </is>
      </c>
      <c r="BM1139" t="inlineStr">
        <is>
          <t>Science &amp; Technology - Other Topics; Environmental Sciences &amp; Ecology</t>
        </is>
      </c>
      <c r="BN1139" t="inlineStr">
        <is>
          <t>9T3RJ</t>
        </is>
      </c>
      <c r="BP1139" t="inlineStr">
        <is>
          <t>gold</t>
        </is>
      </c>
      <c r="BS1139" t="inlineStr">
        <is>
          <t>2023-10-26</t>
        </is>
      </c>
      <c r="BT1139" t="inlineStr">
        <is>
          <t>WOS:000946947100001</t>
        </is>
      </c>
      <c r="BU1139">
        <f>HYPERLINK("https%3A%2F%2Fwww.webofscience.com%2Fwos%2Fwoscc%2Ffull-record%2FWOS:000946947100001","View Full Record in Web of Science")</f>
        <v/>
      </c>
    </row>
    <row r="1140">
      <c r="A1140" t="inlineStr">
        <is>
          <t>J</t>
        </is>
      </c>
      <c r="B1140" t="inlineStr">
        <is>
          <t>Asiamah, N; Awuviry-Newton, K; Vieira, ER; Bateman, A; Khan, HTA; Mensah, HK; Dintrans, PV; Danquah, E</t>
        </is>
      </c>
      <c r="F1140" t="inlineStr">
        <is>
          <t>Asiamah, Nestor; Awuviry-Newton, Kofi; Vieira, Edgar R.; Bateman, Andrew; Khan, Hafiz T. A.; Mensah, Henry Kofi; Villalobos Dintrans, Pablo; Danquah, Emelia</t>
        </is>
      </c>
      <c r="J1140" t="inlineStr">
        <is>
          <t>INTERNATIONAL JOURNAL OF ENVIRONMENTAL RESEARCH AND PUBLIC HEALTH</t>
        </is>
      </c>
      <c r="M1140" t="inlineStr">
        <is>
          <t>English</t>
        </is>
      </c>
      <c r="N1140" t="inlineStr">
        <is>
          <t>Article</t>
        </is>
      </c>
      <c r="T1140" t="inlineStr">
        <is>
          <t>Older Adults' Vigorous Occupational Physical Activity Levels in Six Countries Are Explained by Country and 'Having Multiple Jobs'</t>
        </is>
      </c>
      <c r="U1140" t="inlineStr">
        <is>
          <t>physical activity; occupational physical activity; older adults; multiple countries</t>
        </is>
      </c>
      <c r="W1140" t="inlineStr">
        <is>
          <t>Several studies have compared physical activity (PA) levels between countries, but none of these studies focused on older adults and occupational PA. This study aimed to assess potential inequalities in older adults' occupational PA across six countries and to ascertain whether having multiple jobs is a factor that interacts with country of residence to modify inequalities. This study adopted a cross-sectional design with a statistical technique screening for potential covariates. Older adults (mean age = 64 years; range = 50-114 years) from six countries (Russia, Mexico, China, India, Ghana, and South Africa) participated in the study. We utilised data from the first wave of the Study on Global AGEing and Adult Health (SAGE). These data were collected from 2007 to 2010. A random sample of 34,114 older adults completed the survey. We analysed the data with a two-way multivariate analysis of variance after screening for the ultimate covariates. There were differences in occupational PA levels (i.e., vigorous and moderate PA) among the six countries. Occupational PA levels were not significantly associated with having multiple jobs. However, having multiple jobs interacted with country of residence to influence vigorous occupational PA. Older adults from most countries who had more than one job reported more vigorous occupational PA. Older adults' occupational PA differed among the six countries, and having multiple jobs was associated with more vigorous occupational PA. Older adults who keep multiple jobs at a time may be more active than their counterparts who had one job or were unemployed.</t>
        </is>
      </c>
      <c r="X1140" t="inlineStr">
        <is>
          <t>[Asiamah, Nestor; Bateman, Andrew] Univ Essex, Sch Hlth &amp; Social Care, Div Interdisciplinary Res &amp; Practice, Colchester CO4 3SQ, Essex, England; [Asiamah, Nestor; Danquah, Emelia] Africa Ctr Epidemiol, Dept Gerontol &amp; Geriatr, Accra POB AN 18462, Accra, Ghana; [Awuviry-Newton, Kofi; Villalobos Dintrans, Pablo] African Hlth &amp; Ageing Res Ctr AHaARC, Dept Geriatr &amp; Gerontol, Winneba, Ghana; [Vieira, Edgar R.] Florida Int Univ, Dept Phys Therapy, Nicole Wertheim Coll Nursing Hlth Sci, Miami, FL 33199 USA; [Khan, Hafiz T. A.] Univ West London, Coll Nursing Midwifery &amp; Healthcare, Paragon House,Manor Rd, Brentford, England; [Mensah, Henry Kofi] Kwame Nkrumah Univ Sci &amp; Technol, Dept Human Resources &amp; Org Dev, PMB KNUST, Kumasi, Ghana; [Villalobos Dintrans, Pablo] Univ Santiago, Fac Ciencias Med, Programa Ctr Salud Publ, Santiago 8990000, Chile; [Villalobos Dintrans, Pablo] Millennium Inst Care Res MICARE, Santiago, Chile; [Danquah, Emelia] Koforidua Tech Univ, Res Directorate, Koforidua POB KF 981, Koforidua, Ghana</t>
        </is>
      </c>
      <c r="Y1140" t="inlineStr">
        <is>
          <t>University of Essex; State University System of Florida; Florida International University; University of West London; Kwame Nkrumah University Science &amp; Technology; Universidad de Santiago de Chile</t>
        </is>
      </c>
      <c r="Z1140" t="inlineStr">
        <is>
          <t>Asiamah, N (corresponding author), Univ Essex, Sch Hlth &amp; Social Care, Div Interdisciplinary Res &amp; Practice, Colchester CO4 3SQ, Essex, England.;Asiamah, N (corresponding author), Africa Ctr Epidemiol, Dept Gerontol &amp; Geriatr, Accra POB AN 18462, Accra, Ghana.</t>
        </is>
      </c>
      <c r="AA1140" t="inlineStr">
        <is>
          <t>n.asiamah@essex.ac.uk</t>
        </is>
      </c>
      <c r="AB1140" t="inlineStr">
        <is>
          <t>Asiamah, Nestor/T-7594-2018; Dintrans, Pablo Villalobos/AAM-6248-2020; Khan, Hafiz T.A./H-9401-2019; Mensah, Henry Kofi/M-7986-2015; Vieira, Edgar/I-7609-2013</t>
        </is>
      </c>
      <c r="AC1140" t="inlineStr">
        <is>
          <t>Asiamah, Nestor/0000-0002-1157-6430; Dintrans, Pablo Villalobos/0000-0002-2236-6447; Khan, Hafiz T.A./0000-0002-1817-3730; Mensah, Henry Kofi/0000-0001-7580-8125; Vieira, Edgar/0000-0002-1011-5077</t>
        </is>
      </c>
      <c r="AH1140" t="n">
        <v>25</v>
      </c>
      <c r="AI1140" t="n">
        <v>1</v>
      </c>
      <c r="AJ1140" t="n">
        <v>1</v>
      </c>
      <c r="AK1140" t="n">
        <v>2</v>
      </c>
      <c r="AL1140" t="n">
        <v>4</v>
      </c>
      <c r="AM1140" t="inlineStr">
        <is>
          <t>MDPI</t>
        </is>
      </c>
      <c r="AN1140" t="inlineStr">
        <is>
          <t>BASEL</t>
        </is>
      </c>
      <c r="AO1140" t="inlineStr">
        <is>
          <t>ST ALBAN-ANLAGE 66, CH-4052 BASEL, SWITZERLAND</t>
        </is>
      </c>
      <c r="AQ1140" t="inlineStr">
        <is>
          <t>1660-4601</t>
        </is>
      </c>
      <c r="AS1140" t="inlineStr">
        <is>
          <t>INT J ENV RES PUB HE</t>
        </is>
      </c>
      <c r="AT1140" t="inlineStr">
        <is>
          <t>Int. J. Environ. Res. Public Health</t>
        </is>
      </c>
      <c r="AU1140" t="inlineStr">
        <is>
          <t>NOV</t>
        </is>
      </c>
      <c r="AV1140" t="n">
        <v>2022</v>
      </c>
      <c r="AW1140" t="n">
        <v>19</v>
      </c>
      <c r="AX1140" t="n">
        <v>21</v>
      </c>
      <c r="BE1140" t="n">
        <v>14065</v>
      </c>
      <c r="BF1140" t="inlineStr">
        <is>
          <t>10.3390/ijerph192114065</t>
        </is>
      </c>
      <c r="BG1140">
        <f>HYPERLINK("http://dx.doi.org/10.3390/ijerph192114065","http://dx.doi.org/10.3390/ijerph192114065")</f>
        <v/>
      </c>
      <c r="BJ1140" t="n">
        <v>15</v>
      </c>
      <c r="BK1140" t="inlineStr">
        <is>
          <t>Environmental Sciences; Public, Environmental &amp; Occupational Health</t>
        </is>
      </c>
      <c r="BL1140" t="inlineStr">
        <is>
          <t>Science Citation Index Expanded (SCI-EXPANDED); Social Science Citation Index (SSCI)</t>
        </is>
      </c>
      <c r="BM1140" t="inlineStr">
        <is>
          <t>Environmental Sciences &amp; Ecology; Public, Environmental &amp; Occupational Health</t>
        </is>
      </c>
      <c r="BN1140" t="inlineStr">
        <is>
          <t>6D4DC</t>
        </is>
      </c>
      <c r="BO1140" t="n">
        <v>36360952</v>
      </c>
      <c r="BP1140" t="inlineStr">
        <is>
          <t>Green Published, Green Accepted, gold</t>
        </is>
      </c>
      <c r="BS1140" t="inlineStr">
        <is>
          <t>2023-10-26</t>
        </is>
      </c>
      <c r="BT1140" t="inlineStr">
        <is>
          <t>WOS:000882642500001</t>
        </is>
      </c>
      <c r="BU1140">
        <f>HYPERLINK("https%3A%2F%2Fwww.webofscience.com%2Fwos%2Fwoscc%2Ffull-record%2FWOS:000882642500001","View Full Record in Web of Science")</f>
        <v/>
      </c>
    </row>
    <row r="1141">
      <c r="A1141" t="inlineStr">
        <is>
          <t>J</t>
        </is>
      </c>
      <c r="B1141" t="inlineStr">
        <is>
          <t>Assari, S; Smith, JL; Zimmerman, MA; Bazargan, M</t>
        </is>
      </c>
      <c r="F1141" t="inlineStr">
        <is>
          <t>Assari, Shervin; Smith, James L.; Zimmerman, Marc A.; Bazargan, Mohsen</t>
        </is>
      </c>
      <c r="J1141" t="inlineStr">
        <is>
          <t>INTERNATIONAL JOURNAL OF ENVIRONMENTAL RESEARCH AND PUBLIC HEALTH</t>
        </is>
      </c>
      <c r="M1141" t="inlineStr">
        <is>
          <t>English</t>
        </is>
      </c>
      <c r="N1141" t="inlineStr">
        <is>
          <t>Article</t>
        </is>
      </c>
      <c r="T1141" t="inlineStr">
        <is>
          <t>Cigarette Smoking among Economically Disadvantaged African-American Older Adults in South Los Angeles: Gender Differences</t>
        </is>
      </c>
      <c r="U1141" t="inlineStr">
        <is>
          <t>African Americans; Blacks; older adults; gender; depression; drinking; smoking</t>
        </is>
      </c>
      <c r="V1141" t="inlineStr">
        <is>
          <t>GERIATRIC DEPRESSION SCALE; ALCOHOL-RELATED PROBLEMS; SUBSTANCE USE; FINANCIAL STRESS; SEX-DIFFERENCES; SHORT-FORM; DEVELOPMENTAL TRAJECTORIES; DIABETES-MELLITUS; HISPANIC COUPLES; PROBLEM DRINKING</t>
        </is>
      </c>
      <c r="W1141" t="inlineStr">
        <is>
          <t>The current study aims to explore gender differences in the risk of cigarette smoking among African-American (AA) older adults who live in economically disadvantaged urban areas of southern Los Angeles. This cross-sectional study enrolled 576 older AA adults (age range between 65 and 96 years) who were residing in Service Planning Area 6 (SPA 6), one of the most economically challenged areas in southern Los Angeles. All participants had cardiometabolic disease (CMD). Data were collected using structured face-to-face interviews. Demographic factors (age and gender), socioeconomic status (educational attainment and financial difficulty), health (number of comorbid medical conditions and depressive symptoms), and health behaviors (current alcohol drinking and current smoking) were measured. Logistic regressions were used to analyze the data without and with interaction terms between gender and current drinking, depressive symptoms, and financial difficulty. AA men reported more smoking than AA women (25.3% versus 9.3%; p &lt; 0.05). Drinking showed a stronger association with smoking for AA men than AA women. Depressive symptoms, however, showed stronger effects on smoking for AA women than AA men. Gender did not interact with financial difficulty with regard to current smoking. As AA older men and women differ in psychological and behavioral determinants of cigarette smoking, gender-specific smoking cessation interventions for AA older adults who live in economically deprived urban areas may be more successful than interventions and programs that do not consider gender differences in determinants of smoking. Gender-tailored smoking cessation programs that address drinking for AA men and depression for AA women may help reduce the burden of smoking in AA older adults in economically disadvantaged urban areas. Given the non-random sampling, there is a need for replication of these findings in future studies.</t>
        </is>
      </c>
      <c r="X1141" t="inlineStr">
        <is>
          <t>[Assari, Shervin; Smith, James L.; Bazargan, Mohsen] Charles R Drew Univ Med &amp; Sci, Coll Med, Dept Family Med, Los Angeles, CA 90059 USA; [Zimmerman, Marc A.] Univ Michigan, Sch Publ Hlth, Dept Hlth Behav &amp; Hlth Educ, Ann Arbor, MI 48109 USA; [Bazargan, Mohsen] Univ Calif Los Angeles, Dept Family Med, Los Angeles, CA 90059 USA</t>
        </is>
      </c>
      <c r="Y1141" t="inlineStr">
        <is>
          <t>Charles R. Drew University of Medicine &amp; Science; University of Michigan System; University of Michigan; University of California System; University of California Los Angeles</t>
        </is>
      </c>
      <c r="Z1141" t="inlineStr">
        <is>
          <t>Assari, S (corresponding author), Charles R Drew Univ Med &amp; Sci, Coll Med, Dept Family Med, Los Angeles, CA 90059 USA.</t>
        </is>
      </c>
      <c r="AA1141" t="inlineStr">
        <is>
          <t>assari@umich.edu; Jamessmith@cdrewu.edu; marcz@umich.edu; mobazarg@cdrewu.edu</t>
        </is>
      </c>
      <c r="AB1141" t="inlineStr">
        <is>
          <t>Assari, Shervin/B-3062-2011</t>
        </is>
      </c>
      <c r="AC1141" t="inlineStr">
        <is>
          <t>Assari, Shervin/0000-0002-5054-6250</t>
        </is>
      </c>
      <c r="AD1141" t="inlineStr">
        <is>
          <t>Center for Medicare and Medicaid Services (CMS) [1H0CMS331621]; National Institutes of Health (NIH) [54MD008149, R25 MD007610, 2U54MD007598, U54 TR001627]; CMC [1H0CMS331621]; National Institute on Minority Health and Health Disparities (NIMHD) [U54 MD007598]; National Institute on Drug Abuse (NIDA) [DA035811-05]; National Institute of Child Health and Human Development (NICHD) [D084526-03]; National Cancer Institute (NCI) [CA201415-02]</t>
        </is>
      </c>
      <c r="AE1141" t="inlineStr">
        <is>
          <t>Center for Medicare and Medicaid Services (CMS); National Institutes of Health (NIH)(United States Department of Health &amp; Human ServicesNational Institutes of Health (NIH) - USA); CMC; National Institute on Minority Health and Health Disparities (NIMHD)(United States Department of Health &amp; Human ServicesNational Institutes of Health (NIH) - USANIH National Institute on Minority Health &amp; Health Disparities (NIMHD)); National Institute on Drug Abuse (NIDA)(United States Department of Health &amp; Human ServicesNational Institutes of Health (NIH) - USANIH National Institute on Drug Abuse (NIDA)); National Institute of Child Health and Human Development (NICHD)(United States Department of Health &amp; Human ServicesNational Institutes of Health (NIH) - USANIH Eunice Kennedy Shriver National Institute of Child Health &amp; Human Development (NICHD)); National Cancer Institute (NCI)(United States Department of Health &amp; Human ServicesNational Institutes of Health (NIH) - USANIH National Cancer Institute (NCI))</t>
        </is>
      </c>
      <c r="AF1141" t="inlineStr">
        <is>
          <t>This study was supported by the Center for Medicare and Medicaid Services (CMS) Grant 1H0CMS331621 to Charles R. Drew University of Medicine and Science (PI: Mohsen Bazargan). Additionally, Bazargan is supported by the National Institutes of Health (NIH) under Award #54MD008149 and #R25 MD007610 (principal investigator (PI): Mohsen Bazargan), 2U54MD007598 (PI: J. Vadgama), and U54 TR001627 (PIs: S. Dubinett, and R. Jenders). Shervin Assari is partly supported by the CMC grant 1H0CMS331621 (PI: M. Bazargan), the National Institute on Minority Health and Health Disparities (NIMHD) grant U54 MD007598 (PI = Mohsen Bazargan), the National Institute on Drug Abuse (NIDA) grant DA035811-05 (PI = Marc A. Zimmerman), the National Institute of Child Health and Human Development (NICHD) grant D084526-03, and the National Cancer Institute (NCI) grant CA201415-02 (Co-PI = R. Mistry).</t>
        </is>
      </c>
      <c r="AH1141" t="n">
        <v>122</v>
      </c>
      <c r="AI1141" t="n">
        <v>17</v>
      </c>
      <c r="AJ1141" t="n">
        <v>17</v>
      </c>
      <c r="AK1141" t="n">
        <v>0</v>
      </c>
      <c r="AL1141" t="n">
        <v>8</v>
      </c>
      <c r="AM1141" t="inlineStr">
        <is>
          <t>MDPI</t>
        </is>
      </c>
      <c r="AN1141" t="inlineStr">
        <is>
          <t>BASEL</t>
        </is>
      </c>
      <c r="AO1141" t="inlineStr">
        <is>
          <t>ST ALBAN-ANLAGE 66, CH-4052 BASEL, SWITZERLAND</t>
        </is>
      </c>
      <c r="AQ1141" t="inlineStr">
        <is>
          <t>1660-4601</t>
        </is>
      </c>
      <c r="AS1141" t="inlineStr">
        <is>
          <t>INT J ENV RES PUB HE</t>
        </is>
      </c>
      <c r="AT1141" t="inlineStr">
        <is>
          <t>Int. J. Environ. Res. Public Health</t>
        </is>
      </c>
      <c r="AU1141" t="inlineStr">
        <is>
          <t>APR 1</t>
        </is>
      </c>
      <c r="AV1141" t="n">
        <v>2019</v>
      </c>
      <c r="AW1141" t="n">
        <v>16</v>
      </c>
      <c r="AX1141" t="n">
        <v>7</v>
      </c>
      <c r="BE1141" t="n">
        <v>1208</v>
      </c>
      <c r="BF1141" t="inlineStr">
        <is>
          <t>10.3390/ijerph16071208</t>
        </is>
      </c>
      <c r="BG1141">
        <f>HYPERLINK("http://dx.doi.org/10.3390/ijerph16071208","http://dx.doi.org/10.3390/ijerph16071208")</f>
        <v/>
      </c>
      <c r="BJ1141" t="n">
        <v>16</v>
      </c>
      <c r="BK1141" t="inlineStr">
        <is>
          <t>Environmental Sciences; Public, Environmental &amp; Occupational Health</t>
        </is>
      </c>
      <c r="BL1141" t="inlineStr">
        <is>
          <t>Science Citation Index Expanded (SCI-EXPANDED); Social Science Citation Index (SSCI)</t>
        </is>
      </c>
      <c r="BM1141" t="inlineStr">
        <is>
          <t>Environmental Sciences &amp; Ecology; Public, Environmental &amp; Occupational Health</t>
        </is>
      </c>
      <c r="BN1141" t="inlineStr">
        <is>
          <t>HU9EF</t>
        </is>
      </c>
      <c r="BO1141" t="n">
        <v>30987284</v>
      </c>
      <c r="BP1141" t="inlineStr">
        <is>
          <t>gold, Green Published, Green Submitted</t>
        </is>
      </c>
      <c r="BS1141" t="inlineStr">
        <is>
          <t>2023-10-26</t>
        </is>
      </c>
      <c r="BT1141" t="inlineStr">
        <is>
          <t>WOS:000465595800121</t>
        </is>
      </c>
      <c r="BU1141">
        <f>HYPERLINK("https%3A%2F%2Fwww.webofscience.com%2Fwos%2Fwoscc%2Ffull-record%2FWOS:000465595800121","View Full Record in Web of Science")</f>
        <v/>
      </c>
    </row>
    <row r="1142">
      <c r="A1142" t="inlineStr">
        <is>
          <t>J</t>
        </is>
      </c>
      <c r="B1142" t="inlineStr">
        <is>
          <t>Duncan, DT; Sharifi, M; Melly, SJ; Marshall, R; Sequist, TD; Rifas-Shiman, SL; Taveras, EM</t>
        </is>
      </c>
      <c r="F1142" t="inlineStr">
        <is>
          <t>Duncan, Dustin T.; Sharifi, Mona; Melly, Steven J.; Marshall, Richard; Sequist, Thomas D.; Rifas-Shiman, Sheryl L.; Taveras, Elsie M.</t>
        </is>
      </c>
      <c r="J1142" t="inlineStr">
        <is>
          <t>ENVIRONMENTAL HEALTH PERSPECTIVES</t>
        </is>
      </c>
      <c r="M1142" t="inlineStr">
        <is>
          <t>English</t>
        </is>
      </c>
      <c r="N1142" t="inlineStr">
        <is>
          <t>Article</t>
        </is>
      </c>
      <c r="T1142" t="inlineStr">
        <is>
          <t>Characteristics of Walkable Built Environments and BMI z-Scores in Children: Evidence from a Large Electronic Health Record Database</t>
        </is>
      </c>
      <c r="V1142" t="inlineStr">
        <is>
          <t>BODY-MASS INDEX; PHYSICAL-ACTIVITY; CHILDHOOD OBESITY; WEIGHT STATUS; NEIGHBORHOOD; ASSOCIATION; ADOLESCENTS; YOUTH; FACILITIES; HOME</t>
        </is>
      </c>
      <c r="W1142" t="inlineStr">
        <is>
          <t>BACKGROUND: Childhood obesity remains a prominent public health problem. Walkable built environments may prevent excess weight gain. OBJECTIVES: We examined the association of walkable built environment characteristics with body mass index (BMI) z-score among a large sample of children and adolescents. METHODS: We used geocoded residential address data from electronic health records of 49,770 children and adolescents 4 to &lt;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 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 CONCLUSIONS: Overall, built environment characteristics that may increase walkability were associated with lower BMI z-scores in a large sample of children. Modifying existing built environments to make them more walkable may reduce childhood obesity.</t>
        </is>
      </c>
      <c r="X1142" t="inlineStr">
        <is>
          <t>[Duncan, Dustin T.] Harvard Univ, Sch Publ Hlth, Dept Social &amp; Behav Sci, Boston, MA 02115 USA; [Sharifi, Mona; Taveras, Elsie M.] Massachusetts Gen Hosp Children, Dept Pediat, Div Gen Acad Pediat, Boston, MA USA; [Melly, Steven J.] Harvard Univ, Sch Publ Hlth, Dept Environm Hlth, Boston, MA 02115 USA; [Marshall, Richard; Sequist, Thomas D.] Harvard Vanguard Med Associates, Boston, MA USA; [Rifas-Shiman, Sheryl L.] Brigham &amp; Womens Hosp, Div Gen Med &amp; Primary Care, Boston, MA 02115 USA; [Rifas-Shiman, Sheryl L.; Taveras, Elsie M.] Harvard Univ, Sch Publ Hlth, Dept Nutr, Boston, MA 02115 USA</t>
        </is>
      </c>
      <c r="Y1142" t="inlineStr">
        <is>
          <t>Harvard University; Harvard T.H. Chan School of Public Health; Harvard University; Harvard T.H. Chan School of Public Health; Harvard Vanguard Medical Associates; Harvard University; Brigham &amp; Women's Hospital; Harvard University; Harvard T.H. Chan School of Public Health</t>
        </is>
      </c>
      <c r="Z1142" t="inlineStr">
        <is>
          <t>Duncan, DT (corresponding author), NYU, Sch Med, Dept Populat Hlth, 227 East 30th St,Room 621, New York, NY 10016 USA.</t>
        </is>
      </c>
      <c r="AA1142" t="inlineStr">
        <is>
          <t>Dustin.Duncan@nyumc.org</t>
        </is>
      </c>
      <c r="AC1142" t="inlineStr">
        <is>
          <t>Sharifi, Mona/0000-0002-1632-7038</t>
        </is>
      </c>
      <c r="AD1142" t="inlineStr">
        <is>
          <t>Alonzo Smythe Yerby Postdoctoral Fellowship at Harvard School of Public Health; Harvard Clinical and Translational Science Center [UL1 RR 025758]</t>
        </is>
      </c>
      <c r="AE1142" t="inlineStr">
        <is>
          <t>Alonzo Smythe Yerby Postdoctoral Fellowship at Harvard School of Public Health; Harvard Clinical and Translational Science Center</t>
        </is>
      </c>
      <c r="AF1142" t="inlineStr">
        <is>
          <t>At the time of the study, D.T.D. was supported by the Alonzo Smythe Yerby Postdoctoral Fellowship at Harvard School of Public Health. This study was supported by the Harvard Catalyst Child Health Pilot Grant Program (E.M.T.) through the Harvard Clinical and Translational Science Center (UL1 RR 025758).</t>
        </is>
      </c>
      <c r="AH1142" t="n">
        <v>39</v>
      </c>
      <c r="AI1142" t="n">
        <v>73</v>
      </c>
      <c r="AJ1142" t="n">
        <v>75</v>
      </c>
      <c r="AK1142" t="n">
        <v>6</v>
      </c>
      <c r="AL1142" t="n">
        <v>60</v>
      </c>
      <c r="AM1142" t="inlineStr">
        <is>
          <t>US DEPT HEALTH HUMAN SCIENCES PUBLIC HEALTH SCIENCE</t>
        </is>
      </c>
      <c r="AN1142" t="inlineStr">
        <is>
          <t>RES TRIANGLE PK</t>
        </is>
      </c>
      <c r="AO1142" t="inlineStr">
        <is>
          <t>NATL INST HEALTH, NATL INST ENVIRONMENTAL HEALTH SCIENCES, PO BOX 12233, RES TRIANGLE PK, NC 27709-2233 USA</t>
        </is>
      </c>
      <c r="AP1142" t="inlineStr">
        <is>
          <t>0091-6765</t>
        </is>
      </c>
      <c r="AQ1142" t="inlineStr">
        <is>
          <t>1552-9924</t>
        </is>
      </c>
      <c r="AS1142" t="inlineStr">
        <is>
          <t>ENVIRON HEALTH PERSP</t>
        </is>
      </c>
      <c r="AT1142" t="inlineStr">
        <is>
          <t>Environ. Health Perspect.</t>
        </is>
      </c>
      <c r="AU1142" t="inlineStr">
        <is>
          <t>DEC</t>
        </is>
      </c>
      <c r="AV1142" t="n">
        <v>2014</v>
      </c>
      <c r="AW1142" t="n">
        <v>122</v>
      </c>
      <c r="AX1142" t="n">
        <v>12</v>
      </c>
      <c r="BC1142" t="n">
        <v>1359</v>
      </c>
      <c r="BD1142" t="n">
        <v>1365</v>
      </c>
      <c r="BF1142" t="inlineStr">
        <is>
          <t>10.1289/ehp.1307704</t>
        </is>
      </c>
      <c r="BG1142">
        <f>HYPERLINK("http://dx.doi.org/10.1289/ehp.1307704","http://dx.doi.org/10.1289/ehp.1307704")</f>
        <v/>
      </c>
      <c r="BJ1142" t="n">
        <v>7</v>
      </c>
      <c r="BK1142" t="inlineStr">
        <is>
          <t>Environmental Sciences; Public, Environmental &amp; Occupational Health; Toxicology</t>
        </is>
      </c>
      <c r="BL1142" t="inlineStr">
        <is>
          <t>Science Citation Index Expanded (SCI-EXPANDED); Social Science Citation Index (SSCI)</t>
        </is>
      </c>
      <c r="BM1142" t="inlineStr">
        <is>
          <t>Environmental Sciences &amp; Ecology; Public, Environmental &amp; Occupational Health; Toxicology</t>
        </is>
      </c>
      <c r="BN1142" t="inlineStr">
        <is>
          <t>AY1YC</t>
        </is>
      </c>
      <c r="BO1142" t="n">
        <v>25248212</v>
      </c>
      <c r="BP1142" t="inlineStr">
        <is>
          <t>gold, Green Published, Green Submitted</t>
        </is>
      </c>
      <c r="BS1142" t="inlineStr">
        <is>
          <t>2023-10-26</t>
        </is>
      </c>
      <c r="BT1142" t="inlineStr">
        <is>
          <t>WOS:000347384600026</t>
        </is>
      </c>
      <c r="BU1142">
        <f>HYPERLINK("https%3A%2F%2Fwww.webofscience.com%2Fwos%2Fwoscc%2Ffull-record%2FWOS:000347384600026","View Full Record in Web of Science")</f>
        <v/>
      </c>
    </row>
    <row r="1143">
      <c r="A1143" t="inlineStr">
        <is>
          <t>J</t>
        </is>
      </c>
      <c r="B1143" t="inlineStr">
        <is>
          <t>Bolouki, A</t>
        </is>
      </c>
      <c r="F1143" t="inlineStr">
        <is>
          <t>Bolouki, Ahmad</t>
        </is>
      </c>
      <c r="J1143" t="inlineStr">
        <is>
          <t>INTERNATIONAL JOURNAL OF ENVIRONMENTAL HEALTH RESEARCH</t>
        </is>
      </c>
      <c r="M1143" t="inlineStr">
        <is>
          <t>English</t>
        </is>
      </c>
      <c r="N1143" t="inlineStr">
        <is>
          <t>Review; Early Access</t>
        </is>
      </c>
      <c r="T1143" t="inlineStr">
        <is>
          <t>The impact of virtual reality natural and built environments on affective responses: a systematic review and meta-analysis</t>
        </is>
      </c>
      <c r="U1143" t="inlineStr">
        <is>
          <t>Virtual reality; nature; built environment; positive affect; negative affect; restorative environment</t>
        </is>
      </c>
      <c r="V1143" t="inlineStr">
        <is>
          <t>STRESS RECOVERY; RESTORATIVE QUALITY; URBAN ENVIRONMENTS; NATURE EXPERIENCE; NEGATIVE AFFECT; VIEWING NATURE; GREEN SPACE; EXPOSURE; SCENES; RELAXATION</t>
        </is>
      </c>
      <c r="W1143" t="inlineStr">
        <is>
          <t>This study aims to evaluate the extent to which virtual reality (VR) natural and built settings affect emotional states. Web of Science, SCOPUS, and PubMed were searched for relevant articles prior to February 2022. Of 15 articles identified for systematic review, 6 met the inclusion criteria for meta-analysis (studies with only pre- and post-condition measures of the Positive and Negative Affect Schedule (PANAS) were included). Both positive affect (g = 0.20, p = 0.001) and negative affect (g = - 0.30, p = 0.001) change scores for the VR natural environment were statistically significant. On the other hand, change scores for VR built environment were not significant in both positive affect (g = - 0.08, p = 0.355) and negative affect (g = - 0.08, p = 0.058). The findings revealed that, in addition to a VR natural environment, a VR built environment is capable of providing restorative experiences against negative mood in some circumstances.</t>
        </is>
      </c>
      <c r="X1143" t="inlineStr">
        <is>
          <t>[Bolouki, Ahmad] Tehran Univ Art, Urban Design, Sakhai St,Hafez Ave, Tehran 1136813518, Iran</t>
        </is>
      </c>
      <c r="Z1143" t="inlineStr">
        <is>
          <t>Bolouki, A (corresponding author), Tehran Univ Art, Urban Design, Sakhai St,Hafez Ave, Tehran 1136813518, Iran.</t>
        </is>
      </c>
      <c r="AA1143" t="inlineStr">
        <is>
          <t>ahmad.slb@yahoo.com</t>
        </is>
      </c>
      <c r="AC1143" t="inlineStr">
        <is>
          <t>Bolouki, Ahmad/0000-0002-4982-9173</t>
        </is>
      </c>
      <c r="AH1143" t="n">
        <v>99</v>
      </c>
      <c r="AI1143" t="n">
        <v>2</v>
      </c>
      <c r="AJ1143" t="n">
        <v>2</v>
      </c>
      <c r="AK1143" t="n">
        <v>22</v>
      </c>
      <c r="AL1143" t="n">
        <v>47</v>
      </c>
      <c r="AM1143" t="inlineStr">
        <is>
          <t>TAYLOR &amp; FRANCIS LTD</t>
        </is>
      </c>
      <c r="AN1143" t="inlineStr">
        <is>
          <t>ABINGDON</t>
        </is>
      </c>
      <c r="AO1143" t="inlineStr">
        <is>
          <t>2-4 PARK SQUARE, MILTON PARK, ABINGDON OR14 4RN, OXON, ENGLAND</t>
        </is>
      </c>
      <c r="AP1143" t="inlineStr">
        <is>
          <t>0960-3123</t>
        </is>
      </c>
      <c r="AQ1143" t="inlineStr">
        <is>
          <t>1369-1619</t>
        </is>
      </c>
      <c r="AS1143" t="inlineStr">
        <is>
          <t>INT J ENVIRON HEAL R</t>
        </is>
      </c>
      <c r="AT1143" t="inlineStr">
        <is>
          <t>Int. J. Environ. Health Res.</t>
        </is>
      </c>
      <c r="AU1143" t="inlineStr">
        <is>
          <t>2022 OCT 5</t>
        </is>
      </c>
      <c r="AV1143" t="n">
        <v>2022</v>
      </c>
      <c r="BF1143" t="inlineStr">
        <is>
          <t>10.1080/09603123.2022.2130881</t>
        </is>
      </c>
      <c r="BG1143">
        <f>HYPERLINK("http://dx.doi.org/10.1080/09603123.2022.2130881","http://dx.doi.org/10.1080/09603123.2022.2130881")</f>
        <v/>
      </c>
      <c r="BI1143" t="inlineStr">
        <is>
          <t>OCT 2022</t>
        </is>
      </c>
      <c r="BJ1143" t="n">
        <v>17</v>
      </c>
      <c r="BK1143" t="inlineStr">
        <is>
          <t>Environmental Sciences; Public, Environmental &amp; Occupational Health</t>
        </is>
      </c>
      <c r="BL1143" t="inlineStr">
        <is>
          <t>Science Citation Index Expanded (SCI-EXPANDED)</t>
        </is>
      </c>
      <c r="BM1143" t="inlineStr">
        <is>
          <t>Environmental Sciences &amp; Ecology; Public, Environmental &amp; Occupational Health</t>
        </is>
      </c>
      <c r="BN1143" t="inlineStr">
        <is>
          <t>5D2LV</t>
        </is>
      </c>
      <c r="BO1143" t="n">
        <v>36201684</v>
      </c>
      <c r="BS1143" t="inlineStr">
        <is>
          <t>2023-10-26</t>
        </is>
      </c>
      <c r="BT1143" t="inlineStr">
        <is>
          <t>WOS:000864780900001</t>
        </is>
      </c>
      <c r="BU1143">
        <f>HYPERLINK("https%3A%2F%2Fwww.webofscience.com%2Fwos%2Fwoscc%2Ffull-record%2FWOS:000864780900001","View Full Record in Web of Science")</f>
        <v/>
      </c>
    </row>
    <row r="1144">
      <c r="A1144" t="inlineStr">
        <is>
          <t>J</t>
        </is>
      </c>
      <c r="B1144" t="inlineStr">
        <is>
          <t>Nascimento, MD; Gouveia, ÉR; Marques, A; Gouveia, BR; Marconcin, P; Ihle, A</t>
        </is>
      </c>
      <c r="F1144" t="inlineStr">
        <is>
          <t>Nascimento, Marcelo de Maio; Gouveia, Elvio Rubio; Marques, Adilson; Gouveia, Bruna R.; Marconcin, Priscila; Ihle, Andreas</t>
        </is>
      </c>
      <c r="J1144" t="inlineStr">
        <is>
          <t>SUSTAINABILITY</t>
        </is>
      </c>
      <c r="M1144" t="inlineStr">
        <is>
          <t>English</t>
        </is>
      </c>
      <c r="N1144" t="inlineStr">
        <is>
          <t>Article</t>
        </is>
      </c>
      <c r="T1144" t="inlineStr">
        <is>
          <t>Gait Speed as a Biomarker of Cognitive Vulnerability: A Population-Based Study with Cognitively Normal Older Adults</t>
        </is>
      </c>
      <c r="U1144" t="inlineStr">
        <is>
          <t>gait speed; cognition; older adult; biomarker</t>
        </is>
      </c>
      <c r="V1144" t="inlineStr">
        <is>
          <t>SCREENING INSTRUMENT COGTEL; WALKING SPEED; EXECUTIVE FUNCTION; DECLINE; IMPAIRMENT; DEMENTIA; ASSOCIATION; TRAJECTORIES; VARIABILITY; NUCLEUS</t>
        </is>
      </c>
      <c r="W1144" t="inlineStr">
        <is>
          <t>We aimed to examine associations between cognitive vulnerability and gait speed (GS) in a large older sample. A cross-sectional study analyzed data from the Health, Lifestyle and Fitness in Adults and Seniors in Amazonas (SEVAAI) project. In total, 697 participants were included (mean age 70.35 +/- 6.86 years). Usual and fast GS were evaluated, and cognitive performance was examined by the COGTEL test battery. There was a positive and large correlation between cognition (COGTEL score) and usual GS (r = 0.510; p &lt; 0.001) and fast GS (r = 0.503; p &lt; 0.001). The usual GS, as a continuous variable, indicated a chance of improved cognitive performance by up to 55%, and fast GS by up to 82%. After controlling for potential confounders (i.e., sex, age, MMSE and years of education), usual and fast GS indicated a chance of improving cognition, respectively, in 57% and 85%. Analysis of GS in quartiles (Q) showed high and significant associations between usual and fast GS and cognitive vulnerability. GS classified as Q1 (slower), Q2 and Q3 represented a greater chance of presenting cognitive deficits, respectively, than in participants with both GS classified as Q4 (highest). Cognitive vulnerability was associated with low GS. Usual and fast GS can be used as complementary measures for the evaluation of cognitively normal Brazilian older adults.</t>
        </is>
      </c>
      <c r="X1144" t="inlineStr">
        <is>
          <t>[Nascimento, Marcelo de Maio] Fed Univ Vale do Sao Francisco, Dept Phys Educ, BR-56304917 Petrolina, Brazil; [Gouveia, Elvio Rubio] Univ Madeira, Dept Phys Educ &amp; Sport, P-9020105 Funchal, Portugal; [Gouveia, Elvio Rubio; Gouveia, Bruna R.] Interact Technol Inst, LARSyS Lab Robot &amp; Engn Syst, P-9020105 Funchal, Portugal; [Gouveia, Elvio Rubio; Gouveia, Bruna R.; Ihle, Andreas] Univ Geneva, Ctr Interdisciplinary Study Gerontol &amp; Vulnerabil, CH-1205 Geneva, Switzerland; [Marques, Adilson] Univ Lisbon, Fac Human Kinet, CIPER Interdisciplinary Ctr Study Human Performan, P-1495751 Lisbon, Portugal; [Marques, Adilson] Univ Lisbon, Fac Med, ISAMB Environm Hlth Inst, P-1649020 Lisbon, Portugal; [Gouveia, Bruna R.] Govt Autonomous Reg Madeira, Reg Directorate Hlth, P-9004515 Funchal, Portugal; [Gouveia, Bruna R.] St Joseph Cluny Higher Sch Nursing, P-9050535 Funchal, Portugal; [Marconcin, Priscila] Univ Lisbon, Fac Human Kinet, P-1495751 Lisbon, Portugal; [Marconcin, Priscila] Piaget Inst, Res Unit Human Movement Anal, KinesioLab, P-2805059 Almada, Portugal; [Ihle, Andreas] Univ Geneva, Dept Psychol, CH-1205 Geneva, Switzerland; [Ihle, Andreas] Swiss Natl Ctr Competence Res LIVES Overcoming Vu, CH-1015 Lausanne, Switzerland</t>
        </is>
      </c>
      <c r="Y1144" t="inlineStr">
        <is>
          <t>Universidade da Madeira; University of Geneva; Universidade de Lisboa; Universidade de Lisboa; Universidade de Lisboa; University of Geneva</t>
        </is>
      </c>
      <c r="Z1144" t="inlineStr">
        <is>
          <t>Nascimento, MD (corresponding author), Fed Univ Vale do Sao Francisco, Dept Phys Educ, BR-56304917 Petrolina, Brazil.</t>
        </is>
      </c>
      <c r="AA1144" t="inlineStr">
        <is>
          <t>marcelo.nascimento@univasf.edu.br; erubiog@staff.uma.pt; amarques@fmh.ulisboa.pt; bgouveia@esesjcluny.pt; priscilamarconcin@fmh.ulisboa.pt; andreas.ihle@unige.ch</t>
        </is>
      </c>
      <c r="AB1144" t="inlineStr">
        <is>
          <t>Gouveia, Bruna R./B-3793-2016; Marconcin, Priscila/GRO-2708-2022; Gouveia, Elvio/F-9156-2015; Marques, Adilson/K-4529-2014</t>
        </is>
      </c>
      <c r="AC1144" t="inlineStr">
        <is>
          <t>Gouveia, Bruna R./0000-0001-7706-190X; Gouveia, Elvio/0000-0003-0927-692X; Marques, Adilson/0000-0001-9850-7771; de Maio Nascimento, Marcelo/0000-0002-3577-3439; Marconcin, Priscila/0000-0002-1295-0826; Ihle, Andreas/0000-0001-9845-5190</t>
        </is>
      </c>
      <c r="AD1144" t="inlineStr">
        <is>
          <t>Swiss National Centre of Competence in Research LIVES-Overcoming vulnerability: life course perspectives - Swiss National Science Foundation [51NF40-185901]; Swiss National Science Foundation [10001C_189407]; LARSyS-Portuguese national funding agency for science, research and technology (FCT) pluriannual funding 2020-2023 [UIDB/50009/2020]</t>
        </is>
      </c>
      <c r="AE1144" t="inlineStr">
        <is>
          <t>Swiss National Centre of Competence in Research LIVES-Overcoming vulnerability: life course perspectives - Swiss National Science Foundation; Swiss National Science Foundation(Swiss National Science Foundation (SNSF)); LARSyS-Portuguese national funding agency for science, research and technology (FCT) pluriannual funding 2020-2023</t>
        </is>
      </c>
      <c r="AF1144" t="inlineStr">
        <is>
          <t>We acknowledge support from the Swiss National Centre of Competence in Research LIVES-Overcoming vulnerability: life course perspectives, which is funded by the Swiss National Science Foundation (grant number: 51NF40-185901). Moreover, A.I. acknowledges support from the Swiss National Science Foundation (grant number: 10001C_189407). E.R.G. and B.R.G. acknowledge support from LARSyS-Portuguese national funding agency for science, research and technology (FCT) pluriannual funding 2020-2023 (Reference: UIDB/50009/2020).</t>
        </is>
      </c>
      <c r="AH1144" t="n">
        <v>57</v>
      </c>
      <c r="AI1144" t="n">
        <v>3</v>
      </c>
      <c r="AJ1144" t="n">
        <v>3</v>
      </c>
      <c r="AK1144" t="n">
        <v>3</v>
      </c>
      <c r="AL1144" t="n">
        <v>7</v>
      </c>
      <c r="AM1144" t="inlineStr">
        <is>
          <t>MDPI</t>
        </is>
      </c>
      <c r="AN1144" t="inlineStr">
        <is>
          <t>BASEL</t>
        </is>
      </c>
      <c r="AO1144" t="inlineStr">
        <is>
          <t>ST ALBAN-ANLAGE 66, CH-4052 BASEL, SWITZERLAND</t>
        </is>
      </c>
      <c r="AQ1144" t="inlineStr">
        <is>
          <t>2071-1050</t>
        </is>
      </c>
      <c r="AS1144" t="inlineStr">
        <is>
          <t>SUSTAINABILITY-BASEL</t>
        </is>
      </c>
      <c r="AT1144" t="inlineStr">
        <is>
          <t>Sustainability</t>
        </is>
      </c>
      <c r="AU1144" t="inlineStr">
        <is>
          <t>JUN</t>
        </is>
      </c>
      <c r="AV1144" t="n">
        <v>2022</v>
      </c>
      <c r="AW1144" t="n">
        <v>14</v>
      </c>
      <c r="AX1144" t="n">
        <v>12</v>
      </c>
      <c r="BE1144" t="n">
        <v>7348</v>
      </c>
      <c r="BF1144" t="inlineStr">
        <is>
          <t>10.3390/su14127348</t>
        </is>
      </c>
      <c r="BG1144">
        <f>HYPERLINK("http://dx.doi.org/10.3390/su14127348","http://dx.doi.org/10.3390/su14127348")</f>
        <v/>
      </c>
      <c r="BJ1144" t="n">
        <v>12</v>
      </c>
      <c r="BK1144" t="inlineStr">
        <is>
          <t>Green &amp; Sustainable Science &amp; Technology; Environmental Sciences; Environmental Studies</t>
        </is>
      </c>
      <c r="BL1144" t="inlineStr">
        <is>
          <t>Science Citation Index Expanded (SCI-EXPANDED); Social Science Citation Index (SSCI)</t>
        </is>
      </c>
      <c r="BM1144" t="inlineStr">
        <is>
          <t>Science &amp; Technology - Other Topics; Environmental Sciences &amp; Ecology</t>
        </is>
      </c>
      <c r="BN1144" t="inlineStr">
        <is>
          <t>2L1GO</t>
        </is>
      </c>
      <c r="BP1144" t="inlineStr">
        <is>
          <t>Green Published, gold</t>
        </is>
      </c>
      <c r="BS1144" t="inlineStr">
        <is>
          <t>2023-10-26</t>
        </is>
      </c>
      <c r="BT1144" t="inlineStr">
        <is>
          <t>WOS:000816770900001</t>
        </is>
      </c>
      <c r="BU1144">
        <f>HYPERLINK("https%3A%2F%2Fwww.webofscience.com%2Fwos%2Fwoscc%2Ffull-record%2FWOS:000816770900001","View Full Record in Web of Science")</f>
        <v/>
      </c>
    </row>
    <row r="1145">
      <c r="A1145" t="inlineStr">
        <is>
          <t>J</t>
        </is>
      </c>
      <c r="B1145" t="inlineStr">
        <is>
          <t>Zhou, ZH; Zhang, SZ; Wang, CD; Zuo, J; He, Q; Rameezdeen, R</t>
        </is>
      </c>
      <c r="F1145" t="inlineStr">
        <is>
          <t>Zhou, Zhihua; Zhang, Shuzhen; Wang, Chendong; Zuo, Jian; He, Qing; Rameezdeen, Raufdeen</t>
        </is>
      </c>
      <c r="J1145" t="inlineStr">
        <is>
          <t>JOURNAL OF CLEANER PRODUCTION</t>
        </is>
      </c>
      <c r="M1145" t="inlineStr">
        <is>
          <t>English</t>
        </is>
      </c>
      <c r="N1145" t="inlineStr">
        <is>
          <t>Article</t>
        </is>
      </c>
      <c r="T1145" t="inlineStr">
        <is>
          <t>Achieving energy efficient buildings via retrofitting of existing buildings: a case study</t>
        </is>
      </c>
      <c r="U1145" t="inlineStr">
        <is>
          <t>Existing building; Retrofitting; Operation strategy; Indoor environment</t>
        </is>
      </c>
      <c r="V1145" t="inlineStr">
        <is>
          <t>RESIDENTIAL BUILDINGS; POLICY INSTRUMENTS; ECONOMIC-ANALYSIS; CHINA; TECHNOLOGIES; CONSUMPTION; SIMULATION; EMISSION; SYSTEMS; SECTOR</t>
        </is>
      </c>
      <c r="W1145" t="inlineStr">
        <is>
          <t>Retrofitting of existing buildings plays a critical role to achieve sustainable development. There are a number of factors that affect the effectiveness of building energy efficient retrofitting. These factors can be broadly categorised as technology and management. A case study approach was employed in this study to examine effective ways of building energy efficient retrofitting based on one year of monitoring. Several feasible schemes of building energy efficient retrofitting were identified according to the characteristics of the case building. The best scheme was chosen according to results of simulation, comparison and analysis. The focuses of building energy efficient retrofitting were placed on energy conservation and indoor environment quality. In particular, during the operation stage, staff can regulate the terminal unit in accordance with their own demands. Results showed that the building operation can satisfy staff's individual requirements after the retrofit. Similarly, the annual energy consumption can be reduced by 57% compared to the national average of office buildings in China. These findings provide useful inputs for the future building energy efficient retrofitting practices as well as policy making process. (C) 2015 Elsevier Ltd. All rights reserved.</t>
        </is>
      </c>
      <c r="X1145" t="inlineStr">
        <is>
          <t>[Zhou, Zhihua; Zhang, Shuzhen; Wang, Chendong] Tianjin Univ, Tianjin Key Lab Indoor Air Environm Qual Control, Sch Environm Sci &amp; Engn, Tianjin 300072, Peoples R China; [Zuo, Jian] Univ Adelaide, Sch Architecture &amp; Built Environm, ECIC, Adelaide, SA 5005, Australia; [He, Qing] Tenio Architecture &amp; Engn Co, Beijing, Peoples R China; [Rameezdeen, Raufdeen] Univ S Australia, Sch Nat &amp; Built Environm, Adelaide, SA 5000, Australia</t>
        </is>
      </c>
      <c r="Y1145" t="inlineStr">
        <is>
          <t>Tianjin University; University of Adelaide; University of South Australia</t>
        </is>
      </c>
      <c r="Z1145" t="inlineStr">
        <is>
          <t>Zuo, J (corresponding author), Univ Adelaide, Sch Architecture &amp; Built Environm, ECIC, Adelaide, SA 5005, Australia.</t>
        </is>
      </c>
      <c r="AA1145" t="inlineStr">
        <is>
          <t>Jian.Zuo@adelaide.edu.au</t>
        </is>
      </c>
      <c r="AB1145" t="inlineStr">
        <is>
          <t>Rameezdeen, Rameez/F-4614-2013; Zuo, Jian/HPD-5969-2023; Zuo, Jian/M-3223-2016</t>
        </is>
      </c>
      <c r="AC1145" t="inlineStr">
        <is>
          <t>Rameezdeen, Rameez/0000-0001-9639-2624; Wang, Chendong/0000-0003-2813-6754; Zuo, Jian/0000-0002-8279-9666; Zhou, Zhihua/0000-0002-7271-1755</t>
        </is>
      </c>
      <c r="AD1145" t="inlineStr">
        <is>
          <t>Ministry of Science and Technology of the People's Republic of China [2013BAJ09B01, 2015BAJ01B01]; Chinese Ministry for Environmental Protection [2013467070]</t>
        </is>
      </c>
      <c r="AE1145" t="inlineStr">
        <is>
          <t>Ministry of Science and Technology of the People's Republic of China(Ministry of Science and Technology, China); Chinese Ministry for Environmental Protection</t>
        </is>
      </c>
      <c r="AF1145" t="inlineStr">
        <is>
          <t>This work was supported by Ministry of Science and Technology of the People's Republic of China (Contract No. 2013BAJ09B01, 2015BAJ01B01), and environmental charity project funded by the Chinese Ministry for Environmental Protection (Contract No. 2013467070). The authors are thankful to anonymous reviewers for their valuable comments and feedback.</t>
        </is>
      </c>
      <c r="AH1145" t="n">
        <v>45</v>
      </c>
      <c r="AI1145" t="n">
        <v>77</v>
      </c>
      <c r="AJ1145" t="n">
        <v>77</v>
      </c>
      <c r="AK1145" t="n">
        <v>8</v>
      </c>
      <c r="AL1145" t="n">
        <v>100</v>
      </c>
      <c r="AM1145" t="inlineStr">
        <is>
          <t>ELSEVIER SCI LTD</t>
        </is>
      </c>
      <c r="AN1145" t="inlineStr">
        <is>
          <t>OXFORD</t>
        </is>
      </c>
      <c r="AO1145" t="inlineStr">
        <is>
          <t>THE BOULEVARD, LANGFORD LANE, KIDLINGTON, OXFORD OX5 1GB, OXON, ENGLAND</t>
        </is>
      </c>
      <c r="AP1145" t="inlineStr">
        <is>
          <t>0959-6526</t>
        </is>
      </c>
      <c r="AQ1145" t="inlineStr">
        <is>
          <t>1879-1786</t>
        </is>
      </c>
      <c r="AS1145" t="inlineStr">
        <is>
          <t>J CLEAN PROD</t>
        </is>
      </c>
      <c r="AT1145" t="inlineStr">
        <is>
          <t>J. Clean Prod.</t>
        </is>
      </c>
      <c r="AU1145" t="inlineStr">
        <is>
          <t>JAN 20</t>
        </is>
      </c>
      <c r="AV1145" t="n">
        <v>2016</v>
      </c>
      <c r="AW1145" t="n">
        <v>112</v>
      </c>
      <c r="AY1145" t="n">
        <v>5</v>
      </c>
      <c r="BC1145" t="n">
        <v>3605</v>
      </c>
      <c r="BD1145" t="n">
        <v>3615</v>
      </c>
      <c r="BF1145" t="inlineStr">
        <is>
          <t>10.1016/j.jclepro.2015.09.046</t>
        </is>
      </c>
      <c r="BG1145">
        <f>HYPERLINK("http://dx.doi.org/10.1016/j.jclepro.2015.09.046","http://dx.doi.org/10.1016/j.jclepro.2015.09.046")</f>
        <v/>
      </c>
      <c r="BJ1145" t="n">
        <v>11</v>
      </c>
      <c r="BK1145" t="inlineStr">
        <is>
          <t>Green &amp; Sustainable Science &amp; Technology; Engineering, Environmental; Environmental Sciences</t>
        </is>
      </c>
      <c r="BL1145" t="inlineStr">
        <is>
          <t>Science Citation Index Expanded (SCI-EXPANDED)</t>
        </is>
      </c>
      <c r="BM1145" t="inlineStr">
        <is>
          <t>Science &amp; Technology - Other Topics; Engineering; Environmental Sciences &amp; Ecology</t>
        </is>
      </c>
      <c r="BN1145" t="inlineStr">
        <is>
          <t>DB0ON</t>
        </is>
      </c>
      <c r="BS1145" t="inlineStr">
        <is>
          <t>2023-10-26</t>
        </is>
      </c>
      <c r="BT1145" t="inlineStr">
        <is>
          <t>WOS:000368207500002</t>
        </is>
      </c>
      <c r="BU1145">
        <f>HYPERLINK("https%3A%2F%2Fwww.webofscience.com%2Fwos%2Fwoscc%2Ffull-record%2FWOS:000368207500002","View Full Record in Web of Science")</f>
        <v/>
      </c>
    </row>
    <row r="1146">
      <c r="A1146" t="inlineStr">
        <is>
          <t>J</t>
        </is>
      </c>
      <c r="B1146" t="inlineStr">
        <is>
          <t>Sun, CL; Chrysikou, E; Savvopoulou, E; Hernandez-Garcia, E; Schieck, AFG</t>
        </is>
      </c>
      <c r="F1146" t="inlineStr">
        <is>
          <t>Sun, Chongling; Chrysikou, Evangelia; Savvopoulou, Eleftheria; Hernandez-Garcia, Eva; Fatah Gen. Schieck, Ava</t>
        </is>
      </c>
      <c r="J1146" t="inlineStr">
        <is>
          <t>SUSTAINABILITY</t>
        </is>
      </c>
      <c r="M1146" t="inlineStr">
        <is>
          <t>English</t>
        </is>
      </c>
      <c r="N1146" t="inlineStr">
        <is>
          <t>Article</t>
        </is>
      </c>
      <c r="T1146" t="inlineStr">
        <is>
          <t>Healthcare Built Environment and Telemedicine Practice for Social and Environmental Sustainability</t>
        </is>
      </c>
      <c r="U1146" t="inlineStr">
        <is>
          <t>telemedicine; healthcare built environment; COVID-19; primary health care; remote consultation</t>
        </is>
      </c>
      <c r="W1146" t="inlineStr">
        <is>
          <t>The practice of telemedicine started at the beginning of the 20th century but has never been widely implemented, even though it is significantly sustainable compared to traveling to healthcare However, the ongoing COVID-19 pandemic pushed organisations and patients to accept this technology. During the pandemic, telemedicine consultations took place in ad hoc environments without much preparation and planning. As a result, there is a knowledge gap in the field between telemedicine's clinical care services and healthcare built environment, in terms of design. This research focused on addressing the quality of service and experience of telemedicine in primary healthcare settings and how this could be influenced by the digital infrastructure. Our aim was to understand the correlations between telemedicine and healthcare built environment and whether the latter could have a significant impact on telemedicine practice. The methodology included interviews with professionals involved in healthcare planning, architecture and ethnography, and end user research involving telemedicine sessions. The interviews highlighted that professionals involved in the design of healthcare environments demonstrated limited consideration of telemedicine environments. Yet, the ethnographic, end-user research identified areas where the telemedicine environment could affect user experience and should be taken into consideration in the design of such spaces.</t>
        </is>
      </c>
      <c r="X1146" t="inlineStr">
        <is>
          <t>[Sun, Chongling] UCL, Bartlett Real Estate Inst, London E15 2GW, England; [Chrysikou, Evangelia] UCL, Bartlett Real Estate Inst, Bartlett Sch Sustainable Construct, London WC1E 7HB, England; [Hernandez-Garcia, Eva] UCL, Bartlett Sch Sustainable Construct, London WC1E 6HB, England; [Fatah Gen. Schieck, Ava] UCL, Bartlett Sch Architecture, London WC1H 0QB, England</t>
        </is>
      </c>
      <c r="Y1146" t="inlineStr">
        <is>
          <t>University of London; University College London; University of London; University College London; University of London; University College London; University of London; University College London</t>
        </is>
      </c>
      <c r="Z1146" t="inlineStr">
        <is>
          <t>Chrysikou, E (corresponding author), UCL, Bartlett Real Estate Inst, Bartlett Sch Sustainable Construct, London WC1E 7HB, England.</t>
        </is>
      </c>
      <c r="AA1146" t="inlineStr">
        <is>
          <t>e.chrysikou@ucl.ac.uk</t>
        </is>
      </c>
      <c r="AB1146" t="inlineStr">
        <is>
          <t>Hernandez-Garcia, Eva/JED-4680-2023</t>
        </is>
      </c>
      <c r="AC1146" t="inlineStr">
        <is>
          <t>Chrysikou, Evangelia/0000-0002-7894-6053; Hernandez-Garcia, Eva/0000-0003-4492-2747</t>
        </is>
      </c>
      <c r="AH1146" t="n">
        <v>64</v>
      </c>
      <c r="AI1146" t="n">
        <v>2</v>
      </c>
      <c r="AJ1146" t="n">
        <v>2</v>
      </c>
      <c r="AK1146" t="n">
        <v>4</v>
      </c>
      <c r="AL1146" t="n">
        <v>7</v>
      </c>
      <c r="AM1146" t="inlineStr">
        <is>
          <t>MDPI</t>
        </is>
      </c>
      <c r="AN1146" t="inlineStr">
        <is>
          <t>BASEL</t>
        </is>
      </c>
      <c r="AO1146" t="inlineStr">
        <is>
          <t>ST ALBAN-ANLAGE 66, CH-4052 BASEL, SWITZERLAND</t>
        </is>
      </c>
      <c r="AQ1146" t="inlineStr">
        <is>
          <t>2071-1050</t>
        </is>
      </c>
      <c r="AS1146" t="inlineStr">
        <is>
          <t>SUSTAINABILITY-BASEL</t>
        </is>
      </c>
      <c r="AT1146" t="inlineStr">
        <is>
          <t>Sustainability</t>
        </is>
      </c>
      <c r="AU1146" t="inlineStr">
        <is>
          <t>FEB</t>
        </is>
      </c>
      <c r="AV1146" t="n">
        <v>2023</v>
      </c>
      <c r="AW1146" t="n">
        <v>15</v>
      </c>
      <c r="AX1146" t="n">
        <v>3</v>
      </c>
      <c r="BE1146" t="n">
        <v>2697</v>
      </c>
      <c r="BF1146" t="inlineStr">
        <is>
          <t>10.3390/su15032697</t>
        </is>
      </c>
      <c r="BG1146">
        <f>HYPERLINK("http://dx.doi.org/10.3390/su15032697","http://dx.doi.org/10.3390/su15032697")</f>
        <v/>
      </c>
      <c r="BJ1146" t="n">
        <v>15</v>
      </c>
      <c r="BK1146" t="inlineStr">
        <is>
          <t>Green &amp; Sustainable Science &amp; Technology; Environmental Sciences; Environmental Studies</t>
        </is>
      </c>
      <c r="BL1146" t="inlineStr">
        <is>
          <t>Science Citation Index Expanded (SCI-EXPANDED); Social Science Citation Index (SSCI)</t>
        </is>
      </c>
      <c r="BM1146" t="inlineStr">
        <is>
          <t>Science &amp; Technology - Other Topics; Environmental Sciences &amp; Ecology</t>
        </is>
      </c>
      <c r="BN1146" t="inlineStr">
        <is>
          <t>8W5FK</t>
        </is>
      </c>
      <c r="BP1146" t="inlineStr">
        <is>
          <t>Green Published, gold</t>
        </is>
      </c>
      <c r="BS1146" t="inlineStr">
        <is>
          <t>2023-10-26</t>
        </is>
      </c>
      <c r="BT1146" t="inlineStr">
        <is>
          <t>WOS:000931358300001</t>
        </is>
      </c>
      <c r="BU1146">
        <f>HYPERLINK("https%3A%2F%2Fwww.webofscience.com%2Fwos%2Fwoscc%2Ffull-record%2FWOS:000931358300001","View Full Record in Web of Science")</f>
        <v/>
      </c>
    </row>
    <row r="1147">
      <c r="A1147" t="inlineStr">
        <is>
          <t>J</t>
        </is>
      </c>
      <c r="B1147" t="inlineStr">
        <is>
          <t>Adinkrah, E; Najand, B; Rahmani, A; Maharlouei, N; Ekwegh, T; Cobb, S; Zare, H</t>
        </is>
      </c>
      <c r="F1147" t="inlineStr">
        <is>
          <t>Adinkrah, Edward; Najand, Babak; Rahmani, Arash; Maharlouei, Najmeh; Ekwegh, Tavonia; Cobb, Sharon; Zare, Hossein</t>
        </is>
      </c>
      <c r="J1147" t="inlineStr">
        <is>
          <t>INTERNATIONAL JOURNAL OF ENVIRONMENTAL RESEARCH AND PUBLIC HEALTH</t>
        </is>
      </c>
      <c r="M1147" t="inlineStr">
        <is>
          <t>English</t>
        </is>
      </c>
      <c r="N1147" t="inlineStr">
        <is>
          <t>Article</t>
        </is>
      </c>
      <c r="T1147" t="inlineStr">
        <is>
          <t>Social Determinants of Mental, Physical, and Oral Health of Middle-Aged and Older African Americans in South Los Angeles</t>
        </is>
      </c>
      <c r="U1147" t="inlineStr">
        <is>
          <t>middle-aged and older adults; socioeconomic position; socioeconomic status; financial strain; income</t>
        </is>
      </c>
      <c r="V1147" t="inlineStr">
        <is>
          <t>SELF-RATED HEALTH; FINANCIAL STRESS; EDUCATIONAL-ATTAINMENT; DEPRESSIVE SYMPTOMS; RACIAL-DISCRIMINATION; SOCIOECONOMIC-STATUS; DIMINISHED RETURNS; ECONOMIC DIFFICULTIES; FUNDAMENTAL CAUSES; FAMILY-STRUCTURE</t>
        </is>
      </c>
      <c r="W1147" t="inlineStr">
        <is>
          <t>Background. A growing body of research suggests that financial difficulties could weaken the protective effects of socioeconomic status (SES) indicators, including education and income, on the health status of marginalized communities, such as African Americans. Aim. We investigated the separate and joint effects of education, income, and financial difficulties on mental, physical, and oral self-rated health (SRH) outcomes in African American middle-aged and older adults. Methods. This cross-sectional study enrolled 150 middle-aged and older African Americans residing in South Los Angeles. Data on demographic factors (age and gender), socioeconomic characteristics (education, income, and financial difficulties), and self-rated health (mental, physical, and oral health) were collected. Three linear regression models were used to analyze the data. Results. Higher education and income were associated with a lower level of financial strain in a bivariate analysis. However, according to multivariable models, only financial difficulties were associated with poor mental, physical, and oral health. As similar patterns emerged for all three health outcomes, the risk associated with financial difficulties seems robust. Conclusions. According to our multivariable models, financial strain is a more salient social determinant of health within African American communities than education and income in economically constrained urban environments such as South Los Angeles. While education and income lose some protective effects, financial strain continues to deteriorate the health of African American communities across domains.</t>
        </is>
      </c>
      <c r="X1147" t="inlineStr">
        <is>
          <t>[Adinkrah, Edward] Charles R Drew Univ Med &amp; Sci, Dept Family Med, Los Angeles, CA 90059 USA; [Najand, Babak; Rahmani, Arash; Maharlouei, Najmeh] Marginalizat Related Diminished Returns MDRs Ctr, Los Angeles, CA 90059 USA; [Ekwegh, Tavonia; Cobb, Sharon] Charles R Drew Univ Med &amp; Sci, Mervyn M Dymally Sch Nursing, Los Angeles, CA 90059 USA; [Zare, Hossein] Johns Hopkins Bloomberg Sch Publ Hlth, Dept Hlth Policy &amp; Management, Baltimore, MD 21205 USA; [Zare, Hossein] Univ Maryland Global Campus UMGC, Sch Business, Adelphi, MD 20783 USA</t>
        </is>
      </c>
      <c r="Y1147" t="inlineStr">
        <is>
          <t>Charles R. Drew University of Medicine &amp; Science; Charles R. Drew University of Medicine &amp; Science; Johns Hopkins University; Johns Hopkins Bloomberg School of Public Health</t>
        </is>
      </c>
      <c r="Z1147" t="inlineStr">
        <is>
          <t>Adinkrah, E (corresponding author), Charles R Drew Univ Med &amp; Sci, Dept Family Med, Los Angeles, CA 90059 USA.</t>
        </is>
      </c>
      <c r="AA1147" t="inlineStr">
        <is>
          <t>edwardadinkrah@cdrewu.edu</t>
        </is>
      </c>
      <c r="AC1147" t="inlineStr">
        <is>
          <t>Najand, Babak/0000-0002-8917-2436; Cobb, Sharon/0000-0002-9378-1357; Zare, Hossein/0000-0002-5832-0854</t>
        </is>
      </c>
      <c r="AD1147" t="inlineStr">
        <is>
          <t>NIMHD/NIH Award [R25 MD007610]</t>
        </is>
      </c>
      <c r="AE1147" t="inlineStr">
        <is>
          <t>NIMHD/NIH Award(United States Department of Health &amp; Human ServicesNational Institutes of Health (NIH) - USA)</t>
        </is>
      </c>
      <c r="AF1147" t="inlineStr">
        <is>
          <t>As scholars of the Clinical Research Education and Career Development (CRECD) program at Charles R. Drew University of Medicine and Science (CDU), Drs. Adinkrah's, Ekwegh's, and Cobb's research-related activities were supported by the NIMHD/NIH Award # R25 MD007610.</t>
        </is>
      </c>
      <c r="AH1147" t="n">
        <v>131</v>
      </c>
      <c r="AI1147" t="n">
        <v>0</v>
      </c>
      <c r="AJ1147" t="n">
        <v>0</v>
      </c>
      <c r="AK1147" t="n">
        <v>2</v>
      </c>
      <c r="AL1147" t="n">
        <v>4</v>
      </c>
      <c r="AM1147" t="inlineStr">
        <is>
          <t>MDPI</t>
        </is>
      </c>
      <c r="AN1147" t="inlineStr">
        <is>
          <t>BASEL</t>
        </is>
      </c>
      <c r="AO1147" t="inlineStr">
        <is>
          <t>ST ALBAN-ANLAGE 66, CH-4052 BASEL, SWITZERLAND</t>
        </is>
      </c>
      <c r="AQ1147" t="inlineStr">
        <is>
          <t>1660-4601</t>
        </is>
      </c>
      <c r="AS1147" t="inlineStr">
        <is>
          <t>INT J ENV RES PUB HE</t>
        </is>
      </c>
      <c r="AT1147" t="inlineStr">
        <is>
          <t>Int. J. Environ. Res. Public Health</t>
        </is>
      </c>
      <c r="AU1147" t="inlineStr">
        <is>
          <t>DEC</t>
        </is>
      </c>
      <c r="AV1147" t="n">
        <v>2022</v>
      </c>
      <c r="AW1147" t="n">
        <v>19</v>
      </c>
      <c r="AX1147" t="n">
        <v>24</v>
      </c>
      <c r="BE1147" t="n">
        <v>16765</v>
      </c>
      <c r="BF1147" t="inlineStr">
        <is>
          <t>10.3390/ijerph192416765</t>
        </is>
      </c>
      <c r="BG1147">
        <f>HYPERLINK("http://dx.doi.org/10.3390/ijerph192416765","http://dx.doi.org/10.3390/ijerph192416765")</f>
        <v/>
      </c>
      <c r="BJ1147" t="n">
        <v>14</v>
      </c>
      <c r="BK1147" t="inlineStr">
        <is>
          <t>Environmental Sciences; Public, Environmental &amp; Occupational Health</t>
        </is>
      </c>
      <c r="BL1147" t="inlineStr">
        <is>
          <t>Science Citation Index Expanded (SCI-EXPANDED); Social Science Citation Index (SSCI)</t>
        </is>
      </c>
      <c r="BM1147" t="inlineStr">
        <is>
          <t>Environmental Sciences &amp; Ecology; Public, Environmental &amp; Occupational Health</t>
        </is>
      </c>
      <c r="BN1147" t="inlineStr">
        <is>
          <t>7G6DS</t>
        </is>
      </c>
      <c r="BO1147" t="n">
        <v>36554645</v>
      </c>
      <c r="BP1147" t="inlineStr">
        <is>
          <t>gold, Green Published</t>
        </is>
      </c>
      <c r="BS1147" t="inlineStr">
        <is>
          <t>2023-10-26</t>
        </is>
      </c>
      <c r="BT1147" t="inlineStr">
        <is>
          <t>WOS:000902613000001</t>
        </is>
      </c>
      <c r="BU1147">
        <f>HYPERLINK("https%3A%2F%2Fwww.webofscience.com%2Fwos%2Fwoscc%2Ffull-record%2FWOS:000902613000001","View Full Record in Web of Science")</f>
        <v/>
      </c>
    </row>
    <row r="1148">
      <c r="A1148" t="inlineStr">
        <is>
          <t>J</t>
        </is>
      </c>
      <c r="B1148" t="inlineStr">
        <is>
          <t>Petermann, E; Bossew, P</t>
        </is>
      </c>
      <c r="F1148" t="inlineStr">
        <is>
          <t>Petermann, Eric; Bossew, Peter</t>
        </is>
      </c>
      <c r="J1148" t="inlineStr">
        <is>
          <t>SCIENCE OF THE TOTAL ENVIRONMENT</t>
        </is>
      </c>
      <c r="M1148" t="inlineStr">
        <is>
          <t>English</t>
        </is>
      </c>
      <c r="N1148" t="inlineStr">
        <is>
          <t>Article</t>
        </is>
      </c>
      <c r="T1148" t="inlineStr">
        <is>
          <t>Mapping indoor radon hazard in Germany: The geogenic component</t>
        </is>
      </c>
      <c r="U1148" t="inlineStr">
        <is>
          <t>Hazard mapping; Indoor radon; Geogenic radon; Radon priority areas; Predictive modelling; Building stock</t>
        </is>
      </c>
      <c r="V1148" t="inlineStr">
        <is>
          <t>RESIDENTIAL RADON; LUNG-CANCER; PRIORITY AREAS; EUROPEAN ATLAS; PRONE AREAS; REGRESSION; REGION; MODEL; RISK; SOIL</t>
        </is>
      </c>
      <c r="W1148" t="inlineStr">
        <is>
          <t>Indoor radon is considered as an indoor air pollutant due to its carcinogenic effect. Since the main source of indoor radon is the ground beneath the house, we utilize the geogenic radon potential (GRP) and a geogenic radon hazard index (GRHI) for predicting the geogenic component of the indoor Rn hazard in Germany. For this purpose, we link indoor radon data (n = 44,629) to maps of GRP and GRHI and fit logistic regression models to calculate the probabilities that indoor Rn exceeds thresholds of 100 Bq/m(3) and 300 Bq/m(3). The estimated probability was averaged for every municipality by considering only the estimates within the built-up area. Finally, the mean exceedance probability per municipality was coupled with the respective residential building stock for estimating the number of buildings with indoor Rn above 100 Bq/m(3) and 300 Bq/m(3) for each municipality. We found that (1) GRHI is a better predictor than GRP for indoor radon hazard in Germany, (2) the estimated number of buildings above 100 Bq/m(3) and 300 Bq/m(3) in Germany is similar to 2 million (11.6% of all residential buildings) and similar to 350,000 (1.9%), respectively, (3) areas where 300 Bq/m(3) exceedance is greater than 10% comprise only 0.8% of the German building stock but 6.3% of buildings with indoor Rn exceeding 300 Bq/m(3), and (4) most urban areas and, hence, most buildings (77%) are located in low hazard regions. The implications for Rn protection are twofold: (1) the Rn priority area concept is cost-efficient in a sense that it allows to find the most buildings that exceed a threshold concentration with a given amount of resources, and (2) for an optimal reduction of lung cancer risk areas outside of Rn priority areas must be addressed since most hazardous indoor Rn concentrations occur in low to medium hazard areas. (C) 2021 The Author(s). Published by Elsevier B.V.</t>
        </is>
      </c>
      <c r="X1148" t="inlineStr">
        <is>
          <t>[Petermann, Eric; Bossew, Peter] Fed Off Radiat Protect BfS, Sect Radon &amp; NORM, Berlin, Germany</t>
        </is>
      </c>
      <c r="Z1148" t="inlineStr">
        <is>
          <t>Petermann, E (corresponding author), Kopenicker Allee 120-130, D-10318 Berlin, Germany.</t>
        </is>
      </c>
      <c r="AA1148" t="inlineStr">
        <is>
          <t>epetermann@bfs.de</t>
        </is>
      </c>
      <c r="AB1148" t="inlineStr">
        <is>
          <t>Petermann, Eric/AAW-5788-2021</t>
        </is>
      </c>
      <c r="AH1148" t="n">
        <v>53</v>
      </c>
      <c r="AI1148" t="n">
        <v>15</v>
      </c>
      <c r="AJ1148" t="n">
        <v>15</v>
      </c>
      <c r="AK1148" t="n">
        <v>0</v>
      </c>
      <c r="AL1148" t="n">
        <v>8</v>
      </c>
      <c r="AM1148" t="inlineStr">
        <is>
          <t>ELSEVIER</t>
        </is>
      </c>
      <c r="AN1148" t="inlineStr">
        <is>
          <t>AMSTERDAM</t>
        </is>
      </c>
      <c r="AO1148" t="inlineStr">
        <is>
          <t>RADARWEG 29, 1043 NX AMSTERDAM, NETHERLANDS</t>
        </is>
      </c>
      <c r="AP1148" t="inlineStr">
        <is>
          <t>0048-9697</t>
        </is>
      </c>
      <c r="AQ1148" t="inlineStr">
        <is>
          <t>1879-1026</t>
        </is>
      </c>
      <c r="AS1148" t="inlineStr">
        <is>
          <t>SCI TOTAL ENVIRON</t>
        </is>
      </c>
      <c r="AT1148" t="inlineStr">
        <is>
          <t>Sci. Total Environ.</t>
        </is>
      </c>
      <c r="AU1148" t="inlineStr">
        <is>
          <t>AUG 1</t>
        </is>
      </c>
      <c r="AV1148" t="n">
        <v>2021</v>
      </c>
      <c r="AW1148" t="n">
        <v>780</v>
      </c>
      <c r="BE1148" t="n">
        <v>146601</v>
      </c>
      <c r="BF1148" t="inlineStr">
        <is>
          <t>10.1016/j.scitotenv.2021.146601</t>
        </is>
      </c>
      <c r="BG1148">
        <f>HYPERLINK("http://dx.doi.org/10.1016/j.scitotenv.2021.146601","http://dx.doi.org/10.1016/j.scitotenv.2021.146601")</f>
        <v/>
      </c>
      <c r="BI1148" t="inlineStr">
        <is>
          <t>MAR 2021</t>
        </is>
      </c>
      <c r="BJ1148" t="n">
        <v>14</v>
      </c>
      <c r="BK1148" t="inlineStr">
        <is>
          <t>Environmental Sciences</t>
        </is>
      </c>
      <c r="BL1148" t="inlineStr">
        <is>
          <t>Science Citation Index Expanded (SCI-EXPANDED)</t>
        </is>
      </c>
      <c r="BM1148" t="inlineStr">
        <is>
          <t>Environmental Sciences &amp; Ecology</t>
        </is>
      </c>
      <c r="BN1148" t="inlineStr">
        <is>
          <t>SF9SS</t>
        </is>
      </c>
      <c r="BO1148" t="n">
        <v>33774294</v>
      </c>
      <c r="BP1148" t="inlineStr">
        <is>
          <t>hybrid</t>
        </is>
      </c>
      <c r="BS1148" t="inlineStr">
        <is>
          <t>2023-10-26</t>
        </is>
      </c>
      <c r="BT1148" t="inlineStr">
        <is>
          <t>WOS:000653087200004</t>
        </is>
      </c>
      <c r="BU1148">
        <f>HYPERLINK("https%3A%2F%2Fwww.webofscience.com%2Fwos%2Fwoscc%2Ffull-record%2FWOS:000653087200004","View Full Record in Web of Science")</f>
        <v/>
      </c>
    </row>
    <row r="1149">
      <c r="A1149" t="inlineStr">
        <is>
          <t>J</t>
        </is>
      </c>
      <c r="B1149" t="inlineStr">
        <is>
          <t>Butt, TE; Jones, KG; Savic, DA; Gorse, CA; Hudson, JP; Paul, P</t>
        </is>
      </c>
      <c r="F1149" t="inlineStr">
        <is>
          <t>Butt, Talib E.; Jones, Keith G.; Savic, Dragan A.; Gorse, Christopher A.; Hudson, Jonathan P.; Paul, Parneet</t>
        </is>
      </c>
      <c r="J1149" t="inlineStr">
        <is>
          <t>ENVIRONMENTAL ENGINEERING AND MANAGEMENT JOURNAL</t>
        </is>
      </c>
      <c r="M1149" t="inlineStr">
        <is>
          <t>English</t>
        </is>
      </c>
      <c r="N1149" t="inlineStr">
        <is>
          <t>Article; Proceedings Paper</t>
        </is>
      </c>
      <c r="O1149" t="inlineStr">
        <is>
          <t>6th International Conference on Biomaterials, Tissue Engineering and Medical Devices (BiomMed)</t>
        </is>
      </c>
      <c r="P1149" t="inlineStr">
        <is>
          <t>SEP 17-20, 2014</t>
        </is>
      </c>
      <c r="Q1149" t="inlineStr">
        <is>
          <t>Constanta, ROMANIA</t>
        </is>
      </c>
      <c r="T1149" t="inlineStr">
        <is>
          <t>BUILT ENVIRONMENTS AND 'DIRECT' ENERGY CONSUMPTION - A CONCEPTUAL METHODOLOGY FRAMEWORK TO FACILITATE DELIVERY OF THE CLIMATE CHANGE ACT 2008</t>
        </is>
      </c>
      <c r="U1149" t="inlineStr">
        <is>
          <t>built environment; carbon footprint; climate change</t>
        </is>
      </c>
      <c r="W1149" t="inlineStr">
        <is>
          <t>The generation of energy via fossil fuel burning results in carbon emissions. These emissions contribute to the climate change of our world, particularly in terms of global warming. On the contrary, energy has become blood of life for the existence and functioning of our built environments. In order to control carbon emissions, the UK has taken lead among many countries around the globe and especially in Europe by passing a bill for the Climate Change Act 2008 which legally binds the UK to at least 80% reduction of carbon emissions by 2050 and 34% by 2020 which is fast approaching. However, the review of literature and models to date has revealed that to help meet these legal carbon cut targets set by the Act, there is a lack of unified knowledge-base approaches that could integrate all energy-related aspects of buildings in terms of these issues: establishing 1990 base-level and current carbon footprint of a given building and then drawing comparisons between the two to set milestones; breakdown of the energy consumption amongst various energy-consuming items of the building; identification of appropriate high energy-consuming items in the building; maintenance and refurbishment; fabric and non-fabric; implications of relevant terminologies; cost-benefit analysis of energy-saving technologies and pay-back time in connection to meeting aforesaid legal carbon cut targets. On the basis of identified knowledge gaps and attempting to bridge them, this paper develops and presents such an unified framework of a conceptual methodology that outlines fundamentals of a whole-system procedure while catering for all the aforesaid issues.</t>
        </is>
      </c>
      <c r="X1149" t="inlineStr">
        <is>
          <t>[Butt, Talib E.; Savic, Dragan A.] Univ Exeter, CEMPS, CWS, Harrison Bldg,North Pk Rd, Exeter, Devon, England; [Butt, Talib E.; Jones, Keith G.] Univ Greenwich, SBERG, Avery Hill Campus,Mansion Site,Bexley Rd, London, England; [Butt, Talib E.; Gorse, Christopher A.] Leeds Metropolitan Univ, Sch Built Environm &amp; Engn, Ctr Built Environm, 17 Queen Sq, Leeds, W Yorkshire, England; [Butt, Talib E.; Hudson, Jonathan P.] Univ Greenwich, FM, Avery Hill Campus,Southwood Site,Avery Hill Rd, London, England; [Paul, Parneet] Brunel Univ, Sch Engn &amp; Design, London, England</t>
        </is>
      </c>
      <c r="Y1149" t="inlineStr">
        <is>
          <t>University of Exeter; University of Greenwich; Leeds Beckett University; University of Greenwich; Brunel University</t>
        </is>
      </c>
      <c r="Z1149" t="inlineStr">
        <is>
          <t>Butt, TE (corresponding author), Univ Exeter, CEMPS, CWS, Harrison Bldg,North Pk Rd, Exeter, Devon, England.;Butt, TE (corresponding author), Univ Greenwich, SBERG, Avery Hill Campus,Mansion Site,Bexley Rd, London, England.;Butt, TE (corresponding author), Leeds Metropolitan Univ, Sch Built Environm &amp; Engn, Ctr Built Environm, 17 Queen Sq, Leeds, W Yorkshire, England.;Butt, TE (corresponding author), Univ Greenwich, FM, Avery Hill Campus,Southwood Site,Avery Hill Rd, London, England.</t>
        </is>
      </c>
      <c r="AA1149" t="inlineStr">
        <is>
          <t>t_e_butt@hotmail.com</t>
        </is>
      </c>
      <c r="AB1149" t="inlineStr">
        <is>
          <t>Gorse, Christopher A/D-5011-2018; Savic, Dragan A/G-2071-2012</t>
        </is>
      </c>
      <c r="AC1149" t="inlineStr">
        <is>
          <t>Savic, Dragan A/0000-0001-9567-9041; Gorse, Christopher/0000-0001-9490-3144</t>
        </is>
      </c>
      <c r="AH1149" t="n">
        <v>49</v>
      </c>
      <c r="AI1149" t="n">
        <v>2</v>
      </c>
      <c r="AJ1149" t="n">
        <v>2</v>
      </c>
      <c r="AK1149" t="n">
        <v>0</v>
      </c>
      <c r="AL1149" t="n">
        <v>6</v>
      </c>
      <c r="AM1149" t="inlineStr">
        <is>
          <t>GH ASACHI TECHNICAL UNIV IASI</t>
        </is>
      </c>
      <c r="AN1149" t="inlineStr">
        <is>
          <t>IASI</t>
        </is>
      </c>
      <c r="AO1149" t="inlineStr">
        <is>
          <t>71 MANGERON BLVD, IASI, 700050, ROMANIA</t>
        </is>
      </c>
      <c r="AP1149" t="inlineStr">
        <is>
          <t>1582-9596</t>
        </is>
      </c>
      <c r="AQ1149" t="inlineStr">
        <is>
          <t>1843-3707</t>
        </is>
      </c>
      <c r="AS1149" t="inlineStr">
        <is>
          <t>ENVIRON ENG MANAG J</t>
        </is>
      </c>
      <c r="AT1149" t="inlineStr">
        <is>
          <t>Environ. Eng. Manag. J.</t>
        </is>
      </c>
      <c r="AU1149" t="inlineStr">
        <is>
          <t>MAY</t>
        </is>
      </c>
      <c r="AV1149" t="n">
        <v>2016</v>
      </c>
      <c r="AW1149" t="n">
        <v>15</v>
      </c>
      <c r="AX1149" t="n">
        <v>5</v>
      </c>
      <c r="BC1149" t="n">
        <v>1155</v>
      </c>
      <c r="BD1149" t="n">
        <v>1171</v>
      </c>
      <c r="BF1149" t="inlineStr">
        <is>
          <t>10.30638/eemj.2016.128</t>
        </is>
      </c>
      <c r="BG1149">
        <f>HYPERLINK("http://dx.doi.org/10.30638/eemj.2016.128","http://dx.doi.org/10.30638/eemj.2016.128")</f>
        <v/>
      </c>
      <c r="BJ1149" t="n">
        <v>17</v>
      </c>
      <c r="BK1149" t="inlineStr">
        <is>
          <t>Environmental Sciences</t>
        </is>
      </c>
      <c r="BL1149" t="inlineStr">
        <is>
          <t>Science Citation Index Expanded (SCI-EXPANDED); Conference Proceedings Citation Index - Science (CPCI-S)</t>
        </is>
      </c>
      <c r="BM1149" t="inlineStr">
        <is>
          <t>Environmental Sciences &amp; Ecology</t>
        </is>
      </c>
      <c r="BN1149" t="inlineStr">
        <is>
          <t>DT1WZ</t>
        </is>
      </c>
      <c r="BS1149" t="inlineStr">
        <is>
          <t>2023-10-26</t>
        </is>
      </c>
      <c r="BT1149" t="inlineStr">
        <is>
          <t>WOS:000381274100026</t>
        </is>
      </c>
      <c r="BU1149">
        <f>HYPERLINK("https%3A%2F%2Fwww.webofscience.com%2Fwos%2Fwoscc%2Ffull-record%2FWOS:000381274100026","View Full Record in Web of Science")</f>
        <v/>
      </c>
    </row>
    <row r="1150">
      <c r="A1150" t="inlineStr">
        <is>
          <t>J</t>
        </is>
      </c>
      <c r="B1150" t="inlineStr">
        <is>
          <t>Hui, BH; Lu, W; Zhang, YJ</t>
        </is>
      </c>
      <c r="F1150" t="inlineStr">
        <is>
          <t>Hui, Bei-He; Lu, Wen; Zhang, Yingjian</t>
        </is>
      </c>
      <c r="J1150" t="inlineStr">
        <is>
          <t>JOURNAL OF ENVIRONMENTAL PROTECTION AND ECOLOGY</t>
        </is>
      </c>
      <c r="M1150" t="inlineStr">
        <is>
          <t>English</t>
        </is>
      </c>
      <c r="N1150" t="inlineStr">
        <is>
          <t>Article</t>
        </is>
      </c>
      <c r="T1150" t="inlineStr">
        <is>
          <t>ENVIRONMENT OF PHYSICAL EDUCATION TEACHER AUTONOMY SUPPORT ON STUDENTS' LEARNING MOTIVATION AND LEARNING ENVIRONMENT SATISFACTION</t>
        </is>
      </c>
      <c r="U1150" t="inlineStr">
        <is>
          <t>environment of autonomy support; physical education; learning motivation; learning environment satisfaction</t>
        </is>
      </c>
      <c r="V1150" t="inlineStr">
        <is>
          <t>READING ENGAGEMENT; LITERACY</t>
        </is>
      </c>
      <c r="W1150" t="inlineStr">
        <is>
          <t>Teachers, by integrating students' points of view to smoothen the course teaching, could better induce students' inner-directed behaviour and match classroom atmosphere with students' learning conditions. By accepting students' ideas, behaviours, and feelings, teachers could better accept students' inner thinking, potential behavioural competence, and emotion. Students' learning motivation also presents positive relationship with autonomy provided by Physical education (PE) teachers. Accordingly, PE teachers being able to provide the environment of autonomy support would positively affect students' learning motivation and learning effectiveness. With experimental design, 226 students in Fujian, as the experimental subjects, are preceded the experimental research with the environment of autonomy support in physical education. According to the result to propose suggestions, it could enhance students' participation in sports environment.</t>
        </is>
      </c>
      <c r="X1150" t="inlineStr">
        <is>
          <t>[Hui, Bei-He; Lu, Wen] Zhejiang SCI TECH Univ, Hangzhou, Zhejiang, Peoples R China; [Zhang, Yingjian] Langfang Normal Univ, Sports Dev Res Ctr, Langfang City, Hebei, Peoples R China</t>
        </is>
      </c>
      <c r="Y1150" t="inlineStr">
        <is>
          <t>Zhejiang Sci-Tech University; Langfang Normal University</t>
        </is>
      </c>
      <c r="Z1150" t="inlineStr">
        <is>
          <t>Zhang, YJ (corresponding author), Langfang Normal Univ, Sports Dev Res Ctr, Langfang City, Hebei, Peoples R China.</t>
        </is>
      </c>
      <c r="AA1150" t="inlineStr">
        <is>
          <t>chinahbh@126.com</t>
        </is>
      </c>
      <c r="AB1150" t="inlineStr">
        <is>
          <t>Zhang, Y J/HLG-1022-2023; z, y/HPC-0477-2023; zhang, ying/HJB-1230-2022</t>
        </is>
      </c>
      <c r="AD1150" t="inlineStr">
        <is>
          <t>National Social Science Fund of China [20BTY119]</t>
        </is>
      </c>
      <c r="AE1150" t="inlineStr">
        <is>
          <t>National Social Science Fund of China</t>
        </is>
      </c>
      <c r="AF1150" t="inlineStr">
        <is>
          <t>The authors are grateful to the valuable comments made by the reviewers. This paper was supported by the National Social Science Fund of China (No 20BTY119).</t>
        </is>
      </c>
      <c r="AH1150" t="n">
        <v>22</v>
      </c>
      <c r="AI1150" t="n">
        <v>2</v>
      </c>
      <c r="AJ1150" t="n">
        <v>2</v>
      </c>
      <c r="AK1150" t="n">
        <v>6</v>
      </c>
      <c r="AL1150" t="n">
        <v>19</v>
      </c>
      <c r="AM1150" t="inlineStr">
        <is>
          <t>SCIBULCOM LTD</t>
        </is>
      </c>
      <c r="AN1150" t="inlineStr">
        <is>
          <t>SOFIA</t>
        </is>
      </c>
      <c r="AO1150" t="inlineStr">
        <is>
          <t>PO BOX 249, 1113 SOFIA, BULGARIA</t>
        </is>
      </c>
      <c r="AP1150" t="inlineStr">
        <is>
          <t>1311-5065</t>
        </is>
      </c>
      <c r="AS1150" t="inlineStr">
        <is>
          <t>J ENVIRON PROT ECOL</t>
        </is>
      </c>
      <c r="AT1150" t="inlineStr">
        <is>
          <t>J. Environ. Prot. Ecol.</t>
        </is>
      </c>
      <c r="AV1150" t="n">
        <v>2021</v>
      </c>
      <c r="AW1150" t="n">
        <v>22</v>
      </c>
      <c r="AX1150" t="n">
        <v>5</v>
      </c>
      <c r="BC1150" t="n">
        <v>2168</v>
      </c>
      <c r="BD1150" t="n">
        <v>2175</v>
      </c>
      <c r="BJ1150" t="n">
        <v>8</v>
      </c>
      <c r="BK1150" t="inlineStr">
        <is>
          <t>Environmental Sciences</t>
        </is>
      </c>
      <c r="BL1150" t="inlineStr">
        <is>
          <t>Science Citation Index Expanded (SCI-EXPANDED)</t>
        </is>
      </c>
      <c r="BM1150" t="inlineStr">
        <is>
          <t>Environmental Sciences &amp; Ecology</t>
        </is>
      </c>
      <c r="BN1150" t="inlineStr">
        <is>
          <t>YY2BZ</t>
        </is>
      </c>
      <c r="BS1150" t="inlineStr">
        <is>
          <t>2023-10-26</t>
        </is>
      </c>
      <c r="BT1150" t="inlineStr">
        <is>
          <t>WOS:000754599000035</t>
        </is>
      </c>
      <c r="BU1150">
        <f>HYPERLINK("https%3A%2F%2Fwww.webofscience.com%2Fwos%2Fwoscc%2Ffull-record%2FWOS:000754599000035","View Full Record in Web of Science")</f>
        <v/>
      </c>
    </row>
    <row r="1151">
      <c r="A1151" t="inlineStr">
        <is>
          <t>J</t>
        </is>
      </c>
      <c r="B1151" t="inlineStr">
        <is>
          <t>Nkimbeng, M; Akumbom, A; Granbom, M; Szanton, SL; Shippee, TP; Thorpe, RJ; Gaugler, JE</t>
        </is>
      </c>
      <c r="F1151" t="inlineStr">
        <is>
          <t>Nkimbeng, Manka; Akumbom, Alvine; Granbom, Marianne; Szanton, Sarah L.; Shippee, Tetyana P.; Thorpe Jr, Roland J.; Gaugler, Joseph E.</t>
        </is>
      </c>
      <c r="J1151" t="inlineStr">
        <is>
          <t>INTERNATIONAL JOURNAL OF ENVIRONMENTAL RESEARCH AND PUBLIC HEALTH</t>
        </is>
      </c>
      <c r="M1151" t="inlineStr">
        <is>
          <t>English</t>
        </is>
      </c>
      <c r="N1151" t="inlineStr">
        <is>
          <t>Article</t>
        </is>
      </c>
      <c r="T1151" t="inlineStr">
        <is>
          <t>Where to Retire? Experiences of Older African Immigrants in the United States</t>
        </is>
      </c>
      <c r="U1151" t="inlineStr">
        <is>
          <t>older adults; African immigrants; retirement; aging-in-place; age-friendliness</t>
        </is>
      </c>
      <c r="V1151" t="inlineStr">
        <is>
          <t>US-BORN; HEALTH; ADULTS; AGE; LIMITATIONS; PARADOX; FOREIGN; PEOPLE; PLACE</t>
        </is>
      </c>
      <c r="W1151" t="inlineStr">
        <is>
          <t>Doubling in size since the 1970s, the aging needs of the African immigrant population are not fully understood. This qualitative study examined experiences of aging and retirement planning for African immigrant older adults in the United States (U.S.). Specifically, it explored the factors, processes, and ultimate decision of where these older adults planned to retire. Secondary analysis of semi-structured interviews with 15 older African immigrants in the Baltimore-Washington Metropolitan area was conducted. Data was analyzed using thematic analyses in NVivo. The majority of participants were women, with a mean age of 64. Three overarching themes with ten sub-themes were identified. The themes included: (1) cultural identity, which indicated the participant's comfort with the U.S. society and culture; (2) decision making, meaning factors that impact participants' choice of retirement location; and (3) decision made, meaning the final choice of where participants would like to retire. Age-friendliness for immigrant older adults in the U.S. is complex and it includes traditional domains such as physical and sociocultural environment (e.g., housing, transportation, and income). However, immigrant age-friendliness also needs to include wider contextual aspects such as political climate of their country of origin, immigrant status, family responsibilities, and acculturation in the U.S. More research is needed to better understand and facilitate age-friendly environments and transnational aging of immigrant older adults.</t>
        </is>
      </c>
      <c r="X1151" t="inlineStr">
        <is>
          <t>[Nkimbeng, Manka; Shippee, Tetyana P.; Gaugler, Joseph E.] Univ Minnesota, Div Hlth Policy &amp; Management, Sch Publ Hlth, 420 Delaware St SE, Minneapolis, MN 55455 USA; [Akumbom, Alvine; Szanton, Sarah L.] Johns Hopkins Sch Nursing, 525 N Wolfe St, Baltimore, MD 21205 USA; [Granbom, Marianne] Lund Univ, Dept Hlth Sci, S-22100 Lund, Sweden; [Thorpe Jr, Roland J.] Johns Hopkins Bloomberg Sch Publ Hlth, Hopkins Ctr Hlth Dispar Solut, 624 Broadway, Baltimore, MD 21205 USA</t>
        </is>
      </c>
      <c r="Y1151" t="inlineStr">
        <is>
          <t>University of Minnesota System; University of Minnesota Twin Cities; Johns Hopkins University; Lund University; Johns Hopkins University; Johns Hopkins Bloomberg School of Public Health</t>
        </is>
      </c>
      <c r="Z1151" t="inlineStr">
        <is>
          <t>Nkimbeng, M (corresponding author), Univ Minnesota, Div Hlth Policy &amp; Management, Sch Publ Hlth, 420 Delaware St SE, Minneapolis, MN 55455 USA.</t>
        </is>
      </c>
      <c r="AA1151" t="inlineStr">
        <is>
          <t>manka@umn.edu; shippee@umn.edu; marianne.granbom@med.lu.se; sarah.szanton@jhu.edu; shippee@umn.edu; rthorpe@jhu.edu; gaug0015@umn.edu</t>
        </is>
      </c>
      <c r="AB1151" t="inlineStr">
        <is>
          <t>granbom, marianne/HPF-1683-2023</t>
        </is>
      </c>
      <c r="AC1151" t="inlineStr">
        <is>
          <t>granbom, marianne/0000-0001-7456-2039; Nkimbeng, Manka/0000-0001-7414-921X; Akumbom, Alvine/0000-0002-6689-1104; Shippee, Tetyana/0000-0003-1804-2527; Gaugler, Joseph/0000-0003-4797-485X</t>
        </is>
      </c>
      <c r="AH1151" t="n">
        <v>75</v>
      </c>
      <c r="AI1151" t="n">
        <v>2</v>
      </c>
      <c r="AJ1151" t="n">
        <v>2</v>
      </c>
      <c r="AK1151" t="n">
        <v>0</v>
      </c>
      <c r="AL1151" t="n">
        <v>6</v>
      </c>
      <c r="AM1151" t="inlineStr">
        <is>
          <t>MDPI</t>
        </is>
      </c>
      <c r="AN1151" t="inlineStr">
        <is>
          <t>BASEL</t>
        </is>
      </c>
      <c r="AO1151" t="inlineStr">
        <is>
          <t>ST ALBAN-ANLAGE 66, CH-4052 BASEL, SWITZERLAND</t>
        </is>
      </c>
      <c r="AQ1151" t="inlineStr">
        <is>
          <t>1660-4601</t>
        </is>
      </c>
      <c r="AS1151" t="inlineStr">
        <is>
          <t>INT J ENV RES PUB HE</t>
        </is>
      </c>
      <c r="AT1151" t="inlineStr">
        <is>
          <t>Int. J. Environ. Res. Public Health</t>
        </is>
      </c>
      <c r="AU1151" t="inlineStr">
        <is>
          <t>FEB</t>
        </is>
      </c>
      <c r="AV1151" t="n">
        <v>2022</v>
      </c>
      <c r="AW1151" t="n">
        <v>19</v>
      </c>
      <c r="AX1151" t="n">
        <v>3</v>
      </c>
      <c r="BE1151" t="n">
        <v>1040</v>
      </c>
      <c r="BF1151" t="inlineStr">
        <is>
          <t>10.3390/ijerph19031040</t>
        </is>
      </c>
      <c r="BG1151">
        <f>HYPERLINK("http://dx.doi.org/10.3390/ijerph19031040","http://dx.doi.org/10.3390/ijerph19031040")</f>
        <v/>
      </c>
      <c r="BJ1151" t="n">
        <v>17</v>
      </c>
      <c r="BK1151" t="inlineStr">
        <is>
          <t>Environmental Sciences; Public, Environmental &amp; Occupational Health</t>
        </is>
      </c>
      <c r="BL1151" t="inlineStr">
        <is>
          <t>Science Citation Index Expanded (SCI-EXPANDED); Social Science Citation Index (SSCI)</t>
        </is>
      </c>
      <c r="BM1151" t="inlineStr">
        <is>
          <t>Environmental Sciences &amp; Ecology; Public, Environmental &amp; Occupational Health</t>
        </is>
      </c>
      <c r="BN1151" t="inlineStr">
        <is>
          <t>YY2DC</t>
        </is>
      </c>
      <c r="BO1151" t="n">
        <v>35162063</v>
      </c>
      <c r="BP1151" t="inlineStr">
        <is>
          <t>Green Published, gold</t>
        </is>
      </c>
      <c r="BS1151" t="inlineStr">
        <is>
          <t>2023-10-26</t>
        </is>
      </c>
      <c r="BT1151" t="inlineStr">
        <is>
          <t>WOS:000754602000001</t>
        </is>
      </c>
      <c r="BU1151">
        <f>HYPERLINK("https%3A%2F%2Fwww.webofscience.com%2Fwos%2Fwoscc%2Ffull-record%2FWOS:000754602000001","View Full Record in Web of Science")</f>
        <v/>
      </c>
    </row>
    <row r="1152">
      <c r="A1152" t="inlineStr">
        <is>
          <t>J</t>
        </is>
      </c>
      <c r="B1152" t="inlineStr">
        <is>
          <t>Duan, ST; Shen, ZY; Luo, X</t>
        </is>
      </c>
      <c r="F1152" t="inlineStr">
        <is>
          <t>Duan, Sutian; Shen, Zhiyong; Luo, Xiao</t>
        </is>
      </c>
      <c r="J1152" t="inlineStr">
        <is>
          <t>INTERNATIONAL JOURNAL OF ENVIRONMENTAL RESEARCH AND PUBLIC HEALTH</t>
        </is>
      </c>
      <c r="M1152" t="inlineStr">
        <is>
          <t>English</t>
        </is>
      </c>
      <c r="N1152" t="inlineStr">
        <is>
          <t>Article</t>
        </is>
      </c>
      <c r="T1152" t="inlineStr">
        <is>
          <t>Exploring the Relationship between Urban Youth Sentiment and the Built Environment Using Machine Learning and Weibo Comments</t>
        </is>
      </c>
      <c r="U1152" t="inlineStr">
        <is>
          <t>sentiment; built environment; machine learning; Weibo comments; youth</t>
        </is>
      </c>
      <c r="V1152" t="inlineStr">
        <is>
          <t>MENTAL-HEALTH</t>
        </is>
      </c>
      <c r="W1152" t="inlineStr">
        <is>
          <t>As the relationship between the built environment and the sense of human experience becomes increasingly important, emotional geography has begun to focus on sentiments in space and time and improving the quality of urban construction from the perspective of public emotion and mental health. While youth is a powerful force in urban construction, there are no studies on the relationship between urban youth sentiments and the built environment. With the development of the Internet, social media has provided a large source of data for the metrics of youth sentiment. Based on data from more than 10,000 geolocated Sina Weibo comments posted over one week (from 19 to 25 July 2021) in Shanghai and using a machine learning algorithm for attention mechanism, this study calculates the sentiment label and sentiment intensity of each comment. Ten elements in five aspects were selected to assess the built environment at different scales and also to explore the correlations between built environment elements and sentiment intensity at different scales. The study finds that the overall sentiment of Shanghai youth tends to be negative. Sentiment intensity is significantly associated with most built environment elements at smaller scales. Urban youth have a higher proportion of both happy and sad sentiments, within which sad sentiments are more closely related to the built environment and are significantly related to all built environment elements. This study uses a deep learning algorithm to improve the accuracy of sentiment classification and confirms that the built environment has a great impact on sentiment. This research can help cities develop built environment optimization measures and policies to create positive emotional environments and enhance the well-being of urban youth.</t>
        </is>
      </c>
      <c r="X1152" t="inlineStr">
        <is>
          <t>[Duan, Sutian; Shen, Zhiyong; Luo, Xiao] Tongji Univ, Urban Mobil Inst, 4800 Cao An Rd, Shanghai 201804, Peoples R China</t>
        </is>
      </c>
      <c r="Y1152" t="inlineStr">
        <is>
          <t>Tongji University</t>
        </is>
      </c>
      <c r="Z1152" t="inlineStr">
        <is>
          <t>Shen, ZY; Luo, X (corresponding author), Tongji Univ, Urban Mobil Inst, 4800 Cao An Rd, Shanghai 201804, Peoples R China.</t>
        </is>
      </c>
      <c r="AA1152" t="inlineStr">
        <is>
          <t>duansutian@tongji.edu.cn; 17768058801@163.com; luo.xiao@tongji.edu.cn</t>
        </is>
      </c>
      <c r="AC1152" t="inlineStr">
        <is>
          <t>Duan, Sutian/0000-0002-6816-041X</t>
        </is>
      </c>
      <c r="AD1152" t="inlineStr">
        <is>
          <t>National Natural Science Foundation of China [72061137071]; National Office for Philosophy and Social Sciences [18CSH005]; Natural Science Foundation of Shanghai [21ZR1466600]</t>
        </is>
      </c>
      <c r="AE1152" t="inlineStr">
        <is>
          <t>National Natural Science Foundation of China(National Natural Science Foundation of China (NSFC)); National Office for Philosophy and Social Sciences; Natural Science Foundation of Shanghai(Natural Science Foundation of Shanghai)</t>
        </is>
      </c>
      <c r="AF1152" t="inlineStr">
        <is>
          <t>National Natural Science Foundation of China (Grant/Award No. 51708414); National Natural Science Foundation of China (Grant/Award No. 72061137071); National Office for Philosophy and Social Sciences (Grant/Award No. 18CSH005); Natural Science Foundation of Shanghai (Grant/Award No. 21ZR1466600).</t>
        </is>
      </c>
      <c r="AH1152" t="n">
        <v>64</v>
      </c>
      <c r="AI1152" t="n">
        <v>4</v>
      </c>
      <c r="AJ1152" t="n">
        <v>5</v>
      </c>
      <c r="AK1152" t="n">
        <v>23</v>
      </c>
      <c r="AL1152" t="n">
        <v>63</v>
      </c>
      <c r="AM1152" t="inlineStr">
        <is>
          <t>MDPI</t>
        </is>
      </c>
      <c r="AN1152" t="inlineStr">
        <is>
          <t>BASEL</t>
        </is>
      </c>
      <c r="AO1152" t="inlineStr">
        <is>
          <t>ST ALBAN-ANLAGE 66, CH-4052 BASEL, SWITZERLAND</t>
        </is>
      </c>
      <c r="AQ1152" t="inlineStr">
        <is>
          <t>1660-4601</t>
        </is>
      </c>
      <c r="AS1152" t="inlineStr">
        <is>
          <t>INT J ENV RES PUB HE</t>
        </is>
      </c>
      <c r="AT1152" t="inlineStr">
        <is>
          <t>Int. J. Environ. Res. Public Health</t>
        </is>
      </c>
      <c r="AU1152" t="inlineStr">
        <is>
          <t>APR</t>
        </is>
      </c>
      <c r="AV1152" t="n">
        <v>2022</v>
      </c>
      <c r="AW1152" t="n">
        <v>19</v>
      </c>
      <c r="AX1152" t="n">
        <v>8</v>
      </c>
      <c r="BE1152" t="n">
        <v>4794</v>
      </c>
      <c r="BF1152" t="inlineStr">
        <is>
          <t>10.3390/ijerph19084794</t>
        </is>
      </c>
      <c r="BG1152">
        <f>HYPERLINK("http://dx.doi.org/10.3390/ijerph19084794","http://dx.doi.org/10.3390/ijerph19084794")</f>
        <v/>
      </c>
      <c r="BJ1152" t="n">
        <v>20</v>
      </c>
      <c r="BK1152" t="inlineStr">
        <is>
          <t>Environmental Sciences; Public, Environmental &amp; Occupational Health</t>
        </is>
      </c>
      <c r="BL1152" t="inlineStr">
        <is>
          <t>Science Citation Index Expanded (SCI-EXPANDED); Social Science Citation Index (SSCI)</t>
        </is>
      </c>
      <c r="BM1152" t="inlineStr">
        <is>
          <t>Environmental Sciences &amp; Ecology; Public, Environmental &amp; Occupational Health</t>
        </is>
      </c>
      <c r="BN1152" t="inlineStr">
        <is>
          <t>0T3FX</t>
        </is>
      </c>
      <c r="BO1152" t="n">
        <v>35457661</v>
      </c>
      <c r="BP1152" t="inlineStr">
        <is>
          <t>Green Published, gold</t>
        </is>
      </c>
      <c r="BS1152" t="inlineStr">
        <is>
          <t>2023-10-26</t>
        </is>
      </c>
      <c r="BT1152" t="inlineStr">
        <is>
          <t>WOS:000786856900001</t>
        </is>
      </c>
      <c r="BU1152">
        <f>HYPERLINK("https%3A%2F%2Fwww.webofscience.com%2Fwos%2Fwoscc%2Ffull-record%2FWOS:000786856900001","View Full Record in Web of Science")</f>
        <v/>
      </c>
    </row>
    <row r="1153">
      <c r="A1153" t="inlineStr">
        <is>
          <t>J</t>
        </is>
      </c>
      <c r="B1153" t="inlineStr">
        <is>
          <t>Liu, QY; Fu, WC; van den Bosch, CCK; Xiao, YH; Zhu, ZP; You, D; Zhu, NY; Huang, QT; Lan, SR</t>
        </is>
      </c>
      <c r="F1153" t="inlineStr">
        <is>
          <t>Liu, Qunyue; Fu, Weicong; van den Bosch, Cecil C. Konijnendijk; Xiao, Yiheng; Zhu, Zhipeng; You, Da; Zhu, Nanyan; Huang, Qitang; Lan, Siren</t>
        </is>
      </c>
      <c r="J1153" t="inlineStr">
        <is>
          <t>SUSTAINABILITY</t>
        </is>
      </c>
      <c r="M1153" t="inlineStr">
        <is>
          <t>English</t>
        </is>
      </c>
      <c r="N1153" t="inlineStr">
        <is>
          <t>Article</t>
        </is>
      </c>
      <c r="T1153" t="inlineStr">
        <is>
          <t>Do Local Landscape Elements Enhance Individuals' Place Attachment to New Environments? A Cross-Regional Comparative Study in China</t>
        </is>
      </c>
      <c r="U1153" t="inlineStr">
        <is>
          <t>landscape elements; local landscape; new environments; place identity; urban design</t>
        </is>
      </c>
      <c r="V1153" t="inlineStr">
        <is>
          <t>CULTURAL ECOSYSTEM SERVICES; NEIGHBORHOOD ATTACHMENT; SENSE; EXPERIENCE; IDENTITY; VALUES; IDENTIFICATION; SATISFACTION; EXPLORATION; PERCEPTION</t>
        </is>
      </c>
      <c r="W1153" t="inlineStr">
        <is>
          <t>Globalization and urbanization have made many Chinese cities lose their distinct characteristics and have led to emotional sense of loss for individuals. Place attachment, as encompassing place dependence and place identity, is the positive emotion that describes the psychological connections between people and a certain place. Many studies have indicated that people develop place attachment toward a certain place by long-term interaction with that place. However, few studies have demonstrated that place attachment might also be evoked by a landscape that looks familiar, but with which a person has not had long-term interactions. It is important to understand the role of place attachment in urban design, as neglecting place attachment can have a negative impact on the outcomes of urban planning and urban design. In this study we explored the contributions of local landscape elements to people's place attachment to a new physical environment by means of a cross-regional comparative study. Three groups of respondents living in three different areas of China were chosen, and a photo-based approach was used to examine the association between local landscape elements and place attachment. The results indicate, first, that local landscapes positively contribute to residents' place attachment. Next, an individual's place attachment to new environments can be enhanced by adding familiar local landscape elements. Findings suggest that planners and designers can build stronger place attachment by integrating landscape elements that are familiar to people. This can have implications, for example, when creating links between newcomers and the new environments to which they have moved.</t>
        </is>
      </c>
      <c r="X1153" t="inlineStr">
        <is>
          <t>[Liu, Qunyue; Fu, Weicong; Zhu, Zhipeng; You, Da; Zhu, Nanyan; Huang, Qitang; Lan, Siren] Fujian Agr &amp; Forestry Univ, Coll Landscape Architecture, Fuzhou 350002, Fujian, Peoples R China; [Liu, Qunyue; Fu, Weicong; van den Bosch, Cecil C. Konijnendijk] Univ British Columbia, Dept Forest Resources Management, Vancouver, BC V6T 1Z4, Canada; [Liu, Qunyue; Fu, Weicong; van den Bosch, Cecil C. Konijnendijk] Univ British Columbia, Fac Forestry, Vancouver, BC V6T 1Z4, Canada; [Xiao, Yiheng] Tech Univ Dresden, Inst Landscape Architecture, Sch Civil &amp; Environm Engn, Helmholtzstr 10, D-01069 Dresden, Germany</t>
        </is>
      </c>
      <c r="Y1153" t="inlineStr">
        <is>
          <t>Fujian Agriculture &amp; Forestry University; University of British Columbia; University of British Columbia; Technische Universitat Dresden</t>
        </is>
      </c>
      <c r="Z1153" t="inlineStr">
        <is>
          <t>Lan, SR (corresponding author), Fujian Agr &amp; Forestry Univ, Coll Landscape Architecture, Fuzhou 350002, Fujian, Peoples R China.</t>
        </is>
      </c>
      <c r="AA1153" t="inlineStr">
        <is>
          <t>fafulqy@gmail.com; weicongfufj@163.com; cecil.konijnendijk@ubc.ca; 3151726036@fafu.edu.cn; 1141775003@fafu.edu.cn; 3151726046@fafu.edu.cn; zhuNanY969@gmail.com; fjhqt@126.com; lkzx@fafu.edu.cn</t>
        </is>
      </c>
      <c r="AB1153" t="inlineStr">
        <is>
          <t>Konijnendijk, Cecil/AAC-4439-2019</t>
        </is>
      </c>
      <c r="AC1153" t="inlineStr">
        <is>
          <t>Konijnendijk, Cecil/0000-0003-4000-0622</t>
        </is>
      </c>
      <c r="AD1153" t="inlineStr">
        <is>
          <t>China Scholarship Council [201708350113]</t>
        </is>
      </c>
      <c r="AE1153" t="inlineStr">
        <is>
          <t>China Scholarship Council(China Scholarship Council)</t>
        </is>
      </c>
      <c r="AF1153" t="inlineStr">
        <is>
          <t>The authors gratefully acknowledge the financial support from the China Scholarship Council under No. 201708350113. We express special thanks to the colleagues who helped carry out the survey on site.</t>
        </is>
      </c>
      <c r="AH1153" t="n">
        <v>63</v>
      </c>
      <c r="AI1153" t="n">
        <v>17</v>
      </c>
      <c r="AJ1153" t="n">
        <v>17</v>
      </c>
      <c r="AK1153" t="n">
        <v>5</v>
      </c>
      <c r="AL1153" t="n">
        <v>50</v>
      </c>
      <c r="AM1153" t="inlineStr">
        <is>
          <t>MDPI</t>
        </is>
      </c>
      <c r="AN1153" t="inlineStr">
        <is>
          <t>BASEL</t>
        </is>
      </c>
      <c r="AO1153" t="inlineStr">
        <is>
          <t>ST ALBAN-ANLAGE 66, CH-4052 BASEL, SWITZERLAND</t>
        </is>
      </c>
      <c r="AQ1153" t="inlineStr">
        <is>
          <t>2071-1050</t>
        </is>
      </c>
      <c r="AS1153" t="inlineStr">
        <is>
          <t>SUSTAINABILITY-BASEL</t>
        </is>
      </c>
      <c r="AT1153" t="inlineStr">
        <is>
          <t>Sustainability</t>
        </is>
      </c>
      <c r="AU1153" t="inlineStr">
        <is>
          <t>SEP</t>
        </is>
      </c>
      <c r="AV1153" t="n">
        <v>2018</v>
      </c>
      <c r="AW1153" t="n">
        <v>10</v>
      </c>
      <c r="AX1153" t="n">
        <v>9</v>
      </c>
      <c r="BE1153" t="n">
        <v>3100</v>
      </c>
      <c r="BF1153" t="inlineStr">
        <is>
          <t>10.3390/su10093100</t>
        </is>
      </c>
      <c r="BG1153">
        <f>HYPERLINK("http://dx.doi.org/10.3390/su10093100","http://dx.doi.org/10.3390/su10093100")</f>
        <v/>
      </c>
      <c r="BJ1153" t="n">
        <v>17</v>
      </c>
      <c r="BK1153" t="inlineStr">
        <is>
          <t>Green &amp; Sustainable Science &amp; Technology; Environmental Sciences; Environmental Studies</t>
        </is>
      </c>
      <c r="BL1153" t="inlineStr">
        <is>
          <t>Science Citation Index Expanded (SCI-EXPANDED); Social Science Citation Index (SSCI)</t>
        </is>
      </c>
      <c r="BM1153" t="inlineStr">
        <is>
          <t>Science &amp; Technology - Other Topics; Environmental Sciences &amp; Ecology</t>
        </is>
      </c>
      <c r="BN1153" t="inlineStr">
        <is>
          <t>GW3DA</t>
        </is>
      </c>
      <c r="BP1153" t="inlineStr">
        <is>
          <t>Green Published, gold</t>
        </is>
      </c>
      <c r="BS1153" t="inlineStr">
        <is>
          <t>2023-10-26</t>
        </is>
      </c>
      <c r="BT1153" t="inlineStr">
        <is>
          <t>WOS:000446770200143</t>
        </is>
      </c>
      <c r="BU1153">
        <f>HYPERLINK("https%3A%2F%2Fwww.webofscience.com%2Fwos%2Fwoscc%2Ffull-record%2FWOS:000446770200143","View Full Record in Web of Science")</f>
        <v/>
      </c>
    </row>
    <row r="1154">
      <c r="A1154" t="inlineStr">
        <is>
          <t>J</t>
        </is>
      </c>
      <c r="B1154" t="inlineStr">
        <is>
          <t>Barmparesos, N; Assimakopoulos, MN; Assimakopoulos, VD; Loumos, N; Sotiriou, MA; Koukoumtzis, A</t>
        </is>
      </c>
      <c r="F1154" t="inlineStr">
        <is>
          <t>Barmparesos, Nikolaos; Assimakopoulos, Margarita Niki; Assimakopoulos, Vasiliki D.; Loumos, Nikolaos; Sotiriou, Maria Aliki; Koukoumtzis, Athanasios</t>
        </is>
      </c>
      <c r="J1154" t="inlineStr">
        <is>
          <t>ATMOSPHERE</t>
        </is>
      </c>
      <c r="M1154" t="inlineStr">
        <is>
          <t>English</t>
        </is>
      </c>
      <c r="N1154" t="inlineStr">
        <is>
          <t>Article</t>
        </is>
      </c>
      <c r="T1154" t="inlineStr">
        <is>
          <t>Indoor Air Quality and Thermal Conditions in a Primary School with a Green Roof System</t>
        </is>
      </c>
      <c r="U1154" t="inlineStr">
        <is>
          <t>indoor air quality; thermal conditions; school building microenvironment; green roof; air pollutants</t>
        </is>
      </c>
      <c r="V1154" t="inlineStr">
        <is>
          <t>ELEMENTARY-SCHOOLS; OUTDOOR; MICROCLIMATE; VENTILATION; EMISSIONS; PARTICLES; DESIGN</t>
        </is>
      </c>
      <c r="W1154" t="inlineStr">
        <is>
          <t>This paper presents experimental results from a typical school building in Athens, equipped partly with a green roof system (GRS). Environmental monitoring took place in six classrooms located both under the concrete roof and the GRS sectors as well as in the immediate external environment during the warm and cold periods of a school year. Daily measurements of pollutants CO2, TVOCs (Total Volatile Organic Compound), PM1, PM2.5, and PM10 were performed in selected classes. Moreover, indoor ambient temperature (T) and relative humidity (RH) measurements were implemented in order to estimate the absolute humidity (AH) and assess the indoor environmental conditions. The results highlight that during summer, the GRS reduces temperature in a classroom on the top floor by about 2.8 degrees C, in comparison with the respective classroom under the concrete roof and that AH remained relatively stable for both classrooms. Amid winter, a reverse behavior occurs only for temperature. Moreover, air exchange rates (AER) were calculated by using the CO2 decay method for all of the classrooms. The results demonstrated insufficient ventilation for all experimental sights. Finally, concentrations of PM1, PM2.5 and PM10, were found to be relatively decreased, with average values of 0.79, 3.39, and 27.80 g m(-3). Levels of CO2 and TVOCs were elevated during class hours ranging from 469 to 779 ppm and from 6.63 ppm to 13.33 ppm, respectively, but generally within the respective limits of exposure. The examination of the indoor/outdoor (I/O) ratio of air pollutants, demonstrated that the outdoor meteorology affects only PM1 and PM2.5, as PM10 and TVOCs are strongly affected by internal sources and the activities of pupils.</t>
        </is>
      </c>
      <c r="X1154" t="inlineStr">
        <is>
          <t>[Barmparesos, Nikolaos; Assimakopoulos, Margarita Niki; Loumos, Nikolaos; Sotiriou, Maria Aliki; Koukoumtzis, Athanasios] Univ Athens, Dept Appl Phys, Fac Phys, Bldg Phys 5,Univ Campus, Athens 15784, Greece; [Assimakopoulos, Vasiliki D.] Natl Observ Athens, Inst Environm Res &amp; Sustainable Dev, Athens 15236, Greece</t>
        </is>
      </c>
      <c r="Y1154" t="inlineStr">
        <is>
          <t>National &amp; Kapodistrian University of Athens; National Observatory of Athens</t>
        </is>
      </c>
      <c r="Z1154" t="inlineStr">
        <is>
          <t>Barmparesos, N (corresponding author), Univ Athens, Dept Appl Phys, Fac Phys, Bldg Phys 5,Univ Campus, Athens 15784, Greece.</t>
        </is>
      </c>
      <c r="AA1154" t="inlineStr">
        <is>
          <t>nikobar@phys.uoa.gr; masim@phys.uoa.gr; vasiliki@noa.gr; loumos_nick@hotmail.com; avenir16@hotmail.com; a.koukoumtzis@yahoo.com</t>
        </is>
      </c>
      <c r="AB1154" t="inlineStr">
        <is>
          <t>Assimakopoulos, Vasiliki D./H-3117-2014; Barmparesos, Nikolaos/ABE-6776-2020; Assimkopoulos, Margarita/AAL-6920-2021</t>
        </is>
      </c>
      <c r="AC1154" t="inlineStr">
        <is>
          <t>Barmparesos, Nikolaos/0000-0001-9225-5753;</t>
        </is>
      </c>
      <c r="AH1154" t="n">
        <v>42</v>
      </c>
      <c r="AI1154" t="n">
        <v>16</v>
      </c>
      <c r="AJ1154" t="n">
        <v>16</v>
      </c>
      <c r="AK1154" t="n">
        <v>1</v>
      </c>
      <c r="AL1154" t="n">
        <v>15</v>
      </c>
      <c r="AM1154" t="inlineStr">
        <is>
          <t>MDPI</t>
        </is>
      </c>
      <c r="AN1154" t="inlineStr">
        <is>
          <t>BASEL</t>
        </is>
      </c>
      <c r="AO1154" t="inlineStr">
        <is>
          <t>ST ALBAN-ANLAGE 66, CH-4052 BASEL, SWITZERLAND</t>
        </is>
      </c>
      <c r="AP1154" t="inlineStr">
        <is>
          <t>2073-4433</t>
        </is>
      </c>
      <c r="AS1154" t="inlineStr">
        <is>
          <t>ATMOSPHERE-BASEL</t>
        </is>
      </c>
      <c r="AT1154" t="inlineStr">
        <is>
          <t>Atmosphere</t>
        </is>
      </c>
      <c r="AU1154" t="inlineStr">
        <is>
          <t>FEB</t>
        </is>
      </c>
      <c r="AV1154" t="n">
        <v>2018</v>
      </c>
      <c r="AW1154" t="n">
        <v>9</v>
      </c>
      <c r="AX1154" t="n">
        <v>2</v>
      </c>
      <c r="BE1154" t="n">
        <v>75</v>
      </c>
      <c r="BF1154" t="inlineStr">
        <is>
          <t>10.3390/atmos9020075</t>
        </is>
      </c>
      <c r="BG1154">
        <f>HYPERLINK("http://dx.doi.org/10.3390/atmos9020075","http://dx.doi.org/10.3390/atmos9020075")</f>
        <v/>
      </c>
      <c r="BJ1154" t="n">
        <v>14</v>
      </c>
      <c r="BK1154" t="inlineStr">
        <is>
          <t>Environmental Sciences; Meteorology &amp; Atmospheric Sciences</t>
        </is>
      </c>
      <c r="BL1154" t="inlineStr">
        <is>
          <t>Science Citation Index Expanded (SCI-EXPANDED)</t>
        </is>
      </c>
      <c r="BM1154" t="inlineStr">
        <is>
          <t>Environmental Sciences &amp; Ecology; Meteorology &amp; Atmospheric Sciences</t>
        </is>
      </c>
      <c r="BN1154" t="inlineStr">
        <is>
          <t>FZ3RF</t>
        </is>
      </c>
      <c r="BP1154" t="inlineStr">
        <is>
          <t>Green Submitted, gold</t>
        </is>
      </c>
      <c r="BS1154" t="inlineStr">
        <is>
          <t>2023-10-26</t>
        </is>
      </c>
      <c r="BT1154" t="inlineStr">
        <is>
          <t>WOS:000427507000041</t>
        </is>
      </c>
      <c r="BU1154">
        <f>HYPERLINK("https%3A%2F%2Fwww.webofscience.com%2Fwos%2Fwoscc%2Ffull-record%2FWOS:000427507000041","View Full Record in Web of Science")</f>
        <v/>
      </c>
    </row>
    <row r="1155">
      <c r="A1155" t="inlineStr">
        <is>
          <t>J</t>
        </is>
      </c>
      <c r="B1155" t="inlineStr">
        <is>
          <t>Underhill, LJ; Dols, WS; Lee, SK; Fabian, MP; Levy, JI</t>
        </is>
      </c>
      <c r="F1155" t="inlineStr">
        <is>
          <t>Underhill, Lindsay J.; Dols, W. Stuart; Lee, Sharon K.; Fabian, M. Patricia; Levy, Jonathan I.</t>
        </is>
      </c>
      <c r="J1155" t="inlineStr">
        <is>
          <t>JOURNAL OF EXPOSURE SCIENCE AND ENVIRONMENTAL EPIDEMIOLOGY</t>
        </is>
      </c>
      <c r="M1155" t="inlineStr">
        <is>
          <t>English</t>
        </is>
      </c>
      <c r="N1155" t="inlineStr">
        <is>
          <t>Article</t>
        </is>
      </c>
      <c r="T1155" t="inlineStr">
        <is>
          <t>Quantifying the impact of housing interventions on indoor air quality and energy consumption using coupled simulation models</t>
        </is>
      </c>
      <c r="U1155" t="inlineStr">
        <is>
          <t>Indoor air quality; Energy; Building simulation; Multifamily housing; PM2; 5</t>
        </is>
      </c>
      <c r="V1155" t="inlineStr">
        <is>
          <t>PARTICULATE MATTER; BUILDING ENERGY; VENTILATION; EXPOSURE; HEALTH; HOMES; PM2.5; PERFORMANCE; FILTRATION; RETROFIT</t>
        </is>
      </c>
      <c r="W1155" t="inlineStr">
        <is>
          <t>While residential energy and ventilation standards aim to improve the energy performance and indoor air quality (IAQ) of homes, their combined impact across diverse residential activities and housing environments has not been well-established. This study demonstrates the insights that a recently-developed, freely-available coupled IAQ-energy modeling platform can provide regarding the energy and IAQ trade-offs of weatherization (i.e., sealing and insulation) and ventilation retrofits in multifamily housing across varied indoor occupant activity and mechanical ventilation scenarios in Boston, MA. Overall, it was found that combined weatherization and improved ventilation recommended by design standards could lead to both energy savings and IAQ-related benefits; however, ventilation standards may not be sufficient to protect against IAQ disbenefits for residents exposed to strong indoor sources (e.g., heavy cooking or smoking) and could lead to net increases in energy costs (e.g., due to the addition of continuous outdoor air ventilation). The modeling platform employed in this study is flexible and can be applied to a wide range of building typologies, retrofits, climates, and indoor occupant activities; therefore, it stands as a valuable tool for identifying cost-effective interventions that meet both energy efficiency and ventilation standards and improve IAQ across diverse housing populations.</t>
        </is>
      </c>
      <c r="X1155" t="inlineStr">
        <is>
          <t>[Underhill, Lindsay J.; Lee, Sharon K.; Fabian, M. Patricia; Levy, Jonathan I.] Boston Univ, Sch Publ Hlth, Dept Environm Hlth, 715 Albany St, Boston, MA 02118 USA; [Dols, W. Stuart] NIST, Engn Lab, 100 Bur Dr, Gaithersburg, MD 20899 USA</t>
        </is>
      </c>
      <c r="Y1155" t="inlineStr">
        <is>
          <t>Boston University; National Institute of Standards &amp; Technology (NIST) - USA</t>
        </is>
      </c>
      <c r="Z1155" t="inlineStr">
        <is>
          <t>Underhill, LJ (corresponding author), Boston Univ, Sch Publ Hlth, Dept Environm Hlth, 715 Albany St, Boston, MA 02118 USA.</t>
        </is>
      </c>
      <c r="AA1155" t="inlineStr">
        <is>
          <t>lju@bu.edu</t>
        </is>
      </c>
      <c r="AB1155" t="inlineStr">
        <is>
          <t>Levy, Jon/B-4542-2011</t>
        </is>
      </c>
      <c r="AC1155" t="inlineStr">
        <is>
          <t>Levy, Jon/0000-0002-1116-4006</t>
        </is>
      </c>
      <c r="AD1155" t="inlineStr">
        <is>
          <t>Boston University Initiative on Cities; National Institute of Environmental Health Sciences [T32 ES014562, R01ES027816]; United States Department of Housing and Urban Development [MAHHU0008-12]</t>
        </is>
      </c>
      <c r="AE1155" t="inlineStr">
        <is>
          <t>Boston University Initiative on Cities; National Institute of Environmental Health Sciences(United States Department of Health &amp; Human ServicesNational Institutes of Health (NIH) - USANIH National Institute of Environmental Health Sciences (NIEHS)); United States Department of Housing and Urban Development</t>
        </is>
      </c>
      <c r="AF1155" t="inlineStr">
        <is>
          <t>This research was supported in part by an Early Stage Urban Research Award from the Boston University Initiative on Cities and grants T32 ES014562 and R01ES027816 from the National Institute of Environmental Health Sciences and MAHHU0008-12 from United States Department of Housing and Urban Development. Opinions, findings, conclusions, and recommendations expressed in this material are those of the authors and do not necessarily reflect the views of sponsor organizations.</t>
        </is>
      </c>
      <c r="AH1155" t="n">
        <v>65</v>
      </c>
      <c r="AI1155" t="n">
        <v>18</v>
      </c>
      <c r="AJ1155" t="n">
        <v>18</v>
      </c>
      <c r="AK1155" t="n">
        <v>1</v>
      </c>
      <c r="AL1155" t="n">
        <v>28</v>
      </c>
      <c r="AM1155" t="inlineStr">
        <is>
          <t>NATURE PUBLISHING GROUP</t>
        </is>
      </c>
      <c r="AN1155" t="inlineStr">
        <is>
          <t>NEW YORK</t>
        </is>
      </c>
      <c r="AO1155" t="inlineStr">
        <is>
          <t>75 VARICK ST, 9TH FLR, NEW YORK, NY 10013-1917 USA</t>
        </is>
      </c>
      <c r="AP1155" t="inlineStr">
        <is>
          <t>1559-0631</t>
        </is>
      </c>
      <c r="AQ1155" t="inlineStr">
        <is>
          <t>1559-064X</t>
        </is>
      </c>
      <c r="AS1155" t="inlineStr">
        <is>
          <t>J EXPO SCI ENV EPID</t>
        </is>
      </c>
      <c r="AT1155" t="inlineStr">
        <is>
          <t>J. Expo. Sci. Environ. Epidemiol.</t>
        </is>
      </c>
      <c r="AU1155" t="inlineStr">
        <is>
          <t>MAY</t>
        </is>
      </c>
      <c r="AV1155" t="n">
        <v>2020</v>
      </c>
      <c r="AW1155" t="n">
        <v>30</v>
      </c>
      <c r="AX1155" t="n">
        <v>3</v>
      </c>
      <c r="BC1155" t="n">
        <v>436</v>
      </c>
      <c r="BD1155" t="n">
        <v>447</v>
      </c>
      <c r="BF1155" t="inlineStr">
        <is>
          <t>10.1038/s41370-019-0197-3</t>
        </is>
      </c>
      <c r="BG1155">
        <f>HYPERLINK("http://dx.doi.org/10.1038/s41370-019-0197-3","http://dx.doi.org/10.1038/s41370-019-0197-3")</f>
        <v/>
      </c>
      <c r="BI1155" t="inlineStr">
        <is>
          <t>JAN 2020</t>
        </is>
      </c>
      <c r="BJ1155" t="n">
        <v>12</v>
      </c>
      <c r="BK1155" t="inlineStr">
        <is>
          <t>Environmental Sciences; Public, Environmental &amp; Occupational Health; Toxicology</t>
        </is>
      </c>
      <c r="BL1155" t="inlineStr">
        <is>
          <t>Science Citation Index Expanded (SCI-EXPANDED)</t>
        </is>
      </c>
      <c r="BM1155" t="inlineStr">
        <is>
          <t>Environmental Sciences &amp; Ecology; Public, Environmental &amp; Occupational Health; Toxicology</t>
        </is>
      </c>
      <c r="BN1155" t="inlineStr">
        <is>
          <t>LG6SZ</t>
        </is>
      </c>
      <c r="BO1155" t="n">
        <v>31959901</v>
      </c>
      <c r="BP1155" t="inlineStr">
        <is>
          <t>hybrid, Green Accepted</t>
        </is>
      </c>
      <c r="BS1155" t="inlineStr">
        <is>
          <t>2023-10-26</t>
        </is>
      </c>
      <c r="BT1155" t="inlineStr">
        <is>
          <t>WOS:000508320700002</t>
        </is>
      </c>
      <c r="BU1155">
        <f>HYPERLINK("https%3A%2F%2Fwww.webofscience.com%2Fwos%2Fwoscc%2Ffull-record%2FWOS:000508320700002","View Full Record in Web of Science")</f>
        <v/>
      </c>
    </row>
    <row r="1156">
      <c r="A1156" t="inlineStr">
        <is>
          <t>J</t>
        </is>
      </c>
      <c r="B1156" t="inlineStr">
        <is>
          <t>Ory, MG; Lee, S; Han, G; Towne, SD; Quinn, C; Neher, T; Stevens, A; Smith, ML</t>
        </is>
      </c>
      <c r="F1156" t="inlineStr">
        <is>
          <t>Ory, Marcia G.; Lee, Shinduk; Han, Gang; Towne, Samuel D., Jr.; Quinn, Cindy; Neher, Taylor; Stevens, Alan; Smith, Matthew Lee</t>
        </is>
      </c>
      <c r="J1156" t="inlineStr">
        <is>
          <t>INTERNATIONAL JOURNAL OF ENVIRONMENTAL RESEARCH AND PUBLIC HEALTH</t>
        </is>
      </c>
      <c r="M1156" t="inlineStr">
        <is>
          <t>English</t>
        </is>
      </c>
      <c r="N1156" t="inlineStr">
        <is>
          <t>Article</t>
        </is>
      </c>
      <c r="T1156" t="inlineStr">
        <is>
          <t>Effectiveness of a Lifestyle Intervention on Social Support, Self-Efficacy, and Physical Activity among Older Adults: Evaluation of Texercise Select</t>
        </is>
      </c>
      <c r="U1156" t="inlineStr">
        <is>
          <t>lifestyle intervention; evidence-based programs; healthy aging; physical activity; program evaluation</t>
        </is>
      </c>
      <c r="V1156" t="inlineStr">
        <is>
          <t>ACTIVITY PROGRAMS; EXERCISE; SUSTAINABILITY; PARTICIPATION; BEHAVIOR; LESSONS; QUALITY; WALKING; IMPACT; TOOL</t>
        </is>
      </c>
      <c r="W1156" t="inlineStr">
        <is>
          <t>Despite the well-recognized benefits of physical activity across the life course, older adults are more inactive than other age groups. The current study examines the effects of Texercise Select participation on self-reported sedentary, light, moderate, and vigorous physical activity. Secondarily, this study examined intervention effects on two potential facilitators of physical activity: (1) self-efficacy for being more physically active and (2) social support received for physical activity. This study used a non-equivalent group design with self-reported surveys administered at baseline, three-month (immediate post for cases) and six-month follow-ups for the intervention (n = 163) and a comparison group (n = 267). Multivariable mixed model analyses were conducted controlling for age, sex, race, ethnicity, education, comorbid conditions, and site. Among the intervention group, the program had significant immediate effects on most primary outcomes (p &lt; 0.05) at three months. Furthermore, significant improvements were observed for all physical activity intensity levels at six months (p &lt; 0.05). The reduction in sedentary behavior and increases in all physical activity intensity levels were significantly greater from baseline to three-month and baseline to six-month follow-ups among intervention group participants relative to those in the comparison group. This study confirms the effectiveness of Texercise Select to reduce sedentary behavior and improve physicality, supporting the intervention's robustness as a scalable and sustainable evidence-based program. It also counters negative stereotypes that older adults are not interested in attending multi-modal lifestyle intervention programs nor able to make health behavior changes that can improve health and overall functioning.</t>
        </is>
      </c>
      <c r="X1156" t="inlineStr">
        <is>
          <t>[Ory, Marcia G.; Lee, Shinduk; Towne, Samuel D., Jr.; Quinn, Cindy; Smith, Matthew Lee] Texas A&amp;M Univ, Ctr Populat Hlth &amp; Aging, College Stn, TX 77843 USA; [Ory, Marcia G.; Smith, Matthew Lee] Texas A&amp;M Univ, Sch Publ Hlth, Dept Environm &amp; Occupat Hlth, College Stn, TX 77843 USA; [Lee, Shinduk; Towne, Samuel D., Jr.] Texas A&amp;M Univ, Sch Publ Hlth, Dept Hlth Promot &amp; Community Hlth Sci, College Stn, TX 77843 USA; [Han, Gang] Texas A&amp;M Univ, Sch Publ Hlth, Dept Epidemiol &amp; Biostat, College Stn, TX 77843 USA; [Towne, Samuel D., Jr.] Texas A&amp;M Univ, Southwest Rural Hlth Res Ctr, College Stn, TX 77843 USA; [Neher, Taylor] Univ Arkansas, Coll Publ Hlth, Little Rock, AR 72205 USA; [Stevens, Alan] Baylor Scott &amp; White Hlth, Ctr Appl Hlth Res, Temple, TX 76502 USA; [Smith, Matthew Lee] Univ Georgia, Coll Publ Hlth, Dept Hlth Promot &amp; Behav, Athens, GA 30602 USA</t>
        </is>
      </c>
      <c r="Y1156" t="inlineStr">
        <is>
          <t>Texas A&amp;M University System; Texas A&amp;M University College Station; Texas A&amp;M University System; Texas A&amp;M University College Station; Texas A&amp;M Health Science Center; Texas A&amp;M University System; Texas A&amp;M University College Station; Texas A&amp;M Health Science Center; Texas A&amp;M University System; Texas A&amp;M University College Station; Texas A&amp;M Health Science Center; Texas A&amp;M University System; Texas A&amp;M University College Station; University of Arkansas System; University of Arkansas Fayetteville; University of Arkansas Little Rock; Baylor Health Care System; University System of Georgia; University of Georgia</t>
        </is>
      </c>
      <c r="Z1156" t="inlineStr">
        <is>
          <t>Ory, MG (corresponding author), Texas A&amp;M Univ, Ctr Populat Hlth &amp; Aging, College Stn, TX 77843 USA.;Ory, MG (corresponding author), Texas A&amp;M Univ, Sch Publ Hlth, Dept Environm &amp; Occupat Hlth, College Stn, TX 77843 USA.</t>
        </is>
      </c>
      <c r="AA1156" t="inlineStr">
        <is>
          <t>mory@sph.tamhsc.edu; sduklee@sph.tamhsc.edu; ghan@sph.tamhsc.edu; towne@sph.tamhsc.edu; quinn@sph.tamhsc.edu; tlneher@uams.edu; Alan.Stevens@BSWHealth.org; matthew.smith@tamhsc.edu</t>
        </is>
      </c>
      <c r="AB1156" t="inlineStr">
        <is>
          <t>Ory, Marcia/L-4025-2019; Towne, Samuel/AAE-1992-2021</t>
        </is>
      </c>
      <c r="AC1156" t="inlineStr">
        <is>
          <t>Stevens, Alan/0000-0003-2247-1228; Han, Gang/0000-0002-5781-5169</t>
        </is>
      </c>
      <c r="AD1156" t="inlineStr">
        <is>
          <t>Texas Health and Human Services Commission</t>
        </is>
      </c>
      <c r="AE1156" t="inlineStr">
        <is>
          <t>Texas Health and Human Services Commission</t>
        </is>
      </c>
      <c r="AF1156" t="inlineStr">
        <is>
          <t>The authors recognize the Texas Health and Human Services Commission, for supporting the creation and evaluation of Texercise Select, and the Texas A&amp;M School of Public Health for helping to standardize and implement Texercise Select. We thank the delivery sites, class facilitators and participants for their role in the study.</t>
        </is>
      </c>
      <c r="AH1156" t="n">
        <v>39</v>
      </c>
      <c r="AI1156" t="n">
        <v>16</v>
      </c>
      <c r="AJ1156" t="n">
        <v>18</v>
      </c>
      <c r="AK1156" t="n">
        <v>3</v>
      </c>
      <c r="AL1156" t="n">
        <v>26</v>
      </c>
      <c r="AM1156" t="inlineStr">
        <is>
          <t>MDPI</t>
        </is>
      </c>
      <c r="AN1156" t="inlineStr">
        <is>
          <t>BASEL</t>
        </is>
      </c>
      <c r="AO1156" t="inlineStr">
        <is>
          <t>ST ALBAN-ANLAGE 66, CH-4052 BASEL, SWITZERLAND</t>
        </is>
      </c>
      <c r="AQ1156" t="inlineStr">
        <is>
          <t>1660-4601</t>
        </is>
      </c>
      <c r="AS1156" t="inlineStr">
        <is>
          <t>INT J ENV RES PUB HE</t>
        </is>
      </c>
      <c r="AT1156" t="inlineStr">
        <is>
          <t>Int. J. Environ. Res. Public Health</t>
        </is>
      </c>
      <c r="AU1156" t="inlineStr">
        <is>
          <t>FEB</t>
        </is>
      </c>
      <c r="AV1156" t="n">
        <v>2018</v>
      </c>
      <c r="AW1156" t="n">
        <v>15</v>
      </c>
      <c r="AX1156" t="n">
        <v>2</v>
      </c>
      <c r="BE1156" t="n">
        <v>234</v>
      </c>
      <c r="BF1156" t="inlineStr">
        <is>
          <t>10.3390/ijerph15020234</t>
        </is>
      </c>
      <c r="BG1156">
        <f>HYPERLINK("http://dx.doi.org/10.3390/ijerph15020234","http://dx.doi.org/10.3390/ijerph15020234")</f>
        <v/>
      </c>
      <c r="BJ1156" t="n">
        <v>19</v>
      </c>
      <c r="BK1156" t="inlineStr">
        <is>
          <t>Environmental Sciences; Public, Environmental &amp; Occupational Health</t>
        </is>
      </c>
      <c r="BL1156" t="inlineStr">
        <is>
          <t>Science Citation Index Expanded (SCI-EXPANDED); Social Science Citation Index (SSCI)</t>
        </is>
      </c>
      <c r="BM1156" t="inlineStr">
        <is>
          <t>Environmental Sciences &amp; Ecology; Public, Environmental &amp; Occupational Health</t>
        </is>
      </c>
      <c r="BN1156" t="inlineStr">
        <is>
          <t>FY3LM</t>
        </is>
      </c>
      <c r="BO1156" t="n">
        <v>29385779</v>
      </c>
      <c r="BP1156" t="inlineStr">
        <is>
          <t>Green Published, gold, Green Submitted</t>
        </is>
      </c>
      <c r="BS1156" t="inlineStr">
        <is>
          <t>2023-10-26</t>
        </is>
      </c>
      <c r="BT1156" t="inlineStr">
        <is>
          <t>WOS:000426721400059</t>
        </is>
      </c>
      <c r="BU1156">
        <f>HYPERLINK("https%3A%2F%2Fwww.webofscience.com%2Fwos%2Fwoscc%2Ffull-record%2FWOS:000426721400059","View Full Record in Web of Science")</f>
        <v/>
      </c>
    </row>
    <row r="1157">
      <c r="A1157" t="inlineStr">
        <is>
          <t>J</t>
        </is>
      </c>
      <c r="B1157" t="inlineStr">
        <is>
          <t>Jezewski, E; Miller, A; Eusebio, M; Potter, J</t>
        </is>
      </c>
      <c r="F1157" t="inlineStr">
        <is>
          <t>Jezewski, Emily; Miller, Abigale; Eusebio, MaryAnn; Potter, Jane</t>
        </is>
      </c>
      <c r="J1157" t="inlineStr">
        <is>
          <t>INTERNATIONAL JOURNAL OF ENVIRONMENTAL RESEARCH AND PUBLIC HEALTH</t>
        </is>
      </c>
      <c r="M1157" t="inlineStr">
        <is>
          <t>English</t>
        </is>
      </c>
      <c r="N1157" t="inlineStr">
        <is>
          <t>Article</t>
        </is>
      </c>
      <c r="T1157" t="inlineStr">
        <is>
          <t>Targeted Telehealth Education Increases Interest in Using Telehealth among a Diverse Group of Low-Income Older Adults</t>
        </is>
      </c>
      <c r="U1157" t="inlineStr">
        <is>
          <t>telehealth; outreach; health promotion; older adults; COVID-19</t>
        </is>
      </c>
      <c r="V1157" t="inlineStr">
        <is>
          <t>SOCIAL DETERMINANTS; HEALTH; DISPARITIES</t>
        </is>
      </c>
      <c r="W1157" t="inlineStr">
        <is>
          <t>Telehealth allows older adults to take control over their health and preventive care; however, they are less likely to use telehealth. Minority older adults use telehealth services less than their White counterparts. During COVID-19, the U.S. Medicare system allowed for telehealth delivery of Annual Wellness Visits, which are known to improve use of preventive services. To increase telehealth use, we targeted vulnerable, low-income, minority older adults and provided education to improve knowledge of and identify barriers to telehealth use. Ultimately, this could serve as a means of improving health and preventive care services. Participants resided at independent living facilities, low-income housing, and elders of the Native American coalition; N = 257. Participants received written education materials; a subset attended a 20-min presentation. In this quasi-experimental study, participants completed a pre-post survey. Results were analyzed using Chi-Squared and Fisher's Exact tests. Participants included 54 'in-person' and 203 'at-home' learners. Most were female (79%), single/widowed (51%), and white (65%). At baseline, 39% were familiar with telehealth; following education 73% stated understanding on accessing telehealth. Nearly 40% of participants said they would use telehealth in the future; a larger proportion of in-person (73%) learners were willing to use telehealth than at-home learners (41%) (p = 0.001). Divorced older adults and Blacks voiced greater likelihoods of using telehealth than their married/widowed and White counterparts, respectively (X2(3, N = 195) = 9.693, p = 0.02), (p = 0.01). This education program demonstrates an increase likelihood in health promotion among older adults by increasing confidence in accessing and future use of telehealth; therefore, we achieved our aim of promoting telehealth use and improving health promotion.</t>
        </is>
      </c>
      <c r="X1157" t="inlineStr">
        <is>
          <t>[Jezewski, Emily; Miller, Abigale] Univ Nebraska Med Ctr, Coll Med, Omaha, NE 68198 USA; [Eusebio, MaryAnn] Eastern Nebraska Off Aging, Omaha, NE 68137 USA; [Potter, Jane] Univ Nebraska Med Ctr, Dept Internal Med, Div Geriatr Gerontol &amp; Palliat Med, Omaha, NE 68198 USA</t>
        </is>
      </c>
      <c r="Y1157" t="inlineStr">
        <is>
          <t>University of Nebraska System; University of Nebraska Medical Center; University of Nebraska System; University of Nebraska Medical Center</t>
        </is>
      </c>
      <c r="Z1157" t="inlineStr">
        <is>
          <t>Jezewski, E (corresponding author), Univ Nebraska Med Ctr, Coll Med, Omaha, NE 68198 USA.</t>
        </is>
      </c>
      <c r="AA1157" t="inlineStr">
        <is>
          <t>emily.jezewski@unmc.edu</t>
        </is>
      </c>
      <c r="AC1157" t="inlineStr">
        <is>
          <t>Jezewski, Emily/0000-0002-7135-5365</t>
        </is>
      </c>
      <c r="AD1157" t="inlineStr">
        <is>
          <t>Health Resources and Services Administration (HRSA) of the U.S. Department of Health and Human Services (HHS)</t>
        </is>
      </c>
      <c r="AE1157" t="inlineStr">
        <is>
          <t>Health Resources and Services Administration (HRSA) of the U.S. Department of Health and Human Services (HHS)</t>
        </is>
      </c>
      <c r="AF1157" t="inlineStr">
        <is>
          <t>This project was supported by the Health Resources and Services Administration (HRSA) of the U.S. Department of Health and Human Services (HHS) as part of an award totaling $90,625 with 0% financed with nongovernmental sources. The contents are those of the author(s) and do not necessarily represent the official views of, nor an endorsement, by HRSA, HHS or the U.S. Government. Grant Number: T1MHP390775.</t>
        </is>
      </c>
      <c r="AH1157" t="n">
        <v>38</v>
      </c>
      <c r="AI1157" t="n">
        <v>1</v>
      </c>
      <c r="AJ1157" t="n">
        <v>1</v>
      </c>
      <c r="AK1157" t="n">
        <v>0</v>
      </c>
      <c r="AL1157" t="n">
        <v>2</v>
      </c>
      <c r="AM1157" t="inlineStr">
        <is>
          <t>MDPI</t>
        </is>
      </c>
      <c r="AN1157" t="inlineStr">
        <is>
          <t>BASEL</t>
        </is>
      </c>
      <c r="AO1157" t="inlineStr">
        <is>
          <t>ST ALBAN-ANLAGE 66, CH-4052 BASEL, SWITZERLAND</t>
        </is>
      </c>
      <c r="AQ1157" t="inlineStr">
        <is>
          <t>1660-4601</t>
        </is>
      </c>
      <c r="AS1157" t="inlineStr">
        <is>
          <t>INT J ENV RES PUB HE</t>
        </is>
      </c>
      <c r="AT1157" t="inlineStr">
        <is>
          <t>Int. J. Environ. Res. Public Health</t>
        </is>
      </c>
      <c r="AU1157" t="inlineStr">
        <is>
          <t>OCT</t>
        </is>
      </c>
      <c r="AV1157" t="n">
        <v>2022</v>
      </c>
      <c r="AW1157" t="n">
        <v>19</v>
      </c>
      <c r="AX1157" t="n">
        <v>20</v>
      </c>
      <c r="BE1157" t="n">
        <v>13349</v>
      </c>
      <c r="BF1157" t="inlineStr">
        <is>
          <t>10.3390/ijerph192013349</t>
        </is>
      </c>
      <c r="BG1157">
        <f>HYPERLINK("http://dx.doi.org/10.3390/ijerph192013349","http://dx.doi.org/10.3390/ijerph192013349")</f>
        <v/>
      </c>
      <c r="BJ1157" t="n">
        <v>9</v>
      </c>
      <c r="BK1157" t="inlineStr">
        <is>
          <t>Environmental Sciences; Public, Environmental &amp; Occupational Health</t>
        </is>
      </c>
      <c r="BL1157" t="inlineStr">
        <is>
          <t>Science Citation Index Expanded (SCI-EXPANDED); Social Science Citation Index (SSCI)</t>
        </is>
      </c>
      <c r="BM1157" t="inlineStr">
        <is>
          <t>Environmental Sciences &amp; Ecology; Public, Environmental &amp; Occupational Health</t>
        </is>
      </c>
      <c r="BN1157" t="inlineStr">
        <is>
          <t>5S2NQ</t>
        </is>
      </c>
      <c r="BO1157" t="n">
        <v>36293929</v>
      </c>
      <c r="BP1157" t="inlineStr">
        <is>
          <t>Green Published, gold</t>
        </is>
      </c>
      <c r="BS1157" t="inlineStr">
        <is>
          <t>2023-10-26</t>
        </is>
      </c>
      <c r="BT1157" t="inlineStr">
        <is>
          <t>WOS:000875033800001</t>
        </is>
      </c>
      <c r="BU1157">
        <f>HYPERLINK("https%3A%2F%2Fwww.webofscience.com%2Fwos%2Fwoscc%2Ffull-record%2FWOS:000875033800001","View Full Record in Web of Science")</f>
        <v/>
      </c>
    </row>
    <row r="1158">
      <c r="A1158" t="inlineStr">
        <is>
          <t>J</t>
        </is>
      </c>
      <c r="B1158" t="inlineStr">
        <is>
          <t>Mhasawade, V; Elghafari, A; Duncan, DT; Chunara, R</t>
        </is>
      </c>
      <c r="F1158" t="inlineStr">
        <is>
          <t>Mhasawade, Vishwali; Elghafari, Anas; Duncan, Dustin T.; Chunara, Rumi</t>
        </is>
      </c>
      <c r="J1158" t="inlineStr">
        <is>
          <t>INTERNATIONAL JOURNAL OF ENVIRONMENTAL RESEARCH AND PUBLIC HEALTH</t>
        </is>
      </c>
      <c r="M1158" t="inlineStr">
        <is>
          <t>English</t>
        </is>
      </c>
      <c r="N1158" t="inlineStr">
        <is>
          <t>Article</t>
        </is>
      </c>
      <c r="T1158" t="inlineStr">
        <is>
          <t>Role of the Built and Online Social Environments on Expression of Dining on Instagram</t>
        </is>
      </c>
      <c r="U1158" t="inlineStr">
        <is>
          <t>Instagram; built environment; social media network; expression of dining</t>
        </is>
      </c>
      <c r="V1158" t="inlineStr">
        <is>
          <t>OBESITY</t>
        </is>
      </c>
      <c r="W1158" t="inlineStr">
        <is>
          <t>Online social communities are becoming windows for learning more about the health of populations, through information about our health-related behaviors and outcomes from daily life. At the same time, just as public health data and theory has shown that aspects of the built environment can affect our health-related behaviors and outcomes, it is also possible that online social environments (e.g., posts and other attributes of our online social networks) can also shape facets of our life. Given the important role of the online environment in public health research and implications, factors which contribute to the generation of such data must be well understood. Here we study the role of the built and online social environments in the expression of dining on Instagram in Abu Dhabi; a ubiquitous social media platform, city with a vibrant dining culture, and a topic (food posts) which has been studied in relation to public health outcomes. Our study uses available data on user Instagram profiles and their Instagram networks, as well as the local food environment measured through the dining types (e.g., casual dining restaurants, food court restaurants, lounges etc.) by neighborhood. We find evidence that factors of the online social environment (profiles that post about dining versus profiles that do not post about dining) have different influences on the relationship between a user's built environment and the social dining expression, with effects also varying by dining types in the environment and time of day. We examine the mechanism of the relationships via moderation and mediation analyses. Overall, this study provides evidence that the interplay of online and built environments depend on attributes of said environments and can also vary by time of day. We discuss implications of this synergy for precisely-targeting public health interventions, as well as on using online data for public health research.</t>
        </is>
      </c>
      <c r="X1158" t="inlineStr">
        <is>
          <t>[Mhasawade, Vishwali; Elghafari, Anas; Chunara, Rumi] NYU, Dept Comp Sci &amp; Engn, Tandon Sch Engn, Brooklyn, NY 11201 USA; [Duncan, Dustin T.] Columbia Univ, Dept Epidemiol, Mailman Sch Publ Hlth, New York, NY 10032 USA; [Chunara, Rumi] NYU, Dept Biostat, Coll Global Publ Hlth, 550 1St Ave, New York, NY 10003 USA</t>
        </is>
      </c>
      <c r="Y1158" t="inlineStr">
        <is>
          <t>New York University; New York University Tandon School of Engineering; Columbia University; New York University</t>
        </is>
      </c>
      <c r="Z1158" t="inlineStr">
        <is>
          <t>Chunara, R (corresponding author), NYU, Dept Comp Sci &amp; Engn, Tandon Sch Engn, Brooklyn, NY 11201 USA.;Chunara, R (corresponding author), NYU, Dept Biostat, Coll Global Publ Hlth, 550 1St Ave, New York, NY 10003 USA.</t>
        </is>
      </c>
      <c r="AA1158" t="inlineStr">
        <is>
          <t>vishwalim@nyu.edu; anas.elghafari@nyu.edu; dd3018@cumc.columbia.edu; rumi.chunara@nyu.edu</t>
        </is>
      </c>
      <c r="AC1158" t="inlineStr">
        <is>
          <t>Chunara, Rumi/0000-0002-5346-7259</t>
        </is>
      </c>
      <c r="AD1158" t="inlineStr">
        <is>
          <t>NYU Abu Dhabi Affiliated Faculty Grant (Dustin Duncan, Principal Investigator) [1845487]; National Science Foundation</t>
        </is>
      </c>
      <c r="AE1158" t="inlineStr">
        <is>
          <t>NYU Abu Dhabi Affiliated Faculty Grant (Dustin Duncan, Principal Investigator); National Science Foundation(National Science Foundation (NSF))</t>
        </is>
      </c>
      <c r="AF1158" t="inlineStr">
        <is>
          <t>This research was funded in part by an NYU Abu Dhabi Affiliated Faculty Grant (Dustin Duncan, Principal Investigator), and by grant 1845487 from the National Science Foundation.</t>
        </is>
      </c>
      <c r="AH1158" t="n">
        <v>37</v>
      </c>
      <c r="AI1158" t="n">
        <v>4</v>
      </c>
      <c r="AJ1158" t="n">
        <v>4</v>
      </c>
      <c r="AK1158" t="n">
        <v>1</v>
      </c>
      <c r="AL1158" t="n">
        <v>11</v>
      </c>
      <c r="AM1158" t="inlineStr">
        <is>
          <t>MDPI</t>
        </is>
      </c>
      <c r="AN1158" t="inlineStr">
        <is>
          <t>BASEL</t>
        </is>
      </c>
      <c r="AO1158" t="inlineStr">
        <is>
          <t>ST ALBAN-ANLAGE 66, CH-4052 BASEL, SWITZERLAND</t>
        </is>
      </c>
      <c r="AQ1158" t="inlineStr">
        <is>
          <t>1660-4601</t>
        </is>
      </c>
      <c r="AS1158" t="inlineStr">
        <is>
          <t>INT J ENV RES PUB HE</t>
        </is>
      </c>
      <c r="AT1158" t="inlineStr">
        <is>
          <t>Int. J. Environ. Res. Public Health</t>
        </is>
      </c>
      <c r="AU1158" t="inlineStr">
        <is>
          <t>FEB 1</t>
        </is>
      </c>
      <c r="AV1158" t="n">
        <v>2020</v>
      </c>
      <c r="AW1158" t="n">
        <v>17</v>
      </c>
      <c r="AX1158" t="n">
        <v>3</v>
      </c>
      <c r="BE1158" t="n">
        <v>735</v>
      </c>
      <c r="BF1158" t="inlineStr">
        <is>
          <t>10.3390/ijerph17030735</t>
        </is>
      </c>
      <c r="BG1158">
        <f>HYPERLINK("http://dx.doi.org/10.3390/ijerph17030735","http://dx.doi.org/10.3390/ijerph17030735")</f>
        <v/>
      </c>
      <c r="BJ1158" t="n">
        <v>20</v>
      </c>
      <c r="BK1158" t="inlineStr">
        <is>
          <t>Environmental Sciences; Public, Environmental &amp; Occupational Health</t>
        </is>
      </c>
      <c r="BL1158" t="inlineStr">
        <is>
          <t>Science Citation Index Expanded (SCI-EXPANDED); Social Science Citation Index (SSCI)</t>
        </is>
      </c>
      <c r="BM1158" t="inlineStr">
        <is>
          <t>Environmental Sciences &amp; Ecology; Public, Environmental &amp; Occupational Health</t>
        </is>
      </c>
      <c r="BN1158" t="inlineStr">
        <is>
          <t>KR7GF</t>
        </is>
      </c>
      <c r="BO1158" t="n">
        <v>31979291</v>
      </c>
      <c r="BP1158" t="inlineStr">
        <is>
          <t>Green Published, gold</t>
        </is>
      </c>
      <c r="BS1158" t="inlineStr">
        <is>
          <t>2023-10-26</t>
        </is>
      </c>
      <c r="BT1158" t="inlineStr">
        <is>
          <t>WOS:000517783300060</t>
        </is>
      </c>
      <c r="BU1158">
        <f>HYPERLINK("https%3A%2F%2Fwww.webofscience.com%2Fwos%2Fwoscc%2Ffull-record%2FWOS:000517783300060","View Full Record in Web of Science")</f>
        <v/>
      </c>
    </row>
    <row r="1159">
      <c r="A1159" t="inlineStr">
        <is>
          <t>J</t>
        </is>
      </c>
      <c r="B1159" t="inlineStr">
        <is>
          <t>Rautiainen, P; Hyttinen, M; Ruokolainen, J; Saarinen, P; Timonen, J; Pasanen, P</t>
        </is>
      </c>
      <c r="F1159" t="inlineStr">
        <is>
          <t>Rautiainen, Paavo; Hyttinen, Marko; Ruokolainen, Joonas; Saarinen, Pekka; Timonen, Jussi; Pasanen, Pertti</t>
        </is>
      </c>
      <c r="J1159" t="inlineStr">
        <is>
          <t>INTERNATIONAL JOURNAL OF ENVIRONMENTAL HEALTH RESEARCH</t>
        </is>
      </c>
      <c r="M1159" t="inlineStr">
        <is>
          <t>English</t>
        </is>
      </c>
      <c r="N1159" t="inlineStr">
        <is>
          <t>Article</t>
        </is>
      </c>
      <c r="T1159" t="inlineStr">
        <is>
          <t>Indoor air-related symptoms and volatile organic compounds in materials and air in the hospital environment</t>
        </is>
      </c>
      <c r="U1159" t="inlineStr">
        <is>
          <t>HVAC environ; material emissions; indoor air pollution; questionnaire; VOC</t>
        </is>
      </c>
      <c r="V1159" t="inlineStr">
        <is>
          <t>SICK BUILDING SYNDROME; RESIDENTIAL BUILDINGS; REFERENCE VALUES; VOC EMISSIONS; QUALITY; PVC; PRODUCTS; HUMIDITY; AMMONIA; IMPACT</t>
        </is>
      </c>
      <c r="W1159" t="inlineStr">
        <is>
          <t>In this case study, hospital workers did suffer from symptoms related to the poor indoor air quality. To investigate reasons for symptoms MM40-survey and house inspection methods were performed. The study consisted of 49 operating rooms and 470 employees. MM-40 survey revealed that over 40% of the staff suffered from skin reactions, over 50% had upper respiratory tract symptoms and 25% suffered headaches. No reason for the staff's symptom could be found in the structural studies of workplaces. The mean air exchange rate of the rooms was 5.51/h. In total 61 materials and 49 indoor air samples were taken. The most frequently found compounds in the material samples were 2-ethyl-1-hexanol and aliphatic hydrocarbons. VOC emissions were high in some of the material samples and they presumably were the one reason for the workers' symptoms observed in some in of the rooms. However, indoor air VOC concentrations were low in most of the cases. According to the linear regression model emissions from flooring material couldn't explain the indoor air concentration of the VOCs. One reason for that was the high ventilation rates of the rooms, which presumably kept VOC levels in indoors low. In addition, VOC concentrations indoors were strongly related to the ongoing healthcare activities in the hospital.</t>
        </is>
      </c>
      <c r="X1159" t="inlineStr">
        <is>
          <t>[Rautiainen, Paavo] Kuopio Univ Hosp, Kuopio, Finland; [Hyttinen, Marko; Ruokolainen, Joonas; Pasanen, Pertti] Univ Eastern Finland, Dept Environm &amp; Biol Sci, Kuopio, Finland; [Saarinen, Pekka] Turku Univ Appl Sci, Inst Occupat Hlth, Turku, Finland; [Timonen, Jussi] Turku Univ Appl Sci, Mittavat Oy, Pielavesi, Finland</t>
        </is>
      </c>
      <c r="Y1159" t="inlineStr">
        <is>
          <t>Kuopio University Hospital; University of Eastern Finland; University of Eastern Finland; University of Turku; University of Turku</t>
        </is>
      </c>
      <c r="Z1159" t="inlineStr">
        <is>
          <t>Hyttinen, M (corresponding author), Univ Eastern Finland, Dept Environm &amp; Biol Sci, Kuopio, Finland.</t>
        </is>
      </c>
      <c r="AA1159" t="inlineStr">
        <is>
          <t>marko.hyttinen@uef.fi</t>
        </is>
      </c>
      <c r="AC1159" t="inlineStr">
        <is>
          <t>Ruokolainen, Joonas/0000-0001-8618-4020; Hyttinen, Marko/0000-0002-9559-095X; Pasanen, Pertti/0000-0002-1301-8539; Saarinen, Pekka/0000-0003-0152-7237</t>
        </is>
      </c>
      <c r="AD1159" t="inlineStr">
        <is>
          <t>Finnish Work Environment Fund [115116]; Kuopio University Hospital</t>
        </is>
      </c>
      <c r="AE1159" t="inlineStr">
        <is>
          <t>Finnish Work Environment Fund; Kuopio University Hospital</t>
        </is>
      </c>
      <c r="AF1159" t="inlineStr">
        <is>
          <t>This work was supported by the Finnish Work Environment Fund ([115116], The impact of emission sources, ventilation, pressure ratios and the temperature differences in the concentration of VOC compounds, with the hospital environment) as well as from the Kuopio University Hospital.</t>
        </is>
      </c>
      <c r="AH1159" t="n">
        <v>48</v>
      </c>
      <c r="AI1159" t="n">
        <v>13</v>
      </c>
      <c r="AJ1159" t="n">
        <v>14</v>
      </c>
      <c r="AK1159" t="n">
        <v>2</v>
      </c>
      <c r="AL1159" t="n">
        <v>52</v>
      </c>
      <c r="AM1159" t="inlineStr">
        <is>
          <t>TAYLOR &amp; FRANCIS LTD</t>
        </is>
      </c>
      <c r="AN1159" t="inlineStr">
        <is>
          <t>ABINGDON</t>
        </is>
      </c>
      <c r="AO1159" t="inlineStr">
        <is>
          <t>2-4 PARK SQUARE, MILTON PARK, ABINGDON OR14 4RN, OXON, ENGLAND</t>
        </is>
      </c>
      <c r="AP1159" t="inlineStr">
        <is>
          <t>0960-3123</t>
        </is>
      </c>
      <c r="AQ1159" t="inlineStr">
        <is>
          <t>1369-1619</t>
        </is>
      </c>
      <c r="AS1159" t="inlineStr">
        <is>
          <t>INT J ENVIRON HEAL R</t>
        </is>
      </c>
      <c r="AT1159" t="inlineStr">
        <is>
          <t>Int. J. Environ. Health Res.</t>
        </is>
      </c>
      <c r="AU1159" t="inlineStr">
        <is>
          <t>SEP 3</t>
        </is>
      </c>
      <c r="AV1159" t="n">
        <v>2019</v>
      </c>
      <c r="AW1159" t="n">
        <v>29</v>
      </c>
      <c r="AX1159" t="n">
        <v>5</v>
      </c>
      <c r="BC1159" t="n">
        <v>479</v>
      </c>
      <c r="BD1159" t="n">
        <v>488</v>
      </c>
      <c r="BF1159" t="inlineStr">
        <is>
          <t>10.1080/09603123.2018.1550194</t>
        </is>
      </c>
      <c r="BG1159">
        <f>HYPERLINK("http://dx.doi.org/10.1080/09603123.2018.1550194","http://dx.doi.org/10.1080/09603123.2018.1550194")</f>
        <v/>
      </c>
      <c r="BJ1159" t="n">
        <v>10</v>
      </c>
      <c r="BK1159" t="inlineStr">
        <is>
          <t>Environmental Sciences; Public, Environmental &amp; Occupational Health</t>
        </is>
      </c>
      <c r="BL1159" t="inlineStr">
        <is>
          <t>Science Citation Index Expanded (SCI-EXPANDED)</t>
        </is>
      </c>
      <c r="BM1159" t="inlineStr">
        <is>
          <t>Environmental Sciences &amp; Ecology; Public, Environmental &amp; Occupational Health</t>
        </is>
      </c>
      <c r="BN1159" t="inlineStr">
        <is>
          <t>IM1VY</t>
        </is>
      </c>
      <c r="BO1159" t="n">
        <v>30474394</v>
      </c>
      <c r="BS1159" t="inlineStr">
        <is>
          <t>2023-10-26</t>
        </is>
      </c>
      <c r="BT1159" t="inlineStr">
        <is>
          <t>WOS:000477781000001</t>
        </is>
      </c>
      <c r="BU1159">
        <f>HYPERLINK("https%3A%2F%2Fwww.webofscience.com%2Fwos%2Fwoscc%2Ffull-record%2FWOS:000477781000001","View Full Record in Web of Science")</f>
        <v/>
      </c>
    </row>
    <row r="1160">
      <c r="A1160" t="inlineStr">
        <is>
          <t>J</t>
        </is>
      </c>
      <c r="B1160" t="inlineStr">
        <is>
          <t>Huang, Y; Zhang, YL; Deng, FF; Zhao, DQ; Wu, R</t>
        </is>
      </c>
      <c r="F1160" t="inlineStr">
        <is>
          <t>Huang, Ying; Zhang, Yongli; Deng, Feifan; Zhao, Daiqing; Wu, Rong</t>
        </is>
      </c>
      <c r="J1160" t="inlineStr">
        <is>
          <t>INTERNATIONAL JOURNAL OF ENVIRONMENTAL RESEARCH AND PUBLIC HEALTH</t>
        </is>
      </c>
      <c r="M1160" t="inlineStr">
        <is>
          <t>English</t>
        </is>
      </c>
      <c r="N1160" t="inlineStr">
        <is>
          <t>Review</t>
        </is>
      </c>
      <c r="T1160" t="inlineStr">
        <is>
          <t>Impacts of Built-Environment on Carbon Dioxide Emissions from Traffic: A Systematic Literature Review</t>
        </is>
      </c>
      <c r="U1160" t="inlineStr">
        <is>
          <t>built environment; traffic carbon emissions; influencing factors; knowledge map</t>
        </is>
      </c>
      <c r="V1160" t="inlineStr">
        <is>
          <t>GREENHOUSE-GAS EMISSIONS; PANEL-DATA ANALYSIS; LAND-USE CHANGES; CO2 EMISSIONS; URBAN FORM; ENERGY-CONSUMPTION; TRAVEL BEHAVIOR; AIR-QUALITY; SOCIOECONOMIC-FACTORS; RESIDENTIAL DENSITY</t>
        </is>
      </c>
      <c r="W1160" t="inlineStr">
        <is>
          <t>With the acceleration of global urbanization, the interaction between the urban built environment and transportation carbon emissions (TCE) has become an urgent problem and an area of intensive research. This paper presents a bibliometric and visual analysis of 1060 pieces of literature related to the built environment and TCE from 1998 to 2022. It explores the current research progress and future development trends in this field. The results show the following. (1) The number of papers published on the built environment and TCE during this period has shown a continuous increasing trend, and the periods of growth can be divided into three stages. (2) Research in this area has been carried out in many countries and regions around the world, involving different dimensions such as examinations at the city, provincial, and national levels. (3) Through an analysis involving keyword clustering, a keyword hotspot map, and a burst map, we have established that the research on TCE has exhibited step-by-step growth, and the carbon emissions from vehicles is the topic that has been considered over the longest period. (4) The impact of the built environment on TCE can be broadly divided into macro-functional and micromorphological factors.</t>
        </is>
      </c>
      <c r="X1160" t="inlineStr">
        <is>
          <t>[Huang, Ying] Univ Sci &amp; Technol China, Sch Engn Sci, Hefei 230026, Peoples R China; [Huang, Ying; Zhao, Daiqing] Chinese Acad Sci, Guangzhou Inst Energy Convers, Guangzhou 510640, Peoples R China; [Zhang, Yongli; Deng, Feifan; Wu, Rong] Guangdong Univ Technol, Sch Architecture &amp; Urban Planning, Guangzhou 510062, Peoples R China</t>
        </is>
      </c>
      <c r="Y1160" t="inlineStr">
        <is>
          <t>Chinese Academy of Sciences; University of Science &amp; Technology of China, CAS; Chinese Academy of Sciences; Guangzhou Institute of Energy Conversion, CAS; Guangdong University of Technology</t>
        </is>
      </c>
      <c r="Z1160" t="inlineStr">
        <is>
          <t>Wu, R (corresponding author), Guangdong Univ Technol, Sch Architecture &amp; Urban Planning, Guangzhou 510062, Peoples R China.</t>
        </is>
      </c>
      <c r="AA1160" t="inlineStr">
        <is>
          <t>wurong@gdut.edu.cn</t>
        </is>
      </c>
      <c r="AC1160" t="inlineStr">
        <is>
          <t>Huang, Ying/0000-0003-2756-9726; Wu, Rong/0000-0001-7816-2534</t>
        </is>
      </c>
      <c r="AD1160" t="inlineStr">
        <is>
          <t>Hong Kong Research Grant Collaborative Research Fund; National Natural Science Foundation of China; Science and Technology Projects of Zhejiang Province; Guangzhou Science and Technology Program; Guangdong Province Natural Science Fund; [C7041-21GF]; [41501184]; [42001147]; [2022C03168]; [202102020319]; [2022A1515011728]</t>
        </is>
      </c>
      <c r="AE1160" t="inlineStr">
        <is>
          <t>Hong Kong Research Grant Collaborative Research Fund; National Natural Science Foundation of China(National Natural Science Foundation of China (NSFC)); Science and Technology Projects of Zhejiang Province; Guangzhou Science and Technology Program; Guangdong Province Natural Science Fund(National Natural Science Foundation of Guangdong Province); ; ; ; ; ;</t>
        </is>
      </c>
      <c r="AF1160" t="inlineStr">
        <is>
          <t>This work was supported by the Hong Kong Research Grant Collaborative Research Fund (No. C7041-21GF), the National Natural Science Foundation of China (No. 41501184, No. 42001147), Science and Technology Projects of Zhejiang Province (No. 2022C03168), Guangzhou Science and Technology Program (No. 202102020319), and Guangdong Province Natural Science Fund (No. 2022A1515011728).</t>
        </is>
      </c>
      <c r="AH1160" t="n">
        <v>126</v>
      </c>
      <c r="AI1160" t="n">
        <v>1</v>
      </c>
      <c r="AJ1160" t="n">
        <v>1</v>
      </c>
      <c r="AK1160" t="n">
        <v>19</v>
      </c>
      <c r="AL1160" t="n">
        <v>44</v>
      </c>
      <c r="AM1160" t="inlineStr">
        <is>
          <t>MDPI</t>
        </is>
      </c>
      <c r="AN1160" t="inlineStr">
        <is>
          <t>BASEL</t>
        </is>
      </c>
      <c r="AO1160" t="inlineStr">
        <is>
          <t>ST ALBAN-ANLAGE 66, CH-4052 BASEL, SWITZERLAND</t>
        </is>
      </c>
      <c r="AQ1160" t="inlineStr">
        <is>
          <t>1660-4601</t>
        </is>
      </c>
      <c r="AS1160" t="inlineStr">
        <is>
          <t>INT J ENV RES PUB HE</t>
        </is>
      </c>
      <c r="AT1160" t="inlineStr">
        <is>
          <t>Int. J. Environ. Res. Public Health</t>
        </is>
      </c>
      <c r="AU1160" t="inlineStr">
        <is>
          <t>DEC</t>
        </is>
      </c>
      <c r="AV1160" t="n">
        <v>2022</v>
      </c>
      <c r="AW1160" t="n">
        <v>19</v>
      </c>
      <c r="AX1160" t="n">
        <v>24</v>
      </c>
      <c r="BE1160" t="n">
        <v>16898</v>
      </c>
      <c r="BF1160" t="inlineStr">
        <is>
          <t>10.3390/ijerph192416898</t>
        </is>
      </c>
      <c r="BG1160">
        <f>HYPERLINK("http://dx.doi.org/10.3390/ijerph192416898","http://dx.doi.org/10.3390/ijerph192416898")</f>
        <v/>
      </c>
      <c r="BJ1160" t="n">
        <v>17</v>
      </c>
      <c r="BK1160" t="inlineStr">
        <is>
          <t>Environmental Sciences; Public, Environmental &amp; Occupational Health</t>
        </is>
      </c>
      <c r="BL1160" t="inlineStr">
        <is>
          <t>Science Citation Index Expanded (SCI-EXPANDED); Social Science Citation Index (SSCI)</t>
        </is>
      </c>
      <c r="BM1160" t="inlineStr">
        <is>
          <t>Environmental Sciences &amp; Ecology; Public, Environmental &amp; Occupational Health</t>
        </is>
      </c>
      <c r="BN1160" t="inlineStr">
        <is>
          <t>7E2UJ</t>
        </is>
      </c>
      <c r="BO1160" t="n">
        <v>36554781</v>
      </c>
      <c r="BP1160" t="inlineStr">
        <is>
          <t>Green Published, gold</t>
        </is>
      </c>
      <c r="BS1160" t="inlineStr">
        <is>
          <t>2023-10-26</t>
        </is>
      </c>
      <c r="BT1160" t="inlineStr">
        <is>
          <t>WOS:000901029500001</t>
        </is>
      </c>
      <c r="BU1160">
        <f>HYPERLINK("https%3A%2F%2Fwww.webofscience.com%2Fwos%2Fwoscc%2Ffull-record%2FWOS:000901029500001","View Full Record in Web of Science")</f>
        <v/>
      </c>
    </row>
    <row r="1161">
      <c r="A1161" t="inlineStr">
        <is>
          <t>J</t>
        </is>
      </c>
      <c r="B1161" t="inlineStr">
        <is>
          <t>Bazargan, M; Loeza, M; Ekwegh, T; Adinkrah, EK; Kibe, LW; Cobb, S; Assari, S; Bazargan-Hejazi, S</t>
        </is>
      </c>
      <c r="F1161" t="inlineStr">
        <is>
          <t>Bazargan, Mohsen; Loeza, Margarita; Ekwegh, Tavonia; Adinkrah, Edward K.; Kibe, Lucy W.; Cobb, Sharon; Assari, Shervin; Bazargan-Hejazi, Shahrzad</t>
        </is>
      </c>
      <c r="J1161" t="inlineStr">
        <is>
          <t>INTERNATIONAL JOURNAL OF ENVIRONMENTAL RESEARCH AND PUBLIC HEALTH</t>
        </is>
      </c>
      <c r="M1161" t="inlineStr">
        <is>
          <t>English</t>
        </is>
      </c>
      <c r="N1161" t="inlineStr">
        <is>
          <t>Article</t>
        </is>
      </c>
      <c r="T1161" t="inlineStr">
        <is>
          <t>Multi-Dimensional Impact of Chronic Low Back Pain among Underserved African American and Latino Older Adults</t>
        </is>
      </c>
      <c r="U1161" t="inlineStr">
        <is>
          <t>back pain; chronic; underserved; African American; Latino; older adults</t>
        </is>
      </c>
      <c r="V1161" t="inlineStr">
        <is>
          <t>QUALITY-OF-LIFE; INAPPROPRIATE MEDICATION USE; INSOMNIA SEVERITY INDEX; RISK-FACTORS; DIABETES COMPLICATIONS; RHEUMATOID-ARTHRITIS; ETHNIC DISPARITIES; SLEEP DISTURBANCE; UNITED-STATES; OPIOID USE</t>
        </is>
      </c>
      <c r="W1161" t="inlineStr">
        <is>
          <t>Chronic low back pain is one of the most common, poorly understood, and potentially disabling chronic pain conditions from which older adults suffer. The existing low back pain research has relied almost exclusively on White/Caucasian participant samples. This study examines the correlates of chronic low back pain among a sample of underserved urban African American and Latino older adults. Controlling for age, gender, race/ethnicity, education, living arrangement, and number of major chronic conditions, associations between low back pain and the following outcome variables are examined: (1) healthcare utilization, (2) health-related quality of life (HR-QoL) and self-rated quality of health; and (3) physical and mental health outcomes. Methods: We recruited nine hundred and five (905) African American and Latino older adults from the South Los Angeles community using convenience and snowball sampling. In addition to standard items that measure demographic variables, our survey included validated instruments to document HR-QoL health status, the Short-Form McGill Pain Questionnaire-2, Geriatric Depression Scale, sleep disorder, and healthcare access. Data analysis includes bivariate and 17 independent multivariate models. Results: Almost 55% and 48% of the Latino and African American older adults who participated in our study reported chronic low back pain. Our data revealed that having low back pain was associated with three categories of outcomes including: (1) a higher level of healthcare utilization measured by (i) physician visits, (ii) emergency department visits, (iii) number of Rx used, (iv) a higher level of medication complexity, (v) a lower level of adherence to medication regimens, and (vi) a lower level of satisfaction with medical care; (2) a lower level of HR-QoL and self-assessment of health measured by (i) physical health QoL, (ii) mental health QoL, and (iii) a lower level of self-rated health; and (3) worse physical and mental health outcomes measured by (i) a higher number of depressive symptoms, (ii) a higher level of pain, (iii) falls, (iv) sleep disorders, (v) and being overweight/obese. Discussion: Low back pain remains a public health concern and significantly impacts the quality of life, health care utilization, and health outcomes of underserved minority older adults. Multi-faceted and culturally sensitive interventional studies are needed to ensure the timely diagnosis and treatment of low back pain among underserved minority older adults. Many barriers and challenges that affect underserved African American and Latino older adults with low back pain simply cannot be addressed in over-crowded EDs. Our study contributes to and raises the awareness of healthcare providers and health policymakers on the necessity for prevention, early diagnosis, proper medical management, and rehabilitation policies to minimize the burdens associated with chronic low back pain among underserved older African American and Latino patients in an under-resourced community such as South Los Angeles.</t>
        </is>
      </c>
      <c r="X1161" t="inlineStr">
        <is>
          <t>[Bazargan, Mohsen; Loeza, Margarita; Assari, Shervin] Charles R Drew Univ Med &amp; Sci CDU, Dept Family Med, Los Angeles, CA 90059 USA; [Bazargan, Mohsen; Adinkrah, Edward K.; Assari, Shervin] CDU, Dept Publ Hlth, Los Angeles, CA 90059 USA; [Bazargan, Mohsen; Kibe, Lucy W.] CDU, Phys Assistant Program, Los Angeles, CA 90059 USA; [Bazargan, Mohsen; Loeza, Margarita] Univ Calif Los Angeles, Dept Family Med, Los Angeles, CA 90095 USA; [Ekwegh, Tavonia; Cobb, Sharon] CDU, Sch Nursing, Los Angeles, CA 90059 USA; [Bazargan-Hejazi, Shahrzad] Univ Calif Los Angeles, Dept Psychiat, Los Angeles, CA 90095 USA; [Bazargan-Hejazi, Shahrzad] CDU, Dept Psychiat, Los Angeles, CA 90059 USA</t>
        </is>
      </c>
      <c r="Y1161" t="inlineStr">
        <is>
          <t>Charles R. Drew University of Medicine &amp; Science; Los Angeles County Department of Public Health; University of California System; University of California Los Angeles; University of California System; University of California Los Angeles</t>
        </is>
      </c>
      <c r="Z1161" t="inlineStr">
        <is>
          <t>Bazargan-Hejazi, S (corresponding author), Univ Calif Los Angeles, Dept Psychiat, Los Angeles, CA 90095 USA.;Bazargan-Hejazi, S (corresponding author), CDU, Dept Psychiat, Los Angeles, CA 90059 USA.</t>
        </is>
      </c>
      <c r="AA1161" t="inlineStr">
        <is>
          <t>mohsenbazargan@cdrewu.edu; MLoeza@mednet.ucla.edu; tavoniaekwegh@cdrewu.edu; edwardadinkrah1@cdrewu.edu; lucykibe@cdrewu.edu; sharoncobb@cdrewu.edu; shervinassari@cdrewu.edu; shahrzadbazargan@cdrewu.edu</t>
        </is>
      </c>
      <c r="AB1161" t="inlineStr">
        <is>
          <t>Kibe, Lucy/L-1400-2019</t>
        </is>
      </c>
      <c r="AC1161" t="inlineStr">
        <is>
          <t>Kibe, Lucy/0000-0002-6802-8451; Assari, Shervin/0000-0002-5054-6250</t>
        </is>
      </c>
      <c r="AD1161" t="inlineStr">
        <is>
          <t>Centers for Medicare and Medicaid Services (CMS) grant [1H0CMS331621]; National Institutes of Health (NIH) [R25 MD007610]</t>
        </is>
      </c>
      <c r="AE1161" t="inlineStr">
        <is>
          <t>Centers for Medicare and Medicaid Services (CMS) grant; National Institutes of Health (NIH)(United States Department of Health &amp; Human ServicesNational Institutes of Health (NIH) - USA)</t>
        </is>
      </c>
      <c r="AF1161" t="inlineStr">
        <is>
          <t>This study was supported by the Centers for Medicare and Medicaid Services (CMS) grant 1H0CMS331621 to the Charles R. Drew University of Medicine and Science (PI: M. Bazargan). Additionally, Drs. Cobb, Loeza, Adinkrah, and Ekwegh were supported by the National Institutes of Health (NIH) under award R25 MD007610 (PI: M. Bazargan). The statements contained do not necessarily reflect those of the CMS and NIMHD.</t>
        </is>
      </c>
      <c r="AH1161" t="n">
        <v>126</v>
      </c>
      <c r="AI1161" t="n">
        <v>5</v>
      </c>
      <c r="AJ1161" t="n">
        <v>5</v>
      </c>
      <c r="AK1161" t="n">
        <v>1</v>
      </c>
      <c r="AL1161" t="n">
        <v>8</v>
      </c>
      <c r="AM1161" t="inlineStr">
        <is>
          <t>MDPI</t>
        </is>
      </c>
      <c r="AN1161" t="inlineStr">
        <is>
          <t>BASEL</t>
        </is>
      </c>
      <c r="AO1161" t="inlineStr">
        <is>
          <t>ST ALBAN-ANLAGE 66, CH-4052 BASEL, SWITZERLAND</t>
        </is>
      </c>
      <c r="AQ1161" t="inlineStr">
        <is>
          <t>1660-4601</t>
        </is>
      </c>
      <c r="AS1161" t="inlineStr">
        <is>
          <t>INT J ENV RES PUB HE</t>
        </is>
      </c>
      <c r="AT1161" t="inlineStr">
        <is>
          <t>Int. J. Environ. Res. Public Health</t>
        </is>
      </c>
      <c r="AU1161" t="inlineStr">
        <is>
          <t>JUL</t>
        </is>
      </c>
      <c r="AV1161" t="n">
        <v>2021</v>
      </c>
      <c r="AW1161" t="n">
        <v>18</v>
      </c>
      <c r="AX1161" t="n">
        <v>14</v>
      </c>
      <c r="BE1161" t="n">
        <v>7246</v>
      </c>
      <c r="BF1161" t="inlineStr">
        <is>
          <t>10.3390/ijerph18147246</t>
        </is>
      </c>
      <c r="BG1161">
        <f>HYPERLINK("http://dx.doi.org/10.3390/ijerph18147246","http://dx.doi.org/10.3390/ijerph18147246")</f>
        <v/>
      </c>
      <c r="BJ1161" t="n">
        <v>18</v>
      </c>
      <c r="BK1161" t="inlineStr">
        <is>
          <t>Environmental Sciences; Public, Environmental &amp; Occupational Health</t>
        </is>
      </c>
      <c r="BL1161" t="inlineStr">
        <is>
          <t>Science Citation Index Expanded (SCI-EXPANDED); Social Science Citation Index (SSCI)</t>
        </is>
      </c>
      <c r="BM1161" t="inlineStr">
        <is>
          <t>Environmental Sciences &amp; Ecology; Public, Environmental &amp; Occupational Health</t>
        </is>
      </c>
      <c r="BN1161" t="inlineStr">
        <is>
          <t>TN6OQ</t>
        </is>
      </c>
      <c r="BO1161" t="n">
        <v>34299695</v>
      </c>
      <c r="BP1161" t="inlineStr">
        <is>
          <t>Green Published, gold</t>
        </is>
      </c>
      <c r="BS1161" t="inlineStr">
        <is>
          <t>2023-10-26</t>
        </is>
      </c>
      <c r="BT1161" t="inlineStr">
        <is>
          <t>WOS:000676352200001</t>
        </is>
      </c>
      <c r="BU1161">
        <f>HYPERLINK("https%3A%2F%2Fwww.webofscience.com%2Fwos%2Fwoscc%2Ffull-record%2FWOS:000676352200001","View Full Record in Web of Science")</f>
        <v/>
      </c>
    </row>
    <row r="1162">
      <c r="A1162" t="inlineStr">
        <is>
          <t>J</t>
        </is>
      </c>
      <c r="B1162" t="inlineStr">
        <is>
          <t>Zhang, J; Mao, HQ</t>
        </is>
      </c>
      <c r="F1162" t="inlineStr">
        <is>
          <t>Zhang, Jie; Mao, Huaqing</t>
        </is>
      </c>
      <c r="J1162" t="inlineStr">
        <is>
          <t>ENVIRONMENTAL TECHNOLOGY &amp; INNOVATION</t>
        </is>
      </c>
      <c r="M1162" t="inlineStr">
        <is>
          <t>English</t>
        </is>
      </c>
      <c r="N1162" t="inlineStr">
        <is>
          <t>Article</t>
        </is>
      </c>
      <c r="T1162" t="inlineStr">
        <is>
          <t>Multi-factor identity authentication protocol and indoor physical exercise identity recognition in wireless sensor network</t>
        </is>
      </c>
      <c r="U1162" t="inlineStr">
        <is>
          <t>Wireless sensor network; Multi-factor identity authentication protocol; Indoor physical exercise; Identity recognition</t>
        </is>
      </c>
      <c r="W1162" t="inlineStr">
        <is>
          <t>With the development of science and technology, online classrooms are now very popular and the development is relatively mature. People can watch online courses indoors for physical exercise, which has gradually become a new way for modern people to exercise. The popularity of the Internet of Things allows every item in people's lives to be connected to the network. One of the main components of the Internet of Things is the wireless sensor network. Wireless sensor networks can monitor the surrounding environment and can also be used in medical and household applications. In order to ensure the access security of the wireless sensor network, the user must first perform identity authentication when accessing the sensor network node, and then the user can access the real-time data in the sensor network. This method is very safe. In our research, a brand-new wireless sensor network authentication protocol is proposed. This protocol can realize security enhancement through multiple gateways when facing forward security. This protocol mainly uses some authentication methods to make users more secure in the process of sensor node authentication. The radio frequency of the sensor node will be combined with ZigBee to form a corresponding network to expand the scope of identification. At the same time, the network will also identify users. Once the identification is successful, the network will guide them. Since proposing the agreement, we have conducted many tests on the identity recognition module. After testing, we found that the module has basically achieved our expected goal and can provide good user identity recognition during indoor physical exercise. (C) 2021 Elsevier B.V. All rights reserved.</t>
        </is>
      </c>
      <c r="X1162" t="inlineStr">
        <is>
          <t>[Zhang, Jie] Henan Univ, Sports Reform &amp; Dev Res Ctr, Inst Phys Educ, Kaifeng 475001, Henan, Peoples R China; [Mao, Huaqing] Hubei Univ Arts &amp; Sci, Sch Comp Engn, Xiangyang 441053, Hubei, Peoples R China</t>
        </is>
      </c>
      <c r="Y1162" t="inlineStr">
        <is>
          <t>Henan University; Hubei University of Arts &amp; Science</t>
        </is>
      </c>
      <c r="Z1162" t="inlineStr">
        <is>
          <t>Mao, HQ (corresponding author), Hubei Univ Arts &amp; Sci, Sch Comp Engn, Xiangyang 441053, Hubei, Peoples R China.</t>
        </is>
      </c>
      <c r="AA1162" t="inlineStr">
        <is>
          <t>499140243@qq.com; mr.maohuaqing@hbuas.edu.cn</t>
        </is>
      </c>
      <c r="AD1162" t="inlineStr">
        <is>
          <t>Xiangyang Science &amp; Technology Plan, China [2020ABH001191]; Hubei University of Arts and Science Scientific Research Starting Foundation, China [2059073, 2059074]; Basic Soft Science Research Projects of Wenzhou Science and Technology Bureau, China [R20180012]; Zhejiang Philosophy and Social Sciences Foundation, China [19NDJC145YB]; Zhejiang Public Welfare Technology Application Research Project, China [LGG19F020004]</t>
        </is>
      </c>
      <c r="AE1162" t="inlineStr">
        <is>
          <t>Xiangyang Science &amp; Technology Plan, China; Hubei University of Arts and Science Scientific Research Starting Foundation, China; Basic Soft Science Research Projects of Wenzhou Science and Technology Bureau, China; Zhejiang Philosophy and Social Sciences Foundation, China; Zhejiang Public Welfare Technology Application Research Project, China</t>
        </is>
      </c>
      <c r="AF1162" t="inlineStr">
        <is>
          <t>This work was supported by Xiangyang Science &amp; Technology Plan, China (High-tech field, Grant No. 2020ABH001191), Hubei University of Arts and Science Scientific Research Starting Foundation, China (Grant No. 2059073 &amp; 2059074), The Basic Soft Science Research Projects of Wenzhou Science and Technology Bureau, China (Grant No. R20180012), The Zhejiang Philosophy and Social Sciences Foundation, China (Grant No. 19NDJC145YB), and Zhejiang Public Welfare Technology Application Research Project, China (Grant No. LGG19F020004).</t>
        </is>
      </c>
      <c r="AH1162" t="n">
        <v>25</v>
      </c>
      <c r="AI1162" t="n">
        <v>2</v>
      </c>
      <c r="AJ1162" t="n">
        <v>2</v>
      </c>
      <c r="AK1162" t="n">
        <v>1</v>
      </c>
      <c r="AL1162" t="n">
        <v>5</v>
      </c>
      <c r="AM1162" t="inlineStr">
        <is>
          <t>ELSEVIER</t>
        </is>
      </c>
      <c r="AN1162" t="inlineStr">
        <is>
          <t>AMSTERDAM</t>
        </is>
      </c>
      <c r="AO1162" t="inlineStr">
        <is>
          <t>RADARWEG 29, 1043 NX AMSTERDAM, NETHERLANDS</t>
        </is>
      </c>
      <c r="AP1162" t="inlineStr">
        <is>
          <t>2352-1864</t>
        </is>
      </c>
      <c r="AS1162" t="inlineStr">
        <is>
          <t>ENVIRON TECHNOL INNO</t>
        </is>
      </c>
      <c r="AT1162" t="inlineStr">
        <is>
          <t>Environ. Technol. Innov.</t>
        </is>
      </c>
      <c r="AU1162" t="inlineStr">
        <is>
          <t>AUG</t>
        </is>
      </c>
      <c r="AV1162" t="n">
        <v>2021</v>
      </c>
      <c r="AW1162" t="n">
        <v>23</v>
      </c>
      <c r="BE1162" t="n">
        <v>101671</v>
      </c>
      <c r="BF1162" t="inlineStr">
        <is>
          <t>10.1016/j.eti.2021.101671</t>
        </is>
      </c>
      <c r="BG1162">
        <f>HYPERLINK("http://dx.doi.org/10.1016/j.eti.2021.101671","http://dx.doi.org/10.1016/j.eti.2021.101671")</f>
        <v/>
      </c>
      <c r="BI1162" t="inlineStr">
        <is>
          <t>JUN 2021</t>
        </is>
      </c>
      <c r="BJ1162" t="n">
        <v>14</v>
      </c>
      <c r="BK1162" t="inlineStr">
        <is>
          <t>Biotechnology &amp; Applied Microbiology; Engineering, Environmental; Environmental Sciences</t>
        </is>
      </c>
      <c r="BL1162" t="inlineStr">
        <is>
          <t>Science Citation Index Expanded (SCI-EXPANDED)</t>
        </is>
      </c>
      <c r="BM1162" t="inlineStr">
        <is>
          <t>Biotechnology &amp; Applied Microbiology; Engineering; Environmental Sciences &amp; Ecology</t>
        </is>
      </c>
      <c r="BN1162" t="inlineStr">
        <is>
          <t>UA2RE</t>
        </is>
      </c>
      <c r="BS1162" t="inlineStr">
        <is>
          <t>2023-10-26</t>
        </is>
      </c>
      <c r="BT1162" t="inlineStr">
        <is>
          <t>WOS:000685010500016</t>
        </is>
      </c>
      <c r="BU1162">
        <f>HYPERLINK("https%3A%2F%2Fwww.webofscience.com%2Fwos%2Fwoscc%2Ffull-record%2FWOS:000685010500016","View Full Record in Web of Science")</f>
        <v/>
      </c>
    </row>
    <row r="1163">
      <c r="A1163" t="inlineStr">
        <is>
          <t>J</t>
        </is>
      </c>
      <c r="B1163" t="inlineStr">
        <is>
          <t>Alqahtani, BA</t>
        </is>
      </c>
      <c r="F1163" t="inlineStr">
        <is>
          <t>Alqahtani, Bader A.</t>
        </is>
      </c>
      <c r="J1163" t="inlineStr">
        <is>
          <t>INTERNATIONAL JOURNAL OF ENVIRONMENTAL RESEARCH AND PUBLIC HEALTH</t>
        </is>
      </c>
      <c r="M1163" t="inlineStr">
        <is>
          <t>English</t>
        </is>
      </c>
      <c r="N1163" t="inlineStr">
        <is>
          <t>Article</t>
        </is>
      </c>
      <c r="T1163" t="inlineStr">
        <is>
          <t>Association between Physical Frailty and Sleep Quality among Saudi Older Adults: A Community-Based, Cross-Sectional Study</t>
        </is>
      </c>
      <c r="U1163" t="inlineStr">
        <is>
          <t>frailty; sleep quality; Saudi; prefrailty; older adults</t>
        </is>
      </c>
      <c r="V1163" t="inlineStr">
        <is>
          <t>DISTURBANCES; POPULATION; INSOMNIA; PREVALENCE; MORTALITY; FALLS; RISK</t>
        </is>
      </c>
      <c r="W1163" t="inlineStr">
        <is>
          <t>(1) Background: Prevalence of poor sleep quality and its association with frailty status among the aging population of Saudi Arabia has not been studied. Therefore, the main objective of the current study was to estimate the prevalence of poor sleep quality and investigate the association between poor sleep quality and frailty in Saudi older adults; (2) Methods: A total of 270 (mean age 69.9 +/- 6.2) older adults from the Riyadh region were involved in the study. To measure sleep quality, the Arabic version of the Pittsburgh Sleep Quality Index (PSQI) was used. The Fried's frailty index was utilized to assess frailty. Using multiple logistic regression models, the association between sleep quality and frailty status was evaluated using the Odds Ratio and confidence intervals (CI 95%); (3) Results: The pre-frailty and frailty status were prevalent among older adults who had poor sleep quality, 37% and 37.6% (p &lt; 0.001), retrospectively. Poor sleep quality (PSQI &gt; 5) was independently associated with both frailty (OR = 2.13) and prefrailty groups (OR = 1.67); (4) Conclusions: our study demonstrated a significant association between frailty and poor sleep quality. However, a longitudinal future study needs to be established to confirm this association and establish the causality relationship.</t>
        </is>
      </c>
      <c r="X1163" t="inlineStr">
        <is>
          <t>[Alqahtani, Bader A.] Prince Sattam Bin Abdulaziz Univ, Dept Hlth &amp; Rehabil Sci, Al Kharj 11942, Saudi Arabia</t>
        </is>
      </c>
      <c r="Y1163" t="inlineStr">
        <is>
          <t>Prince Sattam Bin Abdulaziz University</t>
        </is>
      </c>
      <c r="Z1163" t="inlineStr">
        <is>
          <t>Alqahtani, BA (corresponding author), Prince Sattam Bin Abdulaziz Univ, Dept Hlth &amp; Rehabil Sci, Al Kharj 11942, Saudi Arabia.</t>
        </is>
      </c>
      <c r="AB1163" t="inlineStr">
        <is>
          <t>Alqahtani, Bader/V-8094-2019</t>
        </is>
      </c>
      <c r="AC1163" t="inlineStr">
        <is>
          <t>Alqahtani, Bader/0000-0002-8275-6906</t>
        </is>
      </c>
      <c r="AH1163" t="n">
        <v>38</v>
      </c>
      <c r="AI1163" t="n">
        <v>8</v>
      </c>
      <c r="AJ1163" t="n">
        <v>8</v>
      </c>
      <c r="AK1163" t="n">
        <v>2</v>
      </c>
      <c r="AL1163" t="n">
        <v>21</v>
      </c>
      <c r="AM1163" t="inlineStr">
        <is>
          <t>MDPI</t>
        </is>
      </c>
      <c r="AN1163" t="inlineStr">
        <is>
          <t>BASEL</t>
        </is>
      </c>
      <c r="AO1163" t="inlineStr">
        <is>
          <t>ST ALBAN-ANLAGE 66, CH-4052 BASEL, SWITZERLAND</t>
        </is>
      </c>
      <c r="AQ1163" t="inlineStr">
        <is>
          <t>1660-4601</t>
        </is>
      </c>
      <c r="AS1163" t="inlineStr">
        <is>
          <t>INT J ENV RES PUB HE</t>
        </is>
      </c>
      <c r="AT1163" t="inlineStr">
        <is>
          <t>Int. J. Environ. Res. Public Health</t>
        </is>
      </c>
      <c r="AU1163" t="inlineStr">
        <is>
          <t>DEC</t>
        </is>
      </c>
      <c r="AV1163" t="n">
        <v>2021</v>
      </c>
      <c r="AW1163" t="n">
        <v>18</v>
      </c>
      <c r="AX1163" t="n">
        <v>23</v>
      </c>
      <c r="BE1163" t="n">
        <v>12741</v>
      </c>
      <c r="BF1163" t="inlineStr">
        <is>
          <t>10.3390/ijerph182312741</t>
        </is>
      </c>
      <c r="BG1163">
        <f>HYPERLINK("http://dx.doi.org/10.3390/ijerph182312741","http://dx.doi.org/10.3390/ijerph182312741")</f>
        <v/>
      </c>
      <c r="BJ1163" t="n">
        <v>8</v>
      </c>
      <c r="BK1163" t="inlineStr">
        <is>
          <t>Environmental Sciences; Public, Environmental &amp; Occupational Health</t>
        </is>
      </c>
      <c r="BL1163" t="inlineStr">
        <is>
          <t>Science Citation Index Expanded (SCI-EXPANDED); Social Science Citation Index (SSCI)</t>
        </is>
      </c>
      <c r="BM1163" t="inlineStr">
        <is>
          <t>Environmental Sciences &amp; Ecology; Public, Environmental &amp; Occupational Health</t>
        </is>
      </c>
      <c r="BN1163" t="inlineStr">
        <is>
          <t>XV5EC</t>
        </is>
      </c>
      <c r="BO1163" t="n">
        <v>34886467</v>
      </c>
      <c r="BP1163" t="inlineStr">
        <is>
          <t>gold, Green Published</t>
        </is>
      </c>
      <c r="BS1163" t="inlineStr">
        <is>
          <t>2023-10-26</t>
        </is>
      </c>
      <c r="BT1163" t="inlineStr">
        <is>
          <t>WOS:000734964500001</t>
        </is>
      </c>
      <c r="BU1163">
        <f>HYPERLINK("https%3A%2F%2Fwww.webofscience.com%2Fwos%2Fwoscc%2Ffull-record%2FWOS:000734964500001","View Full Record in Web of Science")</f>
        <v/>
      </c>
    </row>
    <row r="1164">
      <c r="A1164" t="inlineStr">
        <is>
          <t>J</t>
        </is>
      </c>
      <c r="B1164" t="inlineStr">
        <is>
          <t>Encalada-Torres, J; Abril-Ulloa, V; Wong, S; Alvarado-Romero, S; Bedoya-Ortega, M; Encalada-Torres, L</t>
        </is>
      </c>
      <c r="F1164" t="inlineStr">
        <is>
          <t>Encalada-Torres, Janneth; Abril-Ulloa, Victoria; Wong, Sara; Alvarado-Romero, Samantha; Bedoya-Ortega, Maria; Encalada-Torres, Lorena</t>
        </is>
      </c>
      <c r="J1164" t="inlineStr">
        <is>
          <t>INTERNATIONAL JOURNAL OF ENVIRONMENTAL RESEARCH AND PUBLIC HEALTH</t>
        </is>
      </c>
      <c r="M1164" t="inlineStr">
        <is>
          <t>English</t>
        </is>
      </c>
      <c r="N1164" t="inlineStr">
        <is>
          <t>Article</t>
        </is>
      </c>
      <c r="T1164" t="inlineStr">
        <is>
          <t>Socioeconomic Status and Nutritional Status as Predictors of Food Insecurity in Older Adults: A Case Study from Southern Ecuador</t>
        </is>
      </c>
      <c r="U1164" t="inlineStr">
        <is>
          <t>older adults; socioeconomic status; nutritional status; food insecurity</t>
        </is>
      </c>
      <c r="V1164" t="inlineStr">
        <is>
          <t>WEIGHT</t>
        </is>
      </c>
      <c r="W1164" t="inlineStr">
        <is>
          <t>While life expectancy is increasing due to scientific advancement, quality of life in aging depends, among other factors, on the nutritional status and socioeconomic status of older adults. To determine socioeconomic status and its association with nutritional status as a predictor of food insecurity among older adults in southern Ecuador, a cross-sectional study of 188 older adults in urban areas and 212 in rural areas was conducted. Nutritional status, food insecurity, and socioeconomic status were measured. Data were analyzed using SPSS v 15.0 for descriptive statistics and bivariate analysis. Of the older participants, 59% had malnutrition, the majority women, and 24.7% were in poverty. Underweight was associated with low socioeconomic status for adults between 65 and 74 years old (OR = 7.710; CI 95% = 1.691-35.147), while obesity was associated with low socioeconomic status and non-manual labor (OR = 3.048; CI 95% = 1.268-7.326). Over 80% of older adults living in homes without children younger than 18 and at low socioeconomic status had food insecurity. The prevalence of underweight, overweight, and obesity points to widespread nutritional problems, especially in rural areas, that are significantly associated with low socioeconomic status. This demonstrates the need for multidisciplinary programs and government policies that can contribute to reducing food insecurity among the highly vulnerable older population.</t>
        </is>
      </c>
      <c r="X1164" t="inlineStr">
        <is>
          <t>[Encalada-Torres, Janneth; Abril-Ulloa, Victoria; Wong, Sara; Encalada-Torres, Lorena] Res Grp Publ Hlth Nutr &amp; Phys Act Life Cycle, Cuenca 010204, Ecuador; [Encalada-Torres, Janneth] Univ Cuenca, Sch Econ &amp; Adm Sci, Av 12 Abril,Cent Campus, Cuenca 010204, Ecuador; [Abril-Ulloa, Victoria] Univ Cuenca, Sch Med Sci, Nutr &amp; Dietet Program, Av 12 Abril,Cent Campus, Cuenca 010204, Ecuador; [Wong, Sara] Univ Cuenca, Dept Elect Engn Elect &amp; Telecommun, Av 12 Abril,Cent Campus, Cuenca 010204, Ecuador; [Alvarado-Romero, Samantha; Bedoya-Ortega, Maria; Encalada-Torres, Lorena] Univ Cuenca, Sch Med Sci, Av 12 Abril,Cent Campus, Cuenca 010204, Ecuador</t>
        </is>
      </c>
      <c r="Y1164" t="inlineStr">
        <is>
          <t>Universidad de Cuenca; Universidad de Cuenca; Universidad de Cuenca; Universidad de Cuenca</t>
        </is>
      </c>
      <c r="Z1164" t="inlineStr">
        <is>
          <t>Encalada-Torres, L (corresponding author), Res Grp Publ Hlth Nutr &amp; Phys Act Life Cycle, Cuenca 010204, Ecuador.;Encalada-Torres, L (corresponding author), Univ Cuenca, Sch Med Sci, Av 12 Abril,Cent Campus, Cuenca 010204, Ecuador.</t>
        </is>
      </c>
      <c r="AA1164" t="inlineStr">
        <is>
          <t>janneth.encalada@ucuenca.edu.ec; victoria.abril@ucuenca.edu.ec; sara.wong@ucuenca.edu.ec; samantha.alvarado@ucuenca.edu.ec; elisa.bedoya@ucuenca.edu.ec; lorena.encalada@ucuenca.edu.ec</t>
        </is>
      </c>
      <c r="AC1164" t="inlineStr">
        <is>
          <t>Encalada Torres, Lorena Esperanza/0000-0002-7864-563X; Abril-Ulloa, Victoria/0000-0002-4083-8401</t>
        </is>
      </c>
      <c r="AD1164" t="inlineStr">
        <is>
          <t>Research Directorate at the University of Cuenca (DIUC); XVII University Research Project Contest [2040000071644]</t>
        </is>
      </c>
      <c r="AE1164" t="inlineStr">
        <is>
          <t>Research Directorate at the University of Cuenca (DIUC); XVII University Research Project Contest</t>
        </is>
      </c>
      <c r="AF1164" t="inlineStr">
        <is>
          <t>This work was funded by the Research Directorate at the University of Cuenca (DIUC), with the funding number 2040000071644, having won the XVII University Research Project Contest.</t>
        </is>
      </c>
      <c r="AH1164" t="n">
        <v>28</v>
      </c>
      <c r="AI1164" t="n">
        <v>2</v>
      </c>
      <c r="AJ1164" t="n">
        <v>2</v>
      </c>
      <c r="AK1164" t="n">
        <v>2</v>
      </c>
      <c r="AL1164" t="n">
        <v>5</v>
      </c>
      <c r="AM1164" t="inlineStr">
        <is>
          <t>MDPI</t>
        </is>
      </c>
      <c r="AN1164" t="inlineStr">
        <is>
          <t>BASEL</t>
        </is>
      </c>
      <c r="AO1164" t="inlineStr">
        <is>
          <t>ST ALBAN-ANLAGE 66, CH-4052 BASEL, SWITZERLAND</t>
        </is>
      </c>
      <c r="AQ1164" t="inlineStr">
        <is>
          <t>1660-4601</t>
        </is>
      </c>
      <c r="AS1164" t="inlineStr">
        <is>
          <t>INT J ENV RES PUB HE</t>
        </is>
      </c>
      <c r="AT1164" t="inlineStr">
        <is>
          <t>Int. J. Environ. Res. Public Health</t>
        </is>
      </c>
      <c r="AU1164" t="inlineStr">
        <is>
          <t>MAY</t>
        </is>
      </c>
      <c r="AV1164" t="n">
        <v>2022</v>
      </c>
      <c r="AW1164" t="n">
        <v>19</v>
      </c>
      <c r="AX1164" t="n">
        <v>9</v>
      </c>
      <c r="BE1164" t="n">
        <v>5469</v>
      </c>
      <c r="BF1164" t="inlineStr">
        <is>
          <t>10.3390/ijerph19095469</t>
        </is>
      </c>
      <c r="BG1164">
        <f>HYPERLINK("http://dx.doi.org/10.3390/ijerph19095469","http://dx.doi.org/10.3390/ijerph19095469")</f>
        <v/>
      </c>
      <c r="BJ1164" t="n">
        <v>11</v>
      </c>
      <c r="BK1164" t="inlineStr">
        <is>
          <t>Environmental Sciences; Public, Environmental &amp; Occupational Health</t>
        </is>
      </c>
      <c r="BL1164" t="inlineStr">
        <is>
          <t>Science Citation Index Expanded (SCI-EXPANDED); Social Science Citation Index (SSCI)</t>
        </is>
      </c>
      <c r="BM1164" t="inlineStr">
        <is>
          <t>Environmental Sciences &amp; Ecology; Public, Environmental &amp; Occupational Health</t>
        </is>
      </c>
      <c r="BN1164" t="inlineStr">
        <is>
          <t>1L5CN</t>
        </is>
      </c>
      <c r="BO1164" t="n">
        <v>35564865</v>
      </c>
      <c r="BP1164" t="inlineStr">
        <is>
          <t>gold, Green Submitted, Green Published</t>
        </is>
      </c>
      <c r="BS1164" t="inlineStr">
        <is>
          <t>2023-10-26</t>
        </is>
      </c>
      <c r="BT1164" t="inlineStr">
        <is>
          <t>WOS:000799306200001</t>
        </is>
      </c>
      <c r="BU1164">
        <f>HYPERLINK("https%3A%2F%2Fwww.webofscience.com%2Fwos%2Fwoscc%2Ffull-record%2FWOS:000799306200001","View Full Record in Web of Science")</f>
        <v/>
      </c>
    </row>
    <row r="1165">
      <c r="A1165" t="inlineStr">
        <is>
          <t>J</t>
        </is>
      </c>
      <c r="B1165" t="inlineStr">
        <is>
          <t>Veenaas, C; Ripszam, M; Glas, B; Liljelind, I; Claeson, AS; Haglund, P</t>
        </is>
      </c>
      <c r="F1165" t="inlineStr">
        <is>
          <t>Veenaas, Cathrin; Ripszam, Matyas; Glas, Bo; Liljelind, Ingrid; Claeson, Anna-Sara; Haglund, Peter</t>
        </is>
      </c>
      <c r="J1165" t="inlineStr">
        <is>
          <t>SCIENCE OF THE TOTAL ENVIRONMENT</t>
        </is>
      </c>
      <c r="M1165" t="inlineStr">
        <is>
          <t>English</t>
        </is>
      </c>
      <c r="N1165" t="inlineStr">
        <is>
          <t>Article</t>
        </is>
      </c>
      <c r="T1165" t="inlineStr">
        <is>
          <t>Differences in chemical composition of indoor air in rooms associated/not associated with building related symptoms</t>
        </is>
      </c>
      <c r="U1165" t="inlineStr">
        <is>
          <t>Indoor air; Sick building syndrome; Volatile organic compounds; Multivariate data analysis; Principle component analysis; Partial least squares</t>
        </is>
      </c>
      <c r="V1165" t="inlineStr">
        <is>
          <t>VOLATILE ORGANIC-COMPOUNDS; BROMINATED FLAME RETARDANTS; EXPOSURE; HEALTH; POLLUTANTS; QUALITY; DUST; FORMALDEHYDE; PREVALENCE; EMISSIONS</t>
        </is>
      </c>
      <c r="W1165" t="inlineStr">
        <is>
          <t>Building related health effects or symptoms (BRS), known also as sick-building syndrome (SBS), are a phenomenon that is not well understood. In this study, air samples from 51 rooms associated with BRS and 34 control rooms were collected on multi-sorbent tubes and analyzed by a non-target approach using comprehensive two-dimensional gas chromatography and high-resolution mass spectrometry techniques. The large amount of data gathered was analyzed using multivariate statistics (principle component analysis (PCA) and partial least squares (PLS)). This new analysis approach revealed that in rooms where people experienced BRS, petrochemicals and chemicals emitted from plastics were abundant, whereas in rooms where people did not experience BRS, flavor and fragrance compounds were abundant. Among the petrochemicals benzene and 2-butoxyethanol were found in higher levels in rooms where people experienced BRS. The levels of limonene were sometimes in the range of reported odor thresholds, and similarly 3-carene and beta-myrcene were found in higher concentrations in indoor air of rooms where people did not experience BRS. It cannot be ruled out that these compounds may have influenced the perceived air quality. However, the overall variability in air concentrations was large and it was not possible to accurately predict if the air in a particular room could cause BRS or not. (C) 2020 Elsevier B.V. All rights reserved.</t>
        </is>
      </c>
      <c r="X1165" t="inlineStr">
        <is>
          <t>[Veenaas, Cathrin; Ripszam, Matyas; Haglund, Peter] Umea Univ, Dept Chem, S-90187 Umea, Sweden; [Glas, Bo; Liljelind, Ingrid] Umea Univ, Dept Publ Hlth &amp; Clin Med, S-90187 Umea, Sweden; [Claeson, Anna-Sara] Umea Univ, Dept Psychol, S-90187 Umea, Sweden</t>
        </is>
      </c>
      <c r="Y1165" t="inlineStr">
        <is>
          <t>Umea University; Umea University; Umea University</t>
        </is>
      </c>
      <c r="Z1165" t="inlineStr">
        <is>
          <t>Veenaas, C (corresponding author), Univ Manitoba, CEOS, 521 Wallace Bldg,125 Dysart Rd, Winnipeg, MB R3T 2N2, Canada.</t>
        </is>
      </c>
      <c r="AA1165" t="inlineStr">
        <is>
          <t>cathrin.veenaas@gmail.com</t>
        </is>
      </c>
      <c r="AB1165" t="inlineStr">
        <is>
          <t>Veenaas, Cathrin/AAT-8867-2021</t>
        </is>
      </c>
      <c r="AC1165" t="inlineStr">
        <is>
          <t>Veenaas, Cathrin/0000-0002-6368-6412</t>
        </is>
      </c>
      <c r="AD1165" t="inlineStr">
        <is>
          <t>Swedish Research Council Formas [2014-1229]</t>
        </is>
      </c>
      <c r="AE1165" t="inlineStr">
        <is>
          <t>Swedish Research Council Formas(Swedish Research CouncilSwedish Research Council Formas)</t>
        </is>
      </c>
      <c r="AF1165" t="inlineStr">
        <is>
          <t>This work was supported by The Swedish Research Council Formas (grant number 2014-1229). We acknowledge Dr. Michael Sjostrom for his valuable discussion regarding data evaluation using multidimensional statistical methods.</t>
        </is>
      </c>
      <c r="AH1165" t="n">
        <v>72</v>
      </c>
      <c r="AI1165" t="n">
        <v>11</v>
      </c>
      <c r="AJ1165" t="n">
        <v>11</v>
      </c>
      <c r="AK1165" t="n">
        <v>1</v>
      </c>
      <c r="AL1165" t="n">
        <v>52</v>
      </c>
      <c r="AM1165" t="inlineStr">
        <is>
          <t>ELSEVIER</t>
        </is>
      </c>
      <c r="AN1165" t="inlineStr">
        <is>
          <t>AMSTERDAM</t>
        </is>
      </c>
      <c r="AO1165" t="inlineStr">
        <is>
          <t>RADARWEG 29, 1043 NX AMSTERDAM, NETHERLANDS</t>
        </is>
      </c>
      <c r="AP1165" t="inlineStr">
        <is>
          <t>0048-9697</t>
        </is>
      </c>
      <c r="AQ1165" t="inlineStr">
        <is>
          <t>1879-1026</t>
        </is>
      </c>
      <c r="AS1165" t="inlineStr">
        <is>
          <t>SCI TOTAL ENVIRON</t>
        </is>
      </c>
      <c r="AT1165" t="inlineStr">
        <is>
          <t>Sci. Total Environ.</t>
        </is>
      </c>
      <c r="AU1165" t="inlineStr">
        <is>
          <t>JUN 10</t>
        </is>
      </c>
      <c r="AV1165" t="n">
        <v>2020</v>
      </c>
      <c r="AW1165" t="n">
        <v>720</v>
      </c>
      <c r="BE1165" t="n">
        <v>137444</v>
      </c>
      <c r="BF1165" t="inlineStr">
        <is>
          <t>10.1016/j.scitotenv.2020.137444</t>
        </is>
      </c>
      <c r="BG1165">
        <f>HYPERLINK("http://dx.doi.org/10.1016/j.scitotenv.2020.137444","http://dx.doi.org/10.1016/j.scitotenv.2020.137444")</f>
        <v/>
      </c>
      <c r="BJ1165" t="n">
        <v>9</v>
      </c>
      <c r="BK1165" t="inlineStr">
        <is>
          <t>Environmental Sciences</t>
        </is>
      </c>
      <c r="BL1165" t="inlineStr">
        <is>
          <t>Science Citation Index Expanded (SCI-EXPANDED)</t>
        </is>
      </c>
      <c r="BM1165" t="inlineStr">
        <is>
          <t>Environmental Sciences &amp; Ecology</t>
        </is>
      </c>
      <c r="BN1165" t="inlineStr">
        <is>
          <t>LD0PY</t>
        </is>
      </c>
      <c r="BO1165" t="n">
        <v>32325564</v>
      </c>
      <c r="BS1165" t="inlineStr">
        <is>
          <t>2023-10-26</t>
        </is>
      </c>
      <c r="BT1165" t="inlineStr">
        <is>
          <t>WOS:000525736600040</t>
        </is>
      </c>
      <c r="BU1165">
        <f>HYPERLINK("https%3A%2F%2Fwww.webofscience.com%2Fwos%2Fwoscc%2Ffull-record%2FWOS:000525736600040","View Full Record in Web of Science")</f>
        <v/>
      </c>
    </row>
    <row r="1166">
      <c r="A1166" t="inlineStr">
        <is>
          <t>J</t>
        </is>
      </c>
      <c r="B1166" t="inlineStr">
        <is>
          <t>Tikul, N; Shinawanno, S; Yamyuean, P</t>
        </is>
      </c>
      <c r="F1166" t="inlineStr">
        <is>
          <t>Tikul, Nachawit; Shinawanno, Supakron; Yamyuean, Preecha</t>
        </is>
      </c>
      <c r="J1166" t="inlineStr">
        <is>
          <t>CLIMATE SERVICES</t>
        </is>
      </c>
      <c r="M1166" t="inlineStr">
        <is>
          <t>English</t>
        </is>
      </c>
      <c r="N1166" t="inlineStr">
        <is>
          <t>Article</t>
        </is>
      </c>
      <c r="T1166" t="inlineStr">
        <is>
          <t>PTAD: A web-based climate service for building design adaptation</t>
        </is>
      </c>
      <c r="U1166" t="inlineStr">
        <is>
          <t>Climate change; Design tool; Floods; Microclimate; Climate-resilient architectural design</t>
        </is>
      </c>
      <c r="W1166" t="inlineStr">
        <is>
          <t>Projections Tool for Architectural Design (PTAD) is a web-based climate service product available at www.ptad. mju.ac.th. Targeted at building owners and designers, it is intended to support these decision makers in building design to reduce the impacts of climate change. This study presents the technical environment of PTAD and provides a conceptual basis for linking academic information on climate change to building-related data with the cooperation of the relevant authorities. The PTAD development concept was divided into three parts: climate change impact assessment in small areas (i.e., at a construction site scale), building damage analysis of the impacts, and climate-resilient recommendations for building design. Tools such as GIS, HEC-RAS, and ERDAS and the existing outputs of regional climate models were used as the baseline data for analyzing the impacts that may occur at the study site. The impacts in small areas and design strategies to reduce the potential damage were analyzed with the Delphi technique using existing standards and guidelines. A 3-tier architecture was employed for the production and development environments by modularizing the user interface, service object, and data storage layers. The impact data values, namely, the highest annual surface temperatures and flood characteristics, including the maximum flood level, flood duration, and water velocity from 1998 to 2047, were displayed as markers on the satellite maps, tables, and figures. The impacts can be linked to architectural design guidelines to help design buildings that mitigate some of the impacts of climate change.</t>
        </is>
      </c>
      <c r="X1166" t="inlineStr">
        <is>
          <t>[Tikul, Nachawit] Maejo Univ, Fac Architecture &amp; Environm Design, Chiang Mai 50290, Thailand; [Shinawanno, Supakron] Chulalongkorn Univ, Southeast Asia START Reg Ctr, Bangkok 10330, Thailand; [Yamyuean, Preecha] Upper Northern Reg Irrigat Hydrol Ctr, Royal Irrigat Dept, Chiang Mai 50000, Thailand</t>
        </is>
      </c>
      <c r="Y1166" t="inlineStr">
        <is>
          <t>Maejo University; Chulalongkorn University</t>
        </is>
      </c>
      <c r="Z1166" t="inlineStr">
        <is>
          <t>Tikul, N (corresponding author), Maejo Univ, Fac Architecture &amp; Environm Design, Chiang Mai 50290, Thailand.</t>
        </is>
      </c>
      <c r="AA1166" t="inlineStr">
        <is>
          <t>nachawit@gmail.com</t>
        </is>
      </c>
      <c r="AB1166" t="inlineStr">
        <is>
          <t>Mokhtara, Charafeddine/ACV-5174-2022</t>
        </is>
      </c>
      <c r="AC1166" t="inlineStr">
        <is>
          <t>Tikul, Nachawit/0000-0001-7146-4898</t>
        </is>
      </c>
      <c r="AD1166" t="inlineStr">
        <is>
          <t>Biodiversity-based Economy Development Office [BEDO-NRCT] , Thailand</t>
        </is>
      </c>
      <c r="AE1166" t="inlineStr">
        <is>
          <t>Biodiversity-based Economy Development Office [BEDO-NRCT] , Thailand</t>
        </is>
      </c>
      <c r="AF1166" t="inlineStr">
        <is>
          <t>This study was supported by the Biodiversity-based Economy Development Office [BEDO-NRCT] , Thailand.</t>
        </is>
      </c>
      <c r="AH1166" t="n">
        <v>22</v>
      </c>
      <c r="AI1166" t="n">
        <v>2</v>
      </c>
      <c r="AJ1166" t="n">
        <v>2</v>
      </c>
      <c r="AK1166" t="n">
        <v>0</v>
      </c>
      <c r="AL1166" t="n">
        <v>3</v>
      </c>
      <c r="AM1166" t="inlineStr">
        <is>
          <t>ELSEVIER</t>
        </is>
      </c>
      <c r="AN1166" t="inlineStr">
        <is>
          <t>AMSTERDAM</t>
        </is>
      </c>
      <c r="AO1166" t="inlineStr">
        <is>
          <t>RADARWEG 29, 1043 NX AMSTERDAM, NETHERLANDS</t>
        </is>
      </c>
      <c r="AP1166" t="inlineStr">
        <is>
          <t>2405-8807</t>
        </is>
      </c>
      <c r="AS1166" t="inlineStr">
        <is>
          <t>CLIM SERV</t>
        </is>
      </c>
      <c r="AT1166" t="inlineStr">
        <is>
          <t>Clim. Serv.</t>
        </is>
      </c>
      <c r="AU1166" t="inlineStr">
        <is>
          <t>JAN</t>
        </is>
      </c>
      <c r="AV1166" t="n">
        <v>2022</v>
      </c>
      <c r="AW1166" t="n">
        <v>25</v>
      </c>
      <c r="BE1166" t="n">
        <v>100279</v>
      </c>
      <c r="BF1166" t="inlineStr">
        <is>
          <t>10.1016/j.cliser.2021.100279</t>
        </is>
      </c>
      <c r="BG1166">
        <f>HYPERLINK("http://dx.doi.org/10.1016/j.cliser.2021.100279","http://dx.doi.org/10.1016/j.cliser.2021.100279")</f>
        <v/>
      </c>
      <c r="BI1166" t="inlineStr">
        <is>
          <t>DEC 2021</t>
        </is>
      </c>
      <c r="BJ1166" t="n">
        <v>13</v>
      </c>
      <c r="BK1166" t="inlineStr">
        <is>
          <t>Environmental Sciences; Environmental Studies; Meteorology &amp; Atmospheric Sciences</t>
        </is>
      </c>
      <c r="BL1166" t="inlineStr">
        <is>
          <t>Science Citation Index Expanded (SCI-EXPANDED); Social Science Citation Index (SSCI)</t>
        </is>
      </c>
      <c r="BM1166" t="inlineStr">
        <is>
          <t>Environmental Sciences &amp; Ecology; Meteorology &amp; Atmospheric Sciences</t>
        </is>
      </c>
      <c r="BN1166" t="inlineStr">
        <is>
          <t>YS4TW</t>
        </is>
      </c>
      <c r="BP1166" t="inlineStr">
        <is>
          <t>gold</t>
        </is>
      </c>
      <c r="BS1166" t="inlineStr">
        <is>
          <t>2023-10-26</t>
        </is>
      </c>
      <c r="BT1166" t="inlineStr">
        <is>
          <t>WOS:000750672400005</t>
        </is>
      </c>
      <c r="BU1166">
        <f>HYPERLINK("https%3A%2F%2Fwww.webofscience.com%2Fwos%2Fwoscc%2Ffull-record%2FWOS:000750672400005","View Full Record in Web of Science")</f>
        <v/>
      </c>
    </row>
    <row r="1167">
      <c r="A1167" t="inlineStr">
        <is>
          <t>J</t>
        </is>
      </c>
      <c r="B1167" t="inlineStr">
        <is>
          <t>Segev-Jacubovski, O; Shapiro, E</t>
        </is>
      </c>
      <c r="F1167" t="inlineStr">
        <is>
          <t>Segev-Jacubovski, Orit; Shapiro, Ephraim</t>
        </is>
      </c>
      <c r="J1167" t="inlineStr">
        <is>
          <t>INTERNATIONAL JOURNAL OF ENVIRONMENTAL RESEARCH AND PUBLIC HEALTH</t>
        </is>
      </c>
      <c r="M1167" t="inlineStr">
        <is>
          <t>English</t>
        </is>
      </c>
      <c r="N1167" t="inlineStr">
        <is>
          <t>Article</t>
        </is>
      </c>
      <c r="T1167" t="inlineStr">
        <is>
          <t>Role of Participation in Activities and Perceived Accessibility on Quality of Life among Nondisabled Older Adults and Those with Disabilities in Israel during COVID-19</t>
        </is>
      </c>
      <c r="U1167" t="inlineStr">
        <is>
          <t>perceived accessibility; environment; participation in activities; quality of life; older adults; COVID-19; Israel</t>
        </is>
      </c>
      <c r="V1167" t="inlineStr">
        <is>
          <t>SOCIAL-PARTICIPATION; ENVIRONMENT; PERCEPTIONS; COMMUNITY</t>
        </is>
      </c>
      <c r="W1167" t="inlineStr">
        <is>
          <t>During the COVID-19 pandemic, quality of life (QoL) was reduced among many groups, including Israeli older adults. This study investigated perceived QoL, perceived accessibility of the living environment, and participation in activities among nondisabled older adults and those with disabilities in the community. It also examined whether the perceived accessibility's effect on QoL occurs directly and/or indirectly via mediators of participation in community activities. A voluntary and anonymous survey was administered from February to May 2021 to 495 participants aged 60 and older. Respondents completed three questionnaires: WHOQOL-BREF, Community Integration Questionnaire-Revised (CIQ-R), and Perceived Accessibility of Living Environment (PALE). The main finding was that participation in activities in the community had a direct positive impact on QoL. Perceived accessibility of the living environment also had indirect positive effects on QoL through participation in activities in the community, for those without disabilities but, interestingly, not for those with disabilities. Hierarchal linear regressions revealed that participation in activities explained 53.3% of the variance for both groups while perceived accessibility added 1.1% for the nondisabled. We conclude that accessibility of living environment is a good indicator of positively perceived QoL through participation in various activities in the community for nondisabled older adults. This may be especially important during a pandemic.</t>
        </is>
      </c>
      <c r="X1167" t="inlineStr">
        <is>
          <t>[Segev-Jacubovski, Orit] Ariel Univ, Dept Occupat Therapy, IL-40700 Ariel, Israel; [Shapiro, Ephraim] Ariel Univ, Dept Hlth Syst Management, IL-40700 Ariel, Israel</t>
        </is>
      </c>
      <c r="Y1167" t="inlineStr">
        <is>
          <t>Ariel University; Ariel University</t>
        </is>
      </c>
      <c r="Z1167" t="inlineStr">
        <is>
          <t>Segev-Jacubovski, O (corresponding author), Ariel Univ, Dept Occupat Therapy, IL-40700 Ariel, Israel.</t>
        </is>
      </c>
      <c r="AA1167" t="inlineStr">
        <is>
          <t>oritsj@ariel.ac.il; eas97@caa.columbia.edu</t>
        </is>
      </c>
      <c r="AB1167" t="inlineStr">
        <is>
          <t>Segev-Jacubovski, Orit/GRT-0065-2022</t>
        </is>
      </c>
      <c r="AC1167" t="inlineStr">
        <is>
          <t>Segev-Jacubovski, Orit/0000-0003-0139-5641; Shapiro, Ephraim/0000-0001-9692-7430</t>
        </is>
      </c>
      <c r="AD1167" t="inlineStr">
        <is>
          <t>Foundation for older adult's research of Ariel University [RA2000000521]</t>
        </is>
      </c>
      <c r="AE1167" t="inlineStr">
        <is>
          <t>Foundation for older adult's research of Ariel University</t>
        </is>
      </c>
      <c r="AF1167" t="inlineStr">
        <is>
          <t>This research was sponsored by the Foundation for older adult's research of Ariel University (RA2000000521).</t>
        </is>
      </c>
      <c r="AH1167" t="n">
        <v>53</v>
      </c>
      <c r="AI1167" t="n">
        <v>3</v>
      </c>
      <c r="AJ1167" t="n">
        <v>3</v>
      </c>
      <c r="AK1167" t="n">
        <v>2</v>
      </c>
      <c r="AL1167" t="n">
        <v>10</v>
      </c>
      <c r="AM1167" t="inlineStr">
        <is>
          <t>MDPI</t>
        </is>
      </c>
      <c r="AN1167" t="inlineStr">
        <is>
          <t>BASEL</t>
        </is>
      </c>
      <c r="AO1167" t="inlineStr">
        <is>
          <t>ST ALBAN-ANLAGE 66, CH-4052 BASEL, SWITZERLAND</t>
        </is>
      </c>
      <c r="AQ1167" t="inlineStr">
        <is>
          <t>1660-4601</t>
        </is>
      </c>
      <c r="AS1167" t="inlineStr">
        <is>
          <t>INT J ENV RES PUB HE</t>
        </is>
      </c>
      <c r="AT1167" t="inlineStr">
        <is>
          <t>Int. J. Environ. Res. Public Health</t>
        </is>
      </c>
      <c r="AU1167" t="inlineStr">
        <is>
          <t>MAY</t>
        </is>
      </c>
      <c r="AV1167" t="n">
        <v>2022</v>
      </c>
      <c r="AW1167" t="n">
        <v>19</v>
      </c>
      <c r="AX1167" t="n">
        <v>10</v>
      </c>
      <c r="BE1167" t="n">
        <v>5878</v>
      </c>
      <c r="BF1167" t="inlineStr">
        <is>
          <t>10.3390/ijerph19105878</t>
        </is>
      </c>
      <c r="BG1167">
        <f>HYPERLINK("http://dx.doi.org/10.3390/ijerph19105878","http://dx.doi.org/10.3390/ijerph19105878")</f>
        <v/>
      </c>
      <c r="BJ1167" t="n">
        <v>13</v>
      </c>
      <c r="BK1167" t="inlineStr">
        <is>
          <t>Environmental Sciences; Public, Environmental &amp; Occupational Health</t>
        </is>
      </c>
      <c r="BL1167" t="inlineStr">
        <is>
          <t>Science Citation Index Expanded (SCI-EXPANDED); Social Science Citation Index (SSCI)</t>
        </is>
      </c>
      <c r="BM1167" t="inlineStr">
        <is>
          <t>Environmental Sciences &amp; Ecology; Public, Environmental &amp; Occupational Health</t>
        </is>
      </c>
      <c r="BN1167" t="inlineStr">
        <is>
          <t>1Q2QL</t>
        </is>
      </c>
      <c r="BO1167" t="n">
        <v>35627415</v>
      </c>
      <c r="BP1167" t="inlineStr">
        <is>
          <t>gold, Green Published</t>
        </is>
      </c>
      <c r="BS1167" t="inlineStr">
        <is>
          <t>2023-10-26</t>
        </is>
      </c>
      <c r="BT1167" t="inlineStr">
        <is>
          <t>WOS:000802538700001</t>
        </is>
      </c>
      <c r="BU1167">
        <f>HYPERLINK("https%3A%2F%2Fwww.webofscience.com%2Fwos%2Fwoscc%2Ffull-record%2FWOS:000802538700001","View Full Record in Web of Science")</f>
        <v/>
      </c>
    </row>
    <row r="1168">
      <c r="A1168" t="inlineStr">
        <is>
          <t>J</t>
        </is>
      </c>
      <c r="B1168" t="inlineStr">
        <is>
          <t>Zheng, KY; Zeng, ZJ; Lin, YC; Wang, QH; Tian, QW; Huo, X</t>
        </is>
      </c>
      <c r="F1168" t="inlineStr">
        <is>
          <t>Zheng, Keyang; Zeng, Zhijun; Lin, Yucong; Wang, Qihua; Tian, Qianwen; Huo, Xia</t>
        </is>
      </c>
      <c r="J1168" t="inlineStr">
        <is>
          <t>ENVIRONMENTAL SCIENCE AND POLLUTION RESEARCH</t>
        </is>
      </c>
      <c r="M1168" t="inlineStr">
        <is>
          <t>English</t>
        </is>
      </c>
      <c r="N1168" t="inlineStr">
        <is>
          <t>Review</t>
        </is>
      </c>
      <c r="T1168" t="inlineStr">
        <is>
          <t>Current status of indoor dust PBDE pollution and its physical burden and health effects on children</t>
        </is>
      </c>
      <c r="U1168" t="inlineStr">
        <is>
          <t>PBDE; Indoor; Dust; Children; Body burden; Health</t>
        </is>
      </c>
      <c r="V1168" t="inlineStr">
        <is>
          <t>POLYBROMINATED DIPHENYL ETHERS; BROMINATED FLAME RETARDANTS; IN-HOUSE DUST; HUMAN EXPOSURE; E-WASTE; BODY BURDENS; BREAST-MILK; ASSOCIATIONS; CHINA; SERUM</t>
        </is>
      </c>
      <c r="W1168" t="inlineStr">
        <is>
          <t>Polybrominated diphenyl ethers (PBDEs) are widely detected in indoor dust, which has been identified as a more important route of PBDE exposure for children than food intake. The physical burden and health hazards to children of PBDE exposure in house dust have not been adequately summarized; therefore, this article reviews the current status of PBDE pollution in indoor dust associated with children, highlighting the epidemiological evidence for physical burden and health risks in children. We find that PBDEs remain at high levels in indoor dust, including in homes, schools, and cars, especially in cars showing a significant upward trend. There is a trend towards an increase in the proportion of BDE-209 in household dust, which is indicative of recent PBDE contamination. Conversely, PBDE congeners in car and school indoor dust tended to shift from highly brominated to low brominated, suggesting a shift in current pollution patterns. Indoor dust exposure causes significantly higher PBDE burdens in children, especially infants in early life, than in adults. Exposure to dust also affects breast milk, putting infants at high risk of exposure. Although evidence is limited, available epidemiological studies suggest that exposure to indoor dust PBDEs promotes neurobehavioral problems and cancer development in children.</t>
        </is>
      </c>
      <c r="X1168" t="inlineStr">
        <is>
          <t>[Zheng, Keyang; Zeng, Zhijun; Wang, Qihua; Tian, Qianwen; Huo, Xia] Jinan Univ, Sch Environm, Lab Environm Med &amp; Dev Toxicol, 855 East Xingye Ave, Guangzhou 511443, Guangdong, Peoples R China; [Zheng, Keyang; Tian, Qianwen] Jinan Univ, Sch Med, Dept Publ Hlth &amp; Prevent Med, Guangzhou 510632, Guangdong, Peoples R China; [Lin, Yucong] Univ Calif Berkeley, Dept Mol &amp; Cell Biol, Berkeley, CA 94720 USA</t>
        </is>
      </c>
      <c r="Y1168" t="inlineStr">
        <is>
          <t>Jinan University; Jinan University; University of California System; University of California Berkeley</t>
        </is>
      </c>
      <c r="Z1168" t="inlineStr">
        <is>
          <t>Huo, X (corresponding author), Jinan Univ, Sch Environm, Lab Environm Med &amp; Dev Toxicol, 855 East Xingye Ave, Guangzhou 511443, Guangdong, Peoples R China.</t>
        </is>
      </c>
      <c r="AA1168" t="inlineStr">
        <is>
          <t>xhuo@jnu.edu.cn</t>
        </is>
      </c>
      <c r="AB1168" t="inlineStr">
        <is>
          <t>zhang, xue/JJE-9257-2023</t>
        </is>
      </c>
      <c r="AH1168" t="n">
        <v>77</v>
      </c>
      <c r="AI1168" t="n">
        <v>1</v>
      </c>
      <c r="AJ1168" t="n">
        <v>1</v>
      </c>
      <c r="AK1168" t="n">
        <v>9</v>
      </c>
      <c r="AL1168" t="n">
        <v>22</v>
      </c>
      <c r="AM1168" t="inlineStr">
        <is>
          <t>SPRINGER HEIDELBERG</t>
        </is>
      </c>
      <c r="AN1168" t="inlineStr">
        <is>
          <t>HEIDELBERG</t>
        </is>
      </c>
      <c r="AO1168" t="inlineStr">
        <is>
          <t>TIERGARTENSTRASSE 17, D-69121 HEIDELBERG, GERMANY</t>
        </is>
      </c>
      <c r="AP1168" t="inlineStr">
        <is>
          <t>0944-1344</t>
        </is>
      </c>
      <c r="AQ1168" t="inlineStr">
        <is>
          <t>1614-7499</t>
        </is>
      </c>
      <c r="AS1168" t="inlineStr">
        <is>
          <t>ENVIRON SCI POLLUT R</t>
        </is>
      </c>
      <c r="AT1168" t="inlineStr">
        <is>
          <t>Environ. Sci. Pollut. Res.</t>
        </is>
      </c>
      <c r="AU1168" t="inlineStr">
        <is>
          <t>FEB</t>
        </is>
      </c>
      <c r="AV1168" t="n">
        <v>2023</v>
      </c>
      <c r="AW1168" t="n">
        <v>30</v>
      </c>
      <c r="AX1168" t="n">
        <v>8</v>
      </c>
      <c r="BC1168" t="n">
        <v>19642</v>
      </c>
      <c r="BD1168" t="n">
        <v>19661</v>
      </c>
      <c r="BF1168" t="inlineStr">
        <is>
          <t>10.1007/s11356-022-24723-w</t>
        </is>
      </c>
      <c r="BG1168">
        <f>HYPERLINK("http://dx.doi.org/10.1007/s11356-022-24723-w","http://dx.doi.org/10.1007/s11356-022-24723-w")</f>
        <v/>
      </c>
      <c r="BI1168" t="inlineStr">
        <is>
          <t>JAN 2023</t>
        </is>
      </c>
      <c r="BJ1168" t="n">
        <v>20</v>
      </c>
      <c r="BK1168" t="inlineStr">
        <is>
          <t>Environmental Sciences</t>
        </is>
      </c>
      <c r="BL1168" t="inlineStr">
        <is>
          <t>Science Citation Index Expanded (SCI-EXPANDED)</t>
        </is>
      </c>
      <c r="BM1168" t="inlineStr">
        <is>
          <t>Environmental Sciences &amp; Ecology</t>
        </is>
      </c>
      <c r="BN1168" t="inlineStr">
        <is>
          <t>F7RO5</t>
        </is>
      </c>
      <c r="BO1168" t="n">
        <v>36648715</v>
      </c>
      <c r="BS1168" t="inlineStr">
        <is>
          <t>2023-10-26</t>
        </is>
      </c>
      <c r="BT1168" t="inlineStr">
        <is>
          <t>WOS:000917144900001</t>
        </is>
      </c>
      <c r="BU1168">
        <f>HYPERLINK("https%3A%2F%2Fwww.webofscience.com%2Fwos%2Fwoscc%2Ffull-record%2FWOS:000917144900001","View Full Record in Web of Science")</f>
        <v/>
      </c>
    </row>
    <row r="1169">
      <c r="A1169" t="inlineStr">
        <is>
          <t>J</t>
        </is>
      </c>
      <c r="B1169" t="inlineStr">
        <is>
          <t>Ou, KL; Wong, MYC; Chung, PK; Chui, KYK</t>
        </is>
      </c>
      <c r="F1169" t="inlineStr">
        <is>
          <t>Ou, Kai-ling; Wong, Ming Yu Claudia; Chung, Pak Kwong; Chui, Kei Yee Katie</t>
        </is>
      </c>
      <c r="J1169" t="inlineStr">
        <is>
          <t>INTERNATIONAL JOURNAL OF ENVIRONMENTAL RESEARCH AND PUBLIC HEALTH</t>
        </is>
      </c>
      <c r="M1169" t="inlineStr">
        <is>
          <t>English</t>
        </is>
      </c>
      <c r="N1169" t="inlineStr">
        <is>
          <t>Review</t>
        </is>
      </c>
      <c r="T1169" t="inlineStr">
        <is>
          <t>Effect of Square Dance Interventions on Physical and Mental Health among Chinese Older Adults: A Systematic Review</t>
        </is>
      </c>
      <c r="U1169" t="inlineStr">
        <is>
          <t>older adults; Chinese; square dance; physical activity; systematic review</t>
        </is>
      </c>
      <c r="V1169" t="inlineStr">
        <is>
          <t>LONELINESS; DEPRESSION; DISEASE</t>
        </is>
      </c>
      <c r="W1169" t="inlineStr">
        <is>
          <t>(1) Background: Square dancing is an emerging form of aerobic exercise in China, especially among middle-aged and older people. The benefits of square dancing have been investigated and promoted in recent years through research and interventions. Interventions have been conducted to promote the participants' reactionary participation in physical activity, social and family cohesion, and other psychological benefits. Therefore, square dancing has been promoted as a major factor in China's increase in physical activity prevalence. (2) Methods: A systematic review was used to identify studies that have indicated the effect of square dancing on the physical and mental health among Chinese older adults. (3) Results: Twenty-four studies examining the effects of square dancing on older Chinese adults were extracted. These studies were not found in English databases. The quality of the retrieved studies had a moderate-to-high risk of bias. Square dancing interventions were shown to result in effective mental, physical, and cognitive improvements in the systematic synthesis. (4) Conclusions: This study examined the effects of square dancing in China over the past 10 years on the physical and mental health of older adults. Based on the results of this study, recommendations can be made for future square dance interventions for older adults such as male-oriented, mixed-gender, or intergenerational programs.</t>
        </is>
      </c>
      <c r="X1169" t="inlineStr">
        <is>
          <t>[Ou, Kai-ling; Wong, Ming Yu Claudia; Chung, Pak Kwong; Chui, Kei Yee Katie] Hong Kong Baptist Univ, Dept Sport Phys Educ &amp; Hlth, Hong Kong, Peoples R China</t>
        </is>
      </c>
      <c r="Y1169" t="inlineStr">
        <is>
          <t>Hong Kong Baptist University</t>
        </is>
      </c>
      <c r="Z1169" t="inlineStr">
        <is>
          <t>Wong, MYC (corresponding author), Hong Kong Baptist Univ, Dept Sport Phys Educ &amp; Hlth, Hong Kong, Peoples R China.</t>
        </is>
      </c>
      <c r="AA1169" t="inlineStr">
        <is>
          <t>21482268@life.hkbu.edu.hk; wmyclaudia@hkbu.edu.hk; pkchung@hkbu.edu.hk; chuikatie@hkbu.edu.hk</t>
        </is>
      </c>
      <c r="AC1169" t="inlineStr">
        <is>
          <t>Chung, Pak-Kwong/0000-0003-1357-0689; WONG, Ming Yu Claudia/0000-0001-8390-8898; Ou, Kai-ling/0000-0003-2853-5202</t>
        </is>
      </c>
      <c r="AH1169" t="n">
        <v>68</v>
      </c>
      <c r="AI1169" t="n">
        <v>4</v>
      </c>
      <c r="AJ1169" t="n">
        <v>4</v>
      </c>
      <c r="AK1169" t="n">
        <v>27</v>
      </c>
      <c r="AL1169" t="n">
        <v>84</v>
      </c>
      <c r="AM1169" t="inlineStr">
        <is>
          <t>MDPI</t>
        </is>
      </c>
      <c r="AN1169" t="inlineStr">
        <is>
          <t>BASEL</t>
        </is>
      </c>
      <c r="AO1169" t="inlineStr">
        <is>
          <t>ST ALBAN-ANLAGE 66, CH-4052 BASEL, SWITZERLAND</t>
        </is>
      </c>
      <c r="AQ1169" t="inlineStr">
        <is>
          <t>1660-4601</t>
        </is>
      </c>
      <c r="AS1169" t="inlineStr">
        <is>
          <t>INT J ENV RES PUB HE</t>
        </is>
      </c>
      <c r="AT1169" t="inlineStr">
        <is>
          <t>Int. J. Environ. Res. Public Health</t>
        </is>
      </c>
      <c r="AU1169" t="inlineStr">
        <is>
          <t>MAY</t>
        </is>
      </c>
      <c r="AV1169" t="n">
        <v>2022</v>
      </c>
      <c r="AW1169" t="n">
        <v>19</v>
      </c>
      <c r="AX1169" t="n">
        <v>10</v>
      </c>
      <c r="BE1169" t="n">
        <v>6181</v>
      </c>
      <c r="BF1169" t="inlineStr">
        <is>
          <t>10.3390/ijerph19106181</t>
        </is>
      </c>
      <c r="BG1169">
        <f>HYPERLINK("http://dx.doi.org/10.3390/ijerph19106181","http://dx.doi.org/10.3390/ijerph19106181")</f>
        <v/>
      </c>
      <c r="BJ1169" t="n">
        <v>16</v>
      </c>
      <c r="BK1169" t="inlineStr">
        <is>
          <t>Environmental Sciences; Public, Environmental &amp; Occupational Health</t>
        </is>
      </c>
      <c r="BL1169" t="inlineStr">
        <is>
          <t>Science Citation Index Expanded (SCI-EXPANDED); Social Science Citation Index (SSCI)</t>
        </is>
      </c>
      <c r="BM1169" t="inlineStr">
        <is>
          <t>Environmental Sciences &amp; Ecology; Public, Environmental &amp; Occupational Health</t>
        </is>
      </c>
      <c r="BN1169" t="inlineStr">
        <is>
          <t>1Q1YA</t>
        </is>
      </c>
      <c r="BO1169" t="n">
        <v>35627716</v>
      </c>
      <c r="BP1169" t="inlineStr">
        <is>
          <t>Green Published, gold</t>
        </is>
      </c>
      <c r="BS1169" t="inlineStr">
        <is>
          <t>2023-10-26</t>
        </is>
      </c>
      <c r="BT1169" t="inlineStr">
        <is>
          <t>WOS:000802490800001</t>
        </is>
      </c>
      <c r="BU1169">
        <f>HYPERLINK("https%3A%2F%2Fwww.webofscience.com%2Fwos%2Fwoscc%2Ffull-record%2FWOS:000802490800001","View Full Record in Web of Science")</f>
        <v/>
      </c>
    </row>
    <row r="1170">
      <c r="A1170" t="inlineStr">
        <is>
          <t>J</t>
        </is>
      </c>
      <c r="B1170" t="inlineStr">
        <is>
          <t>Goodarzi, M; Haghtalab, N; Saeedi, I; Moore, NJ</t>
        </is>
      </c>
      <c r="F1170" t="inlineStr">
        <is>
          <t>Goodarzi, Mohsen; Haghtalab, Nafiseh; Saeedi, Iman; Moore, Nathan J.</t>
        </is>
      </c>
      <c r="J1170" t="inlineStr">
        <is>
          <t>ENVIRONMENT DEVELOPMENT AND SUSTAINABILITY</t>
        </is>
      </c>
      <c r="M1170" t="inlineStr">
        <is>
          <t>English</t>
        </is>
      </c>
      <c r="N1170" t="inlineStr">
        <is>
          <t>Article</t>
        </is>
      </c>
      <c r="T1170" t="inlineStr">
        <is>
          <t>Structural and functional improvement of urban fringe areas: toward achieving sustainable built-natural environment interactions</t>
        </is>
      </c>
      <c r="U1170" t="inlineStr">
        <is>
          <t>Urban fringe; Landscape; Structural elements; Built environment; Natural environment</t>
        </is>
      </c>
      <c r="V1170" t="inlineStr">
        <is>
          <t>ECOSYSTEM SERVICES; LANDSCAPE STRUCTURE; GREEN INFRASTRUCTURE; SPACE; CONSERVATION; MANAGEMENT; DESIGN; BIODIVERSITY; RESTORATION; FRAMEWORK</t>
        </is>
      </c>
      <c r="W1170" t="inlineStr">
        <is>
          <t>Applying ecological approach in the planning and design of urban fringe areas has gained significant attention in the current decade, and a myriad of research has been conducted using these principals. However, integrating these principles with socioeconomic criteria has been discussed loosely. This could be due to two different realms of thinking which are associated with disciplines of ecology and social-economical sciences making a successful coexistence between these them quite challenging. The purpose of this paper is to achieve sustainable built-natural environment interactions in urban fringe areas by taking socioeconomic factors along with ecological principles into account. In this study, change detection analysis from 1994 to 2016 is conducted to show the trend of urban construction and the natural environment's reaction to urban expansion. The structural elements of the urban fringe area including river systems, green patches, and landform are extracted to analyze their behavior in interaction with urban construction through looking at all segmentations of each element's continuity from north to south. Socioeconomic factors influencing these changes are also discussed and analyzed. The results show broad changes between the southern and northern parts in terms of the continuity and function of structural elements. Finally, considering structural and functional improvement potentials and restrictions, short-term and long-term strategies for rehabilitation and improvement of the structure and function of the urban fringe areas are provided.</t>
        </is>
      </c>
      <c r="X1170" t="inlineStr">
        <is>
          <t>[Goodarzi, Mohsen] Michigan State Univ, Sch Planning Design &amp; Construct, 552 W Circle Dr, E Lansing, MI 48824 USA; [Haghtalab, Nafiseh; Moore, Nathan J.] Michigan State Univ, Dept Geog Environm &amp; Spatial Sci, 673 Auditorium Rd, E Lansing, MI 48824 USA; [Saeedi, Iman] Malayer Univ, Dept Landscape Planning &amp; Design, Malayer Arak Rd, Malayer, Iran</t>
        </is>
      </c>
      <c r="Y1170" t="inlineStr">
        <is>
          <t>Michigan State University; Michigan State University</t>
        </is>
      </c>
      <c r="Z1170" t="inlineStr">
        <is>
          <t>Goodarzi, M (corresponding author), Michigan State Univ, Sch Planning Design &amp; Construct, 552 W Circle Dr, E Lansing, MI 48824 USA.</t>
        </is>
      </c>
      <c r="AA1170" t="inlineStr">
        <is>
          <t>goodarzi@msu.edu</t>
        </is>
      </c>
      <c r="AB1170" t="inlineStr">
        <is>
          <t>Goodarzi, Mohsen/AAD-3186-2021; Saeedi, Iman/AAJ-3321-2021</t>
        </is>
      </c>
      <c r="AC1170" t="inlineStr">
        <is>
          <t>Goodarzi, Mohsen/0000-0001-5011-5728; Saeedi, Iman/0000-0001-8749-3829; Haghtalab, Nafiseh/0000-0002-8979-4964; Moore, Nathan/0000-0001-8169-0194</t>
        </is>
      </c>
      <c r="AH1170" t="n">
        <v>91</v>
      </c>
      <c r="AI1170" t="n">
        <v>8</v>
      </c>
      <c r="AJ1170" t="n">
        <v>8</v>
      </c>
      <c r="AK1170" t="n">
        <v>10</v>
      </c>
      <c r="AL1170" t="n">
        <v>41</v>
      </c>
      <c r="AM1170" t="inlineStr">
        <is>
          <t>SPRINGER</t>
        </is>
      </c>
      <c r="AN1170" t="inlineStr">
        <is>
          <t>DORDRECHT</t>
        </is>
      </c>
      <c r="AO1170" t="inlineStr">
        <is>
          <t>VAN GODEWIJCKSTRAAT 30, 3311 GZ DORDRECHT, NETHERLANDS</t>
        </is>
      </c>
      <c r="AP1170" t="inlineStr">
        <is>
          <t>1387-585X</t>
        </is>
      </c>
      <c r="AQ1170" t="inlineStr">
        <is>
          <t>1573-2975</t>
        </is>
      </c>
      <c r="AS1170" t="inlineStr">
        <is>
          <t>ENVIRON DEV SUSTAIN</t>
        </is>
      </c>
      <c r="AT1170" t="inlineStr">
        <is>
          <t>Environ. Dev. Sustain.</t>
        </is>
      </c>
      <c r="AU1170" t="inlineStr">
        <is>
          <t>OCT</t>
        </is>
      </c>
      <c r="AV1170" t="n">
        <v>2020</v>
      </c>
      <c r="AW1170" t="n">
        <v>22</v>
      </c>
      <c r="AX1170" t="n">
        <v>7</v>
      </c>
      <c r="BC1170" t="n">
        <v>6727</v>
      </c>
      <c r="BD1170" t="n">
        <v>6754</v>
      </c>
      <c r="BF1170" t="inlineStr">
        <is>
          <t>10.1007/s10668-019-00511-4</t>
        </is>
      </c>
      <c r="BG1170">
        <f>HYPERLINK("http://dx.doi.org/10.1007/s10668-019-00511-4","http://dx.doi.org/10.1007/s10668-019-00511-4")</f>
        <v/>
      </c>
      <c r="BI1170" t="inlineStr">
        <is>
          <t>NOV 2019</t>
        </is>
      </c>
      <c r="BJ1170" t="n">
        <v>28</v>
      </c>
      <c r="BK1170" t="inlineStr">
        <is>
          <t>Green &amp; Sustainable Science &amp; Technology; Environmental Sciences</t>
        </is>
      </c>
      <c r="BL1170" t="inlineStr">
        <is>
          <t>Science Citation Index Expanded (SCI-EXPANDED); Social Science Citation Index (SSCI)</t>
        </is>
      </c>
      <c r="BM1170" t="inlineStr">
        <is>
          <t>Science &amp; Technology - Other Topics; Environmental Sciences &amp; Ecology</t>
        </is>
      </c>
      <c r="BN1170" t="inlineStr">
        <is>
          <t>NH9YO</t>
        </is>
      </c>
      <c r="BP1170" t="inlineStr">
        <is>
          <t>Bronze</t>
        </is>
      </c>
      <c r="BS1170" t="inlineStr">
        <is>
          <t>2023-10-26</t>
        </is>
      </c>
      <c r="BT1170" t="inlineStr">
        <is>
          <t>WOS:000495698200001</t>
        </is>
      </c>
      <c r="BU1170">
        <f>HYPERLINK("https%3A%2F%2Fwww.webofscience.com%2Fwos%2Fwoscc%2Ffull-record%2FWOS:000495698200001","View Full Record in Web of Science")</f>
        <v/>
      </c>
    </row>
    <row r="1171">
      <c r="A1171" t="inlineStr">
        <is>
          <t>J</t>
        </is>
      </c>
      <c r="B1171" t="inlineStr">
        <is>
          <t>Karanikola, P; Andrea, V; Tampakis, S; Tsolakidou, A</t>
        </is>
      </c>
      <c r="F1171" t="inlineStr">
        <is>
          <t>Karanikola, Paraskevi; Andrea, Veronika; Tampakis, Stilianos; Tsolakidou, Anastasia</t>
        </is>
      </c>
      <c r="J1171" t="inlineStr">
        <is>
          <t>ENVIRONMENTS</t>
        </is>
      </c>
      <c r="M1171" t="inlineStr">
        <is>
          <t>English</t>
        </is>
      </c>
      <c r="N1171" t="inlineStr">
        <is>
          <t>Article</t>
        </is>
      </c>
      <c r="T1171" t="inlineStr">
        <is>
          <t>Indoor and Outdoor Design in Healthcare Environments: The Employees' Views in the General University Hospital of Alexandroupolis, Greece</t>
        </is>
      </c>
      <c r="U1171" t="inlineStr">
        <is>
          <t>bioclimatic architecture; outdoor; green spaces; indoor; healthcare environments; Alexandroupolis; hospital; occupational stress</t>
        </is>
      </c>
      <c r="V1171" t="inlineStr">
        <is>
          <t>JOB-SATISFACTION; STRESS; IMPACT</t>
        </is>
      </c>
      <c r="W1171" t="inlineStr">
        <is>
          <t>Healthcare environments should be designed and operate as healing places for all their users. Therefore, the design of outdoor and indoor spaces, has to be oriented towards distressing solutions. The employees' occupational stress affects their feelings and in turn their services they provide. Thus, this study aimed at the evaluation of the General University Hospital of Alexandroupolis, Greece according to its employees' views. With the use of two step cluster analysis and the hierarchical cluster analysis, important findings were derived, concerning the interior and landscape design of the healthcare environment. The hospital indoor and outdoor spaces were investigated in relation with environmental parameters and psychological effects on their users. The results have shown a lack of the appropriate green spaces-even though their beneficial role was acknowledged-and marginal satisfaction with available spaces. Conclusively, it should be noted that there is still room for improvements in both interior and outdoor premises of the hospital to reduce stress levels, especially for its nursing staff.</t>
        </is>
      </c>
      <c r="X1171" t="inlineStr">
        <is>
          <t>[Karanikola, Paraskevi; Andrea, Veronika; Tsolakidou, Anastasia] Democritus Univ Thrace, Dept Forestry &amp; Management Environm &amp; Nat Resourc, 193 Pantazidou Str Orestiada, Orestiada 68200, Greece; [Tampakis, Stilianos] Aristotle Univ Thessaloniki, Fac Forestry &amp; Nat Environm, Sch Agr Forestry &amp; Nat Environm, Thessaloniki 54124, Greece</t>
        </is>
      </c>
      <c r="Y1171" t="inlineStr">
        <is>
          <t>Democritus University of Thrace; Aristotle University of Thessaloniki</t>
        </is>
      </c>
      <c r="Z1171" t="inlineStr">
        <is>
          <t>Andrea, V (corresponding author), Democritus Univ Thrace, Dept Forestry &amp; Management Environm &amp; Nat Resourc, 193 Pantazidou Str Orestiada, Orestiada 68200, Greece.</t>
        </is>
      </c>
      <c r="AA1171" t="inlineStr">
        <is>
          <t>pkaranik@fmenr.duth.gr; vandrea@fmenr.duth.gr; stampaki@for.auth.gr; zikidis@hotmail.com</t>
        </is>
      </c>
      <c r="AC1171" t="inlineStr">
        <is>
          <t>Karanikola, Paraskevi/0000-0001-8370-5126; ANDREA, VERONIKA/0000-0003-1856-0199; Tampakis, Stilianos/0000-0002-4779-3277</t>
        </is>
      </c>
      <c r="AH1171" t="n">
        <v>41</v>
      </c>
      <c r="AI1171" t="n">
        <v>7</v>
      </c>
      <c r="AJ1171" t="n">
        <v>7</v>
      </c>
      <c r="AK1171" t="n">
        <v>2</v>
      </c>
      <c r="AL1171" t="n">
        <v>12</v>
      </c>
      <c r="AM1171" t="inlineStr">
        <is>
          <t>MDPI</t>
        </is>
      </c>
      <c r="AN1171" t="inlineStr">
        <is>
          <t>BASEL</t>
        </is>
      </c>
      <c r="AO1171" t="inlineStr">
        <is>
          <t>ST ALBAN-ANLAGE 66, CH-4052 BASEL, SWITZERLAND</t>
        </is>
      </c>
      <c r="AQ1171" t="inlineStr">
        <is>
          <t>2076-3298</t>
        </is>
      </c>
      <c r="AS1171" t="inlineStr">
        <is>
          <t>ENVIRONMENTS</t>
        </is>
      </c>
      <c r="AT1171" t="inlineStr">
        <is>
          <t>Environments</t>
        </is>
      </c>
      <c r="AU1171" t="inlineStr">
        <is>
          <t>AUG</t>
        </is>
      </c>
      <c r="AV1171" t="n">
        <v>2020</v>
      </c>
      <c r="AW1171" t="n">
        <v>7</v>
      </c>
      <c r="AX1171" t="n">
        <v>8</v>
      </c>
      <c r="BE1171" t="n">
        <v>61</v>
      </c>
      <c r="BF1171" t="inlineStr">
        <is>
          <t>10.3390/environments7080061</t>
        </is>
      </c>
      <c r="BG1171">
        <f>HYPERLINK("http://dx.doi.org/10.3390/environments7080061","http://dx.doi.org/10.3390/environments7080061")</f>
        <v/>
      </c>
      <c r="BJ1171" t="n">
        <v>18</v>
      </c>
      <c r="BK1171" t="inlineStr">
        <is>
          <t>Environmental Sciences</t>
        </is>
      </c>
      <c r="BL1171" t="inlineStr">
        <is>
          <t>Emerging Sources Citation Index (ESCI)</t>
        </is>
      </c>
      <c r="BM1171" t="inlineStr">
        <is>
          <t>Environmental Sciences &amp; Ecology</t>
        </is>
      </c>
      <c r="BN1171" t="inlineStr">
        <is>
          <t>OA4YS</t>
        </is>
      </c>
      <c r="BP1171" t="inlineStr">
        <is>
          <t>gold</t>
        </is>
      </c>
      <c r="BS1171" t="inlineStr">
        <is>
          <t>2023-10-26</t>
        </is>
      </c>
      <c r="BT1171" t="inlineStr">
        <is>
          <t>WOS:000577793300001</t>
        </is>
      </c>
      <c r="BU1171">
        <f>HYPERLINK("https%3A%2F%2Fwww.webofscience.com%2Fwos%2Fwoscc%2Ffull-record%2FWOS:000577793300001","View Full Record in Web of Science")</f>
        <v/>
      </c>
    </row>
    <row r="1172">
      <c r="A1172" t="inlineStr">
        <is>
          <t>J</t>
        </is>
      </c>
      <c r="B1172" t="inlineStr">
        <is>
          <t>Matthews, W</t>
        </is>
      </c>
      <c r="F1172" t="inlineStr">
        <is>
          <t>Matthews, Wendy</t>
        </is>
      </c>
      <c r="J1172" t="inlineStr">
        <is>
          <t>ANTHROPOCENE REVIEW</t>
        </is>
      </c>
      <c r="M1172" t="inlineStr">
        <is>
          <t>English</t>
        </is>
      </c>
      <c r="N1172" t="inlineStr">
        <is>
          <t>Review</t>
        </is>
      </c>
      <c r="T1172" t="inlineStr">
        <is>
          <t>Humans and fire: Changing relations in early agricultural and built environments in the Zagros, Iran, Iraq</t>
        </is>
      </c>
      <c r="U1172" t="inlineStr">
        <is>
          <t>agriculture; archaeology; built environment; ecology; fire; Neolithic</t>
        </is>
      </c>
      <c r="V1172" t="inlineStr">
        <is>
          <t>NEOLITHIC CATALHOYUK; SOUTHWEST ASIA; LAKE ZERIBAR; NEAR-EAST; LATE PLEISTOCENE; HOLOCENE; PLANT; WOODLAND; ORIGINS; REMAINS</t>
        </is>
      </c>
      <c r="W1172" t="inlineStr">
        <is>
          <t>Fire-centred studies have recently been highlighted as powerful avenues for investigation of energy flows and relations between humans, materials, environments and other species. The aim in this paper is to evaluate this potential first by reviewing the diverse theories and methods that can be applied to investigate the ecological and social significance of anthropogenic fire, and second by applying these to new and existing data sets in archaeology. This paper examines how fire-centred approaches can inform on one of the most significant step-changes in human lifeways and interrelations with environment and other species - the transition from mobile hunting-gathering to more sedentary agriculture in a key heartland of change, the Zagros region of Iraq and Iran, c. 12,000-8,000 BP. In the review and case studies multiple links are investigated between human fire use and environment, ecology, energy use, technology, the built environment, health, social roles and relations, cultural practices and catastrophic events.</t>
        </is>
      </c>
      <c r="X1172" t="inlineStr">
        <is>
          <t>[Matthews, Wendy] Univ Reading, POB 227, Reading RG6 6AB, Berks, England</t>
        </is>
      </c>
      <c r="Y1172" t="inlineStr">
        <is>
          <t>University of Reading</t>
        </is>
      </c>
      <c r="Z1172" t="inlineStr">
        <is>
          <t>Matthews, W (corresponding author), Univ Reading, POB 227, Reading RG6 6AB, Berks, England.</t>
        </is>
      </c>
      <c r="AA1172" t="inlineStr">
        <is>
          <t>w.matthews@reading.ac.uk</t>
        </is>
      </c>
      <c r="AD1172" t="inlineStr">
        <is>
          <t>British Academy [BARDA-48993]; Arts and Humanities Research Council [AH/H034315/1]; Natural Environment Research Council Life Sciences Mass Spectrometry Facility [LSMSBRIS038]; British Institute of Persian Studies (BIPS); Department of Archaeology, School of Archaeology, Geography and Environmental Science, University of Reading; AHRC [AH/H034315/2] Funding Source: UKRI; Arts and Humanities Research Council [AH/H034315/2, AH/H034315/1] Funding Source: researchfish</t>
        </is>
      </c>
      <c r="AE1172" t="inlineStr">
        <is>
          <t>British Academy; Arts and Humanities Research Council(UK Research &amp; Innovation (UKRI)Arts &amp; Humanities Research Council (AHRC)); Natural Environment Research Council Life Sciences Mass Spectrometry Facility; British Institute of Persian Studies (BIPS); Department of Archaeology, School of Archaeology, Geography and Environmental Science, University of Reading; AHRC(UK Research &amp; Innovation (UKRI)Arts &amp; Humanities Research Council (AHRC)); Arts and Humanities Research Council(UK Research &amp; Innovation (UKRI)Arts &amp; Humanities Research Council (AHRC))</t>
        </is>
      </c>
      <c r="AF1172" t="inlineStr">
        <is>
          <t>This research was supported by the British Academy (BARDA-48993), Arts and Humanities Research Council (AH/H034315/1), Natural Environment Research Council Life Sciences Mass Spectrometry Facility award (LSMSBRIS038), British Institute of Persian Studies (BIPS) and Department of Archaeology, School of Archaeology, Geography and Environmental Science, University of Reading, to whom I am extremely grateful.</t>
        </is>
      </c>
      <c r="AH1172" t="n">
        <v>162</v>
      </c>
      <c r="AI1172" t="n">
        <v>22</v>
      </c>
      <c r="AJ1172" t="n">
        <v>22</v>
      </c>
      <c r="AK1172" t="n">
        <v>1</v>
      </c>
      <c r="AL1172" t="n">
        <v>7</v>
      </c>
      <c r="AM1172" t="inlineStr">
        <is>
          <t>SAGE PUBLICATIONS INC</t>
        </is>
      </c>
      <c r="AN1172" t="inlineStr">
        <is>
          <t>THOUSAND OAKS</t>
        </is>
      </c>
      <c r="AO1172" t="inlineStr">
        <is>
          <t>2455 TELLER RD, THOUSAND OAKS, CA 91320 USA</t>
        </is>
      </c>
      <c r="AP1172" t="inlineStr">
        <is>
          <t>2053-0196</t>
        </is>
      </c>
      <c r="AQ1172" t="inlineStr">
        <is>
          <t>2053-020X</t>
        </is>
      </c>
      <c r="AS1172" t="inlineStr">
        <is>
          <t>ANTHROPOCENE REV</t>
        </is>
      </c>
      <c r="AT1172" t="inlineStr">
        <is>
          <t>Anthr. Rev.</t>
        </is>
      </c>
      <c r="AU1172" t="inlineStr">
        <is>
          <t>AUG</t>
        </is>
      </c>
      <c r="AV1172" t="n">
        <v>2016</v>
      </c>
      <c r="AW1172" t="n">
        <v>3</v>
      </c>
      <c r="AX1172" t="n">
        <v>2</v>
      </c>
      <c r="BC1172" t="n">
        <v>107</v>
      </c>
      <c r="BD1172" t="n">
        <v>139</v>
      </c>
      <c r="BF1172" t="inlineStr">
        <is>
          <t>10.1177/2053019616636134</t>
        </is>
      </c>
      <c r="BG1172">
        <f>HYPERLINK("http://dx.doi.org/10.1177/2053019616636134","http://dx.doi.org/10.1177/2053019616636134")</f>
        <v/>
      </c>
      <c r="BJ1172" t="n">
        <v>33</v>
      </c>
      <c r="BK1172" t="inlineStr">
        <is>
          <t>Environmental Sciences; Environmental Studies; Geosciences, Multidisciplinary</t>
        </is>
      </c>
      <c r="BL1172" t="inlineStr">
        <is>
          <t>Science Citation Index Expanded (SCI-EXPANDED); Social Science Citation Index (SSCI)</t>
        </is>
      </c>
      <c r="BM1172" t="inlineStr">
        <is>
          <t>Environmental Sciences &amp; Ecology; Geology</t>
        </is>
      </c>
      <c r="BN1172" t="inlineStr">
        <is>
          <t>VG5CB</t>
        </is>
      </c>
      <c r="BP1172" t="inlineStr">
        <is>
          <t>hybrid, Green Accepted</t>
        </is>
      </c>
      <c r="BS1172" t="inlineStr">
        <is>
          <t>2023-10-26</t>
        </is>
      </c>
      <c r="BT1172" t="inlineStr">
        <is>
          <t>WOS:000447102900003</t>
        </is>
      </c>
      <c r="BU1172">
        <f>HYPERLINK("https%3A%2F%2Fwww.webofscience.com%2Fwos%2Fwoscc%2Ffull-record%2FWOS:000447102900003","View Full Record in Web of Science")</f>
        <v/>
      </c>
    </row>
    <row r="1173">
      <c r="A1173" t="inlineStr">
        <is>
          <t>J</t>
        </is>
      </c>
      <c r="B1173" t="inlineStr">
        <is>
          <t>Balci, E; Genisoglu, M; Sofuoglu, SC; Sofuoglu, A</t>
        </is>
      </c>
      <c r="F1173" t="inlineStr">
        <is>
          <t>Balci, Esin; Genisoglu, Mesut; Sofuoglu, Sait C.; Sofuoglu, Aysun</t>
        </is>
      </c>
      <c r="J1173" t="inlineStr">
        <is>
          <t>SCIENCE OF THE TOTAL ENVIRONMENT</t>
        </is>
      </c>
      <c r="M1173" t="inlineStr">
        <is>
          <t>English</t>
        </is>
      </c>
      <c r="N1173" t="inlineStr">
        <is>
          <t>Article</t>
        </is>
      </c>
      <c r="T1173" t="inlineStr">
        <is>
          <t>Indoor air partitioning of Synthetic Musk Compounds: Gas, particulate matter, house dust, and window film</t>
        </is>
      </c>
      <c r="U1173" t="inlineStr">
        <is>
          <t>Synthetic Musk Compounds; Polycyclic musks; Nitro musks; Partitioning; Indoor environment</t>
        </is>
      </c>
      <c r="V1173" t="inlineStr">
        <is>
          <t>SEMIVOLATILE ORGANIC-COMPOUNDS; POLYCYCLIC MUSKS; NITRO MUSKS; WATER; FRAGRANCES; PHASE; ENVIRONMENT; DWELLINGS; PRODUCTS; BLOOD</t>
        </is>
      </c>
      <c r="W1173" t="inlineStr">
        <is>
          <t>Due to diversity of contaminants indoors and complexity in the physical structure of particulate matter, partition process of chemicals affects indoor concentration distribution. Synthetic Musk Compounds (SMCs) are ubiquitously found in household and personal care products, thus, in the environment. Exposure to SMCs is important for human health, therefore, their partitioning in indoor environmental media is a key issue. In this study, gas particle, house dust, andwindowfilm partitioning of SMCs were investigated in an indoor micro-environment. In a sealed and unoccupied room, a polycyclic and nitro musk mixture was left for volatilization for an hour. Then, samples were collected using XAD-2 sandwiched between two PUF plugs, glass-fiber filter, and wipes for gas, PM10, window-film, house dust phases, respectively, for 145 h. Collected samples were analyzed using a GC-MS. Results demonstrated that MC concentrations decreased over time, non-linearly. Six of the SMCs partitioned to PM10 with at least 10% at beginning of the experiment, whereas the number of compounds dropped to two at the end, showing that SMCs may partition well between the two phases but they tend to be in the gas phase. They were also detected in the film and dust phases but a decrease pattern similar to gas-particle was not observed. Spearman correlations indicate that the dust and film-associated concentrations were governed by similar processes but PM-associated concentrations were not. SMCs may be found in all phases, mainly in house dust in terms of mass among the studied media and unaccounted surface reservoirs. Therefore, their partitioning between indoor media has key implications for human exposure. (C)20 Elsevier B.V. All rights reserved.</t>
        </is>
      </c>
      <c r="X1173" t="inlineStr">
        <is>
          <t>[Balci, Esin; Genisoglu, Mesut; Sofuoglu, Sait C.] Izmir Inst Technol, Dept Environm Engn, Urla, Turkey; [Sofuoglu, Aysun] Izmir Inst Technol, Dept Chem Engn, Urla, Turkey</t>
        </is>
      </c>
      <c r="Y1173" t="inlineStr">
        <is>
          <t>Izmir Institute of Technology; Izmir Institute of Technology</t>
        </is>
      </c>
      <c r="Z1173" t="inlineStr">
        <is>
          <t>Sofuoglu, A (corresponding author), Izmir Inst Technol, Dept Chem Engn, Urla, Turkey.</t>
        </is>
      </c>
      <c r="AA1173" t="inlineStr">
        <is>
          <t>aysunsofuoglu@iyte.edu.tr</t>
        </is>
      </c>
      <c r="AB1173" t="inlineStr">
        <is>
          <t>Balcı, Esin/ABB-2799-2020; Balcı, Esin/GSJ-3166-2022; Sofuoglu, Sait C/A-6193-2018; Sofuoglu, Aysun/AFS-8401-2022</t>
        </is>
      </c>
      <c r="AC1173" t="inlineStr">
        <is>
          <t>Balcı, Esin/0000-0002-3269-1366; Sofuoglu, Sait C/0000-0001-6990-0275; Sofuoglu, Aysun/0000-0001-8076-6476; GENISOGLU, Mesut/0000-0002-4618-279X</t>
        </is>
      </c>
      <c r="AH1173" t="n">
        <v>41</v>
      </c>
      <c r="AI1173" t="n">
        <v>12</v>
      </c>
      <c r="AJ1173" t="n">
        <v>13</v>
      </c>
      <c r="AK1173" t="n">
        <v>2</v>
      </c>
      <c r="AL1173" t="n">
        <v>45</v>
      </c>
      <c r="AM1173" t="inlineStr">
        <is>
          <t>ELSEVIER</t>
        </is>
      </c>
      <c r="AN1173" t="inlineStr">
        <is>
          <t>AMSTERDAM</t>
        </is>
      </c>
      <c r="AO1173" t="inlineStr">
        <is>
          <t>RADARWEG 29, 1043 NX AMSTERDAM, NETHERLANDS</t>
        </is>
      </c>
      <c r="AP1173" t="inlineStr">
        <is>
          <t>0048-9697</t>
        </is>
      </c>
      <c r="AQ1173" t="inlineStr">
        <is>
          <t>1879-1026</t>
        </is>
      </c>
      <c r="AS1173" t="inlineStr">
        <is>
          <t>SCI TOTAL ENVIRON</t>
        </is>
      </c>
      <c r="AT1173" t="inlineStr">
        <is>
          <t>Sci. Total Environ.</t>
        </is>
      </c>
      <c r="AU1173" t="inlineStr">
        <is>
          <t>AUG 10</t>
        </is>
      </c>
      <c r="AV1173" t="n">
        <v>2020</v>
      </c>
      <c r="AW1173" t="n">
        <v>729</v>
      </c>
      <c r="BE1173" t="n">
        <v>138798</v>
      </c>
      <c r="BF1173" t="inlineStr">
        <is>
          <t>10.1016/j.scitotenv.2020.138798</t>
        </is>
      </c>
      <c r="BG1173">
        <f>HYPERLINK("http://dx.doi.org/10.1016/j.scitotenv.2020.138798","http://dx.doi.org/10.1016/j.scitotenv.2020.138798")</f>
        <v/>
      </c>
      <c r="BJ1173" t="n">
        <v>10</v>
      </c>
      <c r="BK1173" t="inlineStr">
        <is>
          <t>Environmental Sciences</t>
        </is>
      </c>
      <c r="BL1173" t="inlineStr">
        <is>
          <t>Science Citation Index Expanded (SCI-EXPANDED)</t>
        </is>
      </c>
      <c r="BM1173" t="inlineStr">
        <is>
          <t>Environmental Sciences &amp; Ecology</t>
        </is>
      </c>
      <c r="BN1173" t="inlineStr">
        <is>
          <t>LU0HH</t>
        </is>
      </c>
      <c r="BO1173" t="n">
        <v>32361436</v>
      </c>
      <c r="BP1173" t="inlineStr">
        <is>
          <t>Green Published</t>
        </is>
      </c>
      <c r="BS1173" t="inlineStr">
        <is>
          <t>2023-10-26</t>
        </is>
      </c>
      <c r="BT1173" t="inlineStr">
        <is>
          <t>WOS:000537444000001</t>
        </is>
      </c>
      <c r="BU1173">
        <f>HYPERLINK("https%3A%2F%2Fwww.webofscience.com%2Fwos%2Fwoscc%2Ffull-record%2FWOS:000537444000001","View Full Record in Web of Science")</f>
        <v/>
      </c>
    </row>
    <row r="1174">
      <c r="A1174" t="inlineStr">
        <is>
          <t>J</t>
        </is>
      </c>
      <c r="B1174" t="inlineStr">
        <is>
          <t>Thompson, JR; Argyraki, A; Bashton, M; Bramwell, L; Crown, M; Hursthouse, AS; Jabeen, K; Reis, PM; Namdeo, A; Nelson, A; Pearce, DA; Potgieter-Vermaak, S; Rasmussen, PE; Wragg, J; Entwistle, JA</t>
        </is>
      </c>
      <c r="F1174" t="inlineStr">
        <is>
          <t>Thompson, Jonathan R.; Argyraki, Ariadne; Bashton, Matthew; Bramwell, Lindsay; Crown, Matthew; Hursthouse, Andrew S.; Jabeen, Khadija; Marinho Reis, Paula; Namdeo, Anil; Nelson, Andrew; Pearce, David A.; Potgieter-Vermaak, Sanja; Rasmussen, Pat E.; Wragg, Joanna; Entwistle, Jane A.</t>
        </is>
      </c>
      <c r="J1174" t="inlineStr">
        <is>
          <t>FRONTIERS IN ENVIRONMENTAL SCIENCE</t>
        </is>
      </c>
      <c r="M1174" t="inlineStr">
        <is>
          <t>English</t>
        </is>
      </c>
      <c r="N1174" t="inlineStr">
        <is>
          <t>Article</t>
        </is>
      </c>
      <c r="T1174" t="inlineStr">
        <is>
          <t>Bacterial Diversity in House Dust: Characterization of a Core Indoor Microbiome</t>
        </is>
      </c>
      <c r="U1174" t="inlineStr">
        <is>
          <t>vacuum dust; bacterial assemblage; citizen science; 16S; microbiome</t>
        </is>
      </c>
      <c r="V1174" t="inlineStr">
        <is>
          <t>SP NOV.; COMMENSAL; LEAD</t>
        </is>
      </c>
      <c r="W1174" t="inlineStr">
        <is>
          <t>Our indoor microbiome consists of a wide range of microbial taxa. Whilst many of these microbes are benign, some are beneficial, some harmful, yet our knowledge of the spatial heterogeneity of bacterial assemblages in our residential environment remains limited. To investigate the existence of a common core house dust bacterial microbiome we selected household vacuum dusts, collected through a citizen science approach, from homes across two bioclimatic regions (UK, Oceanic/Maritime and Greece, Mediterranean). Following the extraction of DNA from each dust sample, we targeted the bacterial 16S rRNA gene using Illumina NextSeq sequencing. PERMANOVA analysis of the microbial communities at family level grouped samples within their distinct bioclimatic region and SIMPER analysis at genus level identified the statistically significant taxa responsible for driving diversity between these groups. A common to all core house dust microbiome consisted of Acinetobacter, Massalia, Rubellimicrobium, Sphingomonas and Staphylococcus; genera typically associated with human occupancy and common environmental sources. Additionally, a unique location specific microbiome was identified, reflective of the bioclimatic region. The Greek dusts indicated a lower average diversity than the UK house dusts, with a high abundance of Rhizobiaceae in the Greek samples. Our study highlights citizen science as a powerful approach to access the indoor residential environment, at scale, and establishes the existence of a core house dust microbiome independent of bioclimatic region.</t>
        </is>
      </c>
      <c r="X1174" t="inlineStr">
        <is>
          <t>[Thompson, Jonathan R.; Bramwell, Lindsay; Jabeen, Khadija; Namdeo, Anil; Entwistle, Jane A.] Northumbria Univ, Dept Geog &amp; Environm Sci, Newcastle Upon Tyne, Tyne &amp; Wear, England; [Argyraki, Ariadne] Natl &amp; Kapodistrian Univ Athens, Dept Geol &amp; Geoenvironm, Athens, Greece; [Bashton, Matthew; Crown, Matthew; Nelson, Andrew] Northumbria Univ, Fac Hlth Med &amp; Life Sci, Dept Appl Sci, Hub Biotechnol Built Environm, Newcastle Upon Tyne, Tyne &amp; Wear, England; [Hursthouse, Andrew S.] Univ West Scotland, Sch Comp, Engn &amp; Phys Sci, Paisley, Renfrew, Scotland; [Marinho Reis, Paula] Polo Univ Minho, Inst Ciencias Terra, Campus Gualtar, Braga, Portugal; [Pearce, David A.] Northumbria Univ, Fac Hlth Med &amp; Life Sci, Dept Appl Sci, Newcastle Upon Tyne, Tyne &amp; Wear, England; [Potgieter-Vermaak, Sanja] Manchester Metropolitan Univ, Ecol &amp; Environm Res Ctr, Dept Nat Sci, Manchester, Lancs, England; [Rasmussen, Pat E.] Environm Hlth Sci &amp; Res Bur, Exposures &amp; Biomonitoring Div, Ottawa, ON, Canada; [Wragg, Joanna] British Geol Survey, Nottingham, England</t>
        </is>
      </c>
      <c r="Y1174" t="inlineStr">
        <is>
          <t>Northumbria University; National &amp; Kapodistrian University of Athens; Northumbria University; University of West Scotland; Northumbria University; Manchester Metropolitan University; UK Research &amp; Innovation (UKRI); Natural Environment Research Council (NERC); NERC British Geological Survey</t>
        </is>
      </c>
      <c r="Z1174" t="inlineStr">
        <is>
          <t>Entwistle, JA (corresponding author), Northumbria Univ, Dept Geog &amp; Environm Sci, Newcastle Upon Tyne, Tyne &amp; Wear, England.</t>
        </is>
      </c>
      <c r="AA1174" t="inlineStr">
        <is>
          <t>jane.entwistle@northumbria.ac.uk</t>
        </is>
      </c>
      <c r="AB1174" t="inlineStr">
        <is>
          <t>Reis, Amelia Paula Marinho/I-1514-2013; Bashton, Matthew/H-3417-2019; Potgieter-Vermaak, Sanja/I-1042-2019; Crown, Matthew/HGB-7256-2022; Hursthouse, Andrew/A-9005-2010; Rasmussen, Pat E/HTO-6242-2023</t>
        </is>
      </c>
      <c r="AC1174" t="inlineStr">
        <is>
          <t>Reis, Amelia Paula Marinho/0000-0003-0922-8290; Bashton, Matthew/0000-0002-6847-1525; Potgieter-Vermaak, Sanja/0000-0002-1994-7750; Hursthouse, Andrew/0000-0003-3690-2957; Rasmussen, Pat E/0000-0001-6748-4255; Argyraki, Ariadne/0000-0002-0015-2456; Pearce, David/0000-0001-5292-4596</t>
        </is>
      </c>
      <c r="AD1174" t="inlineStr">
        <is>
          <t>Natural Environment Research Council [NE/T004401/1]; Research England's Expanding Excellence in England (E3) Fund as part of the Hub for Biotechnology in the Built Environment; Northumbria University; NERC [NE/T004401/1] Funding Source: UKRI</t>
        </is>
      </c>
      <c r="AE1174" t="inlineStr">
        <is>
          <t>Natural Environment Research Council(UK Research &amp; Innovation (UKRI)Natural Environment Research Council (NERC)); Research England's Expanding Excellence in England (E3) Fund as part of the Hub for Biotechnology in the Built Environment; Northumbria University; NERC(UK Research &amp; Innovation (UKRI)Natural Environment Research Council (NERC))</t>
        </is>
      </c>
      <c r="AF1174" t="inlineStr">
        <is>
          <t>JE acknowledges funding from the Natural Environment Research Council (Research Grant NE/T004401/1). MB and MC acknowledge research funding from Research England's Expanding Excellence in England (E3) Fund as part of the Hub for Biotechnology in the Built Environment. KJ acknowledges funding for her PhD research programme from Northumbria University. Open access publication fees were provide by Northumbria University.</t>
        </is>
      </c>
      <c r="AH1174" t="n">
        <v>61</v>
      </c>
      <c r="AI1174" t="n">
        <v>4</v>
      </c>
      <c r="AJ1174" t="n">
        <v>4</v>
      </c>
      <c r="AK1174" t="n">
        <v>6</v>
      </c>
      <c r="AL1174" t="n">
        <v>25</v>
      </c>
      <c r="AM1174" t="inlineStr">
        <is>
          <t>FRONTIERS MEDIA SA</t>
        </is>
      </c>
      <c r="AN1174" t="inlineStr">
        <is>
          <t>LAUSANNE</t>
        </is>
      </c>
      <c r="AO1174" t="inlineStr">
        <is>
          <t>AVENUE DU TRIBUNAL FEDERAL 34, LAUSANNE, CH-1015, SWITZERLAND</t>
        </is>
      </c>
      <c r="AQ1174" t="inlineStr">
        <is>
          <t>2296-665X</t>
        </is>
      </c>
      <c r="AS1174" t="inlineStr">
        <is>
          <t>FRONT ENV SCI-SWITZ</t>
        </is>
      </c>
      <c r="AT1174" t="inlineStr">
        <is>
          <t>Front. Environ. Sci.</t>
        </is>
      </c>
      <c r="AU1174" t="inlineStr">
        <is>
          <t>NOV 23</t>
        </is>
      </c>
      <c r="AV1174" t="n">
        <v>2021</v>
      </c>
      <c r="AW1174" t="n">
        <v>9</v>
      </c>
      <c r="BE1174" t="n">
        <v>754657</v>
      </c>
      <c r="BF1174" t="inlineStr">
        <is>
          <t>10.3389/fenvs.2021.754657</t>
        </is>
      </c>
      <c r="BG1174">
        <f>HYPERLINK("http://dx.doi.org/10.3389/fenvs.2021.754657","http://dx.doi.org/10.3389/fenvs.2021.754657")</f>
        <v/>
      </c>
      <c r="BJ1174" t="n">
        <v>11</v>
      </c>
      <c r="BK1174" t="inlineStr">
        <is>
          <t>Environmental Sciences</t>
        </is>
      </c>
      <c r="BL1174" t="inlineStr">
        <is>
          <t>Science Citation Index Expanded (SCI-EXPANDED)</t>
        </is>
      </c>
      <c r="BM1174" t="inlineStr">
        <is>
          <t>Environmental Sciences &amp; Ecology</t>
        </is>
      </c>
      <c r="BN1174" t="inlineStr">
        <is>
          <t>XK7KY</t>
        </is>
      </c>
      <c r="BP1174" t="inlineStr">
        <is>
          <t>Green Accepted, Green Published, Green Submitted, gold</t>
        </is>
      </c>
      <c r="BS1174" t="inlineStr">
        <is>
          <t>2023-10-26</t>
        </is>
      </c>
      <c r="BT1174" t="inlineStr">
        <is>
          <t>WOS:000727640900001</t>
        </is>
      </c>
      <c r="BU1174">
        <f>HYPERLINK("https%3A%2F%2Fwww.webofscience.com%2Fwos%2Fwoscc%2Ffull-record%2FWOS:000727640900001","View Full Record in Web of Science")</f>
        <v/>
      </c>
    </row>
    <row r="1175">
      <c r="A1175" t="inlineStr">
        <is>
          <t>J</t>
        </is>
      </c>
      <c r="B1175" t="inlineStr">
        <is>
          <t>Park, JH; Lee, CM; Kang, DR</t>
        </is>
      </c>
      <c r="F1175" t="inlineStr">
        <is>
          <t>Park, Ji Hyun; Lee, Cheol Min; Kang, Dae Ryong</t>
        </is>
      </c>
      <c r="J1175" t="inlineStr">
        <is>
          <t>INTERNATIONAL JOURNAL OF ENVIRONMENTAL RESEARCH AND PUBLIC HEALTH</t>
        </is>
      </c>
      <c r="M1175" t="inlineStr">
        <is>
          <t>English</t>
        </is>
      </c>
      <c r="N1175" t="inlineStr">
        <is>
          <t>Article</t>
        </is>
      </c>
      <c r="T1175" t="inlineStr">
        <is>
          <t>A Deterministic Model for Estimating Indoor Radon Concentrations in South Korea</t>
        </is>
      </c>
      <c r="U1175" t="inlineStr">
        <is>
          <t>indoor radon; mean annual radon concentrations; mass balance equation; geographical factor; building characteristics; meteorological factor; South Korea</t>
        </is>
      </c>
      <c r="W1175" t="inlineStr">
        <is>
          <t>Estimating long-term exposure to indoor radon is necessary to determine the effects of indoor radon exposure on health. However, measuring long-term exposure to radon is labor intensive and costly. While developing models for estimating indoor radon concentrations are very difficult and unrealistic due to the many factors affecting radon concentrations, several studies have attempted to estimate indoor radon concentrations with mathematical models based on mass balance equations. However, these models are only applicable to specific regions or situations, and some require actual measurement data. This study sought to develop a widely applicable model for estimating mean annual indoor radon concentrations in actual residences considering seasonal variations in indoor radon. The model is based on a mass balance equation using data on geographical factors, building characteristics, meteorological factors, and nationwide radon surveys. The primary factor in our model is the infiltration factor, which can vary according to region, building materials, cracks, floor type, etc. In this study, infiltration factor was calculated according to the type of housing and groundwater usage, and the results thereof were applied to estimate indoor radon concentrations. Overall, measured concentrations and estimates of indoor radon concentrations using the infiltration factor were similar. This model showed better performance than our previous model, except for a few high concentration residences.</t>
        </is>
      </c>
      <c r="X1175" t="inlineStr">
        <is>
          <t>[Park, Ji Hyun] Ajou Univ, Dept Math, Suwon 16499, South Korea; [Lee, Cheol Min] SeoKyeong Univ, Dept Chem &amp; Biol Engn, Seoul 02713, South Korea; [Kang, Dae Ryong] Yonsei Univ, Wonju Coll Med, Dept Precis Med &amp; Biostat, Wonju 26426, South Korea</t>
        </is>
      </c>
      <c r="Y1175" t="inlineStr">
        <is>
          <t>Ajou University; Seokyeong University; Yonsei University</t>
        </is>
      </c>
      <c r="Z1175" t="inlineStr">
        <is>
          <t>Kang, DR (corresponding author), Yonsei Univ, Wonju Coll Med, Dept Precis Med &amp; Biostat, Wonju 26426, South Korea.</t>
        </is>
      </c>
      <c r="AA1175" t="inlineStr">
        <is>
          <t>jhn1105@gmail.com; cheolminlee1@gmail.com; dr.kang@yonsei.ac.kr</t>
        </is>
      </c>
      <c r="AC1175" t="inlineStr">
        <is>
          <t>Kang, Dae Ryong/0000-0002-8792-9730</t>
        </is>
      </c>
      <c r="AD1175" t="inlineStr">
        <is>
          <t>Korean Ministry of Environment [2015001350002]</t>
        </is>
      </c>
      <c r="AE1175" t="inlineStr">
        <is>
          <t>Korean Ministry of Environment(Ministry of Environment (ME), Republic of Korea)</t>
        </is>
      </c>
      <c r="AF1175" t="inlineStr">
        <is>
          <t>This study was supported by the Korean Ministry of Environment as part of the Environmental Health Action Program (grant number 2015001350002).</t>
        </is>
      </c>
      <c r="AH1175" t="n">
        <v>14</v>
      </c>
      <c r="AI1175" t="n">
        <v>2</v>
      </c>
      <c r="AJ1175" t="n">
        <v>2</v>
      </c>
      <c r="AK1175" t="n">
        <v>0</v>
      </c>
      <c r="AL1175" t="n">
        <v>4</v>
      </c>
      <c r="AM1175" t="inlineStr">
        <is>
          <t>MDPI</t>
        </is>
      </c>
      <c r="AN1175" t="inlineStr">
        <is>
          <t>BASEL</t>
        </is>
      </c>
      <c r="AO1175" t="inlineStr">
        <is>
          <t>ST ALBAN-ANLAGE 66, CH-4052 BASEL, SWITZERLAND</t>
        </is>
      </c>
      <c r="AQ1175" t="inlineStr">
        <is>
          <t>1660-4601</t>
        </is>
      </c>
      <c r="AS1175" t="inlineStr">
        <is>
          <t>INT J ENV RES PUB HE</t>
        </is>
      </c>
      <c r="AT1175" t="inlineStr">
        <is>
          <t>Int. J. Environ. Res. Public Health</t>
        </is>
      </c>
      <c r="AU1175" t="inlineStr">
        <is>
          <t>SEP 2</t>
        </is>
      </c>
      <c r="AV1175" t="n">
        <v>2019</v>
      </c>
      <c r="AW1175" t="n">
        <v>16</v>
      </c>
      <c r="AX1175" t="n">
        <v>18</v>
      </c>
      <c r="BE1175" t="n">
        <v>3424</v>
      </c>
      <c r="BF1175" t="inlineStr">
        <is>
          <t>10.3390/ijerph16183424</t>
        </is>
      </c>
      <c r="BG1175">
        <f>HYPERLINK("http://dx.doi.org/10.3390/ijerph16183424","http://dx.doi.org/10.3390/ijerph16183424")</f>
        <v/>
      </c>
      <c r="BJ1175" t="n">
        <v>8</v>
      </c>
      <c r="BK1175" t="inlineStr">
        <is>
          <t>Environmental Sciences; Public, Environmental &amp; Occupational Health</t>
        </is>
      </c>
      <c r="BL1175" t="inlineStr">
        <is>
          <t>Science Citation Index Expanded (SCI-EXPANDED); Social Science Citation Index (SSCI)</t>
        </is>
      </c>
      <c r="BM1175" t="inlineStr">
        <is>
          <t>Environmental Sciences &amp; Ecology; Public, Environmental &amp; Occupational Health</t>
        </is>
      </c>
      <c r="BN1175" t="inlineStr">
        <is>
          <t>JC3KV</t>
        </is>
      </c>
      <c r="BO1175" t="n">
        <v>31540179</v>
      </c>
      <c r="BP1175" t="inlineStr">
        <is>
          <t>Green Published, gold</t>
        </is>
      </c>
      <c r="BS1175" t="inlineStr">
        <is>
          <t>2023-10-26</t>
        </is>
      </c>
      <c r="BT1175" t="inlineStr">
        <is>
          <t>WOS:000489178500198</t>
        </is>
      </c>
      <c r="BU1175">
        <f>HYPERLINK("https%3A%2F%2Fwww.webofscience.com%2Fwos%2Fwoscc%2Ffull-record%2FWOS:000489178500198","View Full Record in Web of Science")</f>
        <v/>
      </c>
    </row>
    <row r="1176">
      <c r="A1176" t="inlineStr">
        <is>
          <t>J</t>
        </is>
      </c>
      <c r="B1176" t="inlineStr">
        <is>
          <t>Peng, Z; Rojas, ALP; Kropff, E; Bahnfleth, W; Buonanno, G; Dancer, SJ; Kurnitski, J; Li, Y; Loomans, MGLC; Marr, LC; Morawska, L; Nazaroff, W; Noakes, C; Querol, X; Sekhar, C; Tellier, R; Greenhalgh, T; Bourouiba, L; Boerstra, A; Tang, JW; Miller, SL; Jimenez, JL</t>
        </is>
      </c>
      <c r="F1176" t="inlineStr">
        <is>
          <t>Peng, Z.; Pineda Rojas, A. L.; Kropff, E.; Bahnfleth, W.; Buonanno, G.; Dancer, S. J.; Kurnitski, J.; Li, Y.; Loomans, M. G. L. C.; Marr, L. C.; Morawska, L.; Nazaroff, W.; Noakes, C.; Querol, X.; Sekhar, C.; Tellier, R.; Greenhalgh, T.; Bourouiba, L.; Boerstra, A.; Tang, J. W.; Miller, S. L.; Jimenez, J. L.</t>
        </is>
      </c>
      <c r="J1176" t="inlineStr">
        <is>
          <t>ENVIRONMENTAL SCIENCE &amp; TECHNOLOGY</t>
        </is>
      </c>
      <c r="M1176" t="inlineStr">
        <is>
          <t>English</t>
        </is>
      </c>
      <c r="N1176" t="inlineStr">
        <is>
          <t>Article</t>
        </is>
      </c>
      <c r="T1176" t="inlineStr">
        <is>
          <t>Practical Indicators for Risk of Airborne Transmission in Shared Indoor Environments and Their Application to COVID-19 Outbreaks</t>
        </is>
      </c>
      <c r="U1176" t="inlineStr">
        <is>
          <t>COVID-19; airborne transmission; outbreaks; indoor air; risk assessment; mitigation</t>
        </is>
      </c>
      <c r="V1176" t="inlineStr">
        <is>
          <t>AEROSOL TRANSMISSION; VENTILATION RATES; SARS-COV-2; INFECTION; MEASLES; VIRUS</t>
        </is>
      </c>
      <c r="W1176" t="inlineStr">
        <is>
          <t>Some infectious diseases, including COVID-19, can undergo airborne transmission. This may happen at close proximity, but as time indoors increases, infections can occur in shared room air despite distancing. We propose two indicators of infection risk for this situation, that is, relative risk parameter (H-r) and risk parameter (H). They combine the key factors that control airborne disease transmission indoors: virus-containing aerosol generation rate, breathing flow rate, masking and its quality, ventilation and aerosol-removal rates, number of occupants, and duration of exposure. COVID-19 outbreaks show a clear trend that is consistent with airborne infection and enable recommendations to minimize transmission risk. Transmission in typical prepandemic indoor spaces is highly sensitive to mitigation efforts. Previous outbreaks of measles, influenza, and tuberculosis were also assessed. Measles outbreaks occur at much lower risk parameter values than COVID-19, while tuberculosis outbreaks are observed at higher risk parameter values. Because both diseases are accepted as airborne, the fact that COVID-19 is less contagious than measles does not rule out airborne transmission. It is important that future outbreak reports include information on masking, ventilation and aerosol-removal rates, number of occupants, and duration of exposure, to investigate airborne transmission.</t>
        </is>
      </c>
      <c r="X1176" t="inlineStr">
        <is>
          <t>[Peng, Z.; Jimenez, J. L.] Univ Colorado, Dept Chem, Boulder, CO 80309 USA; [Peng, Z.; Jimenez, J. L.] Univ Colorado, CIRES, Boulder, CO 80309 USA; [Pineda Rojas, A. L.] Univ Buenos Aires, CIMA, UMI IFAECI, FCEyN,UBA,CONICET,CNRS, Buenos Aires, DF, Argentina; [Kropff, E.] CBA, Leloir Inst, IIBBA, CONICET, C1405BWE, Buenos Aires, DF, Argentina; [Bahnfleth, W.] Penn State Univ, Dept Architectural Engn, University Pk, PA 16802 USA; [Buonanno, G.] Univ Cassino &amp; Southern Lazio, Dept Civil &amp; Mech Engn, I-03043 Cassino, Italy; [Dancer, S. J.] NHS Lanarkshire, Dept Microbiol, Glasgow G75 8RG, Lanark, Scotland; [Dancer, S. J.] Edinburgh Napier Univ, Sch Appl Sci, Edinburgh EH11 4BN, Midlothian, Scotland; [Kurnitski, J.] Tallinn Univ Technol, REHVA Technol &amp; Res Comm, EE-19086 Tallinn, Estonia; [Li, Y.] Univ Hong Kong, Dept Mech Engn, Hong Kong 999077, Peoples R China; [Loomans, M. G. L. C.] Eindhoven Univ Technol, Dept Built Environm, NL-5612 AZ Eindhoven, Netherlands; [Marr, L. C.] Virginia Tech, Dept Civil &amp; Environm Engn, Blacksburg, VA 24061 USA; [Morawska, L.] Queensland Univ Technol, Int Lab Air Qual &amp; Hlth, Brisbane, Qld 4001, Australia; [Nazaroff, W.] Univ Calif Berkeley, Dept Civil &amp; Environm Engn, Berkeley, CA 94720 USA; [Noakes, C.] Univ Leeds, Sch Civil Engn, Leeds LS2 9JT, W Yorkshire, England; [Querol, X.] Spanish Res Council, Inst Environm Assessment &amp; Water Res, CSIC, IDAEA, Barcelona 08034, Spain; [Sekhar, C.] Natl Univ Singapore, Dept Built Environm, Singapore 117566, Singapore; [Tellier, R.] McGill Univ, Dept Med, Montreal, PQ H4A 3J1, Canada; [Tellier, R.] McGill Univ, Hlth Ctr, Montreal, PQ H4A 3J1, Canada; [Greenhalgh, T.] Univ Oxford, Nuffield Dept Primary Care Hlth Sci, Oxford OX2 6GG, England; [Bourouiba, L.] MIT, Fluid Dynam Dis Transmiss Lab, Cambridge, MA 02139 USA; [Boerstra, A.] REHVA Federat European Heating Ventilat &amp; Air Con, BBA Binnenmilieu, NL-2501 CJ The Hague, Netherlands; [Tang, J. W.] Univ Leicester, Dept Resp Sci, Leicester LE1 7RH, Leics, England; [Miller, S. L.] Univ Colorado, Dept Mech Engn, Boulder, CO 80309 USA</t>
        </is>
      </c>
      <c r="Y1176" t="inlineStr">
        <is>
          <t>University of Colorado System; University of Colorado Boulder; University of Colorado System; University of Colorado Boulder; Consejo Nacional de Investigaciones Cientificas y Tecnicas (CONICET); University of Buenos Aires; Leloir Institute; Consejo Nacional de Investigaciones Cientificas y Tecnicas (CONICET); Pennsylvania Commonwealth System of Higher Education (PCSHE); Pennsylvania State University; Pennsylvania State University - University Park; University of Cassino; Edinburgh Napier University; Tallinn University of Technology; University of Hong Kong; Eindhoven University of Technology; Virginia Polytechnic Institute &amp; State University; Queensland University of Technology (QUT); University of California System; University of California Berkeley; University of Leeds; Consejo Superior de Investigaciones Cientificas (CSIC); CSIC - Centro de Investigacion y Desarrollo Pascual Vila (CID-CSIC); CSIC - Instituto de Diagnostico Ambiental y Estudios del Agua (IDAEA); National University of Singapore; McGill University; McGill University; University of Oxford; Massachusetts Institute of Technology (MIT); University of Leicester; University of Colorado System; University of Colorado Boulder</t>
        </is>
      </c>
      <c r="Z1176" t="inlineStr">
        <is>
          <t>Jimenez, JL (corresponding author), Univ Colorado, Dept Chem, Boulder, CO 80309 USA.;Jimenez, JL (corresponding author), Univ Colorado, CIRES, Boulder, CO 80309 USA.</t>
        </is>
      </c>
      <c r="AA1176" t="inlineStr">
        <is>
          <t>jose.jimenez@colorado.edu</t>
        </is>
      </c>
      <c r="AB1176" t="inlineStr">
        <is>
          <t>Querol, Xavier/E-2800-2014; Marr, Linsey/C-9698-2010; Greenhalgh, Trisha/B-1825-2015; Jimenez, Jose L/A-5294-2008; Boerstra, Atze/GLV-4759-2022; Sekhar, Chandra/F-3253-2017; Morawska, Lidia/B-4140-2011</t>
        </is>
      </c>
      <c r="AC1176" t="inlineStr">
        <is>
          <t>Querol, Xavier/0000-0002-6549-9899; Marr, Linsey/0000-0003-3628-6891; Greenhalgh, Trisha/0000-0003-2369-8088; Jimenez, Jose L/0000-0001-6203-1847; Boerstra, Atze/0000-0002-4887-4343; PENG, ZHE/0000-0002-6823-452X; Bahnfleth, William/0000-0001-5749-6543; Sekhar, Chandra/0000-0002-0814-8662; Morawska, Lidia/0000-0002-0594-9683; Kropff, Emilio/0000-0001-5996-8436</t>
        </is>
      </c>
      <c r="AD1176" t="inlineStr">
        <is>
          <t>NSF [AGS-1822664]; ESRC [ES/V010069/1]</t>
        </is>
      </c>
      <c r="AE1176" t="inlineStr">
        <is>
          <t>NSF(National Science Foundation (NSF)); ESRC(UK Research &amp; Innovation (UKRI)Economic &amp; Social Research Council (ESRC))</t>
        </is>
      </c>
      <c r="AF1176" t="inlineStr">
        <is>
          <t>Z.P. and J.L.J. were partially supported by NSF AGS-1822664. T.G. was supported by ESRC ES/V010069/1. L.B. acknowledges CIHR and Fields, and NSF.</t>
        </is>
      </c>
      <c r="AH1176" t="n">
        <v>82</v>
      </c>
      <c r="AI1176" t="n">
        <v>78</v>
      </c>
      <c r="AJ1176" t="n">
        <v>78</v>
      </c>
      <c r="AK1176" t="n">
        <v>14</v>
      </c>
      <c r="AL1176" t="n">
        <v>61</v>
      </c>
      <c r="AM1176" t="inlineStr">
        <is>
          <t>AMER CHEMICAL SOC</t>
        </is>
      </c>
      <c r="AN1176" t="inlineStr">
        <is>
          <t>WASHINGTON</t>
        </is>
      </c>
      <c r="AO1176" t="inlineStr">
        <is>
          <t>1155 16TH ST, NW, WASHINGTON, DC 20036 USA</t>
        </is>
      </c>
      <c r="AP1176" t="inlineStr">
        <is>
          <t>0013-936X</t>
        </is>
      </c>
      <c r="AQ1176" t="inlineStr">
        <is>
          <t>1520-5851</t>
        </is>
      </c>
      <c r="AS1176" t="inlineStr">
        <is>
          <t>ENVIRON SCI TECHNOL</t>
        </is>
      </c>
      <c r="AT1176" t="inlineStr">
        <is>
          <t>Environ. Sci. Technol.</t>
        </is>
      </c>
      <c r="AU1176" t="inlineStr">
        <is>
          <t>JAN 18</t>
        </is>
      </c>
      <c r="AV1176" t="n">
        <v>2022</v>
      </c>
      <c r="AW1176" t="n">
        <v>56</v>
      </c>
      <c r="AX1176" t="n">
        <v>2</v>
      </c>
      <c r="BC1176" t="n">
        <v>1125</v>
      </c>
      <c r="BD1176" t="n">
        <v>1137</v>
      </c>
      <c r="BF1176" t="inlineStr">
        <is>
          <t>10.1021/acs.est.1c06531</t>
        </is>
      </c>
      <c r="BG1176">
        <f>HYPERLINK("http://dx.doi.org/10.1021/acs.est.1c06531","http://dx.doi.org/10.1021/acs.est.1c06531")</f>
        <v/>
      </c>
      <c r="BJ1176" t="n">
        <v>13</v>
      </c>
      <c r="BK1176" t="inlineStr">
        <is>
          <t>Engineering, Environmental; Environmental Sciences</t>
        </is>
      </c>
      <c r="BL1176" t="inlineStr">
        <is>
          <t>Science Citation Index Expanded (SCI-EXPANDED)</t>
        </is>
      </c>
      <c r="BM1176" t="inlineStr">
        <is>
          <t>Engineering; Environmental Sciences &amp; Ecology</t>
        </is>
      </c>
      <c r="BN1176" t="inlineStr">
        <is>
          <t>ZK8WB</t>
        </is>
      </c>
      <c r="BO1176" t="n">
        <v>34985868</v>
      </c>
      <c r="BP1176" t="inlineStr">
        <is>
          <t>Green Published, Green Submitted</t>
        </is>
      </c>
      <c r="BS1176" t="inlineStr">
        <is>
          <t>2023-10-26</t>
        </is>
      </c>
      <c r="BT1176" t="inlineStr">
        <is>
          <t>WOS:000763263300039</t>
        </is>
      </c>
      <c r="BU1176">
        <f>HYPERLINK("https%3A%2F%2Fwww.webofscience.com%2Fwos%2Fwoscc%2Ffull-record%2FWOS:000763263300039","View Full Record in Web of Science")</f>
        <v/>
      </c>
    </row>
    <row r="1177">
      <c r="A1177" t="inlineStr">
        <is>
          <t>J</t>
        </is>
      </c>
      <c r="B1177" t="inlineStr">
        <is>
          <t>Peng, Z; Deng, W; Tenorio, R</t>
        </is>
      </c>
      <c r="F1177" t="inlineStr">
        <is>
          <t>Peng, Zhen; Deng, Wu; Tenorio, Rosangela</t>
        </is>
      </c>
      <c r="J1177" t="inlineStr">
        <is>
          <t>SUSTAINABILITY</t>
        </is>
      </c>
      <c r="M1177" t="inlineStr">
        <is>
          <t>English</t>
        </is>
      </c>
      <c r="N1177" t="inlineStr">
        <is>
          <t>Article</t>
        </is>
      </c>
      <c r="T1177" t="inlineStr">
        <is>
          <t>Investigation of Indoor Air Quality and the Identification of Influential Factors at Primary Schools in the North of China</t>
        </is>
      </c>
      <c r="U1177" t="inlineStr">
        <is>
          <t>indoor air quality; primary school; building air tightness; internal activities; air pollutants</t>
        </is>
      </c>
      <c r="V1177" t="inlineStr">
        <is>
          <t>PARTICULATE MATTER; VENTILATION RATES; PARTICLE SOURCES; SBS SYMPTOMS; OUTDOOR; CLASSROOM; POLLUTION; TEMPERATURE; PERFORMANCE; MECHANISMS</t>
        </is>
      </c>
      <c r="W1177" t="inlineStr">
        <is>
          <t>Over 70% of a pupil's school life is spent inside a classroom, and indoor air quality has a significant impact on students' attendance and learning potential. Therefore, the indoor air quality in primary school buildings is highly important. This empirical study investigates the indoor air quality in four naturally ventilated schools in China, with a focus on four parameters: PM2.5, PM10, CO2, and temperature. The correlations between the indoor air quality and the ambient air pollution, building defects, and occupants' activities have been identified and discussed. The results indicate that building defects and occupants' activities have a significant impact on indoor air quality. Buildings with better air tightness have a relatively smaller ratio of indoor particulate matter (PM) concentrations to outdoor PM concentrations when unoccupied. During occupied periods, the indoor/outdoor (I/O) ratio could be larger than 1 due to internal students' activities. The indoor air temperature in winter is mainly determined by occupants' activities and the adiabatic ability of a building's fabrics. CO2 can easily exceed 1000 ppm on average due to the closing of windows and doors to keep the inside air warmer in winter. It is concluded that improving air tightness might be a way of reducing outdoor air pollutants' penetration in naturally ventilated school buildings. Mechanical ventilation with air purification could be also an option on severely polluted days.</t>
        </is>
      </c>
      <c r="X1177" t="inlineStr">
        <is>
          <t>[Peng, Zhen; Deng, Wu; Tenorio, Rosangela] Univ Nottingham Ningbo China, Dept Architecture &amp; Built Environm, 199 Taikang East Rd, Ningbo 315100, Zhejiang, Peoples R China</t>
        </is>
      </c>
      <c r="Y1177" t="inlineStr">
        <is>
          <t>University of Nottingham Ningbo China</t>
        </is>
      </c>
      <c r="Z1177" t="inlineStr">
        <is>
          <t>Deng, W (corresponding author), Univ Nottingham Ningbo China, Dept Architecture &amp; Built Environm, 199 Taikang East Rd, Ningbo 315100, Zhejiang, Peoples R China.</t>
        </is>
      </c>
      <c r="AA1177" t="inlineStr">
        <is>
          <t>zhen.peng@nottingham.edu.cn; Wu.Deng@nottingham.edu.cn; r.tenorio@nottingham.edu.cn</t>
        </is>
      </c>
      <c r="AC1177" t="inlineStr">
        <is>
          <t>Peng, Zhen/0000-0001-6415-8841; tenorio, rosangela/0000-0003-2920-6179; Deng, Wu/0000-0003-4747-0344</t>
        </is>
      </c>
      <c r="AH1177" t="n">
        <v>35</v>
      </c>
      <c r="AI1177" t="n">
        <v>34</v>
      </c>
      <c r="AJ1177" t="n">
        <v>34</v>
      </c>
      <c r="AK1177" t="n">
        <v>6</v>
      </c>
      <c r="AL1177" t="n">
        <v>94</v>
      </c>
      <c r="AM1177" t="inlineStr">
        <is>
          <t>MDPI</t>
        </is>
      </c>
      <c r="AN1177" t="inlineStr">
        <is>
          <t>BASEL</t>
        </is>
      </c>
      <c r="AO1177" t="inlineStr">
        <is>
          <t>ST ALBAN-ANLAGE 66, CH-4052 BASEL, SWITZERLAND</t>
        </is>
      </c>
      <c r="AQ1177" t="inlineStr">
        <is>
          <t>2071-1050</t>
        </is>
      </c>
      <c r="AS1177" t="inlineStr">
        <is>
          <t>SUSTAINABILITY-BASEL</t>
        </is>
      </c>
      <c r="AT1177" t="inlineStr">
        <is>
          <t>Sustainability</t>
        </is>
      </c>
      <c r="AU1177" t="inlineStr">
        <is>
          <t>JUL</t>
        </is>
      </c>
      <c r="AV1177" t="n">
        <v>2017</v>
      </c>
      <c r="AW1177" t="n">
        <v>9</v>
      </c>
      <c r="AX1177" t="n">
        <v>7</v>
      </c>
      <c r="BE1177" t="n">
        <v>1180</v>
      </c>
      <c r="BF1177" t="inlineStr">
        <is>
          <t>10.3390/su9071180</t>
        </is>
      </c>
      <c r="BG1177">
        <f>HYPERLINK("http://dx.doi.org/10.3390/su9071180","http://dx.doi.org/10.3390/su9071180")</f>
        <v/>
      </c>
      <c r="BJ1177" t="n">
        <v>14</v>
      </c>
      <c r="BK1177" t="inlineStr">
        <is>
          <t>Green &amp; Sustainable Science &amp; Technology; Environmental Sciences; Environmental Studies</t>
        </is>
      </c>
      <c r="BL1177" t="inlineStr">
        <is>
          <t>Science Citation Index Expanded (SCI-EXPANDED); Social Science Citation Index (SSCI)</t>
        </is>
      </c>
      <c r="BM1177" t="inlineStr">
        <is>
          <t>Science &amp; Technology - Other Topics; Environmental Sciences &amp; Ecology</t>
        </is>
      </c>
      <c r="BN1177" t="inlineStr">
        <is>
          <t>FC3AB</t>
        </is>
      </c>
      <c r="BP1177" t="inlineStr">
        <is>
          <t>Green Published, Green Submitted, gold</t>
        </is>
      </c>
      <c r="BS1177" t="inlineStr">
        <is>
          <t>2023-10-26</t>
        </is>
      </c>
      <c r="BT1177" t="inlineStr">
        <is>
          <t>WOS:000406709500108</t>
        </is>
      </c>
      <c r="BU1177">
        <f>HYPERLINK("https%3A%2F%2Fwww.webofscience.com%2Fwos%2Fwoscc%2Ffull-record%2FWOS:000406709500108","View Full Record in Web of Science")</f>
        <v/>
      </c>
    </row>
    <row r="1178">
      <c r="A1178" t="inlineStr">
        <is>
          <t>J</t>
        </is>
      </c>
      <c r="B1178" t="inlineStr">
        <is>
          <t>Wu, L; Yuan, XR; Yin, CY; Yang, M; Ouyang, HJ</t>
        </is>
      </c>
      <c r="F1178" t="inlineStr">
        <is>
          <t>Wu, Lan; Yuan, Xiaorui; Yin, Chaoyin; Yang, Ming; Ouyang, Hongjian</t>
        </is>
      </c>
      <c r="J1178" t="inlineStr">
        <is>
          <t>SUSTAINABILITY</t>
        </is>
      </c>
      <c r="M1178" t="inlineStr">
        <is>
          <t>English</t>
        </is>
      </c>
      <c r="N1178" t="inlineStr">
        <is>
          <t>Article</t>
        </is>
      </c>
      <c r="T1178" t="inlineStr">
        <is>
          <t>Car Ownership Behavior Model Considering Nonlinear Impacts of Multi-Scale Built Environment Characteristics</t>
        </is>
      </c>
      <c r="U1178" t="inlineStr">
        <is>
          <t>urban traffic; built environment; gradient boosting decision tree; car ownership; nonlinear effects</t>
        </is>
      </c>
      <c r="V1178" t="inlineStr">
        <is>
          <t>CHOICE; TRAVEL; ATTRIBUTES</t>
        </is>
      </c>
      <c r="W1178" t="inlineStr">
        <is>
          <t>To explore the nonlinear influence of a multi-scale built environment on residents' car ownership behavior, combined with the data set of residents' individual information and travel-related data from the China Labor Force Dynamic Survey report, eight variables are selected to describe the built environment from multiple scales. The gradient-boosting iterative decision tree model including individual family attributes and neighborhood-scale and city-scale built-environment attributes is constructed. The results show that the individual family attributes have the greatest cumulative impact on car ownership behavior (46.3%). The built environment based on neighborhood scale and city scale also has a significant impact on residents' car ownership behavior, these being 33.94% and 19.76%, respectively. The distance to the city center at the neighborhood scale is positive correlated with car ownership. The number of buses per 10,000 people and road area per capita in the city scale are also positive correlated with car ownership. Therefore, in order to slow down the increase in car ownership, the built environment can be optimized and adjusted at neighborhood scale and city scale.</t>
        </is>
      </c>
      <c r="X1178" t="inlineStr">
        <is>
          <t>[Wu, Lan; Yuan, Xiaorui; Yin, Chaoyin; Ouyang, Hongjian] Nanjing Forestry Univ, Coll Automobile &amp; Traff Engn, Nanjing 210037, Peoples R China; [Yang, Ming] Nanjing Inst City &amp; Transport Planning Co Ltd, Nanjing 210008, Peoples R China</t>
        </is>
      </c>
      <c r="Y1178" t="inlineStr">
        <is>
          <t>Nanjing Forestry University</t>
        </is>
      </c>
      <c r="Z1178" t="inlineStr">
        <is>
          <t>Wu, L (corresponding author), Nanjing Forestry Univ, Coll Automobile &amp; Traff Engn, Nanjing 210037, Peoples R China.</t>
        </is>
      </c>
      <c r="AA1178" t="inlineStr">
        <is>
          <t>wulan@njfu.edu.cn; cyyin@njfu.edu.cn</t>
        </is>
      </c>
      <c r="AB1178" t="inlineStr">
        <is>
          <t>Zhou, Yu/HHN-3071-2022</t>
        </is>
      </c>
      <c r="AD1178" t="inlineStr">
        <is>
          <t>National Natural Science Foundation of China [72204114]; Graduate Student Scientific Research Innovation Projects in Jiangsu Province [SJCX20_0278]</t>
        </is>
      </c>
      <c r="AE1178" t="inlineStr">
        <is>
          <t>National Natural Science Foundation of China(National Natural Science Foundation of China (NSFC)); Graduate Student Scientific Research Innovation Projects in Jiangsu Province</t>
        </is>
      </c>
      <c r="AF1178" t="inlineStr">
        <is>
          <t>This research was funded by The National Natural Science Foundation of China (NO. 72204114), The Graduate Student Scientific Research Innovation Projects in Jiangsu Province (NO. SJCX20_0278).</t>
        </is>
      </c>
      <c r="AH1178" t="n">
        <v>48</v>
      </c>
      <c r="AI1178" t="n">
        <v>0</v>
      </c>
      <c r="AJ1178" t="n">
        <v>0</v>
      </c>
      <c r="AK1178" t="n">
        <v>6</v>
      </c>
      <c r="AL1178" t="n">
        <v>6</v>
      </c>
      <c r="AM1178" t="inlineStr">
        <is>
          <t>MDPI</t>
        </is>
      </c>
      <c r="AN1178" t="inlineStr">
        <is>
          <t>BASEL</t>
        </is>
      </c>
      <c r="AO1178" t="inlineStr">
        <is>
          <t>ST ALBAN-ANLAGE 66, CH-4052 BASEL, SWITZERLAND</t>
        </is>
      </c>
      <c r="AQ1178" t="inlineStr">
        <is>
          <t>2071-1050</t>
        </is>
      </c>
      <c r="AS1178" t="inlineStr">
        <is>
          <t>SUSTAINABILITY-BASEL</t>
        </is>
      </c>
      <c r="AT1178" t="inlineStr">
        <is>
          <t>Sustainability</t>
        </is>
      </c>
      <c r="AU1178" t="inlineStr">
        <is>
          <t>JUN</t>
        </is>
      </c>
      <c r="AV1178" t="n">
        <v>2023</v>
      </c>
      <c r="AW1178" t="n">
        <v>15</v>
      </c>
      <c r="AX1178" t="n">
        <v>12</v>
      </c>
      <c r="BE1178" t="n">
        <v>9658</v>
      </c>
      <c r="BF1178" t="inlineStr">
        <is>
          <t>10.3390/su15129658</t>
        </is>
      </c>
      <c r="BG1178">
        <f>HYPERLINK("http://dx.doi.org/10.3390/su15129658","http://dx.doi.org/10.3390/su15129658")</f>
        <v/>
      </c>
      <c r="BJ1178" t="n">
        <v>14</v>
      </c>
      <c r="BK1178" t="inlineStr">
        <is>
          <t>Green &amp; Sustainable Science &amp; Technology; Environmental Sciences; Environmental Studies</t>
        </is>
      </c>
      <c r="BL1178" t="inlineStr">
        <is>
          <t>Science Citation Index Expanded (SCI-EXPANDED); Social Science Citation Index (SSCI)</t>
        </is>
      </c>
      <c r="BM1178" t="inlineStr">
        <is>
          <t>Science &amp; Technology - Other Topics; Environmental Sciences &amp; Ecology</t>
        </is>
      </c>
      <c r="BN1178" t="inlineStr">
        <is>
          <t>K3VC0</t>
        </is>
      </c>
      <c r="BP1178" t="inlineStr">
        <is>
          <t>gold</t>
        </is>
      </c>
      <c r="BS1178" t="inlineStr">
        <is>
          <t>2023-10-26</t>
        </is>
      </c>
      <c r="BT1178" t="inlineStr">
        <is>
          <t>WOS:001015738800001</t>
        </is>
      </c>
      <c r="BU1178">
        <f>HYPERLINK("https%3A%2F%2Fwww.webofscience.com%2Fwos%2Fwoscc%2Ffull-record%2FWOS:001015738800001","View Full Record in Web of Science")</f>
        <v/>
      </c>
    </row>
    <row r="1179">
      <c r="A1179" t="inlineStr">
        <is>
          <t>J</t>
        </is>
      </c>
      <c r="B1179" t="inlineStr">
        <is>
          <t>Quinn, A; Shaman, J</t>
        </is>
      </c>
      <c r="F1179" t="inlineStr">
        <is>
          <t>Quinn, Ashlinn; Shaman, Jeffrey</t>
        </is>
      </c>
      <c r="J1179" t="inlineStr">
        <is>
          <t>SCIENCE OF THE TOTAL ENVIRONMENT</t>
        </is>
      </c>
      <c r="M1179" t="inlineStr">
        <is>
          <t>English</t>
        </is>
      </c>
      <c r="N1179" t="inlineStr">
        <is>
          <t>Article</t>
        </is>
      </c>
      <c r="T1179" t="inlineStr">
        <is>
          <t>Indoor temperature and humidity in New York City apartments during winter</t>
        </is>
      </c>
      <c r="U1179" t="inlineStr">
        <is>
          <t>Humidity; Housing; Indoor air; Humidifier; Respiratory infection; Influenza</t>
        </is>
      </c>
      <c r="V1179" t="inlineStr">
        <is>
          <t>ABSOLUTE-HUMIDITY; INFLUENZA; COLD; TRANSMISSION; SURVIVAL; VIRUS; LOADS</t>
        </is>
      </c>
      <c r="W1179" t="inlineStr">
        <is>
          <t>Background: Concerns about indoor residential humidity have largely centered on dampness prevention. Overly dry air, however, may favor the survival of some viruses and hence respiratory infections. Many residents employ portable humidifiers to humidify their home environment, yet the effect of these humidifiers on indoor humidity is not known. Methods: We monitored indoor temperature and humidity in 34 apartments in New Yak City during winter 2014-2015. We combined information from the monitors with surveyed information on building, household, and apartment-level factors and with information on household humidifier use. Using multilevel regression models, we investigated the role of these factors on indoor absolute humidity levels during the winter. Results: Mean indoor vapor pressure (a measure of absolute humidity) was 6.7 mb in the surveyed homes during the winter season. Ownership of a humidifier was not associated with higher indoor humidity levels; however, larger building size (above 100 units) was significantly associated with lower humidity. The presence of a radiator heating system was non-significantly associated with higher humidity. Conclusions: The wintertime indoor environment in this sample of New York City apartments is dry. Future research is needed to evaluate the effectiveness of portable humidifiers in the home and to clarify the relationship between dry indoor air and the transmission of viral infections. (C) 2017 Elsevier B.V. All rights reserved.</t>
        </is>
      </c>
      <c r="X1179" t="inlineStr">
        <is>
          <t>[Quinn, Ashlinn; Shaman, Jeffrey] Columbia Univ, Mailman Sch Publ Hlth, Dept Environm Hlth Sci, 722 W 168th St,11th Floor, New York, NY 10032 USA</t>
        </is>
      </c>
      <c r="Y1179" t="inlineStr">
        <is>
          <t>Columbia University</t>
        </is>
      </c>
      <c r="Z1179" t="inlineStr">
        <is>
          <t>Quinn, A (corresponding author), Columbia Univ, Mailman Sch Publ Hlth, Dept Environm Hlth Sci, 722 W 168th St,11th Floor, New York, NY 10032 USA.</t>
        </is>
      </c>
      <c r="AA1179" t="inlineStr">
        <is>
          <t>ashlinn.quinn@nih.gov</t>
        </is>
      </c>
      <c r="AC1179" t="inlineStr">
        <is>
          <t>Quinn, Ashlinn/0000-0002-0050-2647</t>
        </is>
      </c>
      <c r="AD1179" t="inlineStr">
        <is>
          <t>National Institute of Environmental Health Sciences, via the Interdisciplinary Training Grant in Climate and Health [T32 ES023770]; Center for Environmental Health in Northern Manhattan [P30 ES009089]; National Institute of General Medical Sciences [GM100467]</t>
        </is>
      </c>
      <c r="AE1179" t="inlineStr">
        <is>
          <t>National Institute of Environmental Health Sciences, via the Interdisciplinary Training Grant in Climate and Health; Center for Environmental Health in Northern Manhattan; National Institute of General Medical Sciences(United States Department of Health &amp; Human ServicesNational Institutes of Health (NIH) - USANIH National Institute of General Medical Sciences (NIGMS))</t>
        </is>
      </c>
      <c r="AF1179" t="inlineStr">
        <is>
          <t>AQ's contributions to this work were supported by the United States' National Institute of Environmental Health Sciences, via the Interdisciplinary Training Grant in Climate and Health (Grant No. T32 ES023770) and the Center for Environmental Health in Northern Manhattan (Grant No. P30 ES009089). JS received support from the National Institute of General Medical Sciences (Grant No. GM100467).</t>
        </is>
      </c>
      <c r="AH1179" t="n">
        <v>26</v>
      </c>
      <c r="AI1179" t="n">
        <v>21</v>
      </c>
      <c r="AJ1179" t="n">
        <v>22</v>
      </c>
      <c r="AK1179" t="n">
        <v>2</v>
      </c>
      <c r="AL1179" t="n">
        <v>23</v>
      </c>
      <c r="AM1179" t="inlineStr">
        <is>
          <t>ELSEVIER</t>
        </is>
      </c>
      <c r="AN1179" t="inlineStr">
        <is>
          <t>AMSTERDAM</t>
        </is>
      </c>
      <c r="AO1179" t="inlineStr">
        <is>
          <t>RADARWEG 29, 1043 NX AMSTERDAM, NETHERLANDS</t>
        </is>
      </c>
      <c r="AP1179" t="inlineStr">
        <is>
          <t>0048-9697</t>
        </is>
      </c>
      <c r="AQ1179" t="inlineStr">
        <is>
          <t>1879-1026</t>
        </is>
      </c>
      <c r="AS1179" t="inlineStr">
        <is>
          <t>SCI TOTAL ENVIRON</t>
        </is>
      </c>
      <c r="AT1179" t="inlineStr">
        <is>
          <t>Sci. Total Environ.</t>
        </is>
      </c>
      <c r="AU1179" t="inlineStr">
        <is>
          <t>APR 1</t>
        </is>
      </c>
      <c r="AV1179" t="n">
        <v>2017</v>
      </c>
      <c r="AW1179" t="n">
        <v>583</v>
      </c>
      <c r="BC1179" t="n">
        <v>29</v>
      </c>
      <c r="BD1179" t="n">
        <v>35</v>
      </c>
      <c r="BF1179" t="inlineStr">
        <is>
          <t>10.1016/j.scitotenv.2016.12.183</t>
        </is>
      </c>
      <c r="BG1179">
        <f>HYPERLINK("http://dx.doi.org/10.1016/j.scitotenv.2016.12.183","http://dx.doi.org/10.1016/j.scitotenv.2016.12.183")</f>
        <v/>
      </c>
      <c r="BJ1179" t="n">
        <v>7</v>
      </c>
      <c r="BK1179" t="inlineStr">
        <is>
          <t>Environmental Sciences</t>
        </is>
      </c>
      <c r="BL1179" t="inlineStr">
        <is>
          <t>Science Citation Index Expanded (SCI-EXPANDED)</t>
        </is>
      </c>
      <c r="BM1179" t="inlineStr">
        <is>
          <t>Environmental Sciences &amp; Ecology</t>
        </is>
      </c>
      <c r="BN1179" t="inlineStr">
        <is>
          <t>EL3YK</t>
        </is>
      </c>
      <c r="BO1179" t="n">
        <v>28108095</v>
      </c>
      <c r="BP1179" t="inlineStr">
        <is>
          <t>Green Accepted</t>
        </is>
      </c>
      <c r="BS1179" t="inlineStr">
        <is>
          <t>2023-10-26</t>
        </is>
      </c>
      <c r="BT1179" t="inlineStr">
        <is>
          <t>WOS:000394556400004</t>
        </is>
      </c>
      <c r="BU1179">
        <f>HYPERLINK("https%3A%2F%2Fwww.webofscience.com%2Fwos%2Fwoscc%2Ffull-record%2FWOS:000394556400004","View Full Record in Web of Science")</f>
        <v/>
      </c>
    </row>
    <row r="1180">
      <c r="A1180" t="inlineStr">
        <is>
          <t>J</t>
        </is>
      </c>
      <c r="B1180" t="inlineStr">
        <is>
          <t>Yeh, TM; Pai, FY; Jeng, MY</t>
        </is>
      </c>
      <c r="F1180" t="inlineStr">
        <is>
          <t>Yeh, Tsu-Ming; Pai, Fan-Yun; Jeng, Mei-Yuan</t>
        </is>
      </c>
      <c r="J1180" t="inlineStr">
        <is>
          <t>INTERNATIONAL JOURNAL OF ENVIRONMENTAL RESEARCH AND PUBLIC HEALTH</t>
        </is>
      </c>
      <c r="M1180" t="inlineStr">
        <is>
          <t>English</t>
        </is>
      </c>
      <c r="N1180" t="inlineStr">
        <is>
          <t>Article</t>
        </is>
      </c>
      <c r="T1180" t="inlineStr">
        <is>
          <t>The Factors Affecting Older Adults' Intention toward Ongoing Participation in Virtual Reality Leisure Activities</t>
        </is>
      </c>
      <c r="U1180" t="inlineStr">
        <is>
          <t>virtual reality; leisure activity; ongoing participation; experience values</t>
        </is>
      </c>
      <c r="V1180" t="inlineStr">
        <is>
          <t>USER ACCEPTANCE; SERVICE QUALITY; CUSTOMER VALUE; SATISFACTION; EXPERIENCE; MODELS; HEALTH</t>
        </is>
      </c>
      <c r="W1180" t="inlineStr">
        <is>
          <t>Due to the aging of organs, older adults may have limited physical strength for participating in outdoor activities. Therefore, indoor activities offer an alternative for maintaining the health of older adults. Following advances in technology, individuals can use virtual reality to exercise in their homes and are no longer subject to the constraints of the outdoor environment or weather conditions. In addition, these activities are easier to participate in when compared to real-world leisure activities. The present research included 294 older adults as its research subjects. They were given firsthand experience of Wii games for 10 weeks, in order to examine the ongoing participation intention of older adults following an experience with virtual reality leisure activities. The study found that experience attributes, experience consequences, and experience values were important factors in determining ongoing participation intention and can effectively predict ongoing participation intention. Four experience attributesease of use, usefulness, safety and flexibility, and funsignificantly influenced the experience value and experience consequences of older adults' participants. Experience values also influenced ongoing participation intention.</t>
        </is>
      </c>
      <c r="X1180" t="inlineStr">
        <is>
          <t>[Yeh, Tsu-Ming] Natl Quemoy Univ, Dept Ind Engn &amp; Management, Kinmen 892, Taiwan; [Pai, Fan-Yun] Natl Changhua Univ Educ, Dept Business Adm, Changhua 500, Taiwan; [Jeng, Mei-Yuan] Da Yeh Univ, Dept Leisure Recreat &amp; Management, Changhua 515, Taiwan</t>
        </is>
      </c>
      <c r="Y1180" t="inlineStr">
        <is>
          <t>National Changhua University of Education; Da Yeh University</t>
        </is>
      </c>
      <c r="Z1180" t="inlineStr">
        <is>
          <t>Pai, FY (corresponding author), Natl Changhua Univ Educ, Dept Business Adm, Changhua 500, Taiwan.;Jeng, MY (corresponding author), Da Yeh Univ, Dept Leisure Recreat &amp; Management, Changhua 515, Taiwan.</t>
        </is>
      </c>
      <c r="AA1180" t="inlineStr">
        <is>
          <t>tmyeh@nqu.edu.tw; fypai@cc.ncue.edu.tw; mei521113@yahoo.com.tw</t>
        </is>
      </c>
      <c r="AB1180" t="inlineStr">
        <is>
          <t>Hidayat, Ima Kusumawati/ABF-6870-2021</t>
        </is>
      </c>
      <c r="AC1180" t="inlineStr">
        <is>
          <t>Hidayat, Ima Kusumawati/0000-0002-3387-9213; Yeh, Tsu-Ming/0000-0001-7571-3177</t>
        </is>
      </c>
      <c r="AH1180" t="n">
        <v>49</v>
      </c>
      <c r="AI1180" t="n">
        <v>8</v>
      </c>
      <c r="AJ1180" t="n">
        <v>8</v>
      </c>
      <c r="AK1180" t="n">
        <v>5</v>
      </c>
      <c r="AL1180" t="n">
        <v>24</v>
      </c>
      <c r="AM1180" t="inlineStr">
        <is>
          <t>MDPI</t>
        </is>
      </c>
      <c r="AN1180" t="inlineStr">
        <is>
          <t>BASEL</t>
        </is>
      </c>
      <c r="AO1180" t="inlineStr">
        <is>
          <t>ST ALBAN-ANLAGE 66, CH-4052 BASEL, SWITZERLAND</t>
        </is>
      </c>
      <c r="AQ1180" t="inlineStr">
        <is>
          <t>1660-4601</t>
        </is>
      </c>
      <c r="AS1180" t="inlineStr">
        <is>
          <t>INT J ENV RES PUB HE</t>
        </is>
      </c>
      <c r="AT1180" t="inlineStr">
        <is>
          <t>Int. J. Environ. Res. Public Health</t>
        </is>
      </c>
      <c r="AU1180" t="inlineStr">
        <is>
          <t>FEB 1</t>
        </is>
      </c>
      <c r="AV1180" t="n">
        <v>2019</v>
      </c>
      <c r="AW1180" t="n">
        <v>16</v>
      </c>
      <c r="AX1180" t="n">
        <v>3</v>
      </c>
      <c r="BE1180" t="n">
        <v>333</v>
      </c>
      <c r="BF1180" t="inlineStr">
        <is>
          <t>10.3390/ijerph16030333</t>
        </is>
      </c>
      <c r="BG1180">
        <f>HYPERLINK("http://dx.doi.org/10.3390/ijerph16030333","http://dx.doi.org/10.3390/ijerph16030333")</f>
        <v/>
      </c>
      <c r="BJ1180" t="n">
        <v>13</v>
      </c>
      <c r="BK1180" t="inlineStr">
        <is>
          <t>Environmental Sciences; Public, Environmental &amp; Occupational Health</t>
        </is>
      </c>
      <c r="BL1180" t="inlineStr">
        <is>
          <t>Science Citation Index Expanded (SCI-EXPANDED); Social Science Citation Index (SSCI)</t>
        </is>
      </c>
      <c r="BM1180" t="inlineStr">
        <is>
          <t>Environmental Sciences &amp; Ecology; Public, Environmental &amp; Occupational Health</t>
        </is>
      </c>
      <c r="BN1180" t="inlineStr">
        <is>
          <t>HM0CQ</t>
        </is>
      </c>
      <c r="BO1180" t="n">
        <v>30691062</v>
      </c>
      <c r="BP1180" t="inlineStr">
        <is>
          <t>Green Published, gold, Green Submitted</t>
        </is>
      </c>
      <c r="BS1180" t="inlineStr">
        <is>
          <t>2023-10-26</t>
        </is>
      </c>
      <c r="BT1180" t="inlineStr">
        <is>
          <t>WOS:000459113600039</t>
        </is>
      </c>
      <c r="BU1180">
        <f>HYPERLINK("https%3A%2F%2Fwww.webofscience.com%2Fwos%2Fwoscc%2Ffull-record%2FWOS:000459113600039","View Full Record in Web of Science")</f>
        <v/>
      </c>
    </row>
    <row r="1181">
      <c r="A1181" t="inlineStr">
        <is>
          <t>J</t>
        </is>
      </c>
      <c r="B1181" t="inlineStr">
        <is>
          <t>Jeong, SG; Wallace, L; Rim, D</t>
        </is>
      </c>
      <c r="F1181" t="inlineStr">
        <is>
          <t>Jeong, Su-Gwang; Wallace, Lance; Rim, Donghyun</t>
        </is>
      </c>
      <c r="J1181" t="inlineStr">
        <is>
          <t>ENVIRONMENTAL SCIENCE &amp; TECHNOLOGY</t>
        </is>
      </c>
      <c r="M1181" t="inlineStr">
        <is>
          <t>English</t>
        </is>
      </c>
      <c r="N1181" t="inlineStr">
        <is>
          <t>Article</t>
        </is>
      </c>
      <c r="T1181" t="inlineStr">
        <is>
          <t>Contributions of Coagulation, Deposition, and Ventilation to the Removal of Airborne Nanoparticles in Indoor Environments</t>
        </is>
      </c>
      <c r="U1181" t="inlineStr">
        <is>
          <t>indoor air; aerosol dynamic model; ultrafine particles; particle size distribution; indoor activities</t>
        </is>
      </c>
      <c r="V1181" t="inlineStr">
        <is>
          <t>PARTICLE-SIZE DISTRIBUTIONS; ULTRAFINE PARTICLE; PARTICULATE MATTER; EMISSION RATES; SOURCE STRENGTHS; FINE PARTICLES; AIR-POLLUTION; EXPOSURE; COOKING; RESUSPENSION</t>
        </is>
      </c>
      <c r="W1181" t="inlineStr">
        <is>
          <t>Airborne nanoparticles are frequently released in occupied spaces due to episodic indoor source activities. Once generated, nanoparticles undergo aerosol transformation processes such as coagulation and deposition. These aerosol processes lead to changes in particle concentration and size distribution over time and accordingly affect human exposure to nanoparticles. The present study establishes a framework for an indoor particle dynamic model that can predict time- and size-dependent particle concentrations after episodic indoor emission events. The model was evaluated with six experimental data sets obtained from previous measurement studies in the literature. The indoor particle dynamic model quantified the relative contributions of three particle loss mechanisms (i.e., coagulation, deposition, and ventilation) to the total reduction in number concentration. The results show that particle coagulation and indoor surface deposition are two dominant processes responsible for temporal changes in particle size and concentration following indoor emission events. The first-order equivalent coagulation loss rate notably varies with indoor emission source and accounts for up to 59% of the total particle loss for burning a candle, 42% for broiling a fish, and 10% for burning incense. The results reveal that while the coagulation loss rate changes markedly with the particle concentration and source type, the deposition loss rate is more dependent on particle size. Compared to coagulation and deposition, the effect of ventilation is marginal for most of the nanoparticle emission events indoors; however, ventilation loss becomes pronounced with the decrease of particle concentration below 5 x 10(4) cm(-3) especially for particles larger than 100 nm in aerodynamic diameter.</t>
        </is>
      </c>
      <c r="X1181" t="inlineStr">
        <is>
          <t>[Jeong, Su-Gwang] Soongsil Univ, Dept Architectural Engn, Seoul 06978, South Korea; [Wallace, Lance] Wallace Res, Santa Rosa, CA 95409 USA; [Rim, Donghyun] Penn State Univ, Dept Architectural Engn, University Pk, PA 16802 USA</t>
        </is>
      </c>
      <c r="Y1181" t="inlineStr">
        <is>
          <t>Soongsil University; Pennsylvania Commonwealth System of Higher Education (PCSHE); Pennsylvania State University; Pennsylvania State University - University Park</t>
        </is>
      </c>
      <c r="Z1181" t="inlineStr">
        <is>
          <t>Rim, D (corresponding author), Penn State Univ, Dept Architectural Engn, University Pk, PA 16802 USA.</t>
        </is>
      </c>
      <c r="AA1181" t="inlineStr">
        <is>
          <t>drim@psu.edu</t>
        </is>
      </c>
      <c r="AB1181" t="inlineStr">
        <is>
          <t>Wallace, Lance A/K-7264-2013</t>
        </is>
      </c>
      <c r="AC1181" t="inlineStr">
        <is>
          <t>Wallace, Lance/0000-0002-6635-2303</t>
        </is>
      </c>
      <c r="AD1181" t="inlineStr">
        <is>
          <t>U.S. National Science Foundation (NSF) [1944325]; National Research Foundation of Korea - Ministry of Education [NRF-2020R1A6A1A03044977]; Directorate For Engineering; Div Of Chem, Bioeng, Env, &amp; Transp Sys [1944325] Funding Source: National Science Foundation</t>
        </is>
      </c>
      <c r="AE1181" t="inlineStr">
        <is>
          <t>U.S. National Science Foundation (NSF)(National Science Foundation (NSF)); National Research Foundation of Korea - Ministry of Education; Directorate For Engineering; Div Of Chem, Bioeng, Env, &amp; Transp Sys(National Science Foundation (NSF)NSF - Directorate for Engineering (ENG))</t>
        </is>
      </c>
      <c r="AF1181" t="inlineStr">
        <is>
          <t>The research presented in this paper was supported by the U.S. National Science Foundation (NSF Grant 1944325) and the Basic Science Research Program through the National Research Foundation of Korea funded by the Ministry of Education (NRF-2020R1A6A1A03044977).</t>
        </is>
      </c>
      <c r="AH1181" t="n">
        <v>55</v>
      </c>
      <c r="AI1181" t="n">
        <v>4</v>
      </c>
      <c r="AJ1181" t="n">
        <v>4</v>
      </c>
      <c r="AK1181" t="n">
        <v>6</v>
      </c>
      <c r="AL1181" t="n">
        <v>23</v>
      </c>
      <c r="AM1181" t="inlineStr">
        <is>
          <t>AMER CHEMICAL SOC</t>
        </is>
      </c>
      <c r="AN1181" t="inlineStr">
        <is>
          <t>WASHINGTON</t>
        </is>
      </c>
      <c r="AO1181" t="inlineStr">
        <is>
          <t>1155 16TH ST, NW, WASHINGTON, DC 20036 USA</t>
        </is>
      </c>
      <c r="AP1181" t="inlineStr">
        <is>
          <t>0013-936X</t>
        </is>
      </c>
      <c r="AQ1181" t="inlineStr">
        <is>
          <t>1520-5851</t>
        </is>
      </c>
      <c r="AS1181" t="inlineStr">
        <is>
          <t>ENVIRON SCI TECHNOL</t>
        </is>
      </c>
      <c r="AT1181" t="inlineStr">
        <is>
          <t>Environ. Sci. Technol.</t>
        </is>
      </c>
      <c r="AU1181" t="inlineStr">
        <is>
          <t>JUL 20</t>
        </is>
      </c>
      <c r="AV1181" t="n">
        <v>2021</v>
      </c>
      <c r="AW1181" t="n">
        <v>55</v>
      </c>
      <c r="AX1181" t="n">
        <v>14</v>
      </c>
      <c r="BA1181" t="inlineStr">
        <is>
          <t>SI</t>
        </is>
      </c>
      <c r="BC1181" t="n">
        <v>9730</v>
      </c>
      <c r="BD1181" t="n">
        <v>9739</v>
      </c>
      <c r="BF1181" t="inlineStr">
        <is>
          <t>10.1021/acs.est.0c08739</t>
        </is>
      </c>
      <c r="BG1181">
        <f>HYPERLINK("http://dx.doi.org/10.1021/acs.est.0c08739","http://dx.doi.org/10.1021/acs.est.0c08739")</f>
        <v/>
      </c>
      <c r="BI1181" t="inlineStr">
        <is>
          <t>JUL 2021</t>
        </is>
      </c>
      <c r="BJ1181" t="n">
        <v>10</v>
      </c>
      <c r="BK1181" t="inlineStr">
        <is>
          <t>Engineering, Environmental; Environmental Sciences</t>
        </is>
      </c>
      <c r="BL1181" t="inlineStr">
        <is>
          <t>Science Citation Index Expanded (SCI-EXPANDED)</t>
        </is>
      </c>
      <c r="BM1181" t="inlineStr">
        <is>
          <t>Engineering; Environmental Sciences &amp; Ecology</t>
        </is>
      </c>
      <c r="BN1181" t="inlineStr">
        <is>
          <t>TP3GS</t>
        </is>
      </c>
      <c r="BO1181" t="n">
        <v>34213881</v>
      </c>
      <c r="BS1181" t="inlineStr">
        <is>
          <t>2023-10-26</t>
        </is>
      </c>
      <c r="BT1181" t="inlineStr">
        <is>
          <t>WOS:000677482500034</t>
        </is>
      </c>
      <c r="BU1181">
        <f>HYPERLINK("https%3A%2F%2Fwww.webofscience.com%2Fwos%2Fwoscc%2Ffull-record%2FWOS:000677482500034","View Full Record in Web of Science")</f>
        <v/>
      </c>
    </row>
    <row r="1182">
      <c r="A1182" t="inlineStr">
        <is>
          <t>J</t>
        </is>
      </c>
      <c r="B1182" t="inlineStr">
        <is>
          <t>Alfa, MT; Öztürk, A</t>
        </is>
      </c>
      <c r="F1182" t="inlineStr">
        <is>
          <t>Alfa, M. T.; Ozturk, A.</t>
        </is>
      </c>
      <c r="J1182" t="inlineStr">
        <is>
          <t>APPLIED ECOLOGY AND ENVIRONMENTAL RESEARCH</t>
        </is>
      </c>
      <c r="M1182" t="inlineStr">
        <is>
          <t>English</t>
        </is>
      </c>
      <c r="N1182" t="inlineStr">
        <is>
          <t>Article</t>
        </is>
      </c>
      <c r="T1182" t="inlineStr">
        <is>
          <t>PERCEIVED INDOOR ENVIRONMENTAL QUALITY OF HOSPITAL WARDS AND PATIENTS' OUTCOMES: A STUDY OF A GENERAL HOSPITAL, MINNA, NIGERIA</t>
        </is>
      </c>
      <c r="U1182" t="inlineStr">
        <is>
          <t>architectural design; thermal comfort; adaptive opportunities; lighting; indoor air quality; acoustics; health recovery; health satisfaction; hospital ward</t>
        </is>
      </c>
      <c r="V1182" t="inlineStr">
        <is>
          <t>HEALTH-CARE FACILITIES; THERMAL COMFORT; AIR-QUALITY; PLS-SEM; DESIGN; MODELS; NOISE; TEMPERATURE; PERFORMANCE; PERCEPTION</t>
        </is>
      </c>
      <c r="W1182" t="inlineStr">
        <is>
          <t>The objective of this study was to assess patients' perceptions of the indoor environment of wards in a hospital in terms of architectural design, thermal comfort, indoor air quality (IAQ), lighting and acoustical parameters. The study attempted to determine the factors influencing the perceived indoor environmental quality (PIEQ) and explored the relationships between the perceived importance of indoor environmental quality (PI-IEQ) and health recovery, health satisfaction and therapeutic ambience of the hospital. A field study of the indoor environmental quality (IEQ) of 4 wards in the General hospital at Minna, Niger state, Nigeria was conducted, and responses from 271 patients were obtained. Structural equation modelling was employed for data analysis. The research identified the six IEQ factors that influenced PIEQ as architectural design features, thermal comfort, adaptive opportunities, lighting, IAQ and acoustics aspects. PIEQ had a positive influence on a ward being perceived as conducive for wellbeing. It was observed that health satisfaction had the most significant and positive influence on PIEQ. The second most positive influence was health recovery. Therapeutic ambience also had a positive influence on PI-IEQ but this was not significant.</t>
        </is>
      </c>
      <c r="X1182" t="inlineStr">
        <is>
          <t>[Alfa, M. T.; Ozturk, A.] Cyprus Int Univ, Dept Architecture, Via Mersin 10, Haspolat, Turkey</t>
        </is>
      </c>
      <c r="Y1182" t="inlineStr">
        <is>
          <t>Cyprus International University</t>
        </is>
      </c>
      <c r="Z1182" t="inlineStr">
        <is>
          <t>Alfa, MT (corresponding author), Cyprus Int Univ, Dept Architecture, Via Mersin 10, Haspolat, Turkey.</t>
        </is>
      </c>
      <c r="AA1182" t="inlineStr">
        <is>
          <t>mohammedtalfa@yahoo.com</t>
        </is>
      </c>
      <c r="AH1182" t="n">
        <v>110</v>
      </c>
      <c r="AI1182" t="n">
        <v>6</v>
      </c>
      <c r="AJ1182" t="n">
        <v>7</v>
      </c>
      <c r="AK1182" t="n">
        <v>3</v>
      </c>
      <c r="AL1182" t="n">
        <v>26</v>
      </c>
      <c r="AM1182" t="inlineStr">
        <is>
          <t>ALOKI Applied Ecological Research and Forensic Inst Ltd</t>
        </is>
      </c>
      <c r="AN1182" t="inlineStr">
        <is>
          <t>Budapest</t>
        </is>
      </c>
      <c r="AO1182" t="inlineStr">
        <is>
          <t>Kassa u. 118, Budapest, HUNGARY</t>
        </is>
      </c>
      <c r="AP1182" t="inlineStr">
        <is>
          <t>1589-1623</t>
        </is>
      </c>
      <c r="AQ1182" t="inlineStr">
        <is>
          <t>1785-0037</t>
        </is>
      </c>
      <c r="AS1182" t="inlineStr">
        <is>
          <t>APPL ECOL ENV RES</t>
        </is>
      </c>
      <c r="AT1182" t="inlineStr">
        <is>
          <t>Appl. Ecol. Environ. Res.</t>
        </is>
      </c>
      <c r="AV1182" t="n">
        <v>2019</v>
      </c>
      <c r="AW1182" t="n">
        <v>17</v>
      </c>
      <c r="AX1182" t="n">
        <v>4</v>
      </c>
      <c r="BC1182" t="n">
        <v>8235</v>
      </c>
      <c r="BD1182" t="n">
        <v>8259</v>
      </c>
      <c r="BF1182" t="inlineStr">
        <is>
          <t>10.15666/aeer/1704_82358259</t>
        </is>
      </c>
      <c r="BG1182">
        <f>HYPERLINK("http://dx.doi.org/10.15666/aeer/1704_82358259","http://dx.doi.org/10.15666/aeer/1704_82358259")</f>
        <v/>
      </c>
      <c r="BJ1182" t="n">
        <v>25</v>
      </c>
      <c r="BK1182" t="inlineStr">
        <is>
          <t>Ecology; Environmental Sciences</t>
        </is>
      </c>
      <c r="BL1182" t="inlineStr">
        <is>
          <t>Science Citation Index Expanded (SCI-EXPANDED)</t>
        </is>
      </c>
      <c r="BM1182" t="inlineStr">
        <is>
          <t>Environmental Sciences &amp; Ecology</t>
        </is>
      </c>
      <c r="BN1182" t="inlineStr">
        <is>
          <t>IM5XG</t>
        </is>
      </c>
      <c r="BP1182" t="inlineStr">
        <is>
          <t>gold</t>
        </is>
      </c>
      <c r="BS1182" t="inlineStr">
        <is>
          <t>2023-10-26</t>
        </is>
      </c>
      <c r="BT1182" t="inlineStr">
        <is>
          <t>WOS:000478066700072</t>
        </is>
      </c>
      <c r="BU1182">
        <f>HYPERLINK("https%3A%2F%2Fwww.webofscience.com%2Fwos%2Fwoscc%2Ffull-record%2FWOS:000478066700072","View Full Record in Web of Science")</f>
        <v/>
      </c>
    </row>
    <row r="1183">
      <c r="A1183" t="inlineStr">
        <is>
          <t>J</t>
        </is>
      </c>
      <c r="B1183" t="inlineStr">
        <is>
          <t>Liu, NN; He, YJ; Li, ZR</t>
        </is>
      </c>
      <c r="F1183" t="inlineStr">
        <is>
          <t>Liu, Ningning; He, Yujing; Li, Zhirong</t>
        </is>
      </c>
      <c r="J1183" t="inlineStr">
        <is>
          <t>INTERNATIONAL JOURNAL OF ENVIRONMENTAL RESEARCH AND PUBLIC HEALTH</t>
        </is>
      </c>
      <c r="M1183" t="inlineStr">
        <is>
          <t>English</t>
        </is>
      </c>
      <c r="N1183" t="inlineStr">
        <is>
          <t>Article</t>
        </is>
      </c>
      <c r="T1183" t="inlineStr">
        <is>
          <t>The Relationship between Internet Use and Self-Rated Health among Older Adults in China: The Mediating Role of Social Support</t>
        </is>
      </c>
      <c r="U1183" t="inlineStr">
        <is>
          <t>Internet use; older adults; self-rated health</t>
        </is>
      </c>
      <c r="V1183" t="inlineStr">
        <is>
          <t>INFORMATION; IMPACT; SEEKING; OTHERS</t>
        </is>
      </c>
      <c r="W1183" t="inlineStr">
        <is>
          <t>The development of Internet technology has significantly impacted how people live their daily lives. How this disparity in Internet use affects the self-rated health of older adults needs to be further explored. This paper studies the impact of Internet use on self-rated health, aiming to examine the effect of Internet use and social support on the self-rated health of older adults in China. This study used data from the 2017 China General Social Survey (CGSS) to verify the effect of Internet use on older adults' self-rated health. The results showed that Chinese elderly who used the Internet had a higher self-rated health, and social support from relatives and friends significantly improved the elderly's self-rated health. This social support played a critical, partially mediating role between Internet use and self-rated health. In China, the effect of Internet use on older adults' self-rated health was heterogeneous. Among them, the impact of Internet use was more significant for the male elderly, younger elderly, and rural elderly. The results suggest that the government should formulate targeted policies to improve the utilization of the Internet and maintain a good Internet environment to enhance the well-being of older adults according to the trend of population aging and the popularity of the Internet.</t>
        </is>
      </c>
      <c r="X1183" t="inlineStr">
        <is>
          <t>[Liu, Ningning] Cent South Univ, Sch Publ Adm, Changsha 410083, Peoples R China; [He, Yujing; Li, Zhirong] Cent South Univ, Sch Architecture &amp; Art, Changsha 410083, Peoples R China</t>
        </is>
      </c>
      <c r="Y1183" t="inlineStr">
        <is>
          <t>Central South University; Central South University</t>
        </is>
      </c>
      <c r="Z1183" t="inlineStr">
        <is>
          <t>Li, ZR (corresponding author), Cent South Univ, Sch Architecture &amp; Art, Changsha 410083, Peoples R China.</t>
        </is>
      </c>
      <c r="AA1183" t="inlineStr">
        <is>
          <t>139140@csu.edu.cn</t>
        </is>
      </c>
      <c r="AB1183" t="inlineStr">
        <is>
          <t>Li, Zhi-Rong/F-5809-2015; He, Yujing/HJY-9184-2023</t>
        </is>
      </c>
      <c r="AC1183" t="inlineStr">
        <is>
          <t>Li, Zhi-Rong/0000-0001-8055-0683; Liu, Ningning/0009-0008-2715-4110</t>
        </is>
      </c>
      <c r="AD1183" t="inlineStr">
        <is>
          <t>National Social Science Fund of China [20ASH005]; Natural Science Foundation of China [72174212]</t>
        </is>
      </c>
      <c r="AE1183" t="inlineStr">
        <is>
          <t>National Social Science Fund of China; Natural Science Foundation of China(National Natural Science Foundation of China (NSFC))</t>
        </is>
      </c>
      <c r="AF1183" t="inlineStr">
        <is>
          <t>This research was funded by the National Social Science Fund of China (20ASH005) and the Natural Science Foundation of China (72174212).</t>
        </is>
      </c>
      <c r="AH1183" t="n">
        <v>59</v>
      </c>
      <c r="AI1183" t="n">
        <v>2</v>
      </c>
      <c r="AJ1183" t="n">
        <v>2</v>
      </c>
      <c r="AK1183" t="n">
        <v>32</v>
      </c>
      <c r="AL1183" t="n">
        <v>74</v>
      </c>
      <c r="AM1183" t="inlineStr">
        <is>
          <t>MDPI</t>
        </is>
      </c>
      <c r="AN1183" t="inlineStr">
        <is>
          <t>BASEL</t>
        </is>
      </c>
      <c r="AO1183" t="inlineStr">
        <is>
          <t>ST ALBAN-ANLAGE 66, CH-4052 BASEL, SWITZERLAND</t>
        </is>
      </c>
      <c r="AQ1183" t="inlineStr">
        <is>
          <t>1660-4601</t>
        </is>
      </c>
      <c r="AS1183" t="inlineStr">
        <is>
          <t>INT J ENV RES PUB HE</t>
        </is>
      </c>
      <c r="AT1183" t="inlineStr">
        <is>
          <t>Int. J. Environ. Res. Public Health</t>
        </is>
      </c>
      <c r="AU1183" t="inlineStr">
        <is>
          <t>NOV</t>
        </is>
      </c>
      <c r="AV1183" t="n">
        <v>2022</v>
      </c>
      <c r="AW1183" t="n">
        <v>19</v>
      </c>
      <c r="AX1183" t="n">
        <v>22</v>
      </c>
      <c r="BE1183" t="n">
        <v>14785</v>
      </c>
      <c r="BF1183" t="inlineStr">
        <is>
          <t>10.3390/ijerph192214785</t>
        </is>
      </c>
      <c r="BG1183">
        <f>HYPERLINK("http://dx.doi.org/10.3390/ijerph192214785","http://dx.doi.org/10.3390/ijerph192214785")</f>
        <v/>
      </c>
      <c r="BJ1183" t="n">
        <v>16</v>
      </c>
      <c r="BK1183" t="inlineStr">
        <is>
          <t>Environmental Sciences; Public, Environmental &amp; Occupational Health</t>
        </is>
      </c>
      <c r="BL1183" t="inlineStr">
        <is>
          <t>Science Citation Index Expanded (SCI-EXPANDED); Social Science Citation Index (SSCI)</t>
        </is>
      </c>
      <c r="BM1183" t="inlineStr">
        <is>
          <t>Environmental Sciences &amp; Ecology; Public, Environmental &amp; Occupational Health</t>
        </is>
      </c>
      <c r="BN1183" t="inlineStr">
        <is>
          <t>6K2ZC</t>
        </is>
      </c>
      <c r="BO1183" t="n">
        <v>36429504</v>
      </c>
      <c r="BP1183" t="inlineStr">
        <is>
          <t>gold, Green Published</t>
        </is>
      </c>
      <c r="BS1183" t="inlineStr">
        <is>
          <t>2023-10-26</t>
        </is>
      </c>
      <c r="BT1183" t="inlineStr">
        <is>
          <t>WOS:000887375900001</t>
        </is>
      </c>
      <c r="BU1183">
        <f>HYPERLINK("https%3A%2F%2Fwww.webofscience.com%2Fwos%2Fwoscc%2Ffull-record%2FWOS:000887375900001","View Full Record in Web of Science")</f>
        <v/>
      </c>
    </row>
    <row r="1184">
      <c r="A1184" t="inlineStr">
        <is>
          <t>J</t>
        </is>
      </c>
      <c r="B1184" t="inlineStr">
        <is>
          <t>Zhang, ZY; Yu, Y; Chen, L; Chen, RZ</t>
        </is>
      </c>
      <c r="F1184" t="inlineStr">
        <is>
          <t>Zhang, Zhengyan; Yu, Yue; Chen, Liang; Chen, Ruizhi</t>
        </is>
      </c>
      <c r="J1184" t="inlineStr">
        <is>
          <t>REMOTE SENSING</t>
        </is>
      </c>
      <c r="M1184" t="inlineStr">
        <is>
          <t>English</t>
        </is>
      </c>
      <c r="N1184" t="inlineStr">
        <is>
          <t>Article</t>
        </is>
      </c>
      <c r="T1184" t="inlineStr">
        <is>
          <t>Hybrid Indoor Positioning System Based on Acoustic Ranging and Wi-Fi Fingerprinting under NLOS Environments</t>
        </is>
      </c>
      <c r="U1184" t="inlineStr">
        <is>
          <t>indoor positioning system; acoustic ranging; Wi-Fi fingerprinting; data and model dual-driven; adaptive unscented Kalman filter</t>
        </is>
      </c>
      <c r="V1184" t="inlineStr">
        <is>
          <t>INTEGRATION; SENSORS</t>
        </is>
      </c>
      <c r="W1184" t="inlineStr">
        <is>
          <t>An accurate indoor positioning system (IPS) for the public has become an essential function with the fast development of smart city-related applications. The performance of the current IPS is limited by the complex indoor environments, the poor performance of smartphone built-in sensors, and time-varying measurement errors of different location sources. This paper introduces a hybrid indoor positioning system (H-IPS) that combines acoustic ranging, Wi-Fi fingerprinting, and low-cost sensors. This system is designed specifically for large-scale indoor environments with non-line-of-sight (NLOS) conditions. To improve the accuracy in estimating pedestrian motion trajectory, a data and model dual-driven (DMDD) model is proposed to integrate the inertial navigation system (INS) mechanization and the deep learning-based speed estimator. Additionally, a double-weighted K-nearest neighbor matching algorithm enhanced the accuracy of Wi-Fi fingerprinting and scene recognition. The detected scene results were then utilized for NLOS detection and estimation of acoustic ranging results. Finally, an adaptive unscented Kalman filter (AUKF) was developed to provide universal positioning performance, which further improved by the Wi-Fi accuracy indicator and acoustic drift estimator. The experimental results demonstrate that the presented H-IPS achieves precise positioning under NLOS scenes, with meter-level accuracy attainable within the coverage range of acoustic signals.</t>
        </is>
      </c>
      <c r="X1184" t="inlineStr">
        <is>
          <t>[Zhang, Zhengyan] Harbin Inst Technol, Sch Mech Engn &amp; Automat, Shenzhen 518000, Peoples R China; [Yu, Yue] Hong Kong Polytech Univ, Dept Land Surveying &amp; Geoinformat, Hong Kong 999077, Peoples R China; [Chen, Liang; Chen, Ruizhi] Wuhan Univ, State Key Lab Informat Engn Surveying Mapping &amp; Re, Wuhan 430079, Peoples R China</t>
        </is>
      </c>
      <c r="Y1184" t="inlineStr">
        <is>
          <t>Harbin Institute of Technology; Hong Kong Polytechnic University; Wuhan University</t>
        </is>
      </c>
      <c r="Z1184" t="inlineStr">
        <is>
          <t>Yu, Y (corresponding author), Hong Kong Polytech Univ, Dept Land Surveying &amp; Geoinformat, Hong Kong 999077, Peoples R China.</t>
        </is>
      </c>
      <c r="AA1184" t="inlineStr">
        <is>
          <t>20s153106@stu.hit.edu.cn; yue806.yu@connect.polyu.hk; l.chen@whu.edu.cn; ruizhi.chen@whu.edu.cn</t>
        </is>
      </c>
      <c r="AB1184" t="inlineStr">
        <is>
          <t>WANG, Bin/JGM-2639-2023; Liu, Jie/JCP-1070-2023; cheng, shu/IZE-4788-2023</t>
        </is>
      </c>
      <c r="AC1184" t="inlineStr">
        <is>
          <t>Chen, Ruizhi/0000-0001-6683-2342; Yu, Yue/0000-0003-3529-585X; Chen, Liang/0000-0002-7083-6001; Zhang, Zhengyan/0000-0002-4906-4481</t>
        </is>
      </c>
      <c r="AD1184" t="inlineStr">
        <is>
          <t>Hong Kong Polytechnic University [P0045937, 1-ZVN6, 4-BCF7]; State Bureau of Surveying and Mapping, P.R. China [1-ZVE8]; Hong Kong Research Grants Council [T22-505/19-N]</t>
        </is>
      </c>
      <c r="AE1184" t="inlineStr">
        <is>
          <t>Hong Kong Polytechnic University(Hong Kong Polytechnic University); State Bureau of Surveying and Mapping, P.R. China; Hong Kong Research Grants Council(Hong Kong Research Grants Council)</t>
        </is>
      </c>
      <c r="AF1184" t="inlineStr">
        <is>
          <t>This work was supported by The Hong Kong Polytechnic University (P0045937, 1-ZVN6, 4-BCF7); the State Bureau of Surveying and Mapping, P.R. China (1-ZVE8); and the Hong Kong Research Grants Council (T22-505/19-N).</t>
        </is>
      </c>
      <c r="AH1184" t="n">
        <v>30</v>
      </c>
      <c r="AI1184" t="n">
        <v>1</v>
      </c>
      <c r="AJ1184" t="n">
        <v>1</v>
      </c>
      <c r="AK1184" t="n">
        <v>5</v>
      </c>
      <c r="AL1184" t="n">
        <v>5</v>
      </c>
      <c r="AM1184" t="inlineStr">
        <is>
          <t>MDPI</t>
        </is>
      </c>
      <c r="AN1184" t="inlineStr">
        <is>
          <t>BASEL</t>
        </is>
      </c>
      <c r="AO1184" t="inlineStr">
        <is>
          <t>ST ALBAN-ANLAGE 66, CH-4052 BASEL, SWITZERLAND</t>
        </is>
      </c>
      <c r="AQ1184" t="inlineStr">
        <is>
          <t>2072-4292</t>
        </is>
      </c>
      <c r="AS1184" t="inlineStr">
        <is>
          <t>REMOTE SENS-BASEL</t>
        </is>
      </c>
      <c r="AT1184" t="inlineStr">
        <is>
          <t>Remote Sens.</t>
        </is>
      </c>
      <c r="AU1184" t="inlineStr">
        <is>
          <t>JUL</t>
        </is>
      </c>
      <c r="AV1184" t="n">
        <v>2023</v>
      </c>
      <c r="AW1184" t="n">
        <v>15</v>
      </c>
      <c r="AX1184" t="n">
        <v>14</v>
      </c>
      <c r="BE1184" t="n">
        <v>3520</v>
      </c>
      <c r="BF1184" t="inlineStr">
        <is>
          <t>10.3390/rs15143520</t>
        </is>
      </c>
      <c r="BG1184">
        <f>HYPERLINK("http://dx.doi.org/10.3390/rs15143520","http://dx.doi.org/10.3390/rs15143520")</f>
        <v/>
      </c>
      <c r="BJ1184" t="n">
        <v>19</v>
      </c>
      <c r="BK1184" t="inlineStr">
        <is>
          <t>Environmental Sciences; Geosciences, Multidisciplinary; Remote Sensing; Imaging Science &amp; Photographic Technology</t>
        </is>
      </c>
      <c r="BL1184" t="inlineStr">
        <is>
          <t>Science Citation Index Expanded (SCI-EXPANDED)</t>
        </is>
      </c>
      <c r="BM1184" t="inlineStr">
        <is>
          <t>Environmental Sciences &amp; Ecology; Geology; Remote Sensing; Imaging Science &amp; Photographic Technology</t>
        </is>
      </c>
      <c r="BN1184" t="inlineStr">
        <is>
          <t>N7UD9</t>
        </is>
      </c>
      <c r="BP1184" t="inlineStr">
        <is>
          <t>gold</t>
        </is>
      </c>
      <c r="BS1184" t="inlineStr">
        <is>
          <t>2023-10-26</t>
        </is>
      </c>
      <c r="BT1184" t="inlineStr">
        <is>
          <t>WOS:001039010100001</t>
        </is>
      </c>
      <c r="BU1184">
        <f>HYPERLINK("https%3A%2F%2Fwww.webofscience.com%2Fwos%2Fwoscc%2Ffull-record%2FWOS:001039010100001","View Full Record in Web of Science")</f>
        <v/>
      </c>
    </row>
    <row r="1185">
      <c r="A1185" t="inlineStr">
        <is>
          <t>J</t>
        </is>
      </c>
      <c r="B1185" t="inlineStr">
        <is>
          <t>Yuan, M; Pan, HL; Shan, ZR; Feng, D</t>
        </is>
      </c>
      <c r="F1185" t="inlineStr">
        <is>
          <t>Yuan, Man; Pan, Haolan; Shan, Zhuoran; Feng, Da</t>
        </is>
      </c>
      <c r="J1185" t="inlineStr">
        <is>
          <t>INTERNATIONAL JOURNAL OF ENVIRONMENTAL RESEARCH AND PUBLIC HEALTH</t>
        </is>
      </c>
      <c r="M1185" t="inlineStr">
        <is>
          <t>English</t>
        </is>
      </c>
      <c r="N1185" t="inlineStr">
        <is>
          <t>Article</t>
        </is>
      </c>
      <c r="T1185" t="inlineStr">
        <is>
          <t>Spatial Differences in the Effect of Communities' Built Environment on Residents' Health: A Case Study in Wuhan, China</t>
        </is>
      </c>
      <c r="U1185" t="inlineStr">
        <is>
          <t>healthy city; built environment; community; spatial differences</t>
        </is>
      </c>
      <c r="V1185" t="inlineStr">
        <is>
          <t>URBAN FORM; MORTALITY; POLLUTION; DENSITY; INCOME; TRAVEL; CITY</t>
        </is>
      </c>
      <c r="W1185" t="inlineStr">
        <is>
          <t>After 40 years of reform and opening-up policies, urbanization in China has significantly improved residents' living standards; however, simultaneously, it has caused a series of health problems among Chinese citizens. Communities' built environment is closely related to their residents' health. However, few studies have examined the spatial differences in the health effects of community-built environments. Based on a 2013 health survey of residents in 20 communities in Wuhan, this study uses multilevel linear models to explore the effects of the built environment on residents' health, analyzing the differences in its health-effect within different types of communities. The results showed that there were significant differences in the self-rated health status of residents in different communities, with those in high-end communities reporting a higher self-rated health status. The effect of the built environment on the health of residents in different communities was found to be inconsistent. For instance, the effect of the built environment on low-end community residents was very significant, but it was not obvious for residents in high-end communities. There are significant community-specific differences in the health- effect of the built environment: in high-end communities, residents' health status was mainly restricted by travel accessibility, while in low-end communities, residents' health status was mainly restricted by the accessibility of health facilities. Therefore, this paper proposes a built-environment optimization strategy for different types of communities to provide valuable insights for healthy community planning from a policy perspective.</t>
        </is>
      </c>
      <c r="X1185" t="inlineStr">
        <is>
          <t>[Yuan, Man; Pan, Haolan; Shan, Zhuoran] Huazhong Univ Sci &amp; Technol, Sch Architecture &amp; Urban Planning, Wuhan 430074, Peoples R China; [Feng, Da] Huazhong Univ Sci &amp; Technol, Coll Pharm, Wuhan 430074, Peoples R China</t>
        </is>
      </c>
      <c r="Y1185" t="inlineStr">
        <is>
          <t>Huazhong University of Science &amp; Technology; Huazhong University of Science &amp; Technology</t>
        </is>
      </c>
      <c r="Z1185" t="inlineStr">
        <is>
          <t>Shan, ZR (corresponding author), Huazhong Univ Sci &amp; Technol, Sch Architecture &amp; Urban Planning, Wuhan 430074, Peoples R China.;Feng, D (corresponding author), Huazhong Univ Sci &amp; Technol, Coll Pharm, Wuhan 430074, Peoples R China.</t>
        </is>
      </c>
      <c r="AA1185" t="inlineStr">
        <is>
          <t>yuanman_aup@hust.edu.cn; 595484172phl@gmail.com; hust_szr@sina.com; fengda@hust.edu.cn</t>
        </is>
      </c>
      <c r="AD1185" t="inlineStr">
        <is>
          <t>Natural Science Foundation of China [71804052]; Fundamental Research Funds for the Central Universities [2021WKZDJC015]</t>
        </is>
      </c>
      <c r="AE1185" t="inlineStr">
        <is>
          <t>Natural Science Foundation of China(National Natural Science Foundation of China (NSFC)); Fundamental Research Funds for the Central Universities(Fundamental Research Funds for the Central Universities)</t>
        </is>
      </c>
      <c r="AF1185" t="inlineStr">
        <is>
          <t>National Natural Science Foundation of China, grant number 71804052; The Fundamental Research Funds for the Central Universities, grant number 2021WKZDJC015.</t>
        </is>
      </c>
      <c r="AH1185" t="n">
        <v>77</v>
      </c>
      <c r="AI1185" t="n">
        <v>2</v>
      </c>
      <c r="AJ1185" t="n">
        <v>2</v>
      </c>
      <c r="AK1185" t="n">
        <v>47</v>
      </c>
      <c r="AL1185" t="n">
        <v>115</v>
      </c>
      <c r="AM1185" t="inlineStr">
        <is>
          <t>MDPI</t>
        </is>
      </c>
      <c r="AN1185" t="inlineStr">
        <is>
          <t>BASEL</t>
        </is>
      </c>
      <c r="AO1185" t="inlineStr">
        <is>
          <t>ST ALBAN-ANLAGE 66, CH-4052 BASEL, SWITZERLAND</t>
        </is>
      </c>
      <c r="AQ1185" t="inlineStr">
        <is>
          <t>1660-4601</t>
        </is>
      </c>
      <c r="AS1185" t="inlineStr">
        <is>
          <t>INT J ENV RES PUB HE</t>
        </is>
      </c>
      <c r="AT1185" t="inlineStr">
        <is>
          <t>Int. J. Environ. Res. Public Health</t>
        </is>
      </c>
      <c r="AU1185" t="inlineStr">
        <is>
          <t>FEB</t>
        </is>
      </c>
      <c r="AV1185" t="n">
        <v>2022</v>
      </c>
      <c r="AW1185" t="n">
        <v>19</v>
      </c>
      <c r="AX1185" t="n">
        <v>3</v>
      </c>
      <c r="BE1185" t="n">
        <v>1392</v>
      </c>
      <c r="BF1185" t="inlineStr">
        <is>
          <t>10.3390/ijerph19031392</t>
        </is>
      </c>
      <c r="BG1185">
        <f>HYPERLINK("http://dx.doi.org/10.3390/ijerph19031392","http://dx.doi.org/10.3390/ijerph19031392")</f>
        <v/>
      </c>
      <c r="BJ1185" t="n">
        <v>18</v>
      </c>
      <c r="BK1185" t="inlineStr">
        <is>
          <t>Environmental Sciences; Public, Environmental &amp; Occupational Health</t>
        </is>
      </c>
      <c r="BL1185" t="inlineStr">
        <is>
          <t>Science Citation Index Expanded (SCI-EXPANDED); Social Science Citation Index (SSCI)</t>
        </is>
      </c>
      <c r="BM1185" t="inlineStr">
        <is>
          <t>Environmental Sciences &amp; Ecology; Public, Environmental &amp; Occupational Health</t>
        </is>
      </c>
      <c r="BN1185" t="inlineStr">
        <is>
          <t>ZG0NT</t>
        </is>
      </c>
      <c r="BO1185" t="n">
        <v>35162413</v>
      </c>
      <c r="BP1185" t="inlineStr">
        <is>
          <t>gold, Green Published</t>
        </is>
      </c>
      <c r="BS1185" t="inlineStr">
        <is>
          <t>2023-10-26</t>
        </is>
      </c>
      <c r="BT1185" t="inlineStr">
        <is>
          <t>WOS:000759963000001</t>
        </is>
      </c>
      <c r="BU1185">
        <f>HYPERLINK("https%3A%2F%2Fwww.webofscience.com%2Fwos%2Fwoscc%2Ffull-record%2FWOS:000759963000001","View Full Record in Web of Science")</f>
        <v/>
      </c>
    </row>
    <row r="1186">
      <c r="A1186" t="inlineStr">
        <is>
          <t>J</t>
        </is>
      </c>
      <c r="B1186" t="inlineStr">
        <is>
          <t>Tran, VV; Park, D; Lee, YC</t>
        </is>
      </c>
      <c r="F1186" t="inlineStr">
        <is>
          <t>Vinh Van Tran; Park, Duckshin; Lee, Young-Chul</t>
        </is>
      </c>
      <c r="J1186" t="inlineStr">
        <is>
          <t>INTERNATIONAL JOURNAL OF ENVIRONMENTAL RESEARCH AND PUBLIC HEALTH</t>
        </is>
      </c>
      <c r="M1186" t="inlineStr">
        <is>
          <t>English</t>
        </is>
      </c>
      <c r="N1186" t="inlineStr">
        <is>
          <t>Review</t>
        </is>
      </c>
      <c r="T1186" t="inlineStr">
        <is>
          <t>Indoor Air Pollution, Related Human Diseases, and Recent Trends in the Control and Improvement of Indoor Air Quality</t>
        </is>
      </c>
      <c r="U1186" t="inlineStr">
        <is>
          <t>indoor air quality; indoor pollution; smart home; human diseases</t>
        </is>
      </c>
      <c r="V1186" t="inlineStr">
        <is>
          <t>VOLATILE ORGANIC-COMPOUNDS; SICK BUILDING SYNDROME; PARTICULATE MATTER; LUNG-CANCER; CARBON-DIOXIDE; SMART HOMES; OUTDOOR AIR; RESPIRATORY SYMPTOMS; INHALATION EXPOSURE; PERSONAL EXPOSURE</t>
        </is>
      </c>
      <c r="W1186" t="inlineStr">
        <is>
          <t>Indoor air pollution (IAP) is a serious threat to human health, causing millions of deaths each year. A plethora of pollutants can result in IAP; therefore, it is very important to identify their main sources and concentrations and to devise strategies for the control and enhancement of indoor air quality (IAQ). Herein, we provide a critical review and evaluation of the major sources of major pollutant emissions, their health effects, and issues related to IAP-based illnesses, including sick building syndrome (SBS) and building-related illness (BRI). In addition, the strategies and approaches for control and reduction of pollutant concentrations are pointed out, and the recent trends in efforts to resolve and improve IAQ, with their respective advantages and potentials, are summarized. It is predicted that the development of novel materials for sensors, IAQ-monitoring systems, and smart homes is a promising strategy for control and enhancement of IAQ in the future.</t>
        </is>
      </c>
      <c r="X1186" t="inlineStr">
        <is>
          <t>[Vinh Van Tran; Lee, Young-Chul] Gachon Univ, Dept BioNano Technol, 1342 Seongnam Daero, Gyeonggi Do 13120, South Korea; [Vinh Van Tran] Duy Tan Univ, Inst Res &amp; Dev, Da Nang 550000, Vietnam; [Park, Duckshin] Korea Railrd Res Inst KRRI, 176 Cheoldobakmulkwan Ro, Uiwang Si 16105, Gyeonggi Do, South Korea</t>
        </is>
      </c>
      <c r="Y1186" t="inlineStr">
        <is>
          <t>Gachon University; Duy Tan University</t>
        </is>
      </c>
      <c r="Z1186" t="inlineStr">
        <is>
          <t>Lee, YC (corresponding author), Gachon Univ, Dept BioNano Technol, 1342 Seongnam Daero, Gyeonggi Do 13120, South Korea.;Park, D (corresponding author), Korea Railrd Res Inst KRRI, 176 Cheoldobakmulkwan Ro, Uiwang Si 16105, Gyeonggi Do, South Korea.</t>
        </is>
      </c>
      <c r="AA1186" t="inlineStr">
        <is>
          <t>vanvinhkhmtk30@gmail.com; dspark@krri.re.kr; dreamdbs@gachon.ac.kr</t>
        </is>
      </c>
      <c r="AB1186" t="inlineStr">
        <is>
          <t>Tran, Vinh Le/IUP-3802-2023</t>
        </is>
      </c>
      <c r="AC1186" t="inlineStr">
        <is>
          <t>Park, Duckshin/0000-0002-5871-2049; Tran, Vinh/0000-0002-9103-8420; Lee, Young-Chul/0000-0002-4702-0282</t>
        </is>
      </c>
      <c r="AD1186" t="inlineStr">
        <is>
          <t>Subway Fine Dust Reduction Technology Development Project of the Ministry of Land Infrastructure and Transport [19QPPW-B152306-01]; Ministry of Environment as Korea Environmental Industry &amp; Technology Institute (KEITI) [2018000120004]; Korea Environmental Industry &amp; Technology Institute (KEITI) [ARQ201805129003] Funding Source: Korea Institute of Science &amp; Technology Information (KISTI), National Science &amp; Technology Information Service (NTIS)</t>
        </is>
      </c>
      <c r="AE1186" t="inlineStr">
        <is>
          <t>Subway Fine Dust Reduction Technology Development Project of the Ministry of Land Infrastructure and Transport(Ministry of Land, Infrastructure &amp; Transport (MOLIT), Republic of Korea); Ministry of Environment as Korea Environmental Industry &amp; Technology Institute (KEITI)(Korea Environmental Industry &amp; Technology Institute (KEITI)); Korea Environmental Industry &amp; Technology Institute (KEITI)(Korea Environmental Industry &amp; Technology Institute (KEITI))</t>
        </is>
      </c>
      <c r="AF1186" t="inlineStr">
        <is>
          <t>This research was funded by a grant from the Subway Fine Dust Reduction Technology Development Project of the Ministry of Land Infrastructure and Transport (19QPPW-B152306-01) and the Ministry of Environment as Korea Environmental Industry &amp; Technology Institute (KEITI) (No. 2018000120004).</t>
        </is>
      </c>
      <c r="AH1186" t="n">
        <v>211</v>
      </c>
      <c r="AI1186" t="n">
        <v>196</v>
      </c>
      <c r="AJ1186" t="n">
        <v>197</v>
      </c>
      <c r="AK1186" t="n">
        <v>59</v>
      </c>
      <c r="AL1186" t="n">
        <v>305</v>
      </c>
      <c r="AM1186" t="inlineStr">
        <is>
          <t>MDPI</t>
        </is>
      </c>
      <c r="AN1186" t="inlineStr">
        <is>
          <t>BASEL</t>
        </is>
      </c>
      <c r="AO1186" t="inlineStr">
        <is>
          <t>ST ALBAN-ANLAGE 66, CH-4052 BASEL, SWITZERLAND</t>
        </is>
      </c>
      <c r="AQ1186" t="inlineStr">
        <is>
          <t>1660-4601</t>
        </is>
      </c>
      <c r="AS1186" t="inlineStr">
        <is>
          <t>INT J ENV RES PUB HE</t>
        </is>
      </c>
      <c r="AT1186" t="inlineStr">
        <is>
          <t>Int. J. Environ. Res. Public Health</t>
        </is>
      </c>
      <c r="AU1186" t="inlineStr">
        <is>
          <t>APR</t>
        </is>
      </c>
      <c r="AV1186" t="n">
        <v>2020</v>
      </c>
      <c r="AW1186" t="n">
        <v>17</v>
      </c>
      <c r="AX1186" t="n">
        <v>8</v>
      </c>
      <c r="BE1186" t="n">
        <v>2927</v>
      </c>
      <c r="BF1186" t="inlineStr">
        <is>
          <t>10.3390/ijerph17082927</t>
        </is>
      </c>
      <c r="BG1186">
        <f>HYPERLINK("http://dx.doi.org/10.3390/ijerph17082927","http://dx.doi.org/10.3390/ijerph17082927")</f>
        <v/>
      </c>
      <c r="BJ1186" t="n">
        <v>27</v>
      </c>
      <c r="BK1186" t="inlineStr">
        <is>
          <t>Environmental Sciences; Public, Environmental &amp; Occupational Health</t>
        </is>
      </c>
      <c r="BL1186" t="inlineStr">
        <is>
          <t>Science Citation Index Expanded (SCI-EXPANDED); Social Science Citation Index (SSCI)</t>
        </is>
      </c>
      <c r="BM1186" t="inlineStr">
        <is>
          <t>Environmental Sciences &amp; Ecology; Public, Environmental &amp; Occupational Health</t>
        </is>
      </c>
      <c r="BN1186" t="inlineStr">
        <is>
          <t>LR5OL</t>
        </is>
      </c>
      <c r="BO1186" t="n">
        <v>32340311</v>
      </c>
      <c r="BP1186" t="inlineStr">
        <is>
          <t>Green Published, gold</t>
        </is>
      </c>
      <c r="BS1186" t="inlineStr">
        <is>
          <t>2023-10-26</t>
        </is>
      </c>
      <c r="BT1186" t="inlineStr">
        <is>
          <t>WOS:000535744100312</t>
        </is>
      </c>
      <c r="BU1186">
        <f>HYPERLINK("https%3A%2F%2Fwww.webofscience.com%2Fwos%2Fwoscc%2Ffull-record%2FWOS:000535744100312","View Full Record in Web of Science")</f>
        <v/>
      </c>
    </row>
    <row r="1187">
      <c r="A1187" t="inlineStr">
        <is>
          <t>J</t>
        </is>
      </c>
      <c r="B1187" t="inlineStr">
        <is>
          <t>Aleksandrov, Y</t>
        </is>
      </c>
      <c r="F1187" t="inlineStr">
        <is>
          <t>Aleksandrov, Yanko</t>
        </is>
      </c>
      <c r="J1187" t="inlineStr">
        <is>
          <t>BULGARIAN JOURNAL OF AGRICULTURAL SCIENCE</t>
        </is>
      </c>
      <c r="M1187" t="inlineStr">
        <is>
          <t>English</t>
        </is>
      </c>
      <c r="N1187" t="inlineStr">
        <is>
          <t>Article</t>
        </is>
      </c>
      <c r="T1187" t="inlineStr">
        <is>
          <t>New solution - fluorescent fish aquariums located in building elements and furnitures of the skyscraper Kun Min, China</t>
        </is>
      </c>
      <c r="U1187" t="inlineStr">
        <is>
          <t>new solution; aquariums; fluorescent fish; furniture; skyscraper; Kun Min; interior</t>
        </is>
      </c>
      <c r="V1187" t="inlineStr">
        <is>
          <t>FLOOR GARDENS; SOFT FRUITS; CULTIVATION; VEGETABLES; ELEVATORS</t>
        </is>
      </c>
      <c r="W1187" t="inlineStr">
        <is>
          <t>The new solution is about creating an attractive habitat for aquariums using fluorescent fish. The aquariums are housed in floor lifts combined with gardens (Annual international architectural elevator design competition); on balconies and apartment buildings, (Bamboo Skyscraper, Singapore); on the floors of horseshoe elements covering the body of the skyscraper, (Hong Kong Skyscraper); multi-storey rotating water rings, broken down into smaller volumes, for multifunctional use, used as aquariums. for aquaculture cultivation for the needs of residents, for sports, for artificial osmosis and others, (Container Skyscraper, Mumbai, India); the glowing fish are in streams connecting water curtains, flowing down the interior walls and passing under transparent floor coverings and reaching a pool or aquarium located on the first and second floors of an apartment dwelling, (Skyscraper in Kun Min, China). A completely different living environment has been created for living, working and leisure environments, thanks to the new furniture design. Aquariums are appropriately built into the construction of chairs, dining tables, armchairs, sofas and tables, and so on. The furniture is part of the skyscraper project in Kun Min, China. To achieve this new solution, the theory of the innovative steps of the author was used.</t>
        </is>
      </c>
      <c r="X1187" t="inlineStr">
        <is>
          <t>[Aleksandrov, Yanko] Univ Struct Engn &amp; Architecture Lyuben Karavelov, Sofia 1373, Bulgaria</t>
        </is>
      </c>
      <c r="Y1187" t="inlineStr">
        <is>
          <t>Higher School for Structural Engineering &amp; Architecture Lyuben Karavelov</t>
        </is>
      </c>
      <c r="Z1187" t="inlineStr">
        <is>
          <t>Aleksandrov, Y (corresponding author), Univ Struct Engn &amp; Architecture Lyuben Karavelov, Sofia 1373, Bulgaria.</t>
        </is>
      </c>
      <c r="AA1187" t="inlineStr">
        <is>
          <t>aleksandrov@vsu.bg</t>
        </is>
      </c>
      <c r="AH1187" t="n">
        <v>10</v>
      </c>
      <c r="AI1187" t="n">
        <v>3</v>
      </c>
      <c r="AJ1187" t="n">
        <v>3</v>
      </c>
      <c r="AK1187" t="n">
        <v>1</v>
      </c>
      <c r="AL1187" t="n">
        <v>1</v>
      </c>
      <c r="AM1187" t="inlineStr">
        <is>
          <t>SCIENTIFIC ISSUES NATL CENTRE AGRARIAN SCIENCES</t>
        </is>
      </c>
      <c r="AN1187" t="inlineStr">
        <is>
          <t>SOFIA</t>
        </is>
      </c>
      <c r="AO1187" t="inlineStr">
        <is>
          <t>125, TSARIGRADSKO SHOSSE BUL, BLOCK 1, SOFIA, 1113, BULGARIA</t>
        </is>
      </c>
      <c r="AP1187" t="inlineStr">
        <is>
          <t>1310-0351</t>
        </is>
      </c>
      <c r="AS1187" t="inlineStr">
        <is>
          <t>BULG J AGRIC SCI</t>
        </is>
      </c>
      <c r="AT1187" t="inlineStr">
        <is>
          <t>Bulg. J. Agric. Sci.</t>
        </is>
      </c>
      <c r="AU1187" t="inlineStr">
        <is>
          <t>APR</t>
        </is>
      </c>
      <c r="AV1187" t="n">
        <v>2020</v>
      </c>
      <c r="AW1187" t="n">
        <v>26</v>
      </c>
      <c r="AX1187" t="n">
        <v>2</v>
      </c>
      <c r="BC1187" t="n">
        <v>332</v>
      </c>
      <c r="BD1187" t="n">
        <v>338</v>
      </c>
      <c r="BJ1187" t="n">
        <v>7</v>
      </c>
      <c r="BK1187" t="inlineStr">
        <is>
          <t>Environmental Sciences</t>
        </is>
      </c>
      <c r="BL1187" t="inlineStr">
        <is>
          <t>Emerging Sources Citation Index (ESCI)</t>
        </is>
      </c>
      <c r="BM1187" t="inlineStr">
        <is>
          <t>Environmental Sciences &amp; Ecology</t>
        </is>
      </c>
      <c r="BN1187" t="inlineStr">
        <is>
          <t>MJ0KW</t>
        </is>
      </c>
      <c r="BS1187" t="inlineStr">
        <is>
          <t>2023-10-26</t>
        </is>
      </c>
      <c r="BT1187" t="inlineStr">
        <is>
          <t>WOS:000547786100009</t>
        </is>
      </c>
      <c r="BU1187">
        <f>HYPERLINK("https%3A%2F%2Fwww.webofscience.com%2Fwos%2Fwoscc%2Ffull-record%2FWOS:000547786100009","View Full Record in Web of Science")</f>
        <v/>
      </c>
    </row>
    <row r="1188">
      <c r="A1188" t="inlineStr">
        <is>
          <t>J</t>
        </is>
      </c>
      <c r="B1188" t="inlineStr">
        <is>
          <t>Kim, J; Byun, M; Kim, M</t>
        </is>
      </c>
      <c r="F1188" t="inlineStr">
        <is>
          <t>Kim, Jiyeon; Byun, Mikyong; Kim, Moonho</t>
        </is>
      </c>
      <c r="J1188" t="inlineStr">
        <is>
          <t>INTERNATIONAL JOURNAL OF ENVIRONMENTAL RESEARCH AND PUBLIC HEALTH</t>
        </is>
      </c>
      <c r="M1188" t="inlineStr">
        <is>
          <t>English</t>
        </is>
      </c>
      <c r="N1188" t="inlineStr">
        <is>
          <t>Article</t>
        </is>
      </c>
      <c r="T1188" t="inlineStr">
        <is>
          <t>Physical and Psychological Factors Associated with Poor Self-Reported Health Status in Older Adults with Falls</t>
        </is>
      </c>
      <c r="U1188" t="inlineStr">
        <is>
          <t>fall; self-reported health status; older adults; public health</t>
        </is>
      </c>
      <c r="V1188" t="inlineStr">
        <is>
          <t>FUNCTIONAL MOBILITY; RISK; PREDICT; COSTS; TOOL</t>
        </is>
      </c>
      <c r="W1188" t="inlineStr">
        <is>
          <t>Background: Previous studies have proposed various physical tests for screening fall risk in older adults. However, older adults may have physical or cognitive impairments that make testing difficult. This study describes the differences in individual, physical, and psychological factors between adults in good and poor self-rated health statuses. Further, we identified the physical or psychological factors associated with self-rated health by controlling for individual variables. Methods: Data from a total of 1577 adults aged 65 years or over with a history of falls were analyzed, using the 2017 National Survey of Older Persons in South Korea. Self-reported health status was dichotomized as good versus poor using the 5-point Likert question: poor (very poor and poor) and good (fair, good, and very good). Results: Visual/hearing impairments, ADL/IADL restriction, poor nutrition, and depression were more frequently observed in the group with poor self-rated health. Multivariable logistic regression revealed that poor self-reported health was significantly associated with hearing impairments (OR: 1.51, 95% CI 1.12-2.03), ADL limitation (OR: 1.77, 95% CI 1.11-2.81), IADL limitation (OR: 2.27, 95% CI 1.68-3.06), poor nutrition (OR: 1.36, 95% CI 1.05-1.77), and depression (OR 3.77, 95% CI 2.81-5.06). Conclusions: Auditory impairment, ADL/IADL limitations, poor nutrition, and depression were significantly associated with poor self-reported health. A self-rated health assessment could be an alternative tool for older adults who are not able to perform physical tests.</t>
        </is>
      </c>
      <c r="X1188" t="inlineStr">
        <is>
          <t>[Kim, Jiyeon; Byun, Mikyong] Korea Univ, Coll Nursing, Seoul 02841, South Korea; [Byun, Mikyong] Catholic Kwandong Univ, Coll Med, Dept Nursing Sci, 24 Beomil Ro 579beon Gil, Gangneung Si 25601, Gangwon Do, South Korea; [Kim, Moonho] Univ Ulsan, Coll Med, Gangneung Asan Hosp, Dept Hematol &amp; Oncol, 38 Bangdong Gil, Gangneung Si 25440, Gangwon Do, South Korea</t>
        </is>
      </c>
      <c r="Y1188" t="inlineStr">
        <is>
          <t>Korea University; Catholic Kwandong University; University of Ulsan</t>
        </is>
      </c>
      <c r="Z1188" t="inlineStr">
        <is>
          <t>Kim, M (corresponding author), Univ Ulsan, Coll Med, Gangneung Asan Hosp, Dept Hematol &amp; Oncol, 38 Bangdong Gil, Gangneung Si 25440, Gangwon Do, South Korea.</t>
        </is>
      </c>
      <c r="AA1188" t="inlineStr">
        <is>
          <t>tortoi@korea.ac.kr; mulanbb@korea.ac.kr; muno0802@hanmail.net</t>
        </is>
      </c>
      <c r="AC1188" t="inlineStr">
        <is>
          <t>, Mikyong/0000-0002-0055-2898; Kim, Moonho/0000-0002-1777-3267</t>
        </is>
      </c>
      <c r="AH1188" t="n">
        <v>28</v>
      </c>
      <c r="AI1188" t="n">
        <v>7</v>
      </c>
      <c r="AJ1188" t="n">
        <v>7</v>
      </c>
      <c r="AK1188" t="n">
        <v>0</v>
      </c>
      <c r="AL1188" t="n">
        <v>11</v>
      </c>
      <c r="AM1188" t="inlineStr">
        <is>
          <t>MDPI</t>
        </is>
      </c>
      <c r="AN1188" t="inlineStr">
        <is>
          <t>BASEL</t>
        </is>
      </c>
      <c r="AO1188" t="inlineStr">
        <is>
          <t>ST ALBAN-ANLAGE 66, CH-4052 BASEL, SWITZERLAND</t>
        </is>
      </c>
      <c r="AQ1188" t="inlineStr">
        <is>
          <t>1660-4601</t>
        </is>
      </c>
      <c r="AS1188" t="inlineStr">
        <is>
          <t>INT J ENV RES PUB HE</t>
        </is>
      </c>
      <c r="AT1188" t="inlineStr">
        <is>
          <t>Int. J. Environ. Res. Public Health</t>
        </is>
      </c>
      <c r="AU1188" t="inlineStr">
        <is>
          <t>MAY</t>
        </is>
      </c>
      <c r="AV1188" t="n">
        <v>2020</v>
      </c>
      <c r="AW1188" t="n">
        <v>17</v>
      </c>
      <c r="AX1188" t="n">
        <v>10</v>
      </c>
      <c r="BE1188" t="n">
        <v>3548</v>
      </c>
      <c r="BF1188" t="inlineStr">
        <is>
          <t>10.3390/ijerph17103548</t>
        </is>
      </c>
      <c r="BG1188">
        <f>HYPERLINK("http://dx.doi.org/10.3390/ijerph17103548","http://dx.doi.org/10.3390/ijerph17103548")</f>
        <v/>
      </c>
      <c r="BJ1188" t="n">
        <v>10</v>
      </c>
      <c r="BK1188" t="inlineStr">
        <is>
          <t>Environmental Sciences; Public, Environmental &amp; Occupational Health</t>
        </is>
      </c>
      <c r="BL1188" t="inlineStr">
        <is>
          <t>Science Citation Index Expanded (SCI-EXPANDED); Social Science Citation Index (SSCI)</t>
        </is>
      </c>
      <c r="BM1188" t="inlineStr">
        <is>
          <t>Environmental Sciences &amp; Ecology; Public, Environmental &amp; Occupational Health</t>
        </is>
      </c>
      <c r="BN1188" t="inlineStr">
        <is>
          <t>LW7CK</t>
        </is>
      </c>
      <c r="BO1188" t="n">
        <v>32438632</v>
      </c>
      <c r="BP1188" t="inlineStr">
        <is>
          <t>Green Published, gold</t>
        </is>
      </c>
      <c r="BS1188" t="inlineStr">
        <is>
          <t>2023-10-26</t>
        </is>
      </c>
      <c r="BT1188" t="inlineStr">
        <is>
          <t>WOS:000539300900205</t>
        </is>
      </c>
      <c r="BU1188">
        <f>HYPERLINK("https%3A%2F%2Fwww.webofscience.com%2Fwos%2Fwoscc%2Ffull-record%2FWOS:000539300900205","View Full Record in Web of Science")</f>
        <v/>
      </c>
    </row>
    <row r="1189">
      <c r="A1189" t="inlineStr">
        <is>
          <t>J</t>
        </is>
      </c>
      <c r="B1189" t="inlineStr">
        <is>
          <t>Li, SJ; Yin, YT; Cui, GH; Xu, HL</t>
        </is>
      </c>
      <c r="F1189" t="inlineStr">
        <is>
          <t>Li, Shao-Jie; Yin, Yong-Tian; Cui, Guang-Hui; Xu, Hui-Lan</t>
        </is>
      </c>
      <c r="J1189" t="inlineStr">
        <is>
          <t>INTERNATIONAL JOURNAL OF ENVIRONMENTAL RESEARCH AND PUBLIC HEALTH</t>
        </is>
      </c>
      <c r="M1189" t="inlineStr">
        <is>
          <t>English</t>
        </is>
      </c>
      <c r="N1189" t="inlineStr">
        <is>
          <t>Article</t>
        </is>
      </c>
      <c r="T1189" t="inlineStr">
        <is>
          <t>The Associations Among Health-Promoting Lifestyle, eHealth Literacy, and Cognitive Health in Older Chinese Adults: A Cross-Sectional Study</t>
        </is>
      </c>
      <c r="U1189" t="inlineStr">
        <is>
          <t>health-promoting lifestyles; eHealth literacy; cognitive health; older adults</t>
        </is>
      </c>
      <c r="V1189" t="inlineStr">
        <is>
          <t>MINI-MENTAL-STATE; IMPAIRMENT MCI; PREVALENCE; PEOPLE</t>
        </is>
      </c>
      <c r="W1189" t="inlineStr">
        <is>
          <t>Background: Healthy lifestyles and health literacy are strongly associated with cognitive health in older adults, however, it is unclear whether this relationship can be generalized to health-promoting lifestyles and eHealth literacy. To date, no research has examined the interactive effect of health-promoting lifestyles and eHealth literacy on cognitive health. Objective: To examine the associations among health-promoting lifestyles, eHealth literacy, and cognitive health in older adults. Methods: Using a stratified cluster sampling method, we conducted a survey with older adults in four districts and two counties in Jinan (China). Older adults (n = 1201; age &gt;= 60 years) completed our survey. We assessed health-promoting lifestyles, eHealth literacy, and cognitive health, and collected participants' sociodemographic information. Results: Health-promoting lifestyles and eHealth literacy were significantly and positively associated with cognitive health (both p &lt; 0.01). In addition, eHealth literacy was positively associated with health-promoting lifestyles. Moreover, the interaction of health-promoting lifestyle and eHealth literacy negatively predicted cognitive health (beta = -0.465, p &lt; 0.01). Conclusions: Health-promoting lifestyles and eHealth literacy were associated with the cognitive health of Chinese older adults, both independently and interactively. Further, eHealth literacy was associated with health-promoting lifestyles in older adults. Therefore, interventions regarding healthy lifestyles and eHealth literacy would benefit older adults.</t>
        </is>
      </c>
      <c r="X1189" t="inlineStr">
        <is>
          <t>[Li, Shao-Jie; Xu, Hui-Lan] Cent South Univ, Xiangya Sch Publ Hlth, Dept Social Med &amp; Hlth Serv Management, Changsha 410078, Peoples R China; [Yin, Yong-Tian] Shandong Univ Tradit Chinese Med, Sch Nursing, Jinan 250355, Peoples R China; [Cui, Guang-Hui] Shandong Univ Tradit Chinese Med, Sch Acupuncture &amp; Tuina, Jinan 250355, Peoples R China</t>
        </is>
      </c>
      <c r="Y1189" t="inlineStr">
        <is>
          <t>Central South University; Shandong University of Traditional Chinese Medicine; Shandong University of Traditional Chinese Medicine</t>
        </is>
      </c>
      <c r="Z1189" t="inlineStr">
        <is>
          <t>Xu, HL (corresponding author), Cent South Univ, Xiangya Sch Publ Hlth, Dept Social Med &amp; Hlth Serv Management, Changsha 410078, Peoples R China.</t>
        </is>
      </c>
      <c r="AA1189" t="inlineStr">
        <is>
          <t>ii10233972@csu.edu.cn; yinyongtian2004@163.com; cgh1622040141@163.com; xhl_csu@163.com</t>
        </is>
      </c>
      <c r="AH1189" t="n">
        <v>38</v>
      </c>
      <c r="AI1189" t="n">
        <v>16</v>
      </c>
      <c r="AJ1189" t="n">
        <v>17</v>
      </c>
      <c r="AK1189" t="n">
        <v>15</v>
      </c>
      <c r="AL1189" t="n">
        <v>88</v>
      </c>
      <c r="AM1189" t="inlineStr">
        <is>
          <t>MDPI</t>
        </is>
      </c>
      <c r="AN1189" t="inlineStr">
        <is>
          <t>BASEL</t>
        </is>
      </c>
      <c r="AO1189" t="inlineStr">
        <is>
          <t>ST ALBAN-ANLAGE 66, CH-4052 BASEL, SWITZERLAND</t>
        </is>
      </c>
      <c r="AQ1189" t="inlineStr">
        <is>
          <t>1660-4601</t>
        </is>
      </c>
      <c r="AS1189" t="inlineStr">
        <is>
          <t>INT J ENV RES PUB HE</t>
        </is>
      </c>
      <c r="AT1189" t="inlineStr">
        <is>
          <t>Int. J. Environ. Res. Public Health</t>
        </is>
      </c>
      <c r="AU1189" t="inlineStr">
        <is>
          <t>APR</t>
        </is>
      </c>
      <c r="AV1189" t="n">
        <v>2020</v>
      </c>
      <c r="AW1189" t="n">
        <v>17</v>
      </c>
      <c r="AX1189" t="n">
        <v>7</v>
      </c>
      <c r="BE1189" t="n">
        <v>2263</v>
      </c>
      <c r="BF1189" t="inlineStr">
        <is>
          <t>10.3390/ijerph17072263</t>
        </is>
      </c>
      <c r="BG1189">
        <f>HYPERLINK("http://dx.doi.org/10.3390/ijerph17072263","http://dx.doi.org/10.3390/ijerph17072263")</f>
        <v/>
      </c>
      <c r="BJ1189" t="n">
        <v>10</v>
      </c>
      <c r="BK1189" t="inlineStr">
        <is>
          <t>Environmental Sciences; Public, Environmental &amp; Occupational Health</t>
        </is>
      </c>
      <c r="BL1189" t="inlineStr">
        <is>
          <t>Science Citation Index Expanded (SCI-EXPANDED); Social Science Citation Index (SSCI)</t>
        </is>
      </c>
      <c r="BM1189" t="inlineStr">
        <is>
          <t>Environmental Sciences &amp; Ecology; Public, Environmental &amp; Occupational Health</t>
        </is>
      </c>
      <c r="BN1189" t="inlineStr">
        <is>
          <t>LK3LI</t>
        </is>
      </c>
      <c r="BO1189" t="n">
        <v>32230935</v>
      </c>
      <c r="BP1189" t="inlineStr">
        <is>
          <t>Green Published, gold</t>
        </is>
      </c>
      <c r="BS1189" t="inlineStr">
        <is>
          <t>2023-10-26</t>
        </is>
      </c>
      <c r="BT1189" t="inlineStr">
        <is>
          <t>WOS:000530763300095</t>
        </is>
      </c>
      <c r="BU1189">
        <f>HYPERLINK("https%3A%2F%2Fwww.webofscience.com%2Fwos%2Fwoscc%2Ffull-record%2FWOS:000530763300095","View Full Record in Web of Science")</f>
        <v/>
      </c>
    </row>
    <row r="1190">
      <c r="A1190" t="inlineStr">
        <is>
          <t>J</t>
        </is>
      </c>
      <c r="B1190" t="inlineStr">
        <is>
          <t>Zhang, LJ</t>
        </is>
      </c>
      <c r="F1190" t="inlineStr">
        <is>
          <t>Zhang Lijuan</t>
        </is>
      </c>
      <c r="J1190" t="inlineStr">
        <is>
          <t>JOURNAL OF ENVIRONMENTAL PROTECTION AND ECOLOGY</t>
        </is>
      </c>
      <c r="M1190" t="inlineStr">
        <is>
          <t>English</t>
        </is>
      </c>
      <c r="N1190" t="inlineStr">
        <is>
          <t>Article</t>
        </is>
      </c>
      <c r="T1190" t="inlineStr">
        <is>
          <t>PHYSICAL EXERCISE CROWD IN THE EXCELLENT ECOLOGICAL ENVIRONMENT OF COUNTRY PARK</t>
        </is>
      </c>
      <c r="U1190" t="inlineStr">
        <is>
          <t>sports development; country parks; ecological environment; physical exercise</t>
        </is>
      </c>
      <c r="V1190" t="inlineStr">
        <is>
          <t>VULNERABILITY; POLICY</t>
        </is>
      </c>
      <c r="W1190" t="inlineStr">
        <is>
          <t>Mass sports play a very important role in the development of sports in China. It has a great relationship with the improvement of residents' physical quality, their own physique and the quality of life. Mass sports is one of the important ways for people to pursue scientific and healthy life style in contemporary society. Based on the intrinsic and extrinsic motivation of the emergence and development of ecological sports, this paper investigates the current situation of the middle-aged and old people's ecological sports. Combined with the ecological characteristics and internal conditions of SZ City, this paper puts forward corresponding suggestions and Countermeasures for the development of ecological sports for middle-aged and elderly people in SZ City. In order to improve the ecological environment of SZ City and strengthen the construction of environmental protection, the environmental factors in the process of physical exercise are highlighted in the study of the people taking physical exercise in the excellent ecological environment of country parks. This paper explores the relationship between middle-aged and old people's physical exercise and sustainable development of sports ecological environment from point to area. The results of this study provide valuable suggestions and Countermeasures for the realisation of the common sustainable development of middle-aged and old people's physical exercise and sports ecological environment.</t>
        </is>
      </c>
      <c r="X1190" t="inlineStr">
        <is>
          <t>[Zhang Lijuan] Zhoukou Normal Univ, Inst Phys Educ, Zhoukou 466001, Henan, Peoples R China</t>
        </is>
      </c>
      <c r="Y1190" t="inlineStr">
        <is>
          <t>Zhoukou Normal University</t>
        </is>
      </c>
      <c r="Z1190" t="inlineStr">
        <is>
          <t>Zhang, LJ (corresponding author), Zhoukou Normal Univ, Inst Phys Educ, Zhoukou 466001, Henan, Peoples R China.</t>
        </is>
      </c>
      <c r="AA1190" t="inlineStr">
        <is>
          <t>Zljpd@163.com</t>
        </is>
      </c>
      <c r="AH1190" t="n">
        <v>10</v>
      </c>
      <c r="AI1190" t="n">
        <v>0</v>
      </c>
      <c r="AJ1190" t="n">
        <v>0</v>
      </c>
      <c r="AK1190" t="n">
        <v>1</v>
      </c>
      <c r="AL1190" t="n">
        <v>10</v>
      </c>
      <c r="AM1190" t="inlineStr">
        <is>
          <t>SCIBULCOM LTD</t>
        </is>
      </c>
      <c r="AN1190" t="inlineStr">
        <is>
          <t>SOFIA</t>
        </is>
      </c>
      <c r="AO1190" t="inlineStr">
        <is>
          <t>PO BOX 249, 1113 SOFIA, BULGARIA</t>
        </is>
      </c>
      <c r="AP1190" t="inlineStr">
        <is>
          <t>1311-5065</t>
        </is>
      </c>
      <c r="AS1190" t="inlineStr">
        <is>
          <t>J ENVIRON PROT ECOL</t>
        </is>
      </c>
      <c r="AT1190" t="inlineStr">
        <is>
          <t>J. Environ. Prot. Ecol.</t>
        </is>
      </c>
      <c r="AV1190" t="n">
        <v>2021</v>
      </c>
      <c r="AW1190" t="n">
        <v>22</v>
      </c>
      <c r="AX1190" t="n">
        <v>3</v>
      </c>
      <c r="BC1190" t="n">
        <v>1175</v>
      </c>
      <c r="BD1190" t="n">
        <v>1182</v>
      </c>
      <c r="BJ1190" t="n">
        <v>8</v>
      </c>
      <c r="BK1190" t="inlineStr">
        <is>
          <t>Environmental Sciences</t>
        </is>
      </c>
      <c r="BL1190" t="inlineStr">
        <is>
          <t>Science Citation Index Expanded (SCI-EXPANDED)</t>
        </is>
      </c>
      <c r="BM1190" t="inlineStr">
        <is>
          <t>Environmental Sciences &amp; Ecology</t>
        </is>
      </c>
      <c r="BN1190" t="inlineStr">
        <is>
          <t>TI4DE</t>
        </is>
      </c>
      <c r="BS1190" t="inlineStr">
        <is>
          <t>2023-10-26</t>
        </is>
      </c>
      <c r="BT1190" t="inlineStr">
        <is>
          <t>WOS:000672747500025</t>
        </is>
      </c>
      <c r="BU1190">
        <f>HYPERLINK("https%3A%2F%2Fwww.webofscience.com%2Fwos%2Fwoscc%2Ffull-record%2FWOS:000672747500025","View Full Record in Web of Science")</f>
        <v/>
      </c>
    </row>
    <row r="1191">
      <c r="A1191" t="inlineStr">
        <is>
          <t>J</t>
        </is>
      </c>
      <c r="B1191" t="inlineStr">
        <is>
          <t>Woodward, N; Levine, M</t>
        </is>
      </c>
      <c r="F1191" t="inlineStr">
        <is>
          <t>Woodward, Nick; Levine, Morgan</t>
        </is>
      </c>
      <c r="J1191" t="inlineStr">
        <is>
          <t>ENVIRONMENTAL SCIENCE &amp; POLICY</t>
        </is>
      </c>
      <c r="M1191" t="inlineStr">
        <is>
          <t>English</t>
        </is>
      </c>
      <c r="N1191" t="inlineStr">
        <is>
          <t>Article</t>
        </is>
      </c>
      <c r="T1191" t="inlineStr">
        <is>
          <t>Minimizing air pollution exposure: A practical policy to protect vulnerable older adults from death and disability</t>
        </is>
      </c>
      <c r="U1191" t="inlineStr">
        <is>
          <t>Particulate matter; Older adult; Air pollution; Ultrafine; Cardiovascular disease; Policy</t>
        </is>
      </c>
      <c r="V1191" t="inlineStr">
        <is>
          <t>LONG-TERM EXPOSURE; ALL-CAUSE MORTALITY; ULTRAFINE PARTICLES; MYOCARDIAL-INFARCTION; MAJOR ROADWAY; LOS-ANGELES; DISEASE; NANOPARTICLES; INFLAMMATION; ASSOCIATION</t>
        </is>
      </c>
      <c r="W1191" t="inlineStr">
        <is>
          <t>Air pollution causes an estimated 200,000 deaths per year in the United States alone. Older adults are at greater risk of mortality caused by air pollution. Here we quantify the number of older adult facilities in Los Angeles County who are exposed to high levels of traffic derived air pollution, and propose policy solutions to reduce pollution exposure to this vulnerable subgroup. Distances between 20,362 intersections and 858 elder care facilities were estimated, and roads or highways within 500 of facilities were used to estimate traffic volume exposure. Of the 858 facilities, 54 were located near at least one major roadway, defined as a traffic volume over 100,000 cars per day. These 54 facilities house approximately 6000 older adults. Following standards established for schools, we recommend legislation mandating the placement of new elder care facilities a minimum of 500 ft from major roadways in order to reduce unnecessary mortality risk from pollution exposure. (C) 2015 Elsevier Ltd. All rights reserved.</t>
        </is>
      </c>
      <c r="X1191" t="inlineStr">
        <is>
          <t>[Woodward, Nick] Univ So Calif, Davis Sch Gerontol, McClintock Ave 3715, Los Angeles, CA 90089 USA; [Levine, Morgan] Univ Calif Los Angeles, Dept Human Genet, 695 Charles E Young Dr, Los Angeles, CA 90095 USA; [Levine, Morgan] Univ Calif Los Angeles, Ctr Neurobehav Genet, 695 Charles E Young Dr, Los Angeles, CA 90095 USA</t>
        </is>
      </c>
      <c r="Y1191" t="inlineStr">
        <is>
          <t>University of Southern California; University of California System; University of California Los Angeles; University of California System; University of California Los Angeles</t>
        </is>
      </c>
      <c r="Z1191" t="inlineStr">
        <is>
          <t>Woodward, N (corresponding author), Univ So Calif, Davis Sch Gerontol, McClintock Ave 3715, Los Angeles, CA 90089 USA.</t>
        </is>
      </c>
      <c r="AA1191" t="inlineStr">
        <is>
          <t>Nwoodwar@usc.edu</t>
        </is>
      </c>
      <c r="AD1191" t="inlineStr">
        <is>
          <t>National Institute on Aging [T32AG0037]</t>
        </is>
      </c>
      <c r="AE1191" t="inlineStr">
        <is>
          <t>National Institute on Aging(United States Department of Health &amp; Human ServicesNational Institutes of Health (NIH) - USANIH National Institute on Aging (NIA))</t>
        </is>
      </c>
      <c r="AF1191" t="inlineStr">
        <is>
          <t>National Institute on Aging (Number: T32AG0037).</t>
        </is>
      </c>
      <c r="AH1191" t="n">
        <v>43</v>
      </c>
      <c r="AI1191" t="n">
        <v>8</v>
      </c>
      <c r="AJ1191" t="n">
        <v>8</v>
      </c>
      <c r="AK1191" t="n">
        <v>0</v>
      </c>
      <c r="AL1191" t="n">
        <v>31</v>
      </c>
      <c r="AM1191" t="inlineStr">
        <is>
          <t>ELSEVIER SCI LTD</t>
        </is>
      </c>
      <c r="AN1191" t="inlineStr">
        <is>
          <t>OXFORD</t>
        </is>
      </c>
      <c r="AO1191" t="inlineStr">
        <is>
          <t>THE BOULEVARD, LANGFORD LANE, KIDLINGTON, OXFORD OX5 1GB, OXON, ENGLAND</t>
        </is>
      </c>
      <c r="AP1191" t="inlineStr">
        <is>
          <t>1462-9011</t>
        </is>
      </c>
      <c r="AQ1191" t="inlineStr">
        <is>
          <t>1873-6416</t>
        </is>
      </c>
      <c r="AS1191" t="inlineStr">
        <is>
          <t>ENVIRON SCI POLICY</t>
        </is>
      </c>
      <c r="AT1191" t="inlineStr">
        <is>
          <t>Environ. Sci. Policy</t>
        </is>
      </c>
      <c r="AU1191" t="inlineStr">
        <is>
          <t>FEB</t>
        </is>
      </c>
      <c r="AV1191" t="n">
        <v>2016</v>
      </c>
      <c r="AW1191" t="n">
        <v>56</v>
      </c>
      <c r="BC1191" t="n">
        <v>49</v>
      </c>
      <c r="BD1191" t="n">
        <v>55</v>
      </c>
      <c r="BF1191" t="inlineStr">
        <is>
          <t>10.1016/j.envsci.2015.10.018</t>
        </is>
      </c>
      <c r="BG1191">
        <f>HYPERLINK("http://dx.doi.org/10.1016/j.envsci.2015.10.018","http://dx.doi.org/10.1016/j.envsci.2015.10.018")</f>
        <v/>
      </c>
      <c r="BJ1191" t="n">
        <v>7</v>
      </c>
      <c r="BK1191" t="inlineStr">
        <is>
          <t>Environmental Sciences</t>
        </is>
      </c>
      <c r="BL1191" t="inlineStr">
        <is>
          <t>Science Citation Index Expanded (SCI-EXPANDED)</t>
        </is>
      </c>
      <c r="BM1191" t="inlineStr">
        <is>
          <t>Environmental Sciences &amp; Ecology</t>
        </is>
      </c>
      <c r="BN1191" t="inlineStr">
        <is>
          <t>DC4MT</t>
        </is>
      </c>
      <c r="BO1191" t="n">
        <v>26640413</v>
      </c>
      <c r="BP1191" t="inlineStr">
        <is>
          <t>Green Accepted</t>
        </is>
      </c>
      <c r="BS1191" t="inlineStr">
        <is>
          <t>2023-10-26</t>
        </is>
      </c>
      <c r="BT1191" t="inlineStr">
        <is>
          <t>WOS:000369195700006</t>
        </is>
      </c>
      <c r="BU1191">
        <f>HYPERLINK("https%3A%2F%2Fwww.webofscience.com%2Fwos%2Fwoscc%2Ffull-record%2FWOS:000369195700006","View Full Record in Web of Science")</f>
        <v/>
      </c>
    </row>
    <row r="1192">
      <c r="A1192" t="inlineStr">
        <is>
          <t>J</t>
        </is>
      </c>
      <c r="B1192" t="inlineStr">
        <is>
          <t>Toque, C; Milodowski, AE; Baker, AC</t>
        </is>
      </c>
      <c r="F1192" t="inlineStr">
        <is>
          <t>Toque, C.; Milodowski, A. E.; Baker, A. C.</t>
        </is>
      </c>
      <c r="J1192" t="inlineStr">
        <is>
          <t>JOURNAL OF ENVIRONMENTAL RADIOACTIVITY</t>
        </is>
      </c>
      <c r="M1192" t="inlineStr">
        <is>
          <t>English</t>
        </is>
      </c>
      <c r="N1192" t="inlineStr">
        <is>
          <t>Article</t>
        </is>
      </c>
      <c r="T1192" t="inlineStr">
        <is>
          <t>The corrosion of depleted uranium in terrestrial and marine environments</t>
        </is>
      </c>
      <c r="U1192" t="inlineStr">
        <is>
          <t>Depleted uranium; Corrosion; Soil; Seawater; Eskmeals; Kirkcudbright</t>
        </is>
      </c>
      <c r="V1192" t="inlineStr">
        <is>
          <t>WATER-VAPOR; SOIL; PENETRATORS; BEHAVIOR; ALLOY; FATE</t>
        </is>
      </c>
      <c r="W1192" t="inlineStr">
        <is>
          <t>Depleted Uranium alloyed with titanium is used in armour penetrating munitions that have been fired in a number of conflict zones and testing ranges including the UK ranges at Kirkcudbright and Eskmeals. The study presented here evaluates the corrosion of DU alloy cylinders in soil on these two UK ranges and in the adjacent marine environment of the Solway Firth. The estimated mean initial corrosion rates and times for complete corrosion range from 0.13 to 1.9 g cm(-2) y(-1) and 2.5-48 years respectively depending on the particular physical and geochemical environment. The marine environment at the experimental site was very turbulent. This may have caused the scouring of corrosion products and given rise to a different geochemical environment from that which could be easily duplicated in laboratory experiments. The rate of mass loss was found to vary through time in one soil environment and this is hypothesised to be due to pitting increasing the surface area, followed by a build up of corrosion products inhibiting further corrosion. This indicates that early time measurements of mass loss or corrosion rate may be poor indicators of late time corrosion behaviour, potentially giving rise to incorrect estimates of time to complete corrosion. The DU alloy placed in apparently the same geochemical environment, for the same period of time, can experience very different amounts of corrosion and mass loss, indicating that even small variations in the corrosion environment can have a significant effect. These effects are more significant than other experimental errors and variations in initial surface area. (C) 2013 Published by Elsevier Ltd.</t>
        </is>
      </c>
      <c r="X1192" t="inlineStr">
        <is>
          <t>[Toque, C.] Inst Naval Med, Def Sci &amp; Technol Lab, Gosport PO12 2DL, Hants, England; [Milodowski, A. E.] British Geol Survey, Kingsley Dunham Ctr, Keyworth NG12 5GG, Notts, England; [Baker, A. C.] i SAT F, Def Sci &amp; Technol Lab, Salisbury SP5 OJQ, Wilts, England</t>
        </is>
      </c>
      <c r="Y1192" t="inlineStr">
        <is>
          <t>Defence Science &amp; Technology Laboratory; UK Research &amp; Innovation (UKRI); Natural Environment Research Council (NERC); NERC British Geological Survey; Defence Science &amp; Technology Laboratory</t>
        </is>
      </c>
      <c r="Z1192" t="inlineStr">
        <is>
          <t>Toque, C (corresponding author), Inst Naval Med, Def Sci &amp; Technol Lab, MBG23,Crescent Rd, Gosport PO12 2DL, Hants, England.</t>
        </is>
      </c>
      <c r="AA1192" t="inlineStr">
        <is>
          <t>acbaker@dstl.gov.uk</t>
        </is>
      </c>
      <c r="AC1192" t="inlineStr">
        <is>
          <t>Milodowski, Antoni/0000-0002-5141-5615</t>
        </is>
      </c>
      <c r="AD1192" t="inlineStr">
        <is>
          <t>Ministry of Defence; Depleted Uranium Firing Environmental Review Committee; Natural Environment Research Council [bgs05010] Funding Source: researchfish; NERC [bgs05010] Funding Source: UKRI</t>
        </is>
      </c>
      <c r="AE1192" t="inlineStr">
        <is>
          <t>Ministry of Defence; Depleted Uranium Firing Environmental Review Committee; Natural Environment Research Council(UK Research &amp; Innovation (UKRI)Natural Environment Research Council (NERC)); NERC(UK Research &amp; Innovation (UKRI)Natural Environment Research Council (NERC))</t>
        </is>
      </c>
      <c r="AF1192" t="inlineStr">
        <is>
          <t>The authors would like to thank the financial support provided to this project by the Ministry of Defence and, in particular, the support provided by Dr Chris Leach and the Depleted Uranium Firing Environmental Review Committee. In addition, the work could not have taken place without the support of the commandant of Kirkcudbright, Qinetiq at Eskmeals and the Royal Navy Northern Diving Group. Dr Simon Chenery (BGS) is also thanked for helpful comments. A.E.M. publishes with the approval of the Executive Director of the British Geological Survey (Natural Environment Research Council).</t>
        </is>
      </c>
      <c r="AH1192" t="n">
        <v>33</v>
      </c>
      <c r="AI1192" t="n">
        <v>19</v>
      </c>
      <c r="AJ1192" t="n">
        <v>20</v>
      </c>
      <c r="AK1192" t="n">
        <v>1</v>
      </c>
      <c r="AL1192" t="n">
        <v>37</v>
      </c>
      <c r="AM1192" t="inlineStr">
        <is>
          <t>ELSEVIER SCI LTD</t>
        </is>
      </c>
      <c r="AN1192" t="inlineStr">
        <is>
          <t>OXFORD</t>
        </is>
      </c>
      <c r="AO1192" t="inlineStr">
        <is>
          <t>THE BOULEVARD, LANGFORD LANE, KIDLINGTON, OXFORD OX5 1GB, OXON, ENGLAND</t>
        </is>
      </c>
      <c r="AP1192" t="inlineStr">
        <is>
          <t>0265-931X</t>
        </is>
      </c>
      <c r="AQ1192" t="inlineStr">
        <is>
          <t>1879-1700</t>
        </is>
      </c>
      <c r="AS1192" t="inlineStr">
        <is>
          <t>J ENVIRON RADIOACTIV</t>
        </is>
      </c>
      <c r="AT1192" t="inlineStr">
        <is>
          <t>J. Environ. Radioact.</t>
        </is>
      </c>
      <c r="AU1192" t="inlineStr">
        <is>
          <t>FEB</t>
        </is>
      </c>
      <c r="AV1192" t="n">
        <v>2014</v>
      </c>
      <c r="AW1192" t="n">
        <v>128</v>
      </c>
      <c r="BC1192" t="n">
        <v>97</v>
      </c>
      <c r="BD1192" t="n">
        <v>105</v>
      </c>
      <c r="BF1192" t="inlineStr">
        <is>
          <t>10.1016/j.jenvrad.2013.01.001</t>
        </is>
      </c>
      <c r="BG1192">
        <f>HYPERLINK("http://dx.doi.org/10.1016/j.jenvrad.2013.01.001","http://dx.doi.org/10.1016/j.jenvrad.2013.01.001")</f>
        <v/>
      </c>
      <c r="BJ1192" t="n">
        <v>9</v>
      </c>
      <c r="BK1192" t="inlineStr">
        <is>
          <t>Environmental Sciences</t>
        </is>
      </c>
      <c r="BL1192" t="inlineStr">
        <is>
          <t>Science Citation Index Expanded (SCI-EXPANDED)</t>
        </is>
      </c>
      <c r="BM1192" t="inlineStr">
        <is>
          <t>Environmental Sciences &amp; Ecology</t>
        </is>
      </c>
      <c r="BN1192" t="inlineStr">
        <is>
          <t>AB0KV</t>
        </is>
      </c>
      <c r="BO1192" t="n">
        <v>24315120</v>
      </c>
      <c r="BS1192" t="inlineStr">
        <is>
          <t>2023-10-26</t>
        </is>
      </c>
      <c r="BT1192" t="inlineStr">
        <is>
          <t>WOS:000331481700014</t>
        </is>
      </c>
      <c r="BU1192">
        <f>HYPERLINK("https%3A%2F%2Fwww.webofscience.com%2Fwos%2Fwoscc%2Ffull-record%2FWOS:000331481700014","View Full Record in Web of Science")</f>
        <v/>
      </c>
    </row>
    <row r="1193">
      <c r="A1193" t="inlineStr">
        <is>
          <t>J</t>
        </is>
      </c>
      <c r="B1193" t="inlineStr">
        <is>
          <t>Parra-Rodríguez, L; Reyes-Ramírez, E; Jiménez-Andrade, JL; Carrillo-Calvet, H; García-Peña, C</t>
        </is>
      </c>
      <c r="F1193" t="inlineStr">
        <is>
          <t>Parra-Rodriguez, Lorena; Reyes-Ramirez, Edward; Luis Jimenez-Andrade, Jose; Carrillo-Calvet, Humberto; Garcia-Pena, Carmen</t>
        </is>
      </c>
      <c r="J1193" t="inlineStr">
        <is>
          <t>INTERNATIONAL JOURNAL OF ENVIRONMENTAL RESEARCH AND PUBLIC HEALTH</t>
        </is>
      </c>
      <c r="M1193" t="inlineStr">
        <is>
          <t>English</t>
        </is>
      </c>
      <c r="N1193" t="inlineStr">
        <is>
          <t>Article</t>
        </is>
      </c>
      <c r="T1193" t="inlineStr">
        <is>
          <t>Self-Organizing Maps to Multidimensionally Characterize Physical Profiles in Older Adults</t>
        </is>
      </c>
      <c r="U1193" t="inlineStr">
        <is>
          <t>self-organizing maps (SOM); artificial neural network analysis; body composition and physical performance tests; older adults</t>
        </is>
      </c>
      <c r="V1193" t="inlineStr">
        <is>
          <t>BODY-COMPOSITION; REFERENCE VALUES; WALKING SPEED; HANDGRIP STRENGTH; GRIP STRENGTH; GAIT SPEED; PERFORMANCE; VALIDATION; DISABILITY; SARCOPENIA</t>
        </is>
      </c>
      <c r="W1193" t="inlineStr">
        <is>
          <t>The aim of this study is to automatically analyze, characterize and classify physical performance and body composition data of a cohort of Mexican community-dwelling older adults. Self-organizing maps (SOM) were used to identify similar profiles in 562 older adults living in Mexico City that participated in this study. Data regarding demographics, geriatric syndromes, comorbidities, physical performance, and body composition were obtained. The sample was divided by sex, and the multidimensional analysis included age, gait speed over height, grip strength over body mass index, one-legged stance, lean appendicular mass percentage, and fat percentage. Using the SOM neural network, seven profile types for older men and women were identified. This analysis provided maps depicting a set of clusters qualitatively characterizing groups of older adults that share similar profiles of body composition and physical performance. The SOM neural network proved to be a useful tool for analyzing multidimensional health care data and facilitating its interpretability. It provided a visual representation of the non-linear relationship between physical performance and body composition variables, as well as the identification of seven characteristic profiles in this cohort.</t>
        </is>
      </c>
      <c r="X1193" t="inlineStr">
        <is>
          <t>[Parra-Rodriguez, Lorena; Reyes-Ramirez, Edward; Garcia-Pena, Carmen] Inst Nacl Geriatria, Res Dept, Mexico City 10200, DF, Mexico; [Luis Jimenez-Andrade, Jose; Carrillo-Calvet, Humberto] Univ Nacl Autonoma Mexico, Fac Ciencias, Mexico City 04510, DF, Mexico; [Luis Jimenez-Andrade, Jose; Carrillo-Calvet, Humberto] Univ Nacl Autonoma Mexico, Ctr Ciencias Complejidad, Mexico City 04510, DF, Mexico; [Luis Jimenez-Andrade, Jose] INFOTEC, Ctr Invest &amp; Innovac Tecnol La Informac &amp; Comunic, Mexico City 14050, DF, Mexico</t>
        </is>
      </c>
      <c r="Y1193" t="inlineStr">
        <is>
          <t>Universidad Nacional Autonoma de Mexico; Universidad Nacional Autonoma de Mexico; INFOTEC - Centro de Investigacion e Innovacion en Tecnologias de la Informacion y Comunicacion</t>
        </is>
      </c>
      <c r="Z1193" t="inlineStr">
        <is>
          <t>García-Peña, C (corresponding author), Inst Nacl Geriatria, Res Dept, Mexico City 10200, DF, Mexico.</t>
        </is>
      </c>
      <c r="AA1193" t="inlineStr">
        <is>
          <t>mcgarcia@inger.gob.mx</t>
        </is>
      </c>
      <c r="AB1193" t="inlineStr">
        <is>
          <t>Calvet, Humberto Carrillo/E-2265-2012; CARRILLO CALVET, HUMBERTO/ITW-2657-2023; Jiménez-Andrade, José-Luis/T-1666-2018</t>
        </is>
      </c>
      <c r="AC1193" t="inlineStr">
        <is>
          <t>Calvet, Humberto Carrillo/0000-0003-3659-6769; Jiménez-Andrade, José-Luis/0000-0003-3453-7159; Parra-Rodriguez, Lorena/0000-0002-1107-1571; Reyes, Edward/0000-0002-8700-4295; Garcia-Pena, Carmen/0000-0002-9380-6964</t>
        </is>
      </c>
      <c r="AD1193" t="inlineStr">
        <is>
          <t>Fondo Sectorial de Investigacion en Salud y Seguridad Social (FOSISS) from the Consejo Nacional de Ciencia y Tecnologia (CONACyT) [SALUD-2015-2-261722]; Secretaria de Educacion, Ciencia, Tecnologia e Innovacion de la Ciudad de Mexico [SECITI/042/2018-INGER-DI-CRECITES-003-2018]; Instituto Nacional de Geriatria, Mexico</t>
        </is>
      </c>
      <c r="AE1193" t="inlineStr">
        <is>
          <t>Fondo Sectorial de Investigacion en Salud y Seguridad Social (FOSISS) from the Consejo Nacional de Ciencia y Tecnologia (CONACyT)(Consejo Nacional de Ciencia y Tecnologia (CONACyT)); Secretaria de Educacion, Ciencia, Tecnologia e Innovacion de la Ciudad de Mexico; Instituto Nacional de Geriatria, Mexico</t>
        </is>
      </c>
      <c r="AF1193" t="inlineStr">
        <is>
          <t>This research was funded by: Fondo Sectorial de Investigacion en Salud y Seguridad Social (FOSISS) SALUD-2015-2-261722 from the Consejo Nacional de Ciencia y Tecnologia (CONACyT) in the period from April 2017 to March 2018. Secretaria de Educacion, Ciencia, Tecnologia e Innovacion de la Ciudad de Mexico SECITI/042/2018-INGER-DI-CRECITES-003-2018 Red Colaborativa de Investigacion Traslacional para el Envejecimiento Saludable de la Ciudad de Mexico (RECITES) in the period from November 2018 to October 2019. The publication of this paper was supported by Instituto Nacional de Geriatria, Mexico.</t>
        </is>
      </c>
      <c r="AH1193" t="n">
        <v>68</v>
      </c>
      <c r="AI1193" t="n">
        <v>0</v>
      </c>
      <c r="AJ1193" t="n">
        <v>0</v>
      </c>
      <c r="AK1193" t="n">
        <v>1</v>
      </c>
      <c r="AL1193" t="n">
        <v>1</v>
      </c>
      <c r="AM1193" t="inlineStr">
        <is>
          <t>MDPI</t>
        </is>
      </c>
      <c r="AN1193" t="inlineStr">
        <is>
          <t>BASEL</t>
        </is>
      </c>
      <c r="AO1193" t="inlineStr">
        <is>
          <t>ST ALBAN-ANLAGE 66, CH-4052 BASEL, SWITZERLAND</t>
        </is>
      </c>
      <c r="AQ1193" t="inlineStr">
        <is>
          <t>1660-4601</t>
        </is>
      </c>
      <c r="AS1193" t="inlineStr">
        <is>
          <t>INT J ENV RES PUB HE</t>
        </is>
      </c>
      <c r="AT1193" t="inlineStr">
        <is>
          <t>Int. J. Environ. Res. Public Health</t>
        </is>
      </c>
      <c r="AU1193" t="inlineStr">
        <is>
          <t>OCT</t>
        </is>
      </c>
      <c r="AV1193" t="n">
        <v>2022</v>
      </c>
      <c r="AW1193" t="n">
        <v>19</v>
      </c>
      <c r="AX1193" t="n">
        <v>19</v>
      </c>
      <c r="BE1193" t="n">
        <v>12412</v>
      </c>
      <c r="BF1193" t="inlineStr">
        <is>
          <t>10.3390/ijerph191912412</t>
        </is>
      </c>
      <c r="BG1193">
        <f>HYPERLINK("http://dx.doi.org/10.3390/ijerph191912412","http://dx.doi.org/10.3390/ijerph191912412")</f>
        <v/>
      </c>
      <c r="BJ1193" t="n">
        <v>25</v>
      </c>
      <c r="BK1193" t="inlineStr">
        <is>
          <t>Environmental Sciences; Public, Environmental &amp; Occupational Health</t>
        </is>
      </c>
      <c r="BL1193" t="inlineStr">
        <is>
          <t>Science Citation Index Expanded (SCI-EXPANDED); Social Science Citation Index (SSCI)</t>
        </is>
      </c>
      <c r="BM1193" t="inlineStr">
        <is>
          <t>Environmental Sciences &amp; Ecology; Public, Environmental &amp; Occupational Health</t>
        </is>
      </c>
      <c r="BN1193" t="inlineStr">
        <is>
          <t>5G0UH</t>
        </is>
      </c>
      <c r="BO1193" t="n">
        <v>36231709</v>
      </c>
      <c r="BP1193" t="inlineStr">
        <is>
          <t>Green Published, gold</t>
        </is>
      </c>
      <c r="BS1193" t="inlineStr">
        <is>
          <t>2023-10-26</t>
        </is>
      </c>
      <c r="BT1193" t="inlineStr">
        <is>
          <t>WOS:000866722600001</t>
        </is>
      </c>
      <c r="BU1193">
        <f>HYPERLINK("https%3A%2F%2Fwww.webofscience.com%2Fwos%2Fwoscc%2Ffull-record%2FWOS:000866722600001","View Full Record in Web of Science")</f>
        <v/>
      </c>
    </row>
    <row r="1194">
      <c r="A1194" t="inlineStr">
        <is>
          <t>J</t>
        </is>
      </c>
      <c r="B1194" t="inlineStr">
        <is>
          <t>Locke, J; Dsilva, J; Zarmukhambetova, S</t>
        </is>
      </c>
      <c r="F1194" t="inlineStr">
        <is>
          <t>Locke, Jasmina; Dsilva, Jacinta; Zarmukhambetova, Saniya</t>
        </is>
      </c>
      <c r="J1194" t="inlineStr">
        <is>
          <t>SUSTAINABILITY</t>
        </is>
      </c>
      <c r="M1194" t="inlineStr">
        <is>
          <t>English</t>
        </is>
      </c>
      <c r="N1194" t="inlineStr">
        <is>
          <t>Review</t>
        </is>
      </c>
      <c r="T1194" t="inlineStr">
        <is>
          <t>Decarbonization Strategies in the UAE Built Environment: An Evidence-Based Analysis Using COP26 and COP27 Recommendations</t>
        </is>
      </c>
      <c r="U1194" t="inlineStr">
        <is>
          <t>decarbonization; COP26; COP27; UAE Climate Change Plan; built environment; embodied; operational carbon</t>
        </is>
      </c>
      <c r="V1194" t="inlineStr">
        <is>
          <t>BUILDING ENVELOPE; PERFORMANCE; DESIGN; SUSTAINABILITY; OPTIMIZATION</t>
        </is>
      </c>
      <c r="W1194" t="inlineStr">
        <is>
          <t>The urgency of addressing climate change is increasingly evident through the rise in devastating natural disasters and significant shifts in global temperatures. With the urbanization of rural landscapes to accommodate population growth, the built environment has emerged as a major contributor to climate change, accounting for approximately 40% of natural resource consumption and carbon emissions. In pursuit of tackling climate challenges, countries have united under the United Nations Framework Convention on Climate Change (UNFCCC) to develop strategies for climate action and adaptation, through the Conference of the Parties (COP). The UAE has been an active member of the COP and has been at the forefront of implementing decarbonization strategies. This paper aims to provide a comprehensive analysis of the decarbonization recommendations presented during COP26 and COP27, specifically focusing on the built environment sector. The primary objective is to highlight how recommendations were effectively incorporated into the UAE's built environment sector, employing a case study approach further highlighting the specific implementation strategies adopted in the G+2 SEE Institute building while demonstrating how COP26, COP27, and the UAE's National Climate Change Plan 2017-2050 recommendations were translated into practical measures. The study places particular emphasis on the areas of energy, water and waste management, investigating how these strategies were integrated to promote decarbonization efforts. By examining the G+2 SEE Institute building case, this research attempts to provide valuable insights on aligning built environment practices with climate change mitigation objectives. The planning of the building structure employed a systems thinking approach, while assessments were conducted to identify materials and designs that would enable the building to achieve net-zero status. Real-time data analysis was employed for comprehensive analysis. The findings of this study will contribute to the body of knowledge on sustainable construction practices and serve as a guide for stakeholders, including developers, policymakers, and practitioners, in adopting effective strategies in reducing carbon emissions and fostering environmental sustainability in line with the Paris Agreement.</t>
        </is>
      </c>
      <c r="X1194" t="inlineStr">
        <is>
          <t>[Locke, Jasmina; Dsilva, Jacinta; Zarmukhambetova, Saniya] Sustainable City, SEE Inst, Res &amp; Educ Ctr, Dubai 251153, U Arab Emirates</t>
        </is>
      </c>
      <c r="Z1194" t="inlineStr">
        <is>
          <t>Dsilva, J (corresponding author), Sustainable City, SEE Inst, Res &amp; Educ Ctr, Dubai 251153, U Arab Emirates.</t>
        </is>
      </c>
      <c r="AA1194" t="inlineStr">
        <is>
          <t>jasmina@seeinstitute.ae; jacinta@seeinstitute.ae; saniya@seeinstitute.ae</t>
        </is>
      </c>
      <c r="AC1194" t="inlineStr">
        <is>
          <t>Dsilva, Jacinta/0000-0002-5855-7675</t>
        </is>
      </c>
      <c r="AH1194" t="n">
        <v>60</v>
      </c>
      <c r="AI1194" t="n">
        <v>0</v>
      </c>
      <c r="AJ1194" t="n">
        <v>0</v>
      </c>
      <c r="AK1194" t="n">
        <v>1</v>
      </c>
      <c r="AL1194" t="n">
        <v>1</v>
      </c>
      <c r="AM1194" t="inlineStr">
        <is>
          <t>MDPI</t>
        </is>
      </c>
      <c r="AN1194" t="inlineStr">
        <is>
          <t>BASEL</t>
        </is>
      </c>
      <c r="AO1194" t="inlineStr">
        <is>
          <t>ST ALBAN-ANLAGE 66, CH-4052 BASEL, SWITZERLAND</t>
        </is>
      </c>
      <c r="AQ1194" t="inlineStr">
        <is>
          <t>2071-1050</t>
        </is>
      </c>
      <c r="AS1194" t="inlineStr">
        <is>
          <t>SUSTAINABILITY-BASEL</t>
        </is>
      </c>
      <c r="AT1194" t="inlineStr">
        <is>
          <t>Sustainability</t>
        </is>
      </c>
      <c r="AU1194" t="inlineStr">
        <is>
          <t>AUG</t>
        </is>
      </c>
      <c r="AV1194" t="n">
        <v>2023</v>
      </c>
      <c r="AW1194" t="n">
        <v>15</v>
      </c>
      <c r="AX1194" t="n">
        <v>15</v>
      </c>
      <c r="BE1194" t="n">
        <v>11603</v>
      </c>
      <c r="BF1194" t="inlineStr">
        <is>
          <t>10.3390/su151511603</t>
        </is>
      </c>
      <c r="BG1194">
        <f>HYPERLINK("http://dx.doi.org/10.3390/su151511603","http://dx.doi.org/10.3390/su151511603")</f>
        <v/>
      </c>
      <c r="BJ1194" t="n">
        <v>21</v>
      </c>
      <c r="BK1194" t="inlineStr">
        <is>
          <t>Green &amp; Sustainable Science &amp; Technology; Environmental Sciences; Environmental Studies</t>
        </is>
      </c>
      <c r="BL1194" t="inlineStr">
        <is>
          <t>Science Citation Index Expanded (SCI-EXPANDED); Social Science Citation Index (SSCI)</t>
        </is>
      </c>
      <c r="BM1194" t="inlineStr">
        <is>
          <t>Science &amp; Technology - Other Topics; Environmental Sciences &amp; Ecology</t>
        </is>
      </c>
      <c r="BN1194" t="inlineStr">
        <is>
          <t>O7VO8</t>
        </is>
      </c>
      <c r="BP1194" t="inlineStr">
        <is>
          <t>gold</t>
        </is>
      </c>
      <c r="BS1194" t="inlineStr">
        <is>
          <t>2023-10-26</t>
        </is>
      </c>
      <c r="BT1194" t="inlineStr">
        <is>
          <t>WOS:001045847300001</t>
        </is>
      </c>
      <c r="BU1194">
        <f>HYPERLINK("https%3A%2F%2Fwww.webofscience.com%2Fwos%2Fwoscc%2Ffull-record%2FWOS:001045847300001","View Full Record in Web of Science")</f>
        <v/>
      </c>
    </row>
    <row r="1195">
      <c r="A1195" t="inlineStr">
        <is>
          <t>J</t>
        </is>
      </c>
      <c r="B1195" t="inlineStr">
        <is>
          <t>Bianco, L</t>
        </is>
      </c>
      <c r="F1195" t="inlineStr">
        <is>
          <t>Bianco, Lino</t>
        </is>
      </c>
      <c r="J1195" t="inlineStr">
        <is>
          <t>SUSTAINABILITY</t>
        </is>
      </c>
      <c r="M1195" t="inlineStr">
        <is>
          <t>English</t>
        </is>
      </c>
      <c r="N1195" t="inlineStr">
        <is>
          <t>Article</t>
        </is>
      </c>
      <c r="T1195" t="inlineStr">
        <is>
          <t>Architecture, Engineering and Building Science: The Contemporary Relevance of Vitruvius's De Architectura</t>
        </is>
      </c>
      <c r="U1195" t="inlineStr">
        <is>
          <t>Vitruvius; De Architectura; architecture; civil engineering; structural engineering; building materials; building science; Roman architecture; Roman antiquity</t>
        </is>
      </c>
      <c r="V1195" t="inlineStr">
        <is>
          <t>AL-TOBERMORITE; ROMAN; DESIGN; STONE</t>
        </is>
      </c>
      <c r="W1195" t="inlineStr">
        <is>
          <t>Conferences worldwide focus on a range of disciplines relating to the construction of the built environment. They tend to emphasize either the art or the science of building, the former focusing on architectural theory and design while the latter targets a range of topics from civil and/or building engineering to building physics. Vitruvius's De Architectura Libri Decem is a seminal treatise more than two millennia old which addresses these themes in a holistic manner. This text remains valid today for students and professionals engaged in architecture and building engineering. Translated as Ten Books on Architecture, it not only presents an overall view of the disciplines of town planning, architecture and civil engineering, along with the qualifications required to practice them, but also addresses building materials, civil-engineering structures and the science influencing buildings. Although grounded in the practice and technology of Ancient Rome, the principles put forward in this treatise are still valid nowadays for effective, sustainable architectural-engineering design based on rigorous education and good knowledge of building materials and construction. Vitruvius's definition of architecture-the one still customarily used-is an inclusive philosophical statement on the essence of building for humanity to house humanity. It recalls the symbiotic relation between architecture and building engineering that is often forgotten in the contemporary emphasis on specialization.</t>
        </is>
      </c>
      <c r="X1195" t="inlineStr">
        <is>
          <t>[Bianco, Lino] Univ Malta, Fac Built Environm, Dept Architecture &amp; Urban Design, Msida MSD2080, Malta; [Bianco, Lino] Univ Architecture Civil Engn &amp; Geodesy, Fac Architecture, Sofia 1046, Bulgaria</t>
        </is>
      </c>
      <c r="Y1195" t="inlineStr">
        <is>
          <t>University of Malta; University of Architecture &amp; Civil Engineering - Bulgaria</t>
        </is>
      </c>
      <c r="Z1195" t="inlineStr">
        <is>
          <t>Bianco, L (corresponding author), Univ Malta, Fac Built Environm, Dept Architecture &amp; Urban Design, Msida MSD2080, Malta.;Bianco, L (corresponding author), Univ Architecture Civil Engn &amp; Geodesy, Fac Architecture, Sofia 1046, Bulgaria.</t>
        </is>
      </c>
      <c r="AA1195" t="inlineStr">
        <is>
          <t>lino.bianco@um.edu.mt</t>
        </is>
      </c>
      <c r="AD1195" t="inlineStr">
        <is>
          <t>Transylvania University of Bra?ov, Romania; Academic Work Resources Fund of the University of Malta</t>
        </is>
      </c>
      <c r="AE1195" t="inlineStr">
        <is>
          <t>Transylvania University of Bra?ov, Romania; Academic Work Resources Fund of the University of Malta</t>
        </is>
      </c>
      <c r="AF1195" t="inlineStr">
        <is>
          <t>This research was funded by the Transylvania University of Bra?ov, Romania, and the APC was funded by the Academic Work Resources Fund of the University of Malta.</t>
        </is>
      </c>
      <c r="AH1195" t="n">
        <v>120</v>
      </c>
      <c r="AI1195" t="n">
        <v>0</v>
      </c>
      <c r="AJ1195" t="n">
        <v>0</v>
      </c>
      <c r="AK1195" t="n">
        <v>5</v>
      </c>
      <c r="AL1195" t="n">
        <v>6</v>
      </c>
      <c r="AM1195" t="inlineStr">
        <is>
          <t>MDPI</t>
        </is>
      </c>
      <c r="AN1195" t="inlineStr">
        <is>
          <t>BASEL</t>
        </is>
      </c>
      <c r="AO1195" t="inlineStr">
        <is>
          <t>ST ALBAN-ANLAGE 66, CH-4052 BASEL, SWITZERLAND</t>
        </is>
      </c>
      <c r="AQ1195" t="inlineStr">
        <is>
          <t>2071-1050</t>
        </is>
      </c>
      <c r="AS1195" t="inlineStr">
        <is>
          <t>SUSTAINABILITY-BASEL</t>
        </is>
      </c>
      <c r="AT1195" t="inlineStr">
        <is>
          <t>Sustainability</t>
        </is>
      </c>
      <c r="AU1195" t="inlineStr">
        <is>
          <t>MAR</t>
        </is>
      </c>
      <c r="AV1195" t="n">
        <v>2023</v>
      </c>
      <c r="AW1195" t="n">
        <v>15</v>
      </c>
      <c r="AX1195" t="n">
        <v>5</v>
      </c>
      <c r="BE1195" t="n">
        <v>4150</v>
      </c>
      <c r="BF1195" t="inlineStr">
        <is>
          <t>10.3390/su15054150</t>
        </is>
      </c>
      <c r="BG1195">
        <f>HYPERLINK("http://dx.doi.org/10.3390/su15054150","http://dx.doi.org/10.3390/su15054150")</f>
        <v/>
      </c>
      <c r="BJ1195" t="n">
        <v>27</v>
      </c>
      <c r="BK1195" t="inlineStr">
        <is>
          <t>Green &amp; Sustainable Science &amp; Technology; Environmental Sciences; Environmental Studies</t>
        </is>
      </c>
      <c r="BL1195" t="inlineStr">
        <is>
          <t>Science Citation Index Expanded (SCI-EXPANDED); Social Science Citation Index (SSCI)</t>
        </is>
      </c>
      <c r="BM1195" t="inlineStr">
        <is>
          <t>Science &amp; Technology - Other Topics; Environmental Sciences &amp; Ecology</t>
        </is>
      </c>
      <c r="BN1195" t="inlineStr">
        <is>
          <t>9U9PF</t>
        </is>
      </c>
      <c r="BP1195" t="inlineStr">
        <is>
          <t>gold</t>
        </is>
      </c>
      <c r="BS1195" t="inlineStr">
        <is>
          <t>2023-10-26</t>
        </is>
      </c>
      <c r="BT1195" t="inlineStr">
        <is>
          <t>WOS:000948034700001</t>
        </is>
      </c>
      <c r="BU1195">
        <f>HYPERLINK("https%3A%2F%2Fwww.webofscience.com%2Fwos%2Fwoscc%2Ffull-record%2FWOS:000948034700001","View Full Record in Web of Science")</f>
        <v/>
      </c>
    </row>
    <row r="1196">
      <c r="A1196" t="inlineStr">
        <is>
          <t>J</t>
        </is>
      </c>
      <c r="B1196" t="inlineStr">
        <is>
          <t>Guo, YX; Wang, AQ; Gao, X; Na, J; Zhe, W; Zeng, Y; Zhang, JR; Jiang, YJ; Yan, F; Yunus, M; Wang, H; Yin, ZX</t>
        </is>
      </c>
      <c r="F1196" t="inlineStr">
        <is>
          <t>Guo, Ye Xin; Wang, An Qi; Gao, Xin; Na, Jun; Zhe, Wei; Zeng, Yi; Zhang, Jing Rui; Jiang, Yuan Jing; Yan, Fei; Yunus, Mukaram; Wang, Hui; Yin, Zhao Xue</t>
        </is>
      </c>
      <c r="J1196" t="inlineStr">
        <is>
          <t>BIOMEDICAL AND ENVIRONMENTAL SCIENCES</t>
        </is>
      </c>
      <c r="M1196" t="inlineStr">
        <is>
          <t>English</t>
        </is>
      </c>
      <c r="N1196" t="inlineStr">
        <is>
          <t>Article</t>
        </is>
      </c>
      <c r="T1196" t="inlineStr">
        <is>
          <t>Obesity is positively Associated with Depression in Older Adults: Role of Systemic Inflammation*</t>
        </is>
      </c>
      <c r="U1196" t="inlineStr">
        <is>
          <t>Depression; Obesity; Older adults; Body mass index; Inflammatory reaction</t>
        </is>
      </c>
      <c r="V1196" t="inlineStr">
        <is>
          <t>C-REACTIVE PROTEIN; BODY-MASS INDEX; SYMPTOMS; PREVALENCE; OVERWEIGHT; VALIDITY; COHORT; SCALE; RISK</t>
        </is>
      </c>
      <c r="W1196" t="inlineStr">
        <is>
          <t>Objective We aimed to explore the association between obesity and depression and the role of systemic inflammation in older adults. Methods Adults &gt;= 65 years old (n = 1,973) were interviewed at baseline in 2018 and 1,459 were followed up in 2021. General and abdominal obesity were assessed, and serum C-reactive protein (CRP) levels were measured at baseline. Depression status was assessed at baseline and at follow-up. Logistic regression was used to analyze the relationship between obesity and the incidence of depression and worsening of depressive symptoms, as well as the relationship between obesity and CRP levels. The associations of CRP levels with the geriatric depression scale, as well as with its three dimensions, were investigated using multiple linear regressions. Results General obesity was associated with worsening depression symptoms and incident depression, with an odds ratio (OR) [95% confidence interval (CI)] of 1.53 (1.13-2.12) and 1.80 (1.23-2.63), especially among old male subjects, with OR (95% CI) of 2.12 (1.25-3.58) and 2.24 (1.22-4.11), respectively; however, no significant relationship was observed between abdominal obesity and depression. In addition, general obesity was associated with high levels of CRP, with OR (95% CI) of 2.58 (1.75-3.81), especially in subjects free of depression at baseline, with OR (95% CI) of 3.15 (1.97-5.04), and CRP levels were positively correlated with a score of specific dimension (life satisfaction) of depression, P &lt; 0.05. Conclusion General obesity, rather than abdominal obesity, was associated with worsening depressive symptoms and incident depression, which can be partly explained by the systemic inflammatory response, and the impact of obesity on depression should be taken more seriously in the older male population.</t>
        </is>
      </c>
      <c r="X1196" t="inlineStr">
        <is>
          <t>[Guo, Ye Xin; Wang, An Qi; Gao, Xin; Yin, Zhao Xue] Chinese Ctr Dis Control &amp; Prevent, Div Noncommun Dis &amp; Elderly Hlth Managemen, Beijing 102206, Peoples R China; [Na, Jun] Liaoning Prov Ctr Dis Control &amp; Prevent, Shenyang 110000, Liaoning, Peoples R China; [Zhe, Wei] Xinjiang Uygur Autonomous Reg Ctr Dis Control &amp; P, Xinjiang, Peoples R China; [Zeng, Yi] Duke Univ, Ctr Study Aging &amp; Human Dev, Durham, NC 27701 USA; [Zeng, Yi] Duke Univ, Geriatr Div, Sch Med, Durham, NC 27701 USA; [Zeng, Yi] Peking Univ, Natl Sch Dev, Ctr Healthy Aging &amp; Dev Studies, Beijing 100871, Peoples R China; [Zhang, Jing Rui; Yan, Fei] Yuanbao Ctr Dis Control &amp; Prevent, Dandong 118000, Liaoning, Peoples R China; [Jiang, Yuan Jing; Yunus, Mukaram] Korla Ctr Dis Control &amp; Prevent, Korla 841000, Xinjiang, Peoples R China; [Wang, Hui] Liudaokou Community Hlth Serv Ctr, Dandong 118000, Liaoning, Peoples R China</t>
        </is>
      </c>
      <c r="Y1196" t="inlineStr">
        <is>
          <t>Chinese Center for Disease Control &amp; Prevention; Duke University; Duke University; Peking University</t>
        </is>
      </c>
      <c r="Z1196" t="inlineStr">
        <is>
          <t>Yin, ZX (corresponding author), Chinese Ctr Dis Control &amp; Prevent, Div Noncommun Dis &amp; Elderly Hlth Managemen, Beijing 102206, Peoples R China.</t>
        </is>
      </c>
      <c r="AA1196" t="inlineStr">
        <is>
          <t>yinzx@chinacdc.cn</t>
        </is>
      </c>
      <c r="AH1196" t="n">
        <v>51</v>
      </c>
      <c r="AI1196" t="n">
        <v>0</v>
      </c>
      <c r="AJ1196" t="n">
        <v>0</v>
      </c>
      <c r="AK1196" t="n">
        <v>0</v>
      </c>
      <c r="AL1196" t="n">
        <v>0</v>
      </c>
      <c r="AM1196" t="inlineStr">
        <is>
          <t>CHINESE CENTER DISEASE CONTROL &amp; PREVENTION</t>
        </is>
      </c>
      <c r="AN1196" t="inlineStr">
        <is>
          <t>BEIJING</t>
        </is>
      </c>
      <c r="AO1196" t="inlineStr">
        <is>
          <t>155 CHANGBAI RD, CHANGPING DISTRICT, BEIJING, 102206, PEOPLES R CHINA</t>
        </is>
      </c>
      <c r="AP1196" t="inlineStr">
        <is>
          <t>0895-3988</t>
        </is>
      </c>
      <c r="AQ1196" t="inlineStr">
        <is>
          <t>2214-0190</t>
        </is>
      </c>
      <c r="AS1196" t="inlineStr">
        <is>
          <t>BIOMED ENVIRON SCI</t>
        </is>
      </c>
      <c r="AT1196" t="inlineStr">
        <is>
          <t>Biomed. Environ. Sci.</t>
        </is>
      </c>
      <c r="AU1196" t="inlineStr">
        <is>
          <t>JUN</t>
        </is>
      </c>
      <c r="AV1196" t="n">
        <v>2023</v>
      </c>
      <c r="AW1196" t="n">
        <v>36</v>
      </c>
      <c r="AX1196" t="n">
        <v>6</v>
      </c>
      <c r="BC1196" t="n">
        <v>481</v>
      </c>
      <c r="BD1196" t="n">
        <v>489</v>
      </c>
      <c r="BF1196" t="inlineStr">
        <is>
          <t>10.3967/bes2023.059</t>
        </is>
      </c>
      <c r="BG1196">
        <f>HYPERLINK("http://dx.doi.org/10.3967/bes2023.059","http://dx.doi.org/10.3967/bes2023.059")</f>
        <v/>
      </c>
      <c r="BJ1196" t="n">
        <v>9</v>
      </c>
      <c r="BK1196" t="inlineStr">
        <is>
          <t>Environmental Sciences; Public, Environmental &amp; Occupational Health</t>
        </is>
      </c>
      <c r="BL1196" t="inlineStr">
        <is>
          <t>Science Citation Index Expanded (SCI-EXPANDED)</t>
        </is>
      </c>
      <c r="BM1196" t="inlineStr">
        <is>
          <t>Environmental Sciences &amp; Ecology; Public, Environmental &amp; Occupational Health</t>
        </is>
      </c>
      <c r="BN1196" t="inlineStr">
        <is>
          <t>N8GO6</t>
        </is>
      </c>
      <c r="BO1196" t="n">
        <v>37424241</v>
      </c>
      <c r="BS1196" t="inlineStr">
        <is>
          <t>2023-10-26</t>
        </is>
      </c>
      <c r="BT1196" t="inlineStr">
        <is>
          <t>WOS:001039336500001</t>
        </is>
      </c>
      <c r="BU1196">
        <f>HYPERLINK("https%3A%2F%2Fwww.webofscience.com%2Fwos%2Fwoscc%2Ffull-record%2FWOS:001039336500001","View Full Record in Web of Science")</f>
        <v/>
      </c>
    </row>
    <row r="1197">
      <c r="A1197" t="inlineStr">
        <is>
          <t>J</t>
        </is>
      </c>
      <c r="B1197" t="inlineStr">
        <is>
          <t>Yuan, MQ; Chen, W; Teng, BG; Fang, Y</t>
        </is>
      </c>
      <c r="F1197" t="inlineStr">
        <is>
          <t>Yuan, Manqiong; Chen, Wei; Teng, Bogang; Fang, Ya</t>
        </is>
      </c>
      <c r="J1197" t="inlineStr">
        <is>
          <t>INTERNATIONAL JOURNAL OF ENVIRONMENTAL RESEARCH AND PUBLIC HEALTH</t>
        </is>
      </c>
      <c r="M1197" t="inlineStr">
        <is>
          <t>English</t>
        </is>
      </c>
      <c r="N1197" t="inlineStr">
        <is>
          <t>Article</t>
        </is>
      </c>
      <c r="T1197" t="inlineStr">
        <is>
          <t>Occupational Disparities in the Association between Self-Reported Salt-Eating Habit and Hypertension in Older Adults in Xiamen, China</t>
        </is>
      </c>
      <c r="U1197" t="inlineStr">
        <is>
          <t>dietary salt intake; hypertension; multivariable logistic regression; occupation; older adults</t>
        </is>
      </c>
      <c r="V1197" t="inlineStr">
        <is>
          <t>BODY-MASS INDEX; BLOOD-PRESSURE; DIETARY-SODIUM; SOCIOECONOMIC-STATUS; GLOBAL BURDEN; WOMEN; RISK; SEX; PREVALENCE; POPULATION</t>
        </is>
      </c>
      <c r="W1197" t="inlineStr">
        <is>
          <t>Blood pressure responses to sodium intake are heterogeneous among populations. Few studies have assessed occupational disparities in the association between sodium intake and hypertension in older people. We used cross-sectional data from 14,292 participants aged 60 years or older in Xiamen, China, in 2013. Self-reported salt-eating habit was examined with three levels: low, medium, and high. The main lifetime occupation was classified into indoor laborer and outdoor laborer. Multivariable logistic regression was used to examine associations of hypertension with self-reported salt-eating habit, main lifetime occupation, and their interactions by adjusting for some covariates, with further stratification by sex. Overall, 13,738 participants had complete data, of whom 30.22% had hypertension. The prevalence of hypertension was 31.57%, 28.63%, and 31.97% in participants who reported to have low, medium, and high salt-eating habit, respectively. Outdoor laborers presented significantly lower prevalence of hypertension than indoor laborers (26.04% vs. 34.26%, p &lt; 0.001). Indoor laborers with high salt-eating habit had the greatest odds of hypertension (OR = 1.32, 95% CI [1.09-1.59]). An increased trend of odds in eating habit as salt-heavier was presented in indoor laborers (p-trend = 0.048), especially for women (p-trend = 0.001). No clear trend presented in men. Conclusively, sex-specific occupational disparities exist in the association between self-reported salt-eating habit and hypertension in older individuals. Overlooking the potential moderating role of sex and occupation might affect the relationship between sodium intake and hypertension.</t>
        </is>
      </c>
      <c r="X1197" t="inlineStr">
        <is>
          <t>[Yuan, Manqiong; Chen, Wei; Fang, Ya] Xiamen Univ, Sch Publ Hlth, State Key Lab Mol Vaccinol &amp; Mol Diagnost, Xiangan Nan Rd, Xiamen 361102, Fujian, Peoples R China; [Yuan, Manqiong; Chen, Wei; Fang, Ya] Xiamen Univ, Sch Publ Hlth, Key Lab Hlth Technol Assessment Fujian Prov Univ, Xiangan Nan Rd, Xiamen 361102, Fujian, Peoples R China; [Teng, Bogang] Xiamen Univ, Sch Publ Hlth, Xiangan Nan Rd, Xiamen 361102, Fujian, Peoples R China</t>
        </is>
      </c>
      <c r="Y1197" t="inlineStr">
        <is>
          <t>Xiamen University; Xiamen University; Xiamen University</t>
        </is>
      </c>
      <c r="Z1197" t="inlineStr">
        <is>
          <t>Fang, Y (corresponding author), Xiamen Univ, Sch Publ Hlth, State Key Lab Mol Vaccinol &amp; Mol Diagnost, Xiangan Nan Rd, Xiamen 361102, Fujian, Peoples R China.;Fang, Y (corresponding author), Xiamen Univ, Sch Publ Hlth, Key Lab Hlth Technol Assessment Fujian Prov Univ, Xiangan Nan Rd, Xiamen 361102, Fujian, Peoples R China.</t>
        </is>
      </c>
      <c r="AA1197" t="inlineStr">
        <is>
          <t>yuanmanqiong@163.com; chenw024@163.com; tengbg@xmu.edu.cn; fangya@xmu.edu.cn</t>
        </is>
      </c>
      <c r="AB1197" t="inlineStr">
        <is>
          <t>Chen, Wei/AAM-8445-2021</t>
        </is>
      </c>
      <c r="AD1197" t="inlineStr">
        <is>
          <t>National Natural Science Foundation of China [81573257, 81402768, 71403229]; Xiamen Committee on Ageing Fund [XDHT2013357A]; Xiamen Committee on Ageing</t>
        </is>
      </c>
      <c r="AE1197" t="inlineStr">
        <is>
          <t>National Natural Science Foundation of China(National Natural Science Foundation of China (NSFC)); Xiamen Committee on Ageing Fund; Xiamen Committee on Ageing</t>
        </is>
      </c>
      <c r="AF1197" t="inlineStr">
        <is>
          <t>This work was supported by National Natural Science Foundation of China (grant number 81573257); National Natural Science Foundation of China (grant number 81402768); National Natural Science Foundation of China (grant number 71403229) and the Xiamen Committee on Ageing Fund (grant number XDHT2013357A). We would like to thank the Xiamen Committee on Ageing for supporting this study. We are also grateful to the students in School of Public Health, Xiamen University who participated in the data entry.</t>
        </is>
      </c>
      <c r="AH1197" t="n">
        <v>62</v>
      </c>
      <c r="AI1197" t="n">
        <v>6</v>
      </c>
      <c r="AJ1197" t="n">
        <v>7</v>
      </c>
      <c r="AK1197" t="n">
        <v>0</v>
      </c>
      <c r="AL1197" t="n">
        <v>17</v>
      </c>
      <c r="AM1197" t="inlineStr">
        <is>
          <t>MDPI</t>
        </is>
      </c>
      <c r="AN1197" t="inlineStr">
        <is>
          <t>BASEL</t>
        </is>
      </c>
      <c r="AO1197" t="inlineStr">
        <is>
          <t>ST ALBAN-ANLAGE 66, CH-4052 BASEL, SWITZERLAND</t>
        </is>
      </c>
      <c r="AP1197" t="inlineStr">
        <is>
          <t>1660-4601</t>
        </is>
      </c>
      <c r="AS1197" t="inlineStr">
        <is>
          <t>INT J ENV RES PUB HE</t>
        </is>
      </c>
      <c r="AT1197" t="inlineStr">
        <is>
          <t>Int. J. Environ. Res. Public Health</t>
        </is>
      </c>
      <c r="AU1197" t="inlineStr">
        <is>
          <t>JAN</t>
        </is>
      </c>
      <c r="AV1197" t="n">
        <v>2016</v>
      </c>
      <c r="AW1197" t="n">
        <v>13</v>
      </c>
      <c r="AX1197" t="n">
        <v>1</v>
      </c>
      <c r="BE1197" t="n">
        <v>148</v>
      </c>
      <c r="BF1197" t="inlineStr">
        <is>
          <t>10.3390/ijerph13010148</t>
        </is>
      </c>
      <c r="BG1197">
        <f>HYPERLINK("http://dx.doi.org/10.3390/ijerph13010148","http://dx.doi.org/10.3390/ijerph13010148")</f>
        <v/>
      </c>
      <c r="BJ1197" t="n">
        <v>13</v>
      </c>
      <c r="BK1197" t="inlineStr">
        <is>
          <t>Environmental Sciences; Public, Environmental &amp; Occupational Health</t>
        </is>
      </c>
      <c r="BL1197" t="inlineStr">
        <is>
          <t>Science Citation Index Expanded (SCI-EXPANDED)</t>
        </is>
      </c>
      <c r="BM1197" t="inlineStr">
        <is>
          <t>Environmental Sciences &amp; Ecology; Public, Environmental &amp; Occupational Health</t>
        </is>
      </c>
      <c r="BN1197" t="inlineStr">
        <is>
          <t>DJ4OO</t>
        </is>
      </c>
      <c r="BO1197" t="n">
        <v>26805865</v>
      </c>
      <c r="BP1197" t="inlineStr">
        <is>
          <t>gold, Green Published, Green Submitted</t>
        </is>
      </c>
      <c r="BS1197" t="inlineStr">
        <is>
          <t>2023-10-26</t>
        </is>
      </c>
      <c r="BT1197" t="inlineStr">
        <is>
          <t>WOS:000374186100139</t>
        </is>
      </c>
      <c r="BU1197">
        <f>HYPERLINK("https%3A%2F%2Fwww.webofscience.com%2Fwos%2Fwoscc%2Ffull-record%2FWOS:000374186100139","View Full Record in Web of Science")</f>
        <v/>
      </c>
    </row>
    <row r="1198">
      <c r="A1198" t="inlineStr">
        <is>
          <t>J</t>
        </is>
      </c>
      <c r="B1198" t="inlineStr">
        <is>
          <t>Lee, HG; Kwon, S; Jang, BH; Jeon, JP; Lee, YS; Jung, WS; Moon, SK; Cho, KH</t>
        </is>
      </c>
      <c r="F1198" t="inlineStr">
        <is>
          <t>Lee, Han-Gyul; Kwon, Seungwon; Jang, Bo-Hyoung; Jeon, Jin Pyeong; Lee, Ye-Seul; Jung, Woo-Sang; Moon, Sang-Kwan; Cho, Ki-Ho</t>
        </is>
      </c>
      <c r="J1198" t="inlineStr">
        <is>
          <t>INTERNATIONAL JOURNAL OF ENVIRONMENTAL RESEARCH AND PUBLIC HEALTH</t>
        </is>
      </c>
      <c r="M1198" t="inlineStr">
        <is>
          <t>English</t>
        </is>
      </c>
      <c r="N1198" t="inlineStr">
        <is>
          <t>Article</t>
        </is>
      </c>
      <c r="T1198" t="inlineStr">
        <is>
          <t>A Study on the Perceptions of Korean Older Adult Patients and Caregivers about Polypharmacy and Deprescribing</t>
        </is>
      </c>
      <c r="U1198" t="inlineStr">
        <is>
          <t>polypharmacy; deprescribing; older adults; survey; questionnaire</t>
        </is>
      </c>
      <c r="V1198" t="inlineStr">
        <is>
          <t>REVISED PATIENTS ATTITUDES; ADVERSE DRUG EVENTS; STOPP/START CRITERIA; RPATD QUESTIONNAIRE; HEALTH LITERACY; MEDICATION USE; PARTICIPATION; ASSOCIATION; VALIDATION; BARRIERS</t>
        </is>
      </c>
      <c r="W1198" t="inlineStr">
        <is>
          <t>Polypharmacy is continuously increasing among older adults. The resultant potentially inappropriate medications (PIMs) can be harmful to patient health. Deprescribing refers to stopping or reducing PIMs. In this study, the current status of polypharmacy and willingness of older adults to deprescribe were investigated among patients and caregivers who are not associated with one another. The survey used the Korean translated version of the revised Patients' Attitude Towards Deprescribing (rPATD) Scale. Data were collected through an online survey of 500 participants (250 patients and caregivers each) in this study. The following results were found for patients and caregivers, respectively: 74.8% and 63.6% felt their number of medications was high, 64.4% and 55.6% desired to reduce their medications, 70.4% and 60.8% were concerned about medication discontinuation, 63.2% and 61.2% had a good understanding of their medications, 77.6% and 76.4% were willing to be well informed, and 79.6% and 72% wanted to reduce the number of medications if medically feasible. Patients and caregivers commonly agreed to the burden of the number of medications they were taking, and were willing to reduce the number of medications if the doctor said it was possible. Doctors should consider this information during the deprescribing process, and promote deprescription while involving patients and caregivers in the decision-making process.</t>
        </is>
      </c>
      <c r="X1198" t="inlineStr">
        <is>
          <t>[Lee, Han-Gyul; Kwon, Seungwon; Jung, Woo-Sang; Moon, Sang-Kwan; Cho, Ki-Ho] Kyung Hee Univ, Med Ctr, Coll Korean Med, Dept Cardiol &amp; Neurol, Seoul 02447, South Korea; [Jang, Bo-Hyoung] Kyung Hee Univ, Coll Korean Med, Dept Prevent Med, Seoul 02447, South Korea; [Jeon, Jin Pyeong] Hallym Univ, Coll Med, Dept Neurosurg, Chunchon 24253, South Korea; [Lee, Ye-Seul] Jaseng Med Fdn, Jaseng Spine &amp; Joint Res Inst, Seoul 06110, South Korea</t>
        </is>
      </c>
      <c r="Y1198" t="inlineStr">
        <is>
          <t>Kyung Hee University; Kyung Hee University; Hallym University</t>
        </is>
      </c>
      <c r="Z1198" t="inlineStr">
        <is>
          <t>Kwon, S (corresponding author), Kyung Hee Univ, Med Ctr, Coll Korean Med, Dept Cardiol &amp; Neurol, Seoul 02447, South Korea.</t>
        </is>
      </c>
      <c r="AA1198" t="inlineStr">
        <is>
          <t>kkokkottung@hanmail.net</t>
        </is>
      </c>
      <c r="AB1198" t="inlineStr">
        <is>
          <t>Lee, Ye-Seul/HOC-2462-2023</t>
        </is>
      </c>
      <c r="AC1198" t="inlineStr">
        <is>
          <t>Lee, Ye-Seul/0000-0001-6127-5401; Kwon, Seungwon/0000-0002-1857-3515; Jang, Bo-Hyoung/0000-0002-2141-3483; LEE, HANGYUL/0000-0001-7355-5638</t>
        </is>
      </c>
      <c r="AD1198" t="inlineStr">
        <is>
          <t>Korea Health Technology R&amp;D Project through the Korea Health Industry Development Institute (KHIDI) - Ministry of Health andWelfare, Republic of Korea [HF20C0147]</t>
        </is>
      </c>
      <c r="AE1198" t="inlineStr">
        <is>
          <t>Korea Health Technology R&amp;D Project through the Korea Health Industry Development Institute (KHIDI) - Ministry of Health andWelfare, Republic of Korea</t>
        </is>
      </c>
      <c r="AF1198" t="inlineStr">
        <is>
          <t>This research was supported by a grant from the Korea Health Technology R&amp;D Project through the Korea Health Industry Development Institute (KHIDI), funded by the Ministry of Health andWelfare, Republic of Korea (No. HF20C0147).</t>
        </is>
      </c>
      <c r="AH1198" t="n">
        <v>53</v>
      </c>
      <c r="AI1198" t="n">
        <v>1</v>
      </c>
      <c r="AJ1198" t="n">
        <v>1</v>
      </c>
      <c r="AK1198" t="n">
        <v>0</v>
      </c>
      <c r="AL1198" t="n">
        <v>1</v>
      </c>
      <c r="AM1198" t="inlineStr">
        <is>
          <t>MDPI</t>
        </is>
      </c>
      <c r="AN1198" t="inlineStr">
        <is>
          <t>BASEL</t>
        </is>
      </c>
      <c r="AO1198" t="inlineStr">
        <is>
          <t>ST ALBAN-ANLAGE 66, CH-4052 BASEL, SWITZERLAND</t>
        </is>
      </c>
      <c r="AQ1198" t="inlineStr">
        <is>
          <t>1660-4601</t>
        </is>
      </c>
      <c r="AS1198" t="inlineStr">
        <is>
          <t>INT J ENV RES PUB HE</t>
        </is>
      </c>
      <c r="AT1198" t="inlineStr">
        <is>
          <t>Int. J. Environ. Res. Public Health</t>
        </is>
      </c>
      <c r="AU1198" t="inlineStr">
        <is>
          <t>SEP</t>
        </is>
      </c>
      <c r="AV1198" t="n">
        <v>2022</v>
      </c>
      <c r="AW1198" t="n">
        <v>19</v>
      </c>
      <c r="AX1198" t="n">
        <v>18</v>
      </c>
      <c r="BE1198" t="n">
        <v>11446</v>
      </c>
      <c r="BF1198" t="inlineStr">
        <is>
          <t>10.3390/ijerph191811446</t>
        </is>
      </c>
      <c r="BG1198">
        <f>HYPERLINK("http://dx.doi.org/10.3390/ijerph191811446","http://dx.doi.org/10.3390/ijerph191811446")</f>
        <v/>
      </c>
      <c r="BJ1198" t="n">
        <v>14</v>
      </c>
      <c r="BK1198" t="inlineStr">
        <is>
          <t>Environmental Sciences; Public, Environmental &amp; Occupational Health</t>
        </is>
      </c>
      <c r="BL1198" t="inlineStr">
        <is>
          <t>Science Citation Index Expanded (SCI-EXPANDED); Social Science Citation Index (SSCI)</t>
        </is>
      </c>
      <c r="BM1198" t="inlineStr">
        <is>
          <t>Environmental Sciences &amp; Ecology; Public, Environmental &amp; Occupational Health</t>
        </is>
      </c>
      <c r="BN1198" t="inlineStr">
        <is>
          <t>4Q9YO</t>
        </is>
      </c>
      <c r="BO1198" t="n">
        <v>36141719</v>
      </c>
      <c r="BP1198" t="inlineStr">
        <is>
          <t>gold, Green Published</t>
        </is>
      </c>
      <c r="BS1198" t="inlineStr">
        <is>
          <t>2023-10-26</t>
        </is>
      </c>
      <c r="BT1198" t="inlineStr">
        <is>
          <t>WOS:000856430300001</t>
        </is>
      </c>
      <c r="BU1198">
        <f>HYPERLINK("https%3A%2F%2Fwww.webofscience.com%2Fwos%2Fwoscc%2Ffull-record%2FWOS:000856430300001","View Full Record in Web of Science")</f>
        <v/>
      </c>
    </row>
    <row r="1199">
      <c r="A1199" t="inlineStr">
        <is>
          <t>J</t>
        </is>
      </c>
      <c r="B1199" t="inlineStr">
        <is>
          <t>Di Carlo, C; Maiorana, A; Ampollini, M; Antignani, S; Caprio, M; Carpentieri, C; Bochicchio, F</t>
        </is>
      </c>
      <c r="F1199" t="inlineStr">
        <is>
          <t>Di Carlo, C.; Maiorana, A.; Ampollini, M.; Antignani, S.; Caprio, M.; Carpentieri, C.; Bochicchio, F.</t>
        </is>
      </c>
      <c r="J1199" t="inlineStr">
        <is>
          <t>SCIENCE OF THE TOTAL ENVIRONMENT</t>
        </is>
      </c>
      <c r="M1199" t="inlineStr">
        <is>
          <t>English</t>
        </is>
      </c>
      <c r="N1199" t="inlineStr">
        <is>
          <t>Article</t>
        </is>
      </c>
      <c r="T1199" t="inlineStr">
        <is>
          <t>Models of radon exhalation from building structures: General and case-specific solutions</t>
        </is>
      </c>
      <c r="U1199" t="inlineStr">
        <is>
          <t>Radon transport; Radon exhalation; Building materials; Natural radioactivity; Indoor air</t>
        </is>
      </c>
      <c r="V1199" t="inlineStr">
        <is>
          <t>DIFFUSION-COEFFICIENTS; INDOOR; TRANSPORT; PERMEABILITY; EMANATION; FLOW; SOIL</t>
        </is>
      </c>
      <c r="W1199" t="inlineStr">
        <is>
          <t>Assessing the radon activity that exhales from building structures is crucial to identify the best strategies to prevent radon from entering a building or reducing its concentration in the inhabited spaces. The direct measurement is ex-tremely difficult, so the common approach has consisted in developing models describing the radon migration and ex-halation phenomena for building porous materials. However, due to the mathematical complexity of comprehensively modelling the radon transport phenomenon in buildings, simplified equations have been mostly adopted until now to assess the radon exhalation. A systematic analysis of the models applicable to radon transport has been carried out and has resulted in four models differing in the migration mechanisms - only diffusive or diffusive and advective - and the presence of inner radon generation. The general solutions have been obtained for all the models. Moreover, three case-specific sets of boundary conditions have been formulated to account for all the actual scenarios occurring in buildings: both perimetral and partition walls and building structures in direct contact with soil or embankments. The corresponding case-specific solutions obtained serve as a key practical tool to improve the accuracy in assessing the contribution of building materials to indoor radon concentration according to the site-specific installation condi-tions in addition to the material inner properties.</t>
        </is>
      </c>
      <c r="X1199" t="inlineStr">
        <is>
          <t>[Di Carlo, C.; Maiorana, A.; Ampollini, M.; Antignani, S.; Caprio, M.; Carpentieri, C.; Bochicchio, F.] Italian Natl Inst Hlth, Natl Ctr Radiat Protect &amp; Computat Phys, Viale Regina Elena 299, I-00161 Rome, Italy</t>
        </is>
      </c>
      <c r="Y1199" t="inlineStr">
        <is>
          <t>Istituto Superiore di Sanita (ISS)</t>
        </is>
      </c>
      <c r="Z1199" t="inlineStr">
        <is>
          <t>Di Carlo, C (corresponding author), Italian Natl Inst Hlth, Natl Ctr Radiat Protect &amp; Computat Phys, Viale Regina Elena 299, I-00161 Rome, Italy.</t>
        </is>
      </c>
      <c r="AA1199" t="inlineStr">
        <is>
          <t>christian.dicarlo@iss.it</t>
        </is>
      </c>
      <c r="AH1199" t="n">
        <v>79</v>
      </c>
      <c r="AI1199" t="n">
        <v>0</v>
      </c>
      <c r="AJ1199" t="n">
        <v>0</v>
      </c>
      <c r="AK1199" t="n">
        <v>1</v>
      </c>
      <c r="AL1199" t="n">
        <v>1</v>
      </c>
      <c r="AM1199" t="inlineStr">
        <is>
          <t>ELSEVIER</t>
        </is>
      </c>
      <c r="AN1199" t="inlineStr">
        <is>
          <t>AMSTERDAM</t>
        </is>
      </c>
      <c r="AO1199" t="inlineStr">
        <is>
          <t>RADARWEG 29, 1043 NX AMSTERDAM, NETHERLANDS</t>
        </is>
      </c>
      <c r="AP1199" t="inlineStr">
        <is>
          <t>0048-9697</t>
        </is>
      </c>
      <c r="AQ1199" t="inlineStr">
        <is>
          <t>1879-1026</t>
        </is>
      </c>
      <c r="AS1199" t="inlineStr">
        <is>
          <t>SCI TOTAL ENVIRON</t>
        </is>
      </c>
      <c r="AT1199" t="inlineStr">
        <is>
          <t>Sci. Total Environ.</t>
        </is>
      </c>
      <c r="AU1199" t="inlineStr">
        <is>
          <t>AUG 10</t>
        </is>
      </c>
      <c r="AV1199" t="n">
        <v>2023</v>
      </c>
      <c r="AW1199" t="n">
        <v>885</v>
      </c>
      <c r="BE1199" t="n">
        <v>163800</v>
      </c>
      <c r="BF1199" t="inlineStr">
        <is>
          <t>10.1016/j.scitotenv.2023.163800</t>
        </is>
      </c>
      <c r="BG1199">
        <f>HYPERLINK("http://dx.doi.org/10.1016/j.scitotenv.2023.163800","http://dx.doi.org/10.1016/j.scitotenv.2023.163800")</f>
        <v/>
      </c>
      <c r="BI1199" t="inlineStr">
        <is>
          <t>MAY 2023</t>
        </is>
      </c>
      <c r="BJ1199" t="n">
        <v>13</v>
      </c>
      <c r="BK1199" t="inlineStr">
        <is>
          <t>Environmental Sciences</t>
        </is>
      </c>
      <c r="BL1199" t="inlineStr">
        <is>
          <t>Science Citation Index Expanded (SCI-EXPANDED)</t>
        </is>
      </c>
      <c r="BM1199" t="inlineStr">
        <is>
          <t>Environmental Sciences &amp; Ecology</t>
        </is>
      </c>
      <c r="BN1199" t="inlineStr">
        <is>
          <t>I7NV0</t>
        </is>
      </c>
      <c r="BO1199" t="n">
        <v>37149182</v>
      </c>
      <c r="BP1199" t="inlineStr">
        <is>
          <t>Green Published, hybrid</t>
        </is>
      </c>
      <c r="BS1199" t="inlineStr">
        <is>
          <t>2023-10-26</t>
        </is>
      </c>
      <c r="BT1199" t="inlineStr">
        <is>
          <t>WOS:001004626000001</t>
        </is>
      </c>
      <c r="BU1199">
        <f>HYPERLINK("https%3A%2F%2Fwww.webofscience.com%2Fwos%2Fwoscc%2Ffull-record%2FWOS:001004626000001","View Full Record in Web of Science")</f>
        <v/>
      </c>
    </row>
    <row r="1200">
      <c r="A1200" t="inlineStr">
        <is>
          <t>J</t>
        </is>
      </c>
      <c r="B1200" t="inlineStr">
        <is>
          <t>Scatigno, C; Gaudenzi, S; Sammartino, MP; Visco, G</t>
        </is>
      </c>
      <c r="F1200" t="inlineStr">
        <is>
          <t>Scatigno, C.; Gaudenzi, S.; Sammartino, M. P.; Visco, G.</t>
        </is>
      </c>
      <c r="J1200" t="inlineStr">
        <is>
          <t>SCIENCE OF THE TOTAL ENVIRONMENT</t>
        </is>
      </c>
      <c r="M1200" t="inlineStr">
        <is>
          <t>English</t>
        </is>
      </c>
      <c r="N1200" t="inlineStr">
        <is>
          <t>Article</t>
        </is>
      </c>
      <c r="T1200" t="inlineStr">
        <is>
          <t>A microclimate study on hypogea environments of ancient roman building</t>
        </is>
      </c>
      <c r="U1200" t="inlineStr">
        <is>
          <t>Thermo-hygrometric parameters; Indoor monitoring; Mithraeum; Hypogeum; Multivariate statistic and chemometric analyses; Preventive conservation</t>
        </is>
      </c>
      <c r="W1200" t="inlineStr">
        <is>
          <t>Roman hypogea, vernacular settlements or crypts, are underground places characterised by specific and unique challenges (RH &lt; 90% and almost constant temperature throughout the whole year) related to their relative isolation from the outdoor environment. These sites often require adequate monitoring tools providing complete environmental information in order to carry out appropriate strategies for scheduling routine maintenance and designing suitable layouts for their preservation. In this work we present the results of a carefully planned thermo-hygrometric monitoring campaign conducted in a peculiar Roman building (130 CE), the Casa di Diana Mithraeum, sited in Ostia Antica (archaeological site, Rome-Italy), with the aim of characterising the indoor environment as the structure suffers of several conservation problems (biocolonisation, efflorescences, evaporating and condensing cycle for wall-building materials). The campaign involving multipoint continuous measurement was carefully planned to better describe this micro-clime. In addition to underground environmental data available in literature, we have also performed, as a checkpoint control, a thermo-hygrometric monitoring campaign in the Terme di Mitra Hypogeum, a few meters from the Casa di Diana. The recorded data was analysed by multivariate statistical and chemometric analyses. The results brought to light the presence of different microclimates (three areas) within a single Mithraeum: a room(pre-Mithraeum) and an area (Mithraeum: 2-4m) present a thermo-hygrometric environmental behaviour in accordance with a semi-confined environment, another area (Mithraeum: 1-2 m) behaves accordingly with underground environments (although it cannot be described as such), and the last area (Mithraeum: 0-1 m) where was recording RH values close to saturation (96-99%), associated with non-ventilated areas where the rising damp is held and not dispersed, describing an own micro-clime, comparable to a small greenhouse. This study has allowed to identify some critical areas in view of planning future conservation solutions, without exporting the artefacts kept inside. (C) 2016 Elsevier B.V. All rights reserved.</t>
        </is>
      </c>
      <c r="X1200" t="inlineStr">
        <is>
          <t>[Scatigno, C.] Univ Roma La Sapienza, Dept Earth Sci, Piazzale Aldo Moro 5, I-00185 Rome, Italy; [Gaudenzi, S.] INAF IAPS, Via Fosso Cavaliere 100, I-00133 Rome, Italy; [Sammartino, M. P.; Visco, G.] Univ Roma La Sapienza, Dept Chem, Piazzale Aldo Moro 5, I-00185 Rome, Italy</t>
        </is>
      </c>
      <c r="Y1200" t="inlineStr">
        <is>
          <t>Sapienza University Rome; Istituto Nazionale Astrofisica (INAF); Sapienza University Rome</t>
        </is>
      </c>
      <c r="Z1200" t="inlineStr">
        <is>
          <t>Scatigno, C (corresponding author), Univ Roma La Sapienza, Dept Earth Sci, Piazzale Aldo Moro 5, I-00185 Rome, Italy.</t>
        </is>
      </c>
      <c r="AA1200" t="inlineStr">
        <is>
          <t>claudia.scatigno@uniroma1.it</t>
        </is>
      </c>
      <c r="AB1200" t="inlineStr">
        <is>
          <t>Scatigno, Claudia/AAJ-7510-2020; Scatigno, Claudia/AAV-9242-2021</t>
        </is>
      </c>
      <c r="AC1200" t="inlineStr">
        <is>
          <t>Scatigno, Claudia/0000-0001-9375-8707</t>
        </is>
      </c>
      <c r="AH1200" t="n">
        <v>16</v>
      </c>
      <c r="AI1200" t="n">
        <v>23</v>
      </c>
      <c r="AJ1200" t="n">
        <v>23</v>
      </c>
      <c r="AK1200" t="n">
        <v>1</v>
      </c>
      <c r="AL1200" t="n">
        <v>24</v>
      </c>
      <c r="AM1200" t="inlineStr">
        <is>
          <t>ELSEVIER</t>
        </is>
      </c>
      <c r="AN1200" t="inlineStr">
        <is>
          <t>AMSTERDAM</t>
        </is>
      </c>
      <c r="AO1200" t="inlineStr">
        <is>
          <t>RADARWEG 29, 1043 NX AMSTERDAM, NETHERLANDS</t>
        </is>
      </c>
      <c r="AP1200" t="inlineStr">
        <is>
          <t>0048-9697</t>
        </is>
      </c>
      <c r="AQ1200" t="inlineStr">
        <is>
          <t>1879-1026</t>
        </is>
      </c>
      <c r="AS1200" t="inlineStr">
        <is>
          <t>SCI TOTAL ENVIRON</t>
        </is>
      </c>
      <c r="AT1200" t="inlineStr">
        <is>
          <t>Sci. Total Environ.</t>
        </is>
      </c>
      <c r="AU1200" t="inlineStr">
        <is>
          <t>OCT 1</t>
        </is>
      </c>
      <c r="AV1200" t="n">
        <v>2016</v>
      </c>
      <c r="AW1200" t="n">
        <v>566</v>
      </c>
      <c r="BC1200" t="n">
        <v>298</v>
      </c>
      <c r="BD1200" t="n">
        <v>305</v>
      </c>
      <c r="BF1200" t="inlineStr">
        <is>
          <t>10.1016/j.scitotenv.2016.05.050</t>
        </is>
      </c>
      <c r="BG1200">
        <f>HYPERLINK("http://dx.doi.org/10.1016/j.scitotenv.2016.05.050","http://dx.doi.org/10.1016/j.scitotenv.2016.05.050")</f>
        <v/>
      </c>
      <c r="BJ1200" t="n">
        <v>8</v>
      </c>
      <c r="BK1200" t="inlineStr">
        <is>
          <t>Environmental Sciences</t>
        </is>
      </c>
      <c r="BL1200" t="inlineStr">
        <is>
          <t>Science Citation Index Expanded (SCI-EXPANDED)</t>
        </is>
      </c>
      <c r="BM1200" t="inlineStr">
        <is>
          <t>Environmental Sciences &amp; Ecology</t>
        </is>
      </c>
      <c r="BN1200" t="inlineStr">
        <is>
          <t>DS8VK</t>
        </is>
      </c>
      <c r="BO1200" t="n">
        <v>27232960</v>
      </c>
      <c r="BS1200" t="inlineStr">
        <is>
          <t>2023-10-26</t>
        </is>
      </c>
      <c r="BT1200" t="inlineStr">
        <is>
          <t>WOS:000381060900033</t>
        </is>
      </c>
      <c r="BU1200">
        <f>HYPERLINK("https%3A%2F%2Fwww.webofscience.com%2Fwos%2Fwoscc%2Ffull-record%2FWOS:000381060900033","View Full Record in Web of Science")</f>
        <v/>
      </c>
    </row>
    <row r="1201">
      <c r="A1201" t="inlineStr">
        <is>
          <t>J</t>
        </is>
      </c>
      <c r="B1201" t="inlineStr">
        <is>
          <t>Hollberg, A; Ruth, J</t>
        </is>
      </c>
      <c r="F1201" t="inlineStr">
        <is>
          <t>Hollberg, Alexander; Ruth, Juergen</t>
        </is>
      </c>
      <c r="J1201" t="inlineStr">
        <is>
          <t>INTERNATIONAL JOURNAL OF LIFE CYCLE ASSESSMENT</t>
        </is>
      </c>
      <c r="M1201" t="inlineStr">
        <is>
          <t>English</t>
        </is>
      </c>
      <c r="N1201" t="inlineStr">
        <is>
          <t>Article</t>
        </is>
      </c>
      <c r="T1201" t="inlineStr">
        <is>
          <t>LCA in architectural design-a parametric approach</t>
        </is>
      </c>
      <c r="U1201" t="inlineStr">
        <is>
          <t>Architectural design process; Optimization; Parametric design; Simplified LCA; Sustainable building</t>
        </is>
      </c>
      <c r="V1201" t="inlineStr">
        <is>
          <t>LIFE-CYCLE ASSESSMENT; BUILDINGS; PERFORMANCE</t>
        </is>
      </c>
      <c r="W1201" t="inlineStr">
        <is>
          <t>Life cycle assessment (LCA) has not been widely applied in the building design process because it is perceived to be complex and time-consuming. There is a high demand for simplified approaches that architects can use without detailed knowledge of LCA. This paper presents a parametric LCA approach, which allows architects to efficiently reduce the environmental impact of building designs. First, the requirements for design-integrated LCA are analyzed. Then, assumptions to simplify the required data input are made and a parametric model is established. The model parametrizes all input, including building geometry, materials, and boundary conditions, and calculates the LCA in real time. The parametric approach possesses the advantage that input parameters can be adjusted easily and quickly. The architect has two options to improve the design: either through manually changing geometry, building materials, and building services, or through the use of an optimization solver. The parametric model was implemented in a parametric design software and applied using two cases: (a) the design of a new multi-residential building, and (b) retrofitting of a single-family house. We have successfully demonstrated the capability of the approach to find a solution with minimum environmental impact for both examples. In the first example, the parametric method is used to manually compare geometric design variants. The LCA is calculated based on assumptions for materials and building services. In the second example, evolutionary algorithms are employed to find the optimum combination of insulation material, heating system, and windows for retrofitting. We find that there is not one optimum insulation thickness, but many optima, depending on the individual boundary conditions and the chosen environmental indicator. By incorporating a simplified LCA into the design process, the additional effort of performing LCA is minimized. The parametric approach allows the architect to focus on his main task of designing the building and finally makes LCA practically useful for design optimization. In the future, further performance analysis capabilities such as life cycle costing can also be integrated.</t>
        </is>
      </c>
      <c r="X1201" t="inlineStr">
        <is>
          <t>[Hollberg, Alexander; Ruth, Juergen] Bauhaus Univ Weimar, Chair Struct Design, Belvederer Allee 1, D-99425 Weimar, Germany</t>
        </is>
      </c>
      <c r="Y1201" t="inlineStr">
        <is>
          <t>Bauhaus-Universitat Weimar</t>
        </is>
      </c>
      <c r="Z1201" t="inlineStr">
        <is>
          <t>Hollberg, A (corresponding author), Bauhaus Univ Weimar, Chair Struct Design, Belvederer Allee 1, D-99425 Weimar, Germany.</t>
        </is>
      </c>
      <c r="AA1201" t="inlineStr">
        <is>
          <t>alexander.hollberg@uni-weimar.de</t>
        </is>
      </c>
      <c r="AB1201" t="inlineStr">
        <is>
          <t>Hollberg, Alexander/AAB-2905-2020</t>
        </is>
      </c>
      <c r="AC1201" t="inlineStr">
        <is>
          <t>Hollberg, Alexander/0000-0002-9756-2362</t>
        </is>
      </c>
      <c r="AD1201" t="inlineStr">
        <is>
          <t>Thuringian Ministry for Economics, Labour and Technology; European Social Funds (ESF); project Integrated Life Cycle Optimization - German Federal Ministry for the Environment, Nature Conservation, Building and Nuclear Safety through the research initiative ZukunftBau</t>
        </is>
      </c>
      <c r="AE1201" t="inlineStr">
        <is>
          <t>Thuringian Ministry for Economics, Labour and Technology; European Social Funds (ESF)(European Social Fund (ESF)); project Integrated Life Cycle Optimization - German Federal Ministry for the Environment, Nature Conservation, Building and Nuclear Safety through the research initiative ZukunftBau</t>
        </is>
      </c>
      <c r="AF1201" t="inlineStr">
        <is>
          <t>This study was carried out as part of the research project FOGEB, funded by the Thuringian Ministry for Economics, Labour and Technology and the European Social Funds (ESF), and the project Integrated Life Cycle Optimization, funded by the German Federal Ministry for the Environment, Nature Conservation, Building and Nuclear Safety through the research initiative ZukunftBau.</t>
        </is>
      </c>
      <c r="AH1201" t="n">
        <v>51</v>
      </c>
      <c r="AI1201" t="n">
        <v>128</v>
      </c>
      <c r="AJ1201" t="n">
        <v>128</v>
      </c>
      <c r="AK1201" t="n">
        <v>6</v>
      </c>
      <c r="AL1201" t="n">
        <v>58</v>
      </c>
      <c r="AM1201" t="inlineStr">
        <is>
          <t>SPRINGER HEIDELBERG</t>
        </is>
      </c>
      <c r="AN1201" t="inlineStr">
        <is>
          <t>HEIDELBERG</t>
        </is>
      </c>
      <c r="AO1201" t="inlineStr">
        <is>
          <t>TIERGARTENSTRASSE 17, D-69121 HEIDELBERG, GERMANY</t>
        </is>
      </c>
      <c r="AP1201" t="inlineStr">
        <is>
          <t>0948-3349</t>
        </is>
      </c>
      <c r="AQ1201" t="inlineStr">
        <is>
          <t>1614-7502</t>
        </is>
      </c>
      <c r="AS1201" t="inlineStr">
        <is>
          <t>INT J LIFE CYCLE ASS</t>
        </is>
      </c>
      <c r="AT1201" t="inlineStr">
        <is>
          <t>Int. J. Life Cycle Assess.</t>
        </is>
      </c>
      <c r="AU1201" t="inlineStr">
        <is>
          <t>JUL</t>
        </is>
      </c>
      <c r="AV1201" t="n">
        <v>2016</v>
      </c>
      <c r="AW1201" t="n">
        <v>21</v>
      </c>
      <c r="AX1201" t="n">
        <v>7</v>
      </c>
      <c r="BC1201" t="n">
        <v>943</v>
      </c>
      <c r="BD1201" t="n">
        <v>960</v>
      </c>
      <c r="BF1201" t="inlineStr">
        <is>
          <t>10.1007/s11367-016-1065-1</t>
        </is>
      </c>
      <c r="BG1201">
        <f>HYPERLINK("http://dx.doi.org/10.1007/s11367-016-1065-1","http://dx.doi.org/10.1007/s11367-016-1065-1")</f>
        <v/>
      </c>
      <c r="BJ1201" t="n">
        <v>18</v>
      </c>
      <c r="BK1201" t="inlineStr">
        <is>
          <t>Engineering, Environmental; Environmental Sciences</t>
        </is>
      </c>
      <c r="BL1201" t="inlineStr">
        <is>
          <t>Science Citation Index Expanded (SCI-EXPANDED)</t>
        </is>
      </c>
      <c r="BM1201" t="inlineStr">
        <is>
          <t>Engineering; Environmental Sciences &amp; Ecology</t>
        </is>
      </c>
      <c r="BN1201" t="inlineStr">
        <is>
          <t>DO9BS</t>
        </is>
      </c>
      <c r="BP1201" t="inlineStr">
        <is>
          <t>Green Submitted</t>
        </is>
      </c>
      <c r="BS1201" t="inlineStr">
        <is>
          <t>2023-10-26</t>
        </is>
      </c>
      <c r="BT1201" t="inlineStr">
        <is>
          <t>WOS:000378079900002</t>
        </is>
      </c>
      <c r="BU1201">
        <f>HYPERLINK("https%3A%2F%2Fwww.webofscience.com%2Fwos%2Fwoscc%2Ffull-record%2FWOS:000378079900002","View Full Record in Web of Science")</f>
        <v/>
      </c>
    </row>
    <row r="1202">
      <c r="A1202" t="inlineStr">
        <is>
          <t>J</t>
        </is>
      </c>
      <c r="B1202" t="inlineStr">
        <is>
          <t>Stankov, I; Howard, NJ; Daniel, M; Cargo, M</t>
        </is>
      </c>
      <c r="F1202" t="inlineStr">
        <is>
          <t>Stankov, Ivana; Howard, Natasha J.; Daniel, Mark; Cargo, Margaret</t>
        </is>
      </c>
      <c r="J1202" t="inlineStr">
        <is>
          <t>INTERNATIONAL JOURNAL OF ENVIRONMENTAL RESEARCH AND PUBLIC HEALTH</t>
        </is>
      </c>
      <c r="M1202" t="inlineStr">
        <is>
          <t>English</t>
        </is>
      </c>
      <c r="N1202" t="inlineStr">
        <is>
          <t>Article</t>
        </is>
      </c>
      <c r="T1202" t="inlineStr">
        <is>
          <t>Policy, Research and Residents' Perspectives on Built Environments Implicated in Heart Disease: A Concept Mapping Approach</t>
        </is>
      </c>
      <c r="U1202" t="inlineStr">
        <is>
          <t>built environment; cardiometabolic risk; concept mapping; community participation; policy; researcher perspectives</t>
        </is>
      </c>
      <c r="V1202" t="inlineStr">
        <is>
          <t>BODY-MASS INDEX; GEOGRAPHIC LIFE ENVIRONMENTS; CARDIOMETABOLIC RISK-FACTORS; PUBLIC-HEALTH RESEARCH; MULTILEVEL ANALYSIS; RESEARCH AGENDA; NEIGHBORHOODS; WALKABILITY; OBESITY; CONCEPTUALIZATION</t>
        </is>
      </c>
      <c r="W1202" t="inlineStr">
        <is>
          <t>An underrepresentation of stakeholder perspectives within urban health research arguably limits our understanding of what is a multi-dimensional and complex relationship between the built environment and health. By engaging a wide range of stakeholders using a participatory concept mapping approach, this study aimed to achieve a more holistic and nuanced understanding of the built environments shaping disease risk, specifically cardiometabolic risk (CMR). Moreover, this study aimed to ascertain the importance and changeability of identified environments through government action. Through the concept mapping process, community members, researchers, government and non-government stakeholders collectively identified eleven clusters encompassing 102 built environmental domains related to CMR, a number of which are underrepresented within the literature. Among the identified built environments, open space, public transportation and pedestrian environments were highlighted as key targets for policy intervention. Whilst there was substantive convergence in stakeholder groups' perspectives concerning the built environment and CMR, there were disparities in the level of importance government stakeholders and community members respectively assigned to pedestrian environments and street connectivity. These findings support the role of participatory methods in strengthening how urban health issues are understood and in affording novel insights into points of action for public health and policy intervention.</t>
        </is>
      </c>
      <c r="X1202" t="inlineStr">
        <is>
          <t>[Stankov, Ivana] Drexel Univ, Dornsife Sch Publ Hlth, Urban Hlth Collaborat, Philadelphia, PA 19104 USA; [Stankov, Ivana; Howard, Natasha J.; Daniel, Mark; Cargo, Margaret] Univ South Australia, Sch Hlth Sci, Ctr Populat Hlth Res, Adelaide, SA 5001, Australia; [Daniel, Mark] South Australian Hlth &amp; Med Res Inst, Adelaide, SA 5001, Australia</t>
        </is>
      </c>
      <c r="Y1202" t="inlineStr">
        <is>
          <t>Drexel University; University of South Australia; South Australian Health &amp; Medical Research Institute (SAHMRI)</t>
        </is>
      </c>
      <c r="Z1202" t="inlineStr">
        <is>
          <t>Stankov, I (corresponding author), Drexel Univ, Dornsife Sch Publ Hlth, Urban Hlth Collaborat, Philadelphia, PA 19104 USA.;Stankov, I (corresponding author), Univ South Australia, Sch Hlth Sci, Ctr Populat Hlth Res, Adelaide, SA 5001, Australia.</t>
        </is>
      </c>
      <c r="AA1202" t="inlineStr">
        <is>
          <t>is379@drexel.edu; Natasha.Howard@unisa.edu.au; Mark.Daniel@unisa.edu.au; Margaret.Cargo@unisa.edu.au</t>
        </is>
      </c>
      <c r="AB1202" t="inlineStr">
        <is>
          <t>Howard, Natasha J/A-1214-2011</t>
        </is>
      </c>
      <c r="AC1202" t="inlineStr">
        <is>
          <t>Howard, Natasha J/0000-0002-8099-3107; Daniel, Mark/0000-0001-9112-134X; Stankov, Ivana/0000-0002-9232-2749</t>
        </is>
      </c>
      <c r="AD1202" t="inlineStr">
        <is>
          <t>Australian Postgraduate Award; Department of Education and Training, Australian Government; University of South Australia Top-up Scholarship; University of South Australia; National Health and Medical Research Council (NHMRC) [570150]; NHMRC [570150, 1051824]</t>
        </is>
      </c>
      <c r="AE1202" t="inlineStr">
        <is>
          <t>Australian Postgraduate Award(Australian Government); Department of Education and Training, Australian Government(Australian GovernmentDepartment of Industry, Innovation and Science); University of South Australia Top-up Scholarship; University of South Australia; National Health and Medical Research Council (NHMRC)(National Health and Medical Research Council (NHMRC) of Australia); NHMRC(National Health and Medical Research Council (NHMRC) of Australia)</t>
        </is>
      </c>
      <c r="AF1202" t="inlineStr">
        <is>
          <t>Funding for Ivana Stankov's contribution to this work was enabled by an Australian Postgraduate Award, Department of Education and Training, Australian Government, and a University of South Australia Top-up Scholarship, University of South Australia. This research was supported by funding from a National Health and Medical Research Council (NHMRC) Partnership Grant (#570150) awarded to Mark Daniel. Natasha J. Howard was supported by NHMRC grants #570150 and #1051824 (Mark Daniel). The authors are grateful to the participants of this study and the members of the working group who made this research possible. Special thanks also to Peter Lekkas for helpful discussions.</t>
        </is>
      </c>
      <c r="AH1202" t="n">
        <v>69</v>
      </c>
      <c r="AI1202" t="n">
        <v>10</v>
      </c>
      <c r="AJ1202" t="n">
        <v>10</v>
      </c>
      <c r="AK1202" t="n">
        <v>0</v>
      </c>
      <c r="AL1202" t="n">
        <v>13</v>
      </c>
      <c r="AM1202" t="inlineStr">
        <is>
          <t>MDPI</t>
        </is>
      </c>
      <c r="AN1202" t="inlineStr">
        <is>
          <t>BASEL</t>
        </is>
      </c>
      <c r="AO1202" t="inlineStr">
        <is>
          <t>ST ALBAN-ANLAGE 66, CH-4052 BASEL, SWITZERLAND</t>
        </is>
      </c>
      <c r="AP1202" t="inlineStr">
        <is>
          <t>1660-4601</t>
        </is>
      </c>
      <c r="AS1202" t="inlineStr">
        <is>
          <t>INT J ENV RES PUB HE</t>
        </is>
      </c>
      <c r="AT1202" t="inlineStr">
        <is>
          <t>Int. J. Environ. Res. Public Health</t>
        </is>
      </c>
      <c r="AU1202" t="inlineStr">
        <is>
          <t>FEB</t>
        </is>
      </c>
      <c r="AV1202" t="n">
        <v>2017</v>
      </c>
      <c r="AW1202" t="n">
        <v>14</v>
      </c>
      <c r="AX1202" t="n">
        <v>2</v>
      </c>
      <c r="BE1202" t="n">
        <v>170</v>
      </c>
      <c r="BF1202" t="inlineStr">
        <is>
          <t>10.3390/ijerph14020170</t>
        </is>
      </c>
      <c r="BG1202">
        <f>HYPERLINK("http://dx.doi.org/10.3390/ijerph14020170","http://dx.doi.org/10.3390/ijerph14020170")</f>
        <v/>
      </c>
      <c r="BJ1202" t="n">
        <v>17</v>
      </c>
      <c r="BK1202" t="inlineStr">
        <is>
          <t>Environmental Sciences; Public, Environmental &amp; Occupational Health</t>
        </is>
      </c>
      <c r="BL1202" t="inlineStr">
        <is>
          <t>Science Citation Index Expanded (SCI-EXPANDED); Social Science Citation Index (SSCI)</t>
        </is>
      </c>
      <c r="BM1202" t="inlineStr">
        <is>
          <t>Environmental Sciences &amp; Ecology; Public, Environmental &amp; Occupational Health</t>
        </is>
      </c>
      <c r="BN1202" t="inlineStr">
        <is>
          <t>EM7CA</t>
        </is>
      </c>
      <c r="BO1202" t="n">
        <v>28208786</v>
      </c>
      <c r="BP1202" t="inlineStr">
        <is>
          <t>Green Published, Green Submitted, gold</t>
        </is>
      </c>
      <c r="BS1202" t="inlineStr">
        <is>
          <t>2023-10-26</t>
        </is>
      </c>
      <c r="BT1202" t="inlineStr">
        <is>
          <t>WOS:000395467900062</t>
        </is>
      </c>
      <c r="BU1202">
        <f>HYPERLINK("https%3A%2F%2Fwww.webofscience.com%2Fwos%2Fwoscc%2Ffull-record%2FWOS:000395467900062","View Full Record in Web of Science")</f>
        <v/>
      </c>
    </row>
    <row r="1203">
      <c r="A1203" t="inlineStr">
        <is>
          <t>J</t>
        </is>
      </c>
      <c r="B1203" t="inlineStr">
        <is>
          <t>Lopes, MJ; de Pinho, LG; Fonseca, C; Goes, M; Oliveira, H; Garcia-Alonso, J; Afonso, A</t>
        </is>
      </c>
      <c r="F1203" t="inlineStr">
        <is>
          <t>Lopes, Manuel Jose; de Pinho, Lara Guedes; Fonseca, Cesar; Goes, Margarida; Oliveira, Henrique; Garcia-Alonso, Jose; Afonso, Anabela</t>
        </is>
      </c>
      <c r="J1203" t="inlineStr">
        <is>
          <t>INTERNATIONAL JOURNAL OF ENVIRONMENTAL RESEARCH AND PUBLIC HEALTH</t>
        </is>
      </c>
      <c r="M1203" t="inlineStr">
        <is>
          <t>English</t>
        </is>
      </c>
      <c r="N1203" t="inlineStr">
        <is>
          <t>Article</t>
        </is>
      </c>
      <c r="T1203" t="inlineStr">
        <is>
          <t>Functioning and Cognition of Portuguese Older Adults Attending in Residential Homes and Day Centers: A Comparative Study</t>
        </is>
      </c>
      <c r="U1203" t="inlineStr">
        <is>
          <t>older adults; functioning; cognition; disability; long-term care; nursing homes; Day Center</t>
        </is>
      </c>
      <c r="V1203" t="inlineStr">
        <is>
          <t>HEALTH; CARE; LIFE; INSTITUTIONALIZATION; DISABILITY; PEOPLE; MODELS</t>
        </is>
      </c>
      <c r="W1203" t="inlineStr">
        <is>
          <t>The functioning and cognition of older adults can be influenced by different care contexts. We aimed to compare the functioning profiles and cognition of institutionalized and noninstitutionalized older adults and to evaluate the effect of sociodemographic factors on the functioning and cognition. This is a cross-sectional study that included 593 older adults. The data were collected using the Elderly Nursing Core Set and Mini Mental State Examination. Women, older adults who did not attend school and those live in Residential Homes are more likely to have a higher degree of cognitive impairment than men, those who attended school and those frequent Day Centre. The chances of an older adult with moderate or severe cognitive impairment increases with age. Older women, older adults who did not attend school, and older adults who live in Residential Homes had a higher degree of functional problem than men, those who attended school and those who frequent a Day Centre, independently to age. It is necessary to promote the health literacy of older adults throughout life. The implementation of social and health responses should allow older adults to remain in their homes, given the influence of functioning and cognition on self-care and quality of life.</t>
        </is>
      </c>
      <c r="X1203" t="inlineStr">
        <is>
          <t>[Lopes, Manuel Jose; de Pinho, Lara Guedes; Fonseca, Cesar] Univ Evora, Escola Super Enfermagem Sao Joao de Deus, P-7000801 Evora, Portugal; [Lopes, Manuel Jose; de Pinho, Lara Guedes; Fonseca, Cesar; Goes, Margarida; Oliveira, Henrique] Univ Evora, Comprehens Hlth Res Ctr CHRC, P-7000801 Evora, Portugal; [Goes, Margarida; Oliveira, Henrique] Inst Politecn Beja, Escola Super Saude, P-7800111 Beja, Portugal; [Oliveira, Henrique] Inst Telecomunicacoes, P-1049001 Lisbon, Portugal; [Garcia-Alonso, Jose] Univ Extremadura, Dept Comp Syst &amp; Telemat Engn, Caceres 10003, Spain; [Afonso, Anabela] Univ Evora, Dept Matemat, Escola Ciencias &amp; Tecnol, P-7000671 Evora, Portugal; [Afonso, Anabela] Univ Evora, Ctr Invest Matemat &amp; Aplicacoes, P-7000671 Evora, Portugal</t>
        </is>
      </c>
      <c r="Y1203" t="inlineStr">
        <is>
          <t>University of Evora; University of Evora; Instituto Politecnico de Beja; Instituto de Telecomunicacoes; Universidad de Extremadura; University of Evora; University of Evora</t>
        </is>
      </c>
      <c r="Z1203" t="inlineStr">
        <is>
          <t>Lopes, MJ; de Pinho, LG (corresponding author), Univ Evora, Escola Super Enfermagem Sao Joao de Deus, P-7000801 Evora, Portugal.;Lopes, MJ; de Pinho, LG (corresponding author), Univ Evora, Comprehens Hlth Res Ctr CHRC, P-7000801 Evora, Portugal.</t>
        </is>
      </c>
      <c r="AA1203" t="inlineStr">
        <is>
          <t>mjl@uevora.pt; lmgp@uevora.pt; cfonseca@uevora.pt; margarida.goes@ipbeja.pt; hjmo@lx.it.pt; jgaralo@unex.es; aafonso@uevora.pt</t>
        </is>
      </c>
      <c r="AB1203" t="inlineStr">
        <is>
          <t>Goes, Margarida/AAW-3809-2020; Afonso, Anabela CCF/A-1279-2014; Lopes, Manuel/M-3439-2013; Afonso, Anabela/AAK-8214-2021; Pinho, Lara Guedes de/AAE-1096-2019; Garcia-Alonso, Jose/A-4316-2017; Oliveira, Henrique/F-6826-2011; Fonseca, Cesar/B-7960-2015</t>
        </is>
      </c>
      <c r="AC1203" t="inlineStr">
        <is>
          <t>Goes, Margarida/0000-0001-6017-6874; Afonso, Anabela CCF/0000-0002-5517-4855; Lopes, Manuel/0000-0002-7554-8041; Afonso, Anabela/0000-0002-5517-4855; Pinho, Lara Guedes de/0000-0003-1174-0744; Garcia-Alonso, Jose/0000-0002-6819-0299; Oliveira, Henrique/0000-0001-8687-4291; Fonseca, Cesar/0000-0001-6975-612X</t>
        </is>
      </c>
      <c r="AD1203" t="inlineStr">
        <is>
          <t>FEDER; Programa Interreg VA Espana-Portugal (POCTEP) [0499_4IE_PLUS_4_E]; CIMA of FCT-Fundacao Nacional para a Ciencia e a Tecnologia, Portugal [UIDB/04674/2020]; Fundação para a Ciência e a Tecnologia [UIDB/04674/2020] Funding Source: FCT</t>
        </is>
      </c>
      <c r="AE1203" t="inlineStr">
        <is>
          <t>FEDER(European Union (EU)Spanish Government); Programa Interreg VA Espana-Portugal (POCTEP); CIMA of FCT-Fundacao Nacional para a Ciencia e a Tecnologia, Portugal; Fundação para a Ciência e a Tecnologia(Fundacao para a Ciencia e a Tecnologia (FCT))</t>
        </is>
      </c>
      <c r="AF1203" t="inlineStr">
        <is>
          <t>This research was funded by FEDER. Programa Interreg VA Espana-Portugal (POCTEP), grant number 0499_4IE_PLUS_4_E. A.A.'s work was partially supported by CIMA through the project UIDB/04674/2020 of FCT-Fundacao Nacional para a Ciencia e a Tecnologia, Portugal.</t>
        </is>
      </c>
      <c r="AH1203" t="n">
        <v>60</v>
      </c>
      <c r="AI1203" t="n">
        <v>10</v>
      </c>
      <c r="AJ1203" t="n">
        <v>10</v>
      </c>
      <c r="AK1203" t="n">
        <v>3</v>
      </c>
      <c r="AL1203" t="n">
        <v>12</v>
      </c>
      <c r="AM1203" t="inlineStr">
        <is>
          <t>MDPI</t>
        </is>
      </c>
      <c r="AN1203" t="inlineStr">
        <is>
          <t>BASEL</t>
        </is>
      </c>
      <c r="AO1203" t="inlineStr">
        <is>
          <t>ST ALBAN-ANLAGE 66, CH-4052 BASEL, SWITZERLAND</t>
        </is>
      </c>
      <c r="AQ1203" t="inlineStr">
        <is>
          <t>1660-4601</t>
        </is>
      </c>
      <c r="AS1203" t="inlineStr">
        <is>
          <t>INT J ENV RES PUB HE</t>
        </is>
      </c>
      <c r="AT1203" t="inlineStr">
        <is>
          <t>Int. J. Environ. Res. Public Health</t>
        </is>
      </c>
      <c r="AU1203" t="inlineStr">
        <is>
          <t>JUL</t>
        </is>
      </c>
      <c r="AV1203" t="n">
        <v>2021</v>
      </c>
      <c r="AW1203" t="n">
        <v>18</v>
      </c>
      <c r="AX1203" t="n">
        <v>13</v>
      </c>
      <c r="BE1203" t="n">
        <v>7030</v>
      </c>
      <c r="BF1203" t="inlineStr">
        <is>
          <t>10.3390/ijerph18137030</t>
        </is>
      </c>
      <c r="BG1203">
        <f>HYPERLINK("http://dx.doi.org/10.3390/ijerph18137030","http://dx.doi.org/10.3390/ijerph18137030")</f>
        <v/>
      </c>
      <c r="BJ1203" t="n">
        <v>12</v>
      </c>
      <c r="BK1203" t="inlineStr">
        <is>
          <t>Environmental Sciences; Public, Environmental &amp; Occupational Health</t>
        </is>
      </c>
      <c r="BL1203" t="inlineStr">
        <is>
          <t>Science Citation Index Expanded (SCI-EXPANDED); Social Science Citation Index (SSCI)</t>
        </is>
      </c>
      <c r="BM1203" t="inlineStr">
        <is>
          <t>Environmental Sciences &amp; Ecology; Public, Environmental &amp; Occupational Health</t>
        </is>
      </c>
      <c r="BN1203" t="inlineStr">
        <is>
          <t>TF8LM</t>
        </is>
      </c>
      <c r="BO1203" t="n">
        <v>34209339</v>
      </c>
      <c r="BP1203" t="inlineStr">
        <is>
          <t>gold, Green Published</t>
        </is>
      </c>
      <c r="BS1203" t="inlineStr">
        <is>
          <t>2023-10-26</t>
        </is>
      </c>
      <c r="BT1203" t="inlineStr">
        <is>
          <t>WOS:000670966800001</t>
        </is>
      </c>
      <c r="BU1203">
        <f>HYPERLINK("https%3A%2F%2Fwww.webofscience.com%2Fwos%2Fwoscc%2Ffull-record%2FWOS:000670966800001","View Full Record in Web of Science")</f>
        <v/>
      </c>
    </row>
    <row r="1204">
      <c r="A1204" t="inlineStr">
        <is>
          <t>J</t>
        </is>
      </c>
      <c r="B1204" t="inlineStr">
        <is>
          <t>Guillamón-Escudero, C; Diago-Galmés, A; Tenías-Burillo, JM; Soriano, JM; Fernández-Garrido, JJ</t>
        </is>
      </c>
      <c r="F1204" t="inlineStr">
        <is>
          <t>Guillamon-Escudero, Carlos; Diago-Galmes, Angela; Tenias-Burillo, Jose M.; Soriano, Jose M.; Fernandez-Garrido, Julio J.</t>
        </is>
      </c>
      <c r="J1204" t="inlineStr">
        <is>
          <t>INTERNATIONAL JOURNAL OF ENVIRONMENTAL RESEARCH AND PUBLIC HEALTH</t>
        </is>
      </c>
      <c r="M1204" t="inlineStr">
        <is>
          <t>English</t>
        </is>
      </c>
      <c r="N1204" t="inlineStr">
        <is>
          <t>Article</t>
        </is>
      </c>
      <c r="T1204" t="inlineStr">
        <is>
          <t>Prevalence of Sarcopenia in Community-Dwelling Older Adults in Valencia, Spain</t>
        </is>
      </c>
      <c r="U1204" t="inlineStr">
        <is>
          <t>sarcopenia; prevalence; older adults; European Working Group on Sarcopenia in Older People 2 (EWGSOP2); older people; muscle strength</t>
        </is>
      </c>
      <c r="V1204" t="inlineStr">
        <is>
          <t>EUROPEAN WORKING GROUP; MUSCLE MASS; HANDGRIP STRENGTH; BODY-COMPOSITION; SKELETAL-MUSCLE; BARTHEL INDEX; PEOPLE EWGSOP; RISK-FACTOR; MORTALITY; ASSOCIATION</t>
        </is>
      </c>
      <c r="W1204" t="inlineStr">
        <is>
          <t>This study is an observational and cross-sectional study on the prevalence of sarcopenic disease in 202 autonomous older adults; 18.8 and 81.2% were men and women, respectively, living in their own homes in Valencia, Spain. Sarcopenia was diagnosed using the criteria and cutting points for the European Working Group on Sarcopenia in Older People 2 (EWGSOP2), using the tests: SARC-F, grip strength, sit-to-stand, gait speed, appendicular skeletal muscle mass and short physical performance battery. According to the EWGSOP2 criteria, probable sarcopenia was present in 21.1% and 18.3% of men and women, respectively, and the sum of confirmed and severe sarcopenia was 7.9% and 7.3% in men and in women, respectively. A relationship was shown between the prevalence of the disease and the age of the participants, but no significant differences were found between the sum of confirmed and severe sarcopenia between the sexes, nor a relationship between the amount of muscle mass and the strength of grip. The SARC-F questionnaire diagnosed 40% of the sarcopenia cases present in the study. More thorough research is needed to continue using the EWGSOP2 criteria in different populations to establish a correct prevalence of sarcopenic disease in different populations of the world.</t>
        </is>
      </c>
      <c r="X1204" t="inlineStr">
        <is>
          <t>[Guillamon-Escudero, Carlos] Hosp Gen Univ Castello, Castellon de La Plana 12004, Spain; [Diago-Galmes, Angela] Hosp Univ La Plana, Villareal 12540, Spain; [Tenias-Burillo, Jose M.] Hosp Pare Jofre, Dept Prevent Med, Valencia 46017, Spain; [Soriano, Jose M.] Univ Valencia, Inst Mat Sci, Food &amp; Hlth Lab, Valencia 46980, Spain; [Soriano, Jose M.] Univ Valencia, Joint Res Unit Endocrinol Nutr &amp; Clin Dietet, Hlth Res Inst La Fe, Valencia 46026, Spain; [Fernandez-Garrido, Julio J.] Univ Valencia, Fac Nursing &amp; Podiatry, Dept Nursing, Valencia 46001, Spain</t>
        </is>
      </c>
      <c r="Y1204" t="inlineStr">
        <is>
          <t>University of Valencia; Hospital Universitari i Politecnic La Fe; Instituto de Investigacion Sanitaria La Fe (IIS La Fe); University of Valencia; University of Valencia</t>
        </is>
      </c>
      <c r="Z1204" t="inlineStr">
        <is>
          <t>Soriano, JM (corresponding author), Univ Valencia, Inst Mat Sci, Food &amp; Hlth Lab, Valencia 46980, Spain.;Soriano, JM (corresponding author), Univ Valencia, Joint Res Unit Endocrinol Nutr &amp; Clin Dietet, Hlth Res Inst La Fe, Valencia 46026, Spain.</t>
        </is>
      </c>
      <c r="AA1204" t="inlineStr">
        <is>
          <t>carlos_ge@hotmail.es; angela94dg@gmail.com; Tenias_jma@gva.es; jose.soriano@uv.es; Julio.Fernandez@uv.es</t>
        </is>
      </c>
      <c r="AB1204" t="inlineStr">
        <is>
          <t>Soriano, Jose M./AAA-4158-2019; Guillamón Escudero, Carlos/HRA-4052-2023</t>
        </is>
      </c>
      <c r="AC1204" t="inlineStr">
        <is>
          <t>Diago Galmes, Angela/0000-0002-2954-6993; Fernandez-Garrido, Julio/0000-0001-5195-5227; Soriano, Jose/0000-0003-2846-1311; Guillamon Escudero, Carlos/0000-0002-5127-6010</t>
        </is>
      </c>
      <c r="AD1204" t="inlineStr">
        <is>
          <t>University of Valencia; City Council of Valencia in the framework of the Chair of Healthy, Active and Participative Aging (CESAP_UV_2017)</t>
        </is>
      </c>
      <c r="AE1204" t="inlineStr">
        <is>
          <t>University of Valencia; City Council of Valencia in the framework of the Chair of Healthy, Active and Participative Aging (CESAP_UV_2017)</t>
        </is>
      </c>
      <c r="AF1204" t="inlineStr">
        <is>
          <t>This research was funded by the University of Valencia and the City Council of Valencia in the framework of the Chair of Healthy, Active and Participative Aging (CESAP_UV_2017).</t>
        </is>
      </c>
      <c r="AH1204" t="n">
        <v>46</v>
      </c>
      <c r="AI1204" t="n">
        <v>9</v>
      </c>
      <c r="AJ1204" t="n">
        <v>9</v>
      </c>
      <c r="AK1204" t="n">
        <v>1</v>
      </c>
      <c r="AL1204" t="n">
        <v>13</v>
      </c>
      <c r="AM1204" t="inlineStr">
        <is>
          <t>MDPI</t>
        </is>
      </c>
      <c r="AN1204" t="inlineStr">
        <is>
          <t>BASEL</t>
        </is>
      </c>
      <c r="AO1204" t="inlineStr">
        <is>
          <t>ST ALBAN-ANLAGE 66, CH-4052 BASEL, SWITZERLAND</t>
        </is>
      </c>
      <c r="AQ1204" t="inlineStr">
        <is>
          <t>1660-4601</t>
        </is>
      </c>
      <c r="AS1204" t="inlineStr">
        <is>
          <t>INT J ENV RES PUB HE</t>
        </is>
      </c>
      <c r="AT1204" t="inlineStr">
        <is>
          <t>Int. J. Environ. Res. Public Health</t>
        </is>
      </c>
      <c r="AU1204" t="inlineStr">
        <is>
          <t>DEC</t>
        </is>
      </c>
      <c r="AV1204" t="n">
        <v>2020</v>
      </c>
      <c r="AW1204" t="n">
        <v>17</v>
      </c>
      <c r="AX1204" t="n">
        <v>23</v>
      </c>
      <c r="BE1204" t="n">
        <v>9130</v>
      </c>
      <c r="BF1204" t="inlineStr">
        <is>
          <t>10.3390/ijerph17239130</t>
        </is>
      </c>
      <c r="BG1204">
        <f>HYPERLINK("http://dx.doi.org/10.3390/ijerph17239130","http://dx.doi.org/10.3390/ijerph17239130")</f>
        <v/>
      </c>
      <c r="BJ1204" t="n">
        <v>12</v>
      </c>
      <c r="BK1204" t="inlineStr">
        <is>
          <t>Environmental Sciences; Public, Environmental &amp; Occupational Health</t>
        </is>
      </c>
      <c r="BL1204" t="inlineStr">
        <is>
          <t>Science Citation Index Expanded (SCI-EXPANDED); Social Science Citation Index (SSCI)</t>
        </is>
      </c>
      <c r="BM1204" t="inlineStr">
        <is>
          <t>Environmental Sciences &amp; Ecology; Public, Environmental &amp; Occupational Health</t>
        </is>
      </c>
      <c r="BN1204" t="inlineStr">
        <is>
          <t>PD1SU</t>
        </is>
      </c>
      <c r="BO1204" t="n">
        <v>33297423</v>
      </c>
      <c r="BP1204" t="inlineStr">
        <is>
          <t>Green Published, gold</t>
        </is>
      </c>
      <c r="BS1204" t="inlineStr">
        <is>
          <t>2023-10-26</t>
        </is>
      </c>
      <c r="BT1204" t="inlineStr">
        <is>
          <t>WOS:000597474300001</t>
        </is>
      </c>
      <c r="BU1204">
        <f>HYPERLINK("https%3A%2F%2Fwww.webofscience.com%2Fwos%2Fwoscc%2Ffull-record%2FWOS:000597474300001","View Full Record in Web of Science")</f>
        <v/>
      </c>
    </row>
    <row r="1205">
      <c r="A1205" t="inlineStr">
        <is>
          <t>J</t>
        </is>
      </c>
      <c r="B1205" t="inlineStr">
        <is>
          <t>Jiang, B; Shen, K; Sullivan, WC; Yang, YY; Liu, XM; Lu, Y</t>
        </is>
      </c>
      <c r="F1205" t="inlineStr">
        <is>
          <t>Jiang, Bin; Shen, Ke; Sullivan, William C.; Yang, Yiyang; Liu, Xueming; Lu, Yi</t>
        </is>
      </c>
      <c r="J1205" t="inlineStr">
        <is>
          <t>SCIENCE OF THE TOTAL ENVIRONMENT</t>
        </is>
      </c>
      <c r="M1205" t="inlineStr">
        <is>
          <t>English</t>
        </is>
      </c>
      <c r="N1205" t="inlineStr">
        <is>
          <t>Article</t>
        </is>
      </c>
      <c r="T1205" t="inlineStr">
        <is>
          <t>A natural experiment reveals impacts of built environment on suicide rate: Developing an environmental theory of suicide</t>
        </is>
      </c>
      <c r="U1205" t="inlineStr">
        <is>
          <t>Suicide; Built environment; Natural experiment; Urban center; Public transportation; Theory of suicide</t>
        </is>
      </c>
      <c r="V1205" t="inlineStr">
        <is>
          <t>MENTAL-HEALTH; RISK; ASSOCIATION; UNEMPLOYMENT; IMMIGRANTS; MECHANISMS; DEPRESSION; DISORDERS; MORTALITY; EXPOSURE</t>
        </is>
      </c>
      <c r="W1205" t="inlineStr">
        <is>
          <t>Background: Suicide is a global challenge. Although it is clear that socioeconomic and demographic factors influ-ence suicide rates, we know little about the impacts of the built environment on suicide rates. Methods: We investigated the relationship between characteristics of the built environment and suicide death rates over a 13-year period in 151 rent-only public housing communities in Hong Kong. The regulations of the public housing authority in Hong Kong constituted a natural experiment with minimal self-selection bias. We conducted hierarchical regression analyses and found that characteristics of the built environment were signifi-cantly associated with suicide rates after controlling for SES and demographic factors at the community level. Results: Three significant environmental factors were identified distance to the nearest urban center, distance to the nearest Mass Transit Railway station, and gross flat area per person. Conclusion: These findings demonstrate a significant association between features of the built environment and suicide rates. They also suggest possible interventions that might reduce suicide through design, or redesign, of the built environment. Lastly, we propose an environmental theory of suicide based on the Interpersonal Theory of Suicide. (c) 2021 Elsevier B.V. All rights reserved.</t>
        </is>
      </c>
      <c r="X1205" t="inlineStr">
        <is>
          <t>[Jiang, Bin; Shen, Ke; Liu, Xueming] Univ Hong Kong, Virtual Real Lab Urban Environm &amp; Human Hlth, HKUrbanLabs, Hong Kong, Peoples R China; [Jiang, Bin; Shen, Ke] Univ Hong Kong, Dept Architecture, Div Landscape Architecture, Hong Kong, Peoples R China; [Sullivan, William C.] Univ Illinois, Dept Landscape Architecture, Champaign, IL USA; [Yang, Yiyang; Lu, Yi] City Univ Hong Kong, Coll Engn, Dept Architecture &amp; Civil Engn, Hong Kong, Peoples R China</t>
        </is>
      </c>
      <c r="Y1205" t="inlineStr">
        <is>
          <t>University of Hong Kong; University of Hong Kong; University of Illinois System; University of Illinois Urbana-Champaign; City University of Hong Kong</t>
        </is>
      </c>
      <c r="Z1205" t="inlineStr">
        <is>
          <t>Lu, Y (corresponding author), City Univ Hong Kong, Coll Engn, Dept Architecture &amp; Civil Engn, Hong Kong, Peoples R China.;Jiang, B (corresponding author), Univ Hong Kong, 614 Knowles Bldg,Pokfulam Rd, Hong Kong, Peoples R China.</t>
        </is>
      </c>
      <c r="AA1205" t="inlineStr">
        <is>
          <t>jiangbin@hku.hk; yilu24@cityu.edu.hk</t>
        </is>
      </c>
      <c r="AB1205" t="inlineStr">
        <is>
          <t>LU, Yi/AAD-7750-2020; YANG, Yiyang/AAU-6715-2020; Sullivan, William C/B-4185-2013; Yang, Yiyang/GZH-1168-2022</t>
        </is>
      </c>
      <c r="AC1205" t="inlineStr">
        <is>
          <t>LU, Yi/0000-0001-7614-6661; YANG, Yiyang/0000-0003-2705-0238; Jiang, Bin/0000-0003-2440-3157</t>
        </is>
      </c>
      <c r="AH1205" t="n">
        <v>89</v>
      </c>
      <c r="AI1205" t="n">
        <v>13</v>
      </c>
      <c r="AJ1205" t="n">
        <v>13</v>
      </c>
      <c r="AK1205" t="n">
        <v>3</v>
      </c>
      <c r="AL1205" t="n">
        <v>30</v>
      </c>
      <c r="AM1205" t="inlineStr">
        <is>
          <t>ELSEVIER</t>
        </is>
      </c>
      <c r="AN1205" t="inlineStr">
        <is>
          <t>AMSTERDAM</t>
        </is>
      </c>
      <c r="AO1205" t="inlineStr">
        <is>
          <t>RADARWEG 29, 1043 NX AMSTERDAM, NETHERLANDS</t>
        </is>
      </c>
      <c r="AP1205" t="inlineStr">
        <is>
          <t>0048-9697</t>
        </is>
      </c>
      <c r="AQ1205" t="inlineStr">
        <is>
          <t>1879-1026</t>
        </is>
      </c>
      <c r="AS1205" t="inlineStr">
        <is>
          <t>SCI TOTAL ENVIRON</t>
        </is>
      </c>
      <c r="AT1205" t="inlineStr">
        <is>
          <t>Sci. Total Environ.</t>
        </is>
      </c>
      <c r="AU1205" t="inlineStr">
        <is>
          <t>JUL 1</t>
        </is>
      </c>
      <c r="AV1205" t="n">
        <v>2021</v>
      </c>
      <c r="AW1205" t="n">
        <v>776</v>
      </c>
      <c r="BE1205" t="n">
        <v>145750</v>
      </c>
      <c r="BF1205" t="inlineStr">
        <is>
          <t>10.1016/j.scitotenv.2021.145750</t>
        </is>
      </c>
      <c r="BG1205">
        <f>HYPERLINK("http://dx.doi.org/10.1016/j.scitotenv.2021.145750","http://dx.doi.org/10.1016/j.scitotenv.2021.145750")</f>
        <v/>
      </c>
      <c r="BI1205" t="inlineStr">
        <is>
          <t>FEB 2021</t>
        </is>
      </c>
      <c r="BJ1205" t="n">
        <v>15</v>
      </c>
      <c r="BK1205" t="inlineStr">
        <is>
          <t>Environmental Sciences</t>
        </is>
      </c>
      <c r="BL1205" t="inlineStr">
        <is>
          <t>Science Citation Index Expanded (SCI-EXPANDED); Social Science Citation Index (SSCI)</t>
        </is>
      </c>
      <c r="BM1205" t="inlineStr">
        <is>
          <t>Environmental Sciences &amp; Ecology</t>
        </is>
      </c>
      <c r="BN1205" t="inlineStr">
        <is>
          <t>RY1UH</t>
        </is>
      </c>
      <c r="BO1205" t="n">
        <v>33647665</v>
      </c>
      <c r="BS1205" t="inlineStr">
        <is>
          <t>2023-10-26</t>
        </is>
      </c>
      <c r="BT1205" t="inlineStr">
        <is>
          <t>WOS:000647703500014</t>
        </is>
      </c>
      <c r="BU1205">
        <f>HYPERLINK("https%3A%2F%2Fwww.webofscience.com%2Fwos%2Fwoscc%2Ffull-record%2FWOS:000647703500014","View Full Record in Web of Science")</f>
        <v/>
      </c>
    </row>
    <row r="1206">
      <c r="A1206" t="inlineStr">
        <is>
          <t>J</t>
        </is>
      </c>
      <c r="B1206" t="inlineStr">
        <is>
          <t>Eli, B; Zhou, YY; Chen, YR; Huang, X; Liu, ZK</t>
        </is>
      </c>
      <c r="F1206" t="inlineStr">
        <is>
          <t>Eli, Buzohre; Zhou, Yueyue; Chen, Yaru; Huang, Xin; Liu, Zhengkui</t>
        </is>
      </c>
      <c r="J1206" t="inlineStr">
        <is>
          <t>INTERNATIONAL JOURNAL OF ENVIRONMENTAL RESEARCH AND PUBLIC HEALTH</t>
        </is>
      </c>
      <c r="M1206" t="inlineStr">
        <is>
          <t>English</t>
        </is>
      </c>
      <c r="N1206" t="inlineStr">
        <is>
          <t>Article</t>
        </is>
      </c>
      <c r="T1206" t="inlineStr">
        <is>
          <t>Symptom Structure of Depression in Older Adults on the Qinghai-Tibet Plateau: A Network Analysis</t>
        </is>
      </c>
      <c r="U1206" t="inlineStr">
        <is>
          <t>depression; older adults; high-altitude areas; network analysis; Qinghai-Tibet Plateau</t>
        </is>
      </c>
      <c r="V1206" t="inlineStr">
        <is>
          <t>ANXIETY DISORDER; SOCIAL ANXIETY; SLEEP QUALITY; ALTITUDE; LIFE; CENTRALITY; PEOPLE</t>
        </is>
      </c>
      <c r="W1206" t="inlineStr">
        <is>
          <t>Previous studies have confirmed that depression among residents in high-altitude areas is more severe, and that depression may be more persistent and disabling in older adults. This study aims to identify the symptom structure of depression among older adults on the Qinghai-Tibet Plateau (the highest plateau in the world) from a network perspective. This cross-sectional study enrolled 507 older adults (ages 60-80 years old) from the Yushu Prefecture, which is on the Qinghai-Tibet Plateau, China. Depressive symptoms were self-reported using the shortened Center for Epidemiological Studies-Depression Scale (CES-D-10). Then, a Gaussian graphical model (GGM) of depression was developed. Poor sleep, fear, and hopelessness about the future exhibited high centrality in the network. The strongest edge connections emerged between unhappiness and hopelessness about the future, followed by hopelessness about the future and fear; hopelessness about the future and poor sleep; fear and unhappiness; and then poor sleep and unhappiness in the network. The findings of this current study add to the small body of literature on the network structure and complex relationships between depressive symptoms in older adults in high-altitude areas.</t>
        </is>
      </c>
      <c r="X1206" t="inlineStr">
        <is>
          <t>[Eli, Buzohre; Chen, Yaru; Huang, Xin; Liu, Zhengkui] Chinese Acad Sci, Inst Psychol, CAS Key Lab Mental Hlth, Beijing 100101, Peoples R China; [Eli, Buzohre; Chen, Yaru; Huang, Xin; Liu, Zhengkui] Univ Chinese Acad Sci, Dept Psychol, Beijing 100049, Peoples R China; [Zhou, Yueyue] Henan Univ, Dept Psychol, Kaifeng 475004, Peoples R China</t>
        </is>
      </c>
      <c r="Y1206" t="inlineStr">
        <is>
          <t>Chinese Academy of Sciences; Institute of Psychology, CAS; Chinese Academy of Sciences; University of Chinese Academy of Sciences, CAS; Henan University</t>
        </is>
      </c>
      <c r="Z1206" t="inlineStr">
        <is>
          <t>Liu, ZK (corresponding author), Chinese Acad Sci, Inst Psychol, CAS Key Lab Mental Hlth, Beijing 100101, Peoples R China.;Liu, ZK (corresponding author), Univ Chinese Acad Sci, Dept Psychol, Beijing 100049, Peoples R China.</t>
        </is>
      </c>
      <c r="AA1206" t="inlineStr">
        <is>
          <t>liuzk@psych.ac.cn</t>
        </is>
      </c>
      <c r="AC1206" t="inlineStr">
        <is>
          <t>Liu, Zhengkui/0000-0002-3467-7410</t>
        </is>
      </c>
      <c r="AD1206" t="inlineStr">
        <is>
          <t>National Key R&amp;D Program of China [2020YFC2003000]</t>
        </is>
      </c>
      <c r="AE1206" t="inlineStr">
        <is>
          <t>National Key R&amp;D Program of China</t>
        </is>
      </c>
      <c r="AF1206" t="inlineStr">
        <is>
          <t>This research was supported by the National Key R&amp;D Program of China (grant number: 2020YFC2003000).</t>
        </is>
      </c>
      <c r="AH1206" t="n">
        <v>56</v>
      </c>
      <c r="AI1206" t="n">
        <v>3</v>
      </c>
      <c r="AJ1206" t="n">
        <v>3</v>
      </c>
      <c r="AK1206" t="n">
        <v>8</v>
      </c>
      <c r="AL1206" t="n">
        <v>21</v>
      </c>
      <c r="AM1206" t="inlineStr">
        <is>
          <t>MDPI</t>
        </is>
      </c>
      <c r="AN1206" t="inlineStr">
        <is>
          <t>BASEL</t>
        </is>
      </c>
      <c r="AO1206" t="inlineStr">
        <is>
          <t>ST ALBAN-ANLAGE 66, CH-4052 BASEL, SWITZERLAND</t>
        </is>
      </c>
      <c r="AQ1206" t="inlineStr">
        <is>
          <t>1660-4601</t>
        </is>
      </c>
      <c r="AS1206" t="inlineStr">
        <is>
          <t>INT J ENV RES PUB HE</t>
        </is>
      </c>
      <c r="AT1206" t="inlineStr">
        <is>
          <t>Int. J. Environ. Res. Public Health</t>
        </is>
      </c>
      <c r="AU1206" t="inlineStr">
        <is>
          <t>NOV</t>
        </is>
      </c>
      <c r="AV1206" t="n">
        <v>2022</v>
      </c>
      <c r="AW1206" t="n">
        <v>19</v>
      </c>
      <c r="AX1206" t="n">
        <v>21</v>
      </c>
      <c r="BE1206" t="n">
        <v>13810</v>
      </c>
      <c r="BF1206" t="inlineStr">
        <is>
          <t>10.3390/ijerph192113810</t>
        </is>
      </c>
      <c r="BG1206">
        <f>HYPERLINK("http://dx.doi.org/10.3390/ijerph192113810","http://dx.doi.org/10.3390/ijerph192113810")</f>
        <v/>
      </c>
      <c r="BJ1206" t="n">
        <v>12</v>
      </c>
      <c r="BK1206" t="inlineStr">
        <is>
          <t>Environmental Sciences; Public, Environmental &amp; Occupational Health</t>
        </is>
      </c>
      <c r="BL1206" t="inlineStr">
        <is>
          <t>Science Citation Index Expanded (SCI-EXPANDED); Social Science Citation Index (SSCI)</t>
        </is>
      </c>
      <c r="BM1206" t="inlineStr">
        <is>
          <t>Environmental Sciences &amp; Ecology; Public, Environmental &amp; Occupational Health</t>
        </is>
      </c>
      <c r="BN1206" t="inlineStr">
        <is>
          <t>6B2CX</t>
        </is>
      </c>
      <c r="BO1206" t="n">
        <v>36360690</v>
      </c>
      <c r="BP1206" t="inlineStr">
        <is>
          <t>Green Published, gold</t>
        </is>
      </c>
      <c r="BS1206" t="inlineStr">
        <is>
          <t>2023-10-26</t>
        </is>
      </c>
      <c r="BT1206" t="inlineStr">
        <is>
          <t>WOS:000881148800001</t>
        </is>
      </c>
      <c r="BU1206">
        <f>HYPERLINK("https%3A%2F%2Fwww.webofscience.com%2Fwos%2Fwoscc%2Ffull-record%2FWOS:000881148800001","View Full Record in Web of Science")</f>
        <v/>
      </c>
    </row>
    <row r="1207">
      <c r="A1207" t="inlineStr">
        <is>
          <t>J</t>
        </is>
      </c>
      <c r="B1207" t="inlineStr">
        <is>
          <t>Chen, EH; Ye, ZR</t>
        </is>
      </c>
      <c r="F1207" t="inlineStr">
        <is>
          <t>Chen, Enhui; Ye, Zhirui</t>
        </is>
      </c>
      <c r="J1207" t="inlineStr">
        <is>
          <t>JOURNAL OF CLEANER PRODUCTION</t>
        </is>
      </c>
      <c r="M1207" t="inlineStr">
        <is>
          <t>English</t>
        </is>
      </c>
      <c r="N1207" t="inlineStr">
        <is>
          <t>Article</t>
        </is>
      </c>
      <c r="T1207" t="inlineStr">
        <is>
          <t>Identifying the nonlinear relationship between free-floating bike sharing usage and built environment</t>
        </is>
      </c>
      <c r="U1207" t="inlineStr">
        <is>
          <t>Free-floating bicycle; Bike sharing usage; Built environment; Threshold effect; Policy</t>
        </is>
      </c>
      <c r="V1207" t="inlineStr">
        <is>
          <t>EMPIRICAL-ANALYSIS; RIDERSHIP; PATTERNS; IMPACT; SCALE</t>
        </is>
      </c>
      <c r="W1207" t="inlineStr">
        <is>
          <t>A free-floating bike sharing system is an up-and-coming and marketable solution to promote transport flexibility and health benefits, which many people regard as a realistic way of generating more environmentally-friendly trips. Although many studies have investigated the associations between bike sharing usage and built environment, the existing literature has limited evidence about the relative importance of different built environment elements and their threshold impacts on cycling trips. This study contributes to the literature by proposing a modeling framework to explore the nonlinear impacts of built environment on bike sharing demand. A case study is conducted using Mobike bike sharing data in Chengdu. The analytical results indicate that population density and employment density are the two most significant factors that influence bike sharing usage. Total effects of land use variables rank the highest, followed by accessibility variables and transport facility variables. We then analyze the nonlinear impacts of different built environment elements on bike sharing usage to identify their effective ranges and threshold effects. These findings are important for planning departments to boost the share of nonmotorized trips and embrace a cyclist-friendly design. (C) 2020 Elsevier Ltd. All rights reserved.</t>
        </is>
      </c>
      <c r="X1207" t="inlineStr">
        <is>
          <t>[Chen, Enhui; Ye, Zhirui] Southeast Univ, Sch Transportat, 2 Sipailou, Nanjing 210096, Jiangsu, Peoples R China; [Chen, Enhui; Ye, Zhirui] Jiangsu Prov Collaborat Innovat Ctr Modern Urban, 2 Southeast Univ Rd, Nanjing 211189, Jiangsu, Peoples R China</t>
        </is>
      </c>
      <c r="Y1207" t="inlineStr">
        <is>
          <t>Southeast University - China</t>
        </is>
      </c>
      <c r="Z1207" t="inlineStr">
        <is>
          <t>Ye, ZR (corresponding author), Southeast Univ, Sch Transportat, 2 Sipailou, Nanjing 210096, Jiangsu, Peoples R China.</t>
        </is>
      </c>
      <c r="AA1207" t="inlineStr">
        <is>
          <t>chenenhui@seu.edu.cn; yezhirui@seu.edu.cn</t>
        </is>
      </c>
      <c r="AD1207" t="inlineStr">
        <is>
          <t>National Key R&amp;D Program of China [2018YFB1601000]; Scientific Research Foundation of Graduate School of Southeast University [YBPY1976]</t>
        </is>
      </c>
      <c r="AE1207" t="inlineStr">
        <is>
          <t>National Key R&amp;D Program of China; Scientific Research Foundation of Graduate School of Southeast University</t>
        </is>
      </c>
      <c r="AF1207" t="inlineStr">
        <is>
          <t>This study is sponsored by the National Key R&amp;D Program of China (No. 2018YFB1601000) and the Scientific Research Foundation of Graduate School of Southeast University (No. YBPY1976).</t>
        </is>
      </c>
      <c r="AH1207" t="n">
        <v>38</v>
      </c>
      <c r="AI1207" t="n">
        <v>42</v>
      </c>
      <c r="AJ1207" t="n">
        <v>45</v>
      </c>
      <c r="AK1207" t="n">
        <v>20</v>
      </c>
      <c r="AL1207" t="n">
        <v>107</v>
      </c>
      <c r="AM1207" t="inlineStr">
        <is>
          <t>ELSEVIER SCI LTD</t>
        </is>
      </c>
      <c r="AN1207" t="inlineStr">
        <is>
          <t>OXFORD</t>
        </is>
      </c>
      <c r="AO1207" t="inlineStr">
        <is>
          <t>THE BOULEVARD, LANGFORD LANE, KIDLINGTON, OXFORD OX5 1GB, OXON, ENGLAND</t>
        </is>
      </c>
      <c r="AP1207" t="inlineStr">
        <is>
          <t>0959-6526</t>
        </is>
      </c>
      <c r="AQ1207" t="inlineStr">
        <is>
          <t>1879-1786</t>
        </is>
      </c>
      <c r="AS1207" t="inlineStr">
        <is>
          <t>J CLEAN PROD</t>
        </is>
      </c>
      <c r="AT1207" t="inlineStr">
        <is>
          <t>J. Clean Prod.</t>
        </is>
      </c>
      <c r="AU1207" t="inlineStr">
        <is>
          <t>JAN 20</t>
        </is>
      </c>
      <c r="AV1207" t="n">
        <v>2021</v>
      </c>
      <c r="AW1207" t="n">
        <v>280</v>
      </c>
      <c r="AY1207" t="n">
        <v>1</v>
      </c>
      <c r="BE1207" t="n">
        <v>124281</v>
      </c>
      <c r="BF1207" t="inlineStr">
        <is>
          <t>10.1016/j.jclepro.2020.124281</t>
        </is>
      </c>
      <c r="BG1207">
        <f>HYPERLINK("http://dx.doi.org/10.1016/j.jclepro.2020.124281","http://dx.doi.org/10.1016/j.jclepro.2020.124281")</f>
        <v/>
      </c>
      <c r="BJ1207" t="n">
        <v>10</v>
      </c>
      <c r="BK1207" t="inlineStr">
        <is>
          <t>Green &amp; Sustainable Science &amp; Technology; Engineering, Environmental; Environmental Sciences</t>
        </is>
      </c>
      <c r="BL1207" t="inlineStr">
        <is>
          <t>Science Citation Index Expanded (SCI-EXPANDED); Social Science Citation Index (SSCI)</t>
        </is>
      </c>
      <c r="BM1207" t="inlineStr">
        <is>
          <t>Science &amp; Technology - Other Topics; Engineering; Environmental Sciences &amp; Ecology</t>
        </is>
      </c>
      <c r="BN1207" t="inlineStr">
        <is>
          <t>PU0RQ</t>
        </is>
      </c>
      <c r="BS1207" t="inlineStr">
        <is>
          <t>2023-10-26</t>
        </is>
      </c>
      <c r="BT1207" t="inlineStr">
        <is>
          <t>WOS:000609017600013</t>
        </is>
      </c>
      <c r="BU1207">
        <f>HYPERLINK("https%3A%2F%2Fwww.webofscience.com%2Fwos%2Fwoscc%2Ffull-record%2FWOS:000609017600013","View Full Record in Web of Science")</f>
        <v/>
      </c>
    </row>
    <row r="1208">
      <c r="A1208" t="inlineStr">
        <is>
          <t>J</t>
        </is>
      </c>
      <c r="B1208" t="inlineStr">
        <is>
          <t>Han, TDT; Nakamura, K; Seino, K; Duc, VNH; Vo, TV</t>
        </is>
      </c>
      <c r="F1208" t="inlineStr">
        <is>
          <t>Tran Dai Tri Han; Nakamura, Keiko; Seino, Kaoruko; Vo Nu Hong Duc; Thang Van Vo</t>
        </is>
      </c>
      <c r="J1208" t="inlineStr">
        <is>
          <t>INTERNATIONAL JOURNAL OF ENVIRONMENTAL RESEARCH AND PUBLIC HEALTH</t>
        </is>
      </c>
      <c r="M1208" t="inlineStr">
        <is>
          <t>English</t>
        </is>
      </c>
      <c r="N1208" t="inlineStr">
        <is>
          <t>Article</t>
        </is>
      </c>
      <c r="T1208" t="inlineStr">
        <is>
          <t>Do Communication Patterns Affect the Association between Cognitive Impairment and Hearing Loss among Older Adults in Vietnam?</t>
        </is>
      </c>
      <c r="U1208" t="inlineStr">
        <is>
          <t>communication tools; cognitive impairment; older adults; hearing loss; social interaction</t>
        </is>
      </c>
      <c r="V1208" t="inlineStr">
        <is>
          <t>INSTRUMENTAL ACTIVITIES; VISION IMPAIRMENT; DEMENTIA; DECLINE; RISK; SURVIVAL; VALIDITY; SUPPORT; PEOPLE; IMPACT</t>
        </is>
      </c>
      <c r="W1208" t="inlineStr">
        <is>
          <t>This study examined the prevalence of cognitive impairment among older adults in central Vietnam and the roles of communication (with or without communication devices) in the association between cognitive impairment and hearing loss. This cross-sectional study was performed on 725 randomly selected community-dwelling older adults aged &gt;= 60 years from Thua Thien Hue province, Vietnam. Participants attended a face-to-face survey. Sociodemographic characteristics, social interaction with or without communication devices, health status and cognitive function using the Mini-Mental State Examination were reported. Ordinal logistic regression analysis was performed to quantify the association between hearing loss and cognitive function by frequency of communication with and without devices. Mild and severe cognitive impairment had prevalence rates of 23.6% and 19.3%, respectively. Cognitive impairment was more prevalent among older adults with hearing-loss, vision loss and difficulties with instrumental activities of daily living (IADL). The association between hearing loss and cognitive impairment was not significant when older adults had frequent communication with others using devices. This study presented the relatively high prevalence of cognitive impairment in community-dwelling older adults in Vietnam. Frequent communication using devices attenuated the association between hearing loss and cognitive impairment.</t>
        </is>
      </c>
      <c r="X1208" t="inlineStr">
        <is>
          <t>[Tran Dai Tri Han; Nakamura, Keiko; Seino, Kaoruko] Tokyo Med &amp; Dent Univ, Grad Sch Med &amp; Dent Sci, Dept Global Hlth Entrepreneurship, Div Publ Hlth, Tokyo 1138519, Japan; [Tran Dai Tri Han; Vo Nu Hong Duc; Thang Van Vo] Hue Univ, Hue Univ Med &amp; Pharm, Fac Publ Hlth, Hue 530000, Vietnam; [Thang Van Vo] Hue Univ, Hue Univ Med &amp; Pharm, Inst Community Hlth Res, Hue 530000, Vietnam</t>
        </is>
      </c>
      <c r="Y1208" t="inlineStr">
        <is>
          <t>Tokyo Medical &amp; Dental University (TMDU); Hue University; Hue University</t>
        </is>
      </c>
      <c r="Z1208" t="inlineStr">
        <is>
          <t>Nakamura, K (corresponding author), Tokyo Med &amp; Dent Univ, Grad Sch Med &amp; Dent Sci, Dept Global Hlth Entrepreneurship, Div Publ Hlth, Tokyo 1138519, Japan.</t>
        </is>
      </c>
      <c r="AA1208" t="inlineStr">
        <is>
          <t>trandaitrihan@hueuni.edu.vn; nakamura.ith@tmd.ac.jp; seino.ith@tmd.ac.jp; vnhduc@hueuni.edu.vn; voyanthang147@hueuni.edu.vn</t>
        </is>
      </c>
      <c r="AC1208" t="inlineStr">
        <is>
          <t>VO VAN, THANG/0000-0003-2018-0371; Nakamura, Keiko/0000-0002-9119-4730; Tri Han, Tran Dai/0000-0002-1347-8121; Vo, Nu Hong Duc/0000-0002-8218-5197</t>
        </is>
      </c>
      <c r="AD1208" t="inlineStr">
        <is>
          <t>Institute for Community Health Research (ICHR)-Hue University of Medicine and Pharmacy (Hue UMP); World Health Organization Centre for Health Development (WHO Kobe Centre-WKC) [K18017]; Scientific Research Grant, Ministry of Health, Labor and Welfare, Japan [20GB1003]; Japan Society for Promotion of Science [K19H04511]</t>
        </is>
      </c>
      <c r="AE1208" t="inlineStr">
        <is>
          <t>Institute for Community Health Research (ICHR)-Hue University of Medicine and Pharmacy (Hue UMP); World Health Organization Centre for Health Development (WHO Kobe Centre-WKC); Scientific Research Grant, Ministry of Health, Labor and Welfare, Japan; Japan Society for Promotion of Science(Ministry of Education, Culture, Sports, Science and Technology, Japan (MEXT)Japan Society for the Promotion of Science)</t>
        </is>
      </c>
      <c r="AF1208" t="inlineStr">
        <is>
          <t>This research was funded by Institute for Community Health Research (ICHR)-Hue University of Medicine and Pharmacy (Hue UMP), the World Health Organization Centre for Health Development (WHO Kobe Centre-WKC: K18017), Scientific Research Grant, Ministry of Health, Labor and Welfare, Japan: 20GB1003, and Grant in Aid for Scientific Study, Japan Society for Promotion of Science, K19H04511.</t>
        </is>
      </c>
      <c r="AH1208" t="n">
        <v>43</v>
      </c>
      <c r="AI1208" t="n">
        <v>0</v>
      </c>
      <c r="AJ1208" t="n">
        <v>0</v>
      </c>
      <c r="AK1208" t="n">
        <v>0</v>
      </c>
      <c r="AL1208" t="n">
        <v>3</v>
      </c>
      <c r="AM1208" t="inlineStr">
        <is>
          <t>MDPI</t>
        </is>
      </c>
      <c r="AN1208" t="inlineStr">
        <is>
          <t>BASEL</t>
        </is>
      </c>
      <c r="AO1208" t="inlineStr">
        <is>
          <t>ST ALBAN-ANLAGE 66, CH-4052 BASEL, SWITZERLAND</t>
        </is>
      </c>
      <c r="AQ1208" t="inlineStr">
        <is>
          <t>1660-4601</t>
        </is>
      </c>
      <c r="AS1208" t="inlineStr">
        <is>
          <t>INT J ENV RES PUB HE</t>
        </is>
      </c>
      <c r="AT1208" t="inlineStr">
        <is>
          <t>Int. J. Environ. Res. Public Health</t>
        </is>
      </c>
      <c r="AU1208" t="inlineStr">
        <is>
          <t>FEB</t>
        </is>
      </c>
      <c r="AV1208" t="n">
        <v>2021</v>
      </c>
      <c r="AW1208" t="n">
        <v>18</v>
      </c>
      <c r="AX1208" t="n">
        <v>4</v>
      </c>
      <c r="BE1208" t="n">
        <v>1603</v>
      </c>
      <c r="BF1208" t="inlineStr">
        <is>
          <t>10.3390/ijerph18041603</t>
        </is>
      </c>
      <c r="BG1208">
        <f>HYPERLINK("http://dx.doi.org/10.3390/ijerph18041603","http://dx.doi.org/10.3390/ijerph18041603")</f>
        <v/>
      </c>
      <c r="BJ1208" t="n">
        <v>14</v>
      </c>
      <c r="BK1208" t="inlineStr">
        <is>
          <t>Environmental Sciences; Public, Environmental &amp; Occupational Health</t>
        </is>
      </c>
      <c r="BL1208" t="inlineStr">
        <is>
          <t>Science Citation Index Expanded (SCI-EXPANDED); Social Science Citation Index (SSCI)</t>
        </is>
      </c>
      <c r="BM1208" t="inlineStr">
        <is>
          <t>Environmental Sciences &amp; Ecology; Public, Environmental &amp; Occupational Health</t>
        </is>
      </c>
      <c r="BN1208" t="inlineStr">
        <is>
          <t>QP0MH</t>
        </is>
      </c>
      <c r="BO1208" t="n">
        <v>33567657</v>
      </c>
      <c r="BP1208" t="inlineStr">
        <is>
          <t>gold, Green Published</t>
        </is>
      </c>
      <c r="BS1208" t="inlineStr">
        <is>
          <t>2023-10-26</t>
        </is>
      </c>
      <c r="BT1208" t="inlineStr">
        <is>
          <t>WOS:000623531200001</t>
        </is>
      </c>
      <c r="BU1208">
        <f>HYPERLINK("https%3A%2F%2Fwww.webofscience.com%2Fwos%2Fwoscc%2Ffull-record%2FWOS:000623531200001","View Full Record in Web of Science")</f>
        <v/>
      </c>
    </row>
    <row r="1209">
      <c r="A1209" t="inlineStr">
        <is>
          <t>J</t>
        </is>
      </c>
      <c r="B1209" t="inlineStr">
        <is>
          <t>Arehart, JH; Pomponi, F; D'Amico, B; Srubar, WV</t>
        </is>
      </c>
      <c r="F1209" t="inlineStr">
        <is>
          <t>Arehart, Jay H.; Pomponi, Francesco; D'Amico, Bernardino; Srubar, Wil V., III</t>
        </is>
      </c>
      <c r="J1209" t="inlineStr">
        <is>
          <t>ENVIRONMENTAL SCIENCE &amp; TECHNOLOGY</t>
        </is>
      </c>
      <c r="M1209" t="inlineStr">
        <is>
          <t>English</t>
        </is>
      </c>
      <c r="N1209" t="inlineStr">
        <is>
          <t>Article</t>
        </is>
      </c>
      <c r="T1209" t="inlineStr">
        <is>
          <t>A New Estimate of Building Floor Space in North America</t>
        </is>
      </c>
      <c r="U1209" t="inlineStr">
        <is>
          <t>floor space; building stock; North America; machine learning</t>
        </is>
      </c>
      <c r="V1209" t="inlineStr">
        <is>
          <t>ENERGY USE; URBAN; EMISSIONS; SCENARIO; TRENDS; FLOWS</t>
        </is>
      </c>
      <c r="W1209" t="inlineStr">
        <is>
          <t>Floor space is a key variable used to understand the energy and material demands of buildings. Using recent data sets of building footprints, we employ a random forest regression model to estimate the total floor space (conditioned and unconditioned) of the North American building stock. Our estimate for total floor space in 2016 is 88033 (+15907/-21861) million m(2), which is 2.9 times higher than current estimates from national statistics offices. We also show how floor space per capita (m(2) cap(-1)) is not constant across the North American region, highlighting the heterogeneous nature of building stocks. As a critical variable in integrated assessment models to project energy and material demands, this result suggests that there is much more unconditioned floor space than previously realized. Furthermore, when estimating material stocks, flows, and associated embodied carbon emissions, total floor space per-capita estimates, such as those presented in this study, offer a more comprehensive approach in comparison to national statistics that do not capture unconditioned floor space. This result also calls for an investigation as to why there is such a vast difference between estimates of conditioned and total floor space.</t>
        </is>
      </c>
      <c r="X1209" t="inlineStr">
        <is>
          <t>[Arehart, Jay H.; Pomponi, Francesco; D'Amico, Bernardino] Edinburgh Napier Univ, Resource Efficient Built Environm Lab Rebel, Edinburgh EH11 4BN, Midlothian, Scotland; [Arehart, Jay H.; Srubar, Wil V., III] Univ Colorado, Dept Civil Environm &amp; Architectural Engn, Boulder, CO 80309 USA; [Srubar, Wil V., III] Univ Colorado, Mat Sci &amp; Engn Program, Boulder, CO 80309 USA</t>
        </is>
      </c>
      <c r="Y1209" t="inlineStr">
        <is>
          <t>Edinburgh Napier University; University of Colorado System; University of Colorado Boulder; University of Colorado System; University of Colorado Boulder</t>
        </is>
      </c>
      <c r="Z1209" t="inlineStr">
        <is>
          <t>Arehart, JH (corresponding author), Edinburgh Napier Univ, Resource Efficient Built Environm Lab Rebel, Edinburgh EH11 4BN, Midlothian, Scotland.;Arehart, JH (corresponding author), Univ Colorado, Dept Civil Environm &amp; Architectural Engn, Boulder, CO 80309 USA.</t>
        </is>
      </c>
      <c r="AA1209" t="inlineStr">
        <is>
          <t>jay.arehart@colorado.edu</t>
        </is>
      </c>
      <c r="AB1209" t="inlineStr">
        <is>
          <t>Srubar III, Wil V./JHS-3669-2023</t>
        </is>
      </c>
      <c r="AC1209" t="inlineStr">
        <is>
          <t>Srubar III, Wil V./0000-0001-8226-2458; Pomponi, Francesco/0000-0003-3132-2523; Arehart, Jay;Joseph/0000-0002-9434-1783</t>
        </is>
      </c>
      <c r="AD1209" t="inlineStr">
        <is>
          <t>Edinburgh Napier University, through the project Carbon Storage of the Built Environment: Exploring the Theoretical Potential (CaSBE) [N452-000F]; Temple Hoyne Buell Architectural Fellowship; College of Engineering's Global Enrichment Fund; Living Materials Laboratory (LMLab) at the University of Colorado Boulder</t>
        </is>
      </c>
      <c r="AE1209" t="inlineStr">
        <is>
          <t>Edinburgh Napier University, through the project Carbon Storage of the Built Environment: Exploring the Theoretical Potential (CaSBE); Temple Hoyne Buell Architectural Fellowship; College of Engineering's Global Enrichment Fund; Living Materials Laboratory (LMLab) at the University of Colorado Boulder</t>
        </is>
      </c>
      <c r="AF1209" t="inlineStr">
        <is>
          <t>J.A. and F.P. gratefully acknowledge the financial support received for this research by Edinburgh Napier University, through the project Carbon Storage of the Built Environment: Exploring the Theoretical Potential (CaSBE) -Grant No. N452-000F. Additionally, J.A. gratefully acknowledges the financial support from the Temple Hoyne Buell Architectural Fellowship, the College of Engineering's Global Enrichment Fund, and the Living Materials Laboratory (LMLab) at the University of Colorado Boulder. This work represents the views of the authors and not necessarily those of the sponsors. The authors acknowledge and thank Chris Arehart for his input and insight regarding the methodology for dataset validation. Additionally, the authors are grateful to the three anonymous referees for their review and comments that helped improve the clarity and significance of the manuscript.</t>
        </is>
      </c>
      <c r="AH1209" t="n">
        <v>44</v>
      </c>
      <c r="AI1209" t="n">
        <v>9</v>
      </c>
      <c r="AJ1209" t="n">
        <v>9</v>
      </c>
      <c r="AK1209" t="n">
        <v>1</v>
      </c>
      <c r="AL1209" t="n">
        <v>13</v>
      </c>
      <c r="AM1209" t="inlineStr">
        <is>
          <t>AMER CHEMICAL SOC</t>
        </is>
      </c>
      <c r="AN1209" t="inlineStr">
        <is>
          <t>WASHINGTON</t>
        </is>
      </c>
      <c r="AO1209" t="inlineStr">
        <is>
          <t>1155 16TH ST, NW, WASHINGTON, DC 20036 USA</t>
        </is>
      </c>
      <c r="AP1209" t="inlineStr">
        <is>
          <t>0013-936X</t>
        </is>
      </c>
      <c r="AQ1209" t="inlineStr">
        <is>
          <t>1520-5851</t>
        </is>
      </c>
      <c r="AS1209" t="inlineStr">
        <is>
          <t>ENVIRON SCI TECHNOL</t>
        </is>
      </c>
      <c r="AT1209" t="inlineStr">
        <is>
          <t>Environ. Sci. Technol.</t>
        </is>
      </c>
      <c r="AU1209" t="inlineStr">
        <is>
          <t>APR 20</t>
        </is>
      </c>
      <c r="AV1209" t="n">
        <v>2021</v>
      </c>
      <c r="AW1209" t="n">
        <v>55</v>
      </c>
      <c r="AX1209" t="n">
        <v>8</v>
      </c>
      <c r="BC1209" t="n">
        <v>5161</v>
      </c>
      <c r="BD1209" t="n">
        <v>5170</v>
      </c>
      <c r="BF1209" t="inlineStr">
        <is>
          <t>10.1021/acs.est.0c05081</t>
        </is>
      </c>
      <c r="BG1209">
        <f>HYPERLINK("http://dx.doi.org/10.1021/acs.est.0c05081","http://dx.doi.org/10.1021/acs.est.0c05081")</f>
        <v/>
      </c>
      <c r="BI1209" t="inlineStr">
        <is>
          <t>MAR 2021</t>
        </is>
      </c>
      <c r="BJ1209" t="n">
        <v>10</v>
      </c>
      <c r="BK1209" t="inlineStr">
        <is>
          <t>Engineering, Environmental; Environmental Sciences</t>
        </is>
      </c>
      <c r="BL1209" t="inlineStr">
        <is>
          <t>Science Citation Index Expanded (SCI-EXPANDED); Social Science Citation Index (SSCI)</t>
        </is>
      </c>
      <c r="BM1209" t="inlineStr">
        <is>
          <t>Engineering; Environmental Sciences &amp; Ecology</t>
        </is>
      </c>
      <c r="BN1209" t="inlineStr">
        <is>
          <t>RS1LT</t>
        </is>
      </c>
      <c r="BO1209" t="n">
        <v>33783194</v>
      </c>
      <c r="BP1209" t="inlineStr">
        <is>
          <t>Green Accepted</t>
        </is>
      </c>
      <c r="BS1209" t="inlineStr">
        <is>
          <t>2023-10-26</t>
        </is>
      </c>
      <c r="BT1209" t="inlineStr">
        <is>
          <t>WOS:000643546400095</t>
        </is>
      </c>
      <c r="BU1209">
        <f>HYPERLINK("https%3A%2F%2Fwww.webofscience.com%2Fwos%2Fwoscc%2Ffull-record%2FWOS:000643546400095","View Full Record in Web of Science")</f>
        <v/>
      </c>
    </row>
    <row r="1210">
      <c r="A1210" t="inlineStr">
        <is>
          <t>J</t>
        </is>
      </c>
      <c r="B1210" t="inlineStr">
        <is>
          <t>Lu, N; Xu, SC; Zhang, JY</t>
        </is>
      </c>
      <c r="F1210" t="inlineStr">
        <is>
          <t>Lu, Nan; Xu, Shicun; Zhang, Jingyue</t>
        </is>
      </c>
      <c r="J1210" t="inlineStr">
        <is>
          <t>INTERNATIONAL JOURNAL OF ENVIRONMENTAL RESEARCH AND PUBLIC HEALTH</t>
        </is>
      </c>
      <c r="M1210" t="inlineStr">
        <is>
          <t>English</t>
        </is>
      </c>
      <c r="N1210" t="inlineStr">
        <is>
          <t>Article</t>
        </is>
      </c>
      <c r="T1210" t="inlineStr">
        <is>
          <t>Community Social Capital, Family Social Capital, and Self-Rated Health among Older Rural Chinese Adults: Empirical Evidence from Rural Northeastern China</t>
        </is>
      </c>
      <c r="U1210" t="inlineStr">
        <is>
          <t>social capital; self-rated health; older adults; rural China</t>
        </is>
      </c>
      <c r="V1210" t="inlineStr">
        <is>
          <t>INTERGENERATIONAL RELATIONSHIPS; URBAN CHINA; DEPRESSION; SUPPORT</t>
        </is>
      </c>
      <c r="W1210" t="inlineStr">
        <is>
          <t>This study investigated the relationships among community social capital, family social capital, and self-rated health of older adults in rural China. Data came from a community survey in Jilin Province, China, in 2019. Using a quota sampling method, 458 respondents aged 60 years or older were recruited. Two-step structural equation modeling was adopted to examine the proposed hypotheses. The relationships between community-based structural social capital, family social capital and self-rated health were statistically significant, whereas the relationship between community-based cognitive social capital and self-rated health was statistically nonsignificant. In order to enhance healthy aging, social capital policies and interventions should be developed to promote not only family social capital indicators (e.g., quality of family relationship and support) but also older adults' structural social capital indicators (e.g., social participation and volunteering) in rural Chinese contexts.</t>
        </is>
      </c>
      <c r="X1210" t="inlineStr">
        <is>
          <t>[Lu, Nan] Renmin Univ China, Sch Sociol &amp; Populat Studies, Dept Social Work &amp; Social Policy, Beijing 100872, Peoples R China; [Lu, Nan] Univ Hong Kong, Sau Po Ctr Ageing, Hong Kong, Peoples R China; [Xu, Shicun] Jilin Univ, Northeast Asian Studies Coll, Dept Populat Resources &amp; Environm, Changchun 130012, Peoples R China; [Xu, Shicun] Jilin Univ, Northeast Asian Res Ctr, Changchun 130012, Peoples R China; [Zhang, Jingyue] Changchun Normal Univ, Inst Gender &amp; Culture, Changchun 130032, Peoples R China</t>
        </is>
      </c>
      <c r="Y1210" t="inlineStr">
        <is>
          <t>Renmin University of China; University of Hong Kong; Jilin University; Jilin University; Changchun Normal University</t>
        </is>
      </c>
      <c r="Z1210" t="inlineStr">
        <is>
          <t>Xu, SC (corresponding author), Jilin Univ, Northeast Asian Studies Coll, Dept Populat Resources &amp; Environm, Changchun 130012, Peoples R China.;Xu, SC (corresponding author), Jilin Univ, Northeast Asian Res Ctr, Changchun 130012, Peoples R China.</t>
        </is>
      </c>
      <c r="AA1210" t="inlineStr">
        <is>
          <t>nalv9728@ruc.edu.cn; xushicun@jlu.edu.cm; zhangjingyue@ccsfu.edu.cn</t>
        </is>
      </c>
      <c r="AB1210" t="inlineStr">
        <is>
          <t>Lu, Nan/R-7679-2019</t>
        </is>
      </c>
      <c r="AC1210" t="inlineStr">
        <is>
          <t>Lu, Nan/0000-0001-9006-6254</t>
        </is>
      </c>
      <c r="AD1210" t="inlineStr">
        <is>
          <t>Key Project of National Social Science Foundation of China [19ASH018]</t>
        </is>
      </c>
      <c r="AE1210" t="inlineStr">
        <is>
          <t>Key Project of National Social Science Foundation of China(National Office of Philosophy and Social Sciences)</t>
        </is>
      </c>
      <c r="AF1210" t="inlineStr">
        <is>
          <t>This study was supported by the Key Project of National Social Science Foundation of China, Social capital and the health among older populations in China: From the perspective of active aging framework (Grant No. 19ASH018).</t>
        </is>
      </c>
      <c r="AH1210" t="n">
        <v>46</v>
      </c>
      <c r="AI1210" t="n">
        <v>9</v>
      </c>
      <c r="AJ1210" t="n">
        <v>9</v>
      </c>
      <c r="AK1210" t="n">
        <v>12</v>
      </c>
      <c r="AL1210" t="n">
        <v>82</v>
      </c>
      <c r="AM1210" t="inlineStr">
        <is>
          <t>MDPI</t>
        </is>
      </c>
      <c r="AN1210" t="inlineStr">
        <is>
          <t>BASEL</t>
        </is>
      </c>
      <c r="AO1210" t="inlineStr">
        <is>
          <t>ST ALBAN-ANLAGE 66, CH-4052 BASEL, SWITZERLAND</t>
        </is>
      </c>
      <c r="AQ1210" t="inlineStr">
        <is>
          <t>1660-4601</t>
        </is>
      </c>
      <c r="AS1210" t="inlineStr">
        <is>
          <t>INT J ENV RES PUB HE</t>
        </is>
      </c>
      <c r="AT1210" t="inlineStr">
        <is>
          <t>Int. J. Environ. Res. Public Health</t>
        </is>
      </c>
      <c r="AU1210" t="inlineStr">
        <is>
          <t>JUN</t>
        </is>
      </c>
      <c r="AV1210" t="n">
        <v>2021</v>
      </c>
      <c r="AW1210" t="n">
        <v>18</v>
      </c>
      <c r="AX1210" t="n">
        <v>11</v>
      </c>
      <c r="BE1210" t="n">
        <v>5516</v>
      </c>
      <c r="BF1210" t="inlineStr">
        <is>
          <t>10.3390/ijerph18115516</t>
        </is>
      </c>
      <c r="BG1210">
        <f>HYPERLINK("http://dx.doi.org/10.3390/ijerph18115516","http://dx.doi.org/10.3390/ijerph18115516")</f>
        <v/>
      </c>
      <c r="BJ1210" t="n">
        <v>11</v>
      </c>
      <c r="BK1210" t="inlineStr">
        <is>
          <t>Environmental Sciences; Public, Environmental &amp; Occupational Health</t>
        </is>
      </c>
      <c r="BL1210" t="inlineStr">
        <is>
          <t>Science Citation Index Expanded (SCI-EXPANDED); Social Science Citation Index (SSCI)</t>
        </is>
      </c>
      <c r="BM1210" t="inlineStr">
        <is>
          <t>Environmental Sciences &amp; Ecology; Public, Environmental &amp; Occupational Health</t>
        </is>
      </c>
      <c r="BN1210" t="inlineStr">
        <is>
          <t>SP8VR</t>
        </is>
      </c>
      <c r="BO1210" t="n">
        <v>34063899</v>
      </c>
      <c r="BP1210" t="inlineStr">
        <is>
          <t>Green Published, gold</t>
        </is>
      </c>
      <c r="BS1210" t="inlineStr">
        <is>
          <t>2023-10-26</t>
        </is>
      </c>
      <c r="BT1210" t="inlineStr">
        <is>
          <t>WOS:000659942000001</t>
        </is>
      </c>
      <c r="BU1210">
        <f>HYPERLINK("https%3A%2F%2Fwww.webofscience.com%2Fwos%2Fwoscc%2Ffull-record%2FWOS:000659942000001","View Full Record in Web of Science")</f>
        <v/>
      </c>
    </row>
    <row r="1211">
      <c r="A1211" t="inlineStr">
        <is>
          <t>B</t>
        </is>
      </c>
      <c r="B1211" t="inlineStr">
        <is>
          <t>Barbosa, SM; Lopes, F; Pereira, AC; Neves, LF</t>
        </is>
      </c>
      <c r="D1211" t="inlineStr">
        <is>
          <t>Neves, L</t>
        </is>
      </c>
      <c r="F1211" t="inlineStr">
        <is>
          <t>Barbosa, S. M.; Lopes, F.; Pereira, A. C.; Neves, L. F.</t>
        </is>
      </c>
      <c r="J1211" t="inlineStr">
        <is>
          <t>PROTECAO CONTRA RADIACOES NA COMUNIDADE DOS PAISES DE LINGUA PORTUGUESA</t>
        </is>
      </c>
      <c r="M1211" t="inlineStr">
        <is>
          <t>English</t>
        </is>
      </c>
      <c r="N1211" t="inlineStr">
        <is>
          <t>Article; Book Chapter</t>
        </is>
      </c>
      <c r="T1211" t="inlineStr">
        <is>
          <t>HIGH-FREQUENCY VARIABILITY OF RADON IN A STABLE INDOOR ENVIRONMENT</t>
        </is>
      </c>
      <c r="U1211" t="inlineStr">
        <is>
          <t>gamma radiation; radon progeny; time series; indoor air quality</t>
        </is>
      </c>
      <c r="W1211" t="inlineStr">
        <is>
          <t>Indoor air quality is of paramount importance for the health and well-being of human populations and is a recognized public health concern. In particular Radon (Rn-222) is an ubiquitous indoor air pollutant that seeps into indoor environments by diffusive and mainly advective migration from radon-rich subsoil. Indoor radon measurements are often performed with passive dosimeters measuring the average radon concentration over a given period of time. However, these integrated measurements are not able to provide any information on the temporal variability of indoor radon concentration. This work examines the high-frequency temporal variability of indoor radon concentration from gamma radiation measurements obtained with an NaI(Tl) scintillation sensor. The measurements are taken at the University of Lisbon under stable environmental conditions, in a dedicated closed room at ground level. The measured indoor radon concentration has an average value of 195 Bq.m-3 and displays very small changes, typically inferior to 1%. Albeit small, these changes are characterised by a rich temporal pattern comprising both a periodic diurnal signal, a non-periodic component correlated with the room's temperature, as well as a weekly pattern reflecting the occupation pattern of the building on weekdays.</t>
        </is>
      </c>
      <c r="X1211" t="inlineStr">
        <is>
          <t>[Barbosa, S. M.] INESC Tecnol &amp; Ciencia, Porto, Portugal; [Lopes, F.] Univ Lisbon, IDL, Lisbon, Portugal; [Pereira, A. C.; Neves, L. F.] Univ Coimbra, Dept Earth Sci, CEMUC, Coimbra, Portugal</t>
        </is>
      </c>
      <c r="Y1211" t="inlineStr">
        <is>
          <t>Universidade de Lisboa; Universidade de Coimbra</t>
        </is>
      </c>
      <c r="Z1211" t="inlineStr">
        <is>
          <t>Barbosa, SM (corresponding author), INESC Tecnol &amp; Ciencia, Porto, Portugal.</t>
        </is>
      </c>
      <c r="AA1211" t="inlineStr">
        <is>
          <t>susana.a.barbosa@inesctec.pt</t>
        </is>
      </c>
      <c r="AB1211" t="inlineStr">
        <is>
          <t>Neves, Luis J P F/H-3286-2011</t>
        </is>
      </c>
      <c r="AH1211" t="n">
        <v>5</v>
      </c>
      <c r="AI1211" t="n">
        <v>0</v>
      </c>
      <c r="AJ1211" t="n">
        <v>0</v>
      </c>
      <c r="AK1211" t="n">
        <v>0</v>
      </c>
      <c r="AL1211" t="n">
        <v>1</v>
      </c>
      <c r="AM1211" t="inlineStr">
        <is>
          <t>UNIV COIMBRA</t>
        </is>
      </c>
      <c r="AN1211" t="inlineStr">
        <is>
          <t>COIMBRA</t>
        </is>
      </c>
      <c r="AO1211" t="inlineStr">
        <is>
          <t>RUA DA ILHA, COIMBRA, 3000-214, PORTUGAL</t>
        </is>
      </c>
      <c r="AR1211" t="inlineStr">
        <is>
          <t>978-989-26-1602-5; 978-989-26-1601-8</t>
        </is>
      </c>
      <c r="AV1211" t="n">
        <v>2018</v>
      </c>
      <c r="BC1211" t="n">
        <v>221</v>
      </c>
      <c r="BD1211" t="n">
        <v>231</v>
      </c>
      <c r="BH1211" t="inlineStr">
        <is>
          <t>10.14195/978-989-26-1602-5</t>
        </is>
      </c>
      <c r="BJ1211" t="n">
        <v>11</v>
      </c>
      <c r="BK1211" t="inlineStr">
        <is>
          <t>Environmental Sciences; Nuclear Science &amp; Technology; Radiology, Nuclear Medicine &amp; Medical Imaging</t>
        </is>
      </c>
      <c r="BL1211" t="inlineStr">
        <is>
          <t>Book Citation Index – Science (BKCI-S)</t>
        </is>
      </c>
      <c r="BM1211" t="inlineStr">
        <is>
          <t>Environmental Sciences &amp; Ecology; Nuclear Science &amp; Technology; Radiology, Nuclear Medicine &amp; Medical Imaging</t>
        </is>
      </c>
      <c r="BN1211" t="inlineStr">
        <is>
          <t>BQ7PD</t>
        </is>
      </c>
      <c r="BS1211" t="inlineStr">
        <is>
          <t>2023-10-26</t>
        </is>
      </c>
      <c r="BT1211" t="inlineStr">
        <is>
          <t>WOS:000618106400023</t>
        </is>
      </c>
      <c r="BU1211">
        <f>HYPERLINK("https%3A%2F%2Fwww.webofscience.com%2Fwos%2Fwoscc%2Ffull-record%2FWOS:000618106400023","View Full Record in Web of Science")</f>
        <v/>
      </c>
    </row>
    <row r="1212">
      <c r="A1212" t="inlineStr">
        <is>
          <t>J</t>
        </is>
      </c>
      <c r="B1212" t="inlineStr">
        <is>
          <t>Maeng, D; McNeill, VF</t>
        </is>
      </c>
      <c r="F1212" t="inlineStr">
        <is>
          <t>Maeng, Do Young; McNeill, V. Faye</t>
        </is>
      </c>
      <c r="J1212" t="inlineStr">
        <is>
          <t>ENVIRONMENTAL SCIENCE &amp; TECHNOLOGY</t>
        </is>
      </c>
      <c r="M1212" t="inlineStr">
        <is>
          <t>English</t>
        </is>
      </c>
      <c r="N1212" t="inlineStr">
        <is>
          <t>Article</t>
        </is>
      </c>
      <c r="T1212" t="inlineStr">
        <is>
          <t>Numerical Simulations of Synthetic Ester Hydrolysis in the Indoor Environment</t>
        </is>
      </c>
      <c r="U1212" t="inlineStr">
        <is>
          <t>synthetic ester hydrolysis; GAMMA-CIE; sickbuilding syndrome; volatile organic compounds</t>
        </is>
      </c>
      <c r="V1212" t="inlineStr">
        <is>
          <t>GENERAL BASE CATALYSIS; VOLATILE ORGANIC-COMPOUNDS; AIR-QUALITY; ATMOSPHERIC CHEMISTRY; FLOORING SYSTEMS; FLAME RETARDANTS; PHTHALATE-ESTERS; PHASE REACTIONS; VOC EMISSIONS; LATEX PAINT</t>
        </is>
      </c>
      <c r="W1212" t="inlineStr">
        <is>
          <t>The hydrolysis of synthetic esters (SEs), including phthalates and adipates, in damp indoor environments can lead to the release of volatile organic compounds implicated in poor air quality and acute health impacts, known as sick building syndrome (SBS). We have adapted the multiphase atmospheric chemistry box model, GAMMA, to simulate SE hydrolysis occurring in surface films in the indoor environment, along with multilayer boundary layer mass transfer and ventilation, in order to investigate this phenomenon on a process level. We then applied the model to analyze three scenarios in which hydrolysis has been hypothesized to have a significant impact on indoor air quality. Simulation results suggest that (1) alkaline hydrolysis of bis(2-ethylhexyl) adipate (DEHA) and bis(2-ethylhexyl) phthalate (DEHP) from PVC flooring on damp surfaces alone is not sufficient to explain the levels of 2-ethylhexanol reported in indoor air during episodes of SBS; (2) acute exposure to 2,2,4-trimethyl-1,3-pentanediol (TMPD) may be of concern during and shortly after the application of latex paint on an alkaline surface; and (3) alkaline hydrolysis of SEs following their airborne uptake in aqueous films is not expected to generate considerable amounts of alcohols associated with SBS.</t>
        </is>
      </c>
      <c r="X1212" t="inlineStr">
        <is>
          <t>[Maeng, Do Young; McNeill, V. Faye] Columbia Univ, Dept Chem Engn, New York, NY 10027 USA; [McNeill, V. Faye] Columbia Univ, Dept Earth &amp; Environm Sci, New York, NY 10027 USA</t>
        </is>
      </c>
      <c r="Y1212" t="inlineStr">
        <is>
          <t>Columbia University; Columbia University</t>
        </is>
      </c>
      <c r="Z1212" t="inlineStr">
        <is>
          <t>McNeill, VF (corresponding author), Columbia Univ, Dept Chem Engn, New York, NY 10027 USA.;McNeill, VF (corresponding author), Columbia Univ, Dept Earth &amp; Environm Sci, New York, NY 10027 USA.</t>
        </is>
      </c>
      <c r="AA1212" t="inlineStr">
        <is>
          <t>vfm2103@columbia.edu</t>
        </is>
      </c>
      <c r="AC1212" t="inlineStr">
        <is>
          <t>McNeill, V. Faye/0000-0003-0379-6916</t>
        </is>
      </c>
      <c r="AH1212" t="n">
        <v>69</v>
      </c>
      <c r="AI1212" t="n">
        <v>0</v>
      </c>
      <c r="AJ1212" t="n">
        <v>0</v>
      </c>
      <c r="AK1212" t="n">
        <v>13</v>
      </c>
      <c r="AL1212" t="n">
        <v>13</v>
      </c>
      <c r="AM1212" t="inlineStr">
        <is>
          <t>AMER CHEMICAL SOC</t>
        </is>
      </c>
      <c r="AN1212" t="inlineStr">
        <is>
          <t>WASHINGTON</t>
        </is>
      </c>
      <c r="AO1212" t="inlineStr">
        <is>
          <t>1155 16TH ST, NW, WASHINGTON, DC 20036 USA</t>
        </is>
      </c>
      <c r="AP1212" t="inlineStr">
        <is>
          <t>0013-936X</t>
        </is>
      </c>
      <c r="AQ1212" t="inlineStr">
        <is>
          <t>1520-5851</t>
        </is>
      </c>
      <c r="AS1212" t="inlineStr">
        <is>
          <t>ENVIRON SCI TECHNOL</t>
        </is>
      </c>
      <c r="AT1212" t="inlineStr">
        <is>
          <t>Environ. Sci. Technol.</t>
        </is>
      </c>
      <c r="AU1212" t="inlineStr">
        <is>
          <t>JUN 13</t>
        </is>
      </c>
      <c r="AV1212" t="n">
        <v>2023</v>
      </c>
      <c r="AW1212" t="n">
        <v>57</v>
      </c>
      <c r="AX1212" t="n">
        <v>25</v>
      </c>
      <c r="BC1212" t="n">
        <v>9234</v>
      </c>
      <c r="BD1212" t="n">
        <v>9242</v>
      </c>
      <c r="BF1212" t="inlineStr">
        <is>
          <t>10.1021/acs.est.3c00847</t>
        </is>
      </c>
      <c r="BG1212">
        <f>HYPERLINK("http://dx.doi.org/10.1021/acs.est.3c00847","http://dx.doi.org/10.1021/acs.est.3c00847")</f>
        <v/>
      </c>
      <c r="BI1212" t="inlineStr">
        <is>
          <t>JUN 2023</t>
        </is>
      </c>
      <c r="BJ1212" t="n">
        <v>9</v>
      </c>
      <c r="BK1212" t="inlineStr">
        <is>
          <t>Engineering, Environmental; Environmental Sciences</t>
        </is>
      </c>
      <c r="BL1212" t="inlineStr">
        <is>
          <t>Science Citation Index Expanded (SCI-EXPANDED)</t>
        </is>
      </c>
      <c r="BM1212" t="inlineStr">
        <is>
          <t>Engineering; Environmental Sciences &amp; Ecology</t>
        </is>
      </c>
      <c r="BN1212" t="inlineStr">
        <is>
          <t>J9TR5</t>
        </is>
      </c>
      <c r="BO1212" t="n">
        <v>37311200</v>
      </c>
      <c r="BP1212" t="inlineStr">
        <is>
          <t>Green Submitted</t>
        </is>
      </c>
      <c r="BS1212" t="inlineStr">
        <is>
          <t>2023-10-26</t>
        </is>
      </c>
      <c r="BT1212" t="inlineStr">
        <is>
          <t>WOS:001008556100001</t>
        </is>
      </c>
      <c r="BU1212">
        <f>HYPERLINK("https%3A%2F%2Fwww.webofscience.com%2Fwos%2Fwoscc%2Ffull-record%2FWOS:001008556100001","View Full Record in Web of Science")</f>
        <v/>
      </c>
    </row>
    <row r="1213">
      <c r="A1213" t="inlineStr">
        <is>
          <t>J</t>
        </is>
      </c>
      <c r="B1213" t="inlineStr">
        <is>
          <t>Day, T</t>
        </is>
      </c>
      <c r="F1213" t="inlineStr">
        <is>
          <t>Day, Terence</t>
        </is>
      </c>
      <c r="J1213" t="inlineStr">
        <is>
          <t>SUSTAINABILITY</t>
        </is>
      </c>
      <c r="M1213" t="inlineStr">
        <is>
          <t>English</t>
        </is>
      </c>
      <c r="N1213" t="inlineStr">
        <is>
          <t>Article</t>
        </is>
      </c>
      <c r="T1213" t="inlineStr">
        <is>
          <t>The Contribution of Physical Geographers to Sustainability Research</t>
        </is>
      </c>
      <c r="U1213" t="inlineStr">
        <is>
          <t>physical geography; spatial; systems; science; anthropogenic; scale; remote sensing; natural hazards; water resources; urban/built environment; biodiversity; climate</t>
        </is>
      </c>
      <c r="V1213" t="inlineStr">
        <is>
          <t>CLIMATE-CHANGE; LAND-USE; RIPARIAN VEGETATION; WATER CONSERVATION; ECOSYSTEM SERVICES; FUTURE-DIRECTIONS; LOESS PLATEAU; SOIL-EROSION; RIVER-BASIN; LARGE-AREA</t>
        </is>
      </c>
      <c r="W1213" t="inlineStr">
        <is>
          <t>A physical geographers' scope of practice is not defined by any regulatory or academic organization, so perception of the potential contribution of physical geography to sustainability research has been nebulous or informal, at best. In order to understand what physical geographers can do to enhance sustainability, this paper describes a systematic review of peer-reviewed research on sustainability published in three physical geography journals. The results show that physical geographers are active in sustainability research in terms of a spatial perspective, an understanding of human interactions with the environment, and an ability to recognize, interpret, and project environmental change and its impacts. The depth of this understanding is facilitated by a physical geographers' understanding of the natural world, process and system concepts, the ways that systems are linked and interact, and a willingness to deploy a wide range of methodologies to secure that knowledge. The expertise of physical geographers makes an important contribution to sustainability research and should be considered when multidisciplinary teams are assembled.</t>
        </is>
      </c>
      <c r="X1213" t="inlineStr">
        <is>
          <t>[Day, Terence] Okanagan Coll, Dept Geog Earth &amp; Environm Sci, Kelowna, BC V1Y 4X8, Canada</t>
        </is>
      </c>
      <c r="Z1213" t="inlineStr">
        <is>
          <t>Day, T (corresponding author), Okanagan Coll, Dept Geog Earth &amp; Environm Sci, Kelowna, BC V1Y 4X8, Canada.</t>
        </is>
      </c>
      <c r="AA1213" t="inlineStr">
        <is>
          <t>tday@okanagan.bc.ca</t>
        </is>
      </c>
      <c r="AH1213" t="n">
        <v>112</v>
      </c>
      <c r="AI1213" t="n">
        <v>4</v>
      </c>
      <c r="AJ1213" t="n">
        <v>5</v>
      </c>
      <c r="AK1213" t="n">
        <v>2</v>
      </c>
      <c r="AL1213" t="n">
        <v>21</v>
      </c>
      <c r="AM1213" t="inlineStr">
        <is>
          <t>MDPI</t>
        </is>
      </c>
      <c r="AN1213" t="inlineStr">
        <is>
          <t>BASEL</t>
        </is>
      </c>
      <c r="AO1213" t="inlineStr">
        <is>
          <t>ST ALBAN-ANLAGE 66, CH-4052 BASEL, SWITZERLAND</t>
        </is>
      </c>
      <c r="AQ1213" t="inlineStr">
        <is>
          <t>2071-1050</t>
        </is>
      </c>
      <c r="AS1213" t="inlineStr">
        <is>
          <t>SUSTAINABILITY-BASEL</t>
        </is>
      </c>
      <c r="AT1213" t="inlineStr">
        <is>
          <t>Sustainability</t>
        </is>
      </c>
      <c r="AU1213" t="inlineStr">
        <is>
          <t>OCT</t>
        </is>
      </c>
      <c r="AV1213" t="n">
        <v>2017</v>
      </c>
      <c r="AW1213" t="n">
        <v>9</v>
      </c>
      <c r="AX1213" t="n">
        <v>10</v>
      </c>
      <c r="BE1213" t="n">
        <v>1851</v>
      </c>
      <c r="BF1213" t="inlineStr">
        <is>
          <t>10.3390/su9101851</t>
        </is>
      </c>
      <c r="BG1213">
        <f>HYPERLINK("http://dx.doi.org/10.3390/su9101851","http://dx.doi.org/10.3390/su9101851")</f>
        <v/>
      </c>
      <c r="BJ1213" t="n">
        <v>18</v>
      </c>
      <c r="BK1213" t="inlineStr">
        <is>
          <t>Green &amp; Sustainable Science &amp; Technology; Environmental Sciences; Environmental Studies</t>
        </is>
      </c>
      <c r="BL1213" t="inlineStr">
        <is>
          <t>Science Citation Index Expanded (SCI-EXPANDED); Social Science Citation Index (SSCI)</t>
        </is>
      </c>
      <c r="BM1213" t="inlineStr">
        <is>
          <t>Science &amp; Technology - Other Topics; Environmental Sciences &amp; Ecology</t>
        </is>
      </c>
      <c r="BN1213" t="inlineStr">
        <is>
          <t>FM3HW</t>
        </is>
      </c>
      <c r="BP1213" t="inlineStr">
        <is>
          <t>Green Submitted, gold</t>
        </is>
      </c>
      <c r="BS1213" t="inlineStr">
        <is>
          <t>2023-10-26</t>
        </is>
      </c>
      <c r="BT1213" t="inlineStr">
        <is>
          <t>WOS:000414896200181</t>
        </is>
      </c>
      <c r="BU1213">
        <f>HYPERLINK("https%3A%2F%2Fwww.webofscience.com%2Fwos%2Fwoscc%2Ffull-record%2FWOS:000414896200181","View Full Record in Web of Science")</f>
        <v/>
      </c>
    </row>
    <row r="1214">
      <c r="A1214" t="inlineStr">
        <is>
          <t>J</t>
        </is>
      </c>
      <c r="B1214" t="inlineStr">
        <is>
          <t>Arora, M; Raspall, F; Cheah, L; Silva, A</t>
        </is>
      </c>
      <c r="F1214" t="inlineStr">
        <is>
          <t>Arora, Mohit; Raspall, Felix; Cheah, Lynette; Silva, Arlindo</t>
        </is>
      </c>
      <c r="J1214" t="inlineStr">
        <is>
          <t>JOURNAL OF CLEANER PRODUCTION</t>
        </is>
      </c>
      <c r="M1214" t="inlineStr">
        <is>
          <t>English</t>
        </is>
      </c>
      <c r="N1214" t="inlineStr">
        <is>
          <t>Article</t>
        </is>
      </c>
      <c r="T1214" t="inlineStr">
        <is>
          <t>Residential building material stocks and component-level circularity: The case of Singapore</t>
        </is>
      </c>
      <c r="U1214" t="inlineStr">
        <is>
          <t>Material flow analysis; Circular economy; Urban metabolism; Built environment</t>
        </is>
      </c>
      <c r="V1214" t="inlineStr">
        <is>
          <t>MATERIAL FLOW-ANALYSIS; DEMOLITION WASTE; CONSTRUCTION; URBAN; QUANTIFICATION; DYNAMICS; CHINA; TIME</t>
        </is>
      </c>
      <c r="W1214" t="inlineStr">
        <is>
          <t>The residential built environment plays a crucial role in supporting many human activities. In urban areas however, high-rise residential buildings require significant investment of material resources, which are stacked for a long time over the building's lifetime. Assessing the Material Stock (MS) of buildings has been the focus of several studies for insights into in-use materials and their potential availability as secondary resources. The study of material circularity, or the potential to reuse materials emerging from end-of-life buildings, has so far been mostly limited to metals. This study argues that material stock analysis at individual material or material categories e.g. mineral, or metals, need to be complemented with building component stock estimations to enhance the potential for secondary resource recovery. Based on a bottom-up stock analysis approach, we estimate both the material and component stock of public housing developments in the city-state of Singapore and associated annual in- and out-flows. Results show that public housing in this city, which accommodates over 80 percent of its residents, accounts for 125.7 million tons of non-metallic minerals, 6.52 million tons of steel, 6.45 million windows, 8.61 million doors, 1.97 million toilet accessories, 15.33 million lighting fixtures, 0.99 million kitchen accessories (such as cookstove, kitchen cabinets) and 52.54 million m(2) of tiles. The average stock of materials for these residential buildings is estimated at 27.4 tons of non-metallic minerals per capita and 1.4 tons of steel per capita. The average annual inflow of materials has been estimated to be 1.94 million tons for concrete and 0.1 million tons of steel, with a considerably low outflow of 0.31 million tons concrete and 0.02 million tons of steel, implying growth in these material stocks. This study provides a methodological approach to quantify building material and component stock and flows, which can be used by policy makers, urban planners and designers to consider responsible resource consumption. In particular, material and component stock estimations like that reported in this study contribute towards component-level circularity in the built environment. (C) 2019 Elsevier Ltd. All rights reserved.</t>
        </is>
      </c>
      <c r="X1214" t="inlineStr">
        <is>
          <t>[Arora, Mohit; Silva, Arlindo] Singapore Univ Technol &amp; Design, Engn Prod Dev Pillar, Singapore, Singapore; [Arora, Mohit; Silva, Arlindo] SUTD MIT Int Design Ctr, Design Enhanced Engn Prod Lab, Singapore, Singapore; [Arora, Mohit; Raspall, Felix] Singapore Univ Technol &amp; Design, Architectural Intelligence Res AIR Lab, Architecture &amp; Sustainable Design Pillar, Singapore, Singapore; [Cheah, Lynette] Singapore Univ Technol &amp; Design, Engn Syst &amp; Design Pillar, Singapore, Singapore</t>
        </is>
      </c>
      <c r="Y1214" t="inlineStr">
        <is>
          <t>Singapore University of Technology &amp; Design; Singapore University of Technology &amp; Design; Singapore University of Technology &amp; Design; Singapore University of Technology &amp; Design</t>
        </is>
      </c>
      <c r="Z1214" t="inlineStr">
        <is>
          <t>Arora, M (corresponding author), Singapore Univ Technol &amp; Design, 8 Somapah Rd, Singapore, Singapore.</t>
        </is>
      </c>
      <c r="AA1214" t="inlineStr">
        <is>
          <t>arora_mohit@mymail.sutd.edu.sg</t>
        </is>
      </c>
      <c r="AB1214" t="inlineStr">
        <is>
          <t>Arora, Mohit/AAC-3982-2020; Cheah, Lynette/ABB-1629-2020; Cheah, Lynette/AAY-2005-2020; Silva, Arlindo/A-4735-2013</t>
        </is>
      </c>
      <c r="AC1214" t="inlineStr">
        <is>
          <t>Arora, Mohit/0000-0002-4153-2797; Cheah, Lynette/0000-0001-6312-0331; Cheah, Lynette/0000-0001-6312-0331; Silva, Arlindo/0000-0001-5120-3914; Raspall Galli, Carlos Felix/0000-0002-7213-4572</t>
        </is>
      </c>
      <c r="AD1214" t="inlineStr">
        <is>
          <t>SUTD-MIT International Design Centre, Singapore; Singapore University of Technology and Design Start-up research grant; Ministry of Education, Government of Singapore</t>
        </is>
      </c>
      <c r="AE1214" t="inlineStr">
        <is>
          <t>SUTD-MIT International Design Centre, Singapore; Singapore University of Technology and Design Start-up research grant; Ministry of Education, Government of Singapore</t>
        </is>
      </c>
      <c r="AF1214" t="inlineStr">
        <is>
          <t>Authors would like to acknowledge the funding support from SUTD-MIT International Design Centre, Singapore and Singapore University of Technology and Design Start-up research grant. MA would like to acknowledge SUTD graduate research fellowship from Ministry of Education, Government of Singapore.</t>
        </is>
      </c>
      <c r="AH1214" t="n">
        <v>50</v>
      </c>
      <c r="AI1214" t="n">
        <v>47</v>
      </c>
      <c r="AJ1214" t="n">
        <v>47</v>
      </c>
      <c r="AK1214" t="n">
        <v>11</v>
      </c>
      <c r="AL1214" t="n">
        <v>68</v>
      </c>
      <c r="AM1214" t="inlineStr">
        <is>
          <t>ELSEVIER SCI LTD</t>
        </is>
      </c>
      <c r="AN1214" t="inlineStr">
        <is>
          <t>OXFORD</t>
        </is>
      </c>
      <c r="AO1214" t="inlineStr">
        <is>
          <t>THE BOULEVARD, LANGFORD LANE, KIDLINGTON, OXFORD OX5 1GB, OXON, ENGLAND</t>
        </is>
      </c>
      <c r="AP1214" t="inlineStr">
        <is>
          <t>0959-6526</t>
        </is>
      </c>
      <c r="AQ1214" t="inlineStr">
        <is>
          <t>1879-1786</t>
        </is>
      </c>
      <c r="AS1214" t="inlineStr">
        <is>
          <t>J CLEAN PROD</t>
        </is>
      </c>
      <c r="AT1214" t="inlineStr">
        <is>
          <t>J. Clean Prod.</t>
        </is>
      </c>
      <c r="AU1214" t="inlineStr">
        <is>
          <t>APR 10</t>
        </is>
      </c>
      <c r="AV1214" t="n">
        <v>2019</v>
      </c>
      <c r="AW1214" t="n">
        <v>216</v>
      </c>
      <c r="BC1214" t="n">
        <v>239</v>
      </c>
      <c r="BD1214" t="n">
        <v>248</v>
      </c>
      <c r="BF1214" t="inlineStr">
        <is>
          <t>10.1016/j.jclepro.2019.01.199</t>
        </is>
      </c>
      <c r="BG1214">
        <f>HYPERLINK("http://dx.doi.org/10.1016/j.jclepro.2019.01.199","http://dx.doi.org/10.1016/j.jclepro.2019.01.199")</f>
        <v/>
      </c>
      <c r="BJ1214" t="n">
        <v>10</v>
      </c>
      <c r="BK1214" t="inlineStr">
        <is>
          <t>Green &amp; Sustainable Science &amp; Technology; Engineering, Environmental; Environmental Sciences</t>
        </is>
      </c>
      <c r="BL1214" t="inlineStr">
        <is>
          <t>Science Citation Index Expanded (SCI-EXPANDED)</t>
        </is>
      </c>
      <c r="BM1214" t="inlineStr">
        <is>
          <t>Science &amp; Technology - Other Topics; Engineering; Environmental Sciences &amp; Ecology</t>
        </is>
      </c>
      <c r="BN1214" t="inlineStr">
        <is>
          <t>HO1YY</t>
        </is>
      </c>
      <c r="BS1214" t="inlineStr">
        <is>
          <t>2023-10-26</t>
        </is>
      </c>
      <c r="BT1214" t="inlineStr">
        <is>
          <t>WOS:000460709800021</t>
        </is>
      </c>
      <c r="BU1214">
        <f>HYPERLINK("https%3A%2F%2Fwww.webofscience.com%2Fwos%2Fwoscc%2Ffull-record%2FWOS:000460709800021","View Full Record in Web of Science")</f>
        <v/>
      </c>
    </row>
    <row r="1215">
      <c r="A1215" t="inlineStr">
        <is>
          <t>J</t>
        </is>
      </c>
      <c r="B1215" t="inlineStr">
        <is>
          <t>Larsen, VG; Antoniucci, V; Tollin, N; Sattrup, PA; Jens, K; Birkved, M; Holmboe, T; Marella, G</t>
        </is>
      </c>
      <c r="F1215" t="inlineStr">
        <is>
          <t>Larsen, Vibeke Grupe; Antoniucci, Valentina; Tollin, Nicola; Sattrup, Peter Andreas; Jens, Krister; Birkved, Morten; Holmboe, Tine; Marella, Giuliano</t>
        </is>
      </c>
      <c r="J1215" t="inlineStr">
        <is>
          <t>SUSTAINABILITY</t>
        </is>
      </c>
      <c r="M1215" t="inlineStr">
        <is>
          <t>English</t>
        </is>
      </c>
      <c r="N1215" t="inlineStr">
        <is>
          <t>Article</t>
        </is>
      </c>
      <c r="T1215" t="inlineStr">
        <is>
          <t>A Methodological Framework to Foster Social Value Creation in Architectural Practice</t>
        </is>
      </c>
      <c r="U1215" t="inlineStr">
        <is>
          <t>circular economy; sustainable building; social value creation; S-LCA; social sustainability; affordable housing; social housing; architectural profession; sustainability; Denmark</t>
        </is>
      </c>
      <c r="V1215" t="inlineStr">
        <is>
          <t>LIFE-CYCLE ASSESSMENT; CIRCULAR ECONOMY; CULTURAL-HERITAGE; SUPPLY CHAINS; SUSTAINABILITY; MANAGEMENT; BUSINESS; DESIGN</t>
        </is>
      </c>
      <c r="W1215" t="inlineStr">
        <is>
          <t>The building industry is essential for a national transition towards a circular economy (CE) in Denmark. The Danish state subsidises the Danish affordable housing sector, which is the largest single sector within the Danish building industry, making the sector an essential driver for the transition. The social components of sustainability are considered crucial to ensuring the quality of the environmental and economic components of the CE. However, social value creation (SVC) has been neglected in building processes, and public investments are being used without the policymakers thoroughly assessing the CE's socioeconomic efficiency and effectiveness. The sector therefore needs integrated methodologies to support comprehensive decision making on the CE during construction and renovation. SVC is an apparent field for architectural firms. Two surveys were conducted among business and sustainability managers of Danish architectural firms to identify the challenges and potentials regarding assessing sustainability and SVC in architects' practices. The results of the surveys are described and analysed in this study. Several impact categories, indicators and tools are identified, discussed and summarised in a methodological framework that can support architects in decision making about SVC in constructing and renovating affordable housing. Further refinement of the framework to support dynamic and iterative decision-making is anticipated as future work.</t>
        </is>
      </c>
      <c r="X1215" t="inlineStr">
        <is>
          <t>[Larsen, Vibeke Grupe; Tollin, Nicola] Univ Southern Denmark, Fac Engn, DK-5230 Odense, Denmark; [Antoniucci, Valentina; Birkved, Morten; Marella, Giuliano] Univ Padua, Dept Civil Environm &amp; Architectural Engn, I-35122 Padua, Italy; [Sattrup, Peter Andreas; Jens, Krister] Danish Assoc Architectural Firms, Vesterbrogade 1E, 2, DK-1620 Copenhagen, Denmark; [Holmboe, Tine] Dissing Weitling, Artillerivej 86, 3 Tv, DK-2300 Copenhagen, Denmark</t>
        </is>
      </c>
      <c r="Y1215" t="inlineStr">
        <is>
          <t>University of Southern Denmark; University of Padua</t>
        </is>
      </c>
      <c r="Z1215" t="inlineStr">
        <is>
          <t>Larsen, VG (corresponding author), Univ Southern Denmark, Fac Engn, DK-5230 Odense, Denmark.</t>
        </is>
      </c>
      <c r="AA1215" t="inlineStr">
        <is>
          <t>vgl@iti.sdu.dk</t>
        </is>
      </c>
      <c r="AB1215" t="inlineStr">
        <is>
          <t>Birkved, Morten/IUQ-6101-2023; Sattrup, Peter Andreas/A-9657-2013; Tollin, Nicola/E-9351-2019</t>
        </is>
      </c>
      <c r="AC1215" t="inlineStr">
        <is>
          <t>Birkved, Morten/0000-0001-6989-1647; Sattrup, Peter Andreas/0000-0001-8028-3714; Tollin, Nicola/0000-0002-6028-4733; Larsen, Vibeke Grupe/0000-0001-9146-5126</t>
        </is>
      </c>
      <c r="AH1215" t="n">
        <v>115</v>
      </c>
      <c r="AI1215" t="n">
        <v>0</v>
      </c>
      <c r="AJ1215" t="n">
        <v>0</v>
      </c>
      <c r="AK1215" t="n">
        <v>6</v>
      </c>
      <c r="AL1215" t="n">
        <v>14</v>
      </c>
      <c r="AM1215" t="inlineStr">
        <is>
          <t>MDPI</t>
        </is>
      </c>
      <c r="AN1215" t="inlineStr">
        <is>
          <t>BASEL</t>
        </is>
      </c>
      <c r="AO1215" t="inlineStr">
        <is>
          <t>ST ALBAN-ANLAGE 66, CH-4052 BASEL, SWITZERLAND</t>
        </is>
      </c>
      <c r="AQ1215" t="inlineStr">
        <is>
          <t>2071-1050</t>
        </is>
      </c>
      <c r="AS1215" t="inlineStr">
        <is>
          <t>SUSTAINABILITY-BASEL</t>
        </is>
      </c>
      <c r="AT1215" t="inlineStr">
        <is>
          <t>Sustainability</t>
        </is>
      </c>
      <c r="AU1215" t="inlineStr">
        <is>
          <t>FEB</t>
        </is>
      </c>
      <c r="AV1215" t="n">
        <v>2023</v>
      </c>
      <c r="AW1215" t="n">
        <v>15</v>
      </c>
      <c r="AX1215" t="n">
        <v>3</v>
      </c>
      <c r="BE1215" t="n">
        <v>1849</v>
      </c>
      <c r="BF1215" t="inlineStr">
        <is>
          <t>10.3390/su15031849</t>
        </is>
      </c>
      <c r="BG1215">
        <f>HYPERLINK("http://dx.doi.org/10.3390/su15031849","http://dx.doi.org/10.3390/su15031849")</f>
        <v/>
      </c>
      <c r="BJ1215" t="n">
        <v>25</v>
      </c>
      <c r="BK1215" t="inlineStr">
        <is>
          <t>Green &amp; Sustainable Science &amp; Technology; Environmental Sciences; Environmental Studies</t>
        </is>
      </c>
      <c r="BL1215" t="inlineStr">
        <is>
          <t>Science Citation Index Expanded (SCI-EXPANDED); Social Science Citation Index (SSCI)</t>
        </is>
      </c>
      <c r="BM1215" t="inlineStr">
        <is>
          <t>Science &amp; Technology - Other Topics; Environmental Sciences &amp; Ecology</t>
        </is>
      </c>
      <c r="BN1215" t="inlineStr">
        <is>
          <t>8V7RW</t>
        </is>
      </c>
      <c r="BP1215" t="inlineStr">
        <is>
          <t>gold, Green Published</t>
        </is>
      </c>
      <c r="BS1215" t="inlineStr">
        <is>
          <t>2023-10-26</t>
        </is>
      </c>
      <c r="BT1215" t="inlineStr">
        <is>
          <t>WOS:000930827200001</t>
        </is>
      </c>
      <c r="BU1215">
        <f>HYPERLINK("https%3A%2F%2Fwww.webofscience.com%2Fwos%2Fwoscc%2Ffull-record%2FWOS:000930827200001","View Full Record in Web of Science")</f>
        <v/>
      </c>
    </row>
    <row r="1216">
      <c r="A1216" t="inlineStr">
        <is>
          <t>J</t>
        </is>
      </c>
      <c r="B1216" t="inlineStr">
        <is>
          <t>Gallè, F; Sabella, EA; Da Molin, G; Parisi, EA; Liguori, G; Montagna, MT; De Giglio, O; Tondini, L; Orsi, GB; Napoli, C</t>
        </is>
      </c>
      <c r="F1216" t="inlineStr">
        <is>
          <t>Galle, Francesca; Sabella, Elita Anna; Da Molin, Giovanna; Parisi, Eduardo Alfonso; Liguori, Giorgio; Montagna, Maria Teresa; De Giglio, Osvalda; Tondini, Luca; Orsi, Giovanni Battista; Napoli, Christian</t>
        </is>
      </c>
      <c r="J1216" t="inlineStr">
        <is>
          <t>INTERNATIONAL JOURNAL OF ENVIRONMENTAL RESEARCH AND PUBLIC HEALTH</t>
        </is>
      </c>
      <c r="M1216" t="inlineStr">
        <is>
          <t>English</t>
        </is>
      </c>
      <c r="N1216" t="inlineStr">
        <is>
          <t>Article</t>
        </is>
      </c>
      <c r="T1216" t="inlineStr">
        <is>
          <t>Physical Activity in Older Adults: An Investigation in a Metropolitan Area of Southern Italy</t>
        </is>
      </c>
      <c r="U1216" t="inlineStr">
        <is>
          <t>inactivity; elderly; sociodemographic determinants</t>
        </is>
      </c>
      <c r="V1216" t="inlineStr">
        <is>
          <t>DOG OWNERSHIP; SURVEILLANCE; HEALTH; EXPERIENCE; ADHERENCE</t>
        </is>
      </c>
      <c r="W1216" t="inlineStr">
        <is>
          <t>Physical activity (PA) and exercise are fundamental to maintaining health in older adults. World Health Organization guidelines state that older adults should practice at least 150 min/week of moderate/vigorous intensity PA to obtain health benefits. We assessed PA levels among older adults in southern Italy and evaluated possible associated determinants. The study was carried out between September and November 2019 in the metropolitan area of Bari. We collected information from participants over 65 years using a self-administered questionnaire. We investigated associations between sociodemographic characteristics, health conditions, and inactivity/PA levels. A total of 383 individuals completed the questionnaire. Mean body mass index indicated that 45.4% of participants were overweight. Mean time spent in PA was 476.2 +/- 297.8 min/week, with women reporting lower levels than men (370.8 +/- 210 vs. 555.2 +/- 334.3 min/week, p = 0.08). Weekly sitting time was positively related to age. Attending religious or recreational activities was related to moderate PA. Educational level was positively associated with PA while dog ownership represented an obstacle to achieving recommended PA levels in our population. Participants generally met the recommended levels of PA, especially men; the educational level was the main determinant. Interventions aimed at promoting PA among older adults with lower education levels and women are needed in this setting.</t>
        </is>
      </c>
      <c r="X1216" t="inlineStr">
        <is>
          <t>[Galle, Francesca; Liguori, Giorgio; Tondini, Luca] Univ Naples Parthenope, Dept Movement Sci &amp; Wellbeing, Via Medina 40, I-80133 Naples, Italy; [Sabella, Elita Anna; Da Molin, Giovanna] Univ Bari Aldo Moro, Interuniv Res Ctr Populat Environm &amp; Hlth, Piazza Umberto I,1, I-70121 Bari, Italy; [Parisi, Eduardo Alfonso; Napoli, Christian] Sapienza Univ Rome, Dept Med Surg Sci &amp; Translat Med, Via Grottarossa 1035-1039, I-00189 Rome, Italy; [Montagna, Maria Teresa; De Giglio, Osvalda] Univ Bari Aldo Moro, Dept Biomed Sci &amp; Human Oncol, Piazza G Cesare 11, I-70124 Bari, Italy; [Orsi, Giovanni Battista] Sapienza Univ Rome, Dept Publ Hlth &amp; Infect Dis, Piazzale Aldo Moro 5, I-00185 Rome, Italy</t>
        </is>
      </c>
      <c r="Y1216" t="inlineStr">
        <is>
          <t>Parthenope University Naples; Universita degli Studi di Bari Aldo Moro; Sapienza University Rome; Universita degli Studi di Bari Aldo Moro; Sapienza University Rome</t>
        </is>
      </c>
      <c r="Z1216" t="inlineStr">
        <is>
          <t>Gallè, F (corresponding author), Univ Naples Parthenope, Dept Movement Sci &amp; Wellbeing, Via Medina 40, I-80133 Naples, Italy.</t>
        </is>
      </c>
      <c r="AA1216" t="inlineStr">
        <is>
          <t>francesca.galle@uniparthenope.it; elita.sabella@uniba.it; giovanna.damolin@uniba.it; eduardoparisiroma@gmail.com; giorgio.liguori@uniparthenope.it; igiene.dimo@uniba.it; osvalda.degiglio@uniba.it; l.tondini@libero.it; giovanni.orsi@uniroma1.it; christian.napoli@uniromal.it</t>
        </is>
      </c>
      <c r="AB1216" t="inlineStr">
        <is>
          <t>napoli, christian/B-9924-2018; napoli, christian/H-1862-2012; Gallè, Francesca/B-4520-2011</t>
        </is>
      </c>
      <c r="AC1216" t="inlineStr">
        <is>
          <t>napoli, christian/0000-0002-5775-2276; napoli, christian/0000-0002-5775-2276; Gallè, Francesca/0000-0002-0504-9562; Orsi, Giovanni Battista/0000-0002-9246-6216; De Giglio, Osvalda/0000-0002-0297-9502</t>
        </is>
      </c>
      <c r="AH1216" t="n">
        <v>34</v>
      </c>
      <c r="AI1216" t="n">
        <v>5</v>
      </c>
      <c r="AJ1216" t="n">
        <v>5</v>
      </c>
      <c r="AK1216" t="n">
        <v>0</v>
      </c>
      <c r="AL1216" t="n">
        <v>6</v>
      </c>
      <c r="AM1216" t="inlineStr">
        <is>
          <t>MDPI</t>
        </is>
      </c>
      <c r="AN1216" t="inlineStr">
        <is>
          <t>BASEL</t>
        </is>
      </c>
      <c r="AO1216" t="inlineStr">
        <is>
          <t>ST ALBAN-ANLAGE 66, CH-4052 BASEL, SWITZERLAND</t>
        </is>
      </c>
      <c r="AQ1216" t="inlineStr">
        <is>
          <t>1660-4601</t>
        </is>
      </c>
      <c r="AS1216" t="inlineStr">
        <is>
          <t>INT J ENV RES PUB HE</t>
        </is>
      </c>
      <c r="AT1216" t="inlineStr">
        <is>
          <t>Int. J. Environ. Res. Public Health</t>
        </is>
      </c>
      <c r="AU1216" t="inlineStr">
        <is>
          <t>FEB 1</t>
        </is>
      </c>
      <c r="AV1216" t="n">
        <v>2020</v>
      </c>
      <c r="AW1216" t="n">
        <v>17</v>
      </c>
      <c r="AX1216" t="n">
        <v>3</v>
      </c>
      <c r="BE1216" t="n">
        <v>1034</v>
      </c>
      <c r="BF1216" t="inlineStr">
        <is>
          <t>10.3390/ijerph17031034</t>
        </is>
      </c>
      <c r="BG1216">
        <f>HYPERLINK("http://dx.doi.org/10.3390/ijerph17031034","http://dx.doi.org/10.3390/ijerph17031034")</f>
        <v/>
      </c>
      <c r="BJ1216" t="n">
        <v>11</v>
      </c>
      <c r="BK1216" t="inlineStr">
        <is>
          <t>Environmental Sciences; Public, Environmental &amp; Occupational Health</t>
        </is>
      </c>
      <c r="BL1216" t="inlineStr">
        <is>
          <t>Science Citation Index Expanded (SCI-EXPANDED); Social Science Citation Index (SSCI)</t>
        </is>
      </c>
      <c r="BM1216" t="inlineStr">
        <is>
          <t>Environmental Sciences &amp; Ecology; Public, Environmental &amp; Occupational Health</t>
        </is>
      </c>
      <c r="BN1216" t="inlineStr">
        <is>
          <t>KR7GF</t>
        </is>
      </c>
      <c r="BO1216" t="n">
        <v>32041269</v>
      </c>
      <c r="BP1216" t="inlineStr">
        <is>
          <t>Green Published, gold</t>
        </is>
      </c>
      <c r="BS1216" t="inlineStr">
        <is>
          <t>2023-10-26</t>
        </is>
      </c>
      <c r="BT1216" t="inlineStr">
        <is>
          <t>WOS:000517783300359</t>
        </is>
      </c>
      <c r="BU1216">
        <f>HYPERLINK("https%3A%2F%2Fwww.webofscience.com%2Fwos%2Fwoscc%2Ffull-record%2FWOS:000517783300359","View Full Record in Web of Science")</f>
        <v/>
      </c>
    </row>
    <row r="1217">
      <c r="A1217" t="inlineStr">
        <is>
          <t>J</t>
        </is>
      </c>
      <c r="B1217" t="inlineStr">
        <is>
          <t>Hlongwane, N; Madiba, S</t>
        </is>
      </c>
      <c r="F1217" t="inlineStr">
        <is>
          <t>Hlongwane, Naomi; Madiba, Sphiwe</t>
        </is>
      </c>
      <c r="J1217" t="inlineStr">
        <is>
          <t>INTERNATIONAL JOURNAL OF ENVIRONMENTAL RESEARCH AND PUBLIC HEALTH</t>
        </is>
      </c>
      <c r="M1217" t="inlineStr">
        <is>
          <t>English</t>
        </is>
      </c>
      <c r="N1217" t="inlineStr">
        <is>
          <t>Article</t>
        </is>
      </c>
      <c r="T1217" t="inlineStr">
        <is>
          <t>Navigating Life with HIV as an Older Adult in South African Communities: A Phenomenological Study</t>
        </is>
      </c>
      <c r="U1217" t="inlineStr">
        <is>
          <t>South Africa; older HIV-positive adults; disclosure; stigma; acceptance; phenomenology; navigating health care</t>
        </is>
      </c>
      <c r="V1217" t="inlineStr">
        <is>
          <t>STIGMA; DISCLOSURE; AGE; HIV/AIDS; BEHAVIOR; SUPPORT; WOMEN</t>
        </is>
      </c>
      <c r="W1217" t="inlineStr">
        <is>
          <t>The study explored how older adults experience an HIV diagnosis, deal with issues of stigma and disclosure, and navigate the healthcare system. Descriptive phenomenology was used to collect data from 20 older adults receiving antiretroviral treatment in health facilities in Gauteng Province, South Africa. Data analysis was inductive and followed the thematic approach. After diagnosis with HIV, the older adults experienced shock and disbelief, internalized their new reality of being HIV-positive, and found it difficult to disclose their HIV status. Stigma was embedded in their patterns of disclosure, and they chose not to disclose in order to manage stigma, protect their status, and maintain their privacy. Moreover, nondisclosure allowed them to achieve some normality in their lives without the fear of rejection. The older adults adopted various survival skills that aided them to accept their HIV status. Self-acceptance was important for the older adults who did not want to feel cheated out of life by the HIV diagnosis. The positive supportive attitudes of the healthcare professionals provided the much-needed support network for the older adults immediately after they had received their HIV test results. This was instrumental in their acceptance of their HIV status, their adherence to clinic visits, and their ability to live a healthy, positive life.</t>
        </is>
      </c>
      <c r="X1217" t="inlineStr">
        <is>
          <t>[Hlongwane, Naomi; Madiba, Sphiwe] Sefako Makgatho Hlth Sci Univ, Dept Publ Hlth, POB 215 Medunsa 0403, ZA-0001 Pretoria, South Africa</t>
        </is>
      </c>
      <c r="Y1217" t="inlineStr">
        <is>
          <t>Sefako Makgatho Health Sciences University</t>
        </is>
      </c>
      <c r="Z1217" t="inlineStr">
        <is>
          <t>Madiba, S (corresponding author), Sefako Makgatho Hlth Sci Univ, Dept Publ Hlth, POB 215 Medunsa 0403, ZA-0001 Pretoria, South Africa.</t>
        </is>
      </c>
      <c r="AA1217" t="inlineStr">
        <is>
          <t>naomihlongwaneot@gmail.com; sphiwe.madiba@smu.ac.za</t>
        </is>
      </c>
      <c r="AB1217" t="inlineStr">
        <is>
          <t>Madiba, Sphiwe/ABC-5750-2020</t>
        </is>
      </c>
      <c r="AC1217" t="inlineStr">
        <is>
          <t>Madiba, Sphiwe/0000-0002-3735-1248; Hlongwane, Naomi/0000-0003-3045-6407</t>
        </is>
      </c>
      <c r="AH1217" t="n">
        <v>42</v>
      </c>
      <c r="AI1217" t="n">
        <v>10</v>
      </c>
      <c r="AJ1217" t="n">
        <v>10</v>
      </c>
      <c r="AK1217" t="n">
        <v>0</v>
      </c>
      <c r="AL1217" t="n">
        <v>2</v>
      </c>
      <c r="AM1217" t="inlineStr">
        <is>
          <t>MDPI</t>
        </is>
      </c>
      <c r="AN1217" t="inlineStr">
        <is>
          <t>BASEL</t>
        </is>
      </c>
      <c r="AO1217" t="inlineStr">
        <is>
          <t>ST ALBAN-ANLAGE 66, CH-4052 BASEL, SWITZERLAND</t>
        </is>
      </c>
      <c r="AQ1217" t="inlineStr">
        <is>
          <t>1660-4601</t>
        </is>
      </c>
      <c r="AS1217" t="inlineStr">
        <is>
          <t>INT J ENV RES PUB HE</t>
        </is>
      </c>
      <c r="AT1217" t="inlineStr">
        <is>
          <t>Int. J. Environ. Res. Public Health</t>
        </is>
      </c>
      <c r="AU1217" t="inlineStr">
        <is>
          <t>AUG</t>
        </is>
      </c>
      <c r="AV1217" t="n">
        <v>2020</v>
      </c>
      <c r="AW1217" t="n">
        <v>17</v>
      </c>
      <c r="AX1217" t="n">
        <v>16</v>
      </c>
      <c r="BE1217" t="n">
        <v>5797</v>
      </c>
      <c r="BF1217" t="inlineStr">
        <is>
          <t>10.3390/ijerph17165797</t>
        </is>
      </c>
      <c r="BG1217">
        <f>HYPERLINK("http://dx.doi.org/10.3390/ijerph17165797","http://dx.doi.org/10.3390/ijerph17165797")</f>
        <v/>
      </c>
      <c r="BJ1217" t="n">
        <v>14</v>
      </c>
      <c r="BK1217" t="inlineStr">
        <is>
          <t>Environmental Sciences; Public, Environmental &amp; Occupational Health</t>
        </is>
      </c>
      <c r="BL1217" t="inlineStr">
        <is>
          <t>Science Citation Index Expanded (SCI-EXPANDED); Social Science Citation Index (SSCI)</t>
        </is>
      </c>
      <c r="BM1217" t="inlineStr">
        <is>
          <t>Environmental Sciences &amp; Ecology; Public, Environmental &amp; Occupational Health</t>
        </is>
      </c>
      <c r="BN1217" t="inlineStr">
        <is>
          <t>NI0ZV</t>
        </is>
      </c>
      <c r="BO1217" t="n">
        <v>32796518</v>
      </c>
      <c r="BP1217" t="inlineStr">
        <is>
          <t>gold, Green Published</t>
        </is>
      </c>
      <c r="BS1217" t="inlineStr">
        <is>
          <t>2023-10-26</t>
        </is>
      </c>
      <c r="BT1217" t="inlineStr">
        <is>
          <t>WOS:000565088800001</t>
        </is>
      </c>
      <c r="BU1217">
        <f>HYPERLINK("https%3A%2F%2Fwww.webofscience.com%2Fwos%2Fwoscc%2Ffull-record%2FWOS:000565088800001","View Full Record in Web of Science")</f>
        <v/>
      </c>
    </row>
    <row r="1218">
      <c r="A1218" t="inlineStr">
        <is>
          <t>J</t>
        </is>
      </c>
      <c r="B1218" t="inlineStr">
        <is>
          <t>Rosnu, NSM; Singh, DKA; Ludin, AFM; Ishak, WS; Abd Rahman, MH; Shahar, S</t>
        </is>
      </c>
      <c r="F1218" t="inlineStr">
        <is>
          <t>Rosnu, Nurul Syuhada Mohd; Singh, Devinder Kaur Ajit; Ludin, Arimi Fitri Mat; Ishak, Wan Syafira; Abd Rahman, Mohd Harimi; Shahar, Suzana</t>
        </is>
      </c>
      <c r="J1218" t="inlineStr">
        <is>
          <t>INTERNATIONAL JOURNAL OF ENVIRONMENTAL RESEARCH AND PUBLIC HEALTH</t>
        </is>
      </c>
      <c r="M1218" t="inlineStr">
        <is>
          <t>English</t>
        </is>
      </c>
      <c r="N1218" t="inlineStr">
        <is>
          <t>Review</t>
        </is>
      </c>
      <c r="T1218" t="inlineStr">
        <is>
          <t>Enablers and Barriers of Accessing Health Care Services among Older Adults in South-East Asia: A Scoping Review</t>
        </is>
      </c>
      <c r="U1218" t="inlineStr">
        <is>
          <t>accessibility; enablers; barriers; healthcare; older adults; South-East Asia</t>
        </is>
      </c>
      <c r="V1218" t="inlineStr">
        <is>
          <t>PEOPLE; LIFE</t>
        </is>
      </c>
      <c r="W1218" t="inlineStr">
        <is>
          <t>South-East Asia (SEA) is the home of the largest number of the world's older population. In this scoping review, we aimed to map the existing enablers and barriers of accessing healthcare services among older adults in SEA countries. Articles that were published from January 2001 until November 2021 were searched in four data sources (PubMed, Web of Science, EBSCO Host and The Cochrane Library). Studies pertaining to the factors which assist or obstruct older Southeast Asian adults from assessing healthcare services were chosen for this scoping review. First, two reviewers screened the titles and abstracts of articles in the data sources. After identifying appropriate articles, the reviewers read them. Data extracted by one reviewer were verified by the other reviewer. The findings were then classified according to Penchansky and Thomas's five domains of access. A total of 19 studies were included in the final scoping review. Accessibility and acceptability were the two factors most often identified as enablers or barriers to older adults from accessing healthcare. Other often mentioned factors were finances, transportation and social/family support. Older adults living in rural areas were especially impacted by these factors. To promote healthy ageing, optimum healthcare and wellbeing among older adults in Southeast Asia, it is extremely important to consider accessibility and acceptability when planning healthcare services.</t>
        </is>
      </c>
      <c r="X1218" t="inlineStr">
        <is>
          <t>[Rosnu, Nurul Syuhada Mohd; Singh, Devinder Kaur Ajit; Ludin, Arimi Fitri Mat; Ishak, Wan Syafira; Shahar, Suzana] Univ Kebangsaan Malaysia, Fac Hlth Sci, Ctr Hlth Ageing &amp; Wellness H Care, Kuala Lumpur 50300, Malaysia; [Abd Rahman, Mohd Harimi] Univ Kebangsaan Malaysia, Fac Hlth Sci, Ctr Rehabil &amp; Special Needs, Optometry &amp; Vis Sci Programme, Kuala Lumpur 50300, Malaysia</t>
        </is>
      </c>
      <c r="Y1218" t="inlineStr">
        <is>
          <t>Universiti Kebangsaan Malaysia; Universiti Kebangsaan Malaysia</t>
        </is>
      </c>
      <c r="Z1218" t="inlineStr">
        <is>
          <t>Singh, DKA (corresponding author), Univ Kebangsaan Malaysia, Fac Hlth Sci, Ctr Hlth Ageing &amp; Wellness H Care, Kuala Lumpur 50300, Malaysia.</t>
        </is>
      </c>
      <c r="AA1218" t="inlineStr">
        <is>
          <t>p111597@siswa.ukm.edu.my; devinder@ukm.edu.my; arimifitri@ukm.edu.my; wsyafira@ukm.edu.my; harimirahman@ukm.edu.my; suzana.shahar@ukm.edu.my</t>
        </is>
      </c>
      <c r="AB1218" t="inlineStr">
        <is>
          <t>Singh, Devinder Kaur Ajit/W-5552-2018; Mat Ludin, Arimi Fitri/E-1767-2017</t>
        </is>
      </c>
      <c r="AC1218" t="inlineStr">
        <is>
          <t>Singh, Devinder Kaur Ajit/0000-0002-6551-0437; Mat Ludin, Arimi Fitri/0000-0003-1517-2115; Ishak, Wan Syafira/0000-0002-5734-0853</t>
        </is>
      </c>
      <c r="AD1218" t="inlineStr">
        <is>
          <t>Ministry of Higher Education of Malaysia under the Konsortium Kecermelangan Penyelidikan [KKP/2020/UPM-UKM/8/2]</t>
        </is>
      </c>
      <c r="AE1218" t="inlineStr">
        <is>
          <t>Ministry of Higher Education of Malaysia under the Konsortium Kecermelangan Penyelidikan</t>
        </is>
      </c>
      <c r="AF1218" t="inlineStr">
        <is>
          <t>This study was funded by Ministry of Higher Education of Malaysia under the Konsortium Kecermelangan Penyelidikan (KKP/2020/UPM-UKM/8/2) and approved by Jawatankuasa Etika Penyelidikan, Universiti Kebangsaan Malaysia (UKM PPI/111/8/JEP-2021-742).</t>
        </is>
      </c>
      <c r="AH1218" t="n">
        <v>52</v>
      </c>
      <c r="AI1218" t="n">
        <v>6</v>
      </c>
      <c r="AJ1218" t="n">
        <v>6</v>
      </c>
      <c r="AK1218" t="n">
        <v>4</v>
      </c>
      <c r="AL1218" t="n">
        <v>10</v>
      </c>
      <c r="AM1218" t="inlineStr">
        <is>
          <t>MDPI</t>
        </is>
      </c>
      <c r="AN1218" t="inlineStr">
        <is>
          <t>BASEL</t>
        </is>
      </c>
      <c r="AO1218" t="inlineStr">
        <is>
          <t>ST ALBAN-ANLAGE 66, CH-4052 BASEL, SWITZERLAND</t>
        </is>
      </c>
      <c r="AQ1218" t="inlineStr">
        <is>
          <t>1660-4601</t>
        </is>
      </c>
      <c r="AS1218" t="inlineStr">
        <is>
          <t>INT J ENV RES PUB HE</t>
        </is>
      </c>
      <c r="AT1218" t="inlineStr">
        <is>
          <t>Int. J. Environ. Res. Public Health</t>
        </is>
      </c>
      <c r="AU1218" t="inlineStr">
        <is>
          <t>JUN</t>
        </is>
      </c>
      <c r="AV1218" t="n">
        <v>2022</v>
      </c>
      <c r="AW1218" t="n">
        <v>19</v>
      </c>
      <c r="AX1218" t="n">
        <v>12</v>
      </c>
      <c r="BE1218" t="n">
        <v>7351</v>
      </c>
      <c r="BF1218" t="inlineStr">
        <is>
          <t>10.3390/ijerph19127351</t>
        </is>
      </c>
      <c r="BG1218">
        <f>HYPERLINK("http://dx.doi.org/10.3390/ijerph19127351","http://dx.doi.org/10.3390/ijerph19127351")</f>
        <v/>
      </c>
      <c r="BJ1218" t="n">
        <v>15</v>
      </c>
      <c r="BK1218" t="inlineStr">
        <is>
          <t>Environmental Sciences; Public, Environmental &amp; Occupational Health</t>
        </is>
      </c>
      <c r="BL1218" t="inlineStr">
        <is>
          <t>Science Citation Index Expanded (SCI-EXPANDED); Social Science Citation Index (SSCI)</t>
        </is>
      </c>
      <c r="BM1218" t="inlineStr">
        <is>
          <t>Environmental Sciences &amp; Ecology; Public, Environmental &amp; Occupational Health</t>
        </is>
      </c>
      <c r="BN1218" t="inlineStr">
        <is>
          <t>2O5HO</t>
        </is>
      </c>
      <c r="BO1218" t="n">
        <v>35742597</v>
      </c>
      <c r="BP1218" t="inlineStr">
        <is>
          <t>gold, Green Published</t>
        </is>
      </c>
      <c r="BS1218" t="inlineStr">
        <is>
          <t>2023-10-26</t>
        </is>
      </c>
      <c r="BT1218" t="inlineStr">
        <is>
          <t>WOS:000819089200001</t>
        </is>
      </c>
      <c r="BU1218">
        <f>HYPERLINK("https%3A%2F%2Fwww.webofscience.com%2Fwos%2Fwoscc%2Ffull-record%2FWOS:000819089200001","View Full Record in Web of Science")</f>
        <v/>
      </c>
    </row>
    <row r="1219">
      <c r="A1219" t="inlineStr">
        <is>
          <t>J</t>
        </is>
      </c>
      <c r="B1219" t="inlineStr">
        <is>
          <t>Burghele, BD; Botos, M; Beldean-Galea, S; Cucos, A; Catalina, T; Dicu, T; Dobrei, G; Florica, S; Istrate, A; Lupulescu, A; Moldovan, M; Nita, D; Papp, B; Pap, I; Szacsvai, K; Sainz, C; Tunyagi, A; Tenter, A</t>
        </is>
      </c>
      <c r="F1219" t="inlineStr">
        <is>
          <t>Burghele, B. D.; Botos, M.; Beldean-Galea, S.; Cucos, A.; Catalina, T.; Dicu, T.; Dobrei, G.; Florica, S.; Istrate, A.; Lupulescu, A.; Moldovan, M.; Nita, D.; Papp, B.; Pap, I.; Szacsvai, K.; Sainz, C.; Tunyagi, A.; Tenter, A.</t>
        </is>
      </c>
      <c r="J1219" t="inlineStr">
        <is>
          <t>SCIENCE OF THE TOTAL ENVIRONMENT</t>
        </is>
      </c>
      <c r="M1219" t="inlineStr">
        <is>
          <t>English</t>
        </is>
      </c>
      <c r="N1219" t="inlineStr">
        <is>
          <t>Article</t>
        </is>
      </c>
      <c r="T1219" t="inlineStr">
        <is>
          <t>Comprehensive survey on radon mitigation and indoor air quality in energy efficient buildings from Romania</t>
        </is>
      </c>
      <c r="U1219" t="inlineStr">
        <is>
          <t>Indoor radon; Mitigation; Indoor air quality; Energy efficiency</t>
        </is>
      </c>
      <c r="V1219" t="inlineStr">
        <is>
          <t>RESIDENTIAL RADON; AREA; EXPOSURE</t>
        </is>
      </c>
      <c r="W1219" t="inlineStr">
        <is>
          <t>Over the last 10 years applied scientific research has been carried out in Romania to tacked the residential radon issues. The increased interest to reduce the carbon footprint of buildings has lead to the implementation and use of new architectural solutions aimed to save energy in houses and other buildings. As a consequence, the degree of retrofit in existing buildings and energy efficiency of new buildings promoted the need to not only mitigate indoor radon, but improve indoor air quality overall. The present study found that thewhile the best performance in radon reduction was confirmed to be based on sub-slab depressurization (61% - 95% reduction), centralized and decentralized mechanical supply and exhaust ventilation with heat recovery yielded a good efficiency in overall improvement of indoor air quality (CO2, VOC, RH, temperature). The outcome of our research, as well as future perspectives, take into account the recommended harmonization of energy efficiency programs with those of public health by finding and applying the best technologies in compliancewith energy saving and indoor environmental quality. (C) 2020 Elsevier B.V. All rights reserved.</t>
        </is>
      </c>
      <c r="X1219" t="inlineStr">
        <is>
          <t>[Burghele, B. D.; Botos, M.; Beldean-Galea, S.; Cucos, A.; Catalina, T.; Dicu, T.; Dobrei, G.; Florica, S.; Istrate, A.; Lupulescu, A.; Moldovan, M.; Nita, D.; Papp, B.; Pap, I.; Szacsvai, K.; Sainz, C.; Tunyagi, A.; Tenter, A.] Babes Bolyai Univ, Fac Environm Sci &amp; Engn, Constantin Cosma Radon Lab LiRaCC, Str Fantanele 30, Cluj Napoca, Romania; [Botos, M.] Tehn Univ Cluj Napoca, Fac Civil Engn, Str C Daicoviciu 15, Cluj Napoca, Romania; [Catalina, T.] Tech Univ Civil Engn Bucharest, Fac Engn Installat, Bld P Protopopescu 66, Bucharest, Romania; [Florica, S.] Babes Bolyai Univ, Fac Biol &amp; Geol, Dept Geol, Str M Kogalniceanu 1, Cluj Napoca, Romania; [Sainz, C.] Univ Cantabria, Fac Med, Dept Med Phys, C Herrera Oria S-N, Santander 39011, Spain; [Tunyagi, A.] Babes Bolyai Univ, Fac Phys, Str M Kogalniceanu 1, Cluj Napoca, Romania; [Istrate, A.] Clima Instal Syst SRL, ILFOV, Str Prunilor 15, Oras Pantelimon, Romania</t>
        </is>
      </c>
      <c r="Y1219" t="inlineStr">
        <is>
          <t>Babes Bolyai University from Cluj; Technical University of Cluj Napoca; Technical University of Civil Engineering of Bucharest (UTCB); Babes Bolyai University from Cluj; Universidad de Cantabria; Babes Bolyai University from Cluj</t>
        </is>
      </c>
      <c r="Z1219" t="inlineStr">
        <is>
          <t>Cucos, A (corresponding author), Babes Bolyai Univ, Fac Environm Sci &amp; Engn, Constantin Cosma Radon Lab LiRaCC, Str Fantanele 30, Cluj Napoca, Romania.</t>
        </is>
      </c>
      <c r="AA1219" t="inlineStr">
        <is>
          <t>alexandra.dinu@ubbcluj.ro</t>
        </is>
      </c>
      <c r="AB1219" t="inlineStr">
        <is>
          <t>Dicu, Tiberius/AAT-3333-2021; Burghele, Bety-Denissa Denissa/AEN-5053-2022; Nita, Dan C./N-8510-2018; Dobrei, Gabriel/HMV-8666-2023; CATALINA, Tiberiu/C-4494-2011; Botos, Marius/GSM-9359-2022; Dicu, Tiberius/AAX-8664-2020; Tunyagi, Arthur R/C-2900-2012</t>
        </is>
      </c>
      <c r="AC1219" t="inlineStr">
        <is>
          <t>Burghele, Bety-Denissa Denissa/0000-0003-2711-8271; Nita, Dan C./0000-0002-9492-0734; Dicu, Tiberius/0000-0001-5995-1327; Marius Lucian, Botos/0000-0001-9565-6587; Sainz Fernandez, Carlos/0000-0003-2029-4512; Cucos (Dinu), Alexandra/0000-0001-6466-121X</t>
        </is>
      </c>
      <c r="AD1219" t="inlineStr">
        <is>
          <t>Sectoral Operational Programme Increase of Economic Competitiveness; European Regional Development Fund [IRART 586-12487, 160/15.06.2010, P_37_229, 22/01.09.2016]</t>
        </is>
      </c>
      <c r="AE1219" t="inlineStr">
        <is>
          <t>Sectoral Operational Programme Increase of Economic Competitiveness; European Regional Development Fund(European Union (EU))</t>
        </is>
      </c>
      <c r="AF1219" t="inlineStr">
        <is>
          <t>The authors wish to thank local authorities for support and the residents who kindly opened their houses for these experimental mitigations. The financial support was assured by the Sectoral Operational Programme Increase of Economic Competitiveness co -financed by the European Regional Development Fund under the project IRART 586-12487, contract no. 160/15.06.2010 (http://irartso/) and by the project ID P_37_229, Contract No. 22/01.09.2016, with the title Smart Systems for Public Safety through Control and Mitigation of Residential Radon linked with Energy Efficiency Optimization of Buildings in Romanian Major Urban Agglomerations SMART-KAD-ENof the POC Programme (http://www.smartradonsol).</t>
        </is>
      </c>
      <c r="AH1219" t="n">
        <v>36</v>
      </c>
      <c r="AI1219" t="n">
        <v>18</v>
      </c>
      <c r="AJ1219" t="n">
        <v>18</v>
      </c>
      <c r="AK1219" t="n">
        <v>5</v>
      </c>
      <c r="AL1219" t="n">
        <v>33</v>
      </c>
      <c r="AM1219" t="inlineStr">
        <is>
          <t>ELSEVIER</t>
        </is>
      </c>
      <c r="AN1219" t="inlineStr">
        <is>
          <t>AMSTERDAM</t>
        </is>
      </c>
      <c r="AO1219" t="inlineStr">
        <is>
          <t>RADARWEG 29, 1043 NX AMSTERDAM, NETHERLANDS</t>
        </is>
      </c>
      <c r="AP1219" t="inlineStr">
        <is>
          <t>0048-9697</t>
        </is>
      </c>
      <c r="AQ1219" t="inlineStr">
        <is>
          <t>1879-1026</t>
        </is>
      </c>
      <c r="AS1219" t="inlineStr">
        <is>
          <t>SCI TOTAL ENVIRON</t>
        </is>
      </c>
      <c r="AT1219" t="inlineStr">
        <is>
          <t>Sci. Total Environ.</t>
        </is>
      </c>
      <c r="AU1219" t="inlineStr">
        <is>
          <t>JAN 10</t>
        </is>
      </c>
      <c r="AV1219" t="n">
        <v>2021</v>
      </c>
      <c r="AW1219" t="n">
        <v>751</v>
      </c>
      <c r="BE1219" t="n">
        <v>141858</v>
      </c>
      <c r="BF1219" t="inlineStr">
        <is>
          <t>10.1016/j.scitotenv.2020.141858</t>
        </is>
      </c>
      <c r="BG1219">
        <f>HYPERLINK("http://dx.doi.org/10.1016/j.scitotenv.2020.141858","http://dx.doi.org/10.1016/j.scitotenv.2020.141858")</f>
        <v/>
      </c>
      <c r="BJ1219" t="n">
        <v>9</v>
      </c>
      <c r="BK1219" t="inlineStr">
        <is>
          <t>Environmental Sciences</t>
        </is>
      </c>
      <c r="BL1219" t="inlineStr">
        <is>
          <t>Science Citation Index Expanded (SCI-EXPANDED)</t>
        </is>
      </c>
      <c r="BM1219" t="inlineStr">
        <is>
          <t>Environmental Sciences &amp; Ecology</t>
        </is>
      </c>
      <c r="BN1219" t="inlineStr">
        <is>
          <t>OO3RT</t>
        </is>
      </c>
      <c r="BO1219" t="n">
        <v>32892081</v>
      </c>
      <c r="BP1219" t="inlineStr">
        <is>
          <t>Green Accepted</t>
        </is>
      </c>
      <c r="BS1219" t="inlineStr">
        <is>
          <t>2023-10-26</t>
        </is>
      </c>
      <c r="BT1219" t="inlineStr">
        <is>
          <t>WOS:000587300800108</t>
        </is>
      </c>
      <c r="BU1219">
        <f>HYPERLINK("https%3A%2F%2Fwww.webofscience.com%2Fwos%2Fwoscc%2Ffull-record%2FWOS:000587300800108","View Full Record in Web of Science")</f>
        <v/>
      </c>
    </row>
    <row r="1220">
      <c r="A1220" t="inlineStr">
        <is>
          <t>J</t>
        </is>
      </c>
      <c r="B1220" t="inlineStr">
        <is>
          <t>Upake, C; Nanthamongkolchai, S; Taechaboonsermsak, P; Yodmai, K; Suksatan, W</t>
        </is>
      </c>
      <c r="F1220" t="inlineStr">
        <is>
          <t>Upake, Chunphen; Nanthamongkolchai, Sutham; Taechaboonsermsak, Pimsurang; Yodmai, Korravarn; Suksatan, Wanich</t>
        </is>
      </c>
      <c r="J1220" t="inlineStr">
        <is>
          <t>INTERNATIONAL JOURNAL OF ENVIRONMENTAL RESEARCH AND PUBLIC HEALTH</t>
        </is>
      </c>
      <c r="M1220" t="inlineStr">
        <is>
          <t>English</t>
        </is>
      </c>
      <c r="N1220" t="inlineStr">
        <is>
          <t>Article</t>
        </is>
      </c>
      <c r="T1220" t="inlineStr">
        <is>
          <t>Factors Predicting the Coronavirus Disease 2019 Preventive Behaviors of Older Adults: A Cross-Sectional Study in Bangkok, Thailand</t>
        </is>
      </c>
      <c r="U1220" t="inlineStr">
        <is>
          <t>older adults; COVID-19; health behaviors; prevention; health promotion</t>
        </is>
      </c>
      <c r="V1220" t="inlineStr">
        <is>
          <t>COVID-19</t>
        </is>
      </c>
      <c r="W1220" t="inlineStr">
        <is>
          <t>The coronavirus disease 2019 (COVID-19) pandemic has affected the health behaviors of older adults. Thus, the factors predicting the COVID-19 preventive behaviors of older adults during the COVID-19 outbreak should be examined. Therefore, this study aimed to assess the COVID-19 preventive behaviors of older adults and explore the factors predicting these. A cross-sectional study was performed with 400 older adults who were selected using the cluster sampling technique. The associations of all variables in preventing COVID-19 infection with COVID-19 preventive behaviors were examined using stepwise multiple regression. The study results revealed that 70.8% of the study participants had high levels of COVID-19 preventive behaviors. Among these, self-efficacy in preventing COVID-19 infection (beta = 0.224) showed the highest ability to predict COVID-19 preventive behaviors, followed by COVID-19 response efficacy (beta = 0.171), knowledge about COVID-19 (beta = 0.110), and gender (beta = -0.102). Older adults adopted protective behaviors at the beginning of the COVID-19 pandemic. The predictors of these behaviors should be considered while designing and developing appropriate COVID-19 preventive behavior interventions, aimed at inducing behavioral modifications to reduce further infection with and spread of COVID-19.</t>
        </is>
      </c>
      <c r="X1220" t="inlineStr">
        <is>
          <t>[Upake, Chunphen; Nanthamongkolchai, Sutham; Taechaboonsermsak, Pimsurang; Yodmai, Korravarn] Mahidol Univ, Fac Publ Hlth, Dept Family Hlth, Bangkok 10400, Thailand; [Suksatan, Wanich] Chulabhorn Royal Acad, Fac Nursing, HRH Princess Chulabhorn Coll Med Sci, Bangkok 10210, Thailand</t>
        </is>
      </c>
      <c r="Y1220" t="inlineStr">
        <is>
          <t>Mahidol University; Chulabhorn Royal Academy; HRH Princess Chulabhorn College of Medical Science</t>
        </is>
      </c>
      <c r="Z1220" t="inlineStr">
        <is>
          <t>Nanthamongkolchai, S (corresponding author), Mahidol Univ, Fac Publ Hlth, Dept Family Hlth, Bangkok 10400, Thailand.</t>
        </is>
      </c>
      <c r="AA1220" t="inlineStr">
        <is>
          <t>sutham.nan@mahidol.ac.th</t>
        </is>
      </c>
      <c r="AB1220" t="inlineStr">
        <is>
          <t>Suksatan, Wanich/AAJ-1920-2021</t>
        </is>
      </c>
      <c r="AC1220" t="inlineStr">
        <is>
          <t>Suksatan, Wanich/0000-0003-1797-1260; Nanthamongkolchai, Sutham/0000-0002-7870-9816</t>
        </is>
      </c>
      <c r="AD1220" t="inlineStr">
        <is>
          <t>Faculty of Public Health, Mahidol University, Bangkok, Thailand</t>
        </is>
      </c>
      <c r="AE1220" t="inlineStr">
        <is>
          <t>Faculty of Public Health, Mahidol University, Bangkok, Thailand</t>
        </is>
      </c>
      <c r="AF1220" t="inlineStr">
        <is>
          <t>The authors thank the participants of the study for their valuable contributions. This study was partially funded for publication by Faculty of Public Health, Mahidol University, Bangkok, Thailand.</t>
        </is>
      </c>
      <c r="AH1220" t="n">
        <v>38</v>
      </c>
      <c r="AI1220" t="n">
        <v>3</v>
      </c>
      <c r="AJ1220" t="n">
        <v>3</v>
      </c>
      <c r="AK1220" t="n">
        <v>0</v>
      </c>
      <c r="AL1220" t="n">
        <v>7</v>
      </c>
      <c r="AM1220" t="inlineStr">
        <is>
          <t>MDPI</t>
        </is>
      </c>
      <c r="AN1220" t="inlineStr">
        <is>
          <t>BASEL</t>
        </is>
      </c>
      <c r="AO1220" t="inlineStr">
        <is>
          <t>ST ALBAN-ANLAGE 66, CH-4052 BASEL, SWITZERLAND</t>
        </is>
      </c>
      <c r="AQ1220" t="inlineStr">
        <is>
          <t>1660-4601</t>
        </is>
      </c>
      <c r="AS1220" t="inlineStr">
        <is>
          <t>INT J ENV RES PUB HE</t>
        </is>
      </c>
      <c r="AT1220" t="inlineStr">
        <is>
          <t>Int. J. Environ. Res. Public Health</t>
        </is>
      </c>
      <c r="AU1220" t="inlineStr">
        <is>
          <t>AUG</t>
        </is>
      </c>
      <c r="AV1220" t="n">
        <v>2022</v>
      </c>
      <c r="AW1220" t="n">
        <v>19</v>
      </c>
      <c r="AX1220" t="n">
        <v>16</v>
      </c>
      <c r="BE1220" t="n">
        <v>10361</v>
      </c>
      <c r="BF1220" t="inlineStr">
        <is>
          <t>10.3390/ijerph191610361</t>
        </is>
      </c>
      <c r="BG1220">
        <f>HYPERLINK("http://dx.doi.org/10.3390/ijerph191610361","http://dx.doi.org/10.3390/ijerph191610361")</f>
        <v/>
      </c>
      <c r="BJ1220" t="n">
        <v>10</v>
      </c>
      <c r="BK1220" t="inlineStr">
        <is>
          <t>Environmental Sciences; Public, Environmental &amp; Occupational Health</t>
        </is>
      </c>
      <c r="BL1220" t="inlineStr">
        <is>
          <t>Science Citation Index Expanded (SCI-EXPANDED); Social Science Citation Index (SSCI)</t>
        </is>
      </c>
      <c r="BM1220" t="inlineStr">
        <is>
          <t>Environmental Sciences &amp; Ecology; Public, Environmental &amp; Occupational Health</t>
        </is>
      </c>
      <c r="BN1220" t="inlineStr">
        <is>
          <t>4B3NT</t>
        </is>
      </c>
      <c r="BO1220" t="n">
        <v>36011996</v>
      </c>
      <c r="BP1220" t="inlineStr">
        <is>
          <t>Green Published, gold</t>
        </is>
      </c>
      <c r="BS1220" t="inlineStr">
        <is>
          <t>2023-10-26</t>
        </is>
      </c>
      <c r="BT1220" t="inlineStr">
        <is>
          <t>WOS:000845689400001</t>
        </is>
      </c>
      <c r="BU1220">
        <f>HYPERLINK("https%3A%2F%2Fwww.webofscience.com%2Fwos%2Fwoscc%2Ffull-record%2FWOS:000845689400001","View Full Record in Web of Science")</f>
        <v/>
      </c>
    </row>
    <row r="1221">
      <c r="A1221" t="inlineStr">
        <is>
          <t>J</t>
        </is>
      </c>
      <c r="B1221" t="inlineStr">
        <is>
          <t>Hasegawa, Y; Sakuramoto-Sadakane, A; Nagai, K; Tamaoka, J; Oshitani, M; Ono, T; Sawada, T; Shinmura, K; Kishimoto, H</t>
        </is>
      </c>
      <c r="F1221" t="inlineStr">
        <is>
          <t>Hasegawa, Yoko; Sakuramoto-Sadakane, Ayumi; Nagai, Koutatsu; Tamaoka, Joji; Oshitani, Masayuki; Ono, Takahiro; Sawada, Takashi; Shinmura, Ken; Kishimoto, Hiromitsu</t>
        </is>
      </c>
      <c r="J1221" t="inlineStr">
        <is>
          <t>INTERNATIONAL JOURNAL OF ENVIRONMENTAL RESEARCH AND PUBLIC HEALTH</t>
        </is>
      </c>
      <c r="M1221" t="inlineStr">
        <is>
          <t>English</t>
        </is>
      </c>
      <c r="N1221" t="inlineStr">
        <is>
          <t>Article</t>
        </is>
      </c>
      <c r="T1221" t="inlineStr">
        <is>
          <t>Does Oral Hypofunction Promote Social Withdrawal in the Older Adults? A Longitudinal Survey of Elderly Subjects in Rural Japan</t>
        </is>
      </c>
      <c r="U1221" t="inlineStr">
        <is>
          <t>social withdrawal; oral hypofunction; older adult; oral frailty; frailty</t>
        </is>
      </c>
      <c r="V1221" t="inlineStr">
        <is>
          <t>RISK-FACTORS; FRAILTY; HEALTH; FALLS; ASSOCIATION; NUTRITION; DOPAMINE; STATE</t>
        </is>
      </c>
      <c r="W1221" t="inlineStr">
        <is>
          <t>It is often assumed that oral hypofunction is associated with social withdrawal in older adults because decreased motor function is related to decreased oral function. However, few studies have examined the relationship between social withdrawal in older adults and oral function. This longitudinal study aimed to clarify the relationship between changes in the level of social withdrawal and oral function in independent older adults. Participants were 427 older adults aged 65 years or older who took part in a self-administered questionnaire from 2016 to 2017 (baseline), and again two years later (follow-up). At baseline, 17 items related to oral function and confounding factors related to withdrawal, physical condition, physical function, and cognitive function were evaluated. A Cox proportional hazard model was used to examine the oral functions that negatively impact social withdrawal. The following factors were significantly associated with the worsening of social withdrawal: the number of remaining teeth, gingival condition, occlusal force, masticatory efficiency, and items related to swallowing and dry mouth. Older adults with cognitive issues who walk slowly and have a weak knee extension muscle were also significantly more likely to have oral frailty. Those who were found to have oral frailty at baseline were 1.8 times more likely to develop withdrawal compared to those with robust oral function. The results indicated that the worsening of withdrawal was associated with oral hypofunction at baseline. Since oral hypofunction was associated with the worsening of social withdrawal in older adults, it is important to maintain older adults' oral function.</t>
        </is>
      </c>
      <c r="X1221" t="inlineStr">
        <is>
          <t>[Hasegawa, Yoko; Sakuramoto-Sadakane, Ayumi; Tamaoka, Joji; Oshitani, Masayuki; Kishimoto, Hiromitsu] Hyogo Coll Med, Dept Dent &amp; Oral Surg, 1-1 Mukogawa Cho, Nishinomiya, Hyogo 6638501, Japan; [Hasegawa, Yoko; Ono, Takahiro] Niigata Univ, Fac Dent, Div Comprehens Prosthodont, Niigata 9518514, Japan; [Hasegawa, Yoko; Ono, Takahiro] Niigata Univ, Grad Sch Med &amp; Dent Sci, Niigata 9518514, Japan; [Nagai, Koutatsu] Hyogo Univ Hlth Sci, Sch Rehabil, Dept Phys Therapy, Chuo Ku, 1-3-6 Minatojima, Kobe, Hyogo 6508530, Japan; [Sawada, Takashi] Hyogo Dent Assoc, Chuo Ku, 5-7-18 Yamamoto Dori, Kobe, Hyogo 6500003, Japan; [Shinmura, Ken] Hyogo Coll Med, Dept Gen Internal Med, 1-1 Mukogawa Cho, Nishinomiya, Hyogo 6638501, Japan</t>
        </is>
      </c>
      <c r="Y1221" t="inlineStr">
        <is>
          <t>Hyogo College of Medicine; Niigata University; Niigata University; Hyogo College of Medicine</t>
        </is>
      </c>
      <c r="Z1221" t="inlineStr">
        <is>
          <t>Hasegawa, Y (corresponding author), Hyogo Coll Med, Dept Dent &amp; Oral Surg, 1-1 Mukogawa Cho, Nishinomiya, Hyogo 6638501, Japan.;Hasegawa, Y (corresponding author), Niigata Univ, Fac Dent, Div Comprehens Prosthodont, Niigata 9518514, Japan.;Hasegawa, Y (corresponding author), Niigata Univ, Grad Sch Med &amp; Dent Sci, Niigata 9518514, Japan.</t>
        </is>
      </c>
      <c r="AA1221" t="inlineStr">
        <is>
          <t>cem17150@dent.niigata-u.ac; ayu.cherry.ayu@gmail.com; nagai-k@huhs.ac.jp; joji1122@hyo-med.ac.jp; m.os26gjam3@gmail.com; ono@dent.niigata-u.ac.jp; sawada@fc.hda.or.jp; ke-shimmura@hyo-med.ac.jp; kisihiro@hyo-med.ac.jp</t>
        </is>
      </c>
      <c r="AC1221" t="inlineStr">
        <is>
          <t>Hasegawa, Yoko/0000-0001-9112-5981; Ono, Takahiro/0000-0003-2087-4971; Nagai, Koutatsu/0000-0003-2726-7285</t>
        </is>
      </c>
      <c r="AD1221" t="inlineStr">
        <is>
          <t>Hyogo Dental Association; 8020 Foundation; Mitsui Sumitomo Insurance Welfare Award; Japan Society for the Promotion of Science (JSPS) [16KT0012, 16K11640]; Grants-in-Aid for Scientific Research [16K11640] Funding Source: KAKEN</t>
        </is>
      </c>
      <c r="AE1221" t="inlineStr">
        <is>
          <t>Hyogo Dental Association; 8020 Foundation; Mitsui Sumitomo Insurance Welfare Award; Japan Society for the Promotion of Science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is>
      </c>
      <c r="AF1221" t="inlineStr">
        <is>
          <t>This study was supported by the Hyogo Dental Association, 8020 Foundation (Yoko Hasegawa), the Mitsui Sumitomo Insurance Welfare Award, a grant in the field of Senior Citizen Welfare (Ken Shinmura), and by the Japan Society for the Promotion of Science (JSPS) Grant-in-Aid for Scientific Research (KAKENHI) (grant no. 16KT0012 to Ken Shinmura and 16K11640 to Yoko Hasegawa).</t>
        </is>
      </c>
      <c r="AH1221" t="n">
        <v>40</v>
      </c>
      <c r="AI1221" t="n">
        <v>7</v>
      </c>
      <c r="AJ1221" t="n">
        <v>8</v>
      </c>
      <c r="AK1221" t="n">
        <v>2</v>
      </c>
      <c r="AL1221" t="n">
        <v>9</v>
      </c>
      <c r="AM1221" t="inlineStr">
        <is>
          <t>MDPI</t>
        </is>
      </c>
      <c r="AN1221" t="inlineStr">
        <is>
          <t>BASEL</t>
        </is>
      </c>
      <c r="AO1221" t="inlineStr">
        <is>
          <t>ST ALBAN-ANLAGE 66, CH-4052 BASEL, SWITZERLAND</t>
        </is>
      </c>
      <c r="AQ1221" t="inlineStr">
        <is>
          <t>1660-4601</t>
        </is>
      </c>
      <c r="AS1221" t="inlineStr">
        <is>
          <t>INT J ENV RES PUB HE</t>
        </is>
      </c>
      <c r="AT1221" t="inlineStr">
        <is>
          <t>Int. J. Environ. Res. Public Health</t>
        </is>
      </c>
      <c r="AU1221" t="inlineStr">
        <is>
          <t>DEC</t>
        </is>
      </c>
      <c r="AV1221" t="n">
        <v>2020</v>
      </c>
      <c r="AW1221" t="n">
        <v>17</v>
      </c>
      <c r="AX1221" t="n">
        <v>23</v>
      </c>
      <c r="BE1221" t="n">
        <v>8904</v>
      </c>
      <c r="BF1221" t="inlineStr">
        <is>
          <t>10.3390/ijerph17238904</t>
        </is>
      </c>
      <c r="BG1221">
        <f>HYPERLINK("http://dx.doi.org/10.3390/ijerph17238904","http://dx.doi.org/10.3390/ijerph17238904")</f>
        <v/>
      </c>
      <c r="BJ1221" t="n">
        <v>11</v>
      </c>
      <c r="BK1221" t="inlineStr">
        <is>
          <t>Environmental Sciences; Public, Environmental &amp; Occupational Health</t>
        </is>
      </c>
      <c r="BL1221" t="inlineStr">
        <is>
          <t>Science Citation Index Expanded (SCI-EXPANDED); Social Science Citation Index (SSCI)</t>
        </is>
      </c>
      <c r="BM1221" t="inlineStr">
        <is>
          <t>Environmental Sciences &amp; Ecology; Public, Environmental &amp; Occupational Health</t>
        </is>
      </c>
      <c r="BN1221" t="inlineStr">
        <is>
          <t>PD1WR</t>
        </is>
      </c>
      <c r="BO1221" t="n">
        <v>33266111</v>
      </c>
      <c r="BP1221" t="inlineStr">
        <is>
          <t>Green Published, gold</t>
        </is>
      </c>
      <c r="BS1221" t="inlineStr">
        <is>
          <t>2023-10-26</t>
        </is>
      </c>
      <c r="BT1221" t="inlineStr">
        <is>
          <t>WOS:000597484400001</t>
        </is>
      </c>
      <c r="BU1221">
        <f>HYPERLINK("https%3A%2F%2Fwww.webofscience.com%2Fwos%2Fwoscc%2Ffull-record%2FWOS:000597484400001","View Full Record in Web of Science")</f>
        <v/>
      </c>
    </row>
    <row r="1222">
      <c r="A1222" t="inlineStr">
        <is>
          <t>J</t>
        </is>
      </c>
      <c r="B1222" t="inlineStr">
        <is>
          <t>Wang, GP; Chen, W</t>
        </is>
      </c>
      <c r="F1222" t="inlineStr">
        <is>
          <t>Wang, Guoping; Chen, Wei</t>
        </is>
      </c>
      <c r="J1222" t="inlineStr">
        <is>
          <t>JOURNAL OF COASTAL RESEARCH</t>
        </is>
      </c>
      <c r="M1222" t="inlineStr">
        <is>
          <t>English</t>
        </is>
      </c>
      <c r="N1222" t="inlineStr">
        <is>
          <t>Article</t>
        </is>
      </c>
      <c r="T1222" t="inlineStr">
        <is>
          <t>The Interactive Development of Outdoor Sports and Water Resources Industry from the Perspective of Geographical Environment Integration</t>
        </is>
      </c>
      <c r="U1222" t="inlineStr">
        <is>
          <t>Geographical environment; outdoor sports; water resources; industrial interaction</t>
        </is>
      </c>
      <c r="W1222" t="inlineStr">
        <is>
          <t>The 18th National Congress was held to put the construction of ecological civilization at the top of economic and social development, and the subsequent 19th National Congress further emphasized the importance of building ecological civilization. The top-level design emphasizes ecological civilization and changes the concept of environmental protection and governance, which can be learned that the state in the process of environmental protection, follow the unique natural laws of the ecological environment at the same time, further emphasize the construction of ecological civilization in the social psychology and behavioral aspects of the construction. The bottleneck of the interaction between, outdoor sports industry and water resources industry is mainly the lack of basic conditions of ecological environment,  leisure, green water, health, outdoor sports lifestyle conditions do not have, the two need to complement each other, in order to promote each other, to achieve a win-win effect. China is a large agricultural country and has an important base for agricultural production and energy. However, under the influence of different geography, climate, soil and water, and energy environment, the impact on the ecological environment is not only the same, but also the supply and demand of water resources, the distribution of water and sand and the degree of environmental pollution. This paper combines the analysis of the different geographical distribution of environmental water resources, combined with the real situation of water pollution, and deeply studies the development strategy analysis of the interaction of water resources industry.</t>
        </is>
      </c>
      <c r="X1222" t="inlineStr">
        <is>
          <t>[Wang, Guoping] Guizhou Minzu Univ, Inst Phys Educ &amp; Hlth, Guiyang 550025, Peoples R China; [Chen, Wei] Guizhou Minzu Univ, Coll Humanities &amp; Sci, Inst Econ &amp; Management, Guiyang 550025, Peoples R China</t>
        </is>
      </c>
      <c r="Y1222" t="inlineStr">
        <is>
          <t>Guizhou Minzu University; Guizhou Minzu University</t>
        </is>
      </c>
      <c r="Z1222" t="inlineStr">
        <is>
          <t>Wang, GP (corresponding author), Guizhou Minzu Univ, Inst Phys Educ &amp; Hlth, Guiyang 550025, Peoples R China.</t>
        </is>
      </c>
      <c r="AA1222" t="inlineStr">
        <is>
          <t>174215785@qq.com</t>
        </is>
      </c>
      <c r="AD1222" t="inlineStr">
        <is>
          <t>Research on the Integration Path of Guizhou Minority Traditional Sports and Health Tourism [GZTY2019207]</t>
        </is>
      </c>
      <c r="AE1222" t="inlineStr">
        <is>
          <t>Research on the Integration Path of Guizhou Minority Traditional Sports and Health Tourism</t>
        </is>
      </c>
      <c r="AF1222" t="inlineStr">
        <is>
          <t>Research on the Integration Path of Guizhou Minority Traditional Sports and Health Tourism (GZTY2019207).</t>
        </is>
      </c>
      <c r="AH1222" t="n">
        <v>7</v>
      </c>
      <c r="AI1222" t="n">
        <v>1</v>
      </c>
      <c r="AJ1222" t="n">
        <v>1</v>
      </c>
      <c r="AK1222" t="n">
        <v>2</v>
      </c>
      <c r="AL1222" t="n">
        <v>19</v>
      </c>
      <c r="AM1222" t="inlineStr">
        <is>
          <t>COASTAL EDUCATION &amp; RESEARCH FOUNDATION</t>
        </is>
      </c>
      <c r="AN1222" t="inlineStr">
        <is>
          <t>COCONUT CREEK</t>
        </is>
      </c>
      <c r="AO1222" t="inlineStr">
        <is>
          <t>5130 NW 54TH STREET, COCONUT CREEK, FL 33073 USA</t>
        </is>
      </c>
      <c r="AP1222" t="inlineStr">
        <is>
          <t>0749-0208</t>
        </is>
      </c>
      <c r="AQ1222" t="inlineStr">
        <is>
          <t>1551-5036</t>
        </is>
      </c>
      <c r="AS1222" t="inlineStr">
        <is>
          <t>J COASTAL RES</t>
        </is>
      </c>
      <c r="AT1222" t="inlineStr">
        <is>
          <t>J. Coast. Res.</t>
        </is>
      </c>
      <c r="AU1222" t="inlineStr">
        <is>
          <t>FAL</t>
        </is>
      </c>
      <c r="AV1222" t="n">
        <v>2020</v>
      </c>
      <c r="BA1222" t="n">
        <v>104</v>
      </c>
      <c r="BC1222" t="n">
        <v>656</v>
      </c>
      <c r="BD1222" t="n">
        <v>659</v>
      </c>
      <c r="BF1222" t="inlineStr">
        <is>
          <t>10.2112/JCR-SI104-113.1</t>
        </is>
      </c>
      <c r="BG1222">
        <f>HYPERLINK("http://dx.doi.org/10.2112/JCR-SI104-113.1","http://dx.doi.org/10.2112/JCR-SI104-113.1")</f>
        <v/>
      </c>
      <c r="BJ1222" t="n">
        <v>4</v>
      </c>
      <c r="BK1222" t="inlineStr">
        <is>
          <t>Environmental Sciences; Geography, Physical; Geosciences, Multidisciplinary</t>
        </is>
      </c>
      <c r="BL1222" t="inlineStr">
        <is>
          <t>Science Citation Index Expanded (SCI-EXPANDED)</t>
        </is>
      </c>
      <c r="BM1222" t="inlineStr">
        <is>
          <t>Environmental Sciences &amp; Ecology; Physical Geography; Geology</t>
        </is>
      </c>
      <c r="BN1222" t="inlineStr">
        <is>
          <t>OK2VS</t>
        </is>
      </c>
      <c r="BS1222" t="inlineStr">
        <is>
          <t>2023-10-26</t>
        </is>
      </c>
      <c r="BT1222" t="inlineStr">
        <is>
          <t>WOS:000584510900113</t>
        </is>
      </c>
      <c r="BU1222">
        <f>HYPERLINK("https%3A%2F%2Fwww.webofscience.com%2Fwos%2Fwoscc%2Ffull-record%2FWOS:000584510900113","View Full Record in Web of Science")</f>
        <v/>
      </c>
    </row>
    <row r="1223">
      <c r="A1223" t="inlineStr">
        <is>
          <t>J</t>
        </is>
      </c>
      <c r="B1223" t="inlineStr">
        <is>
          <t>Talbot, R; Picco, M; Greenfield, D; Ashton, P; Arbuthnot, E; Hashemi, A</t>
        </is>
      </c>
      <c r="F1223" t="inlineStr">
        <is>
          <t>Talbot, Robin; Picco, Marco; Greenfield, David; Ashton, Philip; Arbuthnot, Emma; Hashemi, Arman</t>
        </is>
      </c>
      <c r="J1223" t="inlineStr">
        <is>
          <t>SUSTAINABILITY</t>
        </is>
      </c>
      <c r="M1223" t="inlineStr">
        <is>
          <t>English</t>
        </is>
      </c>
      <c r="N1223" t="inlineStr">
        <is>
          <t>Review</t>
        </is>
      </c>
      <c r="T1223" t="inlineStr">
        <is>
          <t>Historic Churches and Their Hygrothermal Environment: A Review of Criteria Related to Building Fabric, Artefacts, Artwork and Occupants</t>
        </is>
      </c>
      <c r="U1223" t="inlineStr">
        <is>
          <t>heating; conservation; church; non-domestic; historic; comfort</t>
        </is>
      </c>
      <c r="V1223" t="inlineStr">
        <is>
          <t>THERMAL COMFORT; HEATING-SYSTEMS; INDOOR CLIMATE; ROCCA PIETORE; HOT-AIR; CONSERVATION; VENTILATION; SIMULATION; HUMIDITY; REQUIREMENTS</t>
        </is>
      </c>
      <c r="W1223" t="inlineStr">
        <is>
          <t>Regarded as important cultural heritage, historic churches have been utilised over hundreds of years for worship and community benefit. Simple on/off space heating systems are installed in many churches to increase human comfort. However, the conservation of the important historic artefacts and artwork contained within may not have been fully considered. This review attempts to appraise the standards in place for artefacts and artwork. A consensus of 15-25 degrees C and 40-65% relative humidity is established as safe from the standards reviewed. Consideration is given to the environment within the church to understand if such exacting conditions can be met. The review finds that the conservation and preservation of artefacts and buildings are aligned goals, although striving to meet specified target ranges for artefact types is not fully compatible with historic churches. The stability of the internal environment is clearly an important factor in conservation and benefits human comfort expectations. Churches may contain microclimates throughout the building, complicating the use of target ranges for artefacts, artwork and comfort. The findings of this study can assist historic churches in managing the change, alteration or installation of heating systems.</t>
        </is>
      </c>
      <c r="X1223" t="inlineStr">
        <is>
          <t>[Talbot, Robin; Picco, Marco; Ashton, Philip] Univ Brighton, Sch Architecture Technol &amp; Engn, Brighton BN2 4GJ, E Sussex, England; [Greenfield, David] Univ Brighton, Sch Appl Sci, Brighton BN2 4GJ, E Sussex, England; [Arbuthnot, Emma] Church England, Diocese Chichester, Church House,211 New Church Rd, Hove BN3 4ED, England; [Hashemi, Arman] Univ East London, Sch Architecture Comp &amp; Engn, London E16 2RD, England</t>
        </is>
      </c>
      <c r="Y1223" t="inlineStr">
        <is>
          <t>University of Brighton; University of Brighton; University of East London</t>
        </is>
      </c>
      <c r="Z1223" t="inlineStr">
        <is>
          <t>Talbot, R (corresponding author), Univ Brighton, Sch Architecture Technol &amp; Engn, Brighton BN2 4GJ, E Sussex, England.</t>
        </is>
      </c>
      <c r="AA1223" t="inlineStr">
        <is>
          <t>r.talbot@brighton.ac.uk; m.picco@brighton.ac.uk; davidg@soenecs.co.uk; p.ashton@brighton.ac.uk; emma.arbuthnot@chichester.anglican.org; a.hashemi@uel.ac.uk</t>
        </is>
      </c>
      <c r="AC1223" t="inlineStr">
        <is>
          <t>Hashemi, Arman/0000-0002-6311-000X</t>
        </is>
      </c>
      <c r="AD1223" t="inlineStr">
        <is>
          <t>Engineering and Physical Sciences Research Council (EPSRC) [EP/L016036/1]</t>
        </is>
      </c>
      <c r="AE1223" t="inlineStr">
        <is>
          <t>Engineering and Physical Sciences Research Council (EPSRC)(UK Research &amp; Innovation (UKRI)Engineering &amp; Physical Sciences Research Council (EPSRC))</t>
        </is>
      </c>
      <c r="AF1223" t="inlineStr">
        <is>
          <t>This Science and Engineering in Arts Heritage and Archaeology (SEAHA) study is funded by the Engineering and Physical Sciences Research Council (EPSRC). EPSRC Grant EP/L016036/1.</t>
        </is>
      </c>
      <c r="AH1223" t="n">
        <v>65</v>
      </c>
      <c r="AI1223" t="n">
        <v>2</v>
      </c>
      <c r="AJ1223" t="n">
        <v>2</v>
      </c>
      <c r="AK1223" t="n">
        <v>2</v>
      </c>
      <c r="AL1223" t="n">
        <v>9</v>
      </c>
      <c r="AM1223" t="inlineStr">
        <is>
          <t>MDPI</t>
        </is>
      </c>
      <c r="AN1223" t="inlineStr">
        <is>
          <t>BASEL</t>
        </is>
      </c>
      <c r="AO1223" t="inlineStr">
        <is>
          <t>ST ALBAN-ANLAGE 66, CH-4052 BASEL, SWITZERLAND</t>
        </is>
      </c>
      <c r="AQ1223" t="inlineStr">
        <is>
          <t>2071-1050</t>
        </is>
      </c>
      <c r="AS1223" t="inlineStr">
        <is>
          <t>SUSTAINABILITY-BASEL</t>
        </is>
      </c>
      <c r="AT1223" t="inlineStr">
        <is>
          <t>Sustainability</t>
        </is>
      </c>
      <c r="AU1223" t="inlineStr">
        <is>
          <t>JUL</t>
        </is>
      </c>
      <c r="AV1223" t="n">
        <v>2022</v>
      </c>
      <c r="AW1223" t="n">
        <v>14</v>
      </c>
      <c r="AX1223" t="n">
        <v>13</v>
      </c>
      <c r="BE1223" t="n">
        <v>7822</v>
      </c>
      <c r="BF1223" t="inlineStr">
        <is>
          <t>10.3390/su14137822</t>
        </is>
      </c>
      <c r="BG1223">
        <f>HYPERLINK("http://dx.doi.org/10.3390/su14137822","http://dx.doi.org/10.3390/su14137822")</f>
        <v/>
      </c>
      <c r="BJ1223" t="n">
        <v>16</v>
      </c>
      <c r="BK1223" t="inlineStr">
        <is>
          <t>Green &amp; Sustainable Science &amp; Technology; Environmental Sciences; Environmental Studies</t>
        </is>
      </c>
      <c r="BL1223" t="inlineStr">
        <is>
          <t>Science Citation Index Expanded (SCI-EXPANDED); Social Science Citation Index (SSCI)</t>
        </is>
      </c>
      <c r="BM1223" t="inlineStr">
        <is>
          <t>Science &amp; Technology - Other Topics; Environmental Sciences &amp; Ecology</t>
        </is>
      </c>
      <c r="BN1223" t="inlineStr">
        <is>
          <t>2Y2IF</t>
        </is>
      </c>
      <c r="BP1223" t="inlineStr">
        <is>
          <t>Green Published, gold</t>
        </is>
      </c>
      <c r="BS1223" t="inlineStr">
        <is>
          <t>2023-10-26</t>
        </is>
      </c>
      <c r="BT1223" t="inlineStr">
        <is>
          <t>WOS:000825712900001</t>
        </is>
      </c>
      <c r="BU1223">
        <f>HYPERLINK("https%3A%2F%2Fwww.webofscience.com%2Fwos%2Fwoscc%2Ffull-record%2FWOS:000825712900001","View Full Record in Web of Science")</f>
        <v/>
      </c>
    </row>
    <row r="1224">
      <c r="A1224" t="inlineStr">
        <is>
          <t>J</t>
        </is>
      </c>
      <c r="B1224" t="inlineStr">
        <is>
          <t>Zhang, XL; Skitmore, M; De Jong, M; Huisingh, D; Gray, M</t>
        </is>
      </c>
      <c r="F1224" t="inlineStr">
        <is>
          <t>Zhang, Xiaoling; Skitmore, Martin; De Jong, Martin; Huisingh, Donald; Gray, Matthew</t>
        </is>
      </c>
      <c r="J1224" t="inlineStr">
        <is>
          <t>JOURNAL OF CLEANER PRODUCTION</t>
        </is>
      </c>
      <c r="M1224" t="inlineStr">
        <is>
          <t>English</t>
        </is>
      </c>
      <c r="N1224" t="inlineStr">
        <is>
          <t>Article</t>
        </is>
      </c>
      <c r="T1224" t="inlineStr">
        <is>
          <t>Regenerative sustainability for the built environment - from vision to reality: an introductory chapter</t>
        </is>
      </c>
      <c r="U1224" t="inlineStr">
        <is>
          <t>Regenerative sustainability; Theory; Framework; Built environment; Pathways; Obstacles and enablers</t>
        </is>
      </c>
      <c r="W1224" t="inlineStr">
        <is>
          <t>Regenerative sustainability is emerging as an alternative discourse around the transition from a 'mechanistic' to an 'ecological' or living systems worldview. This view helps us to re-conceptualize relationships among humans' technological, ecological, economic, social and political systems. Through exploration of 'net positive' or 'regenerative' development lenses and the traditional sustainability literature, the conceptualization and approaches to achieve sustainable development and ecological modernization are expanded to articulate and to explore the evolving sustainability discourse, 'regenerative sustainability'. This Special Volume of Journal of Cleaner Production (SIP) is focused upon various dimensions of regenerative sustainability (e.g. regenerative design, regenerative development, and positive development) applied to the urban built environment at scales, which range from individual buildings, neighbourhoods, and urban developments to integrated regional sustainable development. The main focus is on how these approaches and developments are evolving, how they can help us to prevent or adapt to climate change and how these approaches are likely to evolve in the next two to three decades. These approaches are addressed in four themes: (1) reviewing the theoretical development of the discourse of regenerative sustainability, its emerging principles and practices, (2) explaining how it can be measured and monitored, (3) providing encouraging practical pathways and examples of its implementation in multiple cultural and climatic contexts, and (4) mapping obstacles and enablers that must be addressed to help to ensure that more rapid progress is made in implementing the transitions towards an urban built environment that supports genuinely sustainable societies. (C) 2015 Elsevier Ltd. All rights reserved.</t>
        </is>
      </c>
      <c r="X1224" t="inlineStr">
        <is>
          <t>[Zhang, Xiaoling] City Univ Hong Kong, Dept Publ Policy, Hong Kong, Hong Kong, Peoples R China; [Skitmore, Martin; Gray, Matthew] Queensland Univ Technol, Sch Civil Engn &amp; Built Environm, Brisbane, Qld 4001, Australia; [De Jong, Martin] Delft Univ Technol, Fac Technol Policy &amp; Management, Delft, Netherlands; [Huisingh, Donald] Univ Tennessee, Journal Cleaner Prod, Knoxville, TN USA</t>
        </is>
      </c>
      <c r="Y1224" t="inlineStr">
        <is>
          <t>City University of Hong Kong; Queensland University of Technology (QUT); Delft University of Technology; University of Tennessee System; University of Tennessee Knoxville</t>
        </is>
      </c>
      <c r="Z1224" t="inlineStr">
        <is>
          <t>Zhang, XL (corresponding author), City Univ Hong Kong, Dept Publ Policy, Hong Kong, Hong Kong, Peoples R China.</t>
        </is>
      </c>
      <c r="AA1224" t="inlineStr">
        <is>
          <t>xiaoling.zhang@cityu.edu.hk; rm.skitmore@qut.edu.au; W.M.deJong@tudelft.nl; donaldhuisingh@comcast.net; m2.gray@qut.edu.au</t>
        </is>
      </c>
      <c r="AB1224" t="inlineStr">
        <is>
          <t>Skitmore, Martin/I-9743-2012; Zhang, Xiaoling/AAT-4795-2020; de Jong, Martin/E-8002-2013; Zhang, Xiaoling/AAT-4748-2020</t>
        </is>
      </c>
      <c r="AC1224" t="inlineStr">
        <is>
          <t>Skitmore, Martin/0000-0001-7135-1201; Zhang, Xiaoling/0000-0002-6369-9424;</t>
        </is>
      </c>
      <c r="AH1224" t="n">
        <v>41</v>
      </c>
      <c r="AI1224" t="n">
        <v>23</v>
      </c>
      <c r="AJ1224" t="n">
        <v>23</v>
      </c>
      <c r="AK1224" t="n">
        <v>8</v>
      </c>
      <c r="AL1224" t="n">
        <v>61</v>
      </c>
      <c r="AM1224" t="inlineStr">
        <is>
          <t>ELSEVIER SCI LTD</t>
        </is>
      </c>
      <c r="AN1224" t="inlineStr">
        <is>
          <t>OXFORD</t>
        </is>
      </c>
      <c r="AO1224" t="inlineStr">
        <is>
          <t>THE BOULEVARD, LANGFORD LANE, KIDLINGTON, OXFORD OX5 1GB, OXON, ENGLAND</t>
        </is>
      </c>
      <c r="AP1224" t="inlineStr">
        <is>
          <t>0959-6526</t>
        </is>
      </c>
      <c r="AQ1224" t="inlineStr">
        <is>
          <t>1879-1786</t>
        </is>
      </c>
      <c r="AS1224" t="inlineStr">
        <is>
          <t>J CLEAN PROD</t>
        </is>
      </c>
      <c r="AT1224" t="inlineStr">
        <is>
          <t>J. Clean Prod.</t>
        </is>
      </c>
      <c r="AU1224" t="inlineStr">
        <is>
          <t>DEC 16</t>
        </is>
      </c>
      <c r="AV1224" t="n">
        <v>2015</v>
      </c>
      <c r="AW1224" t="n">
        <v>109</v>
      </c>
      <c r="BA1224" t="inlineStr">
        <is>
          <t>SI</t>
        </is>
      </c>
      <c r="BC1224" t="n">
        <v>1</v>
      </c>
      <c r="BD1224" t="n">
        <v>10</v>
      </c>
      <c r="BF1224" t="inlineStr">
        <is>
          <t>10.1016/j.jclepro.2015.10.001</t>
        </is>
      </c>
      <c r="BG1224">
        <f>HYPERLINK("http://dx.doi.org/10.1016/j.jclepro.2015.10.001","http://dx.doi.org/10.1016/j.jclepro.2015.10.001")</f>
        <v/>
      </c>
      <c r="BJ1224" t="n">
        <v>10</v>
      </c>
      <c r="BK1224" t="inlineStr">
        <is>
          <t>Green &amp; Sustainable Science &amp; Technology; Engineering, Environmental; Environmental Sciences</t>
        </is>
      </c>
      <c r="BL1224" t="inlineStr">
        <is>
          <t>Science Citation Index Expanded (SCI-EXPANDED)</t>
        </is>
      </c>
      <c r="BM1224" t="inlineStr">
        <is>
          <t>Science &amp; Technology - Other Topics; Engineering; Environmental Sciences &amp; Ecology</t>
        </is>
      </c>
      <c r="BN1224" t="inlineStr">
        <is>
          <t>CZ9HZ</t>
        </is>
      </c>
      <c r="BP1224" t="inlineStr">
        <is>
          <t>Green Submitted</t>
        </is>
      </c>
      <c r="BS1224" t="inlineStr">
        <is>
          <t>2023-10-26</t>
        </is>
      </c>
      <c r="BT1224" t="inlineStr">
        <is>
          <t>WOS:000367410000001</t>
        </is>
      </c>
      <c r="BU1224">
        <f>HYPERLINK("https%3A%2F%2Fwww.webofscience.com%2Fwos%2Fwoscc%2Ffull-record%2FWOS:000367410000001","View Full Record in Web of Science")</f>
        <v/>
      </c>
    </row>
    <row r="1225">
      <c r="A1225" t="inlineStr">
        <is>
          <t>J</t>
        </is>
      </c>
      <c r="B1225" t="inlineStr">
        <is>
          <t>Krasnov, H; Katra, I; Friger, MD</t>
        </is>
      </c>
      <c r="F1225" t="inlineStr">
        <is>
          <t>Krasnov, Helena; Katra, Itzhak; Friger, Michael D.</t>
        </is>
      </c>
      <c r="J1225" t="inlineStr">
        <is>
          <t>ATMOSPHERE</t>
        </is>
      </c>
      <c r="M1225" t="inlineStr">
        <is>
          <t>English</t>
        </is>
      </c>
      <c r="N1225" t="inlineStr">
        <is>
          <t>Article</t>
        </is>
      </c>
      <c r="T1225" t="inlineStr">
        <is>
          <t>Insights into Indoor/Outdoor PM Concentration Ratios due to Dust Storms in an Arid Region</t>
        </is>
      </c>
      <c r="U1225" t="inlineStr">
        <is>
          <t>PM; indoor; outdoor; dust storms; spatial distribution; arid areas</t>
        </is>
      </c>
      <c r="V1225" t="inlineStr">
        <is>
          <t>COARSE PARTICLES; SAHARAN DUST; INDOOR; PENETRATION; POLLUTION; MONITORS; NICOSIA; WINTER; PM2.5</t>
        </is>
      </c>
      <c r="W1225" t="inlineStr">
        <is>
          <t>Dust storms have impacts on both human and physical environments, associated with an increase in atmospheric particulate matter (PM) concentrations. Most studies on exposure to PM have focused on the outdoor air, while information on indoor pollution, is still lacking. The aim of this study was to examine the impact of desert dust events on PM concentrations in indoor environments. A total of over 200 real time measurements of PM were conducted in houses in the Negev Desert during dust storms. Indoor and outdoor PM concentrations were characterized, as well as the relationships between the two datasets. The findings indicated that atmospheric PM10 concentrations can increase from 20-120 gm(-3) on non-dust days to more than 1500 gm(-3) during dust events. Indoor concentrations can reach as high as 1000 gm(-3). The calculated indoor/outdoor (I/O) PM ratio ranged from 0.79 for low-level storms to 0.58 during stronger events. Indoor PM concentrations were found to be dependent on the dust storm intensity (low, medium, high) and duration with a time lag. The information obtained in this study is critical for assessment of policy interventions to reduce exposure risk and health effects due dust storms.</t>
        </is>
      </c>
      <c r="X1225" t="inlineStr">
        <is>
          <t>[Krasnov, Helena; Katra, Itzhak] Ben Gurion Univ Negev, Dept Geog &amp; Environm Dev, IL-84105 Beer Sheva, Israel; [Friger, Michael D.] Ben Gurion Univ Negev, Dept Publ Hlth, Fac Hlth Sci, IL-84105 Beer Sheva, Israel</t>
        </is>
      </c>
      <c r="Y1225" t="inlineStr">
        <is>
          <t>Ben Gurion University; Ben Gurion University</t>
        </is>
      </c>
      <c r="Z1225" t="inlineStr">
        <is>
          <t>Krasnov, H (corresponding author), Ben Gurion Univ Negev, Dept Geog &amp; Environm Dev, IL-84105 Beer Sheva, Israel.</t>
        </is>
      </c>
      <c r="AA1225" t="inlineStr">
        <is>
          <t>krasnovh@post.bgu.ac.il; katra@bgu.ac.il; friger@bgu.ac.il</t>
        </is>
      </c>
      <c r="AB1225" t="inlineStr">
        <is>
          <t>KATRA, ITZHAK/F-1547-2012</t>
        </is>
      </c>
      <c r="AD1225" t="inlineStr">
        <is>
          <t>Environment and Health Fund [RGA1004]</t>
        </is>
      </c>
      <c r="AE1225" t="inlineStr">
        <is>
          <t>Environment and Health Fund</t>
        </is>
      </c>
      <c r="AF1225" t="inlineStr">
        <is>
          <t>The research was supported by a grant from the Environment and Health Fund (No. RGA1004).</t>
        </is>
      </c>
      <c r="AH1225" t="n">
        <v>23</v>
      </c>
      <c r="AI1225" t="n">
        <v>6</v>
      </c>
      <c r="AJ1225" t="n">
        <v>6</v>
      </c>
      <c r="AK1225" t="n">
        <v>0</v>
      </c>
      <c r="AL1225" t="n">
        <v>21</v>
      </c>
      <c r="AM1225" t="inlineStr">
        <is>
          <t>MDPI</t>
        </is>
      </c>
      <c r="AN1225" t="inlineStr">
        <is>
          <t>BASEL</t>
        </is>
      </c>
      <c r="AO1225" t="inlineStr">
        <is>
          <t>ST ALBAN-ANLAGE 66, CH-4052 BASEL, SWITZERLAND</t>
        </is>
      </c>
      <c r="AQ1225" t="inlineStr">
        <is>
          <t>2073-4433</t>
        </is>
      </c>
      <c r="AS1225" t="inlineStr">
        <is>
          <t>ATMOSPHERE-BASEL</t>
        </is>
      </c>
      <c r="AT1225" t="inlineStr">
        <is>
          <t>Atmosphere</t>
        </is>
      </c>
      <c r="AU1225" t="inlineStr">
        <is>
          <t>JUL</t>
        </is>
      </c>
      <c r="AV1225" t="n">
        <v>2015</v>
      </c>
      <c r="AW1225" t="n">
        <v>6</v>
      </c>
      <c r="AX1225" t="n">
        <v>7</v>
      </c>
      <c r="BC1225" t="n">
        <v>879</v>
      </c>
      <c r="BD1225" t="n">
        <v>890</v>
      </c>
      <c r="BF1225" t="inlineStr">
        <is>
          <t>10.3390/atmos6070879</t>
        </is>
      </c>
      <c r="BG1225">
        <f>HYPERLINK("http://dx.doi.org/10.3390/atmos6070879","http://dx.doi.org/10.3390/atmos6070879")</f>
        <v/>
      </c>
      <c r="BJ1225" t="n">
        <v>12</v>
      </c>
      <c r="BK1225" t="inlineStr">
        <is>
          <t>Environmental Sciences; Meteorology &amp; Atmospheric Sciences</t>
        </is>
      </c>
      <c r="BL1225" t="inlineStr">
        <is>
          <t>Science Citation Index Expanded (SCI-EXPANDED)</t>
        </is>
      </c>
      <c r="BM1225" t="inlineStr">
        <is>
          <t>Environmental Sciences &amp; Ecology; Meteorology &amp; Atmospheric Sciences</t>
        </is>
      </c>
      <c r="BN1225" t="inlineStr">
        <is>
          <t>CP1JG</t>
        </is>
      </c>
      <c r="BP1225" t="inlineStr">
        <is>
          <t>gold, Green Submitted</t>
        </is>
      </c>
      <c r="BS1225" t="inlineStr">
        <is>
          <t>2023-10-26</t>
        </is>
      </c>
      <c r="BT1225" t="inlineStr">
        <is>
          <t>WOS:000359631500002</t>
        </is>
      </c>
      <c r="BU1225">
        <f>HYPERLINK("https%3A%2F%2Fwww.webofscience.com%2Fwos%2Fwoscc%2Ffull-record%2FWOS:000359631500002","View Full Record in Web of Science")</f>
        <v/>
      </c>
    </row>
    <row r="1226">
      <c r="A1226" t="inlineStr">
        <is>
          <t>J</t>
        </is>
      </c>
      <c r="B1226" t="inlineStr">
        <is>
          <t>Lu, SW; Shi, CY; Yang, XP</t>
        </is>
      </c>
      <c r="F1226" t="inlineStr">
        <is>
          <t>Lu, Shiwei; Shi, Chaoyang; Yang, Xiping</t>
        </is>
      </c>
      <c r="J1226" t="inlineStr">
        <is>
          <t>INTERNATIONAL JOURNAL OF ENVIRONMENTAL RESEARCH AND PUBLIC HEALTH</t>
        </is>
      </c>
      <c r="M1226" t="inlineStr">
        <is>
          <t>English</t>
        </is>
      </c>
      <c r="N1226" t="inlineStr">
        <is>
          <t>Article</t>
        </is>
      </c>
      <c r="T1226" t="inlineStr">
        <is>
          <t>Impacts of Built Environment on Urban Vitality: Regression Analyses of Beijing and Chengdu, China</t>
        </is>
      </c>
      <c r="U1226" t="inlineStr">
        <is>
          <t>social media check-in data; built environment; urban vitality; heterogeneous patterns; regression analyses</t>
        </is>
      </c>
      <c r="V1226" t="inlineStr">
        <is>
          <t>VIBRANCY; FORM; EXPANSION; DYNAMICS; FEATURES</t>
        </is>
      </c>
      <c r="W1226" t="inlineStr">
        <is>
          <t>The loss of urban vitality is an important problem in the development of urban central areas. Analyzing the correlation between urban built environment and urban vitality supports urban planning and design. However, current research excludes the study of how consistent built environment factors affect urban vitality of cities with different development situations. Therefore, using social media check-in data, this paper measures neighborhood vibrancy in urban central areas in Beijing and Chengdu, China. Four levels of spatial information were used to measure the built environment: regulatory planning management unit (RPMU), land use, road network, and building. Regression model is used to quantify the correlation between urban vitality and the built environment of these two cities. The study found a strong correlation between built environment factors and urban vitality. Among the built environment factors, points of interest (POI) diversity and public transport accessibility indicators were strongly positively correlated with neighborhood vibrancy. However, the density indicators had totally different effects on urban vitality of cities with different development situations, which is excluded in existing studies. This research strengthens the practical understanding of the compact city concept, and can support the design and planning of urban built environment.</t>
        </is>
      </c>
      <c r="X1226" t="inlineStr">
        <is>
          <t>[Lu, Shiwei] Minist Land &amp; Resources China, Key Lab Urban Land Resources Monitoring &amp; Simulat, Shenzhen 518034, Peoples R China; [Lu, Shiwei] Huazhong Univ Sci &amp; Technol, Sch Architecture &amp; Urban Planning, Wuhan 430074, Peoples R China; [Shi, Chaoyang] Huazhong Univ Sci &amp; Technol, Sch Civil Engn &amp; Mech, Wuhan 430074, Peoples R China; [Yang, Xiping] Shaanxi Normal Univ, Sch Geog &amp; Tourism, Xian 710119, Peoples R China; [Yang, Xiping] Geomat Technol &amp; Applicat Key Lab Qinghai Prov, Xining 810001, Peoples R China</t>
        </is>
      </c>
      <c r="Y1226" t="inlineStr">
        <is>
          <t>Ministry of Natural Resources of the People's Republic of China; Huazhong University of Science &amp; Technology; Huazhong University of Science &amp; Technology; Shaanxi Normal University</t>
        </is>
      </c>
      <c r="Z1226" t="inlineStr">
        <is>
          <t>Shi, CY (corresponding author), Huazhong Univ Sci &amp; Technol, Sch Civil Engn &amp; Mech, Wuhan 430074, Peoples R China.</t>
        </is>
      </c>
      <c r="AA1226" t="inlineStr">
        <is>
          <t>lusw_gis@163.com; cyshi@hust.edu.cn; xpyang@snnu.edu.cn</t>
        </is>
      </c>
      <c r="AC1226" t="inlineStr">
        <is>
          <t>Shi, Chaoyang/0000-0002-4383-0974; Xiping, Yang/0000-0002-2507-4757</t>
        </is>
      </c>
      <c r="AD1226" t="inlineStr">
        <is>
          <t>National Natural Science Foundation of China [41901390, 41801373, 41901392]; Open Fund of Key Laboratory of Urban Land Resources Monitoring and Simulation, Ministry of Land and Resources [KF-2018-03-006]; Open fund of Beijing Key Laboratory of Urban Spatial Information Engineering [2019206]; China Postdoctoral Science Foundation [2017M623112, 2019T120876]; Foundation of Geomatics Technology and Application Key Laboratory of Qinghai Province [QHDX-2018-08]</t>
        </is>
      </c>
      <c r="AE1226" t="inlineStr">
        <is>
          <t>National Natural Science Foundation of China(National Natural Science Foundation of China (NSFC)); Open Fund of Key Laboratory of Urban Land Resources Monitoring and Simulation, Ministry of Land and Resources; Open fund of Beijing Key Laboratory of Urban Spatial Information Engineering; China Postdoctoral Science Foundation(China Postdoctoral Science Foundation); Foundation of Geomatics Technology and Application Key Laboratory of Qinghai Province</t>
        </is>
      </c>
      <c r="AF1226" t="inlineStr">
        <is>
          <t>This research was jointly supported by the National Natural Science Foundation of China (41901390, 41801373, 41901392), the Open Fund of Key Laboratory of Urban Land Resources Monitoring and Simulation, Ministry of Land and Resources (KF-2018-03-006), and the Open fund of Beijing Key Laboratory of Urban Spatial Information Engineering (No. 2019206), the China Postdoctoral Science Foundation (Nos. 2017M623112, 2019T120876), the Foundation of Geomatics Technology and Application Key Laboratory of Qinghai Province (No. QHDX-2018-08).</t>
        </is>
      </c>
      <c r="AH1226" t="n">
        <v>52</v>
      </c>
      <c r="AI1226" t="n">
        <v>42</v>
      </c>
      <c r="AJ1226" t="n">
        <v>43</v>
      </c>
      <c r="AK1226" t="n">
        <v>43</v>
      </c>
      <c r="AL1226" t="n">
        <v>244</v>
      </c>
      <c r="AM1226" t="inlineStr">
        <is>
          <t>MDPI</t>
        </is>
      </c>
      <c r="AN1226" t="inlineStr">
        <is>
          <t>BASEL</t>
        </is>
      </c>
      <c r="AO1226" t="inlineStr">
        <is>
          <t>ST ALBAN-ANLAGE 66, CH-4052 BASEL, SWITZERLAND</t>
        </is>
      </c>
      <c r="AQ1226" t="inlineStr">
        <is>
          <t>1660-4601</t>
        </is>
      </c>
      <c r="AS1226" t="inlineStr">
        <is>
          <t>INT J ENV RES PUB HE</t>
        </is>
      </c>
      <c r="AT1226" t="inlineStr">
        <is>
          <t>Int. J. Environ. Res. Public Health</t>
        </is>
      </c>
      <c r="AU1226" t="inlineStr">
        <is>
          <t>DEC</t>
        </is>
      </c>
      <c r="AV1226" t="n">
        <v>2019</v>
      </c>
      <c r="AW1226" t="n">
        <v>16</v>
      </c>
      <c r="AX1226" t="n">
        <v>23</v>
      </c>
      <c r="BE1226" t="n">
        <v>4592</v>
      </c>
      <c r="BF1226" t="inlineStr">
        <is>
          <t>10.3390/ijerph16234592</t>
        </is>
      </c>
      <c r="BG1226">
        <f>HYPERLINK("http://dx.doi.org/10.3390/ijerph16234592","http://dx.doi.org/10.3390/ijerph16234592")</f>
        <v/>
      </c>
      <c r="BJ1226" t="n">
        <v>16</v>
      </c>
      <c r="BK1226" t="inlineStr">
        <is>
          <t>Environmental Sciences; Public, Environmental &amp; Occupational Health</t>
        </is>
      </c>
      <c r="BL1226" t="inlineStr">
        <is>
          <t>Science Citation Index Expanded (SCI-EXPANDED); Social Science Citation Index (SSCI)</t>
        </is>
      </c>
      <c r="BM1226" t="inlineStr">
        <is>
          <t>Environmental Sciences &amp; Ecology; Public, Environmental &amp; Occupational Health</t>
        </is>
      </c>
      <c r="BN1226" t="inlineStr">
        <is>
          <t>KC6HG</t>
        </is>
      </c>
      <c r="BO1226" t="n">
        <v>31756945</v>
      </c>
      <c r="BP1226" t="inlineStr">
        <is>
          <t>gold, Green Published</t>
        </is>
      </c>
      <c r="BS1226" t="inlineStr">
        <is>
          <t>2023-10-26</t>
        </is>
      </c>
      <c r="BT1226" t="inlineStr">
        <is>
          <t>WOS:000507275700086</t>
        </is>
      </c>
      <c r="BU1226">
        <f>HYPERLINK("https%3A%2F%2Fwww.webofscience.com%2Fwos%2Fwoscc%2Ffull-record%2FWOS:000507275700086","View Full Record in Web of Science")</f>
        <v/>
      </c>
    </row>
    <row r="1227">
      <c r="A1227" t="inlineStr">
        <is>
          <t>J</t>
        </is>
      </c>
      <c r="B1227" t="inlineStr">
        <is>
          <t>Hürlimann, AC; Nielsen, J; Moosavi, S; Bush, J; Warren-Myers, G; March, A</t>
        </is>
      </c>
      <c r="F1227" t="inlineStr">
        <is>
          <t>Hurlimann, Anna C.; Nielsen, Josh; Moosavi, Sareh; Bush, Judy; Warren-Myers, Georgia; March, Alan</t>
        </is>
      </c>
      <c r="J1227" t="inlineStr">
        <is>
          <t>ENVIRONMENTAL SCIENCE &amp; POLICY</t>
        </is>
      </c>
      <c r="M1227" t="inlineStr">
        <is>
          <t>English</t>
        </is>
      </c>
      <c r="N1227" t="inlineStr">
        <is>
          <t>Review</t>
        </is>
      </c>
      <c r="T1227" t="inlineStr">
        <is>
          <t>Climate change preparedness across sectors of the built environment-A review of literature</t>
        </is>
      </c>
      <c r="U1227" t="inlineStr">
        <is>
          <t>Built environments; Climate change; Professionals; Preparedness; Barriers; Facilitators</t>
        </is>
      </c>
      <c r="V1227" t="inlineStr">
        <is>
          <t>AUSTRALIAN CONSTRUCTION-INDUSTRY; CHANGE ADAPTATION; REAL-ESTATE; MAINSTREAMING CLIMATE; DESIGN; BARRIERS; SUSTAINABILITY; CHALLENGES; IMPACTS; OPPORTUNITIES</t>
        </is>
      </c>
      <c r="W1227" t="inlineStr">
        <is>
          <t>Cities (built environments) produce a significant proportion of global greenhouse gas emissions, making a significant contribution to climate change. They are home to the majority of the world's population and economic activity yet face increasing risks from climate change impacts. Thus, it is critical that those involved in producing and managing built environments are prepared for climate change. This paper presents a review of literature focused on two key components of professions and professional practice across the built environment sectors urban planning, construction, property, and design (architecture, landscape architecture, urban design): 1) barriers to and facilitators of climate change action (mitigation and adaptation); and 2) climate change preparedness. Barriers to and facilitators of climate change action were found to vary across sectors, with some overlap. A limited understanding of preparedness to address climate change action was found across the sectors reviewed. These findings are important. A limited understanding of climate change preparedness across these sectors may limit capacity to achieve global goals such as the Paris Agreement which seeks to limit global warming to 1.5 oC, and to be well adapted to the changes that will occur. Significant social and economic impacts could result from a lack of preparedness. The published research reviewed lacked a holistic and integrated view of: the built environment; and of climate change action within it. It is recommended that these gaps in research and practice are addressed to facilitate effective climate change action in cities, to avoid further economic, social and environmental impacts of climate change.</t>
        </is>
      </c>
      <c r="X1227" t="inlineStr">
        <is>
          <t>[Hurlimann, Anna C.; Nielsen, Josh; Bush, Judy; Warren-Myers, Georgia; March, Alan] Univ Melbourne, Fac Architecture Bldg &amp; Planning, Parkville, Vic 3010, Australia; [Moosavi, Sareh] Univ Libre Bruxelles, Fac Architecture Cambre Horta, Pl Eug Ene Flagey 19, B-1050 Brussels, Belgium</t>
        </is>
      </c>
      <c r="Y1227" t="inlineStr">
        <is>
          <t>University of Melbourne; Universite Libre de Bruxelles</t>
        </is>
      </c>
      <c r="Z1227" t="inlineStr">
        <is>
          <t>Hürlimann, AC (corresponding author), Univ Melbourne, Fac Architecture Bldg &amp; Planning, Parkville, Vic 3010, Australia.</t>
        </is>
      </c>
      <c r="AA1227" t="inlineStr">
        <is>
          <t>hurac@unimelb.edu.au</t>
        </is>
      </c>
      <c r="AC1227" t="inlineStr">
        <is>
          <t>Bush, Judy/0000-0002-7847-6610; Warren-Myers, Georgia/0000-0002-1453-8421</t>
        </is>
      </c>
      <c r="AD1227" t="inlineStr">
        <is>
          <t>Australian Research Council Discovery Grant [DP200101378]; Australian Research Council [DP200101378] Funding Source: Australian Research Council</t>
        </is>
      </c>
      <c r="AE1227" t="inlineStr">
        <is>
          <t>Australian Research Council Discovery Grant(Australian Research Council); Australian Research Council(Australian Research Council)</t>
        </is>
      </c>
      <c r="AF1227" t="inlineStr">
        <is>
          <t>This research was funded by Australian Research Council Discovery Grant DP200101378.</t>
        </is>
      </c>
      <c r="AH1227" t="n">
        <v>137</v>
      </c>
      <c r="AI1227" t="n">
        <v>9</v>
      </c>
      <c r="AJ1227" t="n">
        <v>9</v>
      </c>
      <c r="AK1227" t="n">
        <v>13</v>
      </c>
      <c r="AL1227" t="n">
        <v>45</v>
      </c>
      <c r="AM1227" t="inlineStr">
        <is>
          <t>ELSEVIER SCI LTD</t>
        </is>
      </c>
      <c r="AN1227" t="inlineStr">
        <is>
          <t>OXFORD</t>
        </is>
      </c>
      <c r="AO1227" t="inlineStr">
        <is>
          <t>THE BOULEVARD, LANGFORD LANE, KIDLINGTON, OXFORD OX5 1GB, OXON, ENGLAND</t>
        </is>
      </c>
      <c r="AP1227" t="inlineStr">
        <is>
          <t>1462-9011</t>
        </is>
      </c>
      <c r="AQ1227" t="inlineStr">
        <is>
          <t>1873-6416</t>
        </is>
      </c>
      <c r="AS1227" t="inlineStr">
        <is>
          <t>ENVIRON SCI POLICY</t>
        </is>
      </c>
      <c r="AT1227" t="inlineStr">
        <is>
          <t>Environ. Sci. Policy</t>
        </is>
      </c>
      <c r="AU1227" t="inlineStr">
        <is>
          <t>FEB</t>
        </is>
      </c>
      <c r="AV1227" t="n">
        <v>2022</v>
      </c>
      <c r="AW1227" t="n">
        <v>128</v>
      </c>
      <c r="BC1227" t="n">
        <v>277</v>
      </c>
      <c r="BD1227" t="n">
        <v>289</v>
      </c>
      <c r="BF1227" t="inlineStr">
        <is>
          <t>10.1016/j.envsci.2021.11.021</t>
        </is>
      </c>
      <c r="BG1227">
        <f>HYPERLINK("http://dx.doi.org/10.1016/j.envsci.2021.11.021","http://dx.doi.org/10.1016/j.envsci.2021.11.021")</f>
        <v/>
      </c>
      <c r="BJ1227" t="n">
        <v>13</v>
      </c>
      <c r="BK1227" t="inlineStr">
        <is>
          <t>Environmental Sciences</t>
        </is>
      </c>
      <c r="BL1227" t="inlineStr">
        <is>
          <t>Science Citation Index Expanded (SCI-EXPANDED); Social Science Citation Index (SSCI)</t>
        </is>
      </c>
      <c r="BM1227" t="inlineStr">
        <is>
          <t>Environmental Sciences &amp; Ecology</t>
        </is>
      </c>
      <c r="BN1227" t="inlineStr">
        <is>
          <t>0T9BK</t>
        </is>
      </c>
      <c r="BS1227" t="inlineStr">
        <is>
          <t>2023-10-26</t>
        </is>
      </c>
      <c r="BT1227" t="inlineStr">
        <is>
          <t>WOS:000787256200003</t>
        </is>
      </c>
      <c r="BU1227">
        <f>HYPERLINK("https%3A%2F%2Fwww.webofscience.com%2Fwos%2Fwoscc%2Ffull-record%2FWOS:000787256200003","View Full Record in Web of Science")</f>
        <v/>
      </c>
    </row>
    <row r="1228">
      <c r="A1228" t="inlineStr">
        <is>
          <t>J</t>
        </is>
      </c>
      <c r="B1228" t="inlineStr">
        <is>
          <t>Abbaspour, A; Bahadori-Jahromi, A; Amirkhani, S; Janbey, A; Godfrey, PB; Tahayori, H; Piechowicz, J</t>
        </is>
      </c>
      <c r="F1228" t="inlineStr">
        <is>
          <t>Abbaspour, Atefeh; Bahadori-Jahromi, Ali; Amirkhani, Shiva; Janbey, Alan; Godfrey, Paulina B.; Tahayori, Hooman; Piechowicz, Jacek</t>
        </is>
      </c>
      <c r="J1228" t="inlineStr">
        <is>
          <t>SUSTAINABILITY</t>
        </is>
      </c>
      <c r="M1228" t="inlineStr">
        <is>
          <t>English</t>
        </is>
      </c>
      <c r="N1228" t="inlineStr">
        <is>
          <t>Article</t>
        </is>
      </c>
      <c r="T1228" t="inlineStr">
        <is>
          <t>Multi-Zonal Analysis of Indoor Air Quality in a Higher Educational Building in the UK</t>
        </is>
      </c>
      <c r="U1228" t="inlineStr">
        <is>
          <t>indoor air quality; CONTAM; background ventilation; indoor contaminants; HEPA filter; SARS-CoV-2</t>
        </is>
      </c>
      <c r="V1228" t="inlineStr">
        <is>
          <t>EXPOSURE; RATES</t>
        </is>
      </c>
      <c r="W1228" t="inlineStr">
        <is>
          <t>This study focuses on the indoor air quality (IAQ) in a higher educational building, the London College in the UK. In this regard, indoor CO2 levels, as well as three contaminants with detrimental effects on human health: NO2, PM2.5, and SARS-CoV-2, are investigated. Various IAQ enhancement strategies are analyzed, including increased ventilation, background ventilation, improved airflow through opened doors, and the use of HEPA air cleaners. Results revealed that background ventilation and open doors during occupied periods reduced CO2 concentrations to around 1000 ppm. However, the effectiveness of background ventilation was influenced by outdoor conditions, such as wind speed and direction. The most effective method for reducing PM2.5 levels was installing an air cleaner alongside a commercial kitchen hood, resulting in a 15% greater reduction compared to background ventilation. To control the SARS-CoV-2 level, combining background ventilation or opening the doors with a 16,000 m3/h ventilation rate or using an air cleaner with baseline ventilation resulted in a basic reproductive number below 1. Overall, the research highlights the importance of background ventilation and open doors in enclosed spaces without operable windows for natural airflow. Additionally, the effectiveness of air purifiers in reducing particle and biological contaminant concentrations is demonstrated, providing valuable insights for improving IAQ in educational buildings.</t>
        </is>
      </c>
      <c r="X1228" t="inlineStr">
        <is>
          <t>[Abbaspour, Atefeh; Bahadori-Jahromi, Ali] Univ West London, Sch Comp &amp; Engn, Dept Civil &amp; Environm Engn, London W5 5RF, England; [Amirkhani, Shiva] WSP, Sustainabil &amp; Climate Change, 6 Devonshire Sq, London EC2M 4YE, England; [Janbey, Alan; Piechowicz, Jacek] London Coll, Res Dept, London TW5 9QX, England; [Godfrey, Paulina B.] Energy &amp; Environm Engn Operat EMEA, Maple Court, Watford WD24 4QQ, England; [Tahayori, Hooman] Shiraz Univ, Dept Comp Sci &amp; Engn &amp; IT, POB 7134851154, Shiraz, Iran</t>
        </is>
      </c>
      <c r="Y1228" t="inlineStr">
        <is>
          <t>University of West London; Shiraz University</t>
        </is>
      </c>
      <c r="Z1228" t="inlineStr">
        <is>
          <t>Abbaspour, A (corresponding author), Univ West London, Sch Comp &amp; Engn, Dept Civil &amp; Environm Engn, London W5 5RF, England.</t>
        </is>
      </c>
      <c r="AA1228" t="inlineStr">
        <is>
          <t>21554297@student.uwl.ac.uk; ali.bahadori-jahromi@uwl.ac.uk; shiva.amirkhani@wsp.com; a.janbey@lcuck.ac.uk; paulina.godfrey@hilton.com; tahayori@shirazu.ac.ir; jacek.piechowicz@gmail.com</t>
        </is>
      </c>
      <c r="AB1228" t="inlineStr">
        <is>
          <t>B-Jahromi, Ali/J-5934-2018</t>
        </is>
      </c>
      <c r="AC1228" t="inlineStr">
        <is>
          <t>B-Jahromi, Ali/0000-0003-0405-7146</t>
        </is>
      </c>
      <c r="AH1228" t="n">
        <v>43</v>
      </c>
      <c r="AI1228" t="n">
        <v>0</v>
      </c>
      <c r="AJ1228" t="n">
        <v>0</v>
      </c>
      <c r="AK1228" t="n">
        <v>15</v>
      </c>
      <c r="AL1228" t="n">
        <v>15</v>
      </c>
      <c r="AM1228" t="inlineStr">
        <is>
          <t>MDPI</t>
        </is>
      </c>
      <c r="AN1228" t="inlineStr">
        <is>
          <t>BASEL</t>
        </is>
      </c>
      <c r="AO1228" t="inlineStr">
        <is>
          <t>ST ALBAN-ANLAGE 66, CH-4052 BASEL, SWITZERLAND</t>
        </is>
      </c>
      <c r="AQ1228" t="inlineStr">
        <is>
          <t>2071-1050</t>
        </is>
      </c>
      <c r="AS1228" t="inlineStr">
        <is>
          <t>SUSTAINABILITY-BASEL</t>
        </is>
      </c>
      <c r="AT1228" t="inlineStr">
        <is>
          <t>Sustainability</t>
        </is>
      </c>
      <c r="AU1228" t="inlineStr">
        <is>
          <t>AUG</t>
        </is>
      </c>
      <c r="AV1228" t="n">
        <v>2023</v>
      </c>
      <c r="AW1228" t="n">
        <v>15</v>
      </c>
      <c r="AX1228" t="n">
        <v>16</v>
      </c>
      <c r="BE1228" t="n">
        <v>12118</v>
      </c>
      <c r="BF1228" t="inlineStr">
        <is>
          <t>10.3390/su151612118</t>
        </is>
      </c>
      <c r="BG1228">
        <f>HYPERLINK("http://dx.doi.org/10.3390/su151612118","http://dx.doi.org/10.3390/su151612118")</f>
        <v/>
      </c>
      <c r="BJ1228" t="n">
        <v>19</v>
      </c>
      <c r="BK1228" t="inlineStr">
        <is>
          <t>Green &amp; Sustainable Science &amp; Technology; Environmental Sciences; Environmental Studies</t>
        </is>
      </c>
      <c r="BL1228" t="inlineStr">
        <is>
          <t>Science Citation Index Expanded (SCI-EXPANDED); Social Science Citation Index (SSCI)</t>
        </is>
      </c>
      <c r="BM1228" t="inlineStr">
        <is>
          <t>Science &amp; Technology - Other Topics; Environmental Sciences &amp; Ecology</t>
        </is>
      </c>
      <c r="BN1228" t="inlineStr">
        <is>
          <t>Q0KR0</t>
        </is>
      </c>
      <c r="BP1228" t="inlineStr">
        <is>
          <t>gold</t>
        </is>
      </c>
      <c r="BS1228" t="inlineStr">
        <is>
          <t>2023-10-26</t>
        </is>
      </c>
      <c r="BT1228" t="inlineStr">
        <is>
          <t>WOS:001054491500001</t>
        </is>
      </c>
      <c r="BU1228">
        <f>HYPERLINK("https%3A%2F%2Fwww.webofscience.com%2Fwos%2Fwoscc%2Ffull-record%2FWOS:001054491500001","View Full Record in Web of Science")</f>
        <v/>
      </c>
    </row>
    <row r="1229">
      <c r="A1229" t="inlineStr">
        <is>
          <t>J</t>
        </is>
      </c>
      <c r="B1229" t="inlineStr">
        <is>
          <t>Nishihama, Y; Jung, CR; Nakayama, SF; Tamura, K; Isobe, T; Michikawa, T; Iwai-Shimada, M; Kobayashi, Y; Sekiyama, M; Taniguchi, Y; Yamazaki, S</t>
        </is>
      </c>
      <c r="F1229" t="inlineStr">
        <is>
          <t>Nishihama, Yukiko; Jung, Chau-Ren; Nakayama, Shoji F.; Tamura, Kenji; Isobe, Tomohiko; Michikawa, Takehiro; Iwai-Shimada, Miyuki; Kobayashi, Yayoi; Sekiyama, Makiko; Taniguchi, Yu; Yamazaki, Shin</t>
        </is>
      </c>
      <c r="H1229" t="inlineStr">
        <is>
          <t>Japan Environm Childrens Study Gr</t>
        </is>
      </c>
      <c r="J1229" t="inlineStr">
        <is>
          <t>ENVIRONMENTAL RESEARCH</t>
        </is>
      </c>
      <c r="M1229" t="inlineStr">
        <is>
          <t>English</t>
        </is>
      </c>
      <c r="N1229" t="inlineStr">
        <is>
          <t>Article</t>
        </is>
      </c>
      <c r="T1229" t="inlineStr">
        <is>
          <t>Indoor air quality of 5,000 households and its determinants. Part A: Particulate matter (PM2.5 and PM10-2.5) concentrations in the Japan Environment and Children's Study</t>
        </is>
      </c>
      <c r="U1229" t="inlineStr">
        <is>
          <t>Indoor air; Particulate matter; Household characteristics; Volatile organic compounds; Birth cohort</t>
        </is>
      </c>
      <c r="V1229" t="inlineStr">
        <is>
          <t>PERSONAL EXPOSURE; BLACK SMOKE; ENDOTOXIN CONCENTRATIONS; OUTDOOR CONCENTRATIONS; SEASONAL-VARIATION; NITROGEN-DIOXIDE; POLLUTION; PREDICTORS; PARTICLES; MASS</t>
        </is>
      </c>
      <c r="W1229" t="inlineStr">
        <is>
          <t>Exposure to particulate matter (PM) is one of the important risk factors for morbidity and mortality. Although PM concentrations have been assessed using air quality monitoring stations or modelling, few studies have measured indoor PM in large-scale birth cohorts. The Japan Environment and Children's Study (JECS) measured indoor and outdoor air quality in approximately 5000 households when the participating children were aged 1.5 and 3 years. PM was collected using portable pumps for 7 days (total of 24 h), inside and outside each home. Prediction models for indoor PM concentrations were built using data collected at age 1.5 years and post-validated against data collected at age 3 years. Median indoor/outdoor PM2.5 and PM10-2.5 concentrations at age 1.5 years [3 years] were 12.9/12.7 [12.5/11.3] mu g/m(3) and 5.0/6.3 [5.1/6.1] mu g/m(3), respectively. Random forest regression analysis found that the major predictors of indoor PM2.5 were indoor PM10-2.5, outdoor PM2.5, indoor smoking, observable smoke and indoor/outdoor temperature. Indoor PM2.5, outdoor PM10-2.5, indoor humidity and opening room windows were important predictors of indoor PM10-2.5 concentrations. Indoor benzene, acetaldehyde, ozone and nitrogen dioxide concentrations were also found to predict indoor PM2.5 and PM10-2.5 concentrations, possibly due to the formation of secondary organic aerosols. These findings demonstrate the importance of reducing outdoor PM concentrations, avoiding indoor smoking, using air cleaner in applicable and diminishing sources of VOCs that could form secondary organic aerosols, and the resulting models can be used to predict indoor PM concentrations for the rest of the JECS cohort.</t>
        </is>
      </c>
      <c r="X1229" t="inlineStr">
        <is>
          <t>[Nishihama, Yukiko; Jung, Chau-Ren; Nakayama, Shoji F.; Tamura, Kenji; Isobe, Tomohiko; Michikawa, Takehiro; Iwai-Shimada, Miyuki; Kobayashi, Yayoi; Sekiyama, Makiko; Taniguchi, Yu; Yamazaki, Shin] Natl Inst Environm Studies, Hlth &amp; Environm Risk Div, Japan Environm &amp; Childrens Study Programme Off, 16-2 Onogawa, Tsukuba, Ibaraki 3058506, Japan; [Jung, Chau-Ren] China Med Univ, Coll Publ Hlth, Dept Publ Hlth, Taichung, Taiwan; [Michikawa, Takehiro] Toho Univ, Sch Med, Dept Environm &amp; Occupat Hlth, Tokyo, Japan</t>
        </is>
      </c>
      <c r="Y1229" t="inlineStr">
        <is>
          <t>National Institute for Environmental Studies - Japan; China Medical University Taiwan; Toho University</t>
        </is>
      </c>
      <c r="Z1229" t="inlineStr">
        <is>
          <t>Nakayama, SF (corresponding author), Natl Inst Environm Studies, Hlth &amp; Environm Risk Div, Japan Environm &amp; Childrens Study Programme Off, 16-2 Onogawa, Tsukuba, Ibaraki 3058506, Japan.</t>
        </is>
      </c>
      <c r="AA1229" t="inlineStr">
        <is>
          <t>fabre@nics.go.jp</t>
        </is>
      </c>
      <c r="AB1229" t="inlineStr">
        <is>
          <t>Jung, Chau-Ren/I-7618-2019; Nakayama, Shoji F/B-9027-2008; Isobe, Tomohiko/P-2114-2015</t>
        </is>
      </c>
      <c r="AC1229" t="inlineStr">
        <is>
          <t>Jung, Chau-Ren/0000-0003-0673-9968; Nakayama, Shoji F/0000-0001-7772-0389; Isobe, Tomohiko/0000-0001-9235-1227; Michikawa, Takehiro/0000-0002-2298-5133; Sekiyama, Makiko/0000-0002-2104-9140</t>
        </is>
      </c>
      <c r="AD1229" t="inlineStr">
        <is>
          <t>Ministry of the Environment, Japan</t>
        </is>
      </c>
      <c r="AE1229" t="inlineStr">
        <is>
          <t>Ministry of the Environment, Japan(Ministry of the Environment, Japan)</t>
        </is>
      </c>
      <c r="AF1229" t="inlineStr">
        <is>
          <t>This research was funded by the Ministry of the Environment, Japan. The authors declare no conflicts of interest.</t>
        </is>
      </c>
      <c r="AH1229" t="n">
        <v>65</v>
      </c>
      <c r="AI1229" t="n">
        <v>12</v>
      </c>
      <c r="AJ1229" t="n">
        <v>12</v>
      </c>
      <c r="AK1229" t="n">
        <v>4</v>
      </c>
      <c r="AL1229" t="n">
        <v>30</v>
      </c>
      <c r="AM1229" t="inlineStr">
        <is>
          <t>ACADEMIC PRESS INC ELSEVIER SCIENCE</t>
        </is>
      </c>
      <c r="AN1229" t="inlineStr">
        <is>
          <t>SAN DIEGO</t>
        </is>
      </c>
      <c r="AO1229" t="inlineStr">
        <is>
          <t>525 B ST, STE 1900, SAN DIEGO, CA 92101-4495 USA</t>
        </is>
      </c>
      <c r="AP1229" t="inlineStr">
        <is>
          <t>0013-9351</t>
        </is>
      </c>
      <c r="AQ1229" t="inlineStr">
        <is>
          <t>1096-0953</t>
        </is>
      </c>
      <c r="AS1229" t="inlineStr">
        <is>
          <t>ENVIRON RES</t>
        </is>
      </c>
      <c r="AT1229" t="inlineStr">
        <is>
          <t>Environ. Res.</t>
        </is>
      </c>
      <c r="AU1229" t="inlineStr">
        <is>
          <t>JUL</t>
        </is>
      </c>
      <c r="AV1229" t="n">
        <v>2021</v>
      </c>
      <c r="AW1229" t="n">
        <v>198</v>
      </c>
      <c r="BE1229" t="n">
        <v>111196</v>
      </c>
      <c r="BF1229" t="inlineStr">
        <is>
          <t>10.1016/j.envres.2021.111196</t>
        </is>
      </c>
      <c r="BG1229">
        <f>HYPERLINK("http://dx.doi.org/10.1016/j.envres.2021.111196","http://dx.doi.org/10.1016/j.envres.2021.111196")</f>
        <v/>
      </c>
      <c r="BI1229" t="inlineStr">
        <is>
          <t>MAY 2021</t>
        </is>
      </c>
      <c r="BJ1229" t="n">
        <v>12</v>
      </c>
      <c r="BK1229" t="inlineStr">
        <is>
          <t>Environmental Sciences; Public, Environmental &amp; Occupational Health</t>
        </is>
      </c>
      <c r="BL1229" t="inlineStr">
        <is>
          <t>Science Citation Index Expanded (SCI-EXPANDED)</t>
        </is>
      </c>
      <c r="BM1229" t="inlineStr">
        <is>
          <t>Environmental Sciences &amp; Ecology; Public, Environmental &amp; Occupational Health</t>
        </is>
      </c>
      <c r="BN1229" t="inlineStr">
        <is>
          <t>SU9IU</t>
        </is>
      </c>
      <c r="BO1229" t="n">
        <v>33939980</v>
      </c>
      <c r="BP1229" t="inlineStr">
        <is>
          <t>hybrid</t>
        </is>
      </c>
      <c r="BS1229" t="inlineStr">
        <is>
          <t>2023-10-26</t>
        </is>
      </c>
      <c r="BT1229" t="inlineStr">
        <is>
          <t>WOS:000663444500011</t>
        </is>
      </c>
      <c r="BU1229">
        <f>HYPERLINK("https%3A%2F%2Fwww.webofscience.com%2Fwos%2Fwoscc%2Ffull-record%2FWOS:000663444500011","View Full Record in Web of Science")</f>
        <v/>
      </c>
    </row>
    <row r="1230">
      <c r="A1230" t="inlineStr">
        <is>
          <t>J</t>
        </is>
      </c>
      <c r="B1230" t="inlineStr">
        <is>
          <t>Sha, S; Chan, SHW; Chen, L; Xu, YB; Pan, Y</t>
        </is>
      </c>
      <c r="F1230" t="inlineStr">
        <is>
          <t>Sha, Sha; Chan, Sunny H. W.; Chen, Lin; Xu, Yuebin; Pan, Yao</t>
        </is>
      </c>
      <c r="J1230" t="inlineStr">
        <is>
          <t>INTERNATIONAL JOURNAL OF ENVIRONMENTAL RESEARCH AND PUBLIC HEALTH</t>
        </is>
      </c>
      <c r="M1230" t="inlineStr">
        <is>
          <t>English</t>
        </is>
      </c>
      <c r="N1230" t="inlineStr">
        <is>
          <t>Article</t>
        </is>
      </c>
      <c r="T1230" t="inlineStr">
        <is>
          <t>The Association between Trajectories of Loneliness and Physical Frailty in Chinese Older Adults: Does Age Matter?</t>
        </is>
      </c>
      <c r="U1230" t="inlineStr">
        <is>
          <t>loneliness; physical frailty; age difference; older adults</t>
        </is>
      </c>
      <c r="V1230" t="inlineStr">
        <is>
          <t>LIFE SATISFACTION; SOCIAL-ISOLATION; HEALTH; TRANSITIONS; DEPRESSION; MORTALITY; SHANGHAI; PROFILE; PEOPLE; SELF</t>
        </is>
      </c>
      <c r="W1230" t="inlineStr">
        <is>
          <t>Background: The present study aimed to examine age differences in the relationship between trajectories of loneliness and physical frailty among Chinese older adults. Methods: A total of 4618 participants aged &gt;= 60 years old were taken from pooled data created from the 2011-2015 China Health and Retirement Longitudinal Study (CHARLS). Loneliness was assessed by a single question from the Centre for Epidemiological Studies scale, whereas physical frailty (PF) was examined by the physical frailty phenotype scale. We characterized trajectories of loneliness and PF using transition types and changes within the survey period. Results: Logistic regression models revealed that baseline loneliness was significantly related to remaining robust PF (OR = 0.55, 95% CI = 0.49-0.63, p &lt; 0.001) and worsening in PF (OR = 1.17, 95% CI = 1.05-1.30, p &lt; 0.01) at follow-up. Baseline PF status was also significantly related to the transitions in loneliness (worsen: OR = 1.41, 95% CI = 1.11-1.78, p &lt; 0.01; improve: OR = 0.65, 95% CI = 0.47-0.91, p &lt; 0.05). The cross-lagged panel model found that baseline PF or loneliness had a significant predictive effect on the changes in each other. The associations between trajectories of loneliness and PF were weakened with age and clustered in the under 75 age groups. Conclusions: Bidirectional associations may exist between trajectories of loneliness and PF among Chinese older adults. Interventions should mainly target the young-old to reduce the adverse reciprocal effects of loneliness and PF.</t>
        </is>
      </c>
      <c r="X1230" t="inlineStr">
        <is>
          <t>[Sha, Sha] Nanjing Univ Posts &amp; Telecommun, Sch Sociol &amp; Populat Sci, Nanjing 210023, Peoples R China; [Chan, Sunny H. W.] Univ West England, Sch Hlth &amp; Social Wellbeing, Bristol BS16 1DD, Avon, England; [Chen, Lin] Beijing Normal Univ, Belt &amp; Rd Sch, Zhuhai 519087, Peoples R China; [Xu, Yuebin] Beijing Normal Univ, Inst Adv Studies Humanities &amp; Social Sci, Zhuhai 519087, Peoples R China; [Pan, Yao] Beijing Normal Univ, Sch Social Dev &amp; Publ Policy, Beijing 100875, Peoples R China</t>
        </is>
      </c>
      <c r="Y1230" t="inlineStr">
        <is>
          <t>Nanjing University of Posts &amp; Telecommunications; University of West England; Beijing Normal University; Beijing Normal University; Beijing Normal University</t>
        </is>
      </c>
      <c r="Z1230" t="inlineStr">
        <is>
          <t>Pan, Y (corresponding author), Beijing Normal Univ, Sch Social Dev &amp; Publ Policy, Beijing 100875, Peoples R China.</t>
        </is>
      </c>
      <c r="AA1230" t="inlineStr">
        <is>
          <t>shasha_1212@163.com; sunny.chan@uwe.ac.uk; linchen_988@163.com; xuyuebin@bnu.edu.cn; panyao@mail.bnu.edu.cn</t>
        </is>
      </c>
      <c r="AC1230" t="inlineStr">
        <is>
          <t>Pan, Yao/0000-0002-2796-8009; Chan, Sunny H.W./0000-0001-5136-8698</t>
        </is>
      </c>
      <c r="AD1230" t="inlineStr">
        <is>
          <t>Social Science Research Start-up Foundation of Recruiting Talents of Nanjing University of Posts and Telecommunications [NYY221035]</t>
        </is>
      </c>
      <c r="AE1230" t="inlineStr">
        <is>
          <t>Social Science Research Start-up Foundation of Recruiting Talents of Nanjing University of Posts and Telecommunications</t>
        </is>
      </c>
      <c r="AF1230" t="inlineStr">
        <is>
          <t>Social Science Research Start-up Foundation of Recruiting Talents of Nanjing University of Posts and Telecommunications (Grant No. NYY221035). The funder played no role in study design, data collection, and analysis, the decision to publish, or preparation of the manuscript.</t>
        </is>
      </c>
      <c r="AH1230" t="n">
        <v>52</v>
      </c>
      <c r="AI1230" t="n">
        <v>2</v>
      </c>
      <c r="AJ1230" t="n">
        <v>2</v>
      </c>
      <c r="AK1230" t="n">
        <v>8</v>
      </c>
      <c r="AL1230" t="n">
        <v>47</v>
      </c>
      <c r="AM1230" t="inlineStr">
        <is>
          <t>MDPI</t>
        </is>
      </c>
      <c r="AN1230" t="inlineStr">
        <is>
          <t>BASEL</t>
        </is>
      </c>
      <c r="AO1230" t="inlineStr">
        <is>
          <t>ST ALBAN-ANLAGE 66, CH-4052 BASEL, SWITZERLAND</t>
        </is>
      </c>
      <c r="AQ1230" t="inlineStr">
        <is>
          <t>1660-4601</t>
        </is>
      </c>
      <c r="AS1230" t="inlineStr">
        <is>
          <t>INT J ENV RES PUB HE</t>
        </is>
      </c>
      <c r="AT1230" t="inlineStr">
        <is>
          <t>Int. J. Environ. Res. Public Health</t>
        </is>
      </c>
      <c r="AU1230" t="inlineStr">
        <is>
          <t>MAY</t>
        </is>
      </c>
      <c r="AV1230" t="n">
        <v>2022</v>
      </c>
      <c r="AW1230" t="n">
        <v>19</v>
      </c>
      <c r="AX1230" t="n">
        <v>9</v>
      </c>
      <c r="BE1230" t="n">
        <v>5105</v>
      </c>
      <c r="BF1230" t="inlineStr">
        <is>
          <t>10.3390/ijerph19095105</t>
        </is>
      </c>
      <c r="BG1230">
        <f>HYPERLINK("http://dx.doi.org/10.3390/ijerph19095105","http://dx.doi.org/10.3390/ijerph19095105")</f>
        <v/>
      </c>
      <c r="BJ1230" t="n">
        <v>12</v>
      </c>
      <c r="BK1230" t="inlineStr">
        <is>
          <t>Environmental Sciences; Public, Environmental &amp; Occupational Health</t>
        </is>
      </c>
      <c r="BL1230" t="inlineStr">
        <is>
          <t>Science Citation Index Expanded (SCI-EXPANDED); Social Science Citation Index (SSCI)</t>
        </is>
      </c>
      <c r="BM1230" t="inlineStr">
        <is>
          <t>Environmental Sciences &amp; Ecology; Public, Environmental &amp; Occupational Health</t>
        </is>
      </c>
      <c r="BN1230" t="inlineStr">
        <is>
          <t>1E6PC</t>
        </is>
      </c>
      <c r="BO1230" t="n">
        <v>35564500</v>
      </c>
      <c r="BP1230" t="inlineStr">
        <is>
          <t>Green Published, gold</t>
        </is>
      </c>
      <c r="BS1230" t="inlineStr">
        <is>
          <t>2023-10-26</t>
        </is>
      </c>
      <c r="BT1230" t="inlineStr">
        <is>
          <t>WOS:000794607000001</t>
        </is>
      </c>
      <c r="BU1230">
        <f>HYPERLINK("https%3A%2F%2Fwww.webofscience.com%2Fwos%2Fwoscc%2Ffull-record%2FWOS:000794607000001","View Full Record in Web of Science")</f>
        <v/>
      </c>
    </row>
    <row r="1231">
      <c r="A1231" t="inlineStr">
        <is>
          <t>J</t>
        </is>
      </c>
      <c r="B1231" t="inlineStr">
        <is>
          <t>Ife-Adediran, OO; Uwadiae, IB</t>
        </is>
      </c>
      <c r="F1231" t="inlineStr">
        <is>
          <t>Ife-Adediran, Oluwatobi O.; Uwadiae, Iyobosa B.</t>
        </is>
      </c>
      <c r="J1231" t="inlineStr">
        <is>
          <t>EARTH SYSTEMS AND ENVIRONMENT</t>
        </is>
      </c>
      <c r="M1231" t="inlineStr">
        <is>
          <t>English</t>
        </is>
      </c>
      <c r="N1231" t="inlineStr">
        <is>
          <t>Article</t>
        </is>
      </c>
      <c r="T1231" t="inlineStr">
        <is>
          <t>Indoor External Radiation Risk in Densely Populated Regions of Southern Nigeria</t>
        </is>
      </c>
      <c r="U1231" t="inlineStr">
        <is>
          <t>Indoor external radiation; Dose rate; Annual effective dose; Excess lifetime cancer risk</t>
        </is>
      </c>
      <c r="V1231" t="inlineStr">
        <is>
          <t>GAMMA DOSE-RATE; NATURAL RADIOACTIVITY; BUILDING-MATERIALS; HAZARDS; TAMILNADU; EXPOSURE; AREA</t>
        </is>
      </c>
      <c r="W1231" t="inlineStr">
        <is>
          <t>It is known that certain types of building materials contain significant concentrations of natural radionuclides; consequently, exposure to indoor background radiation is from the combined radioactivity from the soil as well as building materials; indoor exposures therefore have higher radiation hazard potentials than outdoor exposures in this regard and hence, need to be monitored. In this paper, an evaluation of background ionizing radiation from different buildings in Lagos and Ibadan, Southwestern Nigeria was carried out to determine the exposure rate of the general public to indoor ionizing radiation. 630 in situ measurements from the different buildings were taken using a Geiger Muller counter (model GQ-320 Plus). The indoor dose rates (i.e., 50-120 nGy/h) were within the world average values while the Annual Effective Dose for most of the buildings were above the world average AED for indoor gamma exposure from building materials. The mean AED for Lagos and Ibadan due to indoor exposures were 0.37 and 0.39 mSv/y with Excess Lifetime Cancer Risk of 0.99E-3 and 1.05E-3, respectively.</t>
        </is>
      </c>
      <c r="X1231" t="inlineStr">
        <is>
          <t>[Ife-Adediran, Oluwatobi O.] Fed Univ Technol Akure, Dept Phys, Akure, Ondo State, Nigeria; [Uwadiae, Iyobosa B.] Univ Coll Hosp, Dept Radiat Oncol, Ibadan, Nigeria</t>
        </is>
      </c>
      <c r="Y1231" t="inlineStr">
        <is>
          <t>University of Ibadan; University College Hospital, Ibadan</t>
        </is>
      </c>
      <c r="Z1231" t="inlineStr">
        <is>
          <t>Ife-Adediran, OO (corresponding author), Fed Univ Technol Akure, Dept Phys, Akure, Ondo State, Nigeria.</t>
        </is>
      </c>
      <c r="AA1231" t="inlineStr">
        <is>
          <t>tobireliable@yahoo.com; iyobosa.uwadiae@physics.org</t>
        </is>
      </c>
      <c r="AH1231" t="n">
        <v>52</v>
      </c>
      <c r="AI1231" t="n">
        <v>3</v>
      </c>
      <c r="AJ1231" t="n">
        <v>3</v>
      </c>
      <c r="AK1231" t="n">
        <v>1</v>
      </c>
      <c r="AL1231" t="n">
        <v>1</v>
      </c>
      <c r="AM1231" t="inlineStr">
        <is>
          <t>SPRINGER INT PUBL AG</t>
        </is>
      </c>
      <c r="AN1231" t="inlineStr">
        <is>
          <t>CHAM</t>
        </is>
      </c>
      <c r="AO1231" t="inlineStr">
        <is>
          <t>GEWERBESTRASSE 11, CHAM, CH-6330, SWITZERLAND</t>
        </is>
      </c>
      <c r="AP1231" t="inlineStr">
        <is>
          <t>2509-9426</t>
        </is>
      </c>
      <c r="AQ1231" t="inlineStr">
        <is>
          <t>2509-9434</t>
        </is>
      </c>
      <c r="AS1231" t="inlineStr">
        <is>
          <t>EARTH SYST ENVIRON</t>
        </is>
      </c>
      <c r="AT1231" t="inlineStr">
        <is>
          <t>Earth Syst. Environ.</t>
        </is>
      </c>
      <c r="AU1231" t="inlineStr">
        <is>
          <t>MAY</t>
        </is>
      </c>
      <c r="AV1231" t="n">
        <v>2018</v>
      </c>
      <c r="AW1231" t="n">
        <v>2</v>
      </c>
      <c r="AX1231" t="n">
        <v>1</v>
      </c>
      <c r="BC1231" t="n">
        <v>95</v>
      </c>
      <c r="BD1231" t="n">
        <v>102</v>
      </c>
      <c r="BF1231" t="inlineStr">
        <is>
          <t>10.1007/s41748-018-0039-9</t>
        </is>
      </c>
      <c r="BG1231">
        <f>HYPERLINK("http://dx.doi.org/10.1007/s41748-018-0039-9","http://dx.doi.org/10.1007/s41748-018-0039-9")</f>
        <v/>
      </c>
      <c r="BJ1231" t="n">
        <v>8</v>
      </c>
      <c r="BK1231" t="inlineStr">
        <is>
          <t>Environmental Sciences; Geosciences, Multidisciplinary; Meteorology &amp; Atmospheric Sciences</t>
        </is>
      </c>
      <c r="BL1231" t="inlineStr">
        <is>
          <t>Emerging Sources Citation Index (ESCI)</t>
        </is>
      </c>
      <c r="BM1231" t="inlineStr">
        <is>
          <t>Environmental Sciences &amp; Ecology; Geology; Meteorology &amp; Atmospheric Sciences</t>
        </is>
      </c>
      <c r="BN1231" t="inlineStr">
        <is>
          <t>LE1DB</t>
        </is>
      </c>
      <c r="BS1231" t="inlineStr">
        <is>
          <t>2023-10-26</t>
        </is>
      </c>
      <c r="BT1231" t="inlineStr">
        <is>
          <t>WOS:000526462300008</t>
        </is>
      </c>
      <c r="BU1231">
        <f>HYPERLINK("https%3A%2F%2Fwww.webofscience.com%2Fwos%2Fwoscc%2Ffull-record%2FWOS:000526462300008","View Full Record in Web of Science")</f>
        <v/>
      </c>
    </row>
    <row r="1232">
      <c r="A1232" t="inlineStr">
        <is>
          <t>J</t>
        </is>
      </c>
      <c r="B1232" t="inlineStr">
        <is>
          <t>Smith, M; Amann, R; Cavadino, A; Raphael, D; Kearns, R; Mackett, R; Mackay, L; Carroll, P; Forsyth, E; Mavoa, S; Zhao, JF; Ikeda, E; Witten, K</t>
        </is>
      </c>
      <c r="F1232" t="inlineStr">
        <is>
          <t>Smith, Melody; Amann, Rebecca; Cavadino, Alana; Raphael, Deborah; Kearns, Robin; Mackett, Roger; Mackay, Lisa; Carroll, Penelope; Forsyth, Euan; Mavoa, Suzanne; Zhao, Jinfeng; Ikeda, Erika; Witten, Karen</t>
        </is>
      </c>
      <c r="J1232" t="inlineStr">
        <is>
          <t>INTERNATIONAL JOURNAL OF ENVIRONMENTAL RESEARCH AND PUBLIC HEALTH</t>
        </is>
      </c>
      <c r="M1232" t="inlineStr">
        <is>
          <t>English</t>
        </is>
      </c>
      <c r="N1232" t="inlineStr">
        <is>
          <t>Article</t>
        </is>
      </c>
      <c r="T1232" t="inlineStr">
        <is>
          <t>Children's Transport Built Environments: A Mixed Methods Study of Associations between Perceived and Objective Measures and Relationships with Parent Licence for Independent Mobility in Auckland, New Zealand</t>
        </is>
      </c>
      <c r="U1232" t="inlineStr">
        <is>
          <t>traffic safety; walking; cycling; infrastructure; active travel; active transport</t>
        </is>
      </c>
      <c r="V1232" t="inlineStr">
        <is>
          <t>NEIGHBORHOOD DESTINATION ACCESSIBILITY; PHYSICAL-ACTIVITY; ACTIVE TRAVEL; SOCIAL-ENVIRONMENT; REPORT CARD; LAND-USE; SCHOOL; PERCEPTIONS; WALKING; SAFETY</t>
        </is>
      </c>
      <c r="W1232" t="inlineStr">
        <is>
          <t>Children's independent mobility is declining internationally. Parents are the gatekeepers of children's independent mobility. This mixed methods study investigates whether parent perceptions of the neighbourhood environment align with objective measures of the neighbourhood built environment, and how perceived and objective measures relate to parental licence for children's independent mobility. Parents participating in the Neighbourhood for Active Kids study (n = 940) answered an open-ended question about what would make their neighbourhoods better for their child's independent mobility, and reported household and child demographics. Objective measures of the neighbourhood built environment were generated using geographic information systems. Content analysis was used to classify and group parent-reported changes required to improve their neigbourhood. Parent-reported needs were then compared with objective neighbourhood built environment measures. Linear mixed modelling examined associations between parental licence for independent mobility and (1) parent neighbourhood perceptions; and (2) objectively assessed neighbourhood built environment features. Parents identified the need for safer traffic environments. No significant differences in parent reported needs were found by objectively assessed characteristics. Differences in odds of reporting needs were observed for a range of socio-demographic characteristics. Parental licence for independent mobility was only associated with a need for safer places to cycle (positive) and objectively assessed cycling infrastructure (negative) in adjusted models. Overall, the study findings indicate the importance of safer traffic environments for children's independent mobility.</t>
        </is>
      </c>
      <c r="X1232" t="inlineStr">
        <is>
          <t>[Smith, Melody; Amann, Rebecca; Cavadino, Alana; Raphael, Deborah; Zhao, Jinfeng] Univ Auckland, Sch Nursing, Auckland 1142, New Zealand; [Kearns, Robin; Forsyth, Euan] Univ Auckland, Sch Environm, Auckland 1142, New Zealand; [Mackett, Roger] UCL, Dept Civil Environm &amp; Geomat Engn, London WC1E 6BT, England; [Mackay, Lisa; Ikeda, Erika] Auckland Univ Technol, Human Potential Ctr, Auckland 1142, New Zealand; [Carroll, Penelope; Witten, Karen] Massey Univ, SHORE, Auckland 1142, New Zealand; [Mavoa, Suzanne] Univ Melbourne, Melbourne Sch Populat &amp; Global Hlth, Melbourne, Vic 3010, Australia</t>
        </is>
      </c>
      <c r="Y1232" t="inlineStr">
        <is>
          <t>University of Auckland; University of Auckland; University of London; University College London; Auckland University of Technology; Massey University; University of Melbourne</t>
        </is>
      </c>
      <c r="Z1232" t="inlineStr">
        <is>
          <t>Smith, M (corresponding author), Univ Auckland, Sch Nursing, Auckland 1142, New Zealand.</t>
        </is>
      </c>
      <c r="AA1232" t="inlineStr">
        <is>
          <t>melody.smith@auckland.ac.nz; rama919@aucklanduni.ac.nz; a.cavadino@auckland.ac.nz; d.raphael@auckland.ac.nz; r.kearns@auckland.ac.nz; roger.mackett@ucl.ac.uk; Lisa.mackay@aut.ac.nz; P.A.Carroll@massey.ac.nz; e.forsyth@auckland.ac.nz; suzanne.mavoa@unimelb.edu.au; jinfeng.zhao@auckland.ac.nz; erika.ikeda@aut.ac.nz; k.witten@massey.ac.nz</t>
        </is>
      </c>
      <c r="AB1232" t="inlineStr">
        <is>
          <t>Mackay, Lisa/K-8402-2019; Smith, Melody/AAP-9986-2021; Ikeda, Erika/K-5185-2019; Mackett, Roger/AAO-9553-2020; carroll, penelope/AAV-1167-2021; Cavadino, Alana/CAG-8915-2022</t>
        </is>
      </c>
      <c r="AC1232" t="inlineStr">
        <is>
          <t>Mackay, Lisa/0000-0002-7344-5794; Smith, Melody/0000-0002-0987-2564; Ikeda, Erika/0000-0001-6999-3918; Mackett, Roger/0000-0002-2729-1915; Cavadino, Alana/0000-0002-5709-367X; ZHAO, Jinfeng/0000-0002-8458-8379; Raphael, Deborah/0000-0002-7556-392X; Forsyth, Euan/0000-0002-3001-3342; Mavoa, Suzanne/0000-0002-6071-2988; Witten, Karen/0000-0003-2637-8565</t>
        </is>
      </c>
      <c r="AD1232" t="inlineStr">
        <is>
          <t>Health Research Council of New Zealand [14/436]; University of Auckland Faculty of Medical and Health Sciences summer research scholarship; Health Research Council of New Zealand Sir Charles Hercus Research Fellowship [17/013]; Australian National Health and Medical Research Council Early Career Fellowship [1121035]</t>
        </is>
      </c>
      <c r="AE1232" t="inlineStr">
        <is>
          <t>Health Research Council of New Zealand(Health Research Council of New Zealand); University of Auckland Faculty of Medical and Health Sciences summer research scholarship; Health Research Council of New Zealand Sir Charles Hercus Research Fellowship(Health Research Council of New Zealand); Australian National Health and Medical Research Council Early Career Fellowship(National Health and Medical Research Council (NHMRC) of Australia)</t>
        </is>
      </c>
      <c r="AF1232" t="inlineStr">
        <is>
          <t>Neighbourhoods for Active Kids was supported by the Health Research Council of New Zealand (grant number 14/436). R.A. was supported by a University of Auckland Faculty of Medical and Health Sciences summer research scholarship. M.S. is supported by a Health Research Council of New Zealand Sir Charles Hercus Research Fellowship (grant number 17/013). S.M. is supported by an Australian National Health and Medical Research Council Early Career Fellowship (grant number 1121035).</t>
        </is>
      </c>
      <c r="AH1232" t="n">
        <v>90</v>
      </c>
      <c r="AI1232" t="n">
        <v>22</v>
      </c>
      <c r="AJ1232" t="n">
        <v>22</v>
      </c>
      <c r="AK1232" t="n">
        <v>4</v>
      </c>
      <c r="AL1232" t="n">
        <v>25</v>
      </c>
      <c r="AM1232" t="inlineStr">
        <is>
          <t>MDPI</t>
        </is>
      </c>
      <c r="AN1232" t="inlineStr">
        <is>
          <t>BASEL</t>
        </is>
      </c>
      <c r="AO1232" t="inlineStr">
        <is>
          <t>ST ALBAN-ANLAGE 66, CH-4052 BASEL, SWITZERLAND</t>
        </is>
      </c>
      <c r="AP1232" t="inlineStr">
        <is>
          <t>1661-7827</t>
        </is>
      </c>
      <c r="AQ1232" t="inlineStr">
        <is>
          <t>1660-4601</t>
        </is>
      </c>
      <c r="AS1232" t="inlineStr">
        <is>
          <t>INT J ENV RES PUB HE</t>
        </is>
      </c>
      <c r="AT1232" t="inlineStr">
        <is>
          <t>Int. J. Environ. Res. Public Health</t>
        </is>
      </c>
      <c r="AU1232" t="inlineStr">
        <is>
          <t>APR 2</t>
        </is>
      </c>
      <c r="AV1232" t="n">
        <v>2019</v>
      </c>
      <c r="AW1232" t="n">
        <v>16</v>
      </c>
      <c r="AX1232" t="n">
        <v>8</v>
      </c>
      <c r="BE1232" t="n">
        <v>1361</v>
      </c>
      <c r="BF1232" t="inlineStr">
        <is>
          <t>10.3390/ijerph16081361</t>
        </is>
      </c>
      <c r="BG1232">
        <f>HYPERLINK("http://dx.doi.org/10.3390/ijerph16081361","http://dx.doi.org/10.3390/ijerph16081361")</f>
        <v/>
      </c>
      <c r="BJ1232" t="n">
        <v>22</v>
      </c>
      <c r="BK1232" t="inlineStr">
        <is>
          <t>Environmental Sciences; Public, Environmental &amp; Occupational Health</t>
        </is>
      </c>
      <c r="BL1232" t="inlineStr">
        <is>
          <t>Science Citation Index Expanded (SCI-EXPANDED); Social Science Citation Index (SSCI)</t>
        </is>
      </c>
      <c r="BM1232" t="inlineStr">
        <is>
          <t>Environmental Sciences &amp; Ecology; Public, Environmental &amp; Occupational Health</t>
        </is>
      </c>
      <c r="BN1232" t="inlineStr">
        <is>
          <t>HX9RX</t>
        </is>
      </c>
      <c r="BO1232" t="n">
        <v>31014023</v>
      </c>
      <c r="BP1232" t="inlineStr">
        <is>
          <t>Green Published, Green Submitted, gold</t>
        </is>
      </c>
      <c r="BS1232" t="inlineStr">
        <is>
          <t>2023-10-26</t>
        </is>
      </c>
      <c r="BT1232" t="inlineStr">
        <is>
          <t>WOS:000467747100054</t>
        </is>
      </c>
      <c r="BU1232">
        <f>HYPERLINK("https%3A%2F%2Fwww.webofscience.com%2Fwos%2Fwoscc%2Ffull-record%2FWOS:000467747100054","View Full Record in Web of Science")</f>
        <v/>
      </c>
    </row>
    <row r="1233">
      <c r="A1233" t="inlineStr">
        <is>
          <t>J</t>
        </is>
      </c>
      <c r="B1233" t="inlineStr">
        <is>
          <t>Lu, C; Deng, QH; Li, YG; Sundell, J; Norbäck, D</t>
        </is>
      </c>
      <c r="F1233" t="inlineStr">
        <is>
          <t>Lu, Chan; Deng, Qihong; Li, Yuguo; Sundell, Jan; Norback, Dan</t>
        </is>
      </c>
      <c r="J1233" t="inlineStr">
        <is>
          <t>SCIENCE OF THE TOTAL ENVIRONMENT</t>
        </is>
      </c>
      <c r="M1233" t="inlineStr">
        <is>
          <t>English</t>
        </is>
      </c>
      <c r="N1233" t="inlineStr">
        <is>
          <t>Article</t>
        </is>
      </c>
      <c r="T1233" t="inlineStr">
        <is>
          <t>Outdoor air pollution, meteorological conditions and indoor factors in dwellings in relation to sick building syndrome (SBS) among adults in China</t>
        </is>
      </c>
      <c r="U1233" t="inlineStr">
        <is>
          <t>Outdoor air pollution; Climate change; Atopy; Mold and dampness; Building ventilation; Redecoration</t>
        </is>
      </c>
      <c r="V1233" t="inlineStr">
        <is>
          <t>CROSS-SECTIONAL QUESTIONNAIRE; CLIMATE-CHANGE; RESPIRATORY HEALTH; ORGANIC-COMPOUNDS; HOME-ENVIRONMENT; OFFICE WORKERS; CHANGE RATES; SYMPTOMS; TEMPERATURE; UNIVERSITY</t>
        </is>
      </c>
      <c r="W1233" t="inlineStr">
        <is>
          <t>Indoor environment is associated with the sick building syndrome (SBS), but little is known about the contribution of outdoor air pollution and meteorological conditions to SBS. We studied associations between outdoor air pollution, meteorological parameters and selected indoor exposure and building characteristics at home and weekly SBS symptoms in a standardized questionnaire study among 3485 randomly selected adults in China. Outdoor factors included particulate matters with diameter &lt;10 mu m (PM10), sulfur dioxide (SO2), nitrogen dioxide (NO2), outdoor temperature (T), relative air humidity (RH), and wind speed (WS) during last three months. Multiple logistic regression was applied calculating odds ratios (OR) with 95% confidence interval (95% CI). Asthma or allergic rhinitis (atopy) was associated with all types of SBS symptoms except fatigue. Indoor factors played a major role in SBS symptoms. Mold/dampness on the floor/ceiling was associated with fatigue OR = 1.60 (1.11-2.30) and headache OR = 1.80 (1.07-3.04). Moldy odor was associated with fatigue OR = 1.59 (1.07-2.37) and dermal symptoms OR = 1.91 (1.21-3.02). Window pane condensation in winter was associated with fatigue OR = 1.73 (1.30-2.31) and throat symptoms OR = 1.53 (1.01-2.31). Damp bed clothing was related with throat symptom OR = 1.62 (1.09-2.40). Home redecoration was associated with fatigue OR = 1.49 (1.07-2.06). Frequent window opening was associated with less nose symptoms OR = 0.54 (0.36-0.82) and mechanical ventilation in the bathroom reduced dermal symptoms OR = 0.66 (0.44-0.99). Females were more susceptible to redecoration and window pane condensation than men. No associations with SBS were observed for outdoor air pollutants or meteorological parameters in the final models combining indoor and outdoor factors, although SO2, T, and RH were associated with some SBS symptoms (fatigue, eyes and nose symptoms) in the separate outdoor models. In conclusion, indoor mold/dampness, air pollution from redecoration and poorer ventilation conditions in dwellings can be risk factors for SBS symptoms in an adult Chinese population, especially among females. (C) 2016 Elsevier B.V. All rights reserved.</t>
        </is>
      </c>
      <c r="X1233" t="inlineStr">
        <is>
          <t>[Lu, Chan; Deng, Qihong; Sundell, Jan] Cent South Univ, Sch Energy Sci &amp; Engn, Changsha 410083, Hunan, Peoples R China; [Deng, Qihong] Cent South Univ, Sch Publ Hlth, Changsha 410083, Hunan, Peoples R China; [Li, Yuguo] Univ Hong Kong, Dept Mech Engn, Hong Kong, Hong Kong, Peoples R China; [Sundell, Jan] Tsinghua Univ, Sch Architecture, Beijing 100084, Peoples R China; [Norback, Dan] Uppsala Univ, Dept Med Sci Occupat &amp; Environm Med, S-75185 Uppsala, Sweden</t>
        </is>
      </c>
      <c r="Y1233" t="inlineStr">
        <is>
          <t>Central South University; Central South University; University of Hong Kong; Tsinghua University; Uppsala University</t>
        </is>
      </c>
      <c r="Z1233" t="inlineStr">
        <is>
          <t>Deng, QH (corresponding author), Cent South Univ, Sch Energy Sci &amp; Engn, Changsha 410083, Hunan, Peoples R China.;Norbäck, D (corresponding author), Uppsala Univ, Dept Med Sci Occupat &amp; Environm Med, S-75185 Uppsala, Sweden.</t>
        </is>
      </c>
      <c r="AA1233" t="inlineStr">
        <is>
          <t>qhdeng@csu.edu.cn; dan.norback@medsci.uu.se</t>
        </is>
      </c>
      <c r="AB1233" t="inlineStr">
        <is>
          <t>Deng, Qihong/E-3922-2015; Li, Yuguo/A-9469-2010; Deng, Qihong/AGM-3262-2022; Lu, Chan/JAX-6778-2023</t>
        </is>
      </c>
      <c r="AC1233" t="inlineStr">
        <is>
          <t>Deng, Qihong/0000-0001-9824-3534; Li, Yuguo/0000-0002-2281-4529; Deng, Qihong/0000-0001-9824-3534; Lu, Chan/0000-0002-0110-9492</t>
        </is>
      </c>
      <c r="AD1233" t="inlineStr">
        <is>
          <t>National Science Foundation of China [51178466, 51576214]; Doctoral Program of Higher Education of China [20120162110011]</t>
        </is>
      </c>
      <c r="AE1233" t="inlineStr">
        <is>
          <t>National Science Foundation of China(National Natural Science Foundation of China (NSFC)); Doctoral Program of Higher Education of China(Specialized Research Fund for the Doctoral Program of Higher Education (SRFDP))</t>
        </is>
      </c>
      <c r="AF1233" t="inlineStr">
        <is>
          <t>The research was supported by the National Science Foundation of China (No. 51178466 and No. 51576214) and the Doctoral Program of Higher Education of China (No. 20120162110011).</t>
        </is>
      </c>
      <c r="AH1233" t="n">
        <v>65</v>
      </c>
      <c r="AI1233" t="n">
        <v>81</v>
      </c>
      <c r="AJ1233" t="n">
        <v>86</v>
      </c>
      <c r="AK1233" t="n">
        <v>3</v>
      </c>
      <c r="AL1233" t="n">
        <v>179</v>
      </c>
      <c r="AM1233" t="inlineStr">
        <is>
          <t>ELSEVIER</t>
        </is>
      </c>
      <c r="AN1233" t="inlineStr">
        <is>
          <t>AMSTERDAM</t>
        </is>
      </c>
      <c r="AO1233" t="inlineStr">
        <is>
          <t>RADARWEG 29, 1043 NX AMSTERDAM, NETHERLANDS</t>
        </is>
      </c>
      <c r="AP1233" t="inlineStr">
        <is>
          <t>0048-9697</t>
        </is>
      </c>
      <c r="AQ1233" t="inlineStr">
        <is>
          <t>1879-1026</t>
        </is>
      </c>
      <c r="AS1233" t="inlineStr">
        <is>
          <t>SCI TOTAL ENVIRON</t>
        </is>
      </c>
      <c r="AT1233" t="inlineStr">
        <is>
          <t>Sci. Total Environ.</t>
        </is>
      </c>
      <c r="AU1233" t="inlineStr">
        <is>
          <t>AUG 1</t>
        </is>
      </c>
      <c r="AV1233" t="n">
        <v>2016</v>
      </c>
      <c r="AW1233" t="n">
        <v>560</v>
      </c>
      <c r="BC1233" t="n">
        <v>186</v>
      </c>
      <c r="BD1233" t="n">
        <v>196</v>
      </c>
      <c r="BF1233" t="inlineStr">
        <is>
          <t>10.1016/j.scitotenv.2016.04.033</t>
        </is>
      </c>
      <c r="BG1233">
        <f>HYPERLINK("http://dx.doi.org/10.1016/j.scitotenv.2016.04.033","http://dx.doi.org/10.1016/j.scitotenv.2016.04.033")</f>
        <v/>
      </c>
      <c r="BJ1233" t="n">
        <v>11</v>
      </c>
      <c r="BK1233" t="inlineStr">
        <is>
          <t>Environmental Sciences</t>
        </is>
      </c>
      <c r="BL1233" t="inlineStr">
        <is>
          <t>Science Citation Index Expanded (SCI-EXPANDED)</t>
        </is>
      </c>
      <c r="BM1233" t="inlineStr">
        <is>
          <t>Environmental Sciences &amp; Ecology</t>
        </is>
      </c>
      <c r="BN1233" t="inlineStr">
        <is>
          <t>DK7WI</t>
        </is>
      </c>
      <c r="BO1233" t="n">
        <v>27101454</v>
      </c>
      <c r="BP1233" t="inlineStr">
        <is>
          <t>hybrid</t>
        </is>
      </c>
      <c r="BS1233" t="inlineStr">
        <is>
          <t>2023-10-26</t>
        </is>
      </c>
      <c r="BT1233" t="inlineStr">
        <is>
          <t>WOS:000375137100021</t>
        </is>
      </c>
      <c r="BU1233">
        <f>HYPERLINK("https%3A%2F%2Fwww.webofscience.com%2Fwos%2Fwoscc%2Ffull-record%2FWOS:000375137100021","View Full Record in Web of Science")</f>
        <v/>
      </c>
    </row>
    <row r="1234">
      <c r="A1234" t="inlineStr">
        <is>
          <t>J</t>
        </is>
      </c>
      <c r="B1234" t="inlineStr">
        <is>
          <t>Nadali, A; Arfaeinia, H; Asadgol, Z; Fahiminia, M</t>
        </is>
      </c>
      <c r="F1234" t="inlineStr">
        <is>
          <t>Nadali, Azam; Arfaeinia, Hossein; Asadgol, Zahra; Fahiminia, Mohammad</t>
        </is>
      </c>
      <c r="J1234" t="inlineStr">
        <is>
          <t>ENVIRONMENTAL POLLUTANTS AND BIOAVAILABILITY</t>
        </is>
      </c>
      <c r="M1234" t="inlineStr">
        <is>
          <t>English</t>
        </is>
      </c>
      <c r="N1234" t="inlineStr">
        <is>
          <t>Article</t>
        </is>
      </c>
      <c r="T1234" t="inlineStr">
        <is>
          <t>Indoor and outdoor concentration of PM10, PM2.5 and PM1 in residential building and evaluation of negative air ions (NAIs) in indoor PM removal</t>
        </is>
      </c>
      <c r="U1234" t="inlineStr">
        <is>
          <t>Particulate matter (PM); indoor/outdoor ratio; residential buildings; negative air ions (NAI)</t>
        </is>
      </c>
      <c r="V1234" t="inlineStr">
        <is>
          <t>FINE PARTICULATE MATTER; INDOOR/OUTDOOR RELATIONSHIPS; PARTICLE CONCENTRATIONS; ULTRAFINE PARTICLES; MASS CONCENTRATIONS; DEPOSITION; ENVIRONMENTS; VENTILATION; IONIZATION; EXPOSURE</t>
        </is>
      </c>
      <c r="W1234" t="inlineStr">
        <is>
          <t>The present work was conducted in a two-part study. In part I, the levels of indoor and outdoor PM10, PM2.5, and PM1 was measured using real time GRIMM dust monitors. In part II, the performance of NAIs method was investigated on reduction of indoor concentration of PM in these residential buildings for the first time. Hourly average concentration and standard deviation (SD) of PM10 in indoor and outdoor at residential buildings were 63.5 +/- 27.4 and 90.1 +/- 33.5 mu g/m(3), respectively. Indoor and outdoor concentrations of PM2.5 in residential buildings were 39.4 +/- 18.1 and 49.5 +/- 18.2 mu g/m(3) and for PM1 the concentrations were 4.3 +/- 7.7 and 6.5 +/- 10.1 mu g/m(3), respectively. We estimated that nearly 71.47% of PM10, 79.86% of PM2.5 and of 61.25% of PM1 in indoor of residential buildings can be removed by negative air ions.</t>
        </is>
      </c>
      <c r="X1234" t="inlineStr">
        <is>
          <t>[Nadali, Azam] Hamadan Univ Med Sci, Sch Publ Hlth, Dept Environm Hlth Engn, Hamadan, Hamadan, Iran; [Arfaeinia, Hossein] Bushehr Univ Med Sci, Fac Hlth &amp; Nutr, Dept Environm Hlth Engn, Bushehr, Iran; [Arfaeinia, Hossein] Bushehr Univ Med Sci, Persian Gulf Biomed Sci Res Inst, Syst Environm Hlth &amp; Energy Res Ctr, Bushehr, Iran; [Asadgol, Zahra] Iran Univ Med Sci, Sch Publ Hlth, Dept Environm Hlth Engn, Tehran, Iran; [Fahiminia, Mohammad] Qom Univ Med Sci, Res Ctr Environm Pollutants, Qom, Iran</t>
        </is>
      </c>
      <c r="Y1234" t="inlineStr">
        <is>
          <t>Hamadan University of Medical Sciences; Iran University of Medical Sciences</t>
        </is>
      </c>
      <c r="Z1234" t="inlineStr">
        <is>
          <t>Fahiminia, M (corresponding author), Qom Univ Med Sci, Res Ctr Environm Pollutants, Qom, Iran.</t>
        </is>
      </c>
      <c r="AA1234" t="inlineStr">
        <is>
          <t>fahiminia.m@gmail.com</t>
        </is>
      </c>
      <c r="AB1234" t="inlineStr">
        <is>
          <t>nadali, azam/HMU-9083-2023; arfaeinia, hossein/Y-2307-2018</t>
        </is>
      </c>
      <c r="AC1234" t="inlineStr">
        <is>
          <t>Nadali, Azam/0000-0001-9205-8223</t>
        </is>
      </c>
      <c r="AD1234" t="inlineStr">
        <is>
          <t>Qom University of Medical Sciences [2347]</t>
        </is>
      </c>
      <c r="AE1234" t="inlineStr">
        <is>
          <t>Qom University of Medical Sciences</t>
        </is>
      </c>
      <c r="AF1234" t="inlineStr">
        <is>
          <t>This work was supported by the Qom University of Medical Sciences [grant No.2347].</t>
        </is>
      </c>
      <c r="AH1234" t="n">
        <v>49</v>
      </c>
      <c r="AI1234" t="n">
        <v>31</v>
      </c>
      <c r="AJ1234" t="n">
        <v>32</v>
      </c>
      <c r="AK1234" t="n">
        <v>6</v>
      </c>
      <c r="AL1234" t="n">
        <v>34</v>
      </c>
      <c r="AM1234" t="inlineStr">
        <is>
          <t>TAYLOR &amp; FRANCIS LTD</t>
        </is>
      </c>
      <c r="AN1234" t="inlineStr">
        <is>
          <t>ABINGDON</t>
        </is>
      </c>
      <c r="AO1234" t="inlineStr">
        <is>
          <t>2-4 PARK SQUARE, MILTON PARK, ABINGDON OR14 4RN, OXON, ENGLAND</t>
        </is>
      </c>
      <c r="AP1234" t="inlineStr">
        <is>
          <t>2639-5932</t>
        </is>
      </c>
      <c r="AQ1234" t="inlineStr">
        <is>
          <t>2639-5940</t>
        </is>
      </c>
      <c r="AS1234" t="inlineStr">
        <is>
          <t>ENV POLLUT BIOAVAIL</t>
        </is>
      </c>
      <c r="AT1234" t="inlineStr">
        <is>
          <t>Env. Pollut. Bioavail.</t>
        </is>
      </c>
      <c r="AV1234" t="n">
        <v>2020</v>
      </c>
      <c r="AW1234" t="n">
        <v>32</v>
      </c>
      <c r="AX1234" t="n">
        <v>1</v>
      </c>
      <c r="BC1234" t="n">
        <v>47</v>
      </c>
      <c r="BD1234" t="n">
        <v>55</v>
      </c>
      <c r="BF1234" t="inlineStr">
        <is>
          <t>10.1080/26395940.2020.1728198</t>
        </is>
      </c>
      <c r="BG1234">
        <f>HYPERLINK("http://dx.doi.org/10.1080/26395940.2020.1728198","http://dx.doi.org/10.1080/26395940.2020.1728198")</f>
        <v/>
      </c>
      <c r="BJ1234" t="n">
        <v>9</v>
      </c>
      <c r="BK1234" t="inlineStr">
        <is>
          <t>Biochemistry &amp; Molecular Biology; Environmental Sciences; Toxicology</t>
        </is>
      </c>
      <c r="BL1234" t="inlineStr">
        <is>
          <t>Science Citation Index Expanded (SCI-EXPANDED)</t>
        </is>
      </c>
      <c r="BM1234" t="inlineStr">
        <is>
          <t>Biochemistry &amp; Molecular Biology; Environmental Sciences &amp; Ecology; Toxicology</t>
        </is>
      </c>
      <c r="BN1234" t="inlineStr">
        <is>
          <t>OO9MM</t>
        </is>
      </c>
      <c r="BP1234" t="inlineStr">
        <is>
          <t>gold</t>
        </is>
      </c>
      <c r="BS1234" t="inlineStr">
        <is>
          <t>2023-10-26</t>
        </is>
      </c>
      <c r="BT1234" t="inlineStr">
        <is>
          <t>WOS:000587697500005</t>
        </is>
      </c>
      <c r="BU1234">
        <f>HYPERLINK("https%3A%2F%2Fwww.webofscience.com%2Fwos%2Fwoscc%2Ffull-record%2FWOS:000587697500005","View Full Record in Web of Science")</f>
        <v/>
      </c>
    </row>
    <row r="1235">
      <c r="A1235" t="inlineStr">
        <is>
          <t>J</t>
        </is>
      </c>
      <c r="B1235" t="inlineStr">
        <is>
          <t>Macías-Camacho, T; Retana-Ugalde, R; Legorreta-Herrera, M; Ruiz-Ramos, M; Mendoza-Núñez, VM</t>
        </is>
      </c>
      <c r="F1235" t="inlineStr">
        <is>
          <t>Macias-Camacho, Thalia; Retana-Ugalde, Raquel; Legorreta-Herrera, Martha; Ruiz-Ramos, Mirna; Mendoza-Nunez, Victor Manuel</t>
        </is>
      </c>
      <c r="J1235" t="inlineStr">
        <is>
          <t>SUSTAINABILITY</t>
        </is>
      </c>
      <c r="M1235" t="inlineStr">
        <is>
          <t>English</t>
        </is>
      </c>
      <c r="N1235" t="inlineStr">
        <is>
          <t>Article</t>
        </is>
      </c>
      <c r="T1235" t="inlineStr">
        <is>
          <t>Mouthwash with Tagetes lucida Cav. for Control of Chronic Periodontitis in Older Adults</t>
        </is>
      </c>
      <c r="U1235" t="inlineStr">
        <is>
          <t>chronic periodontitis; Targetes lucida Cav; older adults; oxidative stress; inflammation</t>
        </is>
      </c>
      <c r="V1235" t="inlineStr">
        <is>
          <t>OXIDATIVE STRESS; LIPID-PEROXIDATION; REACTIVE OXYGEN; ANTIOXIDANT ACTIVITY; SALIVA; MALONDIALDEHYDE; CYTOKINES; EFFICACY; EXTRACT</t>
        </is>
      </c>
      <c r="W1235" t="inlineStr">
        <is>
          <t>Background: Tagetes lucida Cav (T. lucida) is an herbaceous plant from the family Asteraceae, native to Mexico, Guatemala, and other Mesoamerican countries. Their common names are: (i) Spanish names: hierbanis, jericon, pericon vomol, Santa Maria, cuchrucumin, falso hipericon, hierba anil, pericon, periquillo; (ii) indigenous names: ichka, cuahuyauhtli, yahuhtli, nana uarhi, and (iii) English names: sweet-scented marigold, sweet mace, and sweet marigold., Its chemical composition of coumarins, estragole, quercetin, and flavonoids has antioxidant, anti-inflammatory, and antimicrobial effects. This study aimed to evaluate the effect of a mouthwash made with T. lucida for control of chronic periodontitis (CP) in older adults. Methods: We carried out a quasi-experimental study with a convenience sample of 60 older adults with CP. The sample was divided into a placebo group (PG) n = 30, administered with a mouthwash made with alcohol diluted with purified water (10%), and the experimental group (EG) n = 30 treated with a mouthwash made with T. lucida extract in 10% alcohol; both groups were administered three times a day for three months. Results: We found a significant improvement in the EG group compared with the PG group in: probing pocket depth (baseline, 5.2 +/- 0.81 vs. post-treatment, 3.1 +/- 0.43, p &lt; 0.05), the clinical attachment loss (baseline, 6.6 +/- 1.9 vs. post-treatment, 2.1 +/- 1.5, p &lt; 0.05), lipoperoxides (baseline, 0.056 +/- 0.03 vs. post-treatment, 0.034 +/- 0.02 mu mol/L, p &lt; 0.05), and chronic inflammation markers (IL-1, IL-8, and TNF-alpha) (p &lt; 0.05). Conclusions: Our findings suggest that mouthwash made with T. lucida extract, administered three times a day, clinically improved chronic periodontitis in older adults, associated to a significant decrease in lipoperoxides and proinflammatory markers.</t>
        </is>
      </c>
      <c r="X1235" t="inlineStr">
        <is>
          <t>[Macias-Camacho, Thalia; Retana-Ugalde, Raquel] Univ Nacl Autonoma Mexico, Posgrad Ciencias Biol, Mexico City 09230, DF, Mexico; [Retana-Ugalde, Raquel; Ruiz-Ramos, Mirna; Mendoza-Nunez, Victor Manuel] Univ Nacl Autonoma Mexico, Fac Estudios Super Zaragoza, Unidad Invest Gerontol, Mexico City 09230, DF, Mexico; [Legorreta-Herrera, Martha] Univ Nacl Autonoma Mexico, Fac Estudios Super Zaragoza, Lab Inmunol Mol, Mexico City 09230, DF, Mexico</t>
        </is>
      </c>
      <c r="Y1235" t="inlineStr">
        <is>
          <t>Universidad Nacional Autonoma de Mexico; Universidad Nacional Autonoma de Mexico; Universidad Nacional Autonoma de Mexico</t>
        </is>
      </c>
      <c r="Z1235" t="inlineStr">
        <is>
          <t>Retana-Ugalde, R (corresponding author), Univ Nacl Autonoma Mexico, Posgrad Ciencias Biol, Mexico City 09230, DF, Mexico.;Retana-Ugalde, R (corresponding author), Univ Nacl Autonoma Mexico, Fac Estudios Super Zaragoza, Unidad Invest Gerontol, Mexico City 09230, DF, Mexico.</t>
        </is>
      </c>
      <c r="AA1235" t="inlineStr">
        <is>
          <t>medtradic@yahoo.com.mx; retanara@unam.mx; marthal@unam.mx; mirna1411@yahoo.com.mx; mendovic@unam.mx</t>
        </is>
      </c>
      <c r="AB1235" t="inlineStr">
        <is>
          <t>Mendoza-Núñez, Víctor Manuel/AFL-2465-2022</t>
        </is>
      </c>
      <c r="AC1235" t="inlineStr">
        <is>
          <t>Mendoza-Núñez, Víctor Manuel/0000-0002-9137-3405; LEGORRETA-HERRERA, MARTHA/0000-0001-5985-7365</t>
        </is>
      </c>
      <c r="AD1235" t="inlineStr">
        <is>
          <t>Secretaria de Educacion, Ciencia, Tecnologia e Innovacion de la Ciudad de Mexico [CM-SECTEI/200/2020]; Posgrado en Ciencias Biologicas, Universidad Nacional Autonoma de Mexico. Consejo Nacional de Ciencia y Tecnologia (Beca de Posgrado CONACYT) [CVU 70011]</t>
        </is>
      </c>
      <c r="AE1235" t="inlineStr">
        <is>
          <t>Secretaria de Educacion, Ciencia, Tecnologia e Innovacion de la Ciudad de Mexico; Posgrado en Ciencias Biologicas, Universidad Nacional Autonoma de Mexico. Consejo Nacional de Ciencia y Tecnologia (Beca de Posgrado CONACYT)</t>
        </is>
      </c>
      <c r="AF1235" t="inlineStr">
        <is>
          <t>The publication of this paper was supported by a grant from the Secretaria de Educacion, Ciencia, Tecnologia e Innovacion de la Ciudad de Mexico CM-SECTEI/200/2020 Red Colaborativa de Investigacion Traslacional para el Envejecimiento Saludable de la Ciudad de Mexico (RECITES). Posgrado en Ciencias Biologicas, Universidad Nacional Autonoma de Mexico. Consejo Nacional de Ciencia y Tecnologia (Beca de Posgrado CONACYT CVU 70011).</t>
        </is>
      </c>
      <c r="AH1235" t="n">
        <v>52</v>
      </c>
      <c r="AI1235" t="n">
        <v>0</v>
      </c>
      <c r="AJ1235" t="n">
        <v>0</v>
      </c>
      <c r="AK1235" t="n">
        <v>1</v>
      </c>
      <c r="AL1235" t="n">
        <v>4</v>
      </c>
      <c r="AM1235" t="inlineStr">
        <is>
          <t>MDPI</t>
        </is>
      </c>
      <c r="AN1235" t="inlineStr">
        <is>
          <t>BASEL</t>
        </is>
      </c>
      <c r="AO1235" t="inlineStr">
        <is>
          <t>ST ALBAN-ANLAGE 66, CH-4052 BASEL, SWITZERLAND</t>
        </is>
      </c>
      <c r="AQ1235" t="inlineStr">
        <is>
          <t>2071-1050</t>
        </is>
      </c>
      <c r="AS1235" t="inlineStr">
        <is>
          <t>SUSTAINABILITY-BASEL</t>
        </is>
      </c>
      <c r="AT1235" t="inlineStr">
        <is>
          <t>Sustainability</t>
        </is>
      </c>
      <c r="AU1235" t="inlineStr">
        <is>
          <t>FEB</t>
        </is>
      </c>
      <c r="AV1235" t="n">
        <v>2021</v>
      </c>
      <c r="AW1235" t="n">
        <v>13</v>
      </c>
      <c r="AX1235" t="n">
        <v>4</v>
      </c>
      <c r="BE1235" t="n">
        <v>1650</v>
      </c>
      <c r="BF1235" t="inlineStr">
        <is>
          <t>10.3390/su13041650</t>
        </is>
      </c>
      <c r="BG1235">
        <f>HYPERLINK("http://dx.doi.org/10.3390/su13041650","http://dx.doi.org/10.3390/su13041650")</f>
        <v/>
      </c>
      <c r="BJ1235" t="n">
        <v>10</v>
      </c>
      <c r="BK1235" t="inlineStr">
        <is>
          <t>Green &amp; Sustainable Science &amp; Technology; Environmental Sciences; Environmental Studies</t>
        </is>
      </c>
      <c r="BL1235" t="inlineStr">
        <is>
          <t>Science Citation Index Expanded (SCI-EXPANDED); Social Science Citation Index (SSCI)</t>
        </is>
      </c>
      <c r="BM1235" t="inlineStr">
        <is>
          <t>Science &amp; Technology - Other Topics; Environmental Sciences &amp; Ecology</t>
        </is>
      </c>
      <c r="BN1235" t="inlineStr">
        <is>
          <t>QQ9JL</t>
        </is>
      </c>
      <c r="BP1235" t="inlineStr">
        <is>
          <t>Green Published, gold</t>
        </is>
      </c>
      <c r="BS1235" t="inlineStr">
        <is>
          <t>2023-10-26</t>
        </is>
      </c>
      <c r="BT1235" t="inlineStr">
        <is>
          <t>WOS:000624833400001</t>
        </is>
      </c>
      <c r="BU1235">
        <f>HYPERLINK("https%3A%2F%2Fwww.webofscience.com%2Fwos%2Fwoscc%2Ffull-record%2FWOS:000624833400001","View Full Record in Web of Science")</f>
        <v/>
      </c>
    </row>
    <row r="1236">
      <c r="A1236" t="inlineStr">
        <is>
          <t>J</t>
        </is>
      </c>
      <c r="B1236" t="inlineStr">
        <is>
          <t>Kim, JYE</t>
        </is>
      </c>
      <c r="F1236" t="inlineStr">
        <is>
          <t>Kim, Ja Young Eunice</t>
        </is>
      </c>
      <c r="J1236" t="inlineStr">
        <is>
          <t>SUSTAINABILITY</t>
        </is>
      </c>
      <c r="M1236" t="inlineStr">
        <is>
          <t>English</t>
        </is>
      </c>
      <c r="N1236" t="inlineStr">
        <is>
          <t>Article</t>
        </is>
      </c>
      <c r="T1236" t="inlineStr">
        <is>
          <t>The Multi-Faceted Practice of Architectural Sustainability Found in the Regional Architecture of Vorarlberg, Austria</t>
        </is>
      </c>
      <c r="U1236" t="inlineStr">
        <is>
          <t>sustainability; Vorarlberg architecture; architectural tradition</t>
        </is>
      </c>
      <c r="W1236" t="inlineStr">
        <is>
          <t>The biggest and increasingly more urgent challenge of the twenty-first century has become how a more sustainable level of development can be achieved. In order to bring about a better sustainable approach to 'development' it is necessary to address various different challenges of economy and society simultaneously. By examining the various aspects of sustainability found in the contemporary regional architecture of Vorarlberg, Austria, this paper attempts to highlight a more holistic and multi-faceted practice of architectural sustainability. The literature review on the definition of sustainable architecture and the architectural culture of Vorarlberg will be followed by the characteristic examination of four case studies. The common characteristics found from the evaluation were matched with some of the UN's 17 Sustainable Goals to illustrate the multi-layered and connected nature of the sustainability qualities. The results of the research is indicative of a more holistic notion of architectural sustainability that is beyond energy-oriented and the functional efficiency of a building. Rather, it would mean the sustainability of a region, as a whole, when it encompasses the continuation of heritage, the way of living as well as how a building should be responding to the environment throughout its life-cycle.</t>
        </is>
      </c>
      <c r="X1236" t="inlineStr">
        <is>
          <t>[Kim, Ja Young Eunice] Korea Univ, Coll Engn, Dept Architecture, 145 Anam Ro, Seoul 02841, South Korea</t>
        </is>
      </c>
      <c r="Y1236" t="inlineStr">
        <is>
          <t>Korea University</t>
        </is>
      </c>
      <c r="Z1236" t="inlineStr">
        <is>
          <t>Kim, JYE (corresponding author), Korea Univ, Coll Engn, Dept Architecture, 145 Anam Ro, Seoul 02841, South Korea.</t>
        </is>
      </c>
      <c r="AA1236" t="inlineStr">
        <is>
          <t>inscape@korea.ac.kr</t>
        </is>
      </c>
      <c r="AH1236" t="n">
        <v>38</v>
      </c>
      <c r="AI1236" t="n">
        <v>0</v>
      </c>
      <c r="AJ1236" t="n">
        <v>0</v>
      </c>
      <c r="AK1236" t="n">
        <v>4</v>
      </c>
      <c r="AL1236" t="n">
        <v>4</v>
      </c>
      <c r="AM1236" t="inlineStr">
        <is>
          <t>MDPI</t>
        </is>
      </c>
      <c r="AN1236" t="inlineStr">
        <is>
          <t>BASEL</t>
        </is>
      </c>
      <c r="AO1236" t="inlineStr">
        <is>
          <t>ST ALBAN-ANLAGE 66, CH-4052 BASEL, SWITZERLAND</t>
        </is>
      </c>
      <c r="AQ1236" t="inlineStr">
        <is>
          <t>2071-1050</t>
        </is>
      </c>
      <c r="AS1236" t="inlineStr">
        <is>
          <t>SUSTAINABILITY-BASEL</t>
        </is>
      </c>
      <c r="AT1236" t="inlineStr">
        <is>
          <t>Sustainability</t>
        </is>
      </c>
      <c r="AU1236" t="inlineStr">
        <is>
          <t>FEB</t>
        </is>
      </c>
      <c r="AV1236" t="n">
        <v>2023</v>
      </c>
      <c r="AW1236" t="n">
        <v>15</v>
      </c>
      <c r="AX1236" t="n">
        <v>3</v>
      </c>
      <c r="BE1236" t="n">
        <v>2430</v>
      </c>
      <c r="BF1236" t="inlineStr">
        <is>
          <t>10.3390/su15032430</t>
        </is>
      </c>
      <c r="BG1236">
        <f>HYPERLINK("http://dx.doi.org/10.3390/su15032430","http://dx.doi.org/10.3390/su15032430")</f>
        <v/>
      </c>
      <c r="BJ1236" t="n">
        <v>17</v>
      </c>
      <c r="BK1236" t="inlineStr">
        <is>
          <t>Green &amp; Sustainable Science &amp; Technology; Environmental Sciences; Environmental Studies</t>
        </is>
      </c>
      <c r="BL1236" t="inlineStr">
        <is>
          <t>Science Citation Index Expanded (SCI-EXPANDED); Social Science Citation Index (SSCI)</t>
        </is>
      </c>
      <c r="BM1236" t="inlineStr">
        <is>
          <t>Science &amp; Technology - Other Topics; Environmental Sciences &amp; Ecology</t>
        </is>
      </c>
      <c r="BN1236" t="inlineStr">
        <is>
          <t>8V0MY</t>
        </is>
      </c>
      <c r="BP1236" t="inlineStr">
        <is>
          <t>gold</t>
        </is>
      </c>
      <c r="BS1236" t="inlineStr">
        <is>
          <t>2023-10-26</t>
        </is>
      </c>
      <c r="BT1236" t="inlineStr">
        <is>
          <t>WOS:000930336100001</t>
        </is>
      </c>
      <c r="BU1236">
        <f>HYPERLINK("https%3A%2F%2Fwww.webofscience.com%2Fwos%2Fwoscc%2Ffull-record%2FWOS:000930336100001","View Full Record in Web of Science")</f>
        <v/>
      </c>
    </row>
    <row r="1237">
      <c r="A1237" t="inlineStr">
        <is>
          <t>J</t>
        </is>
      </c>
      <c r="B1237" t="inlineStr">
        <is>
          <t>Ogar, A; Tylko, G; Turnau, K</t>
        </is>
      </c>
      <c r="F1237" t="inlineStr">
        <is>
          <t>Ogar, Anna; Tylko, Grzegorz; Turnau, Katarzyna</t>
        </is>
      </c>
      <c r="J1237" t="inlineStr">
        <is>
          <t>SCIENCE OF THE TOTAL ENVIRONMENT</t>
        </is>
      </c>
      <c r="M1237" t="inlineStr">
        <is>
          <t>English</t>
        </is>
      </c>
      <c r="N1237" t="inlineStr">
        <is>
          <t>Article</t>
        </is>
      </c>
      <c r="T1237" t="inlineStr">
        <is>
          <t>Antifungal properties of silver nanoparticles against indoor mould growth</t>
        </is>
      </c>
      <c r="U1237" t="inlineStr">
        <is>
          <t>Silver nanoparticles (AgNPs); Antifungal activity; Indoor moulds; Gypsum drywalls</t>
        </is>
      </c>
      <c r="V1237" t="inlineStr">
        <is>
          <t>WATER-DAMAGED BUILDINGS; STACHYBOTRYS-CHARTARUM; ANTIBACTERIAL ACTIVITY; ANTIMICROBIAL ACTIVITY; MYCOTOXIN PRODUCTION; GLUCOSE-TRANSPORT; NEW-GENERATION; TOXIC METALS; FUNGI; STABILIZATION</t>
        </is>
      </c>
      <c r="W1237" t="inlineStr">
        <is>
          <t>The presence of moulds in indoor environments causes serious diseases and acute or chronic toxicological syndromes. In order to inhibit or prevent the growth of microorganisms on building materials, the disruption of their vital processes or the reduction of reproduction is required. The development of novel techniques that impair the growth of microorganisms on building materials is usually based on silver nanoparticles (AgNPs). It makes them an alternative to other biocides. AgNPs have proven antibacterial activity and became promising in relation to fungi. The aim of the study was to assess growth and morphology of mycelia of typical indoor fungal species: Penicillium brevicompactum, Aspergillus fumigatus, Cladosporium cladosporoides, Chaetomium globosum and Stachybotrys chartarum as well as Mortierella alpina, cultured on agar media. The antifungal activity of AgNPs was also tested in relation to C. globosum and S. chartarum grown on the surface of gypsum drywall. It was found that the presence of AgNPs in concentrations of 30-200 mg/l significantly decreased the growth of fungi. However, in the case of M. alpina, AgNPs stimulated its growth. Moreover, strong changes in moulds morphology and colour were observed after administration of AgNPs. Parameters of conidiophores/sporangiophores varied depending on mould region and changed significantly after treatment with AgNPs. The experiments have shown antifungal properties of AgNPs against common indoor mould species. Their application to building materials could effectively protect indoor environments from mould development. However, consideration must be given to the fact that the growth of some fungal strains might be stimulated by AgNPs. (C) 2015 Elsevier B.V. All rights reserved.</t>
        </is>
      </c>
      <c r="X1237" t="inlineStr">
        <is>
          <t>[Ogar, Anna; Turnau, Katarzyna] Jagiellonian Univ, Inst Environm Sci, Plant Microbial Interact Res Grp, PL-30060 Krakow, Poland; [Tylko, Grzegorz] Jagiellonian Univ, Inst Zool, Dept Cell Biol &amp; Imaging, PL-30060 Krakow, Poland; [Turnau, Katarzyna] Jagiellonian Univ, Malopolska Ctr Biotechnol, PL-30060 Krakow, Poland</t>
        </is>
      </c>
      <c r="Y1237" t="inlineStr">
        <is>
          <t>Jagiellonian University; Jagiellonian University; Jagiellonian University</t>
        </is>
      </c>
      <c r="Z1237" t="inlineStr">
        <is>
          <t>Ogar, A (corresponding author), Jagiellonian Univ, Inst Environm Sci, Plant Microbial Interact Res Grp, PL-30060 Krakow, Poland.</t>
        </is>
      </c>
      <c r="AA1237" t="inlineStr">
        <is>
          <t>anna.ogar@uj.edu.pl; grzegorz.tylko@uj.edu.pl; katarzyna.turnau@uj.edu.pl</t>
        </is>
      </c>
      <c r="AB1237" t="inlineStr">
        <is>
          <t>Turnau, Katarzyna/ABG-6170-2020</t>
        </is>
      </c>
      <c r="AC1237" t="inlineStr">
        <is>
          <t>Turnau, Katarzyna/0000-0002-8875-0978</t>
        </is>
      </c>
      <c r="AD1237" t="inlineStr">
        <is>
          <t>Foundation for Polish Science [MPD/2009-3/5]; EU European Regional Development Fund; Malopolskie Centre of Entrepreneurship (Programme DOCTUS); DSC [K/DSC/000858]; Jagiellonian University</t>
        </is>
      </c>
      <c r="AE1237" t="inlineStr">
        <is>
          <t>Foundation for Polish Science(Foundation for Polish Science); EU European Regional Development Fund(European Union (EU)); Malopolskie Centre of Entrepreneurship (Programme DOCTUS); DSC; Jagiellonian University</t>
        </is>
      </c>
      <c r="AF1237" t="inlineStr">
        <is>
          <t>This work was supported by Foundation for Polish Science (MPD/2009-3/5), International PhD Projects Programme co-financed by the EU European Regional Development Fund, project title: Environmental Stress, Population Viability and Adaptations. Funding was also provided by the Malopolskie Centre of Entrepreneurship (Programme DOCTUS) and by the DSC Project K/DSC/000858, DS 758 funded by Jagiellonian University. The authors would like to thank Prof. Stefan Karlsson (University of Orebro, Sweden) for constructive comments and Dr. Grzegorz Wojtczak for the help in DNA sequencing. Special thanks to Maciej Dlugosz from Nanotechnology of Polymers and Biomaterials Group for providing AFM analysis and the Laboratory of Scanning Electron Microscopy for Biological and Geological Science at Jagiellonian University.</t>
        </is>
      </c>
      <c r="AH1237" t="n">
        <v>81</v>
      </c>
      <c r="AI1237" t="n">
        <v>74</v>
      </c>
      <c r="AJ1237" t="n">
        <v>76</v>
      </c>
      <c r="AK1237" t="n">
        <v>0</v>
      </c>
      <c r="AL1237" t="n">
        <v>94</v>
      </c>
      <c r="AM1237" t="inlineStr">
        <is>
          <t>ELSEVIER</t>
        </is>
      </c>
      <c r="AN1237" t="inlineStr">
        <is>
          <t>AMSTERDAM</t>
        </is>
      </c>
      <c r="AO1237" t="inlineStr">
        <is>
          <t>RADARWEG 29, 1043 NX AMSTERDAM, NETHERLANDS</t>
        </is>
      </c>
      <c r="AP1237" t="inlineStr">
        <is>
          <t>0048-9697</t>
        </is>
      </c>
      <c r="AQ1237" t="inlineStr">
        <is>
          <t>1879-1026</t>
        </is>
      </c>
      <c r="AS1237" t="inlineStr">
        <is>
          <t>SCI TOTAL ENVIRON</t>
        </is>
      </c>
      <c r="AT1237" t="inlineStr">
        <is>
          <t>Sci. Total Environ.</t>
        </is>
      </c>
      <c r="AU1237" t="inlineStr">
        <is>
          <t>JUL 15</t>
        </is>
      </c>
      <c r="AV1237" t="n">
        <v>2015</v>
      </c>
      <c r="AW1237" t="n">
        <v>521</v>
      </c>
      <c r="BC1237" t="n">
        <v>305</v>
      </c>
      <c r="BD1237" t="n">
        <v>314</v>
      </c>
      <c r="BF1237" t="inlineStr">
        <is>
          <t>10.1016/j.scitotenv.2015.03.101</t>
        </is>
      </c>
      <c r="BG1237">
        <f>HYPERLINK("http://dx.doi.org/10.1016/j.scitotenv.2015.03.101","http://dx.doi.org/10.1016/j.scitotenv.2015.03.101")</f>
        <v/>
      </c>
      <c r="BJ1237" t="n">
        <v>10</v>
      </c>
      <c r="BK1237" t="inlineStr">
        <is>
          <t>Environmental Sciences</t>
        </is>
      </c>
      <c r="BL1237" t="inlineStr">
        <is>
          <t>Science Citation Index Expanded (SCI-EXPANDED)</t>
        </is>
      </c>
      <c r="BM1237" t="inlineStr">
        <is>
          <t>Environmental Sciences &amp; Ecology</t>
        </is>
      </c>
      <c r="BN1237" t="inlineStr">
        <is>
          <t>CH3ED</t>
        </is>
      </c>
      <c r="BO1237" t="n">
        <v>25847174</v>
      </c>
      <c r="BS1237" t="inlineStr">
        <is>
          <t>2023-10-26</t>
        </is>
      </c>
      <c r="BT1237" t="inlineStr">
        <is>
          <t>WOS:000353909000033</t>
        </is>
      </c>
      <c r="BU1237">
        <f>HYPERLINK("https%3A%2F%2Fwww.webofscience.com%2Fwos%2Fwoscc%2Ffull-record%2FWOS:000353909000033","View Full Record in Web of Science")</f>
        <v/>
      </c>
    </row>
    <row r="1238">
      <c r="A1238" t="inlineStr">
        <is>
          <t>J</t>
        </is>
      </c>
      <c r="B1238" t="inlineStr">
        <is>
          <t>Smajlovic, SK; Kukec, A; Dovjak, M</t>
        </is>
      </c>
      <c r="F1238" t="inlineStr">
        <is>
          <t>Smajlovic, Sedina Kalender; Kukec, Andreja; Dovjak, Mateja</t>
        </is>
      </c>
      <c r="J1238" t="inlineStr">
        <is>
          <t>INTERNATIONAL JOURNAL OF ENVIRONMENTAL RESEARCH AND PUBLIC HEALTH</t>
        </is>
      </c>
      <c r="M1238" t="inlineStr">
        <is>
          <t>English</t>
        </is>
      </c>
      <c r="N1238" t="inlineStr">
        <is>
          <t>Article</t>
        </is>
      </c>
      <c r="T1238" t="inlineStr">
        <is>
          <t>Association between Sick Building Syndrome and Indoor Environmental Quality in Slovenian Hospitals: A Cross-Sectional Study</t>
        </is>
      </c>
      <c r="U1238" t="inlineStr">
        <is>
          <t>hospital ward; health risk factors; parameters; sick building syndrome; integral strategy; environmental health activities</t>
        </is>
      </c>
      <c r="V1238" t="inlineStr">
        <is>
          <t>HEALTH-CARE; AIR-QUALITY; SYMPTOMS; WORKERS; DAMPNESS; STRESS; ASTHMA; RISK</t>
        </is>
      </c>
      <c r="W1238" t="inlineStr">
        <is>
          <t>Increased exposure times to various health risk factors and the vulnerability of building users might result in significantly higher prevalence rates of sick building syndrome (SBS) in a hospital setting compared to other indoor environments. The purpose of our study was to assess the association between SBS symptoms and measured environmental parameters at a Slovenian general hospital. A combination of a self-assessment study and field measurements was conducted in order to estimate the health risk factors for SBS symptoms among the users of a Slovenian general hospital. The Chi-square test was used to analyse the association between observed health and environmental parameters. The response rate was 67.5%. A total of 12.0% of healthcare workers at hospital wards reported at least six SBS symptoms, 19.0% reported 2-3 SBS symptoms. At the observed hospital wards, the most deviations were recorded for the level of lighting (83.3%), noise level (73.6%), and room temperature (55.3%). A statistically significant association was found between indoor environmental quality and skin-related SBS symptoms (chi(2) = 0.009; p = 0.006). This information will be of great value in defining an integral strategy of environmental health activities aimed at healthier indoor environmental quality in hospitals.</t>
        </is>
      </c>
      <c r="X1238" t="inlineStr">
        <is>
          <t>[Smajlovic, Sedina Kalender] Angela Boskin Fac Hlth Care, Jesenice 4270, Slovenia; [Kukec, Andreja] Univ Ljubljana, Fac Med, Ljubljana 1000, Slovenia; [Dovjak, Mateja] Univ Ljubljana, Fac Civil &amp; Geodet Engn, Ljubljana 1000, Slovenia</t>
        </is>
      </c>
      <c r="Y1238" t="inlineStr">
        <is>
          <t>University of Ljubljana; University of Ljubljana</t>
        </is>
      </c>
      <c r="Z1238" t="inlineStr">
        <is>
          <t>Dovjak, M (corresponding author), Univ Ljubljana, Fac Civil &amp; Geodet Engn, Ljubljana 1000, Slovenia.</t>
        </is>
      </c>
      <c r="AA1238" t="inlineStr">
        <is>
          <t>mdovjak@fgg.uni-lj.si</t>
        </is>
      </c>
      <c r="AC1238" t="inlineStr">
        <is>
          <t>DOVJAK, MATEJA/0000-0003-4929-0232</t>
        </is>
      </c>
      <c r="AD1238" t="inlineStr">
        <is>
          <t>Slovenian Research Agency [P5-0142, P2-0158]</t>
        </is>
      </c>
      <c r="AE1238" t="inlineStr">
        <is>
          <t>Slovenian Research Agency(Slovenian Research Agency - Slovenia)</t>
        </is>
      </c>
      <c r="AF1238" t="inlineStr">
        <is>
          <t>This research was funded by the Slovenian Research Agency (research core funding P5-0142 Bio-psycho-social context of kinesiology and No. P2-0158, Structural engineering and building physics).</t>
        </is>
      </c>
      <c r="AH1238" t="n">
        <v>49</v>
      </c>
      <c r="AI1238" t="n">
        <v>12</v>
      </c>
      <c r="AJ1238" t="n">
        <v>13</v>
      </c>
      <c r="AK1238" t="n">
        <v>0</v>
      </c>
      <c r="AL1238" t="n">
        <v>7</v>
      </c>
      <c r="AM1238" t="inlineStr">
        <is>
          <t>MDPI</t>
        </is>
      </c>
      <c r="AN1238" t="inlineStr">
        <is>
          <t>BASEL</t>
        </is>
      </c>
      <c r="AO1238" t="inlineStr">
        <is>
          <t>ST ALBAN-ANLAGE 66, CH-4052 BASEL, SWITZERLAND</t>
        </is>
      </c>
      <c r="AP1238" t="inlineStr">
        <is>
          <t>1661-7827</t>
        </is>
      </c>
      <c r="AQ1238" t="inlineStr">
        <is>
          <t>1660-4601</t>
        </is>
      </c>
      <c r="AS1238" t="inlineStr">
        <is>
          <t>INT J ENV RES PUB HE</t>
        </is>
      </c>
      <c r="AT1238" t="inlineStr">
        <is>
          <t>Int. J. Environ. Res. Public Health</t>
        </is>
      </c>
      <c r="AU1238" t="inlineStr">
        <is>
          <t>SEP 1</t>
        </is>
      </c>
      <c r="AV1238" t="n">
        <v>2019</v>
      </c>
      <c r="AW1238" t="n">
        <v>16</v>
      </c>
      <c r="AX1238" t="n">
        <v>17</v>
      </c>
      <c r="BE1238" t="n">
        <v>3224</v>
      </c>
      <c r="BF1238" t="inlineStr">
        <is>
          <t>10.3390/ijerph16173224</t>
        </is>
      </c>
      <c r="BG1238">
        <f>HYPERLINK("http://dx.doi.org/10.3390/ijerph16173224","http://dx.doi.org/10.3390/ijerph16173224")</f>
        <v/>
      </c>
      <c r="BJ1238" t="n">
        <v>18</v>
      </c>
      <c r="BK1238" t="inlineStr">
        <is>
          <t>Environmental Sciences; Public, Environmental &amp; Occupational Health</t>
        </is>
      </c>
      <c r="BL1238" t="inlineStr">
        <is>
          <t>Science Citation Index Expanded (SCI-EXPANDED); Social Science Citation Index (SSCI)</t>
        </is>
      </c>
      <c r="BM1238" t="inlineStr">
        <is>
          <t>Environmental Sciences &amp; Ecology; Public, Environmental &amp; Occupational Health</t>
        </is>
      </c>
      <c r="BN1238" t="inlineStr">
        <is>
          <t>IZ4EQ</t>
        </is>
      </c>
      <c r="BO1238" t="n">
        <v>31484409</v>
      </c>
      <c r="BP1238" t="inlineStr">
        <is>
          <t>Green Submitted, gold, Green Published</t>
        </is>
      </c>
      <c r="BS1238" t="inlineStr">
        <is>
          <t>2023-10-26</t>
        </is>
      </c>
      <c r="BT1238" t="inlineStr">
        <is>
          <t>WOS:000487037500219</t>
        </is>
      </c>
      <c r="BU1238">
        <f>HYPERLINK("https%3A%2F%2Fwww.webofscience.com%2Fwos%2Fwoscc%2Ffull-record%2FWOS:000487037500219","View Full Record in Web of Science")</f>
        <v/>
      </c>
    </row>
    <row r="1239">
      <c r="A1239" t="inlineStr">
        <is>
          <t>J</t>
        </is>
      </c>
      <c r="B1239" t="inlineStr">
        <is>
          <t>Cheng, WLS</t>
        </is>
      </c>
      <c r="F1239" t="inlineStr">
        <is>
          <t>Cheng, Winnie Lai-Sheung</t>
        </is>
      </c>
      <c r="J1239" t="inlineStr">
        <is>
          <t>INTERNATIONAL JOURNAL OF ENVIRONMENTAL RESEARCH AND PUBLIC HEALTH</t>
        </is>
      </c>
      <c r="M1239" t="inlineStr">
        <is>
          <t>English</t>
        </is>
      </c>
      <c r="N1239" t="inlineStr">
        <is>
          <t>Article</t>
        </is>
      </c>
      <c r="T1239" t="inlineStr">
        <is>
          <t>Roles of Knowledge and Attitude in the Willingness of Nursing Students to Care for Older Adults in Hong Kong</t>
        </is>
      </c>
      <c r="U1239" t="inlineStr">
        <is>
          <t>attitudes; knowledge; willingness; nursing students; older-adult care; nursing education</t>
        </is>
      </c>
      <c r="V1239" t="inlineStr">
        <is>
          <t>NURSES ATTITUDES; PEOPLE; WORK</t>
        </is>
      </c>
      <c r="W1239" t="inlineStr">
        <is>
          <t>Due to the ageing population, nursing students will be more likely to work with older adults after graduation. It is important to assess whether Hong Kong nursing students are well prepared to care for older adults. A convenience sample of 139 nursing students was surveyed using questionnaires: Palmore's Facts on Ageing Quiz (FAQ), Kogan's Attitudes Toward Old People scale (KAOP), and the Willingness to Care for Older People (WCOP) scale to assess the knowledge of and attitudes toward older adult care, and willingness to care for older adults, respectively. The overall score in the FAQ was medium-low (mean = 15.1, SD = 2.8). The KAOP score was medium-high (mean = 121.6, SD = 12.0). The willingness score was slightly high (mean = 5.2, SD = 1.1). Positive attitudes and knowledge about ageing are the predictors of nursing students' willingness to take care of older adults. The findings provide evidence to nurse educators and clinical mentors that (a) courses providing knowledge about ageing are valuable, and (b) elements that cultivate positive attitudes towards older adult care should be included in curricula. Nursing curricula that provide knowledge and experience about older adult care play a pivotal role in creating a workforce of nurses ready and willing to care for the ever growing number of ageing adults.</t>
        </is>
      </c>
      <c r="X1239" t="inlineStr">
        <is>
          <t>[Cheng, Winnie Lai-Sheung] Tung Wah Coll, Sch Nursing, Hong Kong, Peoples R China</t>
        </is>
      </c>
      <c r="Y1239" t="inlineStr">
        <is>
          <t>Tung Wah College</t>
        </is>
      </c>
      <c r="Z1239" t="inlineStr">
        <is>
          <t>Cheng, WLS (corresponding author), Tung Wah Coll, Sch Nursing, Hong Kong, Peoples R China.</t>
        </is>
      </c>
      <c r="AA1239" t="inlineStr">
        <is>
          <t>winniecheng@twc.edu.hk</t>
        </is>
      </c>
      <c r="AB1239" t="inlineStr">
        <is>
          <t>Cheng, Winnie Lai Sheung/AAV-5873-2021; Cheng, Winnie Lai Sheung/JAZ-1210-2023</t>
        </is>
      </c>
      <c r="AC1239" t="inlineStr">
        <is>
          <t>Cheng, Winnie Lai Sheung/0000-0001-7935-102X;</t>
        </is>
      </c>
      <c r="AH1239" t="n">
        <v>37</v>
      </c>
      <c r="AI1239" t="n">
        <v>7</v>
      </c>
      <c r="AJ1239" t="n">
        <v>7</v>
      </c>
      <c r="AK1239" t="n">
        <v>0</v>
      </c>
      <c r="AL1239" t="n">
        <v>10</v>
      </c>
      <c r="AM1239" t="inlineStr">
        <is>
          <t>MDPI</t>
        </is>
      </c>
      <c r="AN1239" t="inlineStr">
        <is>
          <t>BASEL</t>
        </is>
      </c>
      <c r="AO1239" t="inlineStr">
        <is>
          <t>ST ALBAN-ANLAGE 66, CH-4052 BASEL, SWITZERLAND</t>
        </is>
      </c>
      <c r="AQ1239" t="inlineStr">
        <is>
          <t>1660-4601</t>
        </is>
      </c>
      <c r="AS1239" t="inlineStr">
        <is>
          <t>INT J ENV RES PUB HE</t>
        </is>
      </c>
      <c r="AT1239" t="inlineStr">
        <is>
          <t>Int. J. Environ. Res. Public Health</t>
        </is>
      </c>
      <c r="AU1239" t="inlineStr">
        <is>
          <t>AUG</t>
        </is>
      </c>
      <c r="AV1239" t="n">
        <v>2021</v>
      </c>
      <c r="AW1239" t="n">
        <v>18</v>
      </c>
      <c r="AX1239" t="n">
        <v>15</v>
      </c>
      <c r="BE1239" t="n">
        <v>7757</v>
      </c>
      <c r="BF1239" t="inlineStr">
        <is>
          <t>10.3390/ijerph18157757</t>
        </is>
      </c>
      <c r="BG1239">
        <f>HYPERLINK("http://dx.doi.org/10.3390/ijerph18157757","http://dx.doi.org/10.3390/ijerph18157757")</f>
        <v/>
      </c>
      <c r="BJ1239" t="n">
        <v>8</v>
      </c>
      <c r="BK1239" t="inlineStr">
        <is>
          <t>Environmental Sciences; Public, Environmental &amp; Occupational Health</t>
        </is>
      </c>
      <c r="BL1239" t="inlineStr">
        <is>
          <t>Science Citation Index Expanded (SCI-EXPANDED); Social Science Citation Index (SSCI)</t>
        </is>
      </c>
      <c r="BM1239" t="inlineStr">
        <is>
          <t>Environmental Sciences &amp; Ecology; Public, Environmental &amp; Occupational Health</t>
        </is>
      </c>
      <c r="BN1239" t="inlineStr">
        <is>
          <t>TV6ZR</t>
        </is>
      </c>
      <c r="BO1239" t="n">
        <v>34360050</v>
      </c>
      <c r="BP1239" t="inlineStr">
        <is>
          <t>Green Published, gold</t>
        </is>
      </c>
      <c r="BS1239" t="inlineStr">
        <is>
          <t>2023-10-26</t>
        </is>
      </c>
      <c r="BT1239" t="inlineStr">
        <is>
          <t>WOS:000681869600001</t>
        </is>
      </c>
      <c r="BU1239">
        <f>HYPERLINK("https%3A%2F%2Fwww.webofscience.com%2Fwos%2Fwoscc%2Ffull-record%2FWOS:000681869600001","View Full Record in Web of Science")</f>
        <v/>
      </c>
    </row>
    <row r="1240">
      <c r="A1240" t="inlineStr">
        <is>
          <t>J</t>
        </is>
      </c>
      <c r="B1240" t="inlineStr">
        <is>
          <t>Sidra, S; Ali, Z; Sultan, S; Ahmed, S; Colbeck, I; Nasir, ZA</t>
        </is>
      </c>
      <c r="F1240" t="inlineStr">
        <is>
          <t>Sidra, Safdar; Ali, Zulfiqar; Sultan, Sikander; Ahmed, Shakil; Colbeck, Ian; Nasir, Zaheer Ahmad</t>
        </is>
      </c>
      <c r="J1240" t="inlineStr">
        <is>
          <t>AEROSOL AND AIR QUALITY RESEARCH</t>
        </is>
      </c>
      <c r="M1240" t="inlineStr">
        <is>
          <t>English</t>
        </is>
      </c>
      <c r="N1240" t="inlineStr">
        <is>
          <t>Article</t>
        </is>
      </c>
      <c r="T1240" t="inlineStr">
        <is>
          <t>Assessment of Airborne Microflora in the Indoor Micro-Environments of Residential Houses of Lahore, Pakistan</t>
        </is>
      </c>
      <c r="U1240" t="inlineStr">
        <is>
          <t>Bioaerosols; Fine particulate matter; Residential area; Indoor air quality</t>
        </is>
      </c>
      <c r="V1240" t="inlineStr">
        <is>
          <t>DIESEL EXHAUST PARTICLES; AIR-QUALITY; PARTICULATE MATTER; BACTERIAL COMMUNITIES; EXPOSURE ASSESSMENT; RELATIVE-HUMIDITY; BIOMASS FUEL; FUNGAL; BIOAEROSOLS; ASTHMA</t>
        </is>
      </c>
      <c r="W1240" t="inlineStr">
        <is>
          <t>The presence of micro-organisms in air is taken for granted, but understanding the identities, distribution and abundance of airborne micro-organisms remains in its infancy. Indoor exposure to micro-organisms has been related to range of adverse health outcomes. The indoor levels of particulate matter and bioaerosols were monitored in thirty houses across Lahore, Pakistan. Two DustTrak aerosol monitors (model 8520, TSI Inc.) were run simultaneously in the kitchens and living rooms of the selected sites to measure fine particulate matter. At the same time, agar coated petri plates were exposed face upwards for twenty minutes to sample the micro-organisms present in surrounding air of both micro-environments. A total of 7 bacterial species and 11 fungal species were identified including Staphylococcus spp., Bacillus spp., Micrococcus spp. and Serratia spp. while the predominant fungal species were Alternaria alternata and Aspergillus spp. The concentrations (cfu m(-3)) for bacteria ranged from 472 to 9829 in the kitchens and from 275 to 14469 in the living rooms. Likewise, the fungal cfu m(-3) ranged between 236 and 1887 in the kitchen and from 315 to 1887 in the living room. A seasonal variation in bioaerosols was evident in the kitchens while being not so pronounced in the living rooms. A linear regression model showed a direct association of temperature with bacteria and fine particulate matter but not with fungi. Ventilation was also observed to have a significant impact upon PM levels. Out of 30 households sixteen had the presence of at least one individual with allergenic reactions. These findings highlight the enhanced risk of exposure to fine particulate matter as well as bioaerosols in the urban residential built environment in Pakistan.</t>
        </is>
      </c>
      <c r="X1240" t="inlineStr">
        <is>
          <t>[Sidra, Safdar; Ali, Zulfiqar] Univ Punjab, Environm Hlth &amp; Wildlife, Dept Zool, Lahore 54590, Pakistan; [Sultan, Sikander] Univ Punjab, Dept Microbiol &amp; Mol Genet, Lahore 54590, Pakistan; [Ahmed, Shakil] Univ Punjab, Dept Bot, Lahore 54590, Pakistan; [Colbeck, Ian; Nasir, Zaheer Ahmad] Univ Essex, Sch Biol Sci, Colchester CO4 3SQ, Essex, England; [Nasir, Zaheer Ahmad] Cranfield Univ, Sch Energy Environm &amp; Agrifood, Cranfield MK43 0AL, Beds, England; [Sidra, Safdar] Univ Vet &amp; Anim Sci, Dept Wildlife &amp; Ecol, Lahore, Pakistan</t>
        </is>
      </c>
      <c r="Y1240" t="inlineStr">
        <is>
          <t>University of Punjab; University of Punjab; University of Punjab; University of Essex; Cranfield University; University of Veterinary &amp; Animal Science - Pakistan</t>
        </is>
      </c>
      <c r="Z1240" t="inlineStr">
        <is>
          <t>Ali, Z (corresponding author), Univ Punjab, Environm Hlth &amp; Wildlife, Dept Zool, Lahore 54590, Pakistan.</t>
        </is>
      </c>
      <c r="AA1240" t="inlineStr">
        <is>
          <t>zali.zool@pu.edu.pk</t>
        </is>
      </c>
      <c r="AB1240" t="inlineStr">
        <is>
          <t>Colbeck, Ian/F-2664-2013; Ali, Zulfiqar/AAF-9771-2019; Ahmed, Prof. Dr. Shakil/AGZ-6850-2022; Nasir, Zaheer Ahmad/R-3372-2019; Sidra, Safdar/ABF-5278-2020</t>
        </is>
      </c>
      <c r="AC1240" t="inlineStr">
        <is>
          <t>Colbeck, Ian/0000-0001-5668-1309; Ali, Zulfiqar/0000-0002-3111-003X; Ahmed, Prof. Dr. Shakil/0000-0003-2785-9897; Nasir, Zaheer Ahmad/0000-0002-9953-7144; Sidra, Safdar/0000-0002-2120-4104</t>
        </is>
      </c>
      <c r="AH1240" t="n">
        <v>66</v>
      </c>
      <c r="AI1240" t="n">
        <v>11</v>
      </c>
      <c r="AJ1240" t="n">
        <v>11</v>
      </c>
      <c r="AK1240" t="n">
        <v>2</v>
      </c>
      <c r="AL1240" t="n">
        <v>21</v>
      </c>
      <c r="AM1240" t="inlineStr">
        <is>
          <t>TAIWAN ASSOC AEROSOL RES-TAAR</t>
        </is>
      </c>
      <c r="AN1240" t="inlineStr">
        <is>
          <t>TAICHUNG COUNTY</t>
        </is>
      </c>
      <c r="AO1240" t="inlineStr">
        <is>
          <t>CHAOYANG UNIV TECH, DEPT ENV ENG &amp; MGMT, PROD CTR AAQR, NO 168, JIFONG E RD, WUFONG TOWNSHIP, TAICHUNG COUNTY, 41349, TAIWAN</t>
        </is>
      </c>
      <c r="AP1240" t="inlineStr">
        <is>
          <t>1680-8584</t>
        </is>
      </c>
      <c r="AQ1240" t="inlineStr">
        <is>
          <t>2071-1409</t>
        </is>
      </c>
      <c r="AS1240" t="inlineStr">
        <is>
          <t>AEROSOL AIR QUAL RES</t>
        </is>
      </c>
      <c r="AT1240" t="inlineStr">
        <is>
          <t>Aerosol Air Qual. Res.</t>
        </is>
      </c>
      <c r="AU1240" t="inlineStr">
        <is>
          <t>NOV</t>
        </is>
      </c>
      <c r="AV1240" t="n">
        <v>2015</v>
      </c>
      <c r="AW1240" t="n">
        <v>15</v>
      </c>
      <c r="AX1240" t="n">
        <v>6</v>
      </c>
      <c r="BA1240" t="inlineStr">
        <is>
          <t>SI</t>
        </is>
      </c>
      <c r="BC1240" t="n">
        <v>2385</v>
      </c>
      <c r="BD1240" t="n">
        <v>2396</v>
      </c>
      <c r="BF1240" t="inlineStr">
        <is>
          <t>10.4209/aaqr.2014.12.0338</t>
        </is>
      </c>
      <c r="BG1240">
        <f>HYPERLINK("http://dx.doi.org/10.4209/aaqr.2014.12.0338","http://dx.doi.org/10.4209/aaqr.2014.12.0338")</f>
        <v/>
      </c>
      <c r="BJ1240" t="n">
        <v>12</v>
      </c>
      <c r="BK1240" t="inlineStr">
        <is>
          <t>Environmental Sciences</t>
        </is>
      </c>
      <c r="BL1240" t="inlineStr">
        <is>
          <t>Science Citation Index Expanded (SCI-EXPANDED)</t>
        </is>
      </c>
      <c r="BM1240" t="inlineStr">
        <is>
          <t>Environmental Sciences &amp; Ecology</t>
        </is>
      </c>
      <c r="BN1240" t="inlineStr">
        <is>
          <t>CU3AR</t>
        </is>
      </c>
      <c r="BP1240" t="inlineStr">
        <is>
          <t>gold, Green Accepted, Green Submitted</t>
        </is>
      </c>
      <c r="BS1240" t="inlineStr">
        <is>
          <t>2023-10-26</t>
        </is>
      </c>
      <c r="BT1240" t="inlineStr">
        <is>
          <t>WOS:000363396200020</t>
        </is>
      </c>
      <c r="BU1240">
        <f>HYPERLINK("https%3A%2F%2Fwww.webofscience.com%2Fwos%2Fwoscc%2Ffull-record%2FWOS:000363396200020","View Full Record in Web of Science")</f>
        <v/>
      </c>
    </row>
    <row r="1241">
      <c r="A1241" t="inlineStr">
        <is>
          <t>J</t>
        </is>
      </c>
      <c r="B1241" t="inlineStr">
        <is>
          <t>Tani, Y; Fujiwara, T; Sugihara, G; Hanazato, M; Suzuki, N; Machida, M; Amagasa, S; Murayama, H; Inoue, S; Shobugawa, Y</t>
        </is>
      </c>
      <c r="F1241" t="inlineStr">
        <is>
          <t>Tani, Yukako; Fujiwara, Takeo; Sugihara, Genichi; Hanazato, Masamichi; Suzuki, Norimichi; Machida, Masaki; Amagasa, Shiho; Murayama, Hiroshi; Inoue, Shigeru; Shobugawa, Yugo</t>
        </is>
      </c>
      <c r="J1241" t="inlineStr">
        <is>
          <t>INTERNATIONAL JOURNAL OF ENVIRONMENTAL RESEARCH AND PUBLIC HEALTH</t>
        </is>
      </c>
      <c r="M1241" t="inlineStr">
        <is>
          <t>English</t>
        </is>
      </c>
      <c r="N1241" t="inlineStr">
        <is>
          <t>Article</t>
        </is>
      </c>
      <c r="T1241" t="inlineStr">
        <is>
          <t>Neighborhood Beauty and the Brain in Older Japanese Adults</t>
        </is>
      </c>
      <c r="U1241" t="inlineStr">
        <is>
          <t>neighborhood environment; brain imaging; beauty; aesthetics; green space; older adults</t>
        </is>
      </c>
      <c r="V1241" t="inlineStr">
        <is>
          <t>MEDIAL ORBITOFRONTAL CORTEX; GRAY-MATTER VOLUME; HEALTH</t>
        </is>
      </c>
      <c r="W1241" t="inlineStr">
        <is>
          <t>People have a preference for, and feel better in, beautiful natural environments. However, there are no epidemiological studies on the association between neighborhood beauty and neuroimaging measures. We aimed to determine association between neighborhood beauty and regional brain volume. Participants were 476 community-dwelling older adults from the Neuron to Environmental Impact across Generations (NEIGE) study. Subjective neighborhood beauty was assessed through participants' perception of beautiful scenery within 1 km of their home. Objective measures of neighborhood indicators (green spaces, blue spaces, and plant diversity) within 1 km of participants' homes were obtained using a geographic information system. Volumes of brain regions associated with experience of beauty were measured using magnetic resonance imaging. We estimated associations between neighborhood beauty and regional brain volume using linear regression. Of the participants, 42% rated their neighborhoods as very beautiful, and 17% rated them as not at all beautiful. Higher subjective neighborhood beauty was associated with larger bilateral medial orbitofrontal cortex and insula volumes (all p for trend &lt; 0.01). Brain volume was not associated with objective neighborhood measures. Subjective neighborhood beauty was associated with brain regions related to rewards and decision making, suggesting that these brain regions underpin the perception of neighborhood beauty.</t>
        </is>
      </c>
      <c r="X1241" t="inlineStr">
        <is>
          <t>[Tani, Yukako; Fujiwara, Takeo] Tokyo Med &amp; Dent Univ TMDU, Dept Global Hlth Promot, Tokyo 1138510, Japan; [Sugihara, Genichi] Tokyo Med &amp; Dent Univ TMDU, Dept Psychiat &amp; Behav Sci, Tokyo 1138510, Japan; [Hanazato, Masamichi; Suzuki, Norimichi] Chiba Univ, Ctr Prevent Med Sci, Chiba 2638522, Japan; [Machida, Masaki; Amagasa, Shiho; Inoue, Shigeru] Tokyo Med Univ, Dept Prevent Med &amp; Publ Hlth, Tokyo 1608402, Japan; [Murayama, Hiroshi] Tokyo Metropolitan Inst Gerontol, Res Team Social Participat &amp; Community Hlth, Tokyo 1730015, Japan; [Shobugawa, Yugo] Niigata Univ, Dept Act Ageing, Grad Sch Med &amp; Dent Sci, Niigata 9518510, Japan</t>
        </is>
      </c>
      <c r="Y1241" t="inlineStr">
        <is>
          <t>Tokyo Medical &amp; Dental University (TMDU); Tokyo Medical &amp; Dental University (TMDU); Chiba University; Tokyo Medical University; Tokyo Metropolitan Institute of Gerontology; Niigata University</t>
        </is>
      </c>
      <c r="Z1241" t="inlineStr">
        <is>
          <t>Tani, Y (corresponding author), Tokyo Med &amp; Dent Univ TMDU, Dept Global Hlth Promot, Tokyo 1138510, Japan.</t>
        </is>
      </c>
      <c r="AA1241" t="inlineStr">
        <is>
          <t>tani.hlth@tmd.ac.jp</t>
        </is>
      </c>
      <c r="AC1241" t="inlineStr">
        <is>
          <t>Tani, Yukako/0000-0001-5533-2844; Fujiwara, Takeo/0000-0002-1074-3954; Shobugawa, Yugo/0000-0003-2851-0101; Hanazato, Masamichi/0000-0002-0317-7616; Machida, Masaki/0000-0002-7060-7305; Suzuki, Norimichi/0000-0003-3102-688X; Inoue, Shigeru/0000-0003-1931-2613</t>
        </is>
      </c>
      <c r="AH1241" t="n">
        <v>41</v>
      </c>
      <c r="AI1241" t="n">
        <v>0</v>
      </c>
      <c r="AJ1241" t="n">
        <v>0</v>
      </c>
      <c r="AK1241" t="n">
        <v>2</v>
      </c>
      <c r="AL1241" t="n">
        <v>3</v>
      </c>
      <c r="AM1241" t="inlineStr">
        <is>
          <t>MDPI</t>
        </is>
      </c>
      <c r="AN1241" t="inlineStr">
        <is>
          <t>BASEL</t>
        </is>
      </c>
      <c r="AO1241" t="inlineStr">
        <is>
          <t>ST ALBAN-ANLAGE 66, CH-4052 BASEL, SWITZERLAND</t>
        </is>
      </c>
      <c r="AQ1241" t="inlineStr">
        <is>
          <t>1660-4601</t>
        </is>
      </c>
      <c r="AS1241" t="inlineStr">
        <is>
          <t>INT J ENV RES PUB HE</t>
        </is>
      </c>
      <c r="AT1241" t="inlineStr">
        <is>
          <t>Int. J. Environ. Res. Public Health</t>
        </is>
      </c>
      <c r="AU1241" t="inlineStr">
        <is>
          <t>JAN</t>
        </is>
      </c>
      <c r="AV1241" t="n">
        <v>2023</v>
      </c>
      <c r="AW1241" t="n">
        <v>20</v>
      </c>
      <c r="AX1241" t="n">
        <v>1</v>
      </c>
      <c r="BE1241" t="n">
        <v>679</v>
      </c>
      <c r="BF1241" t="inlineStr">
        <is>
          <t>10.3390/ijerph20010679</t>
        </is>
      </c>
      <c r="BG1241">
        <f>HYPERLINK("http://dx.doi.org/10.3390/ijerph20010679","http://dx.doi.org/10.3390/ijerph20010679")</f>
        <v/>
      </c>
      <c r="BJ1241" t="n">
        <v>10</v>
      </c>
      <c r="BK1241" t="inlineStr">
        <is>
          <t>Environmental Sciences; Public, Environmental &amp; Occupational Health</t>
        </is>
      </c>
      <c r="BL1241" t="inlineStr">
        <is>
          <t>Science Citation Index Expanded (SCI-EXPANDED); Social Science Citation Index (SSCI)</t>
        </is>
      </c>
      <c r="BM1241" t="inlineStr">
        <is>
          <t>Environmental Sciences &amp; Ecology; Public, Environmental &amp; Occupational Health</t>
        </is>
      </c>
      <c r="BN1241" t="inlineStr">
        <is>
          <t>7Q3JX</t>
        </is>
      </c>
      <c r="BO1241" t="n">
        <v>36612997</v>
      </c>
      <c r="BP1241" t="inlineStr">
        <is>
          <t>Green Published, gold, Green Submitted</t>
        </is>
      </c>
      <c r="BS1241" t="inlineStr">
        <is>
          <t>2023-10-26</t>
        </is>
      </c>
      <c r="BT1241" t="inlineStr">
        <is>
          <t>WOS:000909292300001</t>
        </is>
      </c>
      <c r="BU1241">
        <f>HYPERLINK("https%3A%2F%2Fwww.webofscience.com%2Fwos%2Fwoscc%2Ffull-record%2FWOS:000909292300001","View Full Record in Web of Science")</f>
        <v/>
      </c>
    </row>
    <row r="1242">
      <c r="A1242" t="inlineStr">
        <is>
          <t>J</t>
        </is>
      </c>
      <c r="B1242" t="inlineStr">
        <is>
          <t>Ramírez-Correa, P; Grandón, EE; Ramírez-Santana, M; Ordenes, LB</t>
        </is>
      </c>
      <c r="F1242" t="inlineStr">
        <is>
          <t>Ramirez-Correa, Patricio; Grandon, Elizabeth E.; Ramirez-Santana, Muriel; Belmar Ordenes, Leonard</t>
        </is>
      </c>
      <c r="J1242" t="inlineStr">
        <is>
          <t>INTERNATIONAL JOURNAL OF ENVIRONMENTAL RESEARCH AND PUBLIC HEALTH</t>
        </is>
      </c>
      <c r="M1242" t="inlineStr">
        <is>
          <t>English</t>
        </is>
      </c>
      <c r="N1242" t="inlineStr">
        <is>
          <t>Article</t>
        </is>
      </c>
      <c r="T1242" t="inlineStr">
        <is>
          <t>Explaining the Use of Social Network Sites as Seen by Older Adults: The Enjoyment Component of a Hedonic Information System</t>
        </is>
      </c>
      <c r="U1242" t="inlineStr">
        <is>
          <t>older adults; SNS; hedonic information systems; Chile</t>
        </is>
      </c>
      <c r="V1242" t="inlineStr">
        <is>
          <t>ACCEPTANCE; PARTICIPATION; TECHNOLOGY; BENEFITS; ADOPTION</t>
        </is>
      </c>
      <c r="W1242" t="inlineStr">
        <is>
          <t>Previous studies suggest that older adults are living increasingly alone and without the company of their close relatives, which cause them depression problems and a detriment to their health and general wellbeing. The use of social network sites (SNS) allows them to reduce their isolation, improve their social participation, and increase their autonomy. Although the adoption of various information technologies by older adults has been studied, some assumptions still predominate, for example, that older adults use SNS only for utilitarian purposes. However, considering SNS as hedonic information systems, and in order to extend the theoretical explanation of the intention to use hedonic systems to their actual use, this study aims to determine the influence of perceived enjoyment, perceived usefulness, and perceived ease of use on the use of SNS by elders in Concepcion, Chile. Two hundred fifty-three older adults participated in the cross-sectional study. The results indicate that perceived ease of use is the variable that has the greatest total effect in explaining the use of SNS and that by adding the perceived enjoyment construct, the explanatory power of the model increases significantly. Therefore, advancement in user acceptance models, especially in the use of SNS by elders, can be made by focusing on the type of system, hedonic or utilitarian.</t>
        </is>
      </c>
      <c r="X1242" t="inlineStr">
        <is>
          <t>[Ramirez-Correa, Patricio] Univ Catolica Norte, Engn Sch, Coquimbo 1780000, Chile; [Grandon, Elizabeth E.; Belmar Ordenes, Leonard] Univ Bio Bio, Dept Informat Syst, Concepcion 4030000, Chile; [Ramirez-Santana, Muriel] Univ Catolica Norte, Fac Med, Dept Publ Hlth, Coquimbo 1780000, Chile</t>
        </is>
      </c>
      <c r="Y1242" t="inlineStr">
        <is>
          <t>Universidad Catolica del Norte; Universidad del Bio-Bio; Universidad Catolica del Norte</t>
        </is>
      </c>
      <c r="Z1242" t="inlineStr">
        <is>
          <t>Ramírez-Santana, M (corresponding author), Univ Catolica Norte, Fac Med, Dept Publ Hlth, Coquimbo 1780000, Chile.</t>
        </is>
      </c>
      <c r="AA1242" t="inlineStr">
        <is>
          <t>patricio.ramirez@ucn.cl; egrandon@ubiobio.cl; mramirezs@ucn.cl; leonardbelmar@gmail.com</t>
        </is>
      </c>
      <c r="AB1242" t="inlineStr">
        <is>
          <t>ramirez, muriel mrs/L-3644-2013; Ramirez-Correa, Patricio/K-8279-2014</t>
        </is>
      </c>
      <c r="AC1242" t="inlineStr">
        <is>
          <t>ramirez, muriel mrs/0000-0002-3642-6965; Ramirez-Correa, Patricio/0000-0001-7089-1505</t>
        </is>
      </c>
      <c r="AH1242" t="n">
        <v>54</v>
      </c>
      <c r="AI1242" t="n">
        <v>25</v>
      </c>
      <c r="AJ1242" t="n">
        <v>26</v>
      </c>
      <c r="AK1242" t="n">
        <v>3</v>
      </c>
      <c r="AL1242" t="n">
        <v>19</v>
      </c>
      <c r="AM1242" t="inlineStr">
        <is>
          <t>MDPI</t>
        </is>
      </c>
      <c r="AN1242" t="inlineStr">
        <is>
          <t>BASEL</t>
        </is>
      </c>
      <c r="AO1242" t="inlineStr">
        <is>
          <t>ST ALBAN-ANLAGE 66, CH-4052 BASEL, SWITZERLAND</t>
        </is>
      </c>
      <c r="AQ1242" t="inlineStr">
        <is>
          <t>1660-4601</t>
        </is>
      </c>
      <c r="AS1242" t="inlineStr">
        <is>
          <t>INT J ENV RES PUB HE</t>
        </is>
      </c>
      <c r="AT1242" t="inlineStr">
        <is>
          <t>Int. J. Environ. Res. Public Health</t>
        </is>
      </c>
      <c r="AU1242" t="inlineStr">
        <is>
          <t>MAY 2</t>
        </is>
      </c>
      <c r="AV1242" t="n">
        <v>2019</v>
      </c>
      <c r="AW1242" t="n">
        <v>16</v>
      </c>
      <c r="AX1242" t="n">
        <v>10</v>
      </c>
      <c r="BE1242" t="n">
        <v>1673</v>
      </c>
      <c r="BF1242" t="inlineStr">
        <is>
          <t>10.3390/ijerph16101673</t>
        </is>
      </c>
      <c r="BG1242">
        <f>HYPERLINK("http://dx.doi.org/10.3390/ijerph16101673","http://dx.doi.org/10.3390/ijerph16101673")</f>
        <v/>
      </c>
      <c r="BJ1242" t="n">
        <v>11</v>
      </c>
      <c r="BK1242" t="inlineStr">
        <is>
          <t>Environmental Sciences; Public, Environmental &amp; Occupational Health</t>
        </is>
      </c>
      <c r="BL1242" t="inlineStr">
        <is>
          <t>Science Citation Index Expanded (SCI-EXPANDED); Social Science Citation Index (SSCI)</t>
        </is>
      </c>
      <c r="BM1242" t="inlineStr">
        <is>
          <t>Environmental Sciences &amp; Ecology; Public, Environmental &amp; Occupational Health</t>
        </is>
      </c>
      <c r="BN1242" t="inlineStr">
        <is>
          <t>IC4WF</t>
        </is>
      </c>
      <c r="BO1242" t="n">
        <v>31091670</v>
      </c>
      <c r="BP1242" t="inlineStr">
        <is>
          <t>Green Published, gold</t>
        </is>
      </c>
      <c r="BS1242" t="inlineStr">
        <is>
          <t>2023-10-26</t>
        </is>
      </c>
      <c r="BT1242" t="inlineStr">
        <is>
          <t>WOS:000470967500007</t>
        </is>
      </c>
      <c r="BU1242">
        <f>HYPERLINK("https%3A%2F%2Fwww.webofscience.com%2Fwos%2Fwoscc%2Ffull-record%2FWOS:000470967500007","View Full Record in Web of Science")</f>
        <v/>
      </c>
    </row>
    <row r="1243">
      <c r="A1243" t="inlineStr">
        <is>
          <t>J</t>
        </is>
      </c>
      <c r="B1243" t="inlineStr">
        <is>
          <t>Gao, J; Gao, Q; Huo, LT; Yang, JC</t>
        </is>
      </c>
      <c r="F1243" t="inlineStr">
        <is>
          <t>Gao, Jin; Gao, Qing; Huo, Liting; Yang, Jianchuang</t>
        </is>
      </c>
      <c r="J1243" t="inlineStr">
        <is>
          <t>INTERNATIONAL JOURNAL OF ENVIRONMENTAL RESEARCH AND PUBLIC HEALTH</t>
        </is>
      </c>
      <c r="M1243" t="inlineStr">
        <is>
          <t>English</t>
        </is>
      </c>
      <c r="N1243" t="inlineStr">
        <is>
          <t>Article</t>
        </is>
      </c>
      <c r="T1243" t="inlineStr">
        <is>
          <t>Impaired Activity of Daily Living Status of the Older Adults and Its Influencing Factors: A Cross-Sectional Study</t>
        </is>
      </c>
      <c r="U1243" t="inlineStr">
        <is>
          <t>activities of daily living; older adults; chronic diseases</t>
        </is>
      </c>
      <c r="V1243" t="inlineStr">
        <is>
          <t>INSTRUMENTAL ACTIVITIES; GENDER-DIFFERENCES; DISABILITY; LIFE; RELIABILITY; EXERCISE; VALIDITY; SCALE; HOME; ADL</t>
        </is>
      </c>
      <c r="W1243" t="inlineStr">
        <is>
          <t>This study aimed to explore the impaired activity of the daily living ability status and its influencing factors among older adults. A sample of 10,148 participants (&gt;= 60 years old) who met the requirements for the activity of daily living scale was used in this study, and the Health and Aging Tracking Survey was selected for data collection. The impaired activities of the daily living status of older adults and their influencing factors were analyzed by single-factor descriptive analysis and multi-factor logistic regression. The study results showed that the rate of impaired activities of the daily living ability of participants was 26.56%, among which the rate of mild impairment was 17.34% and severe impairment was 9.22%. Multi-factor binary logistic regression analysis results showed that demographic characteristics, lifestyle habits, and physical health status were associated with older adults' daily living activity ability. Among them, ages &gt;= 80 years, male, habitual smoking, physical disability, and chronic diseases had a more significant impact.</t>
        </is>
      </c>
      <c r="X1243" t="inlineStr">
        <is>
          <t>[Gao, Jin; Gao, Qing; Huo, Liting] Northeastern Univ, Sch Humanities &amp; Laws, Shenyang 110169, Peoples R China; [Yang, Jianchuang] Sun Yat Sen Univ, Sch Govt, Guangzhou 510275, Peoples R China</t>
        </is>
      </c>
      <c r="Y1243" t="inlineStr">
        <is>
          <t>Northeastern University - China; Sun Yat Sen University</t>
        </is>
      </c>
      <c r="Z1243" t="inlineStr">
        <is>
          <t>Gao, Q (corresponding author), Northeastern Univ, Sch Humanities &amp; Laws, Shenyang 110169, Peoples R China.;Yang, JC (corresponding author), Sun Yat Sen Univ, Sch Govt, Guangzhou 510275, Peoples R China.</t>
        </is>
      </c>
      <c r="AA1243" t="inlineStr">
        <is>
          <t>2100025@stu.neu.edu.cn; yangjch27@mail2.sysu.edu.cn</t>
        </is>
      </c>
      <c r="AH1243" t="n">
        <v>47</v>
      </c>
      <c r="AI1243" t="n">
        <v>1</v>
      </c>
      <c r="AJ1243" t="n">
        <v>1</v>
      </c>
      <c r="AK1243" t="n">
        <v>15</v>
      </c>
      <c r="AL1243" t="n">
        <v>21</v>
      </c>
      <c r="AM1243" t="inlineStr">
        <is>
          <t>MDPI</t>
        </is>
      </c>
      <c r="AN1243" t="inlineStr">
        <is>
          <t>BASEL</t>
        </is>
      </c>
      <c r="AO1243" t="inlineStr">
        <is>
          <t>ST ALBAN-ANLAGE 66, CH-4052 BASEL, SWITZERLAND</t>
        </is>
      </c>
      <c r="AQ1243" t="inlineStr">
        <is>
          <t>1660-4601</t>
        </is>
      </c>
      <c r="AS1243" t="inlineStr">
        <is>
          <t>INT J ENV RES PUB HE</t>
        </is>
      </c>
      <c r="AT1243" t="inlineStr">
        <is>
          <t>Int. J. Environ. Res. Public Health</t>
        </is>
      </c>
      <c r="AU1243" t="inlineStr">
        <is>
          <t>DEC</t>
        </is>
      </c>
      <c r="AV1243" t="n">
        <v>2022</v>
      </c>
      <c r="AW1243" t="n">
        <v>19</v>
      </c>
      <c r="AX1243" t="n">
        <v>23</v>
      </c>
      <c r="BE1243" t="n">
        <v>15607</v>
      </c>
      <c r="BF1243" t="inlineStr">
        <is>
          <t>10.3390/ijerph192315607</t>
        </is>
      </c>
      <c r="BG1243">
        <f>HYPERLINK("http://dx.doi.org/10.3390/ijerph192315607","http://dx.doi.org/10.3390/ijerph192315607")</f>
        <v/>
      </c>
      <c r="BJ1243" t="n">
        <v>10</v>
      </c>
      <c r="BK1243" t="inlineStr">
        <is>
          <t>Environmental Sciences; Public, Environmental &amp; Occupational Health</t>
        </is>
      </c>
      <c r="BL1243" t="inlineStr">
        <is>
          <t>Science Citation Index Expanded (SCI-EXPANDED); Social Science Citation Index (SSCI)</t>
        </is>
      </c>
      <c r="BM1243" t="inlineStr">
        <is>
          <t>Environmental Sciences &amp; Ecology; Public, Environmental &amp; Occupational Health</t>
        </is>
      </c>
      <c r="BN1243" t="inlineStr">
        <is>
          <t>6Y7BV</t>
        </is>
      </c>
      <c r="BO1243" t="n">
        <v>36497680</v>
      </c>
      <c r="BP1243" t="inlineStr">
        <is>
          <t>gold, Green Published</t>
        </is>
      </c>
      <c r="BS1243" t="inlineStr">
        <is>
          <t>2023-10-26</t>
        </is>
      </c>
      <c r="BT1243" t="inlineStr">
        <is>
          <t>WOS:000897247000001</t>
        </is>
      </c>
      <c r="BU1243">
        <f>HYPERLINK("https%3A%2F%2Fwww.webofscience.com%2Fwos%2Fwoscc%2Ffull-record%2FWOS:000897247000001","View Full Record in Web of Science")</f>
        <v/>
      </c>
    </row>
    <row r="1244">
      <c r="A1244" t="inlineStr">
        <is>
          <t>J</t>
        </is>
      </c>
      <c r="B1244" t="inlineStr">
        <is>
          <t>Hijazi, B; Tirosh, E; Chudnovsky, A; Saadi, D; Schnell, I</t>
        </is>
      </c>
      <c r="F1244" t="inlineStr">
        <is>
          <t>Hijazi, Basem; Tirosh, Emanuel; Chudnovsky, Alexandra; Saadi, Diana; Schnell, Izhak</t>
        </is>
      </c>
      <c r="J1244" t="inlineStr">
        <is>
          <t>ENVIRONMENTAL RESEARCH</t>
        </is>
      </c>
      <c r="M1244" t="inlineStr">
        <is>
          <t>English</t>
        </is>
      </c>
      <c r="N1244" t="inlineStr">
        <is>
          <t>Article</t>
        </is>
      </c>
      <c r="T1244" t="inlineStr">
        <is>
          <t>The short term adaptation of the autonomic nervous systems (ANS) by type of urban environment and ethnicity</t>
        </is>
      </c>
      <c r="U1244" t="inlineStr">
        <is>
          <t>Heart rate variability (HRV); Adaptive and immediate changes; Autonomic nervous system (ANS); Urban environments; Park; ethnicity</t>
        </is>
      </c>
      <c r="V1244" t="inlineStr">
        <is>
          <t>HEART-RATE-VARIABILITY; GREEN SPACE; AIR-POLLUTION; PHYSICAL-ACTIVITY; HEALTH; STRESS; EXPOSURE; RECOVERY; ADULTS; METAANALYSIS</t>
        </is>
      </c>
      <c r="W1244" t="inlineStr">
        <is>
          <t>Background: Previous studies examined the effects of urban environments on the Autonomic Nervous System (ANS). These studies measured the effects of environments on Heart Rate Variability (HRV) averaging different time intervals to one value. Yet, the dynamics of change, reflecting the functions and their derivatives that describe the adaptation to the new environments remain unknown. In addition, ethnic differences in the ANS adaptation were not investigated.Method: Forty-eight Arab and 24 Jewish women ages 20-35 years, all healthy, non-smokers were recruited by a snowball sample. Both groups were of a similar socioeconomic status and BMI distributions. Using a portable monitor, the HRV response was continuously analyzed for 35 min of sedentary sitting in each of the three en-vironments: a park, a city center and a residential area. LF/HF polynomial function was adapted to describe the dynamic change in each environment for each ethnic group.Results: Green area exposure was associated with 90% immediate change while in built-up areas, the change in HRV is about 40% adaptive (changing gradually). The adaptive process of HRV may stabilize after 15 min in the city center yet not even after 35 min in the residential environment. The total change (immediate + adaptive) reached 24% in city centers and 10% in residential areas. Changes in HRV rates in the park and the city center environments were higher among Arab women as compared to Jewish women but similar between the two groups in the residential area. The distributions of LF/HF in each time cohort were normal, meaning that shifting the focus to analyze functions of change in HRV, opens the possibility to employ analytic methods that assume the normal distribution.Conclusions: Changing the focus from average levels of HRV to functions of change and their derivatives brings new insight into the understanding of the ANS response to environmental challenges. ANS short term adaptation to different environments is gradual and spans differently both in magnitude of response and latencies between different environments. Importantly, in green areas, the response is immediate unlike the adaptation to urban environments that is significantly more gradual. The ethnic differences in ANS adaptation is also noteworthy. In addition, adaptation proceeesses are normaly distributed in each time cohort suggesting a possible novel ANS index.</t>
        </is>
      </c>
      <c r="X1244" t="inlineStr">
        <is>
          <t>[Hijazi, Basem; Chudnovsky, Alexandra; Saadi, Diana; Schnell, Izhak] Tel Aviv Univ, Fac Exact Sci, Porter Sch Environm &amp; Earth Sci, Tel Aviv, Israel; [Tirosh, Emanuel] Technion Israel Inst Technol, Rappaport Family Fac Med, Haifa, Israel</t>
        </is>
      </c>
      <c r="Y1244" t="inlineStr">
        <is>
          <t>Tel Aviv University; Technion Israel Institute of Technology</t>
        </is>
      </c>
      <c r="Z1244" t="inlineStr">
        <is>
          <t>Schnell, I (corresponding author), Tel Aviv Univ, Fac Exact Sci, Porter Sch Environm &amp; Earth Sci, Tel Aviv, Israel.</t>
        </is>
      </c>
      <c r="AA1244" t="inlineStr">
        <is>
          <t>schnell@tauex.tau.ac.il</t>
        </is>
      </c>
      <c r="AC1244" t="inlineStr">
        <is>
          <t>Schnell, Izhak/0000-0002-9987-9048; Hijazi, Basem/0000-0003-3172-1778</t>
        </is>
      </c>
      <c r="AH1244" t="n">
        <v>60</v>
      </c>
      <c r="AI1244" t="n">
        <v>0</v>
      </c>
      <c r="AJ1244" t="n">
        <v>0</v>
      </c>
      <c r="AK1244" t="n">
        <v>2</v>
      </c>
      <c r="AL1244" t="n">
        <v>2</v>
      </c>
      <c r="AM1244" t="inlineStr">
        <is>
          <t>ACADEMIC PRESS INC ELSEVIER SCIENCE</t>
        </is>
      </c>
      <c r="AN1244" t="inlineStr">
        <is>
          <t>SAN DIEGO</t>
        </is>
      </c>
      <c r="AO1244" t="inlineStr">
        <is>
          <t>525 B ST, STE 1900, SAN DIEGO, CA 92101-4495 USA</t>
        </is>
      </c>
      <c r="AP1244" t="inlineStr">
        <is>
          <t>0013-9351</t>
        </is>
      </c>
      <c r="AQ1244" t="inlineStr">
        <is>
          <t>1096-0953</t>
        </is>
      </c>
      <c r="AS1244" t="inlineStr">
        <is>
          <t>ENVIRON RES</t>
        </is>
      </c>
      <c r="AT1244" t="inlineStr">
        <is>
          <t>Environ. Res.</t>
        </is>
      </c>
      <c r="AU1244" t="inlineStr">
        <is>
          <t>FEB 1</t>
        </is>
      </c>
      <c r="AV1244" t="n">
        <v>2023</v>
      </c>
      <c r="AW1244" t="n">
        <v>218</v>
      </c>
      <c r="BE1244" t="n">
        <v>114929</v>
      </c>
      <c r="BF1244" t="inlineStr">
        <is>
          <t>10.1016/j.envres.2022.114929</t>
        </is>
      </c>
      <c r="BG1244">
        <f>HYPERLINK("http://dx.doi.org/10.1016/j.envres.2022.114929","http://dx.doi.org/10.1016/j.envres.2022.114929")</f>
        <v/>
      </c>
      <c r="BI1244" t="inlineStr">
        <is>
          <t>DEC 2022</t>
        </is>
      </c>
      <c r="BJ1244" t="n">
        <v>11</v>
      </c>
      <c r="BK1244" t="inlineStr">
        <is>
          <t>Environmental Sciences; Public, Environmental &amp; Occupational Health</t>
        </is>
      </c>
      <c r="BL1244" t="inlineStr">
        <is>
          <t>Science Citation Index Expanded (SCI-EXPANDED)</t>
        </is>
      </c>
      <c r="BM1244" t="inlineStr">
        <is>
          <t>Environmental Sciences &amp; Ecology; Public, Environmental &amp; Occupational Health</t>
        </is>
      </c>
      <c r="BN1244" t="inlineStr">
        <is>
          <t>8H9WP</t>
        </is>
      </c>
      <c r="BO1244" t="n">
        <v>36460075</v>
      </c>
      <c r="BS1244" t="inlineStr">
        <is>
          <t>2023-10-26</t>
        </is>
      </c>
      <c r="BT1244" t="inlineStr">
        <is>
          <t>WOS:000921379800002</t>
        </is>
      </c>
      <c r="BU1244">
        <f>HYPERLINK("https%3A%2F%2Fwww.webofscience.com%2Fwos%2Fwoscc%2Ffull-record%2FWOS:000921379800002","View Full Record in Web of Science")</f>
        <v/>
      </c>
    </row>
    <row r="1245">
      <c r="A1245" t="inlineStr">
        <is>
          <t>J</t>
        </is>
      </c>
      <c r="B1245" t="inlineStr">
        <is>
          <t>Ewen, HH; Washington, TR; Emerson, KG; Carswell, AT; Smith, ML</t>
        </is>
      </c>
      <c r="F1245" t="inlineStr">
        <is>
          <t>Ewen, Heidi H.; Washington, Tiffany R.; Emerson, Kerstin G.; Carswell, Andrew T.; Smith, Matthew Lee</t>
        </is>
      </c>
      <c r="J1245" t="inlineStr">
        <is>
          <t>INTERNATIONAL JOURNAL OF ENVIRONMENTAL RESEARCH AND PUBLIC HEALTH</t>
        </is>
      </c>
      <c r="M1245" t="inlineStr">
        <is>
          <t>English</t>
        </is>
      </c>
      <c r="N1245" t="inlineStr">
        <is>
          <t>Article</t>
        </is>
      </c>
      <c r="T1245" t="inlineStr">
        <is>
          <t>Variation in Older Adult Characteristics by Residence Type and Use of Home- and Community-Based Services</t>
        </is>
      </c>
      <c r="U1245" t="inlineStr">
        <is>
          <t>aging; health; housing; service utilization; aging-in-place</t>
        </is>
      </c>
      <c r="V1245" t="inlineStr">
        <is>
          <t>AGING-IN-PLACE; SOCIAL-ISOLATION; HEALTH-CARE; DEVELOPMENTAL PERSPECTIVE; TRANSPORTATION NEEDS; MENTAL-HEALTH; RISK; CAREGIVERS; MODELS; PLANS</t>
        </is>
      </c>
      <c r="W1245" t="inlineStr">
        <is>
          <t>Background: The majority of older adults prefer to remain in their homes, or to age-in-place. To accomplish this goal, many older adults will rely upon home-and community-based services (HCBS) for support. However, the availability and accessibility of HCBS may differ based on whether the older adult lives in the community or in a senior housing apartment facility. Methods: This paper reports findings from the Pathways to Life Quality study of residential change and stability among seniors in upstate New York. Data were analyzed from 663 older adults living in one of three housing types: service-rich facilities, service-poor facilities, and community-dwelling in single-family homes. A multinomial logistic regression model was used to examine factors associated with residence type. A linear regression model was fitted to examine factors associated with HCBS utilization. Results: When compared to community-dwelling older adults, those residing in service-rich and service-poor facilities were more likely to be older, report more activity limitations, and provide less instrumental assistance to others. Those in service-poor facilities were more likely to have poorer mental health and lower perceived purpose in life. The three leading HCBS utilized were senior centers (20%), homemaker services (19%), and transportation services (18%). More HCBS utilization was associated with participants who resided in service-poor housing, were older, were female, and had more activity limitations. More HCBS utilization was also associated with those who received instrumental support, had higher perceived purpose in life, and poorer mental health. Conclusions: Findings suggest that older adults' residential environment is associated with their health status and HCBS utilization. Building upon the Person-Environment Fit theories, dedicated efforts are needed to introduce and expand upon existing HCBS available to facility residents to address physical and mental health needs as well as facilitate aging-in-place.</t>
        </is>
      </c>
      <c r="X1245" t="inlineStr">
        <is>
          <t>[Ewen, Heidi H.; Emerson, Kerstin G.; Smith, Matthew Lee] Univ Georgia, Coll Publ Hlth, Inst Gerontol, 102 Spear Rd,Hudson Hall, Athens, GA 30602 USA; [Ewen, Heidi H.; Carswell, Andrew T.] Univ Georgia, Dept Financial Planning Housing &amp; Consumer Econ, Athens, GA 30602 USA; [Ewen, Heidi H.; Smith, Matthew Lee] Univ Georgia, Coll Publ Hlth, Dept Hlth Promot &amp; Behav, Athens, GA 30602 USA; [Washington, Tiffany R.] Univ Georgia, Sch Social Work, Athens, GA 30602 USA; [Emerson, Kerstin G.] Univ Georgia, Coll Publ Hlth, Dept Hlth Policy &amp; Management, Athens, GA 30602 USA; [Smith, Matthew Lee] Texas A&amp;M Univ, Sch Publ Hlth, Dept Hlth Promot &amp; Community Hlth Sci, College Stn, TX 77843 USA</t>
        </is>
      </c>
      <c r="Y1245" t="inlineStr">
        <is>
          <t>University System of Georgia; University of Georgia; University System of Georgia; University of Georgia; University System of Georgia; University of Georgia; University System of Georgia; University of Georgia; University System of Georgia; University of Georgia; Texas A&amp;M University System; Texas A&amp;M University College Station; Texas A&amp;M Health Science Center</t>
        </is>
      </c>
      <c r="Z1245" t="inlineStr">
        <is>
          <t>Ewen, HH (corresponding author), Univ Georgia, Coll Publ Hlth, Inst Gerontol, 102 Spear Rd,Hudson Hall, Athens, GA 30602 USA.;Ewen, HH (corresponding author), Univ Georgia, Dept Financial Planning Housing &amp; Consumer Econ, Athens, GA 30602 USA.;Ewen, HH (corresponding author), Univ Georgia, Coll Publ Hlth, Dept Hlth Promot &amp; Behav, Athens, GA 30602 USA.</t>
        </is>
      </c>
      <c r="AA1245" t="inlineStr">
        <is>
          <t>hewen@uga.edu; twashing@uga.edu; emerson@uga.edu; carswell@uga.edu; health@uga.edu</t>
        </is>
      </c>
      <c r="AB1245" t="inlineStr">
        <is>
          <t>Ewen, Heidi H/S-9285-2019; Carswell, Andrew/AAP-2236-2020</t>
        </is>
      </c>
      <c r="AC1245" t="inlineStr">
        <is>
          <t>Ewen, Heidi/0000-0002-4215-6551</t>
        </is>
      </c>
      <c r="AD1245" t="inlineStr">
        <is>
          <t>Atlantic Philanthropies</t>
        </is>
      </c>
      <c r="AE1245" t="inlineStr">
        <is>
          <t>Atlantic Philanthropies</t>
        </is>
      </c>
      <c r="AF1245" t="inlineStr">
        <is>
          <t>The Pathways to Life Quality study was supported through funding from Atlantic Philanthropies.</t>
        </is>
      </c>
      <c r="AH1245" t="n">
        <v>72</v>
      </c>
      <c r="AI1245" t="n">
        <v>20</v>
      </c>
      <c r="AJ1245" t="n">
        <v>20</v>
      </c>
      <c r="AK1245" t="n">
        <v>6</v>
      </c>
      <c r="AL1245" t="n">
        <v>34</v>
      </c>
      <c r="AM1245" t="inlineStr">
        <is>
          <t>MDPI</t>
        </is>
      </c>
      <c r="AN1245" t="inlineStr">
        <is>
          <t>BASEL</t>
        </is>
      </c>
      <c r="AO1245" t="inlineStr">
        <is>
          <t>ST ALBAN-ANLAGE 66, CH-4052 BASEL, SWITZERLAND</t>
        </is>
      </c>
      <c r="AQ1245" t="inlineStr">
        <is>
          <t>1660-4601</t>
        </is>
      </c>
      <c r="AS1245" t="inlineStr">
        <is>
          <t>INT J ENV RES PUB HE</t>
        </is>
      </c>
      <c r="AT1245" t="inlineStr">
        <is>
          <t>Int. J. Environ. Res. Public Health</t>
        </is>
      </c>
      <c r="AU1245" t="inlineStr">
        <is>
          <t>MAR</t>
        </is>
      </c>
      <c r="AV1245" t="n">
        <v>2017</v>
      </c>
      <c r="AW1245" t="n">
        <v>14</v>
      </c>
      <c r="AX1245" t="n">
        <v>3</v>
      </c>
      <c r="BE1245" t="n">
        <v>330</v>
      </c>
      <c r="BF1245" t="inlineStr">
        <is>
          <t>10.3390/ijerph14030330</t>
        </is>
      </c>
      <c r="BG1245">
        <f>HYPERLINK("http://dx.doi.org/10.3390/ijerph14030330","http://dx.doi.org/10.3390/ijerph14030330")</f>
        <v/>
      </c>
      <c r="BJ1245" t="n">
        <v>12</v>
      </c>
      <c r="BK1245" t="inlineStr">
        <is>
          <t>Environmental Sciences; Public, Environmental &amp; Occupational Health</t>
        </is>
      </c>
      <c r="BL1245" t="inlineStr">
        <is>
          <t>Science Citation Index Expanded (SCI-EXPANDED); Social Science Citation Index (SSCI)</t>
        </is>
      </c>
      <c r="BM1245" t="inlineStr">
        <is>
          <t>Environmental Sciences &amp; Ecology; Public, Environmental &amp; Occupational Health</t>
        </is>
      </c>
      <c r="BN1245" t="inlineStr">
        <is>
          <t>ER1BN</t>
        </is>
      </c>
      <c r="BO1245" t="n">
        <v>28327507</v>
      </c>
      <c r="BP1245" t="inlineStr">
        <is>
          <t>Green Published, Green Submitted, gold</t>
        </is>
      </c>
      <c r="BS1245" t="inlineStr">
        <is>
          <t>2023-10-26</t>
        </is>
      </c>
      <c r="BT1245" t="inlineStr">
        <is>
          <t>WOS:000398524100112</t>
        </is>
      </c>
      <c r="BU1245">
        <f>HYPERLINK("https%3A%2F%2Fwww.webofscience.com%2Fwos%2Fwoscc%2Ffull-record%2FWOS:000398524100112","View Full Record in Web of Science")</f>
        <v/>
      </c>
    </row>
    <row r="1246">
      <c r="A1246" t="inlineStr">
        <is>
          <t>J</t>
        </is>
      </c>
      <c r="B1246" t="inlineStr">
        <is>
          <t>Wang, FH; Ahat, X; Liang, QQ; Ma, YX; Sun, MQ; Lin, LS; Li, TY; Duan, JC; Sun, ZW</t>
        </is>
      </c>
      <c r="F1246" t="inlineStr">
        <is>
          <t>Wang, Fenghong; Ahat, Xapkat; Liang, Qingqing; Ma, Yuexiao; Sun, Mengqi; Lin, Lisen; Li, Tianyu; Duan, Junchao; Sun, Zhiwei</t>
        </is>
      </c>
      <c r="J1246" t="inlineStr">
        <is>
          <t>SCIENCE OF THE TOTAL ENVIRONMENT</t>
        </is>
      </c>
      <c r="M1246" t="inlineStr">
        <is>
          <t>English</t>
        </is>
      </c>
      <c r="N1246" t="inlineStr">
        <is>
          <t>Review</t>
        </is>
      </c>
      <c r="T1246" t="inlineStr">
        <is>
          <t>The relationship between exposure to PM2.5 and atrial fibrillation in older adults: A systematic review and meta-analysis</t>
        </is>
      </c>
      <c r="U1246" t="inlineStr">
        <is>
          <t>PM2.5; Atrial fibrillation; Older adults; Meta-analysis</t>
        </is>
      </c>
      <c r="V1246" t="inlineStr">
        <is>
          <t>AMBIENT AIR-POLLUTION; CARDIOVASCULAR-DISEASE; HEART-FAILURE; HOSPITAL ADMISSIONS; GLOBAL BURDEN; RISK; ASSOCIATION; PARTICULATE; POLLUTANTS; THROMBOSIS</t>
        </is>
      </c>
      <c r="W1246" t="inlineStr">
        <is>
          <t>Fine particle matter (PM2.5) is recognized as atrial fibrillation (AF) risk factor, especially for older adults. However, studies on the relationship between PM2.5 and AF were inconsistent. Herein, we present a systematic review to further assess the correlation between PM2.5 and AF in older adults (average age &gt; 50 years old). A comprehensive search was conducted with the keywords in PubMed (675 records), Web of Science (1130 records), Embase (82 records), and the Cochrane Library (42 records). Using Stata12.0 software to test the heterogeneity between studies, and select the corresponding model to calculate the comprehensive effect value, odds ratio (OR, odds ratio), the pooled %-change (percentage change) and its 95% confidence interval (CL, confidence interval). A total of 16 observational studies were included, involving 10,580,394 participants, the results showed that PM2.5 had an adverse effects on AF in older adults. An association was found between exposure to PM2.5 (per 10 mu g/m(3) increase) and AF in older adults, with the corresponding pooled OR (1.11, 95% CI: 1.03-1.19) and pooled %-change (1.01%, 95% CI: 0.14%-1.88%). Our study indicated that PM2.5 exposure was significantly related to increased incidence of AF in older adults. Both the pooled OR and %-change value were higher in areas with higher levels of PM2.5(&gt;= 25 mu g/m(3)). (C) 2021 Elsevier B.V. All rights reserved.</t>
        </is>
      </c>
      <c r="X1246" t="inlineStr">
        <is>
          <t>[Wang, Fenghong; Ahat, Xapkat; Liang, Qingqing; Ma, Yuexiao; Sun, Mengqi; Lin, Lisen; Li, Tianyu; Duan, Junchao; Sun, Zhiwei] Capital Med Univ, Sch Publ Hlth, Dept Toxicol &amp; Sanit Chem, Beijing 100069, Peoples R China; [Wang, Fenghong; Ahat, Xapkat; Liang, Qingqing; Ma, Yuexiao; Sun, Mengqi; Lin, Lisen; Li, Tianyu; Duan, Junchao; Sun, Zhiwei] Capital Med Univ, Beijing Key Lab Environm Toxicol, Beijing 100069, Peoples R China; [Wang, Fenghong] Sinopharm North Hosp, Baotou 014040, Peoples R China</t>
        </is>
      </c>
      <c r="Y1246" t="inlineStr">
        <is>
          <t>Capital Medical University; Capital Medical University</t>
        </is>
      </c>
      <c r="Z1246" t="inlineStr">
        <is>
          <t>Duan, JC; Sun, ZW (corresponding author), Capital Med Univ, Sch Publ Hlth, Beijing 100069, Peoples R China.</t>
        </is>
      </c>
      <c r="AA1246" t="inlineStr">
        <is>
          <t>jcduan@ccmu.edu.cn; Capitalzwsun@ccmu.edu.cn</t>
        </is>
      </c>
      <c r="AD1246" t="inlineStr">
        <is>
          <t>National Key Research and Development Program of China [2017YFC0211600, 2017YFC0211602, 2017YFC0211606]; National Natural Science Foundation of China [91943301, 92043301]</t>
        </is>
      </c>
      <c r="AE1246" t="inlineStr">
        <is>
          <t>National Key Research and Development Program of China; National Natural Science Foundation of China(National Natural Science Foundation of China (NSFC))</t>
        </is>
      </c>
      <c r="AF1246" t="inlineStr">
        <is>
          <t>This work was supported by National Key Research and Development Program of China (2017YFC0211600, 2017YFC0211602, 2017YFC0211606) and National Natural Science Foundation of China (91943301, 92043301) .</t>
        </is>
      </c>
      <c r="AH1246" t="n">
        <v>48</v>
      </c>
      <c r="AI1246" t="n">
        <v>7</v>
      </c>
      <c r="AJ1246" t="n">
        <v>8</v>
      </c>
      <c r="AK1246" t="n">
        <v>0</v>
      </c>
      <c r="AL1246" t="n">
        <v>21</v>
      </c>
      <c r="AM1246" t="inlineStr">
        <is>
          <t>ELSEVIER</t>
        </is>
      </c>
      <c r="AN1246" t="inlineStr">
        <is>
          <t>AMSTERDAM</t>
        </is>
      </c>
      <c r="AO1246" t="inlineStr">
        <is>
          <t>RADARWEG 29, 1043 NX AMSTERDAM, NETHERLANDS</t>
        </is>
      </c>
      <c r="AP1246" t="inlineStr">
        <is>
          <t>0048-9697</t>
        </is>
      </c>
      <c r="AQ1246" t="inlineStr">
        <is>
          <t>1879-1026</t>
        </is>
      </c>
      <c r="AS1246" t="inlineStr">
        <is>
          <t>SCI TOTAL ENVIRON</t>
        </is>
      </c>
      <c r="AT1246" t="inlineStr">
        <is>
          <t>Sci. Total Environ.</t>
        </is>
      </c>
      <c r="AU1246" t="inlineStr">
        <is>
          <t>AUG 25</t>
        </is>
      </c>
      <c r="AV1246" t="n">
        <v>2021</v>
      </c>
      <c r="AW1246" t="n">
        <v>784</v>
      </c>
      <c r="BE1246" t="n">
        <v>147106</v>
      </c>
      <c r="BF1246" t="inlineStr">
        <is>
          <t>10.1016/j.scitotenv.2021.147106</t>
        </is>
      </c>
      <c r="BG1246">
        <f>HYPERLINK("http://dx.doi.org/10.1016/j.scitotenv.2021.147106","http://dx.doi.org/10.1016/j.scitotenv.2021.147106")</f>
        <v/>
      </c>
      <c r="BI1246" t="inlineStr">
        <is>
          <t>APR 2021</t>
        </is>
      </c>
      <c r="BJ1246" t="n">
        <v>7</v>
      </c>
      <c r="BK1246" t="inlineStr">
        <is>
          <t>Environmental Sciences</t>
        </is>
      </c>
      <c r="BL1246" t="inlineStr">
        <is>
          <t>Science Citation Index Expanded (SCI-EXPANDED)</t>
        </is>
      </c>
      <c r="BM1246" t="inlineStr">
        <is>
          <t>Environmental Sciences &amp; Ecology</t>
        </is>
      </c>
      <c r="BN1246" t="inlineStr">
        <is>
          <t>SM4RB</t>
        </is>
      </c>
      <c r="BO1246" t="n">
        <v>34088062</v>
      </c>
      <c r="BS1246" t="inlineStr">
        <is>
          <t>2023-10-26</t>
        </is>
      </c>
      <c r="BT1246" t="inlineStr">
        <is>
          <t>WOS:000657593600018</t>
        </is>
      </c>
      <c r="BU1246">
        <f>HYPERLINK("https%3A%2F%2Fwww.webofscience.com%2Fwos%2Fwoscc%2Ffull-record%2FWOS:000657593600018","View Full Record in Web of Science")</f>
        <v/>
      </c>
    </row>
    <row r="1247">
      <c r="A1247" t="inlineStr">
        <is>
          <t>J</t>
        </is>
      </c>
      <c r="B1247" t="inlineStr">
        <is>
          <t>Yang, XP; Zhao, ZY; Shi, CY; Luo, L; Tu, W</t>
        </is>
      </c>
      <c r="F1247" t="inlineStr">
        <is>
          <t>Yang, Xiping; Zhao, Zhiyuan; Shi, Chaoyang; Luo, Lin; Tu, Wei</t>
        </is>
      </c>
      <c r="J1247" t="inlineStr">
        <is>
          <t>REMOTE SENSING</t>
        </is>
      </c>
      <c r="M1247" t="inlineStr">
        <is>
          <t>English</t>
        </is>
      </c>
      <c r="N1247" t="inlineStr">
        <is>
          <t>Article</t>
        </is>
      </c>
      <c r="T1247" t="inlineStr">
        <is>
          <t>The Dynamic Heterogeneous Relationship between Urban Population Distribution and Built Environment in Xi'an, China: A Case Study</t>
        </is>
      </c>
      <c r="U1247" t="inlineStr">
        <is>
          <t>population distribution; built environment; spatiotemporal dynamics; spatial heterogeneous</t>
        </is>
      </c>
      <c r="V1247" t="inlineStr">
        <is>
          <t>MOBILE; VIBRANCY; POINTS; SCALE</t>
        </is>
      </c>
      <c r="W1247" t="inlineStr">
        <is>
          <t>The interaction between the population and built environment is a constant topic in urban spaces and is the main driving force of urban evolution. Understanding urban population distribution and its relationship with the built environment could provide guidance for urban planning, traffic, and disaster management. Following this line of thought, this study conducted an empirical analysis in Xi'an, a rapidly developing western city in China. Well-permeated mobile phone location data were used to represent the spatiotemporal dynamics of the population, and the built environment was characterized from five perspectives-transportation, location, building, greenery, and land use-using multisource geospatial data. Finally, the dynamic heterogeneous influence of built environment factors on population distribution was examined using multiscale geographically weighted regression (MGWR). Overall, the influencing coefficients exhibited a significant dynamic changing process from a temporal perspective and simultaneously demonstrated spatial nonstationarity. Moreover, the specific findings about the influence of each built environment factor facilitate a deeper insight into dynamic population distribution and its determinants.</t>
        </is>
      </c>
      <c r="X1247" t="inlineStr">
        <is>
          <t>[Yang, Xiping] Minist Nat Resources, Key Lab Urban Land Resources Monitoring &amp; Simulat, Shenzhen 518000, Peoples R China; [Yang, Xiping; Luo, Lin] Shaanxi Normal Univ, Sch Geog &amp; Tourism, Xian 710119, Peoples R China; [Zhao, Zhiyuan] Fuzhou Univ, Acad Digital China Fujian, Fuzhou 350003, Peoples R China; [Shi, Chaoyang] Huazhong Univ Sci &amp; Technol, Sch Civil &amp; Hydraul Engn, Wuhan 430074, Peoples R China; [Tu, Wei] Shenzhen Univ, Res Inst Smart Cities, Shenzhen Key Lab Spatial Informat Smart Sensing &amp;, Shenzhen 518060, Peoples R China; [Tu, Wei] Shenzhen Univ, Sch Architecture &amp; Urban Planning, Dept Urban Informat, Shenzhen 518060, Peoples R China</t>
        </is>
      </c>
      <c r="Y1247" t="inlineStr">
        <is>
          <t>Ministry of Natural Resources of the People's Republic of China; Shaanxi Normal University; Fuzhou University; Huazhong University of Science &amp; Technology; Shenzhen University; Shenzhen University</t>
        </is>
      </c>
      <c r="Z1247" t="inlineStr">
        <is>
          <t>Tu, W (corresponding author), Shenzhen Univ, Res Inst Smart Cities, Shenzhen Key Lab Spatial Informat Smart Sensing &amp;, Shenzhen 518060, Peoples R China.;Tu, W (corresponding author), Shenzhen Univ, Sch Architecture &amp; Urban Planning, Dept Urban Informat, Shenzhen 518060, Peoples R China.</t>
        </is>
      </c>
      <c r="AA1247" t="inlineStr">
        <is>
          <t>tuwei@szu.edu.cn</t>
        </is>
      </c>
      <c r="AB1247" t="inlineStr">
        <is>
          <t>; TU, Wei/H-4073-2014</t>
        </is>
      </c>
      <c r="AC1247" t="inlineStr">
        <is>
          <t>Xiping, Yang/0000-0002-2507-4757; TU, Wei/0000-0002-0255-4037; Shi, Chaoyang/0000-0002-4383-0974</t>
        </is>
      </c>
      <c r="AD1247" t="inlineStr">
        <is>
          <t>National Natural Science Foundation of China [42271468, 42201500]; Open Fund of Key Laboratory of Urban Land Resources Monitoring and Simulation, Ministry of Natural Resources [KF2022-07-005]; Open Research Fund by Guangdong Key Laboratory of Urban Informatics [SZU51029202007]; Fundamental Research Funds for the Central Universities [GK202201008]; Key Lab of Spatial Data Mining &amp; Information Sharing of Ministry of Education [2022LSDMIS03]; Shenzhen Science and Technology Program [JCYJ20220818100200001]</t>
        </is>
      </c>
      <c r="AE1247" t="inlineStr">
        <is>
          <t>National Natural Science Foundation of China(National Natural Science Foundation of China (NSFC)); Open Fund of Key Laboratory of Urban Land Resources Monitoring and Simulation, Ministry of Natural Resources; Open Research Fund by Guangdong Key Laboratory of Urban Informatics; Fundamental Research Funds for the Central Universities(Fundamental Research Funds for the Central Universities); Key Lab of Spatial Data Mining &amp; Information Sharing of Ministry of Education; Shenzhen Science and Technology Program</t>
        </is>
      </c>
      <c r="AF1247" t="inlineStr">
        <is>
          <t>This research was funded by National Natural Science Foundation of China (NO. 42271468; 42201500), Open Fund of Key Laboratory of Urban Land Resources Monitoring and Simulation, Ministry of Natural Resources (NO. KF2022-07-005); Open Research Fund by Guangdong Key Laboratory of Urban Informatics (SZU51029202007) the Fundamental Research Funds for the Central Universities (GK202201008); Open funding of Key Lab of Spatial Data Mining &amp; Information Sharing of Ministry of Education (2022LSDMIS03); Shenzhen Science and Technology Program (JCYJ20220818100200001).</t>
        </is>
      </c>
      <c r="AH1247" t="n">
        <v>39</v>
      </c>
      <c r="AI1247" t="n">
        <v>0</v>
      </c>
      <c r="AJ1247" t="n">
        <v>0</v>
      </c>
      <c r="AK1247" t="n">
        <v>11</v>
      </c>
      <c r="AL1247" t="n">
        <v>11</v>
      </c>
      <c r="AM1247" t="inlineStr">
        <is>
          <t>MDPI</t>
        </is>
      </c>
      <c r="AN1247" t="inlineStr">
        <is>
          <t>BASEL</t>
        </is>
      </c>
      <c r="AO1247" t="inlineStr">
        <is>
          <t>ST ALBAN-ANLAGE 66, CH-4052 BASEL, SWITZERLAND</t>
        </is>
      </c>
      <c r="AQ1247" t="inlineStr">
        <is>
          <t>2072-4292</t>
        </is>
      </c>
      <c r="AS1247" t="inlineStr">
        <is>
          <t>REMOTE SENS-BASEL</t>
        </is>
      </c>
      <c r="AT1247" t="inlineStr">
        <is>
          <t>Remote Sens.</t>
        </is>
      </c>
      <c r="AU1247" t="inlineStr">
        <is>
          <t>APR 25</t>
        </is>
      </c>
      <c r="AV1247" t="n">
        <v>2023</v>
      </c>
      <c r="AW1247" t="n">
        <v>15</v>
      </c>
      <c r="AX1247" t="n">
        <v>9</v>
      </c>
      <c r="BE1247" t="n">
        <v>2257</v>
      </c>
      <c r="BF1247" t="inlineStr">
        <is>
          <t>10.3390/rs15092257</t>
        </is>
      </c>
      <c r="BG1247">
        <f>HYPERLINK("http://dx.doi.org/10.3390/rs15092257","http://dx.doi.org/10.3390/rs15092257")</f>
        <v/>
      </c>
      <c r="BJ1247" t="n">
        <v>15</v>
      </c>
      <c r="BK1247" t="inlineStr">
        <is>
          <t>Environmental Sciences; Geosciences, Multidisciplinary; Remote Sensing; Imaging Science &amp; Photographic Technology</t>
        </is>
      </c>
      <c r="BL1247" t="inlineStr">
        <is>
          <t>Science Citation Index Expanded (SCI-EXPANDED)</t>
        </is>
      </c>
      <c r="BM1247" t="inlineStr">
        <is>
          <t>Environmental Sciences &amp; Ecology; Geology; Remote Sensing; Imaging Science &amp; Photographic Technology</t>
        </is>
      </c>
      <c r="BN1247" t="inlineStr">
        <is>
          <t>G2XQ3</t>
        </is>
      </c>
      <c r="BP1247" t="inlineStr">
        <is>
          <t>gold</t>
        </is>
      </c>
      <c r="BS1247" t="inlineStr">
        <is>
          <t>2023-10-26</t>
        </is>
      </c>
      <c r="BT1247" t="inlineStr">
        <is>
          <t>WOS:000987851500001</t>
        </is>
      </c>
      <c r="BU1247">
        <f>HYPERLINK("https%3A%2F%2Fwww.webofscience.com%2Fwos%2Fwoscc%2Ffull-record%2FWOS:000987851500001","View Full Record in Web of Science")</f>
        <v/>
      </c>
    </row>
    <row r="1248">
      <c r="A1248" t="inlineStr">
        <is>
          <t>J</t>
        </is>
      </c>
      <c r="B1248" t="inlineStr">
        <is>
          <t>Almeida-Silva, M; Wolterbeek, HT; Almeida, SM</t>
        </is>
      </c>
      <c r="F1248" t="inlineStr">
        <is>
          <t>Almeida-Silva, M.; Wolterbeek, H. T.; Almeida, S. M.</t>
        </is>
      </c>
      <c r="J1248" t="inlineStr">
        <is>
          <t>ATMOSPHERIC ENVIRONMENT</t>
        </is>
      </c>
      <c r="M1248" t="inlineStr">
        <is>
          <t>English</t>
        </is>
      </c>
      <c r="N1248" t="inlineStr">
        <is>
          <t>Article</t>
        </is>
      </c>
      <c r="T1248" t="inlineStr">
        <is>
          <t>Elderly exposure to indoor air pollutants</t>
        </is>
      </c>
      <c r="U1248" t="inlineStr">
        <is>
          <t>Elderly; Time-budget survey; Indoor air quality; Chemical pollutants; Exposure</t>
        </is>
      </c>
      <c r="V1248" t="inlineStr">
        <is>
          <t>TIME-ACTIVITY PATTERNS; PARTICULATE MATTER; PRIMARY-SCHOOLS; INORGANIC POLLUTANTS; HONG-KONG; QUALITY; HEALTH; POLLUTION; DISEASE; PM2.5</t>
        </is>
      </c>
      <c r="W1248" t="inlineStr">
        <is>
          <t>The aim of this work was to characterize the indoor air quality in Elderly Care Centers (ECCs) in order to assess the elders' daily exposure to air pollutants. Ten ECCs hosting 384 elderly were selected in Lisbon and Loures. Firstly, a time-budget survey was created based on questionnaires applied in the studied sites. Results showed that in average elders spend 95% of their time indoors splitted between bedrooms and living-rooms. Therefore, a set of physical and chemical parameters were measured continuously during the occupancy period in these two indoor micro-environments and in the outdoor. Results showed that indoor was the main environment contributing for the elders' daily exposure living in ECCs. In the indoor, the principal micro-environment contributing for the elders' daily exposure varied between bedrooms and living-rooms depending not only on the characteristics of the ECCs but also on the pollutants. The concentrations of CO2, VOCt, O-3 and PM10 exceeded the limit values predominantly due to the insufficient ventilation preconized in the studied sites. (C) 2013 Elsevier Ltd. All rights reserved.</t>
        </is>
      </c>
      <c r="X1248" t="inlineStr">
        <is>
          <t>[Almeida-Silva, M.; Almeida, S. M.] Univ Lisbon, Inst Super Tecn, C2TN, Loures, Portugal; [Almeida-Silva, M.; Wolterbeek, H. T.] Delft Univ Technol, Sect RIH Radiat &amp; Isotopes Hlth, Dept Radiat Radionuclides &amp; Reactors, Fac Sci Appl, Delft, Netherlands</t>
        </is>
      </c>
      <c r="Y1248" t="inlineStr">
        <is>
          <t>Universidade de Lisboa; Instituto Superior Tecnico; Delft University of Technology</t>
        </is>
      </c>
      <c r="Z1248" t="inlineStr">
        <is>
          <t>Almeida, SM (corresponding author), Univ Lisbon, Inst Super Tecn, C2TN, Loures, Portugal.</t>
        </is>
      </c>
      <c r="AA1248" t="inlineStr">
        <is>
          <t>smarta@ctn.ist.utl.pt</t>
        </is>
      </c>
      <c r="AB1248" t="inlineStr">
        <is>
          <t>Almeida-Silva, Marina/B-3237-2012; Almeida-Silva, M./ABH-6598-2020; Almeida, Susana Marta Marta/B-5089-2012</t>
        </is>
      </c>
      <c r="AC1248" t="inlineStr">
        <is>
          <t>Almeida-Silva, Marina/0000-0002-4190-2727; Almeida-Silva, M./0000-0002-4190-2727; Almeida, Susana Marta Marta/0000-0002-8506-6679</t>
        </is>
      </c>
      <c r="AD1248" t="inlineStr">
        <is>
          <t>Fundacao para a Ciencia e Tecnologia (FCT) [SFRH/BD/69700/2010]; Fundação para a Ciência e a Tecnologia [SFRH/BD/69700/2010] Funding Source: FCT</t>
        </is>
      </c>
      <c r="AE1248" t="inlineStr">
        <is>
          <t>Fundacao para a Ciencia e Tecnologia (FCT)(Fundacao para a Ciencia e a Tecnologia (FCT)); Fundação para a Ciência e a Tecnologia(Fundacao para a Ciencia e a Tecnologia (FCT))</t>
        </is>
      </c>
      <c r="AF1248" t="inlineStr">
        <is>
          <t>The study would not be possible without the assistance of the Camara Municipal de Loures, by Dr. Luzia Sousa and Dr. Beatriz Reis. We gratefully acknowledge Prof. Dr. Susana Viegas and Prof. Dr. Carla Viegas of Escola Superior de Tecnologia da Saude de Lisboa (ESTeSL), Portugal, for providing a set of equipments. We also gratefully acknowledge Fundacao para a Ciencia e Tecnologia (FCT) for funding M. Almeida-Silva by PhD fellowship (SFRH/BD/69700/2010).</t>
        </is>
      </c>
      <c r="AH1248" t="n">
        <v>51</v>
      </c>
      <c r="AI1248" t="n">
        <v>98</v>
      </c>
      <c r="AJ1248" t="n">
        <v>100</v>
      </c>
      <c r="AK1248" t="n">
        <v>9</v>
      </c>
      <c r="AL1248" t="n">
        <v>98</v>
      </c>
      <c r="AM1248" t="inlineStr">
        <is>
          <t>PERGAMON-ELSEVIER SCIENCE LTD</t>
        </is>
      </c>
      <c r="AN1248" t="inlineStr">
        <is>
          <t>OXFORD</t>
        </is>
      </c>
      <c r="AO1248" t="inlineStr">
        <is>
          <t>THE BOULEVARD, LANGFORD LANE, KIDLINGTON, OXFORD OX5 1GB, ENGLAND</t>
        </is>
      </c>
      <c r="AP1248" t="inlineStr">
        <is>
          <t>1352-2310</t>
        </is>
      </c>
      <c r="AQ1248" t="inlineStr">
        <is>
          <t>1873-2844</t>
        </is>
      </c>
      <c r="AS1248" t="inlineStr">
        <is>
          <t>ATMOS ENVIRON</t>
        </is>
      </c>
      <c r="AT1248" t="inlineStr">
        <is>
          <t>Atmos. Environ.</t>
        </is>
      </c>
      <c r="AU1248" t="inlineStr">
        <is>
          <t>MAR</t>
        </is>
      </c>
      <c r="AV1248" t="n">
        <v>2014</v>
      </c>
      <c r="AW1248" t="n">
        <v>85</v>
      </c>
      <c r="BC1248" t="n">
        <v>54</v>
      </c>
      <c r="BD1248" t="n">
        <v>63</v>
      </c>
      <c r="BF1248" t="inlineStr">
        <is>
          <t>10.1016/j.atmosenv.2013.11.061</t>
        </is>
      </c>
      <c r="BG1248">
        <f>HYPERLINK("http://dx.doi.org/10.1016/j.atmosenv.2013.11.061","http://dx.doi.org/10.1016/j.atmosenv.2013.11.061")</f>
        <v/>
      </c>
      <c r="BJ1248" t="n">
        <v>10</v>
      </c>
      <c r="BK1248" t="inlineStr">
        <is>
          <t>Environmental Sciences; Meteorology &amp; Atmospheric Sciences</t>
        </is>
      </c>
      <c r="BL1248" t="inlineStr">
        <is>
          <t>Science Citation Index Expanded (SCI-EXPANDED)</t>
        </is>
      </c>
      <c r="BM1248" t="inlineStr">
        <is>
          <t>Environmental Sciences &amp; Ecology; Meteorology &amp; Atmospheric Sciences</t>
        </is>
      </c>
      <c r="BN1248" t="inlineStr">
        <is>
          <t>AA9MN</t>
        </is>
      </c>
      <c r="BS1248" t="inlineStr">
        <is>
          <t>2023-10-26</t>
        </is>
      </c>
      <c r="BT1248" t="inlineStr">
        <is>
          <t>WOS:000331417700007</t>
        </is>
      </c>
      <c r="BU1248">
        <f>HYPERLINK("https%3A%2F%2Fwww.webofscience.com%2Fwos%2Fwoscc%2Ffull-record%2FWOS:000331417700007","View Full Record in Web of Science")</f>
        <v/>
      </c>
    </row>
    <row r="1249">
      <c r="A1249" t="inlineStr">
        <is>
          <t>J</t>
        </is>
      </c>
      <c r="B1249" t="inlineStr">
        <is>
          <t>Wang, SQ; Liu, Y; Lam, J; Gao, Z</t>
        </is>
      </c>
      <c r="F1249" t="inlineStr">
        <is>
          <t>Wang, Siqin; Liu, Yan; Lam, Jack; Gao, Zhe</t>
        </is>
      </c>
      <c r="J1249" t="inlineStr">
        <is>
          <t>INTERNATIONAL JOURNAL OF ENVIRONMENTAL RESEARCH AND PUBLIC HEALTH</t>
        </is>
      </c>
      <c r="M1249" t="inlineStr">
        <is>
          <t>English</t>
        </is>
      </c>
      <c r="N1249" t="inlineStr">
        <is>
          <t>Article</t>
        </is>
      </c>
      <c r="T1249" t="inlineStr">
        <is>
          <t>Chronic Illness, Subjective Wellbeing, and Health Services Availability: A Study of Older Adults in Australia</t>
        </is>
      </c>
      <c r="U1249" t="inlineStr">
        <is>
          <t>chronic illnesses; subjective wellbeing; older adults; health service availability; Australia</t>
        </is>
      </c>
      <c r="V1249" t="inlineStr">
        <is>
          <t>DEPRESSIVE SYMPTOMS; SOCIOECONOMIC POSITION; CHRONIC DISEASES; INEQUALITIES; PEOPLE; ENVIRONMENT; RISK; MEN</t>
        </is>
      </c>
      <c r="W1249" t="inlineStr">
        <is>
          <t>Chronic illness is prevalent in older adults. While current scholarship has examined how various factors may be associated with the onset of chronic illnesses, fewer scholars have examined the role of health services availability. Drawing on a sample of older adults aged 50 and above from wave 16 of the Household, Income, and Labour Dynamics in Australia survey and geo-coded information of general practitioners (GPs) from the Australian Medical Directory, 2016, we investigated whether living in areas with a greater number of GPs is related to reports of living with a chronic illness. Contrary to our hypothesis, we did not find an association between the availability of health services and reports of chronic illnesses, though factors such as better socioeconomic status and better subjective wellbeing are related to lower likelihoods of reporting a chronic illness. We concluded that, while easy access to local health services may be important for the diagnosis and treatment of chronic illnesses, it is less persuasive to attribute the availability of health services to the likelihood of older adults reporting chronic illnesses without knowing how much or how often they use the services.</t>
        </is>
      </c>
      <c r="X1249" t="inlineStr">
        <is>
          <t>[Wang, Siqin; Liu, Yan] Univ Queensland, Sch Earth &amp; Environm Sci, St Lucia, Qld 4067, Australia; [Lam, Jack] Univ Queensland, Inst Social Sci Res, Indooroopilly, Qld 4068, Australia; [Gao, Zhe] Cent China Normal Univ, Hubei Prov Key Lab Geog Proc Anal &amp; Simulat, Wuhan 430079, Peoples R China</t>
        </is>
      </c>
      <c r="Y1249" t="inlineStr">
        <is>
          <t>University of Queensland; University of Queensland; Central China Normal University</t>
        </is>
      </c>
      <c r="Z1249" t="inlineStr">
        <is>
          <t>Gao, Z (corresponding author), Cent China Normal Univ, Hubei Prov Key Lab Geog Proc Anal &amp; Simulat, Wuhan 430079, Peoples R China.</t>
        </is>
      </c>
      <c r="AA1249" t="inlineStr">
        <is>
          <t>s.wang6@uq.edu.au; yan.liu@uq.edu.au; j.lam@uq.edu.au; gaozhe@mail.ccnu.edu.cn</t>
        </is>
      </c>
      <c r="AB1249" t="inlineStr">
        <is>
          <t>; Liu, Yan/F-9930-2010; Lam, Jack/B-4976-2016</t>
        </is>
      </c>
      <c r="AC1249" t="inlineStr">
        <is>
          <t>Wang, Siqin/0000-0002-1809-7088; Liu, Yan/0000-0002-1612-779X; Lam, Jack/0000-0002-7169-4930</t>
        </is>
      </c>
      <c r="AD1249" t="inlineStr">
        <is>
          <t>National Natural Science Foundation of China [42001188]; Hubei Provincial Natural Science Foundation of China [2020CFB350]; Fundamental Research Funds for the Central Universities [CCNU20QN031]</t>
        </is>
      </c>
      <c r="AE1249" t="inlineStr">
        <is>
          <t>National Natural Science Foundation of China(National Natural Science Foundation of China (NSFC)); Hubei Provincial Natural Science Foundation of China(National Natural Science Foundation of China (NSFC)); Fundamental Research Funds for the Central Universities(Fundamental Research Funds for the Central Universities)</t>
        </is>
      </c>
      <c r="AF1249" t="inlineStr">
        <is>
          <t>This research was funded by the grant number 42001188 from the National Natural Science Foundation of China, the grant number 2020CFB350 from the Hubei Provincial Natural Science Foundation of China, and the grant number CCNU20QN031 from the Fundamental Research Funds for the Central Universities.</t>
        </is>
      </c>
      <c r="AH1249" t="n">
        <v>43</v>
      </c>
      <c r="AI1249" t="n">
        <v>2</v>
      </c>
      <c r="AJ1249" t="n">
        <v>2</v>
      </c>
      <c r="AK1249" t="n">
        <v>2</v>
      </c>
      <c r="AL1249" t="n">
        <v>12</v>
      </c>
      <c r="AM1249" t="inlineStr">
        <is>
          <t>MDPI</t>
        </is>
      </c>
      <c r="AN1249" t="inlineStr">
        <is>
          <t>BASEL</t>
        </is>
      </c>
      <c r="AO1249" t="inlineStr">
        <is>
          <t>ST ALBAN-ANLAGE 66, CH-4052 BASEL, SWITZERLAND</t>
        </is>
      </c>
      <c r="AQ1249" t="inlineStr">
        <is>
          <t>1660-4601</t>
        </is>
      </c>
      <c r="AS1249" t="inlineStr">
        <is>
          <t>INT J ENV RES PUB HE</t>
        </is>
      </c>
      <c r="AT1249" t="inlineStr">
        <is>
          <t>Int. J. Environ. Res. Public Health</t>
        </is>
      </c>
      <c r="AU1249" t="inlineStr">
        <is>
          <t>AUG</t>
        </is>
      </c>
      <c r="AV1249" t="n">
        <v>2021</v>
      </c>
      <c r="AW1249" t="n">
        <v>18</v>
      </c>
      <c r="AX1249" t="n">
        <v>15</v>
      </c>
      <c r="BE1249" t="n">
        <v>7718</v>
      </c>
      <c r="BF1249" t="inlineStr">
        <is>
          <t>10.3390/ijerph18157718</t>
        </is>
      </c>
      <c r="BG1249">
        <f>HYPERLINK("http://dx.doi.org/10.3390/ijerph18157718","http://dx.doi.org/10.3390/ijerph18157718")</f>
        <v/>
      </c>
      <c r="BJ1249" t="n">
        <v>15</v>
      </c>
      <c r="BK1249" t="inlineStr">
        <is>
          <t>Environmental Sciences; Public, Environmental &amp; Occupational Health</t>
        </is>
      </c>
      <c r="BL1249" t="inlineStr">
        <is>
          <t>Science Citation Index Expanded (SCI-EXPANDED); Social Science Citation Index (SSCI)</t>
        </is>
      </c>
      <c r="BM1249" t="inlineStr">
        <is>
          <t>Environmental Sciences &amp; Ecology; Public, Environmental &amp; Occupational Health</t>
        </is>
      </c>
      <c r="BN1249" t="inlineStr">
        <is>
          <t>TV8ZJ</t>
        </is>
      </c>
      <c r="BO1249" t="n">
        <v>34360012</v>
      </c>
      <c r="BP1249" t="inlineStr">
        <is>
          <t>Green Published, gold</t>
        </is>
      </c>
      <c r="BS1249" t="inlineStr">
        <is>
          <t>2023-10-26</t>
        </is>
      </c>
      <c r="BT1249" t="inlineStr">
        <is>
          <t>WOS:000682004000001</t>
        </is>
      </c>
      <c r="BU1249">
        <f>HYPERLINK("https%3A%2F%2Fwww.webofscience.com%2Fwos%2Fwoscc%2Ffull-record%2FWOS:000682004000001","View Full Record in Web of Science")</f>
        <v/>
      </c>
    </row>
    <row r="1250">
      <c r="A1250" t="inlineStr">
        <is>
          <t>J</t>
        </is>
      </c>
      <c r="B1250" t="inlineStr">
        <is>
          <t>Zhang, GJ</t>
        </is>
      </c>
      <c r="F1250" t="inlineStr">
        <is>
          <t>Zhang Gaojie</t>
        </is>
      </c>
      <c r="J1250" t="inlineStr">
        <is>
          <t>JOURNAL OF ENVIRONMENTAL PROTECTION AND ECOLOGY</t>
        </is>
      </c>
      <c r="M1250" t="inlineStr">
        <is>
          <t>English</t>
        </is>
      </c>
      <c r="N1250" t="inlineStr">
        <is>
          <t>Article</t>
        </is>
      </c>
      <c r="T1250" t="inlineStr">
        <is>
          <t>EFFECT OF SPORTS ENVIRONMENT ON COLLEGE STUDENTS' PHYSICAL EXERCISE</t>
        </is>
      </c>
      <c r="U1250" t="inlineStr">
        <is>
          <t>physical exercise; sports venues; balanced development; enthusiasm</t>
        </is>
      </c>
      <c r="V1250" t="inlineStr">
        <is>
          <t>PARTICIPATION</t>
        </is>
      </c>
      <c r="W1250" t="inlineStr">
        <is>
          <t>In this paper, the effect of sports environment on college students' physical exercise is researched. The results of the survey of 8 university students in A area show that the top three factors that affect the participation of students in physical exercise are: lack of site equipment, poor conditions; no time for exercise; no professional guidance. The results show that 50% of the university sports facilities can not meet the basic requirements of the University, too much attention to the construction of landmark venues, ignoring the balanced development of various sports venues; most of the school sports venues are insufficient, especially the lack of indoor sports venues. In the field survey, we found that the quality of the equipment consumed in the small ball project is poor, which seriously affects the effect and enthusiasm of students' classroom learning. The results of this paper have certain reference value for colleges and Universities to carry out physical exercise reasonably and effectively.</t>
        </is>
      </c>
      <c r="X1250" t="inlineStr">
        <is>
          <t>[Zhang Gaojie] Zhoukou Normal Univ, Coll Phys Educ, Zhoukou 466001, Peoples R China</t>
        </is>
      </c>
      <c r="Y1250" t="inlineStr">
        <is>
          <t>Zhoukou Normal University</t>
        </is>
      </c>
      <c r="Z1250" t="inlineStr">
        <is>
          <t>Zhang, GJ (corresponding author), Zhoukou Normal Univ, Coll Phys Educ, Zhoukou 466001, Peoples R China.</t>
        </is>
      </c>
      <c r="AA1250" t="inlineStr">
        <is>
          <t>396010945@qq.com</t>
        </is>
      </c>
      <c r="AH1250" t="n">
        <v>11</v>
      </c>
      <c r="AI1250" t="n">
        <v>1</v>
      </c>
      <c r="AJ1250" t="n">
        <v>1</v>
      </c>
      <c r="AK1250" t="n">
        <v>2</v>
      </c>
      <c r="AL1250" t="n">
        <v>18</v>
      </c>
      <c r="AM1250" t="inlineStr">
        <is>
          <t>SCIBULCOM LTD</t>
        </is>
      </c>
      <c r="AN1250" t="inlineStr">
        <is>
          <t>SOFIA</t>
        </is>
      </c>
      <c r="AO1250" t="inlineStr">
        <is>
          <t>PO BOX 249, 1113 SOFIA, BULGARIA</t>
        </is>
      </c>
      <c r="AP1250" t="inlineStr">
        <is>
          <t>1311-5065</t>
        </is>
      </c>
      <c r="AS1250" t="inlineStr">
        <is>
          <t>J ENVIRON PROT ECOL</t>
        </is>
      </c>
      <c r="AT1250" t="inlineStr">
        <is>
          <t>J. Environ. Prot. Ecol.</t>
        </is>
      </c>
      <c r="AV1250" t="n">
        <v>2020</v>
      </c>
      <c r="AW1250" t="n">
        <v>21</v>
      </c>
      <c r="AX1250" t="n">
        <v>2</v>
      </c>
      <c r="BC1250" t="n">
        <v>691</v>
      </c>
      <c r="BD1250" t="n">
        <v>698</v>
      </c>
      <c r="BJ1250" t="n">
        <v>8</v>
      </c>
      <c r="BK1250" t="inlineStr">
        <is>
          <t>Environmental Sciences</t>
        </is>
      </c>
      <c r="BL1250" t="inlineStr">
        <is>
          <t>Science Citation Index Expanded (SCI-EXPANDED)</t>
        </is>
      </c>
      <c r="BM1250" t="inlineStr">
        <is>
          <t>Environmental Sciences &amp; Ecology</t>
        </is>
      </c>
      <c r="BN1250" t="inlineStr">
        <is>
          <t>NK5PN</t>
        </is>
      </c>
      <c r="BS1250" t="inlineStr">
        <is>
          <t>2023-10-26</t>
        </is>
      </c>
      <c r="BT1250" t="inlineStr">
        <is>
          <t>WOS:000566784600034</t>
        </is>
      </c>
      <c r="BU1250">
        <f>HYPERLINK("https%3A%2F%2Fwww.webofscience.com%2Fwos%2Fwoscc%2Ffull-record%2FWOS:000566784600034","View Full Record in Web of Science")</f>
        <v/>
      </c>
    </row>
    <row r="1251">
      <c r="A1251" t="inlineStr">
        <is>
          <t>J</t>
        </is>
      </c>
      <c r="B1251" t="inlineStr">
        <is>
          <t>Hvalic-Touzery, S; Setinc, M; Dolnicar, V</t>
        </is>
      </c>
      <c r="F1251" t="inlineStr">
        <is>
          <t>Hvalic-Touzery, Simona; Setinc, Mojca; Dolnicar, Vesna</t>
        </is>
      </c>
      <c r="J1251" t="inlineStr">
        <is>
          <t>INTERNATIONAL JOURNAL OF ENVIRONMENTAL RESEARCH AND PUBLIC HEALTH</t>
        </is>
      </c>
      <c r="M1251" t="inlineStr">
        <is>
          <t>English</t>
        </is>
      </c>
      <c r="N1251" t="inlineStr">
        <is>
          <t>Article</t>
        </is>
      </c>
      <c r="T1251" t="inlineStr">
        <is>
          <t>Benefits of a Wearable Activity Tracker with Safety Features for Older Adults: An Intervention Study</t>
        </is>
      </c>
      <c r="U1251" t="inlineStr">
        <is>
          <t>smart technology; telecare; physical activity; safety; older adults; mixed methods; Pillar Integration Process; GoLiveClip</t>
        </is>
      </c>
      <c r="V1251" t="inlineStr">
        <is>
          <t>PHYSICAL-ACTIVITY QUESTIONNAIRE; OUTCOME MEASURE; TECHNOLOGY; ACCEPTANCE; HEALTH; ACCEPTABILITY; PERCEPTIONS; RELIABILITY; VALIDITY; TELECARE</t>
        </is>
      </c>
      <c r="W1251" t="inlineStr">
        <is>
          <t>Accidental falls and physical inactivity are important age-related issues for which smart technologies have demonstrated potential utility. This research aimed to explore the benefits of combining wearable activity monitors and telecare for older adults. A four-month interventional study was conducted between June 2021 and February 2022 in Slovenia. A purposive sample of 22 dyads of older adults aged 60 years and over and their relatives or family members used a wearable GoLiveClip device. The Pillar Integration Process was used to analyze the quantitative and qualitative data. Seven pillars emerged: (1) the use of smart technologies as a motivator for physical activity; (2) factors related to smart technology use affecting physical activity levels; (3) increased usefulness of smart technologies for users who completed the study; (4) activity monitoring as the most useful functionality of the solution; (5) the influence of technical problems on usefulness; (6) the influence of age and previous experience with smart technologies on usefulness; and (7) moderate psychological effects of smart technology use. Activity trackers were found to effectively promote physical activity in older adults, and safety features were shown to be an important part of the solution, regardless of health status or physical activity level.</t>
        </is>
      </c>
      <c r="X1251" t="inlineStr">
        <is>
          <t>[Hvalic-Touzery, Simona; Setinc, Mojca; Dolnicar, Vesna] Univ Ljubljana, Fac Social Sci, Ctr Social Informat, Ljubljana 1000, Slovenia</t>
        </is>
      </c>
      <c r="Y1251" t="inlineStr">
        <is>
          <t>University of Ljubljana</t>
        </is>
      </c>
      <c r="Z1251" t="inlineStr">
        <is>
          <t>Hvalic-Touzery, S (corresponding author), Univ Ljubljana, Fac Social Sci, Ctr Social Informat, Ljubljana 1000, Slovenia.</t>
        </is>
      </c>
      <c r="AA1251" t="inlineStr">
        <is>
          <t>simona.hvalic-touzery@fdv.uni-lj.si</t>
        </is>
      </c>
      <c r="AC1251" t="inlineStr">
        <is>
          <t>Hvalic Touzery, Simona/0000-0002-6310-9324</t>
        </is>
      </c>
      <c r="AD1251" t="inlineStr">
        <is>
          <t>Slovenian Research Agency [J5-1785, J5-4578, P5-0399]</t>
        </is>
      </c>
      <c r="AE1251" t="inlineStr">
        <is>
          <t>Slovenian Research Agency(Slovenian Research Agency - Slovenia)</t>
        </is>
      </c>
      <c r="AF1251" t="inlineStr">
        <is>
          <t>The authors acknowledge that this study was financially supported by the Slovenian Research Agency (Factors impacting intention to use smart technology-enabled care services among family carers of older people in the context of long-distance care, ID J5-1785; Digital transformation of health and social care: Welfare technology acceptance and knowledge among current and future healthcare and social care professionals ID J5-4578; Programme internet research, P5-0399).</t>
        </is>
      </c>
      <c r="AH1251" t="n">
        <v>95</v>
      </c>
      <c r="AI1251" t="n">
        <v>0</v>
      </c>
      <c r="AJ1251" t="n">
        <v>0</v>
      </c>
      <c r="AK1251" t="n">
        <v>6</v>
      </c>
      <c r="AL1251" t="n">
        <v>8</v>
      </c>
      <c r="AM1251" t="inlineStr">
        <is>
          <t>MDPI</t>
        </is>
      </c>
      <c r="AN1251" t="inlineStr">
        <is>
          <t>BASEL</t>
        </is>
      </c>
      <c r="AO1251" t="inlineStr">
        <is>
          <t>ST ALBAN-ANLAGE 66, CH-4052 BASEL, SWITZERLAND</t>
        </is>
      </c>
      <c r="AQ1251" t="inlineStr">
        <is>
          <t>1660-4601</t>
        </is>
      </c>
      <c r="AS1251" t="inlineStr">
        <is>
          <t>INT J ENV RES PUB HE</t>
        </is>
      </c>
      <c r="AT1251" t="inlineStr">
        <is>
          <t>Int. J. Environ. Res. Public Health</t>
        </is>
      </c>
      <c r="AU1251" t="inlineStr">
        <is>
          <t>DEC</t>
        </is>
      </c>
      <c r="AV1251" t="n">
        <v>2022</v>
      </c>
      <c r="AW1251" t="n">
        <v>19</v>
      </c>
      <c r="AX1251" t="n">
        <v>23</v>
      </c>
      <c r="BE1251" t="n">
        <v>15723</v>
      </c>
      <c r="BF1251" t="inlineStr">
        <is>
          <t>10.3390/ijerph192315723</t>
        </is>
      </c>
      <c r="BG1251">
        <f>HYPERLINK("http://dx.doi.org/10.3390/ijerph192315723","http://dx.doi.org/10.3390/ijerph192315723")</f>
        <v/>
      </c>
      <c r="BJ1251" t="n">
        <v>26</v>
      </c>
      <c r="BK1251" t="inlineStr">
        <is>
          <t>Environmental Sciences; Public, Environmental &amp; Occupational Health</t>
        </is>
      </c>
      <c r="BL1251" t="inlineStr">
        <is>
          <t>Science Citation Index Expanded (SCI-EXPANDED); Social Science Citation Index (SSCI)</t>
        </is>
      </c>
      <c r="BM1251" t="inlineStr">
        <is>
          <t>Environmental Sciences &amp; Ecology; Public, Environmental &amp; Occupational Health</t>
        </is>
      </c>
      <c r="BN1251" t="inlineStr">
        <is>
          <t>6Y9LL</t>
        </is>
      </c>
      <c r="BO1251" t="n">
        <v>36497796</v>
      </c>
      <c r="BP1251" t="inlineStr">
        <is>
          <t>gold, Green Published</t>
        </is>
      </c>
      <c r="BS1251" t="inlineStr">
        <is>
          <t>2023-10-26</t>
        </is>
      </c>
      <c r="BT1251" t="inlineStr">
        <is>
          <t>WOS:000897407500001</t>
        </is>
      </c>
      <c r="BU1251">
        <f>HYPERLINK("https%3A%2F%2Fwww.webofscience.com%2Fwos%2Fwoscc%2Ffull-record%2FWOS:000897407500001","View Full Record in Web of Science")</f>
        <v/>
      </c>
    </row>
    <row r="1252">
      <c r="A1252" t="inlineStr">
        <is>
          <t>J</t>
        </is>
      </c>
      <c r="B1252" t="inlineStr">
        <is>
          <t>Shorey, S; Kua, EH; Tam, W; Chan, V; Goh, YS; Lim, HM; Lim, LHK; Tian, CS; Mahendran, R</t>
        </is>
      </c>
      <c r="F1252" t="inlineStr">
        <is>
          <t>Shorey, Shefaly; Kua, Ee Heok; Tam, Wilson; Chan, Valerie; Goh, Yong Shian; Lim, Hong Meng; Lim, Lina Hsiu Kim; Tian, Cheong Sing; Mahendran, Rathi</t>
        </is>
      </c>
      <c r="J1252" t="inlineStr">
        <is>
          <t>INTERNATIONAL JOURNAL OF ENVIRONMENTAL RESEARCH AND PUBLIC HEALTH</t>
        </is>
      </c>
      <c r="M1252" t="inlineStr">
        <is>
          <t>English</t>
        </is>
      </c>
      <c r="N1252" t="inlineStr">
        <is>
          <t>Article</t>
        </is>
      </c>
      <c r="T1252" t="inlineStr">
        <is>
          <t>Where-There-Is-No-Psychiatrist Integrated Personal Therapy among Community-Dwelling Older Adults: A Randomized Pilot Study</t>
        </is>
      </c>
      <c r="U1252" t="inlineStr">
        <is>
          <t>solution-focused brief therapy; older adults; mental health; mindfulness</t>
        </is>
      </c>
      <c r="V1252" t="inlineStr">
        <is>
          <t>QUALITY-OF-LIFE; GERIATRIC DEPRESSION; MENTAL-HEALTH; SUBSYNDROMAL DEPRESSION; ANXIETY; SAMPLE; MINDFULNESS; STRESS; INTERVENTION; VALIDATION</t>
        </is>
      </c>
      <c r="W1252" t="inlineStr">
        <is>
          <t>In Singapore, many older adults suffer from subsyndromal depression and/or subsyndromal anxiety, which can negatively impact their physical and mental well-being if left untreated. Due to the general public's reluctance to seek psychological help and the low psychiatrist-to-population ratio in Singapore, this study aims to examine the preliminary efficacy, perceptions, and acceptability of a trained volunteer-led community-based intervention on community-dwelling older adults. Twenty-one participants (control: n = 11; intervention: n = 10) completed the randomized pilot study. A mixed-methods approach (questionnaires, semistructured interviews, examining blood samples, intervention fidelity) was adopted. No significant differences were found between the intervention and the control groups in depression, anxiety, life satisfaction, friendship, and quality of life. However, there was a positive change in quality-of-life scores from baseline to 6 months in the intervention group. The control group had significantly higher cortisol levels and lower annexin-A1 levels at 6 months, while the intervention group did not. Three themes emerged from the interviews: (1) impact of the intervention on older adults' well-being, (2) attitudes toward intervention, and (3) a way forward. However, intervention efficacy could not be established due to small sample size caused by the coronavirus pandemic. Future randomized controlled trials should evaluate volunteer-led, technology-based psychosocial interventions to support these older adults.</t>
        </is>
      </c>
      <c r="X1252" t="inlineStr">
        <is>
          <t>[Shorey, Shefaly; Tam, Wilson; Chan, Valerie; Goh, Yong Shian] Natl Univ Singapore, Alice Lee Ctr Nursing Studies, Yong Loo Lin Sch Med, Singapore 117597, Singapore; [Kua, Ee Heok; Tian, Cheong Sing; Mahendran, Rathi] Natl Univ Singapore, Yong Loo Lin Sch Med, Dept Psychol Med, Singapore 117597, Singapore; [Lim, Hong Meng; Lim, Lina Hsiu Kim] Natl Univ Singapore, Dept Physiol, Singapore 117593, Singapore</t>
        </is>
      </c>
      <c r="Y1252" t="inlineStr">
        <is>
          <t>National University of Singapore; National University of Singapore; National University of Singapore</t>
        </is>
      </c>
      <c r="Z1252" t="inlineStr">
        <is>
          <t>Shorey, S (corresponding author), Natl Univ Singapore, Alice Lee Ctr Nursing Studies, Yong Loo Lin Sch Med, Singapore 117597, Singapore.</t>
        </is>
      </c>
      <c r="AA1252" t="inlineStr">
        <is>
          <t>nurssh@nus.edu.sg; pcmkeh@nus.edu.sg; nurtwsw@nus.edu.sg; val_chan@live.com; nurgys@nus.edu.sg; phslimh@nus.edu.sg; phslhkl@nus.edu.sg; cheong_sing_tian@nuhs.edu.sg; pcmrathi@nus.edu.sg</t>
        </is>
      </c>
      <c r="AB1252" t="inlineStr">
        <is>
          <t>TAM, Wilson W.S./H-5890-2019; Goh, Shawn Yong-Shian/I-1489-2019; Tam, Wilson/K-1664-2019</t>
        </is>
      </c>
      <c r="AC1252" t="inlineStr">
        <is>
          <t>TAM, Wilson W.S./0000-0003-0641-3060; Goh, Shawn Yong-Shian/0000-0002-9610-5397; Shorey, Shefaly/0000-0001-5583-2814</t>
        </is>
      </c>
      <c r="AD1252" t="inlineStr">
        <is>
          <t>National University of Singapore Mind Science Centre [A17-2003-B]</t>
        </is>
      </c>
      <c r="AE1252" t="inlineStr">
        <is>
          <t>National University of Singapore Mind Science Centre</t>
        </is>
      </c>
      <c r="AF1252" t="inlineStr">
        <is>
          <t>This work was supported by the National University of Singapore Mind Science Centre (A17-2003-B).</t>
        </is>
      </c>
      <c r="AH1252" t="n">
        <v>50</v>
      </c>
      <c r="AI1252" t="n">
        <v>2</v>
      </c>
      <c r="AJ1252" t="n">
        <v>2</v>
      </c>
      <c r="AK1252" t="n">
        <v>1</v>
      </c>
      <c r="AL1252" t="n">
        <v>6</v>
      </c>
      <c r="AM1252" t="inlineStr">
        <is>
          <t>MDPI</t>
        </is>
      </c>
      <c r="AN1252" t="inlineStr">
        <is>
          <t>BASEL</t>
        </is>
      </c>
      <c r="AO1252" t="inlineStr">
        <is>
          <t>ST ALBAN-ANLAGE 66, CH-4052 BASEL, SWITZERLAND</t>
        </is>
      </c>
      <c r="AQ1252" t="inlineStr">
        <is>
          <t>1660-4601</t>
        </is>
      </c>
      <c r="AS1252" t="inlineStr">
        <is>
          <t>INT J ENV RES PUB HE</t>
        </is>
      </c>
      <c r="AT1252" t="inlineStr">
        <is>
          <t>Int. J. Environ. Res. Public Health</t>
        </is>
      </c>
      <c r="AU1252" t="inlineStr">
        <is>
          <t>SEP</t>
        </is>
      </c>
      <c r="AV1252" t="n">
        <v>2021</v>
      </c>
      <c r="AW1252" t="n">
        <v>18</v>
      </c>
      <c r="AX1252" t="n">
        <v>18</v>
      </c>
      <c r="BE1252" t="n">
        <v>9514</v>
      </c>
      <c r="BF1252" t="inlineStr">
        <is>
          <t>10.3390/ijerph18189514</t>
        </is>
      </c>
      <c r="BG1252">
        <f>HYPERLINK("http://dx.doi.org/10.3390/ijerph18189514","http://dx.doi.org/10.3390/ijerph18189514")</f>
        <v/>
      </c>
      <c r="BJ1252" t="n">
        <v>15</v>
      </c>
      <c r="BK1252" t="inlineStr">
        <is>
          <t>Environmental Sciences; Public, Environmental &amp; Occupational Health</t>
        </is>
      </c>
      <c r="BL1252" t="inlineStr">
        <is>
          <t>Science Citation Index Expanded (SCI-EXPANDED); Social Science Citation Index (SSCI)</t>
        </is>
      </c>
      <c r="BM1252" t="inlineStr">
        <is>
          <t>Environmental Sciences &amp; Ecology; Public, Environmental &amp; Occupational Health</t>
        </is>
      </c>
      <c r="BN1252" t="inlineStr">
        <is>
          <t>UV7TY</t>
        </is>
      </c>
      <c r="BO1252" t="n">
        <v>34574438</v>
      </c>
      <c r="BP1252" t="inlineStr">
        <is>
          <t>gold, Green Published</t>
        </is>
      </c>
      <c r="BS1252" t="inlineStr">
        <is>
          <t>2023-10-26</t>
        </is>
      </c>
      <c r="BT1252" t="inlineStr">
        <is>
          <t>WOS:000699676900001</t>
        </is>
      </c>
      <c r="BU1252">
        <f>HYPERLINK("https%3A%2F%2Fwww.webofscience.com%2Fwos%2Fwoscc%2Ffull-record%2FWOS:000699676900001","View Full Record in Web of Science")</f>
        <v/>
      </c>
    </row>
    <row r="1253">
      <c r="A1253" t="inlineStr">
        <is>
          <t>J</t>
        </is>
      </c>
      <c r="B1253" t="inlineStr">
        <is>
          <t>Belaroussi, R; Pazzini, M; Issa, I; Dionisio, C; Lantieri, C; González, ED; Vignali, V; Adelé, S</t>
        </is>
      </c>
      <c r="F1253" t="inlineStr">
        <is>
          <t>Belaroussi, Rachid; Pazzini, Margherita; Issa, Israa; Dionisio, Corinne; Lantieri, Claudio; Gonzalez, Elena Diaz; Vignali, Valeria; Adele, Sonia</t>
        </is>
      </c>
      <c r="J1253" t="inlineStr">
        <is>
          <t>SUSTAINABILITY</t>
        </is>
      </c>
      <c r="M1253" t="inlineStr">
        <is>
          <t>English</t>
        </is>
      </c>
      <c r="N1253" t="inlineStr">
        <is>
          <t>Article</t>
        </is>
      </c>
      <c r="T1253" t="inlineStr">
        <is>
          <t>Assessing the Future Streetscape of Rimini Harbor Docks with Virtual Reality</t>
        </is>
      </c>
      <c r="U1253" t="inlineStr">
        <is>
          <t>urban redevelopment; human-centered design; virtual reality; streetscape; built environment</t>
        </is>
      </c>
      <c r="V1253" t="inlineStr">
        <is>
          <t>PARTICIPATION; TECHNOLOGY; QUALITY; WALKING; SYSTEM</t>
        </is>
      </c>
      <c r="W1253" t="inlineStr">
        <is>
          <t>The human factor plays an important role in the successful design of infrastructure to support sustainable mobility. By engaging users early in the design process, information can be obtained before physical environments are built, making designed spaces more attractive and safer for users. This study presents the collected data of a virtual reality (VR) application in which user perception has been evaluated within an urban redevelopment context. The area under consideration is the Canal of the Port of Rimini (Italy), a degraded area not connected to the city center. The redevelopment of degraded urban areas is the first step towards achieving the sustainability aims set out in the Sustainable Development Goals. Prior to this work, evaluation methods were developed in the decision-making process, considering different social, economic, and environmental aspects in order to obtain a priority scale of interventions for urban regeneration. Architectural solutions were proposed to represent targeted and specific interventions that are designed precisely for the context to which they are dedicated in order to make the Canal Port area a continuum with its urban context and to improve its perception by tourists and inhabitants. To assess these proposed infrastructure modifications, two models of VR were created, one relevant to the current condition and one representing the future condition after redevelopment of the area. Virtual visits to the Canal of the Port of Rimini were created under two scenarios, namely, the current situation and the future situation after redevelopment of the infrastructure. Then, human participants were involved through two different questionnaires. The first allowed participants validate the VR model created by comparing it with the real context, while the second served to evaluate the perceptions of users by comparing the two VR models of the canal before and after the intervention. The results of this empirical research highlight the benefits of engaging users early in the design process and improving the user experience before implementing renovation of the infrastructure.</t>
        </is>
      </c>
      <c r="X1253" t="inlineStr">
        <is>
          <t>[Belaroussi, Rachid; Dionisio, Corinne; Adele, Sonia] Univ Gustave Eiffel, COSYS GRETTIA, F-77447 Marne La Vallee, France; [Pazzini, Margherita; Issa, Israa; Lantieri, Claudio; Vignali, Valeria] Univ Bologna, Dept Civil Chem Environm &amp; Mat Engn DICAM, I-40126 Bologna, Italy; [Gonzalez, Elena Diaz] Univ La Laguna, Higher Sch Engn &amp; Technol, San Cristobal La Laguna 38071, Spain</t>
        </is>
      </c>
      <c r="Y1253" t="inlineStr">
        <is>
          <t>Universite Gustave-Eiffel; University of Bologna; Universidad de la Laguna</t>
        </is>
      </c>
      <c r="Z1253" t="inlineStr">
        <is>
          <t>Pazzini, M (corresponding author), Univ Bologna, Dept Civil Chem Environm &amp; Mat Engn DICAM, I-40126 Bologna, Italy.</t>
        </is>
      </c>
      <c r="AA1253" t="inlineStr">
        <is>
          <t>margherita.pazzini2@unibo.it</t>
        </is>
      </c>
      <c r="AC1253" t="inlineStr">
        <is>
          <t>issa, israa/0009-0007-8660-1921; Adele, Sonia/0000-0002-3789-2220; vignali, valeria/0000-0003-2143-9488; PAZZINI, Margherita/0000-0002-1464-8479; Belaroussi, Rachid/0000-0001-8783-1226</t>
        </is>
      </c>
      <c r="AD1253" t="inlineStr">
        <is>
          <t>European Interreg Italy-Croatia project [10253074]</t>
        </is>
      </c>
      <c r="AE1253" t="inlineStr">
        <is>
          <t>European Interreg Italy-Croatia project</t>
        </is>
      </c>
      <c r="AF1253" t="inlineStr">
        <is>
          <t>The research was carried out within the FRAMESPORT project, funded by the European Interreg Italy-Croatia project under Application ID No 10253074.</t>
        </is>
      </c>
      <c r="AH1253" t="n">
        <v>54</v>
      </c>
      <c r="AI1253" t="n">
        <v>0</v>
      </c>
      <c r="AJ1253" t="n">
        <v>0</v>
      </c>
      <c r="AK1253" t="n">
        <v>5</v>
      </c>
      <c r="AL1253" t="n">
        <v>7</v>
      </c>
      <c r="AM1253" t="inlineStr">
        <is>
          <t>MDPI</t>
        </is>
      </c>
      <c r="AN1253" t="inlineStr">
        <is>
          <t>BASEL</t>
        </is>
      </c>
      <c r="AO1253" t="inlineStr">
        <is>
          <t>ST ALBAN-ANLAGE 66, CH-4052 BASEL, SWITZERLAND</t>
        </is>
      </c>
      <c r="AQ1253" t="inlineStr">
        <is>
          <t>2071-1050</t>
        </is>
      </c>
      <c r="AS1253" t="inlineStr">
        <is>
          <t>SUSTAINABILITY-BASEL</t>
        </is>
      </c>
      <c r="AT1253" t="inlineStr">
        <is>
          <t>Sustainability</t>
        </is>
      </c>
      <c r="AU1253" t="inlineStr">
        <is>
          <t>MAR</t>
        </is>
      </c>
      <c r="AV1253" t="n">
        <v>2023</v>
      </c>
      <c r="AW1253" t="n">
        <v>15</v>
      </c>
      <c r="AX1253" t="n">
        <v>6</v>
      </c>
      <c r="BE1253" t="n">
        <v>5547</v>
      </c>
      <c r="BF1253" t="inlineStr">
        <is>
          <t>10.3390/su15065547</t>
        </is>
      </c>
      <c r="BG1253">
        <f>HYPERLINK("http://dx.doi.org/10.3390/su15065547","http://dx.doi.org/10.3390/su15065547")</f>
        <v/>
      </c>
      <c r="BJ1253" t="n">
        <v>25</v>
      </c>
      <c r="BK1253" t="inlineStr">
        <is>
          <t>Green &amp; Sustainable Science &amp; Technology; Environmental Sciences; Environmental Studies</t>
        </is>
      </c>
      <c r="BL1253" t="inlineStr">
        <is>
          <t>Science Citation Index Expanded (SCI-EXPANDED); Social Science Citation Index (SSCI)</t>
        </is>
      </c>
      <c r="BM1253" t="inlineStr">
        <is>
          <t>Science &amp; Technology - Other Topics; Environmental Sciences &amp; Ecology</t>
        </is>
      </c>
      <c r="BN1253" t="inlineStr">
        <is>
          <t>C2HL8</t>
        </is>
      </c>
      <c r="BP1253" t="inlineStr">
        <is>
          <t>gold</t>
        </is>
      </c>
      <c r="BS1253" t="inlineStr">
        <is>
          <t>2023-10-26</t>
        </is>
      </c>
      <c r="BT1253" t="inlineStr">
        <is>
          <t>WOS:000960188900001</t>
        </is>
      </c>
      <c r="BU1253">
        <f>HYPERLINK("https%3A%2F%2Fwww.webofscience.com%2Fwos%2Fwoscc%2Ffull-record%2FWOS:000960188900001","View Full Record in Web of Science")</f>
        <v/>
      </c>
    </row>
    <row r="1254">
      <c r="A1254" t="inlineStr">
        <is>
          <t>J</t>
        </is>
      </c>
      <c r="B1254" t="inlineStr">
        <is>
          <t>Lo, YTC; Lu, YC; Chang, YH; Kao, S; Huang, HB</t>
        </is>
      </c>
      <c r="F1254" t="inlineStr">
        <is>
          <t>Lo, Yuan-Ting C.; Lu, Ya-Chi; Chang, Yu-Hung; Kao, Senyeong; Huang, Han-Bin</t>
        </is>
      </c>
      <c r="J1254" t="inlineStr">
        <is>
          <t>INTERNATIONAL JOURNAL OF ENVIRONMENTAL RESEARCH AND PUBLIC HEALTH</t>
        </is>
      </c>
      <c r="M1254" t="inlineStr">
        <is>
          <t>English</t>
        </is>
      </c>
      <c r="N1254" t="inlineStr">
        <is>
          <t>Article</t>
        </is>
      </c>
      <c r="T1254" t="inlineStr">
        <is>
          <t>Air Pollution Exposure and Cognitive Function in Taiwanese Older Adults: A Repeated Measurement Study</t>
        </is>
      </c>
      <c r="U1254" t="inlineStr">
        <is>
          <t>air pollution; older adults; cognitive function; neurocognitive disorders</t>
        </is>
      </c>
      <c r="V1254" t="inlineStr">
        <is>
          <t>MINI-MENTAL STATE; ULTRAFINE PARTICLES; ALZHEIMERS-DISEASE; TRAFFIC NOISE; OZONE; COHORT; BRAIN; PERFORMANCE; DEMENTIA; DECLINE</t>
        </is>
      </c>
      <c r="W1254" t="inlineStr">
        <is>
          <t>Studies related to air pollution exposure and neurocognitive disorders, specifically cognitive impairment, among older adults are limited. We investigated the association between short-term and long-term exposure to ambient air pollution (i.e., particulate matter with an aerodynamic diameter of &lt;10 mu m and ozone) and the effects of their interaction on cognitive function in a community-dwelling, free-living elderly population. Study participants were in a multiple-wave representative sample, namely the Taiwan Longitudinal Study on Aging (n = 2241). In four surveys between 1996 and 2007, their cognitive function was assessed using the Short Portable Mental Status Questionnaire (SPMSQ). We estimated air pollution from 1993 to 2007, including daily concentrations of PM10 and O-3 from air quality monitoring stations, based on the administrative zone of each participant's residence. Generalized linear mixed models were used to examine these associations after adjusting for covariates. We found that long-term exposure to PM10 and O-3 was significantly associated with cognitive impairment (OR = 1.094, 95% CI: 1.020, 1.174 for PM10; OR = 1.878, 95% CI: 1.363, 2.560 for O-3). The joint effect of exposure to PM10 and O-3 was associated with cognitive impairment (p &lt; 0.001). Co-exposure to ambient PM10 and O-3 may deteriorate cognitive function in older adults.</t>
        </is>
      </c>
      <c r="X1254" t="inlineStr">
        <is>
          <t>[Lo, Yuan-Ting C.; Lu, Ya-Chi; Kao, Senyeong; Huang, Han-Bin] Natl Def Med Ctr, Sch Publ Hlth, 161,Sec 6,Minquan E Rd, Taipei 11490, Taiwan; [Chang, Yu-Hung] China Med Univ, Dept Publ Hlth, 91 Hsueh Shih Rd, Taichung 40402, Taiwan</t>
        </is>
      </c>
      <c r="Y1254" t="inlineStr">
        <is>
          <t>National Defense Medical Center; China Medical University Taiwan</t>
        </is>
      </c>
      <c r="Z1254" t="inlineStr">
        <is>
          <t>Huang, HB (corresponding author), Natl Def Med Ctr, Sch Publ Hlth, 161,Sec 6,Minquan E Rd, Taipei 11490, Taiwan.</t>
        </is>
      </c>
      <c r="AA1254" t="inlineStr">
        <is>
          <t>toly2000@gmail.com</t>
        </is>
      </c>
      <c r="AB1254" t="inlineStr">
        <is>
          <t>Chang, Yu Hung/HCH-0034-2022</t>
        </is>
      </c>
      <c r="AC1254" t="inlineStr">
        <is>
          <t>Kao, Senyeong/0000-0002-0209-240X</t>
        </is>
      </c>
      <c r="AD1254" t="inlineStr">
        <is>
          <t>Ministry of Science and Technology in Taiwan, ROC [MOST 105-2314-B-016-005]; Ministry of National Defense-Medical Affairs Bureau in Taiwan, ROC [MAB-108-059, MAB-107-067, MAB-106-097]</t>
        </is>
      </c>
      <c r="AE1254" t="inlineStr">
        <is>
          <t>Ministry of Science and Technology in Taiwan, ROC; Ministry of National Defense-Medical Affairs Bureau in Taiwan, ROC</t>
        </is>
      </c>
      <c r="AF1254" t="inlineStr">
        <is>
          <t>The work was supported by funding from the Ministry of Science and Technology (MOST 105-2314-B-016-005) and Ministry of National Defense-Medical Affairs Bureau (MAB-108-059, MAB-107-067, MAB-106-097) in Taiwan, ROC. We are grateful for the data provided by the Health and Welfare Data Science Center (HWDC) and the Survey Research Data Archive, Academia Sinica.</t>
        </is>
      </c>
      <c r="AH1254" t="n">
        <v>38</v>
      </c>
      <c r="AI1254" t="n">
        <v>33</v>
      </c>
      <c r="AJ1254" t="n">
        <v>33</v>
      </c>
      <c r="AK1254" t="n">
        <v>6</v>
      </c>
      <c r="AL1254" t="n">
        <v>29</v>
      </c>
      <c r="AM1254" t="inlineStr">
        <is>
          <t>MDPI</t>
        </is>
      </c>
      <c r="AN1254" t="inlineStr">
        <is>
          <t>BASEL</t>
        </is>
      </c>
      <c r="AO1254" t="inlineStr">
        <is>
          <t>ST ALBAN-ANLAGE 66, CH-4052 BASEL, SWITZERLAND</t>
        </is>
      </c>
      <c r="AP1254" t="inlineStr">
        <is>
          <t>1661-7827</t>
        </is>
      </c>
      <c r="AQ1254" t="inlineStr">
        <is>
          <t>1660-4601</t>
        </is>
      </c>
      <c r="AS1254" t="inlineStr">
        <is>
          <t>INT J ENV RES PUB HE</t>
        </is>
      </c>
      <c r="AT1254" t="inlineStr">
        <is>
          <t>Int. J. Environ. Res. Public Health</t>
        </is>
      </c>
      <c r="AU1254" t="inlineStr">
        <is>
          <t>AUG 14</t>
        </is>
      </c>
      <c r="AV1254" t="n">
        <v>2019</v>
      </c>
      <c r="AW1254" t="n">
        <v>16</v>
      </c>
      <c r="AX1254" t="n">
        <v>16</v>
      </c>
      <c r="BE1254" t="n">
        <v>2976</v>
      </c>
      <c r="BF1254" t="inlineStr">
        <is>
          <t>10.3390/ijerph16162976</t>
        </is>
      </c>
      <c r="BG1254">
        <f>HYPERLINK("http://dx.doi.org/10.3390/ijerph16162976","http://dx.doi.org/10.3390/ijerph16162976")</f>
        <v/>
      </c>
      <c r="BJ1254" t="n">
        <v>12</v>
      </c>
      <c r="BK1254" t="inlineStr">
        <is>
          <t>Environmental Sciences; Public, Environmental &amp; Occupational Health</t>
        </is>
      </c>
      <c r="BL1254" t="inlineStr">
        <is>
          <t>Science Citation Index Expanded (SCI-EXPANDED); Social Science Citation Index (SSCI)</t>
        </is>
      </c>
      <c r="BM1254" t="inlineStr">
        <is>
          <t>Environmental Sciences &amp; Ecology; Public, Environmental &amp; Occupational Health</t>
        </is>
      </c>
      <c r="BN1254" t="inlineStr">
        <is>
          <t>IV7AN</t>
        </is>
      </c>
      <c r="BO1254" t="n">
        <v>31430886</v>
      </c>
      <c r="BP1254" t="inlineStr">
        <is>
          <t>Green Submitted, gold, Green Published</t>
        </is>
      </c>
      <c r="BS1254" t="inlineStr">
        <is>
          <t>2023-10-26</t>
        </is>
      </c>
      <c r="BT1254" t="inlineStr">
        <is>
          <t>WOS:000484419000080</t>
        </is>
      </c>
      <c r="BU1254">
        <f>HYPERLINK("https%3A%2F%2Fwww.webofscience.com%2Fwos%2Fwoscc%2Ffull-record%2FWOS:000484419000080","View Full Record in Web of Science")</f>
        <v/>
      </c>
    </row>
    <row r="1255">
      <c r="A1255" t="inlineStr">
        <is>
          <t>J</t>
        </is>
      </c>
      <c r="B1255" t="inlineStr">
        <is>
          <t>Poudel, GR; Barnett, A; Akram, M; Martino, E; Knibbs, LD; Anstey, KJ; Shaw, JE; Cerin, E</t>
        </is>
      </c>
      <c r="F1255" t="inlineStr">
        <is>
          <t>Poudel, Govinda R.; Barnett, Anthony; Akram, Muhammad; Martino, Erika; Knibbs, Luke D.; Anstey, Kaarin J.; Shaw, Jonathan E.; Cerin, Ester</t>
        </is>
      </c>
      <c r="J1255" t="inlineStr">
        <is>
          <t>INTERNATIONAL JOURNAL OF ENVIRONMENTAL RESEARCH AND PUBLIC HEALTH</t>
        </is>
      </c>
      <c r="M1255" t="inlineStr">
        <is>
          <t>English</t>
        </is>
      </c>
      <c r="N1255" t="inlineStr">
        <is>
          <t>Article</t>
        </is>
      </c>
      <c r="T1255" t="inlineStr">
        <is>
          <t>Machine Learning for Prediction of Cognitive Health in Adults Using Sociodemographic, Neighbourhood Environmental, and Lifestyle Factors</t>
        </is>
      </c>
      <c r="U1255" t="inlineStr">
        <is>
          <t>physical activity; neighbourhood environment; sedentary behaviour; machine learning; built environment; processing speed; cognition; memory; sociodemographic; prediction</t>
        </is>
      </c>
      <c r="V1255" t="inlineStr">
        <is>
          <t>AIR-POLLUTION; DEMENTIA; DECLINE; DISEASE; MODELS; COHORT; RISK</t>
        </is>
      </c>
      <c r="W1255" t="inlineStr">
        <is>
          <t>The environment we live in, and our lifestyle within this environment, can shape our cognitive health. We investigated whether sociodemographic, neighbourhood environment, and lifestyle variables can be used to predict cognitive health status in adults. Cross-sectional data from the AusDiab3 study, an Australian cohort study of adults (34-97 years) (n = 4141) was used. Cognitive function was measured using processing speed and memory tests, which were categorized into distinct classes using latent profile analysis. Sociodemographic variables, measures of the built and natural environment estimated using geographic information system data, and physical activity and sedentary behaviours were used as predictors. Machine learning was performed using gradient boosting machine, support vector machine, artificial neural network, and linear models. Sociodemographic variables predicted processing speed (r(2) = 0.43) and memory (r(2) = 0.20) with good accuracy. Lifestyle factors also accurately predicted processing speed (r(2) = 0.29) but weakly predicted memory (r(2) = 0.10). Neighbourhood and built environment factors were weak predictors of cognitive function. Sociodemographic (AUC = 0.84) and lifestyle (AUC = 0.78) factors also accurately classified cognitive classes. Sociodemographic and lifestyle variables can predict cognitive function in adults. Machine learning tools are useful for population-level assessment of cognitive health status via readily available and easy-to-collect data.</t>
        </is>
      </c>
      <c r="X1255" t="inlineStr">
        <is>
          <t>[Poudel, Govinda R.; Barnett, Anthony; Akram, Muhammad; Cerin, Ester] Australian Catholic Univ, Mary Mackillop Inst Hlth Res, Melbourne, Vic 3065, Australia; [Martino, Erika] Univ Melbourne, Melbourne Sch Populat &amp; Global Hlth, Melbourne, Vic 3010, Australia; [Knibbs, Luke D.] Univ Sydney, Sch Publ Hlth, Sydney, NSW 2006, Australia; [Knibbs, Luke D.] Sydney Local Hlth Dist, Publ Hlth Unit, Camperdown, NSW 2050, Australia; [Anstey, Kaarin J.] Univ New South Wales, Sch Psychol, Sydney, NSW 2052, Australia; [Anstey, Kaarin J.] Univ New South Wales, UNSW Ageing Futures Inst, Sydney, NSW 2052, Australia; [Anstey, Kaarin J.] Neurosci Res Australia, Sydney, NSW 2031, Australia; [Shaw, Jonathan E.] Baker Heart &amp; Diabet Inst, Melbourne, Vic 3004, Australia</t>
        </is>
      </c>
      <c r="Y1255" t="inlineStr">
        <is>
          <t>Australian Catholic University; University of Melbourne; University of Sydney; University of New South Wales Sydney; University of New South Wales Sydney; Neuroscience Research Australia</t>
        </is>
      </c>
      <c r="Z1255" t="inlineStr">
        <is>
          <t>Poudel, GR (corresponding author), Australian Catholic Univ, Mary Mackillop Inst Hlth Res, Melbourne, Vic 3065, Australia.</t>
        </is>
      </c>
      <c r="AA1255" t="inlineStr">
        <is>
          <t>govinda.poudel@acu.edu.au</t>
        </is>
      </c>
      <c r="AB1255" t="inlineStr">
        <is>
          <t>Anstey, Kaarin/A-3852-2008; /L-1271-2015; Barnett, Anthony/A-8205-2019</t>
        </is>
      </c>
      <c r="AC1255" t="inlineStr">
        <is>
          <t>Anstey, Kaarin/0000-0002-9706-9316; Martino, Erika/0000-0003-0827-6477; Poudel, Govinda/0000-0002-0043-7531; /0000-0002-7599-165X; Barnett, Anthony/0000-0002-6320-4073; Akram, Muhammad/0000-0003-1073-3614</t>
        </is>
      </c>
      <c r="AD1255" t="inlineStr">
        <is>
          <t>Australian Catholic University [ACURF18]; National Health and Medical Research Council (NHMRC) [1173952]; Australian Research Council Laureate Fellowship [FL190100011]</t>
        </is>
      </c>
      <c r="AE1255" t="inlineStr">
        <is>
          <t>Australian Catholic University; National Health and Medical Research Council (NHMRC)(National Health and Medical Research Council (NHMRC) of Australia); Australian Research Council Laureate Fellowship(Australian Research Council)</t>
        </is>
      </c>
      <c r="AF1255" t="inlineStr">
        <is>
          <t>This work was supported by a program grant (The environment, active living and cognitive health: building the evidence base) from the Australian Catholic University [grant number ACURF18]. Jonathan E. Shaw is supported by a National Health and Medical Research Council (NHMRC) Investigator Grant [grant number 1173952]. Kaarin J. Anstey is funded by an Australian Research Council Laureate Fellowship [grant number FL190100011].</t>
        </is>
      </c>
      <c r="AH1255" t="n">
        <v>45</v>
      </c>
      <c r="AI1255" t="n">
        <v>6</v>
      </c>
      <c r="AJ1255" t="n">
        <v>6</v>
      </c>
      <c r="AK1255" t="n">
        <v>5</v>
      </c>
      <c r="AL1255" t="n">
        <v>13</v>
      </c>
      <c r="AM1255" t="inlineStr">
        <is>
          <t>MDPI</t>
        </is>
      </c>
      <c r="AN1255" t="inlineStr">
        <is>
          <t>BASEL</t>
        </is>
      </c>
      <c r="AO1255" t="inlineStr">
        <is>
          <t>ST ALBAN-ANLAGE 66, CH-4052 BASEL, SWITZERLAND</t>
        </is>
      </c>
      <c r="AQ1255" t="inlineStr">
        <is>
          <t>1660-4601</t>
        </is>
      </c>
      <c r="AS1255" t="inlineStr">
        <is>
          <t>INT J ENV RES PUB HE</t>
        </is>
      </c>
      <c r="AT1255" t="inlineStr">
        <is>
          <t>Int. J. Environ. Res. Public Health</t>
        </is>
      </c>
      <c r="AU1255" t="inlineStr">
        <is>
          <t>SEP</t>
        </is>
      </c>
      <c r="AV1255" t="n">
        <v>2022</v>
      </c>
      <c r="AW1255" t="n">
        <v>19</v>
      </c>
      <c r="AX1255" t="n">
        <v>17</v>
      </c>
      <c r="BE1255" t="n">
        <v>10977</v>
      </c>
      <c r="BF1255" t="inlineStr">
        <is>
          <t>10.3390/ijerph191710977</t>
        </is>
      </c>
      <c r="BG1255">
        <f>HYPERLINK("http://dx.doi.org/10.3390/ijerph191710977","http://dx.doi.org/10.3390/ijerph191710977")</f>
        <v/>
      </c>
      <c r="BJ1255" t="n">
        <v>14</v>
      </c>
      <c r="BK1255" t="inlineStr">
        <is>
          <t>Environmental Sciences; Public, Environmental &amp; Occupational Health</t>
        </is>
      </c>
      <c r="BL1255" t="inlineStr">
        <is>
          <t>Science Citation Index Expanded (SCI-EXPANDED); Social Science Citation Index (SSCI)</t>
        </is>
      </c>
      <c r="BM1255" t="inlineStr">
        <is>
          <t>Environmental Sciences &amp; Ecology; Public, Environmental &amp; Occupational Health</t>
        </is>
      </c>
      <c r="BN1255" t="inlineStr">
        <is>
          <t>4J2PZ</t>
        </is>
      </c>
      <c r="BO1255" t="n">
        <v>36078704</v>
      </c>
      <c r="BP1255" t="inlineStr">
        <is>
          <t>gold, Green Published</t>
        </is>
      </c>
      <c r="BS1255" t="inlineStr">
        <is>
          <t>2023-10-26</t>
        </is>
      </c>
      <c r="BT1255" t="inlineStr">
        <is>
          <t>WOS:000851112000001</t>
        </is>
      </c>
      <c r="BU1255">
        <f>HYPERLINK("https%3A%2F%2Fwww.webofscience.com%2Fwos%2Fwoscc%2Ffull-record%2FWOS:000851112000001","View Full Record in Web of Science")</f>
        <v/>
      </c>
    </row>
    <row r="1256">
      <c r="A1256" t="inlineStr">
        <is>
          <t>J</t>
        </is>
      </c>
      <c r="B1256" t="inlineStr">
        <is>
          <t>de Gennaro, G; Dambruoso, PR; Loiotile, AD; Di Gilio, A; Giungato, P; Tutino, M; Marzocca, A; Mazzone, A; Palmisani, J; Porcelli, F</t>
        </is>
      </c>
      <c r="F1256" t="inlineStr">
        <is>
          <t>de Gennaro, Gianluigi; Dambruoso, Paolo Rosario; Loiotile, Annamaria Demarinis; Di Gilio, Alessia; Giungato, Pasquale; Tutino, Maria; Marzocca, Annalisa; Mazzone, Antonio; Palmisani, Jolanda; Porcelli, Francesca</t>
        </is>
      </c>
      <c r="J1256" t="inlineStr">
        <is>
          <t>ENVIRONMENTAL CHEMISTRY LETTERS</t>
        </is>
      </c>
      <c r="M1256" t="inlineStr">
        <is>
          <t>English</t>
        </is>
      </c>
      <c r="N1256" t="inlineStr">
        <is>
          <t>Review</t>
        </is>
      </c>
      <c r="T1256" t="inlineStr">
        <is>
          <t>Indoor air quality in schools</t>
        </is>
      </c>
      <c r="U1256" t="inlineStr">
        <is>
          <t>Carbon dioxide (CO2); Formaldehyde and carbonyl compounds; Indoor air quality (IAQ); Inorganic gases; Monitoring strategies; Ozone (O-3); Particulate matter (PM); School environments sources; Volatile organic compounds (VOCs)</t>
        </is>
      </c>
      <c r="V1256" t="inlineStr">
        <is>
          <t>VOLATILE ORGANIC-COMPOUNDS; CHILDREN ATTENDING SCHOOLS; CARBON-MONOXIDE LEVELS; PARTICULATE MATTER; ELEMENTARY-SCHOOLS; PERSONAL EXPOSURE; CO2 CONCENTRATIONS; OUTDOOR CONCENTRATIONS; ENVIRONMENTAL-QUALITY; FORMALDEHYDE LEVELS</t>
        </is>
      </c>
      <c r="W1256" t="inlineStr">
        <is>
          <t>In recent years, the use of synthetic materials in building and furnishing, the adoption of new lifestyles, the extensive use of products for environmental cleaning and personal hygiene have contributed to the deterioration of indoor air quality and introduced new sources of risk to humans. Indoor environments include home, workplaces such as offices, public buildings such as hospitals, schools, kindergartens, sports halls, libraries, restaurants and bars, theaters and cinemas and finally cabins of vehicles. Indoor environments in schools have been of particular public concern. According to recent studies, children aged between 3 and 14 spend 90 % of the day indoors both in winter and summer. Moreover, children have greater susceptibility to some environmental pollutants than adults, because they breathe higher volumes of air relative to their body weights, and their tissues and organs are actively growing. In this review, the authors explore the methodological approaches used for the assessment of air quality in schools: monitoring strategies, sampling and analysis techniques and summarizing an overview of main findings from scientific literature concerning the most common pollutants found in school environments.</t>
        </is>
      </c>
      <c r="X1256" t="inlineStr">
        <is>
          <t>[de Gennaro, Gianluigi; Loiotile, Annamaria Demarinis; Giungato, Pasquale; Marzocca, Annalisa; Palmisani, Jolanda; Porcelli, Francesca] Univ Bari Aldo Moro, Dept Chem, I-70125 Bari, Italy; [de Gennaro, Gianluigi; Dambruoso, Paolo Rosario; Di Gilio, Alessia; Tutino, Maria] Apulia Reg Environm Protect Agcy ARPA Puglia, I-70126 Bari, Italy; [Mazzone, Antonio] Univ Bari, Spin Off, LEnviroS Srl, I-70125 Bari, Italy</t>
        </is>
      </c>
      <c r="Y1256" t="inlineStr">
        <is>
          <t>Universita degli Studi di Bari Aldo Moro; Regional Environmental Protection Agency - Italy; Universita degli Studi di Bari Aldo Moro</t>
        </is>
      </c>
      <c r="Z1256" t="inlineStr">
        <is>
          <t>de Gennaro, G (corresponding author), Univ Bari Aldo Moro, Dept Chem, Via Orabona 4, I-70125 Bari, Italy.</t>
        </is>
      </c>
      <c r="AA1256" t="inlineStr">
        <is>
          <t>gianluigi.degennaro@uniba.it; p.dambruoso@arpa.puglia.it; annamaria.demarinis@uniba.it; a.digilio@arpa.puglia.it; pasquale.giungato@uniba.it; m.tutino@arpa.puglia.it; annalisa.marzocca@uniba.it; antoniomazzone@lenviros.com; jolanda.palmisani@uniba.it; francesca.porcelli@uniba.it</t>
        </is>
      </c>
      <c r="AB1256" t="inlineStr">
        <is>
          <t>de gennaro, gianluigi/B-6237-2013; DI GILIO, ALESSIA/A-9077-2018; Giungato, Pasquale/J-2000-2016</t>
        </is>
      </c>
      <c r="AC1256" t="inlineStr">
        <is>
          <t>de gennaro, gianluigi/0000-0002-6868-6569; DI GILIO, ALESSIA/0000-0001-9951-4498; Giungato, Pasquale/0000-0002-2214-9362; Caivano, Danilo/0000-0001-5719-7447</t>
        </is>
      </c>
      <c r="AH1256" t="n">
        <v>179</v>
      </c>
      <c r="AI1256" t="n">
        <v>89</v>
      </c>
      <c r="AJ1256" t="n">
        <v>89</v>
      </c>
      <c r="AK1256" t="n">
        <v>5</v>
      </c>
      <c r="AL1256" t="n">
        <v>154</v>
      </c>
      <c r="AM1256" t="inlineStr">
        <is>
          <t>SPRINGER HEIDELBERG</t>
        </is>
      </c>
      <c r="AN1256" t="inlineStr">
        <is>
          <t>HEIDELBERG</t>
        </is>
      </c>
      <c r="AO1256" t="inlineStr">
        <is>
          <t>TIERGARTENSTRASSE 17, D-69121 HEIDELBERG, GERMANY</t>
        </is>
      </c>
      <c r="AP1256" t="inlineStr">
        <is>
          <t>1610-3653</t>
        </is>
      </c>
      <c r="AQ1256" t="inlineStr">
        <is>
          <t>1610-3661</t>
        </is>
      </c>
      <c r="AS1256" t="inlineStr">
        <is>
          <t>ENVIRON CHEM LETT</t>
        </is>
      </c>
      <c r="AT1256" t="inlineStr">
        <is>
          <t>Environ. Chem. Lett.</t>
        </is>
      </c>
      <c r="AU1256" t="inlineStr">
        <is>
          <t>DEC</t>
        </is>
      </c>
      <c r="AV1256" t="n">
        <v>2014</v>
      </c>
      <c r="AW1256" t="n">
        <v>12</v>
      </c>
      <c r="AX1256" t="n">
        <v>4</v>
      </c>
      <c r="BC1256" t="n">
        <v>467</v>
      </c>
      <c r="BD1256" t="n">
        <v>482</v>
      </c>
      <c r="BF1256" t="inlineStr">
        <is>
          <t>10.1007/s10311-014-0470-6</t>
        </is>
      </c>
      <c r="BG1256">
        <f>HYPERLINK("http://dx.doi.org/10.1007/s10311-014-0470-6","http://dx.doi.org/10.1007/s10311-014-0470-6")</f>
        <v/>
      </c>
      <c r="BJ1256" t="n">
        <v>16</v>
      </c>
      <c r="BK1256" t="inlineStr">
        <is>
          <t>Chemistry, Multidisciplinary; Engineering, Environmental; Environmental Sciences</t>
        </is>
      </c>
      <c r="BL1256" t="inlineStr">
        <is>
          <t>Science Citation Index Expanded (SCI-EXPANDED)</t>
        </is>
      </c>
      <c r="BM1256" t="inlineStr">
        <is>
          <t>Chemistry; Engineering; Environmental Sciences &amp; Ecology</t>
        </is>
      </c>
      <c r="BN1256" t="inlineStr">
        <is>
          <t>AU0AC</t>
        </is>
      </c>
      <c r="BS1256" t="inlineStr">
        <is>
          <t>2023-10-26</t>
        </is>
      </c>
      <c r="BT1256" t="inlineStr">
        <is>
          <t>WOS:000345284400001</t>
        </is>
      </c>
      <c r="BU1256">
        <f>HYPERLINK("https%3A%2F%2Fwww.webofscience.com%2Fwos%2Fwoscc%2Ffull-record%2FWOS:000345284400001","View Full Record in Web of Science")</f>
        <v/>
      </c>
    </row>
    <row r="1257">
      <c r="A1257" t="inlineStr">
        <is>
          <t>J</t>
        </is>
      </c>
      <c r="B1257" t="inlineStr">
        <is>
          <t>Lu, Y; Sun, GB; Sarkar, C; Gou, ZH; Xiao, Y</t>
        </is>
      </c>
      <c r="F1257" t="inlineStr">
        <is>
          <t>Lu, Yi; Sun, Guibo; Sarkar, Chinmoy; Gou, Zhonghua; Xiao, Yang</t>
        </is>
      </c>
      <c r="J1257" t="inlineStr">
        <is>
          <t>INTERNATIONAL JOURNAL OF ENVIRONMENTAL RESEARCH AND PUBLIC HEALTH</t>
        </is>
      </c>
      <c r="M1257" t="inlineStr">
        <is>
          <t>English</t>
        </is>
      </c>
      <c r="N1257" t="inlineStr">
        <is>
          <t>Article</t>
        </is>
      </c>
      <c r="T1257" t="inlineStr">
        <is>
          <t>Commuting Mode Choice in a High-Density City: Do Land-Use Density and Diversity Matter in Hong Kong?</t>
        </is>
      </c>
      <c r="U1257" t="inlineStr">
        <is>
          <t>travel choice; commuting trips; built environment; high density; land use policy; urban design</t>
        </is>
      </c>
      <c r="V1257" t="inlineStr">
        <is>
          <t>BUILT ENVIRONMENT; PHYSICAL-ACTIVITY; TRAVEL BEHAVIOR; METROPOLITAN-AREA; WALKING ACTIVITY; GREEN SPACE; URBAN FORM; TRANSIT; ADULTS; HEALTH</t>
        </is>
      </c>
      <c r="W1257" t="inlineStr">
        <is>
          <t>Hong Kong is a densely populated and transit-oriented Chinese city, which provides an ideal urban environment with which to study the various successful facets of land use policy as a model for potential replication to curb increasing car use in other Chinese cities. We examine the commuting mode choice of 203,900 households living in 4768 street blocks in Hong Kong from 2011 census. A street block is the smallest planning unit, made up of one or more housing estates with a homogenous built environment and socioeconomic status. The built environment is measured using the five Ds framework, an international dimensioning framework for classifying and measuring attributes of the built environment for physical activity and travel behaviors. Generalized, multi-level mixed models were applied to detect the associations between travel choice and built environment characteristics, while adjusting for socioeconomic status. Design and destination accessibility had greater effects on the choices to walk and take public transport than on the choice to drive. Density and diversity had only marginal effects on mode choice. Unexpectedly, distance to the urban center had the opposite effect on automobile use to that found in Western studies. Hong Kong residents living close to the urban center were more likely to drive for commuting trips. The contrasting findings between our study and Western studies suggest that the associations between a high-density built environment and travel choice vary with urban context.</t>
        </is>
      </c>
      <c r="X1257" t="inlineStr">
        <is>
          <t>[Lu, Yi] City Univ Hong Kong, Dept Architecture &amp; Civil Engn, Kowloon Tong, Hong Kong, Peoples R China; [Lu, Yi] City Univ Hong Kong, Shenzhen Res Inst, Shenzhen 518057, Peoples R China; [Sun, Guibo; Sarkar, Chinmoy] Univ Hong Kong, Fac Architecture, Pokfulam, Hong Kong, Peoples R China; [Gou, Zhonghua] Griffith Univ, Sch Engn &amp; Built Environm, Gold Coast, Qld 4215, Australia; [Xiao, Yang] Tongji Univ, Dept Urban Planning, Shanghai 200092, Peoples R China</t>
        </is>
      </c>
      <c r="Y1257" t="inlineStr">
        <is>
          <t>City University of Hong Kong; City University of Hong Kong; Shenzhen Research Institute, City University of Hong Kong; University of Hong Kong; Griffith University; Tongji University</t>
        </is>
      </c>
      <c r="Z1257" t="inlineStr">
        <is>
          <t>Lu, Y (corresponding author), City Univ Hong Kong, Dept Architecture &amp; Civil Engn, Kowloon Tong, Hong Kong, Peoples R China.;Lu, Y (corresponding author), City Univ Hong Kong, Shenzhen Res Inst, Shenzhen 518057, Peoples R China.</t>
        </is>
      </c>
      <c r="AA1257" t="inlineStr">
        <is>
          <t>yilu24@cityu.edu.hk; gbsun@hku.hk; csarkar@hku.hk; z.gou@griffith.edu.au; yxiao@tongji.edu.cn</t>
        </is>
      </c>
      <c r="AB1257" t="inlineStr">
        <is>
          <t>Yang, Xiao/JCD-7233-2023; Gou, Zhonghua/H-5621-2019; LU, Yi/AAD-7750-2020; xiao, yang/JCD-7195-2023</t>
        </is>
      </c>
      <c r="AC1257" t="inlineStr">
        <is>
          <t>Gou, Zhonghua/0000-0001-9627-4724; LU, Yi/0000-0001-7614-6661; Sun, Guibo/0000-0001-8493-2953; Sarkar, Chinmoy/0000-0001-5374-217X</t>
        </is>
      </c>
      <c r="AD1257" t="inlineStr">
        <is>
          <t>National Natural Science Foundation of China [51578474, 51778552]; Research Grants Council of the Hong Kong Special Administrative Region, China [CityU11612615]</t>
        </is>
      </c>
      <c r="AE1257" t="inlineStr">
        <is>
          <t>National Natural Science Foundation of China(National Natural Science Foundation of China (NSFC)); Research Grants Council of the Hong Kong Special Administrative Region, China(Hong Kong Research Grants Council)</t>
        </is>
      </c>
      <c r="AF1257" t="inlineStr">
        <is>
          <t>The work described in this paper was fully supported by the grants from National Natural Science Foundation of China (Project No. 51578474 &amp; 51778552) and the Research Grants Council of the Hong Kong Special Administrative Region, China (Project No. CityU11612615).</t>
        </is>
      </c>
      <c r="AH1257" t="n">
        <v>49</v>
      </c>
      <c r="AI1257" t="n">
        <v>25</v>
      </c>
      <c r="AJ1257" t="n">
        <v>26</v>
      </c>
      <c r="AK1257" t="n">
        <v>2</v>
      </c>
      <c r="AL1257" t="n">
        <v>40</v>
      </c>
      <c r="AM1257" t="inlineStr">
        <is>
          <t>MDPI</t>
        </is>
      </c>
      <c r="AN1257" t="inlineStr">
        <is>
          <t>BASEL</t>
        </is>
      </c>
      <c r="AO1257" t="inlineStr">
        <is>
          <t>ST ALBAN-ANLAGE 66, CH-4052 BASEL, SWITZERLAND</t>
        </is>
      </c>
      <c r="AQ1257" t="inlineStr">
        <is>
          <t>1660-4601</t>
        </is>
      </c>
      <c r="AS1257" t="inlineStr">
        <is>
          <t>INT J ENV RES PUB HE</t>
        </is>
      </c>
      <c r="AT1257" t="inlineStr">
        <is>
          <t>Int. J. Environ. Res. Public Health</t>
        </is>
      </c>
      <c r="AU1257" t="inlineStr">
        <is>
          <t>MAY</t>
        </is>
      </c>
      <c r="AV1257" t="n">
        <v>2018</v>
      </c>
      <c r="AW1257" t="n">
        <v>15</v>
      </c>
      <c r="AX1257" t="n">
        <v>5</v>
      </c>
      <c r="BE1257" t="n">
        <v>920</v>
      </c>
      <c r="BF1257" t="inlineStr">
        <is>
          <t>10.3390/ijerph15050920</t>
        </is>
      </c>
      <c r="BG1257">
        <f>HYPERLINK("http://dx.doi.org/10.3390/ijerph15050920","http://dx.doi.org/10.3390/ijerph15050920")</f>
        <v/>
      </c>
      <c r="BJ1257" t="n">
        <v>13</v>
      </c>
      <c r="BK1257" t="inlineStr">
        <is>
          <t>Environmental Sciences; Public, Environmental &amp; Occupational Health</t>
        </is>
      </c>
      <c r="BL1257" t="inlineStr">
        <is>
          <t>Science Citation Index Expanded (SCI-EXPANDED); Social Science Citation Index (SSCI)</t>
        </is>
      </c>
      <c r="BM1257" t="inlineStr">
        <is>
          <t>Environmental Sciences &amp; Ecology; Public, Environmental &amp; Occupational Health</t>
        </is>
      </c>
      <c r="BN1257" t="inlineStr">
        <is>
          <t>GJ3LS</t>
        </is>
      </c>
      <c r="BO1257" t="n">
        <v>29734721</v>
      </c>
      <c r="BP1257" t="inlineStr">
        <is>
          <t>Green Published, gold, Green Submitted</t>
        </is>
      </c>
      <c r="BS1257" t="inlineStr">
        <is>
          <t>2023-10-26</t>
        </is>
      </c>
      <c r="BT1257" t="inlineStr">
        <is>
          <t>WOS:000435197300088</t>
        </is>
      </c>
      <c r="BU1257">
        <f>HYPERLINK("https%3A%2F%2Fwww.webofscience.com%2Fwos%2Fwoscc%2Ffull-record%2FWOS:000435197300088","View Full Record in Web of Science")</f>
        <v/>
      </c>
    </row>
    <row r="1258">
      <c r="A1258" t="inlineStr">
        <is>
          <t>J</t>
        </is>
      </c>
      <c r="B1258" t="inlineStr">
        <is>
          <t>Swapan, A; Marinova, D; Bay, JH</t>
        </is>
      </c>
      <c r="F1258" t="inlineStr">
        <is>
          <t>Swapan, Abu Yousuf; Marinova, Dora; Bay, Joo Hwa</t>
        </is>
      </c>
      <c r="J1258" t="inlineStr">
        <is>
          <t>URBAN SCIENCE</t>
        </is>
      </c>
      <c r="M1258" t="inlineStr">
        <is>
          <t>English</t>
        </is>
      </c>
      <c r="N1258" t="inlineStr">
        <is>
          <t>Article</t>
        </is>
      </c>
      <c r="T1258" t="inlineStr">
        <is>
          <t>Understanding the Importance of Front Yard Accessibility for Community Building: A Case Study of Subiaco, Western Australia</t>
        </is>
      </c>
      <c r="U1258" t="inlineStr">
        <is>
          <t>community building; quality of life; built form typology; front-yard; physical accessibility; visual permeability; human behaviour</t>
        </is>
      </c>
      <c r="W1258" t="inlineStr">
        <is>
          <t>The residential built form, including open space, provides the physical environment for social interaction. Understanding urban open space, including semi-public and public domains, through the lens of physical accessibility and visual permeability can potentially facilitate the building of a sense of community contributing to a better quality of life. Using an inner-city suburb in Perth, Western Australia as a case study, this research explores the importance of physical accessibility patterns and visual permeability for socialising in semi-public and public domains, such as the front yard and the residential streets. It argues that maintaining a balance between public and private inter-relationship in inner city residential neighbourhoods is important for creating and maintaining a sense of community.</t>
        </is>
      </c>
      <c r="X1258" t="inlineStr">
        <is>
          <t>[Swapan, Abu Yousuf; Marinova, Dora] Curtin Univ, Curtin Univ Sustainabil Policy Inst, Bldg 209, Perth, WA 6102, Australia; [Bay, Joo Hwa] Curtin Univ, Sch Design &amp; Built Environm, Perth, WA 6102, Australia</t>
        </is>
      </c>
      <c r="Y1258" t="inlineStr">
        <is>
          <t>Curtin University; Curtin University</t>
        </is>
      </c>
      <c r="Z1258" t="inlineStr">
        <is>
          <t>Swapan, A (corresponding author), Curtin Univ, Curtin Univ Sustainabil Policy Inst, Bldg 209, Perth, WA 6102, Australia.</t>
        </is>
      </c>
      <c r="AA1258" t="inlineStr">
        <is>
          <t>swapan4794@gmail.com; d.marinova@curtin.edu.au; philipjhbay@yahoo.com</t>
        </is>
      </c>
      <c r="AB1258" t="inlineStr">
        <is>
          <t>Marinova, Dora/H-2093-2013</t>
        </is>
      </c>
      <c r="AC1258" t="inlineStr">
        <is>
          <t>Marinova, Dora/0000-0001-5125-8878; Swapan, Abu Yousuf/0000-0001-9754-9718</t>
        </is>
      </c>
      <c r="AD1258" t="inlineStr">
        <is>
          <t>Curtin University</t>
        </is>
      </c>
      <c r="AE1258" t="inlineStr">
        <is>
          <t>Curtin University</t>
        </is>
      </c>
      <c r="AF1258" t="inlineStr">
        <is>
          <t>Funding for research and publication was provided by Curtin University.</t>
        </is>
      </c>
      <c r="AH1258" t="n">
        <v>146</v>
      </c>
      <c r="AI1258" t="n">
        <v>3</v>
      </c>
      <c r="AJ1258" t="n">
        <v>3</v>
      </c>
      <c r="AK1258" t="n">
        <v>1</v>
      </c>
      <c r="AL1258" t="n">
        <v>4</v>
      </c>
      <c r="AM1258" t="inlineStr">
        <is>
          <t>MDPI</t>
        </is>
      </c>
      <c r="AN1258" t="inlineStr">
        <is>
          <t>BASEL</t>
        </is>
      </c>
      <c r="AO1258" t="inlineStr">
        <is>
          <t>ST ALBAN-ANLAGE 66, CH-4052 BASEL, SWITZERLAND</t>
        </is>
      </c>
      <c r="AQ1258" t="inlineStr">
        <is>
          <t>2413-8851</t>
        </is>
      </c>
      <c r="AS1258" t="inlineStr">
        <is>
          <t>URBAN SCI</t>
        </is>
      </c>
      <c r="AT1258" t="inlineStr">
        <is>
          <t>Urban Sci.</t>
        </is>
      </c>
      <c r="AU1258" t="inlineStr">
        <is>
          <t>JUN</t>
        </is>
      </c>
      <c r="AV1258" t="n">
        <v>2018</v>
      </c>
      <c r="AW1258" t="n">
        <v>2</v>
      </c>
      <c r="AX1258" t="n">
        <v>2</v>
      </c>
      <c r="BE1258" t="n">
        <v>41</v>
      </c>
      <c r="BF1258" t="inlineStr">
        <is>
          <t>10.3390/urbansci2020041</t>
        </is>
      </c>
      <c r="BG1258">
        <f>HYPERLINK("http://dx.doi.org/10.3390/urbansci2020041","http://dx.doi.org/10.3390/urbansci2020041")</f>
        <v/>
      </c>
      <c r="BJ1258" t="n">
        <v>21</v>
      </c>
      <c r="BK1258" t="inlineStr">
        <is>
          <t>Environmental Sciences; Environmental Studies; Geography; Regional &amp; Urban Planning; Urban Studies</t>
        </is>
      </c>
      <c r="BL1258" t="inlineStr">
        <is>
          <t>Emerging Sources Citation Index (ESCI)</t>
        </is>
      </c>
      <c r="BM1258" t="inlineStr">
        <is>
          <t>Environmental Sciences &amp; Ecology; Geography; Public Administration; Urban Studies</t>
        </is>
      </c>
      <c r="BN1258" t="inlineStr">
        <is>
          <t>VJ7PD</t>
        </is>
      </c>
      <c r="BP1258" t="inlineStr">
        <is>
          <t>Green Published, Green Submitted, gold</t>
        </is>
      </c>
      <c r="BS1258" t="inlineStr">
        <is>
          <t>2023-10-26</t>
        </is>
      </c>
      <c r="BT1258" t="inlineStr">
        <is>
          <t>WOS:000621630000013</t>
        </is>
      </c>
      <c r="BU1258">
        <f>HYPERLINK("https%3A%2F%2Fwww.webofscience.com%2Fwos%2Fwoscc%2Ffull-record%2FWOS:000621630000013","View Full Record in Web of Science")</f>
        <v/>
      </c>
    </row>
    <row r="1259">
      <c r="A1259" t="inlineStr">
        <is>
          <t>J</t>
        </is>
      </c>
      <c r="B1259" t="inlineStr">
        <is>
          <t>Han, GH; Chen, S; Reynoso, LC</t>
        </is>
      </c>
      <c r="F1259" t="inlineStr">
        <is>
          <t>Han, Genghao; Chen, Sheng; Reynoso, Lino C.</t>
        </is>
      </c>
      <c r="J1259" t="inlineStr">
        <is>
          <t>FRESENIUS ENVIRONMENTAL BULLETIN</t>
        </is>
      </c>
      <c r="M1259" t="inlineStr">
        <is>
          <t>English</t>
        </is>
      </c>
      <c r="N1259" t="inlineStr">
        <is>
          <t>Article</t>
        </is>
      </c>
      <c r="T1259" t="inlineStr">
        <is>
          <t>A STUDY ON THE EFFECTS OF SEVERE HAZE ENVIRONMENT ON THE PHYSICAL HEALTH OF OUTDOOR BASKETBALL PLAYERS</t>
        </is>
      </c>
      <c r="U1259" t="inlineStr">
        <is>
          <t>Air pollution; severe haze; outdoor basketball; athletes' physical health</t>
        </is>
      </c>
      <c r="V1259" t="inlineStr">
        <is>
          <t>AIR-POLLUTION; PM2.5; CHILDREN; CITIES</t>
        </is>
      </c>
      <c r="W1259" t="inlineStr">
        <is>
          <t>Haze pollution has become an increasingly serious problem in recent years, presenting characteristics such as high frequency of occurrence, heavy pollution, wide distribution, and difficulty in management, which poses a serious threat to public health, social stability, economic development, and ecological environment, and has serious implications for the physical health effects of outdoor basketball players. Materialism and detoxification strategies were used to explore which psychological strategies individuals use to cope with air pollution-triggered insecurity and confirmed that: materialism was positively associated with air pollution, but insecurity did not mediate between air pollution and materialism, while nostalgia was significantly positively associated with air pollution, and inducing nostalgia through experimental means did reduce air pollution-triggered insecurity. Subjective norms have a significant effect on public perception of haze risk, and government departments can create a good atmosphere for haze coping and management by playing the propaganda and guidance functions of communities and work units; perceptual behavior control has a significant effect on public perception of haze risk, and government departments can establish a real-time information sharing mechanism to smooth the two-way risk communication channels between the government and the public, and help the public build confidence and scientifically cope with haze. For outdoor basketball players in areas with Class II air quality, there is a significant negative effect of air quality deterioration on their working hours, but similar findings do not hold for Class I areas and Class III areas and above. In addition, a moderating effect test revealed that increasing income compensation such as reasonable wages can be a way to improve the negative impact of air quality deterioration on outdoor basketball players' working hours.</t>
        </is>
      </c>
      <c r="X1259" t="inlineStr">
        <is>
          <t>[Han, Genghao] Henan Polytech Inst, Nanyang 473000, Hunan, Peoples R China; [Chen, Sheng] Southwest Univ, Coll Phys Educ, Chongqing 400715, Peoples R China; [Reynoso, Lino C.] Emilio Aguinaldo Coll, Grad Sch, Manila 1007, Philippines</t>
        </is>
      </c>
      <c r="Y1259" t="inlineStr">
        <is>
          <t>Southwest University - China</t>
        </is>
      </c>
      <c r="Z1259" t="inlineStr">
        <is>
          <t>Chen, S (corresponding author), Southwest Univ, Coll Phys Educ, Chongqing 400715, Peoples R China.</t>
        </is>
      </c>
      <c r="AA1259" t="inlineStr">
        <is>
          <t>hangh3923@sina.com</t>
        </is>
      </c>
      <c r="AH1259" t="n">
        <v>18</v>
      </c>
      <c r="AI1259" t="n">
        <v>0</v>
      </c>
      <c r="AJ1259" t="n">
        <v>0</v>
      </c>
      <c r="AK1259" t="n">
        <v>0</v>
      </c>
      <c r="AL1259" t="n">
        <v>7</v>
      </c>
      <c r="AM1259" t="inlineStr">
        <is>
          <t>PARLAR SCIENTIFIC PUBLICATIONS (P S P)</t>
        </is>
      </c>
      <c r="AN1259" t="inlineStr">
        <is>
          <t>FREISING</t>
        </is>
      </c>
      <c r="AO1259" t="inlineStr">
        <is>
          <t>ANGERSTR. 12, 85354 FREISING, GERMANY</t>
        </is>
      </c>
      <c r="AP1259" t="inlineStr">
        <is>
          <t>1018-4619</t>
        </is>
      </c>
      <c r="AQ1259" t="inlineStr">
        <is>
          <t>1610-2304</t>
        </is>
      </c>
      <c r="AS1259" t="inlineStr">
        <is>
          <t>FRESEN ENVIRON BULL</t>
        </is>
      </c>
      <c r="AT1259" t="inlineStr">
        <is>
          <t>Fresenius Environ. Bull.</t>
        </is>
      </c>
      <c r="AV1259" t="n">
        <v>2022</v>
      </c>
      <c r="AW1259" t="n">
        <v>31</v>
      </c>
      <c r="AX1259" t="inlineStr">
        <is>
          <t>3A</t>
        </is>
      </c>
      <c r="BC1259" t="n">
        <v>3515</v>
      </c>
      <c r="BD1259" t="n">
        <v>3524</v>
      </c>
      <c r="BJ1259" t="n">
        <v>10</v>
      </c>
      <c r="BK1259" t="inlineStr">
        <is>
          <t>Environmental Sciences</t>
        </is>
      </c>
      <c r="BL1259" t="inlineStr">
        <is>
          <t>Science Citation Index Expanded (SCI-EXPANDED); Social Science Citation Index (SSCI)</t>
        </is>
      </c>
      <c r="BM1259" t="inlineStr">
        <is>
          <t>Environmental Sciences &amp; Ecology</t>
        </is>
      </c>
      <c r="BN1259" t="inlineStr">
        <is>
          <t>0L7CI</t>
        </is>
      </c>
      <c r="BS1259" t="inlineStr">
        <is>
          <t>2023-10-26</t>
        </is>
      </c>
      <c r="BT1259" t="inlineStr">
        <is>
          <t>WOS:000781628000052</t>
        </is>
      </c>
      <c r="BU1259">
        <f>HYPERLINK("https%3A%2F%2Fwww.webofscience.com%2Fwos%2Fwoscc%2Ffull-record%2FWOS:000781628000052","View Full Record in Web of Science")</f>
        <v/>
      </c>
    </row>
    <row r="1260">
      <c r="A1260" t="inlineStr">
        <is>
          <t>J</t>
        </is>
      </c>
      <c r="B1260" t="inlineStr">
        <is>
          <t>Smalls, BL; Ritchwood, TD; Bishu, KG; Egede, LE</t>
        </is>
      </c>
      <c r="F1260" t="inlineStr">
        <is>
          <t>Smalls, Brittany L.; Ritchwood, Tiarney D.; Bishu, Kinfe G.; Egede, Leonard E.</t>
        </is>
      </c>
      <c r="J1260" t="inlineStr">
        <is>
          <t>INTERNATIONAL JOURNAL OF ENVIRONMENTAL RESEARCH AND PUBLIC HEALTH</t>
        </is>
      </c>
      <c r="M1260" t="inlineStr">
        <is>
          <t>English</t>
        </is>
      </c>
      <c r="N1260" t="inlineStr">
        <is>
          <t>Review</t>
        </is>
      </c>
      <c r="T1260" t="inlineStr">
        <is>
          <t>Racial/Ethnic Differences in Glycemic Control in Older Adults with Type 2 Diabetes: United States 2003-2014</t>
        </is>
      </c>
      <c r="U1260" t="inlineStr">
        <is>
          <t>older adults; diabetes; race/ethnicity; glycemic control; NHANES</t>
        </is>
      </c>
      <c r="V1260" t="inlineStr">
        <is>
          <t>RACIAL-DIFFERENCES; SOCIAL SUPPORT; MEDICATION ADHERENCE; ETHNIC DISPARITIES; BLOOD-GLUCOSE; RISK-FACTORS; HEALTH; EDUCATION; OUTCOMES; IMPACT</t>
        </is>
      </c>
      <c r="W1260" t="inlineStr">
        <is>
          <t>The aim of this study was to determine whether racial differences in HbA1c persist in older adults (&gt;= 65 years) living with type 2 diabetes. Data from The National Health and Nutrition Examination Survey (NHANES) 2003-2014 were used to examine the association between HbA1c and older adults (&gt;= 65 years) over time. Compared to non-Hispanic Whites, Mexican Americans had the greatest difference in average HbA1c among minority groups, followed by those with unspecified/mixed ethnicities and non-Hispanic Blacks. In the adjusted linear model, racial minorities had a statistically significant relationship with HbA1c. There was no relationship between HbA1c and older age and insulin use. Trends in mean HbA1c over time increased for non-Hispanic Blacks and Mexican Americans and decreased for non-Hispanic Whites. The findings suggest that racial differences in HbA1c persist into older age and compared to non-Hispanic Whites, non-Hispanic Blacks and Mexican Americans are at an increased risk of morbidity, mortality, and disability due to high HbA1c. Furthermore, alternate measures of glycemic control may be needed to screen and manage T2DM in racial minorities.</t>
        </is>
      </c>
      <c r="X1260" t="inlineStr">
        <is>
          <t>[Smalls, Brittany L.] Univ Kentucky, Coll Med, Dept Family &amp; Community Med, 2195 Harrodsburg Rd,Suite 125, Lexington, KY 40505 USA; [Ritchwood, Tiarney D.] Duke Univ, Sch Med, Dept Family Med &amp; Community Hlth, 2200 West Main St,Suite 600, Durham, NC 27705 USA; [Bishu, Kinfe G.] Med Univ South Carolina, Coll Med, 135 Rutledge Ave, Charleston, SC 29425 USA; [Egede, Leonard E.] Med Coll Wisconsin, Ctr Adv Populat Sci, 9200 W Wisconsin Ave, Milwaukee, WI 53226 USA</t>
        </is>
      </c>
      <c r="Y1260" t="inlineStr">
        <is>
          <t>University of Kentucky; Duke University; Medical University of South Carolina; Medical College of Wisconsin</t>
        </is>
      </c>
      <c r="Z1260" t="inlineStr">
        <is>
          <t>Smalls, BL (corresponding author), Univ Kentucky, Coll Med, Dept Family &amp; Community Med, 2195 Harrodsburg Rd,Suite 125, Lexington, KY 40505 USA.</t>
        </is>
      </c>
      <c r="AA1260" t="inlineStr">
        <is>
          <t>brittany.smalls@uky.edu; tiarney.ritchwood@duke.edu; bishu@musc.edu; legede@mcw.edu</t>
        </is>
      </c>
      <c r="AB1260" t="inlineStr">
        <is>
          <t>Smalls, Brittany/AFL-2924-2022</t>
        </is>
      </c>
      <c r="AC1260" t="inlineStr">
        <is>
          <t>Smalls, Brittany/0000-0003-3727-346X; Bishu, Kinfe/0000-0001-6901-2235; Ritchwood, Tiarney/0000-0002-1612-7319</t>
        </is>
      </c>
      <c r="AD1260" t="inlineStr">
        <is>
          <t>National Institute on Minority Health and Health Disparities [5R01MD013826]; National Institute of Diabetes and Digestive and Kidney Disease [5K24DK093699, 5R01DK118038, 1R01DK120861, 5K01DK116923]; Department of Family and Community Medicine within the University of Kentucky College of Medicine</t>
        </is>
      </c>
      <c r="AE1260" t="inlineStr">
        <is>
          <t>National Institute on Minority Health and Health Disparities(United States Department of Health &amp; Human ServicesNational Institutes of Health (NIH) - USANIH National Institute on Minority Health &amp; Health Disparities (NIMHD)); National Institute of Diabetes and Digestive and Kidney Disease(United States Department of Health &amp; Human ServicesNational Institutes of Health (NIH) - USANIH National Institute of Diabetes &amp; Digestive &amp; Kidney Diseases (NIDDK)); Department of Family and Community Medicine within the University of Kentucky College of Medicine</t>
        </is>
      </c>
      <c r="AF1260" t="inlineStr">
        <is>
          <t>This research was funded in part by the National Institute on Minority Health and Health Disparities (5R01MD013826, PI: Egede) and the National Institute of Diabetes and Digestive and Kidney Disease (5K24DK093699, PI: Egede; 5R01DK118038, PI: Egede; 1R01DK120861, PI: Egede; 5K01DK116923; PI: Smalls). The APC was funded by the Department of Family and Community Medicine within the University of Kentucky College of Medicine.</t>
        </is>
      </c>
      <c r="AH1260" t="n">
        <v>44</v>
      </c>
      <c r="AI1260" t="n">
        <v>22</v>
      </c>
      <c r="AJ1260" t="n">
        <v>22</v>
      </c>
      <c r="AK1260" t="n">
        <v>0</v>
      </c>
      <c r="AL1260" t="n">
        <v>5</v>
      </c>
      <c r="AM1260" t="inlineStr">
        <is>
          <t>MDPI</t>
        </is>
      </c>
      <c r="AN1260" t="inlineStr">
        <is>
          <t>BASEL</t>
        </is>
      </c>
      <c r="AO1260" t="inlineStr">
        <is>
          <t>ST ALBAN-ANLAGE 66, CH-4052 BASEL, SWITZERLAND</t>
        </is>
      </c>
      <c r="AQ1260" t="inlineStr">
        <is>
          <t>1660-4601</t>
        </is>
      </c>
      <c r="AS1260" t="inlineStr">
        <is>
          <t>INT J ENV RES PUB HE</t>
        </is>
      </c>
      <c r="AT1260" t="inlineStr">
        <is>
          <t>Int. J. Environ. Res. Public Health</t>
        </is>
      </c>
      <c r="AU1260" t="inlineStr">
        <is>
          <t>FEB 1</t>
        </is>
      </c>
      <c r="AV1260" t="n">
        <v>2020</v>
      </c>
      <c r="AW1260" t="n">
        <v>17</v>
      </c>
      <c r="AX1260" t="n">
        <v>3</v>
      </c>
      <c r="BE1260" t="n">
        <v>950</v>
      </c>
      <c r="BF1260" t="inlineStr">
        <is>
          <t>10.3390/ijerph17030950</t>
        </is>
      </c>
      <c r="BG1260">
        <f>HYPERLINK("http://dx.doi.org/10.3390/ijerph17030950","http://dx.doi.org/10.3390/ijerph17030950")</f>
        <v/>
      </c>
      <c r="BJ1260" t="n">
        <v>10</v>
      </c>
      <c r="BK1260" t="inlineStr">
        <is>
          <t>Environmental Sciences; Public, Environmental &amp; Occupational Health</t>
        </is>
      </c>
      <c r="BL1260" t="inlineStr">
        <is>
          <t>Science Citation Index Expanded (SCI-EXPANDED); Social Science Citation Index (SSCI)</t>
        </is>
      </c>
      <c r="BM1260" t="inlineStr">
        <is>
          <t>Environmental Sciences &amp; Ecology; Public, Environmental &amp; Occupational Health</t>
        </is>
      </c>
      <c r="BN1260" t="inlineStr">
        <is>
          <t>KR7GF</t>
        </is>
      </c>
      <c r="BO1260" t="n">
        <v>32033032</v>
      </c>
      <c r="BP1260" t="inlineStr">
        <is>
          <t>gold, Green Published</t>
        </is>
      </c>
      <c r="BS1260" t="inlineStr">
        <is>
          <t>2023-10-26</t>
        </is>
      </c>
      <c r="BT1260" t="inlineStr">
        <is>
          <t>WOS:000517783300275</t>
        </is>
      </c>
      <c r="BU1260">
        <f>HYPERLINK("https%3A%2F%2Fwww.webofscience.com%2Fwos%2Fwoscc%2Ffull-record%2FWOS:000517783300275","View Full Record in Web of Science")</f>
        <v/>
      </c>
    </row>
    <row r="1261">
      <c r="A1261" t="inlineStr">
        <is>
          <t>J</t>
        </is>
      </c>
      <c r="B1261" t="inlineStr">
        <is>
          <t>van Stijn, A; Eberhardt, LCM; Jansen, BW; Meijer, A</t>
        </is>
      </c>
      <c r="F1261" t="inlineStr">
        <is>
          <t>van Stijn, A.; Eberhardt, L. C. M.; Jansen, B. Wouterszoon; Meijer, A.</t>
        </is>
      </c>
      <c r="J1261" t="inlineStr">
        <is>
          <t>JOURNAL OF CLEANER PRODUCTION</t>
        </is>
      </c>
      <c r="M1261" t="inlineStr">
        <is>
          <t>English</t>
        </is>
      </c>
      <c r="N1261" t="inlineStr">
        <is>
          <t>Article</t>
        </is>
      </c>
      <c r="T1261" t="inlineStr">
        <is>
          <t>Environmental design guidelines for circular building components based on LCA and MFA: Lessons from the circular kitchen and renovation facade</t>
        </is>
      </c>
      <c r="U1261" t="inlineStr">
        <is>
          <t>Circular economy; (CE); Life cycle assessment; (LCA); Material flow analysis; (MFA); Design guidelines; Building components; Multi-cycle</t>
        </is>
      </c>
      <c r="V1261" t="inlineStr">
        <is>
          <t>BUILT ENVIRONMENT; ECONOMY; INDUSTRY; END</t>
        </is>
      </c>
      <c r="W1261" t="inlineStr">
        <is>
          <t>The transition towards a Circular Economy (CE) in the built environment is vital to reduce environmental impacts, resource consumption and waste generation. The built environment can be made circular by replacing building components with more circular ones. There are many circular design options for building components and knowledge about which options perform better - from an environmental perspective - is limited. Existing guidelines focussed on single components, single circular design options, applied different assessment methods and provide conflicting guidelines. Therefore, in this article, we develop environmental design guidelines by comparing multiple circular design options for two building components: a kitchen (short service life) and renovation facade (medium service life). First, we synthesize design variants based on distinct circular pathways, such as renewable-, non-virgin material use, and modularity for reuse. Second, we compare their environmental performance to a 'business-as-usual' variant through Material Flow Analysis (MFA) and a multi-cycle Life Cycle Assessment (LCA) including extensive sensitivity analysis on circular parameters. Analysing the 78 LCAs and MFAs, we derive 8 lessons learned on the environmental design of circular building components. We compare our findings to existing guidelines, including those for circular building structures (long service life). Amongst other lessons, we found components with a short service life benefit more from prioritizing circular design options to slow and close future cycles, whilst components with a longer service life benefit more from reducing resources and slowing loops on site. However, applying circular design options does not always result in a better environmental performance. Tipping-points were identified based on the number of use cycles, lifespans and the assessment methods applied.</t>
        </is>
      </c>
      <c r="X1261" t="inlineStr">
        <is>
          <t>[van Stijn, A.; Jansen, B. Wouterszoon] Delft Univ Technol, Fac Architecture &amp; Built Environm, Dept Management Built Environm, Delft, Netherlands; [van Stijn, A.; Jansen, B. Wouterszoon] Amsterdam Inst Adv Metropolitan Solut AMS, Amsterdam, Netherlands; [Eberhardt, L. C. M.] Aalborg Univ, Dept Built Environm BUILD, Sect Sustainabil Bldg, Copenhagen, Denmark; [Meijer, A.] Delft Univ Technol, Fac Architecture &amp; Built Environm, Dept Architectural Engn &amp; Technol, Delft, Netherlands</t>
        </is>
      </c>
      <c r="Y1261" t="inlineStr">
        <is>
          <t>Delft University of Technology; Aalborg University; Delft University of Technology</t>
        </is>
      </c>
      <c r="Z1261" t="inlineStr">
        <is>
          <t>van Stijn, A (corresponding author), Delft Univ Technol, Fac Architecture &amp; Built Environm, Dept Management Built Environm, Delft, Netherlands.</t>
        </is>
      </c>
      <c r="AA1261" t="inlineStr">
        <is>
          <t>a.vanstijn@tudelft.nl</t>
        </is>
      </c>
      <c r="AC1261" t="inlineStr">
        <is>
          <t>Charlotte Malabi Eberhardt, Leonora/0000-0002-8974-4537; Meijer, Arjen/0000-0001-7332-0169</t>
        </is>
      </c>
      <c r="AD1261" t="inlineStr">
        <is>
          <t>Delft University of Technology; Amsterdam Institute for Advanced Metropolitan Solutions; EIT Climate-KIC; REHAB project</t>
        </is>
      </c>
      <c r="AE1261" t="inlineStr">
        <is>
          <t>Delft University of Technology; Amsterdam Institute for Advanced Metropolitan Solutions; EIT Climate-KIC; REHAB project</t>
        </is>
      </c>
      <c r="AF1261" t="inlineStr">
        <is>
          <t>This research has been carried out in collaboration with researchers from Aalborg University and Delft University of Technology. The research was part of the research projects REHAB (carried out by the Delft University of Technology) and Circular Kitchen (CIK) (carried out by Delft University of Technology and Chalmers University of Technology). As such, this research has received funding from the Delft University of Technology, Amsterdam Institute for Advanced Metropolitan Solutions, EIT Climate-KIC and the REHAB project partners.</t>
        </is>
      </c>
      <c r="AH1261" t="n">
        <v>40</v>
      </c>
      <c r="AI1261" t="n">
        <v>13</v>
      </c>
      <c r="AJ1261" t="n">
        <v>13</v>
      </c>
      <c r="AK1261" t="n">
        <v>9</v>
      </c>
      <c r="AL1261" t="n">
        <v>18</v>
      </c>
      <c r="AM1261" t="inlineStr">
        <is>
          <t>ELSEVIER SCI LTD</t>
        </is>
      </c>
      <c r="AN1261" t="inlineStr">
        <is>
          <t>OXFORD</t>
        </is>
      </c>
      <c r="AO1261" t="inlineStr">
        <is>
          <t>THE BOULEVARD, LANGFORD LANE, KIDLINGTON, OXFORD OX5 1GB, OXON, ENGLAND</t>
        </is>
      </c>
      <c r="AP1261" t="inlineStr">
        <is>
          <t>0959-6526</t>
        </is>
      </c>
      <c r="AQ1261" t="inlineStr">
        <is>
          <t>1879-1786</t>
        </is>
      </c>
      <c r="AS1261" t="inlineStr">
        <is>
          <t>J CLEAN PROD</t>
        </is>
      </c>
      <c r="AT1261" t="inlineStr">
        <is>
          <t>J. Clean Prod.</t>
        </is>
      </c>
      <c r="AU1261" t="inlineStr">
        <is>
          <t>JUL 10</t>
        </is>
      </c>
      <c r="AV1261" t="n">
        <v>2022</v>
      </c>
      <c r="AW1261" t="n">
        <v>357</v>
      </c>
      <c r="BE1261" t="n">
        <v>131375</v>
      </c>
      <c r="BF1261" t="inlineStr">
        <is>
          <t>10.1016/j.jclepro.2022.131375</t>
        </is>
      </c>
      <c r="BG1261">
        <f>HYPERLINK("http://dx.doi.org/10.1016/j.jclepro.2022.131375","http://dx.doi.org/10.1016/j.jclepro.2022.131375")</f>
        <v/>
      </c>
      <c r="BI1261" t="inlineStr">
        <is>
          <t>MAY 2022</t>
        </is>
      </c>
      <c r="BJ1261" t="n">
        <v>58</v>
      </c>
      <c r="BK1261" t="inlineStr">
        <is>
          <t>Green &amp; Sustainable Science &amp; Technology; Engineering, Environmental; Environmental Sciences</t>
        </is>
      </c>
      <c r="BL1261" t="inlineStr">
        <is>
          <t>Science Citation Index Expanded (SCI-EXPANDED)</t>
        </is>
      </c>
      <c r="BM1261" t="inlineStr">
        <is>
          <t>Science &amp; Technology - Other Topics; Engineering; Environmental Sciences &amp; Ecology</t>
        </is>
      </c>
      <c r="BN1261" t="inlineStr">
        <is>
          <t>1Q7GH</t>
        </is>
      </c>
      <c r="BP1261" t="inlineStr">
        <is>
          <t>Green Published, hybrid</t>
        </is>
      </c>
      <c r="BS1261" t="inlineStr">
        <is>
          <t>2023-10-26</t>
        </is>
      </c>
      <c r="BT1261" t="inlineStr">
        <is>
          <t>WOS:000802851100001</t>
        </is>
      </c>
      <c r="BU1261">
        <f>HYPERLINK("https%3A%2F%2Fwww.webofscience.com%2Fwos%2Fwoscc%2Ffull-record%2FWOS:000802851100001","View Full Record in Web of Science")</f>
        <v/>
      </c>
    </row>
    <row r="1262">
      <c r="A1262" t="inlineStr">
        <is>
          <t>J</t>
        </is>
      </c>
      <c r="B1262" t="inlineStr">
        <is>
          <t>Fazli, T; Dong, XY; Fu, JS; Stephens, B</t>
        </is>
      </c>
      <c r="F1262" t="inlineStr">
        <is>
          <t>Fazli, Torkan; Dong, Xinyi; Fu, Joshua S.; Stephens, Brent</t>
        </is>
      </c>
      <c r="J1262" t="inlineStr">
        <is>
          <t>ENVIRONMENTAL SCIENCE &amp; TECHNOLOGY</t>
        </is>
      </c>
      <c r="M1262" t="inlineStr">
        <is>
          <t>English</t>
        </is>
      </c>
      <c r="N1262" t="inlineStr">
        <is>
          <t>Article</t>
        </is>
      </c>
      <c r="T1262" t="inlineStr">
        <is>
          <t>Predicting US Residential Building Energy Use and Indoor Pollutant Exposures in the Mid-21st Century</t>
        </is>
      </c>
      <c r="V1262" t="inlineStr">
        <is>
          <t>AIR CHANGE RATES; CLIMATE-CHANGE; INFILTRATION FACTOR; PARTICULATE MATTER; CHANGING CLIMATE; OPENING WINDOWS; FUTURE CLIMATE; CO2 EMISSIONS; IMPACT; HEALTH</t>
        </is>
      </c>
      <c r="W1262" t="inlineStr">
        <is>
          <t>The extent to which climate change and other factors will influence building energy use and population exposures to indoor pollutants is not well understood. Here, we develop and apply nationally representative residential energy and indoor pollutant model sets to estimate energy use, indoor pollutant concentrations, and associated chronic health outcomes across the U.S. residential building stock in the mid-21st century. The models incorporate expected changes in meteorological and ambient air quality conditions associated with IPCC RCP 8.5 and assumptions for changes in housing characteristics and population movements while keeping other less predictable factors constant. Site and source energy consumption for residential space-conditioning are predicted to decrease by similar to 37-43 and similar to 20-31%, respectively, in the 2050s compared to those in a 2010s reference scenario. Population-average indoor concentrations of pollutants of ambient origin are expected to decrease, except for O-3. Holding indoor emission factors constant, indoor concentrations of pollutants with intermittent indoor sources are expected to decrease by &lt;5% (PM2.5) to &gt;30% (NO2); indoor concentrations of pollutants with persistent indoor sources (e.g., volatile organic compounds (VOCs)) are predicted to increase by similar to 15-45%. We estimate negligible changes in disability-adjusted life-years (DALYs) lost associated with residential indoor pollutant exposures, well within uncertainty, although the attribution among pollutants is predicted to vary.</t>
        </is>
      </c>
      <c r="X1262" t="inlineStr">
        <is>
          <t>[Fazli, Torkan; Stephens, Brent] IIT, Dept Civil Architectural &amp; Environm Engn, Chicago, IL 60616 USA; [Dong, Xinyi; Fu, Joshua S.] Univ Tennessee, Dept Civil &amp; Environm Engn, Knoxville, TN 37996 USA; [Fu, Joshua S.] Oak Ridge Natl Lab, Computat Sci &amp; Engn Div, Computat Earth Sci Grp, Oak Ridge, TN 37831 USA</t>
        </is>
      </c>
      <c r="Y1262" t="inlineStr">
        <is>
          <t>Illinois Institute of Technology; University of Tennessee System; University of Tennessee Knoxville; United States Department of Energy (DOE); Oak Ridge National Laboratory</t>
        </is>
      </c>
      <c r="Z1262" t="inlineStr">
        <is>
          <t>Stephens, B (corresponding author), IIT, Dept Civil Architectural &amp; Environm Engn, Chicago, IL 60616 USA.</t>
        </is>
      </c>
      <c r="AA1262" t="inlineStr">
        <is>
          <t>brent@iit.edu</t>
        </is>
      </c>
      <c r="AB1262" t="inlineStr">
        <is>
          <t>Fu, Joshua S/F-9303-2011; dong, xinyi/T-4784-2019</t>
        </is>
      </c>
      <c r="AC1262" t="inlineStr">
        <is>
          <t>dong, xinyi/0000-0003-3488-1451; Fu, Joshua/0000-0001-5464-9225</t>
        </is>
      </c>
      <c r="AD1262" t="inlineStr">
        <is>
          <t>U.S. Environmental Protection Agency [83575001]</t>
        </is>
      </c>
      <c r="AE1262" t="inlineStr">
        <is>
          <t>U.S. Environmental Protection Agency(United States Environmental Protection Agency)</t>
        </is>
      </c>
      <c r="AF1262" t="inlineStr">
        <is>
          <t>This work was supported by the U.S. Environmental Protection Agency under Assistance Agreement no. 83575001 awarded to the Illinois Institute of Technology. It has not been formally reviewed by EPA.</t>
        </is>
      </c>
      <c r="AH1262" t="n">
        <v>72</v>
      </c>
      <c r="AI1262" t="n">
        <v>4</v>
      </c>
      <c r="AJ1262" t="n">
        <v>4</v>
      </c>
      <c r="AK1262" t="n">
        <v>4</v>
      </c>
      <c r="AL1262" t="n">
        <v>38</v>
      </c>
      <c r="AM1262" t="inlineStr">
        <is>
          <t>AMER CHEMICAL SOC</t>
        </is>
      </c>
      <c r="AN1262" t="inlineStr">
        <is>
          <t>WASHINGTON</t>
        </is>
      </c>
      <c r="AO1262" t="inlineStr">
        <is>
          <t>1155 16TH ST, NW, WASHINGTON, DC 20036 USA</t>
        </is>
      </c>
      <c r="AP1262" t="inlineStr">
        <is>
          <t>0013-936X</t>
        </is>
      </c>
      <c r="AQ1262" t="inlineStr">
        <is>
          <t>1520-5851</t>
        </is>
      </c>
      <c r="AS1262" t="inlineStr">
        <is>
          <t>ENVIRON SCI TECHNOL</t>
        </is>
      </c>
      <c r="AT1262" t="inlineStr">
        <is>
          <t>Environ. Sci. Technol.</t>
        </is>
      </c>
      <c r="AU1262" t="inlineStr">
        <is>
          <t>MAR 2</t>
        </is>
      </c>
      <c r="AV1262" t="n">
        <v>2021</v>
      </c>
      <c r="AW1262" t="n">
        <v>55</v>
      </c>
      <c r="AX1262" t="n">
        <v>5</v>
      </c>
      <c r="BC1262" t="n">
        <v>3219</v>
      </c>
      <c r="BD1262" t="n">
        <v>3228</v>
      </c>
      <c r="BF1262" t="inlineStr">
        <is>
          <t>10.1021/acs.est.0c06308</t>
        </is>
      </c>
      <c r="BG1262">
        <f>HYPERLINK("http://dx.doi.org/10.1021/acs.est.0c06308","http://dx.doi.org/10.1021/acs.est.0c06308")</f>
        <v/>
      </c>
      <c r="BI1262" t="inlineStr">
        <is>
          <t>FEB 2021</t>
        </is>
      </c>
      <c r="BJ1262" t="n">
        <v>10</v>
      </c>
      <c r="BK1262" t="inlineStr">
        <is>
          <t>Engineering, Environmental; Environmental Sciences</t>
        </is>
      </c>
      <c r="BL1262" t="inlineStr">
        <is>
          <t>Science Citation Index Expanded (SCI-EXPANDED)</t>
        </is>
      </c>
      <c r="BM1262" t="inlineStr">
        <is>
          <t>Engineering; Environmental Sciences &amp; Ecology</t>
        </is>
      </c>
      <c r="BN1262" t="inlineStr">
        <is>
          <t>QT0GE</t>
        </is>
      </c>
      <c r="BO1262" t="n">
        <v>33591182</v>
      </c>
      <c r="BS1262" t="inlineStr">
        <is>
          <t>2023-10-26</t>
        </is>
      </c>
      <c r="BT1262" t="inlineStr">
        <is>
          <t>WOS:000626270400052</t>
        </is>
      </c>
      <c r="BU1262">
        <f>HYPERLINK("https%3A%2F%2Fwww.webofscience.com%2Fwos%2Fwoscc%2Ffull-record%2FWOS:000626270400052","View Full Record in Web of Science")</f>
        <v/>
      </c>
    </row>
    <row r="1263">
      <c r="A1263" t="inlineStr">
        <is>
          <t>J</t>
        </is>
      </c>
      <c r="B1263" t="inlineStr">
        <is>
          <t>Arar, M; Jung, C</t>
        </is>
      </c>
      <c r="F1263" t="inlineStr">
        <is>
          <t>Arar, Mohammad; Jung, Chuloh</t>
        </is>
      </c>
      <c r="J1263" t="inlineStr">
        <is>
          <t>SUSTAINABILITY</t>
        </is>
      </c>
      <c r="M1263" t="inlineStr">
        <is>
          <t>English</t>
        </is>
      </c>
      <c r="N1263" t="inlineStr">
        <is>
          <t>Article</t>
        </is>
      </c>
      <c r="T1263" t="inlineStr">
        <is>
          <t>Analyzing the Perception of Indoor Air Quality (IAQ) from a Survey of New Townhouse Residents in Dubai</t>
        </is>
      </c>
      <c r="U1263" t="inlineStr">
        <is>
          <t>IAQ (Indoor Air Quality); SBS (Sick Building Syndrome); SBS symptom perception; influential factors; United Arab Emirates</t>
        </is>
      </c>
      <c r="V1263" t="inlineStr">
        <is>
          <t>SICK BUILDING SYNDROME; GREEN OFFICE BUILDINGS; ENVIRONMENT QUALITY; CONSTRUCTION SECTOR; SYNDROME SBS; VENTILATION; ENERGY; SUSTAINABILITY; PERFORMANCE; CONSUMPTION</t>
        </is>
      </c>
      <c r="W1263" t="inlineStr">
        <is>
          <t>According to UAE Health Ministry and Dubai Healthcare City reports, 15% of Dubai residents have a chronic respiratory disease such as asthma. Moreover, 90% of the 150,000 patients at Al Ain Hospital suffered from upper respiratory tract respiratory diseases, bronchitis, or asthma. Sick Building Syndrome (SBS) has emerged as a social problem in the United Arab Emirates (UAE). The Dubai Municipality regulates Indoor Air Quality (IAQ) with strict stipulations before moving in, but they are relatively passive about regulations related to healthy living. This paper aims to explore the actual state of perception of the IAQ from townhouse residents in Dubai, UAE. The characteristics of the resident's perceptions of the IAQ are identified, and the influential factors affecting residents' perceptions of IAQ are extracted. As a methodology, the survey was conducted on four townhouse projects in Dubai from December 2021 to January 2022. A total of 114 copies were distributed, and 98 documents were used. Analysis of the survey data was processed using IBM SPSS Statistics 26.0. The results showed a statistically significant correlation between the cognitive and anxiety levels of SBS with the presence or absence of experience. It was statistically confirmed that the most influential factors were the age of the children and the occupancy time of housewives and children. This is because of the perception that wives who spend a relatively long time in the house and their young children are exposed to indoor air pollution for a long period of time and are easily affected by this influence on the concerns about young children about SBS. Ninety-five percent of the respondents answered that they knew more than average about SBS, indicating a very high level of awareness. As for the degree of anxiety, 87.0% of the respondents felt higher levels of anxiety than usual. However, most of them did not know or were indifferent to the understanding of the air quality improvement methods. The awareness of actual contents was lower than that of residents who assessed that they knew about SBS.</t>
        </is>
      </c>
      <c r="X1263" t="inlineStr">
        <is>
          <t>[Arar, Mohammad; Jung, Chuloh] Ajman Univ, Coll Architecture Art &amp; Design, Dept Architecture, Hlth &amp; Sustainable Built Environm Res Ctr, POB 346, Ajman, U Arab Emirates</t>
        </is>
      </c>
      <c r="Y1263" t="inlineStr">
        <is>
          <t>Ajman University</t>
        </is>
      </c>
      <c r="Z1263" t="inlineStr">
        <is>
          <t>Jung, C (corresponding author), Ajman Univ, Coll Architecture Art &amp; Design, Dept Architecture, Hlth &amp; Sustainable Built Environm Res Ctr, POB 346, Ajman, U Arab Emirates.</t>
        </is>
      </c>
      <c r="AA1263" t="inlineStr">
        <is>
          <t>c.jung@ajman.ac.ae</t>
        </is>
      </c>
      <c r="AC1263" t="inlineStr">
        <is>
          <t>Jung, Chuloh/0000-0002-0898-8450</t>
        </is>
      </c>
      <c r="AD1263" t="inlineStr">
        <is>
          <t>Ajman University</t>
        </is>
      </c>
      <c r="AE1263" t="inlineStr">
        <is>
          <t>Ajman University</t>
        </is>
      </c>
      <c r="AF1263" t="inlineStr">
        <is>
          <t>The authors would like to express their gratitude to Ajman University for APC support and the Healthy &amp; Sustainable Built Environment Research Center at Ajman University for providing an excellent research environment.</t>
        </is>
      </c>
      <c r="AH1263" t="n">
        <v>72</v>
      </c>
      <c r="AI1263" t="n">
        <v>1</v>
      </c>
      <c r="AJ1263" t="n">
        <v>1</v>
      </c>
      <c r="AK1263" t="n">
        <v>4</v>
      </c>
      <c r="AL1263" t="n">
        <v>18</v>
      </c>
      <c r="AM1263" t="inlineStr">
        <is>
          <t>MDPI</t>
        </is>
      </c>
      <c r="AN1263" t="inlineStr">
        <is>
          <t>BASEL</t>
        </is>
      </c>
      <c r="AO1263" t="inlineStr">
        <is>
          <t>ST ALBAN-ANLAGE 66, CH-4052 BASEL, SWITZERLAND</t>
        </is>
      </c>
      <c r="AQ1263" t="inlineStr">
        <is>
          <t>2071-1050</t>
        </is>
      </c>
      <c r="AS1263" t="inlineStr">
        <is>
          <t>SUSTAINABILITY-BASEL</t>
        </is>
      </c>
      <c r="AT1263" t="inlineStr">
        <is>
          <t>Sustainability</t>
        </is>
      </c>
      <c r="AU1263" t="inlineStr">
        <is>
          <t>NOV</t>
        </is>
      </c>
      <c r="AV1263" t="n">
        <v>2022</v>
      </c>
      <c r="AW1263" t="n">
        <v>14</v>
      </c>
      <c r="AX1263" t="n">
        <v>22</v>
      </c>
      <c r="BE1263" t="n">
        <v>15042</v>
      </c>
      <c r="BF1263" t="inlineStr">
        <is>
          <t>10.3390/su142215042</t>
        </is>
      </c>
      <c r="BG1263">
        <f>HYPERLINK("http://dx.doi.org/10.3390/su142215042","http://dx.doi.org/10.3390/su142215042")</f>
        <v/>
      </c>
      <c r="BJ1263" t="n">
        <v>18</v>
      </c>
      <c r="BK1263" t="inlineStr">
        <is>
          <t>Green &amp; Sustainable Science &amp; Technology; Environmental Sciences; Environmental Studies</t>
        </is>
      </c>
      <c r="BL1263" t="inlineStr">
        <is>
          <t>Science Citation Index Expanded (SCI-EXPANDED); Social Science Citation Index (SSCI)</t>
        </is>
      </c>
      <c r="BM1263" t="inlineStr">
        <is>
          <t>Science &amp; Technology - Other Topics; Environmental Sciences &amp; Ecology</t>
        </is>
      </c>
      <c r="BN1263" t="inlineStr">
        <is>
          <t>6K5NC</t>
        </is>
      </c>
      <c r="BP1263" t="inlineStr">
        <is>
          <t>gold</t>
        </is>
      </c>
      <c r="BS1263" t="inlineStr">
        <is>
          <t>2023-10-26</t>
        </is>
      </c>
      <c r="BT1263" t="inlineStr">
        <is>
          <t>WOS:000887547600001</t>
        </is>
      </c>
      <c r="BU1263">
        <f>HYPERLINK("https%3A%2F%2Fwww.webofscience.com%2Fwos%2Fwoscc%2Ffull-record%2FWOS:000887547600001","View Full Record in Web of Science")</f>
        <v/>
      </c>
    </row>
    <row r="1264">
      <c r="A1264" t="inlineStr">
        <is>
          <t>J</t>
        </is>
      </c>
      <c r="B1264" t="inlineStr">
        <is>
          <t>Manyeredzi, T; Makaka, G</t>
        </is>
      </c>
      <c r="F1264" t="inlineStr">
        <is>
          <t>Manyeredzi, Terrence; Makaka, Golden</t>
        </is>
      </c>
      <c r="J1264" t="inlineStr">
        <is>
          <t>SUSTAINABILITY</t>
        </is>
      </c>
      <c r="M1264" t="inlineStr">
        <is>
          <t>English</t>
        </is>
      </c>
      <c r="N1264" t="inlineStr">
        <is>
          <t>Article</t>
        </is>
      </c>
      <c r="T1264" t="inlineStr">
        <is>
          <t>An Assessment of the Wind Power Generation Potential of Built Environment Wind Turbine (BEWT) Systems in Fort Beaufort, South Africa</t>
        </is>
      </c>
      <c r="U1264" t="inlineStr">
        <is>
          <t>distributed system; power density; renewable energy; sustainability; utility scale; wind resource</t>
        </is>
      </c>
      <c r="V1264" t="inlineStr">
        <is>
          <t>STATISTICAL-ANALYSIS; SPEED</t>
        </is>
      </c>
      <c r="W1264" t="inlineStr">
        <is>
          <t>The physical and economic sustainability of using built environment wind turbine (BEWT) systems depends on the wind resource potential of the candidate site. Therefore, it is crucial to carry out a wind resource assessment prior to the deployment of the BEWT. The assessment results can be used as a referral tool for predicting the performance and lifespan of the BEWT in the given built environment. To date, there is limited research output on BEWTs in South Africa, with available literature showing a bias towards utility-scale or conventional ground-based wind energy systems. This study aimed to assess the wind power generation potential of BEWT systems in Fort Beaufort using the Weibull distribution function. The results show that Fort Beaufort wind patterns can be classified as fairly good and that BEWTs can best be deployed at 15 m for a fairer power output as roof height wind speeds require BEWTs of very low cut-in speeds of at most 1.2 ms(-1).</t>
        </is>
      </c>
      <c r="X1264" t="inlineStr">
        <is>
          <t>[Manyeredzi, Terrence; Makaka, Golden] Univ Ft Hare, Phys Dept, ZA-5700 Alice, South Africa</t>
        </is>
      </c>
      <c r="Y1264" t="inlineStr">
        <is>
          <t>University of Fort Hare</t>
        </is>
      </c>
      <c r="Z1264" t="inlineStr">
        <is>
          <t>Manyeredzi, T (corresponding author), Univ Ft Hare, Phys Dept, ZA-5700 Alice, South Africa.</t>
        </is>
      </c>
      <c r="AA1264" t="inlineStr">
        <is>
          <t>tmanyeredzi@gmail.com; gmakaka@ufh.ac.za</t>
        </is>
      </c>
      <c r="AC1264" t="inlineStr">
        <is>
          <t>manyeredzi, terrence/0000-0001-5545-7735; Makaka, Golden/0000-0002-9479-1389; Makaka, Golden/0000-0002-9989-3325</t>
        </is>
      </c>
      <c r="AD1264" t="inlineStr">
        <is>
          <t>Govani Mbeki Research and Development Centre</t>
        </is>
      </c>
      <c r="AE1264" t="inlineStr">
        <is>
          <t>Govani Mbeki Research and Development Centre</t>
        </is>
      </c>
      <c r="AF1264" t="inlineStr">
        <is>
          <t>The authors are grateful to the South African Weather Services for freely providing the data that was used in this study and the Govani Mbeki Research and Development Centre for financial support.</t>
        </is>
      </c>
      <c r="AH1264" t="n">
        <v>17</v>
      </c>
      <c r="AI1264" t="n">
        <v>2</v>
      </c>
      <c r="AJ1264" t="n">
        <v>2</v>
      </c>
      <c r="AK1264" t="n">
        <v>0</v>
      </c>
      <c r="AL1264" t="n">
        <v>4</v>
      </c>
      <c r="AM1264" t="inlineStr">
        <is>
          <t>MDPI</t>
        </is>
      </c>
      <c r="AN1264" t="inlineStr">
        <is>
          <t>BASEL</t>
        </is>
      </c>
      <c r="AO1264" t="inlineStr">
        <is>
          <t>ST ALBAN-ANLAGE 66, CH-4052 BASEL, SWITZERLAND</t>
        </is>
      </c>
      <c r="AQ1264" t="inlineStr">
        <is>
          <t>2071-1050</t>
        </is>
      </c>
      <c r="AS1264" t="inlineStr">
        <is>
          <t>SUSTAINABILITY-BASEL</t>
        </is>
      </c>
      <c r="AT1264" t="inlineStr">
        <is>
          <t>Sustainability</t>
        </is>
      </c>
      <c r="AU1264" t="inlineStr">
        <is>
          <t>MAY</t>
        </is>
      </c>
      <c r="AV1264" t="n">
        <v>2018</v>
      </c>
      <c r="AW1264" t="n">
        <v>10</v>
      </c>
      <c r="AX1264" t="n">
        <v>5</v>
      </c>
      <c r="BE1264" t="n">
        <v>1346</v>
      </c>
      <c r="BF1264" t="inlineStr">
        <is>
          <t>10.3390/su10051346</t>
        </is>
      </c>
      <c r="BG1264">
        <f>HYPERLINK("http://dx.doi.org/10.3390/su10051346","http://dx.doi.org/10.3390/su10051346")</f>
        <v/>
      </c>
      <c r="BJ1264" t="n">
        <v>9</v>
      </c>
      <c r="BK1264" t="inlineStr">
        <is>
          <t>Green &amp; Sustainable Science &amp; Technology; Environmental Sciences; Environmental Studies</t>
        </is>
      </c>
      <c r="BL1264" t="inlineStr">
        <is>
          <t>Science Citation Index Expanded (SCI-EXPANDED); Social Science Citation Index (SSCI)</t>
        </is>
      </c>
      <c r="BM1264" t="inlineStr">
        <is>
          <t>Science &amp; Technology - Other Topics; Environmental Sciences &amp; Ecology</t>
        </is>
      </c>
      <c r="BN1264" t="inlineStr">
        <is>
          <t>GJ7RP</t>
        </is>
      </c>
      <c r="BP1264" t="inlineStr">
        <is>
          <t>Green Submitted, Green Published, gold</t>
        </is>
      </c>
      <c r="BS1264" t="inlineStr">
        <is>
          <t>2023-10-26</t>
        </is>
      </c>
      <c r="BT1264" t="inlineStr">
        <is>
          <t>WOS:000435587100042</t>
        </is>
      </c>
      <c r="BU1264">
        <f>HYPERLINK("https%3A%2F%2Fwww.webofscience.com%2Fwos%2Fwoscc%2Ffull-record%2FWOS:000435587100042","View Full Record in Web of Science")</f>
        <v/>
      </c>
    </row>
    <row r="1265">
      <c r="A1265" t="inlineStr">
        <is>
          <t>J</t>
        </is>
      </c>
      <c r="B1265" t="inlineStr">
        <is>
          <t>Liu, XJ; Yin, X; Tan, AR; He, MK; Jiang, DD; Hou, YT; Lu, YA; Mao, ZF</t>
        </is>
      </c>
      <c r="F1265" t="inlineStr">
        <is>
          <t>Liu, Xiaojun; Yin, Xiao; Tan, Anran; He, Meikun; Jiang, Dongdong; Hou, Yitan; Lu, Yuanan; Mao, Zongfu</t>
        </is>
      </c>
      <c r="J1265" t="inlineStr">
        <is>
          <t>INTERNATIONAL JOURNAL OF ENVIRONMENTAL RESEARCH AND PUBLIC HEALTH</t>
        </is>
      </c>
      <c r="M1265" t="inlineStr">
        <is>
          <t>English</t>
        </is>
      </c>
      <c r="N1265" t="inlineStr">
        <is>
          <t>Article</t>
        </is>
      </c>
      <c r="T1265" t="inlineStr">
        <is>
          <t>Correlates of Mild Cognitive Impairment of Community-Dwelling Older Adults in Wuhan, China</t>
        </is>
      </c>
      <c r="U1265" t="inlineStr">
        <is>
          <t>mild cognitive impairment (MCI); older adults; vulnerable populations</t>
        </is>
      </c>
      <c r="V1265" t="inlineStr">
        <is>
          <t>INFORMANT INTERVIEW; PREVALENCE; DEMENTIA; DECLINE; PEOPLE; AD8</t>
        </is>
      </c>
      <c r="W1265" t="inlineStr">
        <is>
          <t>Mild cognitive impairment (MCI) is an early stage of Alzheimer's disease or other forms of dementia that occurs mainly in older adults. The MCI phase could be considered as an observational period for the secondary prevention of dementia. This study aims to assess potential differences in the risk of MCI among different elderly groups in Wuhan, China, and to further identify the most vulnerable populations using logistic regression models. A total of 622 older adults participated in this study, and the prevalence of MCI was 34.1%. We found that individuals aged 80-84 (odds ratio, OR = 1.908, 95% confidence interval, 95% CI 1.026 to 3.549) or above (OR = 2.529, 95% CI 1.249 to 5.122), and those with two chronic diseases (OR = 1.982, 95% CI 1.153 to 3.407) or more (OR = 2.466, 95% CI 1.419 to 4.286) were more likely to be diagnosed with MCI. Those with high school degrees (OR = 0.451, 95% CI 0.230 to 0.883) or above (OR = 0.318, 95% CI 0.129 to 0.783) and those with a family per-capita monthly income of 3001-4500 yuan (OR = 0.320, 95% CI 0.137 to 0.750) or above (OR = 0.335, 95% CI 0.135 to 0.830) were less likely to experience MCI. The results also showed that those aged 80 or above were more likely to present with cognitive decline and/or reduced activities of daily living (ADL) function, with the odds ratios being 1.874 and 3.782, respectively. Individuals with two, or three or more chronic diseases were more likely to experience cognitive decline and/or reduced ADL function, with odds ratios of 2.423 and 2.631, respectively. Increased risk of suffering from either MCI and/or decline in ADL functioning is strongly positively associated with older age, lower educational levels, poorer family economic status, and multiple chronic diseases. Our findings highlight that the local, regional, and even national specific MCI-related health promotion measures and interventions must target these vulnerable populations.</t>
        </is>
      </c>
      <c r="X1265" t="inlineStr">
        <is>
          <t>[Liu, Xiaojun; Yin, Xiao; Tan, Anran; He, Meikun; Jiang, Dongdong; Hou, Yitan; Mao, Zongfu] Wuhan Univ, Sch Hlth Sci, 115 Donghu Rd, Wuhan 430071, Hubei, Peoples R China; [Liu, Xiaojun; Lu, Yuanan; Mao, Zongfu] Wuhan Univ, Global Hlth Inst, 8 South Donghu Rd, Wuhan 430072, Hubei, Peoples R China; [Yin, Xiao] Huazhong Univ Sci &amp; Technol, Coll Publ Adm, 1037 Luoyu Rd, Wuhan 430074, Hubei, Peoples R China; [Lu, Yuanan] Univ Hawaii Manoa, Dept Publ Hlth Sci, 1960 East West Rd, Honolulu, HI 96822 USA</t>
        </is>
      </c>
      <c r="Y1265" t="inlineStr">
        <is>
          <t>Wuhan University; Wuhan University; Huazhong University of Science &amp; Technology; University of Hawaii System; University of Hawaii Manoa</t>
        </is>
      </c>
      <c r="Z1265" t="inlineStr">
        <is>
          <t>Yin, X; Mao, ZF (corresponding author), Wuhan Univ, Sch Hlth Sci, 115 Donghu Rd, Wuhan 430071, Hubei, Peoples R China.;Mao, ZF (corresponding author), Wuhan Univ, Global Hlth Inst, 8 South Donghu Rd, Wuhan 430072, Hubei, Peoples R China.</t>
        </is>
      </c>
      <c r="AA1265" t="inlineStr">
        <is>
          <t>xiaojunliu@whu.edu.cn; yinxiaowhu@whu.edu.cn; chloetar@whu.edu.cn; 2017203050026@whu.edu.cn; 2017203050046@whu.edu.cn; houyitan@whu.edu.cn; yuanan@hawaii.edu; zfmao@whu.edu.cn</t>
        </is>
      </c>
      <c r="AB1265" t="inlineStr">
        <is>
          <t>li, xiao/HKV-8405-2023; liu, huan/JEO-4705-2023</t>
        </is>
      </c>
      <c r="AC1265" t="inlineStr">
        <is>
          <t>Lu, Yuanan/0000-0002-6854-6945</t>
        </is>
      </c>
      <c r="AD1265" t="inlineStr">
        <is>
          <t>Wuhan University Double First-Class (World's First-Class University &amp; World's First-Class Disciplines) development; Wuhan University postgraduate research project [20120141110052]</t>
        </is>
      </c>
      <c r="AE1265" t="inlineStr">
        <is>
          <t>Wuhan University Double First-Class (World's First-Class University &amp; World's First-Class Disciplines) development; Wuhan University postgraduate research project</t>
        </is>
      </c>
      <c r="AF1265" t="inlineStr">
        <is>
          <t>This research was funded by Wuhan University Double First-Class (World's First-Class University &amp; World's First-Class Disciplines) development (Special fund #C), and Wuhan University postgraduate research project (grant number 20120141110052). No support was received from industry. All researchers acted independently of the funding bodies. The funders had no role in the design of the study; in the collection, analyses, or interpretation of data; in the writing of the manuscript, or in the decision to publish the results.</t>
        </is>
      </c>
      <c r="AH1265" t="n">
        <v>36</v>
      </c>
      <c r="AI1265" t="n">
        <v>6</v>
      </c>
      <c r="AJ1265" t="n">
        <v>8</v>
      </c>
      <c r="AK1265" t="n">
        <v>0</v>
      </c>
      <c r="AL1265" t="n">
        <v>12</v>
      </c>
      <c r="AM1265" t="inlineStr">
        <is>
          <t>MDPI</t>
        </is>
      </c>
      <c r="AN1265" t="inlineStr">
        <is>
          <t>BASEL</t>
        </is>
      </c>
      <c r="AO1265" t="inlineStr">
        <is>
          <t>ST ALBAN-ANLAGE 66, CH-4052 BASEL, SWITZERLAND</t>
        </is>
      </c>
      <c r="AQ1265" t="inlineStr">
        <is>
          <t>1660-4601</t>
        </is>
      </c>
      <c r="AS1265" t="inlineStr">
        <is>
          <t>INT J ENV RES PUB HE</t>
        </is>
      </c>
      <c r="AT1265" t="inlineStr">
        <is>
          <t>Int. J. Environ. Res. Public Health</t>
        </is>
      </c>
      <c r="AU1265" t="inlineStr">
        <is>
          <t>DEC</t>
        </is>
      </c>
      <c r="AV1265" t="n">
        <v>2018</v>
      </c>
      <c r="AW1265" t="n">
        <v>15</v>
      </c>
      <c r="AX1265" t="n">
        <v>12</v>
      </c>
      <c r="BE1265" t="n">
        <v>2705</v>
      </c>
      <c r="BF1265" t="inlineStr">
        <is>
          <t>10.3390/ijerph15122705</t>
        </is>
      </c>
      <c r="BG1265">
        <f>HYPERLINK("http://dx.doi.org/10.3390/ijerph15122705","http://dx.doi.org/10.3390/ijerph15122705")</f>
        <v/>
      </c>
      <c r="BJ1265" t="n">
        <v>13</v>
      </c>
      <c r="BK1265" t="inlineStr">
        <is>
          <t>Environmental Sciences; Public, Environmental &amp; Occupational Health</t>
        </is>
      </c>
      <c r="BL1265" t="inlineStr">
        <is>
          <t>Science Citation Index Expanded (SCI-EXPANDED); Social Science Citation Index (SSCI)</t>
        </is>
      </c>
      <c r="BM1265" t="inlineStr">
        <is>
          <t>Environmental Sciences &amp; Ecology; Public, Environmental &amp; Occupational Health</t>
        </is>
      </c>
      <c r="BN1265" t="inlineStr">
        <is>
          <t>HI5XH</t>
        </is>
      </c>
      <c r="BO1265" t="n">
        <v>30513638</v>
      </c>
      <c r="BP1265" t="inlineStr">
        <is>
          <t>gold, Green Submitted, Green Published</t>
        </is>
      </c>
      <c r="BS1265" t="inlineStr">
        <is>
          <t>2023-10-26</t>
        </is>
      </c>
      <c r="BT1265" t="inlineStr">
        <is>
          <t>WOS:000456527000096</t>
        </is>
      </c>
      <c r="BU1265">
        <f>HYPERLINK("https%3A%2F%2Fwww.webofscience.com%2Fwos%2Fwoscc%2Ffull-record%2FWOS:000456527000096","View Full Record in Web of Science")</f>
        <v/>
      </c>
    </row>
    <row r="1266">
      <c r="A1266" t="inlineStr">
        <is>
          <t>J</t>
        </is>
      </c>
      <c r="B1266" t="inlineStr">
        <is>
          <t>Qiu, RM; Wen, B; Qiu, Y</t>
        </is>
      </c>
      <c r="F1266" t="inlineStr">
        <is>
          <t>Qiu, Rumei; Wen, Bin; Qiu, Yang</t>
        </is>
      </c>
      <c r="J1266" t="inlineStr">
        <is>
          <t>SUSTAINABILITY</t>
        </is>
      </c>
      <c r="M1266" t="inlineStr">
        <is>
          <t>English</t>
        </is>
      </c>
      <c r="N1266" t="inlineStr">
        <is>
          <t>Article</t>
        </is>
      </c>
      <c r="T1266" t="inlineStr">
        <is>
          <t>The Coupling and Coordination Relationship between Leisure Tourism and Ecological Environment: The Case of Ili Region in Xinjiang Province</t>
        </is>
      </c>
      <c r="U1266" t="inlineStr">
        <is>
          <t>leisure tourism; ecological environment; coupling and coordination; Ili region</t>
        </is>
      </c>
      <c r="V1266" t="inlineStr">
        <is>
          <t>CLIMATE-CHANGE</t>
        </is>
      </c>
      <c r="W1266" t="inlineStr">
        <is>
          <t>There is no doubt that a coupling relationship between leisure tourism and the ecological environment exists, but how to realize their coordinated development on that basis is much less clear. In this paper, taking Xinjiang's Ili region as the research object, we first established a leisure tourism and ecological environment evaluation index system using the mean-variance method to assign its weighting and then built a coupling coordination model. In this way, the coupling and coordination relationship between leisure tourism and the ecological environment of the Ili region over a recent 20-year period (2001-2020) was analyzed in depth. Our results show that the economic benefit of leisure tourism and the efficiency of ecological environment protection contribute most, respectively, to the leisure tourism and ecological environment subsystems. During the study period, the coupling and coordination of leisure tourism and ecological environment system in the Ili area could be divided into five types, namely, serious disorder-system balanced development, moderate disorder-leisure tourism lags, near disorder-leisure tourism lags, barely coordination-leisure tourism lags', and primary coordination-system balanced development. The comprehensive development level of leisure tourism has exceeded that of the ecological environment, and prominent ecological and environmental problems have gradually arisen. Therefore, when vigorously developing leisure tourism, we should pay more attention to the ecological environment's problems so as to realize the sustainable, coordinated development of the two.</t>
        </is>
      </c>
      <c r="X1266" t="inlineStr">
        <is>
          <t>[Qiu, Rumei] Huaibei Normal Univ, Fac Phys Educ, Huaibei 235000, Peoples R China; [Qiu, Rumei] Silpakorn Univ, Fac Educ, Bangkok 10200, Thailand; [Wen, Bin] Huaibei Normal Univ, Fac Hist Culture &amp; Tourism, Huaibei 235000, Peoples R China; [Qiu, Yang] Chinese Acad Sci, Northwest Inst Ecoenvironm &amp; Resources, Lanzhou 730030, Peoples R China</t>
        </is>
      </c>
      <c r="Y1266" t="inlineStr">
        <is>
          <t>Huaibei Normal University; Silpakorn University; Huaibei Normal University; Chinese Academy of Sciences</t>
        </is>
      </c>
      <c r="Z1266" t="inlineStr">
        <is>
          <t>Wen, B (corresponding author), Huaibei Normal Univ, Fac Hist Culture &amp; Tourism, Huaibei 235000, Peoples R China.</t>
        </is>
      </c>
      <c r="AA1266" t="inlineStr">
        <is>
          <t>17789636850@177.com; yellowriverwenbin@163.com; qiuyang@lzb.ac.cn</t>
        </is>
      </c>
      <c r="AH1266" t="n">
        <v>45</v>
      </c>
      <c r="AI1266" t="n">
        <v>0</v>
      </c>
      <c r="AJ1266" t="n">
        <v>0</v>
      </c>
      <c r="AK1266" t="n">
        <v>4</v>
      </c>
      <c r="AL1266" t="n">
        <v>4</v>
      </c>
      <c r="AM1266" t="inlineStr">
        <is>
          <t>MDPI</t>
        </is>
      </c>
      <c r="AN1266" t="inlineStr">
        <is>
          <t>BASEL</t>
        </is>
      </c>
      <c r="AO1266" t="inlineStr">
        <is>
          <t>ST ALBAN-ANLAGE 66, CH-4052 BASEL, SWITZERLAND</t>
        </is>
      </c>
      <c r="AQ1266" t="inlineStr">
        <is>
          <t>2071-1050</t>
        </is>
      </c>
      <c r="AS1266" t="inlineStr">
        <is>
          <t>SUSTAINABILITY-BASEL</t>
        </is>
      </c>
      <c r="AT1266" t="inlineStr">
        <is>
          <t>Sustainability</t>
        </is>
      </c>
      <c r="AU1266" t="inlineStr">
        <is>
          <t>AUG</t>
        </is>
      </c>
      <c r="AV1266" t="n">
        <v>2023</v>
      </c>
      <c r="AW1266" t="n">
        <v>15</v>
      </c>
      <c r="AX1266" t="n">
        <v>16</v>
      </c>
      <c r="BE1266" t="n">
        <v>12533</v>
      </c>
      <c r="BF1266" t="inlineStr">
        <is>
          <t>10.3390/su151612533</t>
        </is>
      </c>
      <c r="BG1266">
        <f>HYPERLINK("http://dx.doi.org/10.3390/su151612533","http://dx.doi.org/10.3390/su151612533")</f>
        <v/>
      </c>
      <c r="BJ1266" t="n">
        <v>17</v>
      </c>
      <c r="BK1266" t="inlineStr">
        <is>
          <t>Green &amp; Sustainable Science &amp; Technology; Environmental Sciences; Environmental Studies</t>
        </is>
      </c>
      <c r="BL1266" t="inlineStr">
        <is>
          <t>Science Citation Index Expanded (SCI-EXPANDED); Social Science Citation Index (SSCI)</t>
        </is>
      </c>
      <c r="BM1266" t="inlineStr">
        <is>
          <t>Science &amp; Technology - Other Topics; Environmental Sciences &amp; Ecology</t>
        </is>
      </c>
      <c r="BN1266" t="inlineStr">
        <is>
          <t>Q4SX4</t>
        </is>
      </c>
      <c r="BP1266" t="inlineStr">
        <is>
          <t>gold</t>
        </is>
      </c>
      <c r="BS1266" t="inlineStr">
        <is>
          <t>2023-10-26</t>
        </is>
      </c>
      <c r="BT1266" t="inlineStr">
        <is>
          <t>WOS:001057445900001</t>
        </is>
      </c>
      <c r="BU1266">
        <f>HYPERLINK("https%3A%2F%2Fwww.webofscience.com%2Fwos%2Fwoscc%2Ffull-record%2FWOS:001057445900001","View Full Record in Web of Science")</f>
        <v/>
      </c>
    </row>
    <row r="1267">
      <c r="A1267" t="inlineStr">
        <is>
          <t>J</t>
        </is>
      </c>
      <c r="B1267" t="inlineStr">
        <is>
          <t>Li, ZS; Wen, QM; Zhang, RL</t>
        </is>
      </c>
      <c r="F1267" t="inlineStr">
        <is>
          <t>Li, Zhisheng; Wen, Qingmei; Zhang, Ruilin</t>
        </is>
      </c>
      <c r="J1267" t="inlineStr">
        <is>
          <t>SCIENCE OF THE TOTAL ENVIRONMENT</t>
        </is>
      </c>
      <c r="M1267" t="inlineStr">
        <is>
          <t>English</t>
        </is>
      </c>
      <c r="N1267" t="inlineStr">
        <is>
          <t>Review</t>
        </is>
      </c>
      <c r="T1267" t="inlineStr">
        <is>
          <t>Sources, health effects and control strategies of indoor fine particulate matter (PM2.5): A review</t>
        </is>
      </c>
      <c r="U1267" t="inlineStr">
        <is>
          <t>Source apportionment; Indoor origins; Outdoor infiltration; Epidemiological study; Toxicological study; PM2.5 mitigation</t>
        </is>
      </c>
      <c r="V1267" t="inlineStr">
        <is>
          <t>LONG-TERM EXPOSURE; POLYCYCLIC AROMATIC-HYDROCARBONS; AMBIENT AIR-POLLUTION; BUILDING SYNDROME SBS; EXTENDED FOLLOW-UP; TIME-SERIES; CARDIOVASCULAR-DISEASES; RESPIRATORY MORTALITY; CHEMICAL-COMPOSITION; HOSPITAL ADMISSIONS</t>
        </is>
      </c>
      <c r="W1267" t="inlineStr">
        <is>
          <t>Indoor air quality is directly influenced by indoor PM2.5. Short-term and long-term exposure of PM2.5 in the micro environment would severely detriment the health of both humans and animals. The researches both at home and abroad dating from 2000 were analyzed and summarized mainly in the following 3 sections: source apportionment, health effects and control methods. Health effects were illustrated in both epidemiology and toxicology. The epidemiology was explicated in morbidity and mortality, the toxicology was illuminated in inflammatory reaction, oxidative stress, genotoxicity, mutagenicity and carcinogenicity. Control methods were showed in two aspects (sources and means of transmission), of which each was resolved by corresponding control strategy. Abundant investigations indicated that comprehensive control strategies were needed for sources decrement and health burden mitigation of indoor PM2.5. Based on the increasingly wide research of indoor PM2.5, the concept of indoors was essentially expanded, and on the basis of the summary of all the aspects mentioned above, both the scope and depth of indoor PM2.5 research were found insufficiently. Meantime, the potential direction of development in indoor PM2.5 research were projected, in hope of contributing to further relevant study of engineers in ambient environment and building environment. (C) 2017 Elsevier B.V. All rights reserved.</t>
        </is>
      </c>
      <c r="X1267" t="inlineStr">
        <is>
          <t>[Li, Zhisheng; Wen, Qingmei] Guangdong Univ Technol, Sch Civil &amp; Transportat Engn, 100 Outer Ring Rd, Guangzhou, Guangdong, Peoples R China; [Zhang, Ruilin] Guangdong Univ Technol, Sch Electromech Engn, 100 Outer Ring Rd, Guangzhou, Guangdong, Peoples R China</t>
        </is>
      </c>
      <c r="Y1267" t="inlineStr">
        <is>
          <t>Guangdong University of Technology; Guangdong University of Technology</t>
        </is>
      </c>
      <c r="Z1267" t="inlineStr">
        <is>
          <t>Wen, QM (corresponding author), Guangdong Univ Technol, Sch Civil &amp; Transportat Engn, 100 Outer Ring Rd, Guangzhou, Guangdong, Peoples R China.</t>
        </is>
      </c>
      <c r="AA1267" t="inlineStr">
        <is>
          <t>qingmeiwen@126.com</t>
        </is>
      </c>
      <c r="AB1267" t="inlineStr">
        <is>
          <t>Zhisheng, Li/IWE-4172-2023</t>
        </is>
      </c>
      <c r="AC1267" t="inlineStr">
        <is>
          <t>Zhisheng, Li/0000-0001-7811-8285; Wen, Qingmei/0000-0001-7578-8435</t>
        </is>
      </c>
      <c r="AD1267" t="inlineStr">
        <is>
          <t>Guangdong Provincial Department of Science and Technology [S2011040003755]</t>
        </is>
      </c>
      <c r="AE1267" t="inlineStr">
        <is>
          <t>Guangdong Provincial Department of Science and Technology</t>
        </is>
      </c>
      <c r="AF1267" t="inlineStr">
        <is>
          <t>The authors acknowledge the provision of financial support of this review from The Study on Multi Sources Emission Modeling of Indoor Pollutants and Influence of Environment Parameters on It in Wet-Warm Region (S2011040003755) contributed by Guangdong Provincial Department of Science and Technology. The authors also wish to thank two unnamed reviewers for invaluable comments and advice on earlier drafts, which have been incorporated into this review.</t>
        </is>
      </c>
      <c r="AH1267" t="n">
        <v>128</v>
      </c>
      <c r="AI1267" t="n">
        <v>126</v>
      </c>
      <c r="AJ1267" t="n">
        <v>130</v>
      </c>
      <c r="AK1267" t="n">
        <v>7</v>
      </c>
      <c r="AL1267" t="n">
        <v>342</v>
      </c>
      <c r="AM1267" t="inlineStr">
        <is>
          <t>ELSEVIER</t>
        </is>
      </c>
      <c r="AN1267" t="inlineStr">
        <is>
          <t>AMSTERDAM</t>
        </is>
      </c>
      <c r="AO1267" t="inlineStr">
        <is>
          <t>RADARWEG 29, 1043 NX AMSTERDAM, NETHERLANDS</t>
        </is>
      </c>
      <c r="AP1267" t="inlineStr">
        <is>
          <t>0048-9697</t>
        </is>
      </c>
      <c r="AQ1267" t="inlineStr">
        <is>
          <t>1879-1026</t>
        </is>
      </c>
      <c r="AS1267" t="inlineStr">
        <is>
          <t>SCI TOTAL ENVIRON</t>
        </is>
      </c>
      <c r="AT1267" t="inlineStr">
        <is>
          <t>Sci. Total Environ.</t>
        </is>
      </c>
      <c r="AU1267" t="inlineStr">
        <is>
          <t>MAY 15</t>
        </is>
      </c>
      <c r="AV1267" t="n">
        <v>2017</v>
      </c>
      <c r="AW1267" t="n">
        <v>586</v>
      </c>
      <c r="BC1267" t="n">
        <v>610</v>
      </c>
      <c r="BD1267" t="n">
        <v>622</v>
      </c>
      <c r="BF1267" t="inlineStr">
        <is>
          <t>10.1016/j.scitotenv.2017.02.029</t>
        </is>
      </c>
      <c r="BG1267">
        <f>HYPERLINK("http://dx.doi.org/10.1016/j.scitotenv.2017.02.029","http://dx.doi.org/10.1016/j.scitotenv.2017.02.029")</f>
        <v/>
      </c>
      <c r="BJ1267" t="n">
        <v>13</v>
      </c>
      <c r="BK1267" t="inlineStr">
        <is>
          <t>Environmental Sciences</t>
        </is>
      </c>
      <c r="BL1267" t="inlineStr">
        <is>
          <t>Science Citation Index Expanded (SCI-EXPANDED); Social Science Citation Index (SSCI)</t>
        </is>
      </c>
      <c r="BM1267" t="inlineStr">
        <is>
          <t>Environmental Sciences &amp; Ecology</t>
        </is>
      </c>
      <c r="BN1267" t="inlineStr">
        <is>
          <t>ER4HD</t>
        </is>
      </c>
      <c r="BO1267" t="n">
        <v>28216030</v>
      </c>
      <c r="BS1267" t="inlineStr">
        <is>
          <t>2023-10-26</t>
        </is>
      </c>
      <c r="BT1267" t="inlineStr">
        <is>
          <t>WOS:000398758800060</t>
        </is>
      </c>
      <c r="BU1267">
        <f>HYPERLINK("https%3A%2F%2Fwww.webofscience.com%2Fwos%2Fwoscc%2Ffull-record%2FWOS:000398758800060","View Full Record in Web of Science")</f>
        <v/>
      </c>
    </row>
    <row r="1268">
      <c r="A1268" t="inlineStr">
        <is>
          <t>J</t>
        </is>
      </c>
      <c r="B1268" t="inlineStr">
        <is>
          <t>Yu, ZJ; Le, AB; Doerr, A; Smith, TD</t>
        </is>
      </c>
      <c r="F1268" t="inlineStr">
        <is>
          <t>Yu, Zuojin; Le, Aurora B.; Doerr, Alexa; Smith, Todd D.</t>
        </is>
      </c>
      <c r="J1268" t="inlineStr">
        <is>
          <t>INTERNATIONAL JOURNAL OF ENVIRONMENTAL RESEARCH AND PUBLIC HEALTH</t>
        </is>
      </c>
      <c r="M1268" t="inlineStr">
        <is>
          <t>English</t>
        </is>
      </c>
      <c r="N1268" t="inlineStr">
        <is>
          <t>Article</t>
        </is>
      </c>
      <c r="T1268" t="inlineStr">
        <is>
          <t>Level of Concern, Spending, and External Support Related to COVID-19: A Comparison between Working and Non-Working Older Adults</t>
        </is>
      </c>
      <c r="U1268" t="inlineStr">
        <is>
          <t>COVID-19; lifestyle; work; older adults; support; spending</t>
        </is>
      </c>
      <c r="V1268" t="inlineStr">
        <is>
          <t>GENDER-DIFFERENCES; SOCIAL SUPPORT; MORTALITY; FAMILY</t>
        </is>
      </c>
      <c r="W1268" t="inlineStr">
        <is>
          <t>This study compared levels of concern, spending, and use of external support by working status among older adults in the U.S. during the COVID-19 pandemic. It assessed whether work influences these variables related to wellness. Data from 2489 older adults from the 2020 U.S. Health and Retirement Study were analyzed using multiple linear and logistic regression. Older adults who worked had lower concerns about the pandemic (beta = -0.28, p = 0.048), were less likely to increase their spending (OR = 0.74, p = 0.041), and were less likely to use external support (OR = 0.50, p &lt; 0.001). Use of external support increased with age (OR = 1.04, p &lt; 0.001) and increased spending (OR = 1.32, p = 0.019). Married older adults were less likely to increase spending (OR = 0.75, p = 0.007) and had lower concerns toward COVID-19 (beta = -0.28, p = 0.011). Higher levels of concern were reported among women (beta = 0.31, p = 0.005) and participants who had friends or family members diagnosed with COVID-19 (beta = 0.51, p &lt; 0.001). Women were more likely to use support (OR = 1.80, p &lt; 0.001). Work appears to bolster older adult wellness outcomes.</t>
        </is>
      </c>
      <c r="X1268" t="inlineStr">
        <is>
          <t>[Yu, Zuojin] Towson Univ, Dept Hlth Sci, Towson, MD 21252 USA; [Le, Aurora B.] Univ Michigan, Sch Publ Hlth, Dept Environm Hlth Sci, Ann Arbor, MI 48109 USA; [Doerr, Alexa] NASA Johnson Space Ctr, KBR Wyle Serv LLC, Houston, TX 77058 USA; [Smith, Todd D.] Indiana Univ Bloomington, Sch Publ Hlth, Dept Appl Hlth Sci, Bloomington, IN 47405 USA</t>
        </is>
      </c>
      <c r="Y1268" t="inlineStr">
        <is>
          <t>University System of Maryland; Towson University; University of Michigan System; University of Michigan; National Aeronautics &amp; Space Administration (NASA); NASA Johnson Space Center; Indiana University System; Indiana University Bloomington</t>
        </is>
      </c>
      <c r="Z1268" t="inlineStr">
        <is>
          <t>Yu, ZJ (corresponding author), Towson Univ, Dept Hlth Sci, Towson, MD 21252 USA.</t>
        </is>
      </c>
      <c r="AA1268" t="inlineStr">
        <is>
          <t>zyu@towson.edu</t>
        </is>
      </c>
      <c r="AB1268" t="inlineStr">
        <is>
          <t>Smith, Todd/AAI-1590-2021</t>
        </is>
      </c>
      <c r="AC1268" t="inlineStr">
        <is>
          <t>Smith, Todd/0000-0003-4306-3565; Le, Aurora/0000-0002-6866-6779</t>
        </is>
      </c>
      <c r="AH1268" t="n">
        <v>44</v>
      </c>
      <c r="AI1268" t="n">
        <v>1</v>
      </c>
      <c r="AJ1268" t="n">
        <v>1</v>
      </c>
      <c r="AK1268" t="n">
        <v>0</v>
      </c>
      <c r="AL1268" t="n">
        <v>1</v>
      </c>
      <c r="AM1268" t="inlineStr">
        <is>
          <t>MDPI</t>
        </is>
      </c>
      <c r="AN1268" t="inlineStr">
        <is>
          <t>BASEL</t>
        </is>
      </c>
      <c r="AO1268" t="inlineStr">
        <is>
          <t>ST ALBAN-ANLAGE 66, CH-4052 BASEL, SWITZERLAND</t>
        </is>
      </c>
      <c r="AQ1268" t="inlineStr">
        <is>
          <t>1660-4601</t>
        </is>
      </c>
      <c r="AS1268" t="inlineStr">
        <is>
          <t>INT J ENV RES PUB HE</t>
        </is>
      </c>
      <c r="AT1268" t="inlineStr">
        <is>
          <t>Int. J. Environ. Res. Public Health</t>
        </is>
      </c>
      <c r="AU1268" t="inlineStr">
        <is>
          <t>SEP</t>
        </is>
      </c>
      <c r="AV1268" t="n">
        <v>2022</v>
      </c>
      <c r="AW1268" t="n">
        <v>19</v>
      </c>
      <c r="AX1268" t="n">
        <v>18</v>
      </c>
      <c r="BE1268" t="n">
        <v>11375</v>
      </c>
      <c r="BF1268" t="inlineStr">
        <is>
          <t>10.3390/ijerph191811375</t>
        </is>
      </c>
      <c r="BG1268">
        <f>HYPERLINK("http://dx.doi.org/10.3390/ijerph191811375","http://dx.doi.org/10.3390/ijerph191811375")</f>
        <v/>
      </c>
      <c r="BJ1268" t="n">
        <v>10</v>
      </c>
      <c r="BK1268" t="inlineStr">
        <is>
          <t>Environmental Sciences; Public, Environmental &amp; Occupational Health</t>
        </is>
      </c>
      <c r="BL1268" t="inlineStr">
        <is>
          <t>Science Citation Index Expanded (SCI-EXPANDED); Social Science Citation Index (SSCI)</t>
        </is>
      </c>
      <c r="BM1268" t="inlineStr">
        <is>
          <t>Environmental Sciences &amp; Ecology; Public, Environmental &amp; Occupational Health</t>
        </is>
      </c>
      <c r="BN1268" t="inlineStr">
        <is>
          <t>4S6HV</t>
        </is>
      </c>
      <c r="BO1268" t="n">
        <v>36141641</v>
      </c>
      <c r="BP1268" t="inlineStr">
        <is>
          <t>Green Published, gold</t>
        </is>
      </c>
      <c r="BS1268" t="inlineStr">
        <is>
          <t>2023-10-26</t>
        </is>
      </c>
      <c r="BT1268" t="inlineStr">
        <is>
          <t>WOS:000857540600001</t>
        </is>
      </c>
      <c r="BU1268">
        <f>HYPERLINK("https%3A%2F%2Fwww.webofscience.com%2Fwos%2Fwoscc%2Ffull-record%2FWOS:000857540600001","View Full Record in Web of Science")</f>
        <v/>
      </c>
    </row>
    <row r="1269">
      <c r="A1269" t="inlineStr">
        <is>
          <t>J</t>
        </is>
      </c>
      <c r="B1269" t="inlineStr">
        <is>
          <t>Morrison, GC; Eftekhari, A; Lakey, PSJ; Shiraiwa, M; Cummings, BE; Waring, MS; Williams, B</t>
        </is>
      </c>
      <c r="F1269" t="inlineStr">
        <is>
          <t>Morrison, Glenn C.; Eftekhari, Azin; Lakey, Pascale S. J.; Shiraiwa, Manabu; Cummings, Bryan E.; Waring, Michael S.; Williams, Brent</t>
        </is>
      </c>
      <c r="J1269" t="inlineStr">
        <is>
          <t>ENVIRONMENTAL SCIENCE-PROCESSES &amp; IMPACTS</t>
        </is>
      </c>
      <c r="M1269" t="inlineStr">
        <is>
          <t>English</t>
        </is>
      </c>
      <c r="N1269" t="inlineStr">
        <is>
          <t>Article</t>
        </is>
      </c>
      <c r="T1269" t="inlineStr">
        <is>
          <t>Partitioning of reactive oxygen species from indoor surfaces to indoor aerosols</t>
        </is>
      </c>
      <c r="V1269" t="inlineStr">
        <is>
          <t>SECONDARY ORGANIC AEROSOL; OXIDATIVE STRESS; ALPHA-PINENE; HYDROGEN-PEROXIDE; GAS-PHASE; OZONE; CHEMISTRY; PENETRATION; EXPOSURE; SQUALENE</t>
        </is>
      </c>
      <c r="W1269" t="inlineStr">
        <is>
          <t>Reactive oxygen species (ROS) are among the species thought to be responsible for the adverse health effects of particulate matter (PM) inhalation. Field studies suggest that indoor sources of ROS contribute to measured ROS on PM in indoor air. We hypothesize that ozone reacts on indoor surfaces to form semi-volatile ROS, in particular organic peroxides (OPX), which partition to airborne particles. To test this hypothesis, we modeled ozone-induced formation of OPX, its decay and its partitioning to PM in a residential building and compared the results to field measurements. Simulations indicate that, while ROS of outdoor origin is the primary contributor to indoor ROS (in PM), a substantial fraction of ROS present in indoor PM is from ozone-surface chemistry. At an air change rate equal to 1/h, and an outdoor ozone mixing ratio of 35 ppb, 25% of the ROS concentration in air is due to indoor formation and partitioning of OPX to PM. For the same conditions, but with a modest indoor source of PM (1.5 mg h(-1)), 44% of indoor ROS on PM is of indoor origin. An indoor source of ozone, such as an electrostatic air cleaner, also increases OPX present in indoor PM. The results of the simulations support the hypothesis that ozone-induced formation of OPX on indoor surfaces, and subsequent partitioning to aerosols, is sufficient to explain field observations. Therefore, indoor sourced ROS could contribute meaningfully to total inhaled PM-ROS.</t>
        </is>
      </c>
      <c r="X1269" t="inlineStr">
        <is>
          <t>[Morrison, Glenn C.] Univ North Carolina Chapel Hill, Gillings Sch Global Publ Hlth, Environm Sci &amp; Engn, Chapel Hill, NC 27599 USA; [Eftekhari, Azin] Georgia Inst Technol, Dept Chem &amp; Biomol Engn, Atlanta, GA 30332 USA; [Lakey, Pascale S. J.; Shiraiwa, Manabu] Univ Calif Irvine, Dept Chem, Irvine, CA 92717 USA; [Cummings, Bryan E.; Waring, Michael S.] Drexel Univ, Dept Civil Architectural &amp; Environm Engn, Philadelphia, PA 19104 USA; [Williams, Brent] Washington Univ, Dept Energy Environm &amp; Chem Engn, St Louis, MO 63110 USA; [Williams, Brent] Washington Univ, Ctr Aerosol Sci &amp; Engn, St Louis, MO 63110 USA</t>
        </is>
      </c>
      <c r="Y1269" t="inlineStr">
        <is>
          <t>University of North Carolina; University of North Carolina Chapel Hill; University of North Carolina School of Medicine; University System of Georgia; Georgia Institute of Technology; University of California System; University of California Irvine; Drexel University; Washington University (WUSTL); Washington University (WUSTL)</t>
        </is>
      </c>
      <c r="Z1269" t="inlineStr">
        <is>
          <t>Morrison, GC (corresponding author), Univ North Carolina Chapel Hill, Gillings Sch Global Publ Hlth, Environm Sci &amp; Engn, Chapel Hill, NC 27599 USA.</t>
        </is>
      </c>
      <c r="AA1269" t="inlineStr">
        <is>
          <t>glenn.morrison@unc.edu</t>
        </is>
      </c>
      <c r="AB1269" t="inlineStr">
        <is>
          <t>Morrison, Glenn C/B-4261-2016; Shiraiwa, Manabu/A-6246-2010</t>
        </is>
      </c>
      <c r="AC1269" t="inlineStr">
        <is>
          <t>Morrison, Glenn C/0000-0001-6876-7185; Shiraiwa, Manabu/0000-0003-2532-5373; Lakey, Pascale/0000-0003-2923-4073; Eftekhari, Azin/0000-0003-0878-9969; Cummings, Bryan/0000-0002-1350-6380; Waring, Michael/0000-0002-1864-9268</t>
        </is>
      </c>
      <c r="AD1269" t="inlineStr">
        <is>
          <t>Alfred P. Sloan Foundation through the Modelling Consortium for Chemistry of Indoor Environments [G-2019-12306, G-2020-13912]</t>
        </is>
      </c>
      <c r="AE1269" t="inlineStr">
        <is>
          <t>Alfred P. Sloan Foundation through the Modelling Consortium for Chemistry of Indoor Environments(Alfred P. Sloan Foundation)</t>
        </is>
      </c>
      <c r="AF1269" t="inlineStr">
        <is>
          <t>All contributors, except B. Williams, were supported in this work by the Alfred P. Sloan Foundation through the Modelling Consortium for Chemistry of Indoor Environments (G-2019-12306, G-2020-13912).</t>
        </is>
      </c>
      <c r="AH1269" t="n">
        <v>91</v>
      </c>
      <c r="AI1269" t="n">
        <v>7</v>
      </c>
      <c r="AJ1269" t="n">
        <v>6</v>
      </c>
      <c r="AK1269" t="n">
        <v>7</v>
      </c>
      <c r="AL1269" t="n">
        <v>11</v>
      </c>
      <c r="AM1269" t="inlineStr">
        <is>
          <t>ROYAL SOC CHEMISTRY</t>
        </is>
      </c>
      <c r="AN1269" t="inlineStr">
        <is>
          <t>CAMBRIDGE</t>
        </is>
      </c>
      <c r="AO1269" t="inlineStr">
        <is>
          <t>THOMAS GRAHAM HOUSE, SCIENCE PARK, MILTON RD, CAMBRIDGE CB4 0WF, CAMBS, ENGLAND</t>
        </is>
      </c>
      <c r="AP1269" t="inlineStr">
        <is>
          <t>2050-7887</t>
        </is>
      </c>
      <c r="AQ1269" t="inlineStr">
        <is>
          <t>2050-7895</t>
        </is>
      </c>
      <c r="AS1269" t="inlineStr">
        <is>
          <t>ENVIRON SCI-PROC IMP</t>
        </is>
      </c>
      <c r="AT1269" t="inlineStr">
        <is>
          <t>Environ. Sci.-Process Impacts</t>
        </is>
      </c>
      <c r="AU1269" t="inlineStr">
        <is>
          <t>DEC 14</t>
        </is>
      </c>
      <c r="AV1269" t="n">
        <v>2022</v>
      </c>
      <c r="AW1269" t="n">
        <v>24</v>
      </c>
      <c r="AX1269" t="n">
        <v>12</v>
      </c>
      <c r="BC1269" t="n">
        <v>2310</v>
      </c>
      <c r="BD1269" t="n">
        <v>2323</v>
      </c>
      <c r="BF1269" t="inlineStr">
        <is>
          <t>10.1039/d2em00307d</t>
        </is>
      </c>
      <c r="BG1269">
        <f>HYPERLINK("http://dx.doi.org/10.1039/d2em00307d","http://dx.doi.org/10.1039/d2em00307d")</f>
        <v/>
      </c>
      <c r="BI1269" t="inlineStr">
        <is>
          <t>OCT 2022</t>
        </is>
      </c>
      <c r="BJ1269" t="n">
        <v>14</v>
      </c>
      <c r="BK1269" t="inlineStr">
        <is>
          <t>Chemistry, Analytical; Environmental Sciences</t>
        </is>
      </c>
      <c r="BL1269" t="inlineStr">
        <is>
          <t>Science Citation Index Expanded (SCI-EXPANDED)</t>
        </is>
      </c>
      <c r="BM1269" t="inlineStr">
        <is>
          <t>Chemistry; Environmental Sciences &amp; Ecology</t>
        </is>
      </c>
      <c r="BN1269" t="inlineStr">
        <is>
          <t>7A1OE</t>
        </is>
      </c>
      <c r="BO1269" t="n">
        <v>36314460</v>
      </c>
      <c r="BS1269" t="inlineStr">
        <is>
          <t>2023-10-26</t>
        </is>
      </c>
      <c r="BT1269" t="inlineStr">
        <is>
          <t>WOS:000876483100001</t>
        </is>
      </c>
      <c r="BU1269">
        <f>HYPERLINK("https%3A%2F%2Fwww.webofscience.com%2Fwos%2Fwoscc%2Ffull-record%2FWOS:000876483100001","View Full Record in Web of Science")</f>
        <v/>
      </c>
    </row>
    <row r="1270">
      <c r="A1270" t="inlineStr">
        <is>
          <t>J</t>
        </is>
      </c>
      <c r="B1270" t="inlineStr">
        <is>
          <t>Kim, JK; Son, WI; Sim, YJ; Lee, JS; Saud, KO</t>
        </is>
      </c>
      <c r="F1270" t="inlineStr">
        <is>
          <t>Kim, Jung Kyu; Son, Won Il; Sim, Ye Jung; Lee, Ju Sung; Saud, Kamala Oli</t>
        </is>
      </c>
      <c r="J1270" t="inlineStr">
        <is>
          <t>INTERNATIONAL JOURNAL OF ENVIRONMENTAL RESEARCH AND PUBLIC HEALTH</t>
        </is>
      </c>
      <c r="M1270" t="inlineStr">
        <is>
          <t>English</t>
        </is>
      </c>
      <c r="N1270" t="inlineStr">
        <is>
          <t>Article</t>
        </is>
      </c>
      <c r="T1270" t="inlineStr">
        <is>
          <t>The Study of Health-Related Fitness Normative Scores for Nepalese Older Adults</t>
        </is>
      </c>
      <c r="U1270" t="inlineStr">
        <is>
          <t>older adults; health-related fitness test; evaluation norms; awards norms; Nepal</t>
        </is>
      </c>
      <c r="V1270" t="inlineStr">
        <is>
          <t>ALL-CAUSE MORTALITY; PHYSICAL-FITNESS; CARDIORESPIRATORY FITNESS; REFERENCE VALUES; GRIP STRENGTH; CHAIR RISE; REACH TEST; POPULATION; VALIDATION; VALIDITY</t>
        </is>
      </c>
      <c r="W1270" t="inlineStr">
        <is>
          <t>Physical fitness tests are important to maintain and promote the health status of people. The purpose of this study was to develop health-related fitness evaluation norms according to the age and gender of Nepalese older adults. One thousand nine subjects (449 males, 560 females) above 60 years, residing in 19 wards (rural and urban) of Dhangadhi Sub-Metropolitan City participated in this study. The test included the PAR-Q (Physical Activity Readiness Questionnaire), social aspects questionnaire, blood pressure test, height, weight, BMI (body mass index), percent body fat, and four physical fitness components (grip strength, 1-minute sit-to-stand, sit and reach, and 2-minute step tests). Mean, SD, and fitness evaluation norms for each component were obtained after the main test and statistical analyses. This study showed higher BMI and percent body fat in female age groups than in male age groups. Grip strength, relative grip strength, sit-to-stand, and 2-minute steps scores were better in male age groups than in female age groups, but in contrast, flexibility was better in female age groups. This study may help the related sectors to assess physical fitness, identify fitness levels, and develop appropriate physical activities or exercise programs for older adults based on age.</t>
        </is>
      </c>
      <c r="X1270" t="inlineStr">
        <is>
          <t>[Kim, Jung Kyu; Sim, Ye Jung; Saud, Kamala Oli] Kangwon Natl Univ, Exercise Physiol Lab, Dept Leisure Sports, Coll Humanities Social Sci &amp; Design, 346 Jungang Ro, Samcheok Si 25913, Gangwon Do, South Korea; [Son, Won Il] Kangwon Natl Univ, Phys Educ Measurement &amp; Evaluat Lab, Dept Leisure Sports, Coll Humanities Social Sci &amp; Design Sports, 346 Jungang Ro, Samcheok Si 25913, Gangwon Do, South Korea; [Lee, Ju Sung] Kangwon Natl Univ, Dept Sports Sciece, 1 Kangwon Daehaggil, Chuncheoun Si 24341, Gangwon Do, South Korea</t>
        </is>
      </c>
      <c r="Y1270" t="inlineStr">
        <is>
          <t>Kangwon National University; Kangwon National University; Kangwon National University</t>
        </is>
      </c>
      <c r="Z1270" t="inlineStr">
        <is>
          <t>Saud, KO (corresponding author), Kangwon Natl Univ, Exercise Physiol Lab, Dept Leisure Sports, Coll Humanities Social Sci &amp; Design, 346 Jungang Ro, Samcheok Si 25913, Gangwon Do, South Korea.</t>
        </is>
      </c>
      <c r="AA1270" t="inlineStr">
        <is>
          <t>jkkim67@kangwon.ac.kr; son91@kangwon.ac.kr; syjim22@kangwon.ac.kr; jsleetime@kangwon.ac.kr; kamalaolisaud@gmail.com</t>
        </is>
      </c>
      <c r="AD1270" t="inlineStr">
        <is>
          <t>Dhangadhi Sub-Metropolitan City, Kailali, Nepal</t>
        </is>
      </c>
      <c r="AE1270" t="inlineStr">
        <is>
          <t>Dhangadhi Sub-Metropolitan City, Kailali, Nepal</t>
        </is>
      </c>
      <c r="AF1270" t="inlineStr">
        <is>
          <t>This research was funded by Dhangadhi Sub-Metropolitan City, Kailali, Nepal.</t>
        </is>
      </c>
      <c r="AH1270" t="n">
        <v>49</v>
      </c>
      <c r="AI1270" t="n">
        <v>3</v>
      </c>
      <c r="AJ1270" t="n">
        <v>3</v>
      </c>
      <c r="AK1270" t="n">
        <v>2</v>
      </c>
      <c r="AL1270" t="n">
        <v>7</v>
      </c>
      <c r="AM1270" t="inlineStr">
        <is>
          <t>MDPI</t>
        </is>
      </c>
      <c r="AN1270" t="inlineStr">
        <is>
          <t>BASEL</t>
        </is>
      </c>
      <c r="AO1270" t="inlineStr">
        <is>
          <t>ST ALBAN-ANLAGE 66, CH-4052 BASEL, SWITZERLAND</t>
        </is>
      </c>
      <c r="AQ1270" t="inlineStr">
        <is>
          <t>1660-4601</t>
        </is>
      </c>
      <c r="AS1270" t="inlineStr">
        <is>
          <t>INT J ENV RES PUB HE</t>
        </is>
      </c>
      <c r="AT1270" t="inlineStr">
        <is>
          <t>Int. J. Environ. Res. Public Health</t>
        </is>
      </c>
      <c r="AU1270" t="inlineStr">
        <is>
          <t>APR</t>
        </is>
      </c>
      <c r="AV1270" t="n">
        <v>2020</v>
      </c>
      <c r="AW1270" t="n">
        <v>17</v>
      </c>
      <c r="AX1270" t="n">
        <v>8</v>
      </c>
      <c r="BE1270" t="n">
        <v>2723</v>
      </c>
      <c r="BF1270" t="inlineStr">
        <is>
          <t>10.3390/ijerph17082723</t>
        </is>
      </c>
      <c r="BG1270">
        <f>HYPERLINK("http://dx.doi.org/10.3390/ijerph17082723","http://dx.doi.org/10.3390/ijerph17082723")</f>
        <v/>
      </c>
      <c r="BJ1270" t="n">
        <v>15</v>
      </c>
      <c r="BK1270" t="inlineStr">
        <is>
          <t>Environmental Sciences; Public, Environmental &amp; Occupational Health</t>
        </is>
      </c>
      <c r="BL1270" t="inlineStr">
        <is>
          <t>Science Citation Index Expanded (SCI-EXPANDED); Social Science Citation Index (SSCI)</t>
        </is>
      </c>
      <c r="BM1270" t="inlineStr">
        <is>
          <t>Environmental Sciences &amp; Ecology; Public, Environmental &amp; Occupational Health</t>
        </is>
      </c>
      <c r="BN1270" t="inlineStr">
        <is>
          <t>LR5OL</t>
        </is>
      </c>
      <c r="BO1270" t="n">
        <v>32326469</v>
      </c>
      <c r="BP1270" t="inlineStr">
        <is>
          <t>gold, Green Published</t>
        </is>
      </c>
      <c r="BS1270" t="inlineStr">
        <is>
          <t>2023-10-26</t>
        </is>
      </c>
      <c r="BT1270" t="inlineStr">
        <is>
          <t>WOS:000535744100108</t>
        </is>
      </c>
      <c r="BU1270">
        <f>HYPERLINK("https%3A%2F%2Fwww.webofscience.com%2Fwos%2Fwoscc%2Ffull-record%2FWOS:000535744100108","View Full Record in Web of Science")</f>
        <v/>
      </c>
    </row>
    <row r="1271">
      <c r="A1271" t="inlineStr">
        <is>
          <t>J</t>
        </is>
      </c>
      <c r="B1271" t="inlineStr">
        <is>
          <t>Schuldt, C; Shoushtari, H; Hellweg, N; Sternberg, H</t>
        </is>
      </c>
      <c r="F1271" t="inlineStr">
        <is>
          <t>Schuldt, Caroline; Shoushtari, Hossein; Hellweg, Nils; Sternberg, Harald</t>
        </is>
      </c>
      <c r="J1271" t="inlineStr">
        <is>
          <t>REMOTE SENSING</t>
        </is>
      </c>
      <c r="M1271" t="inlineStr">
        <is>
          <t>English</t>
        </is>
      </c>
      <c r="N1271" t="inlineStr">
        <is>
          <t>Article</t>
        </is>
      </c>
      <c r="T1271" t="inlineStr">
        <is>
          <t>L5IN: Overview of an Indoor Navigation Pilot Project</t>
        </is>
      </c>
      <c r="U1271" t="inlineStr">
        <is>
          <t>indoor navigation; 5G; BIM; positioning; indoor map generation</t>
        </is>
      </c>
      <c r="W1271" t="inlineStr">
        <is>
          <t>While outdoor navigation systems are already represented everywhere, the enclosed space is much less developed. The project Level 5 Indoor Navigation (L5IN) presents a new approach with mobile phone standard 5G as the orientation signal and without additional infrastructure for navigation in indoor environments. The aim of this project is to use the new available 5G technology to show how navigation systems, which have thus far only been available in the outdoor segment, can now be integrated into existing smartphone systems for indoor navigation. This paper gives an overview of the project and presents the different work packages leading to a holistic approach towards the development of an indoor navigation application for pedestrians. By using a specific app with open interfaces, it is planned to make navigation possible in all buildings modeled according to certain standards. The challenge involved is that, unlike outdoor maps, there is no map basis for buildings. For this reason, different approaches to map generation were examined. In a building information model (BIM), all information will be collected and made available via a database for positioning and visualization. The focus is furthermore on positioning, achieved through smartphone sensors and 5G, so that users can orientate themselves in buildings without having to connect to singular systems. It shall be shown that positioning with a standard deviation of 2-3 m and a confidence interval of 68 % is possible. Another advantage of 5G, the ability to send real-time data in higher data packages, will be used for data transmission. The basic idea of 5G-based indoor navigation will be enabled with radio cells of the providers, which will be set up on the HafenCity University campus. The complex university building will be used as a prototype environment.</t>
        </is>
      </c>
      <c r="X1271" t="inlineStr">
        <is>
          <t>[Schuldt, Caroline; Shoushtari, Hossein; Hellweg, Nils; Sternberg, Harald] HafenCity Univ, Dept Geomat, D-20457 Hamburg, Germany</t>
        </is>
      </c>
      <c r="Y1271" t="inlineStr">
        <is>
          <t>University of Hamburg</t>
        </is>
      </c>
      <c r="Z1271" t="inlineStr">
        <is>
          <t>Schuldt, C (corresponding author), HafenCity Univ, Dept Geomat, D-20457 Hamburg, Germany.</t>
        </is>
      </c>
      <c r="AA1271" t="inlineStr">
        <is>
          <t>caroline.schuldt@hcu-hamburg.de; hossein.shoushtari@hcu-hamburg.de; nils.hellweg@hcu-hamburg.de; harald.sternberg@hcu-hamburg.de</t>
        </is>
      </c>
      <c r="AB1271" t="inlineStr">
        <is>
          <t>cao, xiaoxiang/AAR-9291-2021</t>
        </is>
      </c>
      <c r="AC1271" t="inlineStr">
        <is>
          <t>Sternberg, Harald/0000-0002-1905-2287; Hellweg, Nils/0000-0001-6463-2726; Schuldt, Caroline/0000-0002-2986-0085</t>
        </is>
      </c>
      <c r="AD1271" t="inlineStr">
        <is>
          <t>Federal Ministry of Transport and Digital Infrastructure (BMVI) [VB5GFHAMB]</t>
        </is>
      </c>
      <c r="AE1271" t="inlineStr">
        <is>
          <t>Federal Ministry of Transport and Digital Infrastructure (BMVI)</t>
        </is>
      </c>
      <c r="AF1271" t="inlineStr">
        <is>
          <t>This research and the L5IN project was funded by the Federal Ministry of Transport and Digital Infrastructure (BMVI), grant number VB5GFHAMB.</t>
        </is>
      </c>
      <c r="AH1271" t="n">
        <v>30</v>
      </c>
      <c r="AI1271" t="n">
        <v>11</v>
      </c>
      <c r="AJ1271" t="n">
        <v>11</v>
      </c>
      <c r="AK1271" t="n">
        <v>1</v>
      </c>
      <c r="AL1271" t="n">
        <v>10</v>
      </c>
      <c r="AM1271" t="inlineStr">
        <is>
          <t>MDPI</t>
        </is>
      </c>
      <c r="AN1271" t="inlineStr">
        <is>
          <t>BASEL</t>
        </is>
      </c>
      <c r="AO1271" t="inlineStr">
        <is>
          <t>ST ALBAN-ANLAGE 66, CH-4052 BASEL, SWITZERLAND</t>
        </is>
      </c>
      <c r="AQ1271" t="inlineStr">
        <is>
          <t>2072-4292</t>
        </is>
      </c>
      <c r="AS1271" t="inlineStr">
        <is>
          <t>REMOTE SENS-BASEL</t>
        </is>
      </c>
      <c r="AT1271" t="inlineStr">
        <is>
          <t>Remote Sens.</t>
        </is>
      </c>
      <c r="AU1271" t="inlineStr">
        <is>
          <t>FEB</t>
        </is>
      </c>
      <c r="AV1271" t="n">
        <v>2021</v>
      </c>
      <c r="AW1271" t="n">
        <v>13</v>
      </c>
      <c r="AX1271" t="n">
        <v>4</v>
      </c>
      <c r="BE1271" t="n">
        <v>624</v>
      </c>
      <c r="BF1271" t="inlineStr">
        <is>
          <t>10.3390/rs13040624</t>
        </is>
      </c>
      <c r="BG1271">
        <f>HYPERLINK("http://dx.doi.org/10.3390/rs13040624","http://dx.doi.org/10.3390/rs13040624")</f>
        <v/>
      </c>
      <c r="BJ1271" t="n">
        <v>14</v>
      </c>
      <c r="BK1271" t="inlineStr">
        <is>
          <t>Environmental Sciences; Geosciences, Multidisciplinary; Remote Sensing; Imaging Science &amp; Photographic Technology</t>
        </is>
      </c>
      <c r="BL1271" t="inlineStr">
        <is>
          <t>Science Citation Index Expanded (SCI-EXPANDED)</t>
        </is>
      </c>
      <c r="BM1271" t="inlineStr">
        <is>
          <t>Environmental Sciences &amp; Ecology; Geology; Remote Sensing; Imaging Science &amp; Photographic Technology</t>
        </is>
      </c>
      <c r="BN1271" t="inlineStr">
        <is>
          <t>QQ3MX</t>
        </is>
      </c>
      <c r="BP1271" t="inlineStr">
        <is>
          <t>gold</t>
        </is>
      </c>
      <c r="BS1271" t="inlineStr">
        <is>
          <t>2023-10-26</t>
        </is>
      </c>
      <c r="BT1271" t="inlineStr">
        <is>
          <t>WOS:000624429500001</t>
        </is>
      </c>
      <c r="BU1271">
        <f>HYPERLINK("https%3A%2F%2Fwww.webofscience.com%2Fwos%2Fwoscc%2Ffull-record%2FWOS:000624429500001","View Full Record in Web of Science")</f>
        <v/>
      </c>
    </row>
    <row r="1272">
      <c r="A1272" t="inlineStr">
        <is>
          <t>J</t>
        </is>
      </c>
      <c r="B1272" t="inlineStr">
        <is>
          <t>Timon, R; González-Custodio, A; Vasquez-Bonilla, A; Olcina, G; Leal, A</t>
        </is>
      </c>
      <c r="F1272" t="inlineStr">
        <is>
          <t>Timon, Rafael; Gonzalez-Custodio, Adrian; Vasquez-Bonilla, Aldo; Olcina, Guillermo; Leal, Alejo</t>
        </is>
      </c>
      <c r="J1272" t="inlineStr">
        <is>
          <t>INTERNATIONAL JOURNAL OF ENVIRONMENTAL RESEARCH AND PUBLIC HEALTH</t>
        </is>
      </c>
      <c r="M1272" t="inlineStr">
        <is>
          <t>English</t>
        </is>
      </c>
      <c r="N1272" t="inlineStr">
        <is>
          <t>Article</t>
        </is>
      </c>
      <c r="T1272" t="inlineStr">
        <is>
          <t>Intermittent Hypoxia as a Therapeutic Tool to Improve Health Parameters in Older Adults</t>
        </is>
      </c>
      <c r="U1272" t="inlineStr">
        <is>
          <t>hypoxia exposure; older adults; fat mass; inflammatory biomarkers; bone</t>
        </is>
      </c>
      <c r="V1272" t="inlineStr">
        <is>
          <t>MITOCHONDRIAL BASIS; HYPOBARIC HYPOXIA; BODY-COMPOSITION; WEIGHT-LOSS; INFLAMMATION; POPULATIONS; PERFORMANCE; MECHANISMS; EXERCISE; ALTITUDE</t>
        </is>
      </c>
      <c r="W1272" t="inlineStr">
        <is>
          <t>Aging is associated with metabolic alterations, and with a loss of strength, muscle and bone mass. Moderate intermittent hypoxia has been proposed as a new tool to enhance health-related function. The aim of this study was to evaluate the effect of moderate intermittent hypoxia exposures on parameters related to cardiovascular and bone health in older adults. A total of 38 healthy older adults (aged 65-75 years) were divided into two groups: control group (C), and hypoxia group (H) that was subjected to an intermittent hypoxia exposure (at simulated altitude of 2500 m asl) during a 24-week period (3 days/week). Body composition, blood pressure, metabolic parameters (Cholesterol, triglycerides and glucose), C-reactive protein (CRP), vascular cell adhesion molecule-1 (VCAM-1), interleukin 8 (IL-8), interleukin 10 (IL-10), N-terminal propeptide of type I procollagen (PINP) and beta C-terminal telopeptide of collagen bone formation (b-CTX) were analyzed before and after the intervention. A repeated measures analysis of variance was performed to evaluate between-group differences. The results showed that the hypoxia group achieved after the intervention a decrease in fat mass, CRP (pro-inflammatory biomarker) and b-CTX (bone resorption biomarker), as well as an increase in PINP (bone formation biomarker). In conclusion, the intermittent hypoxia might be a useful therapeutic tool to deal with problems associated with aging, such as the increase in body fat, the loss of bone mass or low-grade inflammation.</t>
        </is>
      </c>
      <c r="X1272" t="inlineStr">
        <is>
          <t>[Timon, Rafael; Gonzalez-Custodio, Adrian; Vasquez-Bonilla, Aldo; Olcina, Guillermo] Univ Extremadura, Fac Sport Sci, Caceres 10003, Spain; [Leal, Alejo] Ctr Med Alejo Leal, Caceres 10004, Spain</t>
        </is>
      </c>
      <c r="Y1272" t="inlineStr">
        <is>
          <t>Universidad de Extremadura</t>
        </is>
      </c>
      <c r="Z1272" t="inlineStr">
        <is>
          <t>Timon, R (corresponding author), Univ Extremadura, Fac Sport Sci, Caceres 10003, Spain.</t>
        </is>
      </c>
      <c r="AA1272" t="inlineStr">
        <is>
          <t>rtimon@unex.es; adriangc@unex.es; aldovasquez1994@hotmail.com; golcina@unex.es; alejolealcb@gmail.com</t>
        </is>
      </c>
      <c r="AB1272" t="inlineStr">
        <is>
          <t>Vasquez, Aldo/HII-5486-2022; Timon, Rafael/Q-1664-2017; Olcina, Guillermo/F-7313-2016</t>
        </is>
      </c>
      <c r="AC1272" t="inlineStr">
        <is>
          <t>Vasquez, Aldo/0000-0002-5319-086X; Timon, Rafael/0000-0002-2187-0465; Olcina, Guillermo/0000-0002-8256-0882</t>
        </is>
      </c>
      <c r="AD1272" t="inlineStr">
        <is>
          <t>Government of Extremadura (Spain); Regional Ministry of Economy and Infrastructures [IB18010]; European Regional Development Fund [GR21189]</t>
        </is>
      </c>
      <c r="AE1272" t="inlineStr">
        <is>
          <t>Government of Extremadura (Spain); Regional Ministry of Economy and Infrastructures; European Regional Development Fund(European Union (EU))</t>
        </is>
      </c>
      <c r="AF1272" t="inlineStr">
        <is>
          <t>This study has been supported by the Government of Extremadura (Spain) with funding from the Regional Ministry of Economy and Infrastructures (Grant Ref.: IB18010) and from the European Regional Development Fund (Grant Ref: GR21189).</t>
        </is>
      </c>
      <c r="AH1272" t="n">
        <v>47</v>
      </c>
      <c r="AI1272" t="n">
        <v>8</v>
      </c>
      <c r="AJ1272" t="n">
        <v>8</v>
      </c>
      <c r="AK1272" t="n">
        <v>0</v>
      </c>
      <c r="AL1272" t="n">
        <v>5</v>
      </c>
      <c r="AM1272" t="inlineStr">
        <is>
          <t>MDPI</t>
        </is>
      </c>
      <c r="AN1272" t="inlineStr">
        <is>
          <t>BASEL</t>
        </is>
      </c>
      <c r="AO1272" t="inlineStr">
        <is>
          <t>ST ALBAN-ANLAGE 66, CH-4052 BASEL, SWITZERLAND</t>
        </is>
      </c>
      <c r="AQ1272" t="inlineStr">
        <is>
          <t>1660-4601</t>
        </is>
      </c>
      <c r="AS1272" t="inlineStr">
        <is>
          <t>INT J ENV RES PUB HE</t>
        </is>
      </c>
      <c r="AT1272" t="inlineStr">
        <is>
          <t>Int. J. Environ. Res. Public Health</t>
        </is>
      </c>
      <c r="AU1272" t="inlineStr">
        <is>
          <t>MAY</t>
        </is>
      </c>
      <c r="AV1272" t="n">
        <v>2022</v>
      </c>
      <c r="AW1272" t="n">
        <v>19</v>
      </c>
      <c r="AX1272" t="n">
        <v>9</v>
      </c>
      <c r="BE1272" t="n">
        <v>5339</v>
      </c>
      <c r="BF1272" t="inlineStr">
        <is>
          <t>10.3390/ijerph19095339</t>
        </is>
      </c>
      <c r="BG1272">
        <f>HYPERLINK("http://dx.doi.org/10.3390/ijerph19095339","http://dx.doi.org/10.3390/ijerph19095339")</f>
        <v/>
      </c>
      <c r="BJ1272" t="n">
        <v>9</v>
      </c>
      <c r="BK1272" t="inlineStr">
        <is>
          <t>Environmental Sciences; Public, Environmental &amp; Occupational Health</t>
        </is>
      </c>
      <c r="BL1272" t="inlineStr">
        <is>
          <t>Science Citation Index Expanded (SCI-EXPANDED); Social Science Citation Index (SSCI)</t>
        </is>
      </c>
      <c r="BM1272" t="inlineStr">
        <is>
          <t>Environmental Sciences &amp; Ecology; Public, Environmental &amp; Occupational Health</t>
        </is>
      </c>
      <c r="BN1272" t="inlineStr">
        <is>
          <t>1E9IO</t>
        </is>
      </c>
      <c r="BO1272" t="n">
        <v>35564732</v>
      </c>
      <c r="BP1272" t="inlineStr">
        <is>
          <t>Green Published, gold</t>
        </is>
      </c>
      <c r="BS1272" t="inlineStr">
        <is>
          <t>2023-10-26</t>
        </is>
      </c>
      <c r="BT1272" t="inlineStr">
        <is>
          <t>WOS:000794792900001</t>
        </is>
      </c>
      <c r="BU1272">
        <f>HYPERLINK("https%3A%2F%2Fwww.webofscience.com%2Fwos%2Fwoscc%2Ffull-record%2FWOS:000794792900001","View Full Record in Web of Science")</f>
        <v/>
      </c>
    </row>
    <row r="1273">
      <c r="A1273" t="inlineStr">
        <is>
          <t>J</t>
        </is>
      </c>
      <c r="B1273" t="inlineStr">
        <is>
          <t>Jeong, CH; Salehi, S; Wu, J; North, ML; Kim, JS; Chow, CW; Evans, GJ</t>
        </is>
      </c>
      <c r="F1273" t="inlineStr">
        <is>
          <t>Jeong, Cheol-Heon; Salehi, Sepehr; Wu, Joyce; North, Michelle L.; Kim, Jong Sung; Chow, Chung-Wai; Evans, Greg J.</t>
        </is>
      </c>
      <c r="J1273" t="inlineStr">
        <is>
          <t>SCIENCE OF THE TOTAL ENVIRONMENT</t>
        </is>
      </c>
      <c r="M1273" t="inlineStr">
        <is>
          <t>English</t>
        </is>
      </c>
      <c r="N1273" t="inlineStr">
        <is>
          <t>Article</t>
        </is>
      </c>
      <c r="T1273" t="inlineStr">
        <is>
          <t>Indoor measurements of air pollutants in residential houses in urban and suburban areas: Indoor versus ambient concentrations</t>
        </is>
      </c>
      <c r="U1273" t="inlineStr">
        <is>
          <t>Indoor concentration; Ambient concentration; High-rise building; Trace metal; Ultrafine particles; Black carbon</t>
        </is>
      </c>
      <c r="V1273" t="inlineStr">
        <is>
          <t>ULTRAFINE PARTICLE CONCENTRATIONS; BROMINATED FLAME RETARDANTS; FINE PARTICULATE MATTER; PM2.5 TRACE-ELEMENTS; BLACK CARBON; CHEMICAL-CHARACTERIZATION; TRAFFIC EMISSIONS; LUNG-FUNCTION; SOURCE APPORTIONMENT; SIZE DISTRIBUTIONS</t>
        </is>
      </c>
      <c r="W1273" t="inlineStr">
        <is>
          <t>Indoor exposure to air pollutants was assessed through 99 visits to 51 homes located in downtown high-rise buildings and detached houses in suburban and rural areas. The ambient concentrations of ultrafine particles (UFP), black carbon (BC), particulate matter smaller than 2.5 mu m in diameter (PM2.5), and trace elements were concurrently measured at a central monitoring site in downtown Toronto. Median hourly indoor concentrations for all measurements were 4700 particles/cm(3) for UFP, 270 ng/m(3) for BC, and 4 mu g/m(3) for PM2.5, which were lower than ambient outdoor levels by a factor of 2-3. Much higher variability was observed for indoor UFP and BC across the homes compared to ambient levels, mostly due to the influence of indoor cooking emissions. Traffic emissions appeared to have a strong influence on the indoor background (i.e., outdoor-originated) concentrations of BC, UFP, and some trace elements. Specifically, 85% and 34% of the indoor concentrations of BC and UFP were predominantly from outdoor sources, respectively. Moreover, a positive correlation was observed between indoor concentrations of BC and UFP and total road length within a 300 m buffer zone. There was no significant decrease in indoor air pollution with increasing floor level among high-rise residences. In addition to the influence of outdoor sources on indoor air quality, indoor sources contributed to elevated concentrations of K, Ca. Cr, and Cu. A factor analysis was performed on trace elements, UFP, and BC in homes to further resolve possible sources. Local traffic emissions, soil dust, biomass burning, and regional coal combustion were identified as outdoor-originated sources, while cooking emissions was a dominant indoor source. This study highlights how outdoor sources can contribute to chronic exposure in indoor environments and how indoor activities can be associated with acute exposure to temporally varying indoor-originated air pollutants. (C) 2019 Elsevier B.V. All rights reserved.</t>
        </is>
      </c>
      <c r="X1273" t="inlineStr">
        <is>
          <t>[Jeong, Cheol-Heon; North, Michelle L.; Chow, Chung-Wai; Evans, Greg J.] Univ Toronto, Southern Ontario Ctr Atmospher Aerosol Res, Toronto, ON, Canada; [Salehi, Sepehr; Wu, Joyce; Chow, Chung-Wai] Univ Hlth Network, Div Respirol &amp; Multiorgan Transplant Program, Toronto, ON, Canada; [Chow, Chung-Wai; Evans, Greg J.] Univ Toronto, Dalla Lana Sch Publ Hlth, Toronto, ON, Canada; [Kim, Jong Sung] Dalhousie Univ, Fac Med, Dept Community Hlth &amp; Epidemiol, Halifax, NS, Canada</t>
        </is>
      </c>
      <c r="Y1273" t="inlineStr">
        <is>
          <t>University of Toronto; University of Toronto; University Health Network Toronto; University of Toronto; Dalhousie University</t>
        </is>
      </c>
      <c r="Z1273" t="inlineStr">
        <is>
          <t>Jeong, CH (corresponding author), Univ Toronto, Southern Ontario Ctr Atmospher Aerosol Res, Toronto, ON, Canada.</t>
        </is>
      </c>
      <c r="AA1273" t="inlineStr">
        <is>
          <t>ch.jeong@utoronto.ca</t>
        </is>
      </c>
      <c r="AB1273" t="inlineStr">
        <is>
          <t>Evans, Greg/C-7441-2014; Chow, Chung-Wai/AAP-5533-2020; Jeong, Cheol H./AAV-4322-2020; North, Michelle/C-3164-2014</t>
        </is>
      </c>
      <c r="AC1273" t="inlineStr">
        <is>
          <t>Chow, Chung-Wai/0000-0001-9344-8522; Jeong, Cheol H./0000-0001-6000-2823; Kim, Jong Sung/0000-0002-0814-4856; North, Michelle/0000-0003-3565-6387</t>
        </is>
      </c>
      <c r="AD1273" t="inlineStr">
        <is>
          <t>Canadian Institutes for Health Research, Canada [301228]</t>
        </is>
      </c>
      <c r="AE1273" t="inlineStr">
        <is>
          <t>Canadian Institutes for Health Research, Canada(Canadian Institutes of Health Research (CIHR))</t>
        </is>
      </c>
      <c r="AF1273" t="inlineStr">
        <is>
          <t>The study was funded by the Canadian Institutes for Health Research, Canada (Grant #301228). Operational and infrastructure support for monitoring and analysis of pollutants were provided by the Canada Foundation for Innovation. We would like to acknowledge Amanda Wheeler, Ryan Kulka, Health Canada for providing the MicroAeth, DiSCmini, and DustTrak monitors, and the study participants for allowing access to their homes. We also acknowledge the assistance of E.K. Jeon in monitoring cooking aerosol in a home.</t>
        </is>
      </c>
      <c r="AH1273" t="n">
        <v>79</v>
      </c>
      <c r="AI1273" t="n">
        <v>37</v>
      </c>
      <c r="AJ1273" t="n">
        <v>37</v>
      </c>
      <c r="AK1273" t="n">
        <v>4</v>
      </c>
      <c r="AL1273" t="n">
        <v>102</v>
      </c>
      <c r="AM1273" t="inlineStr">
        <is>
          <t>ELSEVIER</t>
        </is>
      </c>
      <c r="AN1273" t="inlineStr">
        <is>
          <t>AMSTERDAM</t>
        </is>
      </c>
      <c r="AO1273" t="inlineStr">
        <is>
          <t>RADARWEG 29, 1043 NX AMSTERDAM, NETHERLANDS</t>
        </is>
      </c>
      <c r="AP1273" t="inlineStr">
        <is>
          <t>0048-9697</t>
        </is>
      </c>
      <c r="AQ1273" t="inlineStr">
        <is>
          <t>1879-1026</t>
        </is>
      </c>
      <c r="AS1273" t="inlineStr">
        <is>
          <t>SCI TOTAL ENVIRON</t>
        </is>
      </c>
      <c r="AT1273" t="inlineStr">
        <is>
          <t>Sci. Total Environ.</t>
        </is>
      </c>
      <c r="AU1273" t="inlineStr">
        <is>
          <t>NOV 25</t>
        </is>
      </c>
      <c r="AV1273" t="n">
        <v>2019</v>
      </c>
      <c r="AW1273" t="n">
        <v>693</v>
      </c>
      <c r="BE1273" t="n">
        <v>133446</v>
      </c>
      <c r="BF1273" t="inlineStr">
        <is>
          <t>10.1016/j.scitotenv.2019.07.252</t>
        </is>
      </c>
      <c r="BG1273">
        <f>HYPERLINK("http://dx.doi.org/10.1016/j.scitotenv.2019.07.252","http://dx.doi.org/10.1016/j.scitotenv.2019.07.252")</f>
        <v/>
      </c>
      <c r="BJ1273" t="n">
        <v>13</v>
      </c>
      <c r="BK1273" t="inlineStr">
        <is>
          <t>Environmental Sciences</t>
        </is>
      </c>
      <c r="BL1273" t="inlineStr">
        <is>
          <t>Science Citation Index Expanded (SCI-EXPANDED)</t>
        </is>
      </c>
      <c r="BM1273" t="inlineStr">
        <is>
          <t>Environmental Sciences &amp; Ecology</t>
        </is>
      </c>
      <c r="BN1273" t="inlineStr">
        <is>
          <t>JD0VN</t>
        </is>
      </c>
      <c r="BO1273" t="n">
        <v>31374501</v>
      </c>
      <c r="BS1273" t="inlineStr">
        <is>
          <t>2023-10-26</t>
        </is>
      </c>
      <c r="BT1273" t="inlineStr">
        <is>
          <t>WOS:000489694700062</t>
        </is>
      </c>
      <c r="BU1273">
        <f>HYPERLINK("https%3A%2F%2Fwww.webofscience.com%2Fwos%2Fwoscc%2Ffull-record%2FWOS:000489694700062","View Full Record in Web of Science")</f>
        <v/>
      </c>
    </row>
    <row r="1274">
      <c r="A1274" t="inlineStr">
        <is>
          <t>J</t>
        </is>
      </c>
      <c r="B1274" t="inlineStr">
        <is>
          <t>He, H; Xu, L; Fields, N</t>
        </is>
      </c>
      <c r="F1274" t="inlineStr">
        <is>
          <t>He, Hui; Xu, Ling; Fields, Noelle</t>
        </is>
      </c>
      <c r="J1274" t="inlineStr">
        <is>
          <t>INTERNATIONAL JOURNAL OF ENVIRONMENTAL RESEARCH AND PUBLIC HEALTH</t>
        </is>
      </c>
      <c r="M1274" t="inlineStr">
        <is>
          <t>English</t>
        </is>
      </c>
      <c r="N1274" t="inlineStr">
        <is>
          <t>Article</t>
        </is>
      </c>
      <c r="T1274" t="inlineStr">
        <is>
          <t>Pensions and Depressive Symptoms of Older Adults in China: The Mediating Role of Intergenerational Support</t>
        </is>
      </c>
      <c r="U1274" t="inlineStr">
        <is>
          <t>CLASS; depressive symptoms; intergenerational support; pensions; older adults</t>
        </is>
      </c>
      <c r="V1274" t="inlineStr">
        <is>
          <t>LATER LIFE; PRIVATE TRANSFERS; SOCIAL NETWORK; SOUTH-AFRICA; RURAL CHINA; HEALTH; GENDER; AGE; RECIPROCITY; POVERTY</t>
        </is>
      </c>
      <c r="W1274" t="inlineStr">
        <is>
          <t>This study aimed to investigate the relations between pensions and depressive symptoms of Chinese older people, and whether intergenerational support mediated such association. Secondary data was drawn from Chinese Longitudinal Aging Social Survey (CLASS) 2014 (N = 6687). Depressive symptoms were measured by 12-item version of the Centre for Epidemiological Studies Depression scale (CES-D). Intergenerational support was measured by financial, instrumental, and emotional support. About 80.1% of the participants had pension and the mean score of depressive symptoms of the participants was 17.10 (SD = 4.35) with a range from 12 to 36. The results from hierarchical linear regression revealed that there was significantly association between pensions and lower levels of depressive symptoms (B = -0.645, p &lt; 0.000). Findings of mediation analyses also indicated that financial support from adult children played a mediating role between pensions and depressive symptoms (B = -0.039, 95% CI [-0.064, -0.018], z = -3.082, p = 0.002). Findings from this study enrich our theoretical and practical understanding of the roles of intergenerational support, and offer implications for social insurance policy, social work, and family support interventions for Chinese older adults.</t>
        </is>
      </c>
      <c r="X1274" t="inlineStr">
        <is>
          <t>[He, Hui] Xiangtan Univ, Sch Publ Adm, Xiangtan 411100, Peoples R China; [Xu, Ling; Fields, Noelle] Univ Texas Arlington, Sch Social Work, Arlington, TX 76019 USA</t>
        </is>
      </c>
      <c r="Y1274" t="inlineStr">
        <is>
          <t>Xiangtan University; University of Texas System; University of Texas Arlington</t>
        </is>
      </c>
      <c r="Z1274" t="inlineStr">
        <is>
          <t>Xu, L (corresponding author), Univ Texas Arlington, Sch Social Work, Arlington, TX 76019 USA.</t>
        </is>
      </c>
      <c r="AA1274" t="inlineStr">
        <is>
          <t>hehui@xtu.edu.cn; lingxu@uta.edu; noellefields@uta.edu</t>
        </is>
      </c>
      <c r="AC1274" t="inlineStr">
        <is>
          <t>Xu, Ling/0000-0003-0798-2126</t>
        </is>
      </c>
      <c r="AD1274" t="inlineStr">
        <is>
          <t>national social science funding of 2020 [20BGL211]</t>
        </is>
      </c>
      <c r="AE1274" t="inlineStr">
        <is>
          <t>national social science funding of 2020</t>
        </is>
      </c>
      <c r="AF1274" t="inlineStr">
        <is>
          <t>This research was supported by national social science funding of 2020 [No.20BGL211].</t>
        </is>
      </c>
      <c r="AH1274" t="n">
        <v>79</v>
      </c>
      <c r="AI1274" t="n">
        <v>6</v>
      </c>
      <c r="AJ1274" t="n">
        <v>6</v>
      </c>
      <c r="AK1274" t="n">
        <v>6</v>
      </c>
      <c r="AL1274" t="n">
        <v>60</v>
      </c>
      <c r="AM1274" t="inlineStr">
        <is>
          <t>MDPI</t>
        </is>
      </c>
      <c r="AN1274" t="inlineStr">
        <is>
          <t>BASEL</t>
        </is>
      </c>
      <c r="AO1274" t="inlineStr">
        <is>
          <t>ST ALBAN-ANLAGE 66, CH-4052 BASEL, SWITZERLAND</t>
        </is>
      </c>
      <c r="AQ1274" t="inlineStr">
        <is>
          <t>1660-4601</t>
        </is>
      </c>
      <c r="AS1274" t="inlineStr">
        <is>
          <t>INT J ENV RES PUB HE</t>
        </is>
      </c>
      <c r="AT1274" t="inlineStr">
        <is>
          <t>Int. J. Environ. Res. Public Health</t>
        </is>
      </c>
      <c r="AU1274" t="inlineStr">
        <is>
          <t>APR</t>
        </is>
      </c>
      <c r="AV1274" t="n">
        <v>2021</v>
      </c>
      <c r="AW1274" t="n">
        <v>18</v>
      </c>
      <c r="AX1274" t="n">
        <v>7</v>
      </c>
      <c r="BE1274" t="n">
        <v>3725</v>
      </c>
      <c r="BF1274" t="inlineStr">
        <is>
          <t>10.3390/ijerph18073725</t>
        </is>
      </c>
      <c r="BG1274">
        <f>HYPERLINK("http://dx.doi.org/10.3390/ijerph18073725","http://dx.doi.org/10.3390/ijerph18073725")</f>
        <v/>
      </c>
      <c r="BJ1274" t="n">
        <v>13</v>
      </c>
      <c r="BK1274" t="inlineStr">
        <is>
          <t>Environmental Sciences; Public, Environmental &amp; Occupational Health</t>
        </is>
      </c>
      <c r="BL1274" t="inlineStr">
        <is>
          <t>Science Citation Index Expanded (SCI-EXPANDED); Social Science Citation Index (SSCI)</t>
        </is>
      </c>
      <c r="BM1274" t="inlineStr">
        <is>
          <t>Environmental Sciences &amp; Ecology; Public, Environmental &amp; Occupational Health</t>
        </is>
      </c>
      <c r="BN1274" t="inlineStr">
        <is>
          <t>RK8EE</t>
        </is>
      </c>
      <c r="BO1274" t="n">
        <v>33918363</v>
      </c>
      <c r="BP1274" t="inlineStr">
        <is>
          <t>Green Published</t>
        </is>
      </c>
      <c r="BS1274" t="inlineStr">
        <is>
          <t>2023-10-26</t>
        </is>
      </c>
      <c r="BT1274" t="inlineStr">
        <is>
          <t>WOS:000638521600001</t>
        </is>
      </c>
      <c r="BU1274">
        <f>HYPERLINK("https%3A%2F%2Fwww.webofscience.com%2Fwos%2Fwoscc%2Ffull-record%2FWOS:000638521600001","View Full Record in Web of Science")</f>
        <v/>
      </c>
    </row>
    <row r="1275">
      <c r="A1275" t="inlineStr">
        <is>
          <t>J</t>
        </is>
      </c>
      <c r="B1275" t="inlineStr">
        <is>
          <t>Cadena, JDB; Salvalai, G; Lucesoli, M; Quagliarini, E; D'Orazio, M</t>
        </is>
      </c>
      <c r="F1275" t="inlineStr">
        <is>
          <t>Cadena, Juan Diego Blanco; Salvalai, Graziano; Lucesoli, Michele; Quagliarini, Enrico; D'Orazio, Marco</t>
        </is>
      </c>
      <c r="J1275" t="inlineStr">
        <is>
          <t>SUSTAINABILITY</t>
        </is>
      </c>
      <c r="M1275" t="inlineStr">
        <is>
          <t>English</t>
        </is>
      </c>
      <c r="N1275" t="inlineStr">
        <is>
          <t>Article</t>
        </is>
      </c>
      <c r="T1275" t="inlineStr">
        <is>
          <t>Flexible Workflow for Determining Critical Hazard and Exposure Scenarios for Assessing SLODs Risk in Urban Built Environments</t>
        </is>
      </c>
      <c r="U1275" t="inlineStr">
        <is>
          <t>air pollution; increasing temperature; heatwaves; pedestrians’ health; human exposure; urban built environment</t>
        </is>
      </c>
      <c r="V1275" t="inlineStr">
        <is>
          <t>IMPACT</t>
        </is>
      </c>
      <c r="W1275" t="inlineStr">
        <is>
          <t>Urban Built Environments (UBE) are increasingly prone to SLow-Onset Disasters (SLODs) such as air pollution and heatwaves. The effectiveness of sustainable risk-mitigation solutions for the exposed individuals' health should be defined by considering the effective scenarios in which emergency conditions can appear. Combining environmental (including climatic) conditions and exposed users' presence and behaviors is a paramount task to support decision-makers in risk assessment. A clear definition of input scenarios and related critical conditions to be analyzed is needed, especially while applying simulation-based approaches. This work provides a methodology to fill this gap, based on hazard and exposure peaks identification. Quick and remote data-collection is adopted to speed up the process and promote the method application by low-trained specialists. Results firstly trace critical conditions by overlapping air pollution and heatwaves occurrence in the UBE. Exposure peaks (identified by remote analyses on the intended use of UBEs) are then merged to retrieve critical conditions due to the presence of the individuals over time and UBE spaces. The application to a significant case study (UBE in Milan, Italy) demonstrates the approach capabilities to identify key input scenarios for future human behavior simulation activities from a user-centered approach.</t>
        </is>
      </c>
      <c r="X1275" t="inlineStr">
        <is>
          <t>[Cadena, Juan Diego Blanco; Salvalai, Graziano] Politecn Milan, ABC Dept, I-20133 Milan, Italy; [Lucesoli, Michele; Quagliarini, Enrico; D'Orazio, Marco] Univ Politecn Marche, DICEA Dept, I-60131 Ancona, Italy</t>
        </is>
      </c>
      <c r="Y1275" t="inlineStr">
        <is>
          <t>Polytechnic University of Milan; Marche Polytechnic University</t>
        </is>
      </c>
      <c r="Z1275" t="inlineStr">
        <is>
          <t>Salvalai, G (corresponding author), Politecn Milan, ABC Dept, I-20133 Milan, Italy.</t>
        </is>
      </c>
      <c r="AA1275" t="inlineStr">
        <is>
          <t>juandiego.blanco@polimi.it; graziano.salyalai@polimi.it; m.lucesoli@pm.univpm.it; e.quagliarini@staff.univpm.it; m.dorazio@staff.univpm.it</t>
        </is>
      </c>
      <c r="AB1275" t="inlineStr">
        <is>
          <t>Blanco Cadena, Juan Diego/GNN-0183-2022; CADENA, JUAN DIEGO BLANCO/AAG-3461-2019</t>
        </is>
      </c>
      <c r="AC1275" t="inlineStr">
        <is>
          <t>Blanco Cadena, Juan Diego/0000-0003-3022-4251; CADENA, JUAN DIEGO BLANCO/0000-0003-3022-4251; quagliarini, enrico/0000-0002-1091-8929; SALVALAI, GRAZIANO/0000-0001-6286-809X; Lucesoli, Michele/0000-0003-3983-3803</t>
        </is>
      </c>
      <c r="AD1275" t="inlineStr">
        <is>
          <t>MIUR (the Italian Ministry of Education, University, and Research) Project BE S2ECURe-(make) Built Environment Safer in Slow and Emergency Conditions through behavioUral assessed/designed Resilient solutions [2017LR75XK]</t>
        </is>
      </c>
      <c r="AE1275" t="inlineStr">
        <is>
          <t>MIUR (the Italian Ministry of Education, University, and Research) Project BE S2ECURe-(make) Built Environment Safer in Slow and Emergency Conditions through behavioUral assessed/designed Resilient solutions</t>
        </is>
      </c>
      <c r="AF1275" t="inlineStr">
        <is>
          <t>This research was funded by the MIUR (the Italian Ministry of Education, University, and Research) Project BE S2ECURe-(make) Built Environment Safer in Slow and Emergency Conditions through behavioUral assessed/designed Resilient solutions (Grant number: 2017LR75XK).</t>
        </is>
      </c>
      <c r="AH1275" t="n">
        <v>48</v>
      </c>
      <c r="AI1275" t="n">
        <v>4</v>
      </c>
      <c r="AJ1275" t="n">
        <v>4</v>
      </c>
      <c r="AK1275" t="n">
        <v>0</v>
      </c>
      <c r="AL1275" t="n">
        <v>2</v>
      </c>
      <c r="AM1275" t="inlineStr">
        <is>
          <t>MDPI</t>
        </is>
      </c>
      <c r="AN1275" t="inlineStr">
        <is>
          <t>BASEL</t>
        </is>
      </c>
      <c r="AO1275" t="inlineStr">
        <is>
          <t>ST ALBAN-ANLAGE 66, CH-4052 BASEL, SWITZERLAND</t>
        </is>
      </c>
      <c r="AQ1275" t="inlineStr">
        <is>
          <t>2071-1050</t>
        </is>
      </c>
      <c r="AS1275" t="inlineStr">
        <is>
          <t>SUSTAINABILITY-BASEL</t>
        </is>
      </c>
      <c r="AT1275" t="inlineStr">
        <is>
          <t>Sustainability</t>
        </is>
      </c>
      <c r="AU1275" t="inlineStr">
        <is>
          <t>APR</t>
        </is>
      </c>
      <c r="AV1275" t="n">
        <v>2021</v>
      </c>
      <c r="AW1275" t="n">
        <v>13</v>
      </c>
      <c r="AX1275" t="n">
        <v>8</v>
      </c>
      <c r="BE1275" t="n">
        <v>4538</v>
      </c>
      <c r="BF1275" t="inlineStr">
        <is>
          <t>10.3390/su13084538</t>
        </is>
      </c>
      <c r="BG1275">
        <f>HYPERLINK("http://dx.doi.org/10.3390/su13084538","http://dx.doi.org/10.3390/su13084538")</f>
        <v/>
      </c>
      <c r="BJ1275" t="n">
        <v>20</v>
      </c>
      <c r="BK1275" t="inlineStr">
        <is>
          <t>Green &amp; Sustainable Science &amp; Technology; Environmental Sciences; Environmental Studies</t>
        </is>
      </c>
      <c r="BL1275" t="inlineStr">
        <is>
          <t>Science Citation Index Expanded (SCI-EXPANDED); Social Science Citation Index (SSCI)</t>
        </is>
      </c>
      <c r="BM1275" t="inlineStr">
        <is>
          <t>Science &amp; Technology - Other Topics; Environmental Sciences &amp; Ecology</t>
        </is>
      </c>
      <c r="BN1275" t="inlineStr">
        <is>
          <t>RU7TU</t>
        </is>
      </c>
      <c r="BP1275" t="inlineStr">
        <is>
          <t>Green Submitted, gold, Green Published</t>
        </is>
      </c>
      <c r="BS1275" t="inlineStr">
        <is>
          <t>2023-10-26</t>
        </is>
      </c>
      <c r="BT1275" t="inlineStr">
        <is>
          <t>WOS:000645346800001</t>
        </is>
      </c>
      <c r="BU1275">
        <f>HYPERLINK("https%3A%2F%2Fwww.webofscience.com%2Fwos%2Fwoscc%2Ffull-record%2FWOS:000645346800001","View Full Record in Web of Science")</f>
        <v/>
      </c>
    </row>
    <row r="1276">
      <c r="A1276" t="inlineStr">
        <is>
          <t>J</t>
        </is>
      </c>
      <c r="B1276" t="inlineStr">
        <is>
          <t>Oh, K; Kim, EJ; Park, CY</t>
        </is>
      </c>
      <c r="F1276" t="inlineStr">
        <is>
          <t>Oh, Kyoungcheol; Kim, Eui-Jong; Park, Chang-Young</t>
        </is>
      </c>
      <c r="J1276" t="inlineStr">
        <is>
          <t>SUSTAINABILITY</t>
        </is>
      </c>
      <c r="M1276" t="inlineStr">
        <is>
          <t>English</t>
        </is>
      </c>
      <c r="N1276" t="inlineStr">
        <is>
          <t>Article</t>
        </is>
      </c>
      <c r="T1276" t="inlineStr">
        <is>
          <t>A Physical Model-Based Data-Driven Approach to Overcome Data Scarcity and Predict Building Energy Consumption</t>
        </is>
      </c>
      <c r="U1276" t="inlineStr">
        <is>
          <t>heat pump energy consumption prediction; physical modeling; data-driven model; data scarcity</t>
        </is>
      </c>
      <c r="V1276" t="inlineStr">
        <is>
          <t>RADIATION</t>
        </is>
      </c>
      <c r="W1276" t="inlineStr">
        <is>
          <t>Predicting building energy consumption needs to be anticipated to save building energy and effectively control the predictions. This study depicted the target building as a physical model to improve the learning performance in a data-scarce environment and proposed a model that uses simulation results as the input for a data-driven model. Case studies were conducted with different quantities of data. The proposed hybrid method proposed in this study showed a higher prediction accuracy showing a cvRMSE of 22.8% and an MAE of 6.1% than using the conventional data-driven method and satisfying the tolerance criteria of ASHRAE Guideline 14 in all the test cases.</t>
        </is>
      </c>
      <c r="X1276" t="inlineStr">
        <is>
          <t>[Oh, Kyoungcheol; Kim, Eui-Jong] INHA Univ, Coll Engn, Div Architecture, 100 Inha Ro, Incheon 22212, South Korea; [Park, Chang-Young] Mirae Environm Plan Architects, Inst Green Bldg &amp; New Technol, Seoul 01905, South Korea</t>
        </is>
      </c>
      <c r="Y1276" t="inlineStr">
        <is>
          <t>Inha University</t>
        </is>
      </c>
      <c r="Z1276" t="inlineStr">
        <is>
          <t>Kim, EJ (corresponding author), INHA Univ, Coll Engn, Div Architecture, 100 Inha Ro, Incheon 22212, South Korea.;Park, CY (corresponding author), Mirae Environm Plan Architects, Inst Green Bldg &amp; New Technol, Seoul 01905, South Korea.</t>
        </is>
      </c>
      <c r="AA1276" t="inlineStr">
        <is>
          <t>okay@inha.edu; ejkim@inha.ac.kr; cypark@mrplan.co.kr</t>
        </is>
      </c>
      <c r="AC1276" t="inlineStr">
        <is>
          <t>Oh, Kyoungcheol/0000-0002-6605-5333; Kim, Eui-Jong/0000-0002-2296-4519</t>
        </is>
      </c>
      <c r="AD1276" t="inlineStr">
        <is>
          <t>Korea Agency for Infrastructure Technology Advancement (KAIA) - Ministry of Land, Infrastructure and Transport [22CTAP-C164158-02]</t>
        </is>
      </c>
      <c r="AE1276" t="inlineStr">
        <is>
          <t>Korea Agency for Infrastructure Technology Advancement (KAIA) - Ministry of Land, Infrastructure and Transport(Korea Agency for Infrastructure Technology Advancement (KAIA)Ministry of Land, Infrastructure &amp; Transport (MOLIT), Republic of Korea)</t>
        </is>
      </c>
      <c r="AF1276" t="inlineStr">
        <is>
          <t>This study has been supported by the Korea Agency for Infrastructure Technology Advancement (KAIA) grant funded by the Ministry of Land, Infrastructure and Transport (Grant 22CTAP-C164158-02).</t>
        </is>
      </c>
      <c r="AH1276" t="n">
        <v>32</v>
      </c>
      <c r="AI1276" t="n">
        <v>6</v>
      </c>
      <c r="AJ1276" t="n">
        <v>6</v>
      </c>
      <c r="AK1276" t="n">
        <v>8</v>
      </c>
      <c r="AL1276" t="n">
        <v>15</v>
      </c>
      <c r="AM1276" t="inlineStr">
        <is>
          <t>MDPI</t>
        </is>
      </c>
      <c r="AN1276" t="inlineStr">
        <is>
          <t>BASEL</t>
        </is>
      </c>
      <c r="AO1276" t="inlineStr">
        <is>
          <t>ST ALBAN-ANLAGE 66, CH-4052 BASEL, SWITZERLAND</t>
        </is>
      </c>
      <c r="AQ1276" t="inlineStr">
        <is>
          <t>2071-1050</t>
        </is>
      </c>
      <c r="AS1276" t="inlineStr">
        <is>
          <t>SUSTAINABILITY-BASEL</t>
        </is>
      </c>
      <c r="AT1276" t="inlineStr">
        <is>
          <t>Sustainability</t>
        </is>
      </c>
      <c r="AU1276" t="inlineStr">
        <is>
          <t>AUG</t>
        </is>
      </c>
      <c r="AV1276" t="n">
        <v>2022</v>
      </c>
      <c r="AW1276" t="n">
        <v>14</v>
      </c>
      <c r="AX1276" t="n">
        <v>15</v>
      </c>
      <c r="BE1276" t="n">
        <v>9464</v>
      </c>
      <c r="BF1276" t="inlineStr">
        <is>
          <t>10.3390/su14159464</t>
        </is>
      </c>
      <c r="BG1276">
        <f>HYPERLINK("http://dx.doi.org/10.3390/su14159464","http://dx.doi.org/10.3390/su14159464")</f>
        <v/>
      </c>
      <c r="BJ1276" t="n">
        <v>14</v>
      </c>
      <c r="BK1276" t="inlineStr">
        <is>
          <t>Green &amp; Sustainable Science &amp; Technology; Environmental Sciences; Environmental Studies</t>
        </is>
      </c>
      <c r="BL1276" t="inlineStr">
        <is>
          <t>Science Citation Index Expanded (SCI-EXPANDED); Social Science Citation Index (SSCI)</t>
        </is>
      </c>
      <c r="BM1276" t="inlineStr">
        <is>
          <t>Science &amp; Technology - Other Topics; Environmental Sciences &amp; Ecology</t>
        </is>
      </c>
      <c r="BN1276" t="inlineStr">
        <is>
          <t>3R9RT</t>
        </is>
      </c>
      <c r="BP1276" t="inlineStr">
        <is>
          <t>gold</t>
        </is>
      </c>
      <c r="BS1276" t="inlineStr">
        <is>
          <t>2023-10-26</t>
        </is>
      </c>
      <c r="BT1276" t="inlineStr">
        <is>
          <t>WOS:000839242700001</t>
        </is>
      </c>
      <c r="BU1276">
        <f>HYPERLINK("https%3A%2F%2Fwww.webofscience.com%2Fwos%2Fwoscc%2Ffull-record%2FWOS:000839242700001","View Full Record in Web of Science")</f>
        <v/>
      </c>
    </row>
    <row r="1277">
      <c r="A1277" t="inlineStr">
        <is>
          <t>J</t>
        </is>
      </c>
      <c r="B1277" t="inlineStr">
        <is>
          <t>Rhoads, WJ; Pruden, A; Edwards, MA</t>
        </is>
      </c>
      <c r="F1277" t="inlineStr">
        <is>
          <t>Rhoads, William J.; Pruden, Amy; Edwards, Marc A.</t>
        </is>
      </c>
      <c r="J1277" t="inlineStr">
        <is>
          <t>WATER ENVIRONMENT RESEARCH</t>
        </is>
      </c>
      <c r="M1277" t="inlineStr">
        <is>
          <t>English</t>
        </is>
      </c>
      <c r="N1277" t="inlineStr">
        <is>
          <t>Article</t>
        </is>
      </c>
      <c r="T1277" t="inlineStr">
        <is>
          <t>Anticipating Challenges with In-Building Disinfection for Control of Opportunistic Pathogens</t>
        </is>
      </c>
      <c r="U1277" t="inlineStr">
        <is>
          <t>in-building disinfection; thermal disinfection; pipe scaling; corrosion; ASHRAE 188; Legionella</t>
        </is>
      </c>
      <c r="V1277" t="inlineStr">
        <is>
          <t>COPPER-SILVER IONIZATION; WATER DISTRIBUTION-SYSTEMS; LEGIONELLA-PNEUMOPHILA; DRINKING-WATER; LEGIONNAIRES-DISEASE; HIGH-PH; PSEUDOMONAS-AERUGINOSA; CHLORAMINE DECAY; GALVANIZED IRON; CORROSION</t>
        </is>
      </c>
      <c r="W1277" t="inlineStr">
        <is>
          <t>A new American Society of Heating, Refrigerating and Air-Conditioning Engineers (ASHRAE) standard for control of Legionella (ASHRAE Standard 188, 2013) emphasizes use of in-building disinfection techniques to reduce the exposure of at-risk consumers to opportunistic pathogens in premise plumbing (OPPPs). This standard and other recommendations for OPPP control have implications for scaling in and corrosion of plumbing systems, which can sometimes adversely affect the efficacy of the disinfection method and physical integrity of the plumbing system, prompting this proactive critical review of challenges associated with implementation of Standard 188.</t>
        </is>
      </c>
      <c r="X1277" t="inlineStr">
        <is>
          <t>[Rhoads, William J.; Pruden, Amy; Edwards, Marc A.] Virginia Tech, Charles E Via Jr Dept Civil &amp; Environm Engn, Blacksburg, VA 24060 USA</t>
        </is>
      </c>
      <c r="Y1277" t="inlineStr">
        <is>
          <t>Virginia Polytechnic Institute &amp; State University</t>
        </is>
      </c>
      <c r="Z1277" t="inlineStr">
        <is>
          <t>Rhoads, WJ (corresponding author), Virginia Tech, Charles E Via Jr Dept Civil &amp; Environm Engn, 418 Durham Hall, Blacksburg, VA 24060 USA.</t>
        </is>
      </c>
      <c r="AA1277" t="inlineStr">
        <is>
          <t>edwardsm@vt.edu</t>
        </is>
      </c>
      <c r="AB1277" t="inlineStr">
        <is>
          <t>Edwards, Marc/J-3557-2012</t>
        </is>
      </c>
      <c r="AC1277" t="inlineStr">
        <is>
          <t>Edwards, Marc/0000-0002-1889-1193</t>
        </is>
      </c>
      <c r="AD1277" t="inlineStr">
        <is>
          <t>Water Research Foundation [4383]; Green Building Design: Water Quality and Utility Management Considerations; Alfred P. Sloan Foundation's Microbiology of the Built Environment program</t>
        </is>
      </c>
      <c r="AE1277" t="inlineStr">
        <is>
          <t>Water Research Foundation; Green Building Design: Water Quality and Utility Management Considerations; Alfred P. Sloan Foundation's Microbiology of the Built Environment program(Alfred P. Sloan Foundation)</t>
        </is>
      </c>
      <c r="AF1277" t="inlineStr">
        <is>
          <t>This review was financially supported in part by Water Research Foundation Project 4383, Green Building Design: Water Quality and Utility Management Considerations, and The Alfred P. Sloan Foundation's Microbiology of the Built Environment program.</t>
        </is>
      </c>
      <c r="AH1277" t="n">
        <v>98</v>
      </c>
      <c r="AI1277" t="n">
        <v>24</v>
      </c>
      <c r="AJ1277" t="n">
        <v>24</v>
      </c>
      <c r="AK1277" t="n">
        <v>2</v>
      </c>
      <c r="AL1277" t="n">
        <v>53</v>
      </c>
      <c r="AM1277" t="inlineStr">
        <is>
          <t>WILEY</t>
        </is>
      </c>
      <c r="AN1277" t="inlineStr">
        <is>
          <t>HOBOKEN</t>
        </is>
      </c>
      <c r="AO1277" t="inlineStr">
        <is>
          <t>111 RIVER ST, HOBOKEN 07030-5774, NJ USA</t>
        </is>
      </c>
      <c r="AP1277" t="inlineStr">
        <is>
          <t>1061-4303</t>
        </is>
      </c>
      <c r="AQ1277" t="inlineStr">
        <is>
          <t>1554-7531</t>
        </is>
      </c>
      <c r="AS1277" t="inlineStr">
        <is>
          <t>WATER ENVIRON RES</t>
        </is>
      </c>
      <c r="AT1277" t="inlineStr">
        <is>
          <t>Water Environ. Res.</t>
        </is>
      </c>
      <c r="AU1277" t="inlineStr">
        <is>
          <t>JUN</t>
        </is>
      </c>
      <c r="AV1277" t="n">
        <v>2014</v>
      </c>
      <c r="AW1277" t="n">
        <v>86</v>
      </c>
      <c r="AX1277" t="n">
        <v>6</v>
      </c>
      <c r="BC1277" t="n">
        <v>540</v>
      </c>
      <c r="BD1277" t="n">
        <v>549</v>
      </c>
      <c r="BF1277" t="inlineStr">
        <is>
          <t>10.2175/106143014X13975035524989</t>
        </is>
      </c>
      <c r="BG1277">
        <f>HYPERLINK("http://dx.doi.org/10.2175/106143014X13975035524989","http://dx.doi.org/10.2175/106143014X13975035524989")</f>
        <v/>
      </c>
      <c r="BJ1277" t="n">
        <v>10</v>
      </c>
      <c r="BK1277" t="inlineStr">
        <is>
          <t>Engineering, Environmental; Environmental Sciences; Limnology; Water Resources</t>
        </is>
      </c>
      <c r="BL1277" t="inlineStr">
        <is>
          <t>Science Citation Index Expanded (SCI-EXPANDED)</t>
        </is>
      </c>
      <c r="BM1277" t="inlineStr">
        <is>
          <t>Engineering; Environmental Sciences &amp; Ecology; Marine &amp; Freshwater Biology; Water Resources</t>
        </is>
      </c>
      <c r="BN1277" t="inlineStr">
        <is>
          <t>AJ0PT</t>
        </is>
      </c>
      <c r="BO1277" t="n">
        <v>25109200</v>
      </c>
      <c r="BS1277" t="inlineStr">
        <is>
          <t>2023-10-26</t>
        </is>
      </c>
      <c r="BT1277" t="inlineStr">
        <is>
          <t>WOS:000337358300006</t>
        </is>
      </c>
      <c r="BU1277">
        <f>HYPERLINK("https%3A%2F%2Fwww.webofscience.com%2Fwos%2Fwoscc%2Ffull-record%2FWOS:000337358300006","View Full Record in Web of Science")</f>
        <v/>
      </c>
    </row>
    <row r="1278">
      <c r="A1278" t="inlineStr">
        <is>
          <t>J</t>
        </is>
      </c>
      <c r="B1278" t="inlineStr">
        <is>
          <t>Megahed, NA; Ghoneim, EM</t>
        </is>
      </c>
      <c r="F1278" t="inlineStr">
        <is>
          <t>Megahed, Naglaa A.; Ghoneim, Ehab M.</t>
        </is>
      </c>
      <c r="J1278" t="inlineStr">
        <is>
          <t>ENVIRONMENTAL RESEARCH</t>
        </is>
      </c>
      <c r="M1278" t="inlineStr">
        <is>
          <t>English</t>
        </is>
      </c>
      <c r="N1278" t="inlineStr">
        <is>
          <t>Article</t>
        </is>
      </c>
      <c r="T1278" t="inlineStr">
        <is>
          <t>Indoor Air Quality: Rethinking rules of building design strategies in post-pandemic architecture</t>
        </is>
      </c>
      <c r="U1278" t="inlineStr">
        <is>
          <t>Architecture; COVID-19; Design; Disinfection; Indoor air quality; Ventilation</t>
        </is>
      </c>
      <c r="W1278" t="inlineStr">
        <is>
          <t>To effectively reduce the spread of SARS-CoV-2, it is crucial to highlight the effectiveness of building design strategies in mitigating threats to occupants. The ongoing pandemic research and actions focus on how poor Indoor Air Quality (IAQ) amplifies the effects of airborne viruses. This review aims to draw architects' attention toward the high risk of airborne transmission of diseases by providing the latest updates and solutions to understand better the environmental and health issues associated with COVID-19. Based on the complexity of the problem and the need for interdisciplinary research, this study presents a conceptual model that addresses the integration of engineering controls, design strategies and, air disinfection techniques required to achieve a better IAQ.</t>
        </is>
      </c>
      <c r="X1278" t="inlineStr">
        <is>
          <t>[Megahed, Naglaa A.] Port Said Univ, Fac Engn, Architecture &amp; Urban Planning Dept, Port Fuad, Egypt; [Ghoneim, Ehab M.] Port Said Univ, Fac Med, Ophthalmol, Port Fuad, Egypt; [Ghoneim, Ehab M.] Port Said Univ, Fac Med, Community Serv &amp; Environm Dev Affairs, Port Fuad, Egypt</t>
        </is>
      </c>
      <c r="Y1278" t="inlineStr">
        <is>
          <t>Egyptian Knowledge Bank (EKB); Port Said University; Egyptian Knowledge Bank (EKB); Port Said University; Egyptian Knowledge Bank (EKB); Port Said University</t>
        </is>
      </c>
      <c r="Z1278" t="inlineStr">
        <is>
          <t>Megahed, NA (corresponding author), Port Said Univ, Fac Engn, Architecture &amp; Urban Planning Dept, Port Fuad, Egypt.</t>
        </is>
      </c>
      <c r="AA1278" t="inlineStr">
        <is>
          <t>naglaaali257@hotmail.com; ehabghoneim@hotmail.com</t>
        </is>
      </c>
      <c r="AB1278" t="inlineStr">
        <is>
          <t>Megahed, Naglaa Ali/L-5089-2019; Ghoneim, Ehab Mahmoud/AAH-8065-2020</t>
        </is>
      </c>
      <c r="AC1278" t="inlineStr">
        <is>
          <t>Megahed, Naglaa Ali/0000-0001-5388-5066; Ghoneim, Ehab Mahmoud/0000-0003-3312-2998</t>
        </is>
      </c>
      <c r="AH1278" t="n">
        <v>77</v>
      </c>
      <c r="AI1278" t="n">
        <v>91</v>
      </c>
      <c r="AJ1278" t="n">
        <v>91</v>
      </c>
      <c r="AK1278" t="n">
        <v>9</v>
      </c>
      <c r="AL1278" t="n">
        <v>114</v>
      </c>
      <c r="AM1278" t="inlineStr">
        <is>
          <t>ACADEMIC PRESS INC ELSEVIER SCIENCE</t>
        </is>
      </c>
      <c r="AN1278" t="inlineStr">
        <is>
          <t>SAN DIEGO</t>
        </is>
      </c>
      <c r="AO1278" t="inlineStr">
        <is>
          <t>525 B ST, STE 1900, SAN DIEGO, CA 92101-4495 USA</t>
        </is>
      </c>
      <c r="AP1278" t="inlineStr">
        <is>
          <t>0013-9351</t>
        </is>
      </c>
      <c r="AQ1278" t="inlineStr">
        <is>
          <t>1096-0953</t>
        </is>
      </c>
      <c r="AS1278" t="inlineStr">
        <is>
          <t>ENVIRON RES</t>
        </is>
      </c>
      <c r="AT1278" t="inlineStr">
        <is>
          <t>Environ. Res.</t>
        </is>
      </c>
      <c r="AU1278" t="inlineStr">
        <is>
          <t>FEB</t>
        </is>
      </c>
      <c r="AV1278" t="n">
        <v>2021</v>
      </c>
      <c r="AW1278" t="n">
        <v>193</v>
      </c>
      <c r="BE1278" t="n">
        <v>110471</v>
      </c>
      <c r="BF1278" t="inlineStr">
        <is>
          <t>10.1016/j.envres.2020.110471</t>
        </is>
      </c>
      <c r="BG1278">
        <f>HYPERLINK("http://dx.doi.org/10.1016/j.envres.2020.110471","http://dx.doi.org/10.1016/j.envres.2020.110471")</f>
        <v/>
      </c>
      <c r="BI1278" t="inlineStr">
        <is>
          <t>JAN 2021</t>
        </is>
      </c>
      <c r="BJ1278" t="n">
        <v>9</v>
      </c>
      <c r="BK1278" t="inlineStr">
        <is>
          <t>Environmental Sciences; Public, Environmental &amp; Occupational Health</t>
        </is>
      </c>
      <c r="BL1278" t="inlineStr">
        <is>
          <t>Science Citation Index Expanded (SCI-EXPANDED)</t>
        </is>
      </c>
      <c r="BM1278" t="inlineStr">
        <is>
          <t>Environmental Sciences &amp; Ecology; Public, Environmental &amp; Occupational Health</t>
        </is>
      </c>
      <c r="BN1278" t="inlineStr">
        <is>
          <t>QB1YN</t>
        </is>
      </c>
      <c r="BO1278" t="n">
        <v>33197423</v>
      </c>
      <c r="BP1278" t="inlineStr">
        <is>
          <t>Bronze, Green Published</t>
        </is>
      </c>
      <c r="BS1278" t="inlineStr">
        <is>
          <t>2023-10-26</t>
        </is>
      </c>
      <c r="BT1278" t="inlineStr">
        <is>
          <t>WOS:000613939000013</t>
        </is>
      </c>
      <c r="BU1278">
        <f>HYPERLINK("https%3A%2F%2Fwww.webofscience.com%2Fwos%2Fwoscc%2Ffull-record%2FWOS:000613939000013","View Full Record in Web of Science")</f>
        <v/>
      </c>
    </row>
    <row r="1279">
      <c r="A1279" t="inlineStr">
        <is>
          <t>J</t>
        </is>
      </c>
      <c r="B1279" t="inlineStr">
        <is>
          <t>Rogerson, M; Barton, J</t>
        </is>
      </c>
      <c r="F1279" t="inlineStr">
        <is>
          <t>Rogerson, Mike; Barton, Jo</t>
        </is>
      </c>
      <c r="J1279" t="inlineStr">
        <is>
          <t>INTERNATIONAL JOURNAL OF ENVIRONMENTAL RESEARCH AND PUBLIC HEALTH</t>
        </is>
      </c>
      <c r="M1279" t="inlineStr">
        <is>
          <t>English</t>
        </is>
      </c>
      <c r="N1279" t="inlineStr">
        <is>
          <t>Article</t>
        </is>
      </c>
      <c r="T1279" t="inlineStr">
        <is>
          <t>Effects of the Visual Exercise Environments on Cognitive Directed Attention, Energy Expenditure and Perceived Exertion</t>
        </is>
      </c>
      <c r="U1279" t="inlineStr">
        <is>
          <t>green exercise; cognitive functioning; wellbeing; directed attention; exercise environments; perceived exertion</t>
        </is>
      </c>
      <c r="V1279" t="inlineStr">
        <is>
          <t>PREFRONTAL CORTEX; TRANSIENT HYPOFRONTALITY; AFFECTIVE RESPONSES; PHYSICAL-ACTIVITY; HEALTH-BENEFITS; MENTAL FATIGUE; GREEN EXERCISE; SHINRIN-YOKU; SELF-ESTEEM; ACUTE BOUTS</t>
        </is>
      </c>
      <c r="W1279" t="inlineStr">
        <is>
          <t>Green exercise research often reports psychological health outcomes without rigorously controlling exercise. This study examines effects of visual exercise environments on directed attention, perceived exertion and time to exhaustion, whilst measuring and controlling the exercise component. Participants completed three experimental conditions in a randomized counterbalanced order. Conditions varied by video content viewed (nature; built; control) during two consistently-ordered exercise bouts (Exercise 1: 60% VO2peakInt for 15-mins; Exercise 2: 85% VO2peakInt to voluntary exhaustion). In each condition, participants completed modified Backwards Digit Span tests (a measure of directed attention) pre- and post-Exercise 1. Energy expenditure, respiratory exchange ratio and perceived exertion were measured during both exercise bouts. Time to exhaustion in Exercise 2 was also recorded. There was a significant time by condition interaction for Backwards Digit Span scores (F-2,F-22 = 6.267, p = 0.007). Scores significantly improved in the nature condition (p &lt; 0.001) but did not in the built or control conditions. There were no significant differences between conditions for either perceived exertion or physiological measures during either Exercise 1 or Exercise 2, or for time to exhaustion in Exercise 2. This was the first study to demonstrate effects of controlled exercise conducted in different visual environments on post-exercise directed attention. Via psychological mechanisms alone, visual nature facilitates attention restoration during moderate-intensity exercise.</t>
        </is>
      </c>
      <c r="X1279" t="inlineStr">
        <is>
          <t>[Rogerson, Mike; Barton, Jo] Univ Essex, Sch Biol Sci, Ctr Sports &amp; Exercise Sci, Colchester CO4 3SQ, Essex, England</t>
        </is>
      </c>
      <c r="Y1279" t="inlineStr">
        <is>
          <t>University of Essex</t>
        </is>
      </c>
      <c r="Z1279" t="inlineStr">
        <is>
          <t>Rogerson, M (corresponding author), Univ Essex, Sch Biol Sci, Ctr Sports &amp; Exercise Sci, Wivenhoe Pk, Colchester CO4 3SQ, Essex, England.</t>
        </is>
      </c>
      <c r="AA1279" t="inlineStr">
        <is>
          <t>mrogerp@essex.ac.uk</t>
        </is>
      </c>
      <c r="AB1279" t="inlineStr">
        <is>
          <t>Barton, Jo L/E-5865-2011</t>
        </is>
      </c>
      <c r="AC1279" t="inlineStr">
        <is>
          <t>Barton, Jo/0000-0003-3548-9478</t>
        </is>
      </c>
      <c r="AH1279" t="n">
        <v>70</v>
      </c>
      <c r="AI1279" t="n">
        <v>39</v>
      </c>
      <c r="AJ1279" t="n">
        <v>40</v>
      </c>
      <c r="AK1279" t="n">
        <v>10</v>
      </c>
      <c r="AL1279" t="n">
        <v>50</v>
      </c>
      <c r="AM1279" t="inlineStr">
        <is>
          <t>MDPI</t>
        </is>
      </c>
      <c r="AN1279" t="inlineStr">
        <is>
          <t>BASEL</t>
        </is>
      </c>
      <c r="AO1279" t="inlineStr">
        <is>
          <t>ST ALBAN-ANLAGE 66, CH-4052 BASEL, SWITZERLAND</t>
        </is>
      </c>
      <c r="AP1279" t="inlineStr">
        <is>
          <t>1660-4601</t>
        </is>
      </c>
      <c r="AS1279" t="inlineStr">
        <is>
          <t>INT J ENV RES PUB HE</t>
        </is>
      </c>
      <c r="AT1279" t="inlineStr">
        <is>
          <t>Int. J. Environ. Res. Public Health</t>
        </is>
      </c>
      <c r="AU1279" t="inlineStr">
        <is>
          <t>JUL</t>
        </is>
      </c>
      <c r="AV1279" t="n">
        <v>2015</v>
      </c>
      <c r="AW1279" t="n">
        <v>12</v>
      </c>
      <c r="AX1279" t="n">
        <v>7</v>
      </c>
      <c r="BC1279" t="n">
        <v>7321</v>
      </c>
      <c r="BD1279" t="n">
        <v>7336</v>
      </c>
      <c r="BF1279" t="inlineStr">
        <is>
          <t>10.3390/ijerph120707321</t>
        </is>
      </c>
      <c r="BG1279">
        <f>HYPERLINK("http://dx.doi.org/10.3390/ijerph120707321","http://dx.doi.org/10.3390/ijerph120707321")</f>
        <v/>
      </c>
      <c r="BJ1279" t="n">
        <v>16</v>
      </c>
      <c r="BK1279" t="inlineStr">
        <is>
          <t>Environmental Sciences; Public, Environmental &amp; Occupational Health</t>
        </is>
      </c>
      <c r="BL1279" t="inlineStr">
        <is>
          <t>Science Citation Index Expanded (SCI-EXPANDED); Social Science Citation Index (SSCI)</t>
        </is>
      </c>
      <c r="BM1279" t="inlineStr">
        <is>
          <t>Environmental Sciences &amp; Ecology; Public, Environmental &amp; Occupational Health</t>
        </is>
      </c>
      <c r="BN1279" t="inlineStr">
        <is>
          <t>CO7MB</t>
        </is>
      </c>
      <c r="BO1279" t="n">
        <v>26133125</v>
      </c>
      <c r="BP1279" t="inlineStr">
        <is>
          <t>Green Published, Green Submitted, gold, Green Accepted</t>
        </is>
      </c>
      <c r="BS1279" t="inlineStr">
        <is>
          <t>2023-10-26</t>
        </is>
      </c>
      <c r="BT1279" t="inlineStr">
        <is>
          <t>WOS:000359342300015</t>
        </is>
      </c>
      <c r="BU1279">
        <f>HYPERLINK("https%3A%2F%2Fwww.webofscience.com%2Fwos%2Fwoscc%2Ffull-record%2FWOS:000359342300015","View Full Record in Web of Science")</f>
        <v/>
      </c>
    </row>
    <row r="1280">
      <c r="A1280" t="inlineStr">
        <is>
          <t>J</t>
        </is>
      </c>
      <c r="B1280" t="inlineStr">
        <is>
          <t>Walls, KL; Boulic, M; Boddy, JWD</t>
        </is>
      </c>
      <c r="F1280" t="inlineStr">
        <is>
          <t>Walls, Kelvin L.; Boulic, Mikael; Boddy, John W. D.</t>
        </is>
      </c>
      <c r="J1280" t="inlineStr">
        <is>
          <t>INTERNATIONAL JOURNAL OF ENVIRONMENTAL RESEARCH AND PUBLIC HEALTH</t>
        </is>
      </c>
      <c r="M1280" t="inlineStr">
        <is>
          <t>English</t>
        </is>
      </c>
      <c r="N1280" t="inlineStr">
        <is>
          <t>Editorial Material</t>
        </is>
      </c>
      <c r="T1280" t="inlineStr">
        <is>
          <t>The Built Environment-A Missing Cause of the Causes of Non-Communicable Diseases</t>
        </is>
      </c>
      <c r="U1280" t="inlineStr">
        <is>
          <t>United Nations 25 x 25 Strategy; non-communicable diseases (NCDs); built environment; hazardous building materials; involuntary causes; global NCD burden; missing NCDs; missing causes; environmental factors; sick building syndrome</t>
        </is>
      </c>
      <c r="V1280" t="inlineStr">
        <is>
          <t>RANDOMIZED CONTROLLED-TRIAL; INDOOR AIR-POLLUTION; LUNG-CANCER; COPPER; HEALTH; RISK; ASSOCIATION; ASBESTOS; DAMPNESS; GROWTH</t>
        </is>
      </c>
      <c r="W1280" t="inlineStr">
        <is>
          <t>The United Nations 25 x 25 Strategy of decreasing non-communicable diseases (NCDs), including cardiovascular diseases, diabetes, cancer and chronic respiratory diseases, by 25% by 2025 does not appear to take into account all causes of NCDs. Its focus is on a few diseases, which are often linked with life-style factors with voluntary modifiable behavioral risk factors causes tending towards an over-simplification of the issues. We propose to add some aspects of our built environment related to hazardous building materials, and detailed form of the construction of infrastructure and buildings, which we think are some of the missing causes of NCDs. Some of these could be termed involuntary causes, as they relate to factors that are beyond the control of the general public.</t>
        </is>
      </c>
      <c r="X1280" t="inlineStr">
        <is>
          <t>[Walls, Kelvin L.] Bldg Code Consultants Ltd, POB 99613, Auckland 1149, New Zealand; [Boddy, John W. D.] MWH Stantec, Urban Planning &amp; Environm Serv, Level 3,111 Carlton Gore Rd, Auckland 0745, New Zealand</t>
        </is>
      </c>
      <c r="Z1280" t="inlineStr">
        <is>
          <t>Walls, KL (corresponding author), Bldg Code Consultants Ltd, POB 99613, Auckland 1149, New Zealand.</t>
        </is>
      </c>
      <c r="AA1280" t="inlineStr">
        <is>
          <t>buildcode@xtra.co.nz; m.boulic@massey.ac.nz; Doug.Boddy@mwhglobal.com</t>
        </is>
      </c>
      <c r="AB1280" t="inlineStr">
        <is>
          <t>Walls, Kelvin L./X-9152-2019; BOULIC, MIKAEL/D-4440-2012</t>
        </is>
      </c>
      <c r="AC1280" t="inlineStr">
        <is>
          <t>BOULIC, MIKAEL/0000-0002-2184-0506</t>
        </is>
      </c>
      <c r="AH1280" t="n">
        <v>95</v>
      </c>
      <c r="AI1280" t="n">
        <v>7</v>
      </c>
      <c r="AJ1280" t="n">
        <v>7</v>
      </c>
      <c r="AK1280" t="n">
        <v>2</v>
      </c>
      <c r="AL1280" t="n">
        <v>13</v>
      </c>
      <c r="AM1280" t="inlineStr">
        <is>
          <t>MDPI</t>
        </is>
      </c>
      <c r="AN1280" t="inlineStr">
        <is>
          <t>BASEL</t>
        </is>
      </c>
      <c r="AO1280" t="inlineStr">
        <is>
          <t>ST ALBAN-ANLAGE 66, CH-4052 BASEL, SWITZERLAND</t>
        </is>
      </c>
      <c r="AQ1280" t="inlineStr">
        <is>
          <t>1660-4601</t>
        </is>
      </c>
      <c r="AS1280" t="inlineStr">
        <is>
          <t>INT J ENV RES PUB HE</t>
        </is>
      </c>
      <c r="AT1280" t="inlineStr">
        <is>
          <t>Int. J. Environ. Res. Public Health</t>
        </is>
      </c>
      <c r="AU1280" t="inlineStr">
        <is>
          <t>OCT</t>
        </is>
      </c>
      <c r="AV1280" t="n">
        <v>2016</v>
      </c>
      <c r="AW1280" t="n">
        <v>13</v>
      </c>
      <c r="AX1280" t="n">
        <v>10</v>
      </c>
      <c r="BE1280" t="n">
        <v>956</v>
      </c>
      <c r="BF1280" t="inlineStr">
        <is>
          <t>10.3390/ijerph13100956</t>
        </is>
      </c>
      <c r="BG1280">
        <f>HYPERLINK("http://dx.doi.org/10.3390/ijerph13100956","http://dx.doi.org/10.3390/ijerph13100956")</f>
        <v/>
      </c>
      <c r="BJ1280" t="n">
        <v>13</v>
      </c>
      <c r="BK1280" t="inlineStr">
        <is>
          <t>Environmental Sciences; Public, Environmental &amp; Occupational Health</t>
        </is>
      </c>
      <c r="BL1280" t="inlineStr">
        <is>
          <t>Science Citation Index Expanded (SCI-EXPANDED)</t>
        </is>
      </c>
      <c r="BM1280" t="inlineStr">
        <is>
          <t>Environmental Sciences &amp; Ecology; Public, Environmental &amp; Occupational Health</t>
        </is>
      </c>
      <c r="BN1280" t="inlineStr">
        <is>
          <t>EE4KF</t>
        </is>
      </c>
      <c r="BO1280" t="n">
        <v>27690064</v>
      </c>
      <c r="BP1280" t="inlineStr">
        <is>
          <t>gold, Green Submitted, Green Published</t>
        </is>
      </c>
      <c r="BS1280" t="inlineStr">
        <is>
          <t>2023-10-26</t>
        </is>
      </c>
      <c r="BT1280" t="inlineStr">
        <is>
          <t>WOS:000389570100023</t>
        </is>
      </c>
      <c r="BU1280">
        <f>HYPERLINK("https%3A%2F%2Fwww.webofscience.com%2Fwos%2Fwoscc%2Ffull-record%2FWOS:000389570100023","View Full Record in Web of Science")</f>
        <v/>
      </c>
    </row>
    <row r="1281">
      <c r="A1281" t="inlineStr">
        <is>
          <t>J</t>
        </is>
      </c>
      <c r="B1281" t="inlineStr">
        <is>
          <t>Moncatar, TJR; Nakamura, K; Siongco, KL; Rahman, M; Seino, K</t>
        </is>
      </c>
      <c r="F1281" t="inlineStr">
        <is>
          <t>Moncatar, T. J. Robinson; Nakamura, Keiko; Siongco, Kathryn Lizbeth; Rahman, Mosiur; Seino, Kaoruko</t>
        </is>
      </c>
      <c r="J1281" t="inlineStr">
        <is>
          <t>INTERNATIONAL JOURNAL OF ENVIRONMENTAL RESEARCH AND PUBLIC HEALTH</t>
        </is>
      </c>
      <c r="M1281" t="inlineStr">
        <is>
          <t>English</t>
        </is>
      </c>
      <c r="N1281" t="inlineStr">
        <is>
          <t>Article</t>
        </is>
      </c>
      <c r="T1281" t="inlineStr">
        <is>
          <t>Prevalence and Determinants of Self-Reported Injuries among Community-Dwelling Older Adults in the Philippines: A 10-Year Pooled Analysis</t>
        </is>
      </c>
      <c r="U1281" t="inlineStr">
        <is>
          <t>aging; older adults; community-dwelling; injury; pooled analysis; Philippines</t>
        </is>
      </c>
      <c r="V1281" t="inlineStr">
        <is>
          <t>INSURANCE STATUS; RISK-FACTORS; HEALTH-CARE; PEOPLE; BURDEN; TRENDS; IMPACT; FALLS</t>
        </is>
      </c>
      <c r="W1281" t="inlineStr">
        <is>
          <t>Injury among older adults is a serious health concern, but little information is known about it, particularly in developing countries. This study aimed to determine the prevalence of, and examine the socioeconomic, demographic, and health determinants of, self-reported injuries among older Filipinos. Using a pooled data of 21,316 community-dwelling residents aged 60 years or over from three waves of the Philippine National Demographic and Health Survey, multivariate logistic regression analyses were performed to assess the relationship between participants' characteristics and reports of injuries. The total prevalence of self-reported injuries over a 10-year period was at 1.2%. Older adults with either government or private health insurance were more likely to report experiencing injuries (adjusted odds ratio (AOR) 1.55, 95% confidence interval (CI), 1.14-2.11), regardless of socio-demographic and economic status. In contrast, female older adults were found to be associated with a lower likelihood of self-reported injuries, after adjustment for other variables (AOR 0.69, 95% CI 0.53-0.88). Older adults who attained secondary education or higher also showed a lower likelihood of self-reported injuries (AOR 0.53, 95% CI 0.31-0.92). The proportion of older adults with injuries in the Philippines is still relatively low. However, preventive approaches with a special focus on gender, educational attainment, and health insurance status of older adults are warranted.</t>
        </is>
      </c>
      <c r="X1281" t="inlineStr">
        <is>
          <t>[Moncatar, T. J. Robinson; Nakamura, Keiko; Siongco, Kathryn Lizbeth; Seino, Kaoruko] Tokyo Med &amp; Dent Univ, Dept Global Hlth Entrepreneurship, Div Publ Hlth, Tokyo 1138519, Japan; [Nakamura, Keiko; Seino, Kaoruko] World Hlth Org Collaborating Ctr Hlth Cities &amp; Ur, Tokyo 1138519, Japan; [Rahman, Mosiur] Univ Rajshahi, Dept Populat Sci &amp; Human Resource Dev, Rajshahi 6205, Bangladesh</t>
        </is>
      </c>
      <c r="Y1281" t="inlineStr">
        <is>
          <t>Tokyo Medical &amp; Dental University (TMDU); University of Rajshahi</t>
        </is>
      </c>
      <c r="Z1281" t="inlineStr">
        <is>
          <t>Nakamura, K; Seino, K (corresponding author), Tokyo Med &amp; Dent Univ, Dept Global Hlth Entrepreneurship, Div Publ Hlth, Tokyo 1138519, Japan.;Nakamura, K; Seino, K (corresponding author), World Hlth Org Collaborating Ctr Hlth Cities &amp; Ur, Tokyo 1138519, Japan.</t>
        </is>
      </c>
      <c r="AA1281" t="inlineStr">
        <is>
          <t>tjrtmoncatar.ith@tmd.ac.jp; nakamura.ith@tmd.ac.jp; klsiongco.ith@tmd.ac.jp; swaponru_2000@yahoo.com; seino.ith@tmd.ac.jp</t>
        </is>
      </c>
      <c r="AB1281" t="inlineStr">
        <is>
          <t>Moncatar, TJ Robinson T./AAW-2450-2021</t>
        </is>
      </c>
      <c r="AC1281" t="inlineStr">
        <is>
          <t>Moncatar, TJ Robinson T./0000-0001-9661-6640; Siongco, Kathryn Lizbeth L./0000-0003-3897-7119; Nakamura, Keiko/0000-0002-9119-4730</t>
        </is>
      </c>
      <c r="AD1281" t="inlineStr">
        <is>
          <t>World Health Organization Centre for Health Development (WHO Kobe Centre) [WKC: K18017]</t>
        </is>
      </c>
      <c r="AE1281" t="inlineStr">
        <is>
          <t>World Health Organization Centre for Health Development (WHO Kobe Centre)</t>
        </is>
      </c>
      <c r="AF1281" t="inlineStr">
        <is>
          <t>This research was supported by the World Health Organization Centre for Health Development (WHO Kobe Centre-WKC: K18017).</t>
        </is>
      </c>
      <c r="AH1281" t="n">
        <v>52</v>
      </c>
      <c r="AI1281" t="n">
        <v>5</v>
      </c>
      <c r="AJ1281" t="n">
        <v>5</v>
      </c>
      <c r="AK1281" t="n">
        <v>1</v>
      </c>
      <c r="AL1281" t="n">
        <v>2</v>
      </c>
      <c r="AM1281" t="inlineStr">
        <is>
          <t>MDPI</t>
        </is>
      </c>
      <c r="AN1281" t="inlineStr">
        <is>
          <t>BASEL</t>
        </is>
      </c>
      <c r="AO1281" t="inlineStr">
        <is>
          <t>ST ALBAN-ANLAGE 66, CH-4052 BASEL, SWITZERLAND</t>
        </is>
      </c>
      <c r="AQ1281" t="inlineStr">
        <is>
          <t>1660-4601</t>
        </is>
      </c>
      <c r="AS1281" t="inlineStr">
        <is>
          <t>INT J ENV RES PUB HE</t>
        </is>
      </c>
      <c r="AT1281" t="inlineStr">
        <is>
          <t>Int. J. Environ. Res. Public Health</t>
        </is>
      </c>
      <c r="AU1281" t="inlineStr">
        <is>
          <t>JUN</t>
        </is>
      </c>
      <c r="AV1281" t="n">
        <v>2020</v>
      </c>
      <c r="AW1281" t="n">
        <v>17</v>
      </c>
      <c r="AX1281" t="n">
        <v>12</v>
      </c>
      <c r="BE1281" t="n">
        <v>4372</v>
      </c>
      <c r="BF1281" t="inlineStr">
        <is>
          <t>10.3390/ijerph17124372</t>
        </is>
      </c>
      <c r="BG1281">
        <f>HYPERLINK("http://dx.doi.org/10.3390/ijerph17124372","http://dx.doi.org/10.3390/ijerph17124372")</f>
        <v/>
      </c>
      <c r="BJ1281" t="n">
        <v>16</v>
      </c>
      <c r="BK1281" t="inlineStr">
        <is>
          <t>Environmental Sciences; Public, Environmental &amp; Occupational Health</t>
        </is>
      </c>
      <c r="BL1281" t="inlineStr">
        <is>
          <t>Science Citation Index Expanded (SCI-EXPANDED); Social Science Citation Index (SSCI)</t>
        </is>
      </c>
      <c r="BM1281" t="inlineStr">
        <is>
          <t>Environmental Sciences &amp; Ecology; Public, Environmental &amp; Occupational Health</t>
        </is>
      </c>
      <c r="BN1281" t="inlineStr">
        <is>
          <t>MR9DY</t>
        </is>
      </c>
      <c r="BO1281" t="n">
        <v>32570797</v>
      </c>
      <c r="BP1281" t="inlineStr">
        <is>
          <t>gold, Green Published</t>
        </is>
      </c>
      <c r="BS1281" t="inlineStr">
        <is>
          <t>2023-10-26</t>
        </is>
      </c>
      <c r="BT1281" t="inlineStr">
        <is>
          <t>WOS:000553890400001</t>
        </is>
      </c>
      <c r="BU1281">
        <f>HYPERLINK("https%3A%2F%2Fwww.webofscience.com%2Fwos%2Fwoscc%2Ffull-record%2FWOS:000553890400001","View Full Record in Web of Science")</f>
        <v/>
      </c>
    </row>
    <row r="1282">
      <c r="A1282" t="inlineStr">
        <is>
          <t>J</t>
        </is>
      </c>
      <c r="B1282" t="inlineStr">
        <is>
          <t>Son, H; Cho, HJ; Cho, SH; Ryu, J; Kim, S</t>
        </is>
      </c>
      <c r="F1282" t="inlineStr">
        <is>
          <t>Son, Hyegyeong; Cho, Heeran J.; Cho, Sunghwan; Ryu, Juhyun; Kim, Sunghee</t>
        </is>
      </c>
      <c r="J1282" t="inlineStr">
        <is>
          <t>INTERNATIONAL JOURNAL OF ENVIRONMENTAL RESEARCH AND PUBLIC HEALTH</t>
        </is>
      </c>
      <c r="M1282" t="inlineStr">
        <is>
          <t>English</t>
        </is>
      </c>
      <c r="N1282" t="inlineStr">
        <is>
          <t>Article</t>
        </is>
      </c>
      <c r="T1282" t="inlineStr">
        <is>
          <t>The Moderating Effect of Social Support between Loneliness and Depression: Differences between the Young-Old and the Old-Old</t>
        </is>
      </c>
      <c r="U1282" t="inlineStr">
        <is>
          <t>social support; loneliness; depression; older adults; CES-D</t>
        </is>
      </c>
      <c r="V1282" t="inlineStr">
        <is>
          <t>LIFE SATISFACTION; ADULTS; SYMPTOMS; HEALTH; RISK; GENDER; OUTCOMES; PEOPLE; AGE</t>
        </is>
      </c>
      <c r="W1282" t="inlineStr">
        <is>
          <t>This study aimed to investigate the moderation of social support in the association between loneliness and depression in different age groups of older adults. The sample consisted of 1532 community-dwelling adults aged 65 years or older, based on the data from the National Social Life, Health, and Aging Project (NSHAP), Wave 3 (2015-2016). Eleven items of the Center for Epidemiologic Studies Depression Scale (CES-D) were used to measure depressive symptoms. Similarly, a four-item scale was used to measure social support (each from spouse and family), and a three-item scale for loneliness. The results were as follows. Loneliness was associated with depression in both the young-old and the old-old groups. Spousal support and family support were associated with reduced depression in the young-old group, whereas only spousal support was associated with relieving depression in the old-old group. Social support had a significant moderating effect on the relationship between loneliness and depression in the old-old group, whereas it had no significant effect in the young-old group. From these results, it can be concluded that spousal support plays a significant role in seniors' mental health. The role of caregivers for a person's well-being grows later in life, so practitioners could help couples communicate with this consideration. In addition, regular contacts with family members and spousal support are recommended to prevent older old adults' depression.</t>
        </is>
      </c>
      <c r="X1282" t="inlineStr">
        <is>
          <t>[Son, Hyegyeong] Kosin Univ, Coll Nursing, Busan 49104, South Korea; [Cho, Heeran J.] Yonsei Univ, Dept Hlth Adm, Seoul 03021, South Korea; [Cho, Sunghwan] Virginia Commonwealth Univ, Sch Social Work, Richmond, VA 23284 USA; [Ryu, Juhyun; Kim, Sunghee] Yonsei Univ, Grad Sch Social Welfare, Seoul 03722, South Korea</t>
        </is>
      </c>
      <c r="Y1282" t="inlineStr">
        <is>
          <t>Yonsei University; Virginia Commonwealth University; Yonsei University</t>
        </is>
      </c>
      <c r="Z1282" t="inlineStr">
        <is>
          <t>Cho, HJ (corresponding author), Yonsei Univ, Dept Hlth Adm, Seoul 03021, South Korea.</t>
        </is>
      </c>
      <c r="AA1282" t="inlineStr">
        <is>
          <t>hkprin@kosin.ac.kr; heerancho@yonsei.ac.kr; chos11@vcu.edu; jun.r.openbox@gmail.com; ohmyenergy@gmail.com</t>
        </is>
      </c>
      <c r="AC1282" t="inlineStr">
        <is>
          <t>Cho, Heeran Jamie/0000-0001-9116-7874; Kim, Sunghee/0000-0002-2644-8466; Cho, Sunghwan/0000-0001-7616-8094</t>
        </is>
      </c>
      <c r="AH1282" t="n">
        <v>48</v>
      </c>
      <c r="AI1282" t="n">
        <v>7</v>
      </c>
      <c r="AJ1282" t="n">
        <v>7</v>
      </c>
      <c r="AK1282" t="n">
        <v>4</v>
      </c>
      <c r="AL1282" t="n">
        <v>35</v>
      </c>
      <c r="AM1282" t="inlineStr">
        <is>
          <t>MDPI</t>
        </is>
      </c>
      <c r="AN1282" t="inlineStr">
        <is>
          <t>BASEL</t>
        </is>
      </c>
      <c r="AO1282" t="inlineStr">
        <is>
          <t>ST ALBAN-ANLAGE 66, CH-4052 BASEL, SWITZERLAND</t>
        </is>
      </c>
      <c r="AQ1282" t="inlineStr">
        <is>
          <t>1660-4601</t>
        </is>
      </c>
      <c r="AS1282" t="inlineStr">
        <is>
          <t>INT J ENV RES PUB HE</t>
        </is>
      </c>
      <c r="AT1282" t="inlineStr">
        <is>
          <t>Int. J. Environ. Res. Public Health</t>
        </is>
      </c>
      <c r="AU1282" t="inlineStr">
        <is>
          <t>FEB</t>
        </is>
      </c>
      <c r="AV1282" t="n">
        <v>2022</v>
      </c>
      <c r="AW1282" t="n">
        <v>19</v>
      </c>
      <c r="AX1282" t="n">
        <v>4</v>
      </c>
      <c r="BE1282" t="n">
        <v>2322</v>
      </c>
      <c r="BF1282" t="inlineStr">
        <is>
          <t>10.3390/ijerph19042322</t>
        </is>
      </c>
      <c r="BG1282">
        <f>HYPERLINK("http://dx.doi.org/10.3390/ijerph19042322","http://dx.doi.org/10.3390/ijerph19042322")</f>
        <v/>
      </c>
      <c r="BJ1282" t="n">
        <v>10</v>
      </c>
      <c r="BK1282" t="inlineStr">
        <is>
          <t>Environmental Sciences; Public, Environmental &amp; Occupational Health</t>
        </is>
      </c>
      <c r="BL1282" t="inlineStr">
        <is>
          <t>Science Citation Index Expanded (SCI-EXPANDED); Social Science Citation Index (SSCI)</t>
        </is>
      </c>
      <c r="BM1282" t="inlineStr">
        <is>
          <t>Environmental Sciences &amp; Ecology; Public, Environmental &amp; Occupational Health</t>
        </is>
      </c>
      <c r="BN1282" t="inlineStr">
        <is>
          <t>ZT2SO</t>
        </is>
      </c>
      <c r="BO1282" t="n">
        <v>35206508</v>
      </c>
      <c r="BP1282" t="inlineStr">
        <is>
          <t>gold, Green Published</t>
        </is>
      </c>
      <c r="BS1282" t="inlineStr">
        <is>
          <t>2023-10-26</t>
        </is>
      </c>
      <c r="BT1282" t="inlineStr">
        <is>
          <t>WOS:000769003900001</t>
        </is>
      </c>
      <c r="BU1282">
        <f>HYPERLINK("https%3A%2F%2Fwww.webofscience.com%2Fwos%2Fwoscc%2Ffull-record%2FWOS:000769003900001","View Full Record in Web of Science")</f>
        <v/>
      </c>
    </row>
    <row r="1283">
      <c r="A1283" t="inlineStr">
        <is>
          <t>J</t>
        </is>
      </c>
      <c r="B1283" t="inlineStr">
        <is>
          <t>Dordevic, A; Milovanovic, A; Milojevic, MP; Zoric, A; Pesic, M; Trajkovic, JR; Nikezic, A; Djokic, V</t>
        </is>
      </c>
      <c r="F1283" t="inlineStr">
        <is>
          <t>Dordevic, Aleksandra; Milovanovic, Aleksandra; Milojevic, Milica P.; Zoric, Ana; Pesic, Mladen; Trajkovic, Jelena Ristic; Nikezic, Ana; Djokic, Vladan</t>
        </is>
      </c>
      <c r="J1283" t="inlineStr">
        <is>
          <t>SUSTAINABILITY</t>
        </is>
      </c>
      <c r="M1283" t="inlineStr">
        <is>
          <t>English</t>
        </is>
      </c>
      <c r="N1283" t="inlineStr">
        <is>
          <t>Article</t>
        </is>
      </c>
      <c r="T1283" t="inlineStr">
        <is>
          <t>Developing Methodological Framework for Addressing Sustainability and Heritage in Architectural Higher Education-Insights from HERSUS Project</t>
        </is>
      </c>
      <c r="U1283" t="inlineStr">
        <is>
          <t>sustainability; heritage; architectural education; Erasmus plus projects; methodology</t>
        </is>
      </c>
      <c r="W1283" t="inlineStr">
        <is>
          <t>This paper addresses the challenges of architectural higher education to cope with a state of continuous change within the relationship between heritage and sustainability. The initial assumption is that research activities based on design taxonomies-terms used in architectural discourse of heritage and sustainability-followed by fruitful analysis and discussion can contribute to the advancements in curricula design and development. Accordingly, the paper aims to develop a new methodological framework for addressing sustainability and heritage, enriching curricula design and assessment strategy. Data collection on identification and analysis of terms was carried out within the Erasmus+ Strategic Partnership titled Enhancing of Heritage Awareness and Sustainability of Built Environment in Architectural and Urban Design Higher Education (HERSUS). After the process of filtering, interpretation, and comparison of project findings, a three-fold comprehensive analysis was conducted: (a) learning outcome quantitative analysis, (b) cross-cutting analysis of spatial scales and course types, and (c) synthesis. The paper results in the methodological framework that reinforces different pedagogical approaches to heritage and sustainability derived as a result of the applied research process. The main conclusions are concerned with the applicability of the methodological framework, designed for the improvement of existing and development of new comprehensive courses and programme contents.</t>
        </is>
      </c>
      <c r="X1283" t="inlineStr">
        <is>
          <t>[Dordevic, Aleksandra; Milovanovic, Aleksandra; Milojevic, Milica P.; Zoric, Ana; Pesic, Mladen; Trajkovic, Jelena Ristic; Nikezic, Ana; Djokic, Vladan] Univ Belgrade, Fac Architecture, Belgrade 11000, Serbia</t>
        </is>
      </c>
      <c r="Y1283" t="inlineStr">
        <is>
          <t>University of Belgrade</t>
        </is>
      </c>
      <c r="Z1283" t="inlineStr">
        <is>
          <t>Milovanovic, A (corresponding author), Univ Belgrade, Fac Architecture, Belgrade 11000, Serbia.</t>
        </is>
      </c>
      <c r="AA1283" t="inlineStr">
        <is>
          <t>aleksandra.dj@arh.bg.ac.rs; alekmil@arh.bg.ac.rs; m.milojevic@arh.bg.ac.rs; ana.zoric@arh.bg.ac.rs; mladen.pesic@arh.bg.ac.rs; jelena.ristic@arh.bg.ac.rs; ana.nikezic@arh.bg.ac.rs; vdjokic@arh.bg.ac.rs</t>
        </is>
      </c>
      <c r="AB1283" t="inlineStr">
        <is>
          <t>Pesic, Mladen/HIR-6691-2022; Nikezic, Ana Z/S-7482-2017; Djokic, Vladan/HGD-1097-2022; Milovanovic, Aleksandra/ABF-4902-2020</t>
        </is>
      </c>
      <c r="AC1283" t="inlineStr">
        <is>
          <t>Pesic, Mladen/0000-0002-3365-8939; Nikezic, Ana Z/0000-0003-0158-731X; Djokic, Vladan/0000-0002-8655-0964; Milovanovic, Aleksandra/0000-0003-0305-9318; Ristic Trajkovic, Jelena/0000-0001-8792-5599; Djordjevic, Aleksandra/0000-0002-8051-0937</t>
        </is>
      </c>
      <c r="AD1283" t="inlineStr">
        <is>
          <t>Ministry of Education, Science, and Technological Development of the Republic of Serbia [451-03-68/2020-14/200090]; University of Belgrade, Faculty of Architecture as a Lead organisation, Iuav Universita di Venezia; University of Cyprus; Aristotle University of Thessaloniki; University of Seville, UNESCO Chair on Built Urban Heritage CREhAR; Erasmus+ Programme of the European Union; [2020-1-RS01-KA203-065407]</t>
        </is>
      </c>
      <c r="AE1283" t="inlineStr">
        <is>
          <t>Ministry of Education, Science, and Technological Development of the Republic of Serbia(Ministry of Education, Science &amp; Technological Development, Serbia); University of Belgrade, Faculty of Architecture as a Lead organisation, Iuav Universita di Venezia; University of Cyprus; Aristotle University of Thessaloniki; University of Seville, UNESCO Chair on Built Urban Heritage CREhAR; Erasmus+ Programme of the European Union(Erasmus+);</t>
        </is>
      </c>
      <c r="AF1283" t="inlineStr">
        <is>
          <t>This research was funded by the Ministry of Education, Science, and Technological Development of the Republic of Serbia, grant number 451-03-68/2020-14/200090, and as a part of the HERSUS project, developed in cooperation with the University of Belgrade, Faculty of Architecture as a Lead organisation, Iuav Universita di Venezia, the University of Cyprus, the Aristotle University of Thessaloniki, and the University of Seville, UNESCO Chair on Built Urban Heritage CREhAR in the digital era, co-funded by the Erasmus+ Programme of the European Union (hersus.org). The creation of these resources was co-funded under grant no. 2020-1-RS01-KA203-065407 (funding period 2020-2023).</t>
        </is>
      </c>
      <c r="AH1283" t="n">
        <v>35</v>
      </c>
      <c r="AI1283" t="n">
        <v>1</v>
      </c>
      <c r="AJ1283" t="n">
        <v>1</v>
      </c>
      <c r="AK1283" t="n">
        <v>2</v>
      </c>
      <c r="AL1283" t="n">
        <v>15</v>
      </c>
      <c r="AM1283" t="inlineStr">
        <is>
          <t>MDPI</t>
        </is>
      </c>
      <c r="AN1283" t="inlineStr">
        <is>
          <t>BASEL</t>
        </is>
      </c>
      <c r="AO1283" t="inlineStr">
        <is>
          <t>ST ALBAN-ANLAGE 66, CH-4052 BASEL, SWITZERLAND</t>
        </is>
      </c>
      <c r="AQ1283" t="inlineStr">
        <is>
          <t>2071-1050</t>
        </is>
      </c>
      <c r="AS1283" t="inlineStr">
        <is>
          <t>SUSTAINABILITY-BASEL</t>
        </is>
      </c>
      <c r="AT1283" t="inlineStr">
        <is>
          <t>Sustainability</t>
        </is>
      </c>
      <c r="AU1283" t="inlineStr">
        <is>
          <t>APR</t>
        </is>
      </c>
      <c r="AV1283" t="n">
        <v>2022</v>
      </c>
      <c r="AW1283" t="n">
        <v>14</v>
      </c>
      <c r="AX1283" t="n">
        <v>8</v>
      </c>
      <c r="BE1283" t="n">
        <v>4597</v>
      </c>
      <c r="BF1283" t="inlineStr">
        <is>
          <t>10.3390/su14084597</t>
        </is>
      </c>
      <c r="BG1283">
        <f>HYPERLINK("http://dx.doi.org/10.3390/su14084597","http://dx.doi.org/10.3390/su14084597")</f>
        <v/>
      </c>
      <c r="BJ1283" t="n">
        <v>29</v>
      </c>
      <c r="BK1283" t="inlineStr">
        <is>
          <t>Green &amp; Sustainable Science &amp; Technology; Environmental Sciences; Environmental Studies</t>
        </is>
      </c>
      <c r="BL1283" t="inlineStr">
        <is>
          <t>Science Citation Index Expanded (SCI-EXPANDED); Social Science Citation Index (SSCI)</t>
        </is>
      </c>
      <c r="BM1283" t="inlineStr">
        <is>
          <t>Science &amp; Technology - Other Topics; Environmental Sciences &amp; Ecology</t>
        </is>
      </c>
      <c r="BN1283" t="inlineStr">
        <is>
          <t>0T2BF</t>
        </is>
      </c>
      <c r="BP1283" t="inlineStr">
        <is>
          <t>gold, Green Published</t>
        </is>
      </c>
      <c r="BS1283" t="inlineStr">
        <is>
          <t>2023-10-26</t>
        </is>
      </c>
      <c r="BT1283" t="inlineStr">
        <is>
          <t>WOS:000786776700001</t>
        </is>
      </c>
      <c r="BU1283">
        <f>HYPERLINK("https%3A%2F%2Fwww.webofscience.com%2Fwos%2Fwoscc%2Ffull-record%2FWOS:000786776700001","View Full Record in Web of Science")</f>
        <v/>
      </c>
    </row>
    <row r="1284">
      <c r="A1284" t="inlineStr">
        <is>
          <t>J</t>
        </is>
      </c>
      <c r="B1284" t="inlineStr">
        <is>
          <t>Kadhim-Abid, AL; Ichim, P; Atanasiu, GM</t>
        </is>
      </c>
      <c r="F1284" t="inlineStr">
        <is>
          <t>Kadhim-Abid, Adriana Lucia; Ichim, Pavel; Atanasiu, Gabriela Maria</t>
        </is>
      </c>
      <c r="J1284" t="inlineStr">
        <is>
          <t>ENVIRONMENTAL ENGINEERING AND MANAGEMENT JOURNAL</t>
        </is>
      </c>
      <c r="M1284" t="inlineStr">
        <is>
          <t>English</t>
        </is>
      </c>
      <c r="N1284" t="inlineStr">
        <is>
          <t>Article</t>
        </is>
      </c>
      <c r="T1284" t="inlineStr">
        <is>
          <t>SEASONAL OCCURRENCE OF HEAT ISLAND PHENOMENON IN THE URBAN BUILT ENVIRONMENT</t>
        </is>
      </c>
      <c r="U1284" t="inlineStr">
        <is>
          <t>climate change; heat island; urban built environment; UHI intensity</t>
        </is>
      </c>
      <c r="W1284" t="inlineStr">
        <is>
          <t>Latest analysis regarding the climate change phenomenon arises issues related to air quality, human comfort within urban environments and an increased energy demand attributed to the building sector. The Urban Heat Island (UHI) phenomenon is directly responsible for the poor quality of life in cities and for increased energy consumption. Characteristic features pertaining to a specific urban environment, such as local microclimatic conditions, urban morphology and anthropogenic heat release respectively, generate this phenomenon. Therefore, local studies must be conducted for a specific urban settlement, being very relevant for adopting suitable strategies that aim to counteract the harmful effects of UHI phenomenon. In this respect, the paper presents results of a study case comprising an investigation of the UHI occurrence and intensity for the city of Iasi, Romania. Analysed data is based on information regarding temperature values for the summer of 2013, gathered through an experimental ground-based sensor network comprising 7 observation points within the metropolitan area of Iasi city.</t>
        </is>
      </c>
      <c r="X1284" t="inlineStr">
        <is>
          <t>[Kadhim-Abid, Adriana Lucia; Atanasiu, Gabriela Maria] Gheorghe Asachi Tech Univ Iasi, Fac Civil Engn &amp; Bldg Serv, Dimitrie Mangeron Blvd 1, Iasi, Romania; [Ichim, Pavel] Alexandru Ioan Cuza Univ, Fac Geog &amp; Geol, Carol 1 Blvd 22, Iasi, Romania</t>
        </is>
      </c>
      <c r="Y1284" t="inlineStr">
        <is>
          <t>GH Asachi Technical University; Alexandru Ioan Cuza University</t>
        </is>
      </c>
      <c r="Z1284" t="inlineStr">
        <is>
          <t>Kadhim-Abid, AL (corresponding author), Gheorghe Asachi Tech Univ Iasi, Fac Civil Engn &amp; Bldg Serv, Dimitrie Mangeron Blvd 1, Iasi, Romania.</t>
        </is>
      </c>
      <c r="AA1284" t="inlineStr">
        <is>
          <t>liuhq595@nenu.edu.cn</t>
        </is>
      </c>
      <c r="AB1284" t="inlineStr">
        <is>
          <t>Ichim, Pavel/V-4376-2018</t>
        </is>
      </c>
      <c r="AC1284" t="inlineStr">
        <is>
          <t>Ichim, Pavel/0000-0001-9046-9037</t>
        </is>
      </c>
      <c r="AH1284" t="n">
        <v>24</v>
      </c>
      <c r="AI1284" t="n">
        <v>4</v>
      </c>
      <c r="AJ1284" t="n">
        <v>4</v>
      </c>
      <c r="AK1284" t="n">
        <v>2</v>
      </c>
      <c r="AL1284" t="n">
        <v>12</v>
      </c>
      <c r="AM1284" t="inlineStr">
        <is>
          <t>GH ASACHI TECHNICAL UNIV IASI</t>
        </is>
      </c>
      <c r="AN1284" t="inlineStr">
        <is>
          <t>IASI</t>
        </is>
      </c>
      <c r="AO1284" t="inlineStr">
        <is>
          <t>71 MANGERON BLVD, IASI, 700050, ROMANIA</t>
        </is>
      </c>
      <c r="AP1284" t="inlineStr">
        <is>
          <t>1582-9596</t>
        </is>
      </c>
      <c r="AQ1284" t="inlineStr">
        <is>
          <t>1843-3707</t>
        </is>
      </c>
      <c r="AS1284" t="inlineStr">
        <is>
          <t>ENVIRON ENG MANAG J</t>
        </is>
      </c>
      <c r="AT1284" t="inlineStr">
        <is>
          <t>Environ. Eng. Manag. J.</t>
        </is>
      </c>
      <c r="AU1284" t="inlineStr">
        <is>
          <t>FEB</t>
        </is>
      </c>
      <c r="AV1284" t="n">
        <v>2019</v>
      </c>
      <c r="AW1284" t="n">
        <v>18</v>
      </c>
      <c r="AX1284" t="n">
        <v>2</v>
      </c>
      <c r="BC1284" t="n">
        <v>417</v>
      </c>
      <c r="BD1284" t="n">
        <v>424</v>
      </c>
      <c r="BJ1284" t="n">
        <v>8</v>
      </c>
      <c r="BK1284" t="inlineStr">
        <is>
          <t>Environmental Sciences</t>
        </is>
      </c>
      <c r="BL1284" t="inlineStr">
        <is>
          <t>Science Citation Index Expanded (SCI-EXPANDED)</t>
        </is>
      </c>
      <c r="BM1284" t="inlineStr">
        <is>
          <t>Environmental Sciences &amp; Ecology</t>
        </is>
      </c>
      <c r="BN1284" t="inlineStr">
        <is>
          <t>HS1XI</t>
        </is>
      </c>
      <c r="BS1284" t="inlineStr">
        <is>
          <t>2023-10-26</t>
        </is>
      </c>
      <c r="BT1284" t="inlineStr">
        <is>
          <t>WOS:000463655200014</t>
        </is>
      </c>
      <c r="BU1284">
        <f>HYPERLINK("https%3A%2F%2Fwww.webofscience.com%2Fwos%2Fwoscc%2Ffull-record%2FWOS:000463655200014","View Full Record in Web of Science")</f>
        <v/>
      </c>
    </row>
    <row r="1285">
      <c r="A1285" t="inlineStr">
        <is>
          <t>J</t>
        </is>
      </c>
      <c r="B1285" t="inlineStr">
        <is>
          <t>Zhang, X; Warner, ME; Wethington, E</t>
        </is>
      </c>
      <c r="F1285" t="inlineStr">
        <is>
          <t>Zhang, Xue; Warner, Mildred E.; Wethington, Elaine</t>
        </is>
      </c>
      <c r="J1285" t="inlineStr">
        <is>
          <t>INTERNATIONAL JOURNAL OF ENVIRONMENTAL RESEARCH AND PUBLIC HEALTH</t>
        </is>
      </c>
      <c r="M1285" t="inlineStr">
        <is>
          <t>English</t>
        </is>
      </c>
      <c r="N1285" t="inlineStr">
        <is>
          <t>Article</t>
        </is>
      </c>
      <c r="T1285" t="inlineStr">
        <is>
          <t>Can Age-Friendly Planning Promote Equity in Community Health Across the Rural-Urban Divide in the US?</t>
        </is>
      </c>
      <c r="U1285" t="inlineStr">
        <is>
          <t>community health; rural-urban divide; livability; age-friendly planning; social and built environment</t>
        </is>
      </c>
      <c r="V1285" t="inlineStr">
        <is>
          <t>PHYSICAL-ACTIVITY; NONMETROPOLITAN AREAS; PUBLIC-HEALTH; UNITED-STATES; DISPARITIES; OBESITY; BARRIERS; INCOME; PARTICIPATION; DIRECTIONS</t>
        </is>
      </c>
      <c r="W1285" t="inlineStr">
        <is>
          <t>In the US, rural communities face challenges to meet the community health needs of older adults and children. Meanwhile, rural areas lag in age-friendly built environment and services. AARP, a US based organization promoting livability for all ages, has developed a Livability Index based on the World Health Organization's (WHO) domains of age-friendly communities: health, housing, neighborhood, transportation, environment, engagement, and opportunity. This study links the 2018 AARP Livability Index categories with demographic structure and socio-economic factors from the American Community Survey at the county level in the US to examine if the physical, built and social environment differentiate communities with better community health across the rural-urban divide. Results show that the neighborhood built environment has the largest impact on community health for all county types. Although rural areas lag in community health, those which give more attention to engagement and opportunity rank higher. Rural communities with more African Americans, children, and poor Whites, rank lower on community health. While neighborhood characteristics have the strongest link to community health, a broader approach with attention to age, race, poverty and engagement and opportunity is needed for rural areas.</t>
        </is>
      </c>
      <c r="X1285" t="inlineStr">
        <is>
          <t>[Zhang, Xue; Warner, Mildred E.] Cornell Univ, Dept City &amp; Reg Planning, Ithaca, NY 14853 USA; [Wethington, Elaine] Cornell Univ, Roybal Ctr, Dept Human Dev, Ithaca, NY 14853 USA</t>
        </is>
      </c>
      <c r="Y1285" t="inlineStr">
        <is>
          <t>Cornell University; Cornell University</t>
        </is>
      </c>
      <c r="Z1285" t="inlineStr">
        <is>
          <t>Warner, ME (corresponding author), Cornell Univ, Dept City &amp; Reg Planning, Ithaca, NY 14853 USA.</t>
        </is>
      </c>
      <c r="AA1285" t="inlineStr">
        <is>
          <t>xz435@cornell.edu; mwarner@cornell.edu; ew20@cornell.edu</t>
        </is>
      </c>
      <c r="AC1285" t="inlineStr">
        <is>
          <t>Wethington, Elaine/0000-0002-5036-318X; Zhang, Xue/0000-0002-5786-4235; Warner, Mildred/0000-0002-0109-338X</t>
        </is>
      </c>
      <c r="AD1285" t="inlineStr">
        <is>
          <t>US Department of Agriculture, National Institute for Food and Agriculture [2019-68006-29674]; National Institute on Aging [4 P30 AG022845]</t>
        </is>
      </c>
      <c r="AE1285" t="inlineStr">
        <is>
          <t>US Department of Agriculture, National Institute for Food and Agriculture(United States Department of Agriculture (USDA)); National Institute on Aging(United States Department of Health &amp; Human ServicesNational Institutes of Health (NIH) - USANIH National Institute on Aging (NIA))</t>
        </is>
      </c>
      <c r="AF1285" t="inlineStr">
        <is>
          <t>This research is partly funded by the US Department of Agriculture, National Institute for Food and Agriculture, Grant #2019-68006-29674 and the National Institute on Aging, Grant #4 P30 AG022845.</t>
        </is>
      </c>
      <c r="AH1285" t="n">
        <v>60</v>
      </c>
      <c r="AI1285" t="n">
        <v>21</v>
      </c>
      <c r="AJ1285" t="n">
        <v>21</v>
      </c>
      <c r="AK1285" t="n">
        <v>8</v>
      </c>
      <c r="AL1285" t="n">
        <v>56</v>
      </c>
      <c r="AM1285" t="inlineStr">
        <is>
          <t>MDPI</t>
        </is>
      </c>
      <c r="AN1285" t="inlineStr">
        <is>
          <t>BASEL</t>
        </is>
      </c>
      <c r="AO1285" t="inlineStr">
        <is>
          <t>ST ALBAN-ANLAGE 66, CH-4052 BASEL, SWITZERLAND</t>
        </is>
      </c>
      <c r="AQ1285" t="inlineStr">
        <is>
          <t>1660-4601</t>
        </is>
      </c>
      <c r="AS1285" t="inlineStr">
        <is>
          <t>INT J ENV RES PUB HE</t>
        </is>
      </c>
      <c r="AT1285" t="inlineStr">
        <is>
          <t>Int. J. Environ. Res. Public Health</t>
        </is>
      </c>
      <c r="AU1285" t="inlineStr">
        <is>
          <t>FEB</t>
        </is>
      </c>
      <c r="AV1285" t="n">
        <v>2020</v>
      </c>
      <c r="AW1285" t="n">
        <v>17</v>
      </c>
      <c r="AX1285" t="n">
        <v>4</v>
      </c>
      <c r="BE1285" t="n">
        <v>1275</v>
      </c>
      <c r="BF1285" t="inlineStr">
        <is>
          <t>10.3390/ijerph17041275</t>
        </is>
      </c>
      <c r="BG1285">
        <f>HYPERLINK("http://dx.doi.org/10.3390/ijerph17041275","http://dx.doi.org/10.3390/ijerph17041275")</f>
        <v/>
      </c>
      <c r="BJ1285" t="n">
        <v>16</v>
      </c>
      <c r="BK1285" t="inlineStr">
        <is>
          <t>Environmental Sciences; Public, Environmental &amp; Occupational Health</t>
        </is>
      </c>
      <c r="BL1285" t="inlineStr">
        <is>
          <t>Science Citation Index Expanded (SCI-EXPANDED); Social Science Citation Index (SSCI)</t>
        </is>
      </c>
      <c r="BM1285" t="inlineStr">
        <is>
          <t>Environmental Sciences &amp; Ecology; Public, Environmental &amp; Occupational Health</t>
        </is>
      </c>
      <c r="BN1285" t="inlineStr">
        <is>
          <t>KY2GF</t>
        </is>
      </c>
      <c r="BO1285" t="n">
        <v>32079197</v>
      </c>
      <c r="BP1285" t="inlineStr">
        <is>
          <t>gold, Green Published</t>
        </is>
      </c>
      <c r="BS1285" t="inlineStr">
        <is>
          <t>2023-10-26</t>
        </is>
      </c>
      <c r="BT1285" t="inlineStr">
        <is>
          <t>WOS:000522388500151</t>
        </is>
      </c>
      <c r="BU1285">
        <f>HYPERLINK("https%3A%2F%2Fwww.webofscience.com%2Fwos%2Fwoscc%2Ffull-record%2FWOS:000522388500151","View Full Record in Web of Science")</f>
        <v/>
      </c>
    </row>
    <row r="1286">
      <c r="A1286" t="inlineStr">
        <is>
          <t>J</t>
        </is>
      </c>
      <c r="B1286" t="inlineStr">
        <is>
          <t>Kim, H; Son, H</t>
        </is>
      </c>
      <c r="F1286" t="inlineStr">
        <is>
          <t>Kim, Hyerang; Son, Heesook</t>
        </is>
      </c>
      <c r="J1286" t="inlineStr">
        <is>
          <t>INTERNATIONAL JOURNAL OF ENVIRONMENTAL RESEARCH AND PUBLIC HEALTH</t>
        </is>
      </c>
      <c r="M1286" t="inlineStr">
        <is>
          <t>English</t>
        </is>
      </c>
      <c r="N1286" t="inlineStr">
        <is>
          <t>Article</t>
        </is>
      </c>
      <c r="T1286" t="inlineStr">
        <is>
          <t>Fatigue-Related Factors for Community-Dwelling Older Adults with Diabetes: A Theory-Guided Multi-Dimensional Approach Using the Dynamic Biopsychosocial Model</t>
        </is>
      </c>
      <c r="U1286" t="inlineStr">
        <is>
          <t>fatigue; older adults with diabetes; dynamic biopsychosocial model</t>
        </is>
      </c>
      <c r="V1286" t="inlineStr">
        <is>
          <t>QUALITY-OF-LIFE; MEDICAL NUTRITION THERAPY; PHYSICAL-ACTIVITY; SOCIAL SUPPORT; GLYCEMIC CONTROL; SLEEP QUALITY; SELF-CARE; DEPRESSION; PEOPLE; SCALE</t>
        </is>
      </c>
      <c r="W1286" t="inlineStr">
        <is>
          <t>Older adults with diabetes appear more susceptible to fatigue compared to younger adults with diabetes or healthy older adults, since aging and diabetes independently and synergistically influence fatigue. Few studies have investigated fatigue in older adults with diabetes using a multidimensional approach. This study explored the influences of physical, psychological, interpersonal, and contextual factors on diabetes fatigue using a dynamic biopsychosocial model. Face-to-face surveys were administered to community-dwelling older adults with diabetes and included variables across four domains (i.e., physical, psychological, interpersonal, and contextual factors). Univariate analyses and multiple linear regression were used. The mean fatigue score was 3.94 (standard deviation (SD) = 1.81) out of 7, and the prevalence of fatigue was 48.8%. Significant differences in fatigue severity by psychological, interpersonal, and contextual factors were found. Comorbidity and psychological factors were significant predictors of fatigue in the model, explaining 31.9% of the variance. As nearly half the sample experienced moderate or severe fatigue, which was significantly influenced by both comorbidity and psychological factors, including depression, sleep quality, and diet-related psychological characteristics, assessing patients' psychological status may be important. Awareness of fatigue could be incorporated into dietary interventions for older adults with diabetes.</t>
        </is>
      </c>
      <c r="X1286" t="inlineStr">
        <is>
          <t>[Kim, Hyerang; Son, Heesook] Chung Ang Univ, Red Cross Coll Nursing, Seoul 06974, South Korea</t>
        </is>
      </c>
      <c r="Y1286" t="inlineStr">
        <is>
          <t>Chung Ang University</t>
        </is>
      </c>
      <c r="Z1286" t="inlineStr">
        <is>
          <t>Son, H (corresponding author), Chung Ang Univ, Red Cross Coll Nursing, Seoul 06974, South Korea.</t>
        </is>
      </c>
      <c r="AA1286" t="inlineStr">
        <is>
          <t>hkim167@hotmail.com; hson@cau.ac.kr</t>
        </is>
      </c>
      <c r="AC1286" t="inlineStr">
        <is>
          <t>Kim, Hyerang/0000-0002-8044-2188</t>
        </is>
      </c>
      <c r="AD1286" t="inlineStr">
        <is>
          <t>National Research Foundation of Korea - Korean Government [NRF- 2019R1A2C1006716]</t>
        </is>
      </c>
      <c r="AE1286" t="inlineStr">
        <is>
          <t>National Research Foundation of Korea - Korean Government(National Research Foundation of KoreaKorean Government)</t>
        </is>
      </c>
      <c r="AF1286" t="inlineStr">
        <is>
          <t>This work was supported by a National Research Foundation of Korea Grant funded by the Korean Government (NRF- 2019R1A2C1006716).</t>
        </is>
      </c>
      <c r="AH1286" t="n">
        <v>87</v>
      </c>
      <c r="AI1286" t="n">
        <v>7</v>
      </c>
      <c r="AJ1286" t="n">
        <v>7</v>
      </c>
      <c r="AK1286" t="n">
        <v>0</v>
      </c>
      <c r="AL1286" t="n">
        <v>20</v>
      </c>
      <c r="AM1286" t="inlineStr">
        <is>
          <t>MDPI</t>
        </is>
      </c>
      <c r="AN1286" t="inlineStr">
        <is>
          <t>BASEL</t>
        </is>
      </c>
      <c r="AO1286" t="inlineStr">
        <is>
          <t>ST ALBAN-ANLAGE 66, CH-4052 BASEL, SWITZERLAND</t>
        </is>
      </c>
      <c r="AP1286" t="inlineStr">
        <is>
          <t>1661-7827</t>
        </is>
      </c>
      <c r="AQ1286" t="inlineStr">
        <is>
          <t>1660-4601</t>
        </is>
      </c>
      <c r="AS1286" t="inlineStr">
        <is>
          <t>INT J ENV RES PUB HE</t>
        </is>
      </c>
      <c r="AT1286" t="inlineStr">
        <is>
          <t>Int. J. Environ. Res. Public Health</t>
        </is>
      </c>
      <c r="AU1286" t="inlineStr">
        <is>
          <t>NOV</t>
        </is>
      </c>
      <c r="AV1286" t="n">
        <v>2019</v>
      </c>
      <c r="AW1286" t="n">
        <v>16</v>
      </c>
      <c r="AX1286" t="n">
        <v>22</v>
      </c>
      <c r="BE1286" t="n">
        <v>4502</v>
      </c>
      <c r="BF1286" t="inlineStr">
        <is>
          <t>10.3390/ijerph16224502</t>
        </is>
      </c>
      <c r="BG1286">
        <f>HYPERLINK("http://dx.doi.org/10.3390/ijerph16224502","http://dx.doi.org/10.3390/ijerph16224502")</f>
        <v/>
      </c>
      <c r="BJ1286" t="n">
        <v>15</v>
      </c>
      <c r="BK1286" t="inlineStr">
        <is>
          <t>Environmental Sciences; Public, Environmental &amp; Occupational Health</t>
        </is>
      </c>
      <c r="BL1286" t="inlineStr">
        <is>
          <t>Science Citation Index Expanded (SCI-EXPANDED); Social Science Citation Index (SSCI)</t>
        </is>
      </c>
      <c r="BM1286" t="inlineStr">
        <is>
          <t>Environmental Sciences &amp; Ecology; Public, Environmental &amp; Occupational Health</t>
        </is>
      </c>
      <c r="BN1286" t="inlineStr">
        <is>
          <t>JV0KZ</t>
        </is>
      </c>
      <c r="BO1286" t="n">
        <v>31731588</v>
      </c>
      <c r="BP1286" t="inlineStr">
        <is>
          <t>Green Published, gold</t>
        </is>
      </c>
      <c r="BS1286" t="inlineStr">
        <is>
          <t>2023-10-26</t>
        </is>
      </c>
      <c r="BT1286" t="inlineStr">
        <is>
          <t>WOS:000502057400199</t>
        </is>
      </c>
      <c r="BU1286">
        <f>HYPERLINK("https%3A%2F%2Fwww.webofscience.com%2Fwos%2Fwoscc%2Ffull-record%2FWOS:000502057400199","View Full Record in Web of Science")</f>
        <v/>
      </c>
    </row>
    <row r="1287">
      <c r="A1287" t="inlineStr">
        <is>
          <t>J</t>
        </is>
      </c>
      <c r="B1287" t="inlineStr">
        <is>
          <t>Ma, Q; Chan, AHS; Teh, PL</t>
        </is>
      </c>
      <c r="F1287" t="inlineStr">
        <is>
          <t>Ma, Qi; Chan, Alan H. S.; Teh, Pei-Lee</t>
        </is>
      </c>
      <c r="J1287" t="inlineStr">
        <is>
          <t>SUSTAINABILITY</t>
        </is>
      </c>
      <c r="M1287" t="inlineStr">
        <is>
          <t>English</t>
        </is>
      </c>
      <c r="N1287" t="inlineStr">
        <is>
          <t>Article</t>
        </is>
      </c>
      <c r="T1287" t="inlineStr">
        <is>
          <t>Bridging the Digital Divide for Older Adults via Observational Training: Effects of Model Identity from a Generational Perspective</t>
        </is>
      </c>
      <c r="U1287" t="inlineStr">
        <is>
          <t>digital divide; older adults; aging; training; technology acceptance; model identity; generation</t>
        </is>
      </c>
      <c r="V1287" t="inlineStr">
        <is>
          <t>COMPUTER SELF-EFFICACY; SOCIAL COGNITIVE THEORY; TECHNOLOGY ACCEPTANCE; INFORMATION-TECHNOLOGY; GERONTECHNOLOGY ACCEPTANCE; INTERNET ADOPTION; USER ACCEPTANCE; BEHAVIOR; CONNECTEDNESS; CHINESE</t>
        </is>
      </c>
      <c r="W1287" t="inlineStr">
        <is>
          <t>The proliferation of technology offers potential solutions for enhancing the well-being of older adults. However, older adults often have low digital literacy and are disengaged from the digital world. With age-appropriate training, older adults are expected to acquire a wide range of technological skills and bridge the digital divide. Through the lens of social cognitive theory, this study aims to investigate the effectiveness of observational training through behavior modeling in enhancing technology acceptance in older adults. The moderating effects of model identity on training outcomes from a generational perspective are examined. An empirical training experiment was completed with 59 community-dwelling older adults. Training outcomes were measured using cognitive knowledge, affective variables, and meta-cognition. The results ascertain the effectiveness of observational training in improving their technological knowledge, self-efficacy, outcome expectations, and sense of social connectedness when using technologies. From a generational perspective, the older adult behavior model is more effective than the young or child behavior models in increasing self-efficacy and willingness to use technology. The model identity further enhances the positive outcomes of training. The results of this study contribute to designing educational interventions to bridge the digital divide.</t>
        </is>
      </c>
      <c r="X1287" t="inlineStr">
        <is>
          <t>[Ma, Qi] Beihang Univ, Sch Publ Adm, Beijing 100191, Peoples R China; [Chan, Alan H. S.] City Univ Hong Kong, Dept Syst Engn &amp; Engn Management, Kowloon Tong, Hong Kong, Peoples R China; [Teh, Pei-Lee] Monash Univ Malaysia, Sch Business, Gerontechnol Lab, Bandar Sunway 47500, Selangor Darul, Malaysia</t>
        </is>
      </c>
      <c r="Y1287" t="inlineStr">
        <is>
          <t>Beihang University; City University of Hong Kong; Monash University; Monash University Sunway</t>
        </is>
      </c>
      <c r="Z1287" t="inlineStr">
        <is>
          <t>Ma, Q (corresponding author), Beihang Univ, Sch Publ Adm, Beijing 100191, Peoples R China.</t>
        </is>
      </c>
      <c r="AA1287" t="inlineStr">
        <is>
          <t>maqi525@buaa.edu.cn; alan.chan@cityu.edu.hk; teh.pei.lee@monash.edu</t>
        </is>
      </c>
      <c r="AB1287" t="inlineStr">
        <is>
          <t>Teh, Pei-Lee/B-6311-2009; Teh, Pei-Lee/AAX-5636-2020</t>
        </is>
      </c>
      <c r="AC1287" t="inlineStr">
        <is>
          <t>Teh, Pei-Lee/0000-0002-9107-478X; Teh, Pei-Lee/0000-0002-9107-478X</t>
        </is>
      </c>
      <c r="AD1287" t="inlineStr">
        <is>
          <t>National Natural Science Foundation of China [71804007]</t>
        </is>
      </c>
      <c r="AE1287" t="inlineStr">
        <is>
          <t>National Natural Science Foundation of China(National Natural Science Foundation of China (NSFC))</t>
        </is>
      </c>
      <c r="AF1287" t="inlineStr">
        <is>
          <t>This study was funded by National Natural Science Foundation of China, Grant Number 71804007.</t>
        </is>
      </c>
      <c r="AH1287" t="n">
        <v>100</v>
      </c>
      <c r="AI1287" t="n">
        <v>20</v>
      </c>
      <c r="AJ1287" t="n">
        <v>21</v>
      </c>
      <c r="AK1287" t="n">
        <v>15</v>
      </c>
      <c r="AL1287" t="n">
        <v>80</v>
      </c>
      <c r="AM1287" t="inlineStr">
        <is>
          <t>MDPI</t>
        </is>
      </c>
      <c r="AN1287" t="inlineStr">
        <is>
          <t>BASEL</t>
        </is>
      </c>
      <c r="AO1287" t="inlineStr">
        <is>
          <t>ST ALBAN-ANLAGE 66, CH-4052 BASEL, SWITZERLAND</t>
        </is>
      </c>
      <c r="AQ1287" t="inlineStr">
        <is>
          <t>2071-1050</t>
        </is>
      </c>
      <c r="AS1287" t="inlineStr">
        <is>
          <t>SUSTAINABILITY-BASEL</t>
        </is>
      </c>
      <c r="AT1287" t="inlineStr">
        <is>
          <t>Sustainability</t>
        </is>
      </c>
      <c r="AU1287" t="inlineStr">
        <is>
          <t>JUN</t>
        </is>
      </c>
      <c r="AV1287" t="n">
        <v>2020</v>
      </c>
      <c r="AW1287" t="n">
        <v>12</v>
      </c>
      <c r="AX1287" t="n">
        <v>11</v>
      </c>
      <c r="BE1287" t="n">
        <v>4555</v>
      </c>
      <c r="BF1287" t="inlineStr">
        <is>
          <t>10.3390/su12114555</t>
        </is>
      </c>
      <c r="BG1287">
        <f>HYPERLINK("http://dx.doi.org/10.3390/su12114555","http://dx.doi.org/10.3390/su12114555")</f>
        <v/>
      </c>
      <c r="BJ1287" t="n">
        <v>24</v>
      </c>
      <c r="BK1287" t="inlineStr">
        <is>
          <t>Green &amp; Sustainable Science &amp; Technology; Environmental Sciences; Environmental Studies</t>
        </is>
      </c>
      <c r="BL1287" t="inlineStr">
        <is>
          <t>Science Citation Index Expanded (SCI-EXPANDED); Social Science Citation Index (SSCI)</t>
        </is>
      </c>
      <c r="BM1287" t="inlineStr">
        <is>
          <t>Science &amp; Technology - Other Topics; Environmental Sciences &amp; Ecology</t>
        </is>
      </c>
      <c r="BN1287" t="inlineStr">
        <is>
          <t>MC6JX</t>
        </is>
      </c>
      <c r="BP1287" t="inlineStr">
        <is>
          <t>gold, Green Published</t>
        </is>
      </c>
      <c r="BS1287" t="inlineStr">
        <is>
          <t>2023-10-26</t>
        </is>
      </c>
      <c r="BT1287" t="inlineStr">
        <is>
          <t>WOS:000543391800218</t>
        </is>
      </c>
      <c r="BU1287">
        <f>HYPERLINK("https%3A%2F%2Fwww.webofscience.com%2Fwos%2Fwoscc%2Ffull-record%2FWOS:000543391800218","View Full Record in Web of Science")</f>
        <v/>
      </c>
    </row>
    <row r="1288">
      <c r="A1288" t="inlineStr">
        <is>
          <t>J</t>
        </is>
      </c>
      <c r="B1288" t="inlineStr">
        <is>
          <t>Yi, YM; Park, YH; Cho, B; Lim, KC; Jang, SN; Chang, SJ; Ko, H; Noh, EY; Ryu, SI</t>
        </is>
      </c>
      <c r="F1288" t="inlineStr">
        <is>
          <t>Yi, Yu Mi; Park, Yeon-Hwan; Cho, BeLong; Lim, Kyung-Choon; Jang, Soong-Nang; Chang, Sun Ju; Ko, Hana; Noh, Eun-Young; Ryu, So Im</t>
        </is>
      </c>
      <c r="J1288" t="inlineStr">
        <is>
          <t>INTERNATIONAL JOURNAL OF ENVIRONMENTAL RESEARCH AND PUBLIC HEALTH</t>
        </is>
      </c>
      <c r="M1288" t="inlineStr">
        <is>
          <t>English</t>
        </is>
      </c>
      <c r="N1288" t="inlineStr">
        <is>
          <t>Article</t>
        </is>
      </c>
      <c r="T1288" t="inlineStr">
        <is>
          <t>Development of a Community-Based Integrated Service Model of Health and Social Care for Older Adults Living Alone</t>
        </is>
      </c>
      <c r="U1288" t="inlineStr">
        <is>
          <t>integrated service; community-dwelling older adults; healthcare; daily life support</t>
        </is>
      </c>
      <c r="W1288" t="inlineStr">
        <is>
          <t>The number of elderly people living alone worldwide is increasing, and the responsibility of the state in this context is emerging. This study aimed to develop a community-based integrated service (CBIS) model of health and social care for older adults living alone. The model was designed based on a literature review of previous community care models and per older adults' health and daily life needs. Thereafter, feedback on the integrated model was taken from older adults living alone by conducting a survey (n = 1023) and focus group interviews, after which the opinions of the Public type Health Management Promotion Council were considered and content validity was confirmed. The model, comprising eight healthcare services and five social care services, was tested on 22 older adults for two weeks to assess its feasibility and preliminary efficiency. Each service included screening, assessment, providing service, evaluation, and quit. Participants rated their overall satisfaction with the services as 9 out of 10. Care navigators reported feeling comforted and discovered their own sense of being while providing the services. We believe that the CBIS model may foster independence among community-dwelling older adults living alone, thereby improving their quality of life through aging in place.</t>
        </is>
      </c>
      <c r="X1288" t="inlineStr">
        <is>
          <t>[Yi, Yu Mi] Kyungnam Coll Informat &amp; Technol, Coll Nursing, Busan 47011, South Korea; [Park, Yeon-Hwan; Chang, Sun Ju] Seoul Natl Univ, Coll Nursing, Seoul 03080, South Korea; [Park, Yeon-Hwan; Chang, Sun Ju; Noh, Eun-Young; Ryu, So Im] Seoul Natl Univ, Res Inst Nursing Sci, Seoul 03080, South Korea; [Cho, BeLong] Seoul Natl Univ, Coll Med, Dept Family Med, Seoul 03080, South Korea; [Lim, Kyung-Choon] Sungshin Univ, Coll Nursing, Seoul 02844, South Korea; [Jang, Soong-Nang] Chung Ang Univ, Red Cross Coll Nursing, Seoul 06974, South Korea; [Ko, Hana] Gachon Univ, Coll Nursing, 191 Hambakmoero, Incheon 21936, South Korea</t>
        </is>
      </c>
      <c r="Y1288" t="inlineStr">
        <is>
          <t>Seoul National University (SNU); Seoul National University (SNU); Seoul National University (SNU); Chung Ang University; Gachon University</t>
        </is>
      </c>
      <c r="Z1288" t="inlineStr">
        <is>
          <t>Park, YH (corresponding author), Seoul Natl Univ, Coll Nursing, Seoul 03080, South Korea.;Park, YH (corresponding author), Seoul Natl Univ, Res Inst Nursing Sci, Seoul 03080, South Korea.</t>
        </is>
      </c>
      <c r="AA1288" t="inlineStr">
        <is>
          <t>yym7493@snu.ac.kr; hanipyh@snu.ac.kr; belong@snu.ac.kr; kclim@sungshin.ac.kr; sjang@cau.ac.kr; changsj@snu.ac.kr; Hanago11@gachon.ac.kr; nossje@snu.ac.kr; soimaym@snu.ac.kr</t>
        </is>
      </c>
      <c r="AB1288" t="inlineStr">
        <is>
          <t>Cho, Belong/GLU-3443-2022; Jang, Soong-nang/AAC-1322-2020</t>
        </is>
      </c>
      <c r="AC1288" t="inlineStr">
        <is>
          <t>Cho, Belong/0000-0001-9558-689X; Jang, Soong-nang/0000-0003-2621-945X; Ko, Hana/0000-0001-9726-5926; Park, Yeon-Hwan/0000-0002-5236-6683; Noh, Eun-Young/0000-0002-4573-6877; Chang, Sun Ju/0000-0001-6967-1564</t>
        </is>
      </c>
      <c r="AD1288" t="inlineStr">
        <is>
          <t>Korea Health Technology R&amp;D Project through the Korea Health Industry Development Institute (KHDI) - Ministry of Health &amp; Welfare, Republic of Korea [HI18C1284]</t>
        </is>
      </c>
      <c r="AE1288" t="inlineStr">
        <is>
          <t>Korea Health Technology R&amp;D Project through the Korea Health Industry Development Institute (KHDI) - Ministry of Health &amp; Welfare, Republic of Korea</t>
        </is>
      </c>
      <c r="AF1288" t="inlineStr">
        <is>
          <t>This research was supported by a grant of the Korea Health Technology R&amp;D Project through the Korea Health Industry Development Institute (KHDI), funded by the Ministry of Health &amp; Welfare, Republic of Korea grant number: HI18C1284, https://www.htdream.kr/.</t>
        </is>
      </c>
      <c r="AH1288" t="n">
        <v>33</v>
      </c>
      <c r="AI1288" t="n">
        <v>11</v>
      </c>
      <c r="AJ1288" t="n">
        <v>11</v>
      </c>
      <c r="AK1288" t="n">
        <v>6</v>
      </c>
      <c r="AL1288" t="n">
        <v>36</v>
      </c>
      <c r="AM1288" t="inlineStr">
        <is>
          <t>MDPI</t>
        </is>
      </c>
      <c r="AN1288" t="inlineStr">
        <is>
          <t>BASEL</t>
        </is>
      </c>
      <c r="AO1288" t="inlineStr">
        <is>
          <t>ST ALBAN-ANLAGE 66, CH-4052 BASEL, SWITZERLAND</t>
        </is>
      </c>
      <c r="AQ1288" t="inlineStr">
        <is>
          <t>1660-4601</t>
        </is>
      </c>
      <c r="AS1288" t="inlineStr">
        <is>
          <t>INT J ENV RES PUB HE</t>
        </is>
      </c>
      <c r="AT1288" t="inlineStr">
        <is>
          <t>Int. J. Environ. Res. Public Health</t>
        </is>
      </c>
      <c r="AU1288" t="inlineStr">
        <is>
          <t>JAN</t>
        </is>
      </c>
      <c r="AV1288" t="n">
        <v>2021</v>
      </c>
      <c r="AW1288" t="n">
        <v>18</v>
      </c>
      <c r="AX1288" t="n">
        <v>2</v>
      </c>
      <c r="BE1288" t="n">
        <v>825</v>
      </c>
      <c r="BF1288" t="inlineStr">
        <is>
          <t>10.3390/ijerph18020825</t>
        </is>
      </c>
      <c r="BG1288">
        <f>HYPERLINK("http://dx.doi.org/10.3390/ijerph18020825","http://dx.doi.org/10.3390/ijerph18020825")</f>
        <v/>
      </c>
      <c r="BJ1288" t="n">
        <v>13</v>
      </c>
      <c r="BK1288" t="inlineStr">
        <is>
          <t>Environmental Sciences; Public, Environmental &amp; Occupational Health</t>
        </is>
      </c>
      <c r="BL1288" t="inlineStr">
        <is>
          <t>Science Citation Index Expanded (SCI-EXPANDED); Social Science Citation Index (SSCI)</t>
        </is>
      </c>
      <c r="BM1288" t="inlineStr">
        <is>
          <t>Environmental Sciences &amp; Ecology; Public, Environmental &amp; Occupational Health</t>
        </is>
      </c>
      <c r="BN1288" t="inlineStr">
        <is>
          <t>PX3JM</t>
        </is>
      </c>
      <c r="BO1288" t="n">
        <v>33478027</v>
      </c>
      <c r="BP1288" t="inlineStr">
        <is>
          <t>gold, Green Published</t>
        </is>
      </c>
      <c r="BS1288" t="inlineStr">
        <is>
          <t>2023-10-26</t>
        </is>
      </c>
      <c r="BT1288" t="inlineStr">
        <is>
          <t>WOS:000611255200001</t>
        </is>
      </c>
      <c r="BU1288">
        <f>HYPERLINK("https%3A%2F%2Fwww.webofscience.com%2Fwos%2Fwoscc%2Ffull-record%2FWOS:000611255200001","View Full Record in Web of Science")</f>
        <v/>
      </c>
    </row>
    <row r="1289">
      <c r="A1289" t="inlineStr">
        <is>
          <t>J</t>
        </is>
      </c>
      <c r="B1289" t="inlineStr">
        <is>
          <t>Lu, N; Xu, SC; Zhou, QH</t>
        </is>
      </c>
      <c r="F1289" t="inlineStr">
        <is>
          <t>Lu, Nan; Xu, Shicun; Zhou, Qinghong</t>
        </is>
      </c>
      <c r="J1289" t="inlineStr">
        <is>
          <t>INTERNATIONAL JOURNAL OF ENVIRONMENTAL RESEARCH AND PUBLIC HEALTH</t>
        </is>
      </c>
      <c r="M1289" t="inlineStr">
        <is>
          <t>English</t>
        </is>
      </c>
      <c r="N1289" t="inlineStr">
        <is>
          <t>Article</t>
        </is>
      </c>
      <c r="T1289" t="inlineStr">
        <is>
          <t>Social Capital and Preferences for Aging in Place Among Older Adults Living in Rural Northeast China</t>
        </is>
      </c>
      <c r="U1289" t="inlineStr">
        <is>
          <t>social capital; aging in place; older adults; rural China</t>
        </is>
      </c>
      <c r="V1289" t="inlineStr">
        <is>
          <t>LOW-INCOME; HEALTH; REFORM; CHALLENGES</t>
        </is>
      </c>
      <c r="W1289" t="inlineStr">
        <is>
          <t>The present study examines the association between cognitive social capital and structural social capital and aging-in-place among older adults living in rural Northeastern Chinese communities. Data were derived from a survey conducted in Dongliao County, Jilin Province, China, in late 2019. A quota sampling approach was used to recruit 458 respondents aged 60 years and older. Structural equation modeling was applied to test the proposed model. The results show that the measurement models of cognitive social capital and structural social capital were established in rural Chinese communities. Structural social capital was found to have a higher effect on aging in place than cognitive social capital (structural social capital: beta = 0.241,p&lt; 0.001; cognitive social capital: beta = 0.118,p&lt; 0.05). The findings highlight the crucial role both cognitive and structural social capital play in affecting the preference for aging in place among older rural Chinese adults. Policy and intervention implications are discussed.</t>
        </is>
      </c>
      <c r="X1289" t="inlineStr">
        <is>
          <t>[Lu, Nan; Zhou, Qinghong] Renmin Univ China, Sch Sociol &amp; Populat Studies, Dept Social Work &amp; Social Policy, Beijing 100872, Peoples R China; [Lu, Nan] Univ Hong Kong, Sau Po Ctr Ageing, Hong Kong, Peoples R China; [Xu, Shicun] Jilin Univ, Northeast Asian Studies Coll, Dept Populat Resources &amp; Environm, Changchun 130012, Peoples R China</t>
        </is>
      </c>
      <c r="Y1289" t="inlineStr">
        <is>
          <t>Renmin University of China; University of Hong Kong; Jilin University</t>
        </is>
      </c>
      <c r="Z1289" t="inlineStr">
        <is>
          <t>Xu, SC (corresponding author), Jilin Univ, Northeast Asian Studies Coll, Dept Populat Resources &amp; Environm, Changchun 130012, Peoples R China.</t>
        </is>
      </c>
      <c r="AA1289" t="inlineStr">
        <is>
          <t>nalv9728@ruc.edu.cn; xushicun@jlu.edu.cn; 2019103845@ruc.edu.cn</t>
        </is>
      </c>
      <c r="AB1289" t="inlineStr">
        <is>
          <t>Lu, Nan/R-7679-2019</t>
        </is>
      </c>
      <c r="AC1289" t="inlineStr">
        <is>
          <t>Lu, Nan/0000-0001-9006-6254</t>
        </is>
      </c>
      <c r="AD1289" t="inlineStr">
        <is>
          <t>Fundamental Research Funds for the Central Universities; Research Funds of Renmin University of China [20XNA022]</t>
        </is>
      </c>
      <c r="AE1289" t="inlineStr">
        <is>
          <t>Fundamental Research Funds for the Central Universities(Fundamental Research Funds for the Central Universities); Research Funds of Renmin University of China</t>
        </is>
      </c>
      <c r="AF1289" t="inlineStr">
        <is>
          <t>This study was supported by the Fundamental Research Funds for the Central Universities and the Research Funds of Renmin University of China (20XNA022).</t>
        </is>
      </c>
      <c r="AH1289" t="n">
        <v>35</v>
      </c>
      <c r="AI1289" t="n">
        <v>2</v>
      </c>
      <c r="AJ1289" t="n">
        <v>2</v>
      </c>
      <c r="AK1289" t="n">
        <v>1</v>
      </c>
      <c r="AL1289" t="n">
        <v>31</v>
      </c>
      <c r="AM1289" t="inlineStr">
        <is>
          <t>MDPI</t>
        </is>
      </c>
      <c r="AN1289" t="inlineStr">
        <is>
          <t>BASEL</t>
        </is>
      </c>
      <c r="AO1289" t="inlineStr">
        <is>
          <t>ST ALBAN-ANLAGE 66, CH-4052 BASEL, SWITZERLAND</t>
        </is>
      </c>
      <c r="AQ1289" t="inlineStr">
        <is>
          <t>1660-4601</t>
        </is>
      </c>
      <c r="AS1289" t="inlineStr">
        <is>
          <t>INT J ENV RES PUB HE</t>
        </is>
      </c>
      <c r="AT1289" t="inlineStr">
        <is>
          <t>Int. J. Environ. Res. Public Health</t>
        </is>
      </c>
      <c r="AU1289" t="inlineStr">
        <is>
          <t>JUL</t>
        </is>
      </c>
      <c r="AV1289" t="n">
        <v>2020</v>
      </c>
      <c r="AW1289" t="n">
        <v>17</v>
      </c>
      <c r="AX1289" t="n">
        <v>14</v>
      </c>
      <c r="BE1289" t="n">
        <v>5085</v>
      </c>
      <c r="BF1289" t="inlineStr">
        <is>
          <t>10.3390/ijerph17145085</t>
        </is>
      </c>
      <c r="BG1289">
        <f>HYPERLINK("http://dx.doi.org/10.3390/ijerph17145085","http://dx.doi.org/10.3390/ijerph17145085")</f>
        <v/>
      </c>
      <c r="BJ1289" t="n">
        <v>10</v>
      </c>
      <c r="BK1289" t="inlineStr">
        <is>
          <t>Environmental Sciences; Public, Environmental &amp; Occupational Health</t>
        </is>
      </c>
      <c r="BL1289" t="inlineStr">
        <is>
          <t>Science Citation Index Expanded (SCI-EXPANDED); Social Science Citation Index (SSCI)</t>
        </is>
      </c>
      <c r="BM1289" t="inlineStr">
        <is>
          <t>Environmental Sciences &amp; Ecology; Public, Environmental &amp; Occupational Health</t>
        </is>
      </c>
      <c r="BN1289" t="inlineStr">
        <is>
          <t>MS5CP</t>
        </is>
      </c>
      <c r="BO1289" t="n">
        <v>32674490</v>
      </c>
      <c r="BP1289" t="inlineStr">
        <is>
          <t>Green Published, gold</t>
        </is>
      </c>
      <c r="BS1289" t="inlineStr">
        <is>
          <t>2023-10-26</t>
        </is>
      </c>
      <c r="BT1289" t="inlineStr">
        <is>
          <t>WOS:000554294200001</t>
        </is>
      </c>
      <c r="BU1289">
        <f>HYPERLINK("https%3A%2F%2Fwww.webofscience.com%2Fwos%2Fwoscc%2Ffull-record%2FWOS:000554294200001","View Full Record in Web of Science")</f>
        <v/>
      </c>
    </row>
    <row r="1290">
      <c r="A1290" t="inlineStr">
        <is>
          <t>J</t>
        </is>
      </c>
      <c r="B1290" t="inlineStr">
        <is>
          <t>Bechtold, U; Stauder, N; Fieder, M</t>
        </is>
      </c>
      <c r="F1290" t="inlineStr">
        <is>
          <t>Bechtold, Ulrike; Stauder, Natalie; Fieder, Martin</t>
        </is>
      </c>
      <c r="J1290" t="inlineStr">
        <is>
          <t>INTERNATIONAL JOURNAL OF ENVIRONMENTAL RESEARCH AND PUBLIC HEALTH</t>
        </is>
      </c>
      <c r="M1290" t="inlineStr">
        <is>
          <t>English</t>
        </is>
      </c>
      <c r="N1290" t="inlineStr">
        <is>
          <t>Article</t>
        </is>
      </c>
      <c r="T1290" t="inlineStr">
        <is>
          <t>Let's Walk It: Mobility and the Perceived Quality of Life in Older Adults</t>
        </is>
      </c>
      <c r="U1290" t="inlineStr">
        <is>
          <t>quality of life; older adults; mobility; movement; ageing; active assisted living; assistive technologies</t>
        </is>
      </c>
      <c r="V1290" t="inlineStr">
        <is>
          <t>TECHNOLOGY; POPULATION; BENEFITS</t>
        </is>
      </c>
      <c r="W1290" t="inlineStr">
        <is>
          <t>European policy and the research and development landscape put forward a number of arguments in favor of implementing Active Assisted Living  (AAL) for older adults: it will improve older adults' quality of life, allow them to age in place, and keep costs for an ageing society down by exploiting new technology markets. The idea is that older adults who are supported by AAL and make use of assistive technologies will enjoy more freedom, autonomy, and mobility and also improved social integration and better communication. Yet, despite a history of more than 10 years of European research and development, the use of AAL applications is not as widespread as expected. To examine older adults' attitudes to assistive technologies, we conducted a study in Vienna (Austria) between 2018 and 2020 questioning 245 older adults aged 61-93 years (M = 74.27 SD = 6.654) who lived at their private homes and had different support needs (ranging from no support  to everyday visit of social and/or care organizations ). The three goals of the study encompassed: (1) examination of their quality of life, (2) their attitudes and use of assistive technologies, and (3) the way they perceive their own and others' life-course and getting older. AAL as a concept links ageing in place  and quality of life . However, mobility  is also of major importance here. In this paper, we aim to investigate the relation between the independent variables Quality of life  and Mobility  and their possible associations with the following dependent variables: cohabitation, social integration, self-rated health, sportive activities, locomotion, home well-being and safety, physical limitations, falls, and self-perception of their own ageing (compared to others). We calculated multivariate models regressing on these explaining and confounding variables. We found a positive correlation between mobility and quality of life. In detail, our results show a significant positive association between QOL and mobility regarding self-rated health and self-perception. Experiencing vertigo, walking difficulties, and balance problems significantly and negatively influence self-rated health and self-perception compared to others. Our findings can also be read as a clear message that there is a need to improve both health and the culture of ageing and to facilitate positive attitudes toward ageing as an efficient way to enhance the Quality of life of older adults.</t>
        </is>
      </c>
      <c r="X1290" t="inlineStr">
        <is>
          <t>[Bechtold, Ulrike] Austrian Acad Sci, Inst Technol Assessment, A-1030 Vienna, Austria; [Bechtold, Ulrike; Stauder, Natalie; Fieder, Martin] Univ Vienna, Dept Anthropol, A-1030 Vienna, Austria</t>
        </is>
      </c>
      <c r="Y1290" t="inlineStr">
        <is>
          <t>Austrian Academy of Sciences; University of Vienna</t>
        </is>
      </c>
      <c r="Z1290" t="inlineStr">
        <is>
          <t>Bechtold, U (corresponding author), Austrian Acad Sci, Inst Technol Assessment, A-1030 Vienna, Austria.;Bechtold, U (corresponding author), Univ Vienna, Dept Anthropol, A-1030 Vienna, Austria.</t>
        </is>
      </c>
      <c r="AA1290" t="inlineStr">
        <is>
          <t>ulrike.bechtold@oeaw.ac.at; a01268625@unet.univie.ac.at; martin.fieder@univie.ac.at</t>
        </is>
      </c>
      <c r="AC1290" t="inlineStr">
        <is>
          <t>Stauder, Natalie/0000-0003-1431-509X; Fieder, Martin/0000-0002-3257-8902; Bechtold, Ulrike/0000-0002-6002-8713</t>
        </is>
      </c>
      <c r="AD1290" t="inlineStr">
        <is>
          <t>City of Vienna [2018/19]</t>
        </is>
      </c>
      <c r="AE1290" t="inlineStr">
        <is>
          <t>City of Vienna</t>
        </is>
      </c>
      <c r="AF1290" t="inlineStr">
        <is>
          <t>FundingCity of Vienna research funding, 2018/19.</t>
        </is>
      </c>
      <c r="AH1290" t="n">
        <v>59</v>
      </c>
      <c r="AI1290" t="n">
        <v>5</v>
      </c>
      <c r="AJ1290" t="n">
        <v>5</v>
      </c>
      <c r="AK1290" t="n">
        <v>0</v>
      </c>
      <c r="AL1290" t="n">
        <v>4</v>
      </c>
      <c r="AM1290" t="inlineStr">
        <is>
          <t>MDPI</t>
        </is>
      </c>
      <c r="AN1290" t="inlineStr">
        <is>
          <t>BASEL</t>
        </is>
      </c>
      <c r="AO1290" t="inlineStr">
        <is>
          <t>ST ALBAN-ANLAGE 66, CH-4052 BASEL, SWITZERLAND</t>
        </is>
      </c>
      <c r="AQ1290" t="inlineStr">
        <is>
          <t>1660-4601</t>
        </is>
      </c>
      <c r="AS1290" t="inlineStr">
        <is>
          <t>INT J ENV RES PUB HE</t>
        </is>
      </c>
      <c r="AT1290" t="inlineStr">
        <is>
          <t>Int. J. Environ. Res. Public Health</t>
        </is>
      </c>
      <c r="AU1290" t="inlineStr">
        <is>
          <t>NOV</t>
        </is>
      </c>
      <c r="AV1290" t="n">
        <v>2021</v>
      </c>
      <c r="AW1290" t="n">
        <v>18</v>
      </c>
      <c r="AX1290" t="n">
        <v>21</v>
      </c>
      <c r="BE1290" t="n">
        <v>11515</v>
      </c>
      <c r="BF1290" t="inlineStr">
        <is>
          <t>10.3390/ijerph182111515</t>
        </is>
      </c>
      <c r="BG1290">
        <f>HYPERLINK("http://dx.doi.org/10.3390/ijerph182111515","http://dx.doi.org/10.3390/ijerph182111515")</f>
        <v/>
      </c>
      <c r="BJ1290" t="n">
        <v>14</v>
      </c>
      <c r="BK1290" t="inlineStr">
        <is>
          <t>Environmental Sciences; Public, Environmental &amp; Occupational Health</t>
        </is>
      </c>
      <c r="BL1290" t="inlineStr">
        <is>
          <t>Science Citation Index Expanded (SCI-EXPANDED); Social Science Citation Index (SSCI)</t>
        </is>
      </c>
      <c r="BM1290" t="inlineStr">
        <is>
          <t>Environmental Sciences &amp; Ecology; Public, Environmental &amp; Occupational Health</t>
        </is>
      </c>
      <c r="BN1290" t="inlineStr">
        <is>
          <t>WX4TX</t>
        </is>
      </c>
      <c r="BO1290" t="n">
        <v>34770028</v>
      </c>
      <c r="BP1290" t="inlineStr">
        <is>
          <t>gold, Green Published</t>
        </is>
      </c>
      <c r="BS1290" t="inlineStr">
        <is>
          <t>2023-10-26</t>
        </is>
      </c>
      <c r="BT1290" t="inlineStr">
        <is>
          <t>WOS:000718591400001</t>
        </is>
      </c>
      <c r="BU1290">
        <f>HYPERLINK("https%3A%2F%2Fwww.webofscience.com%2Fwos%2Fwoscc%2Ffull-record%2FWOS:000718591400001","View Full Record in Web of Science")</f>
        <v/>
      </c>
    </row>
    <row r="1291">
      <c r="A1291" t="inlineStr">
        <is>
          <t>J</t>
        </is>
      </c>
      <c r="B1291" t="inlineStr">
        <is>
          <t>Milando, CW; Carnes, F; Vermeer, K; Levy, JI; Fabian, MP</t>
        </is>
      </c>
      <c r="F1291" t="inlineStr">
        <is>
          <t>Milando, Chad W.; Carnes, Fei; Vermeer, Kimberly; Levy, Jonathan I.; Fabian, M. Patricia</t>
        </is>
      </c>
      <c r="J1291" t="inlineStr">
        <is>
          <t>SCIENCE OF THE TOTAL ENVIRONMENT</t>
        </is>
      </c>
      <c r="M1291" t="inlineStr">
        <is>
          <t>English</t>
        </is>
      </c>
      <c r="N1291" t="inlineStr">
        <is>
          <t>Article</t>
        </is>
      </c>
      <c r="T1291" t="inlineStr">
        <is>
          <t>Sensitivity of modeled residential fine particulate matter exposure to select building and source characteristics: A case study using public data in Boston, MA</t>
        </is>
      </c>
      <c r="U1291" t="inlineStr">
        <is>
          <t>Indoor air quality; Particulate matter, building simulation modeling; CONTAM; Energy-Plus; Public datasets</t>
        </is>
      </c>
      <c r="V1291" t="inlineStr">
        <is>
          <t>INDOOR AIR-POLLUTION; QUALITY; HEALTH; POPULATION; GENERATION; ALGORITHM; PM2.5</t>
        </is>
      </c>
      <c r="W1291" t="inlineStr">
        <is>
          <t>Many techniques for estimating exposure to airborne contaminants do not account for building characteristics that can magnify contaminant contributions from indoor and outdoor sources. Building characteristics that influence exposure can be challenging to obtain at scale, but some may be incorporated into exposure assessments using public datasets. We present a methodology for using public datasets to generate housing models for a test cohort, and examined sensitivity of predicted fine particulate matter (PM2.5) exposures to selected building and source characteristics. We used addresses of a cohort of children with asthma and public tax assessor's data to guide selection of floorplans of US residences from a public database. This in turn guided generation of coupled multi-zone models (CONTAM and EnergyPlus) that estimated indoor PM2.5 exposure profiles. To examine sensitivity to model parameters, we varied building floors and floorplan, heating, ventilating and air-conditioning (HVAC) type, room or floor-level model resolution, and indoor source strength and schedule (for hypothesized gas stove cooking and tobacco smoking). Occupant time-activity and ambient pollutant levels were held constant. Our address matching methodology identified two multi-family house templates and one single-family house template that had similar characteristics to 60 % of test ad-dresses. Exposure to infiltrated ambient PM2.5 was similar across selected building characteristics, HVAC types, and model resolutions (holding all else equal). By comparison, exposures to indoor-sourced PM2.5 were higher in the two multi-family residences than the single family residence (e.g., for cooking PM2.5 exposure, by 26 % and 47 % respectively) and were sensitive to HVAC type and model resolution. We derived the influence of building characteristics and HVAC type on PM2.5 exposure indoors using public data sources and coupled multi-zone models. With the important inclusion of individualized resident behavior data, similar housing modeling can be used to incorporate exposure variability in health studies of the indoor residential environment.</t>
        </is>
      </c>
      <c r="X1291" t="inlineStr">
        <is>
          <t>[Milando, Chad W.; Carnes, Fei; Levy, Jonathan I.; Fabian, M. Patricia] Boston Univ Sch Publ Hlth, Dept Environm Hlth, 715 Albany St, Boston, MA 02118 USA; [Vermeer, Kimberly] Urban Habitat Initiat Inc, 328A Tremont St, Boston, MA 02116 USA</t>
        </is>
      </c>
      <c r="Y1291" t="inlineStr">
        <is>
          <t>Boston University</t>
        </is>
      </c>
      <c r="Z1291" t="inlineStr">
        <is>
          <t>Milando, CW (corresponding author), Boston Univ Sch Publ Hlth, Dept Environm Hlth, 715 Albany St, Boston, MA 02118 USA.</t>
        </is>
      </c>
      <c r="AA1291" t="inlineStr">
        <is>
          <t>cmilando@bu.edu</t>
        </is>
      </c>
      <c r="AB1291" t="inlineStr">
        <is>
          <t>Levy, Jon/B-4542-2011</t>
        </is>
      </c>
      <c r="AC1291" t="inlineStr">
        <is>
          <t>Levy, Jon/0000-0002-1116-4006</t>
        </is>
      </c>
      <c r="AD1291" t="inlineStr">
        <is>
          <t>National Institute of Environmental Health Sciences (NIEHS) , National Institutes of Health (NIH) [R01ES027816]</t>
        </is>
      </c>
      <c r="AE1291" t="inlineStr">
        <is>
          <t>National Institute of Environmental Health Sciences (NIEHS) , National Institutes of Health (NIH)(United States Department of Health &amp; Human ServicesNational Institutes of Health (NIH) - USANIH National Institute of Environmental Health Sciences (NIEHS))</t>
        </is>
      </c>
      <c r="AF1291" t="inlineStr">
        <is>
          <t>This work was funded by grant No. R01ES027816 from the National Institute of Environmental Health Sciences (NIEHS) , National Institutes of Health (NIH) .</t>
        </is>
      </c>
      <c r="AH1291" t="n">
        <v>65</v>
      </c>
      <c r="AI1291" t="n">
        <v>0</v>
      </c>
      <c r="AJ1291" t="n">
        <v>0</v>
      </c>
      <c r="AK1291" t="n">
        <v>2</v>
      </c>
      <c r="AL1291" t="n">
        <v>15</v>
      </c>
      <c r="AM1291" t="inlineStr">
        <is>
          <t>ELSEVIER</t>
        </is>
      </c>
      <c r="AN1291" t="inlineStr">
        <is>
          <t>AMSTERDAM</t>
        </is>
      </c>
      <c r="AO1291" t="inlineStr">
        <is>
          <t>RADARWEG 29, 1043 NX AMSTERDAM, NETHERLANDS</t>
        </is>
      </c>
      <c r="AP1291" t="inlineStr">
        <is>
          <t>0048-9697</t>
        </is>
      </c>
      <c r="AQ1291" t="inlineStr">
        <is>
          <t>1879-1026</t>
        </is>
      </c>
      <c r="AS1291" t="inlineStr">
        <is>
          <t>SCI TOTAL ENVIRON</t>
        </is>
      </c>
      <c r="AT1291" t="inlineStr">
        <is>
          <t>Sci. Total Environ.</t>
        </is>
      </c>
      <c r="AU1291" t="inlineStr">
        <is>
          <t>SEP 20</t>
        </is>
      </c>
      <c r="AV1291" t="n">
        <v>2022</v>
      </c>
      <c r="AW1291" t="n">
        <v>840</v>
      </c>
      <c r="BE1291" t="n">
        <v>156625</v>
      </c>
      <c r="BF1291" t="inlineStr">
        <is>
          <t>10.1016/j.scitotenv.2022.156625</t>
        </is>
      </c>
      <c r="BG1291">
        <f>HYPERLINK("http://dx.doi.org/10.1016/j.scitotenv.2022.156625","http://dx.doi.org/10.1016/j.scitotenv.2022.156625")</f>
        <v/>
      </c>
      <c r="BJ1291" t="n">
        <v>10</v>
      </c>
      <c r="BK1291" t="inlineStr">
        <is>
          <t>Environmental Sciences</t>
        </is>
      </c>
      <c r="BL1291" t="inlineStr">
        <is>
          <t>Science Citation Index Expanded (SCI-EXPANDED)</t>
        </is>
      </c>
      <c r="BM1291" t="inlineStr">
        <is>
          <t>Environmental Sciences &amp; Ecology</t>
        </is>
      </c>
      <c r="BN1291" t="inlineStr">
        <is>
          <t>2L4WE</t>
        </is>
      </c>
      <c r="BO1291" t="n">
        <v>35691344</v>
      </c>
      <c r="BP1291" t="inlineStr">
        <is>
          <t>Green Accepted</t>
        </is>
      </c>
      <c r="BS1291" t="inlineStr">
        <is>
          <t>2023-10-26</t>
        </is>
      </c>
      <c r="BT1291" t="inlineStr">
        <is>
          <t>WOS:000817017500008</t>
        </is>
      </c>
      <c r="BU1291">
        <f>HYPERLINK("https%3A%2F%2Fwww.webofscience.com%2Fwos%2Fwoscc%2Ffull-record%2FWOS:000817017500008","View Full Record in Web of Science")</f>
        <v/>
      </c>
    </row>
    <row r="1292">
      <c r="A1292" t="inlineStr">
        <is>
          <t>J</t>
        </is>
      </c>
      <c r="B1292" t="inlineStr">
        <is>
          <t>Deng, XD; Gao, F; Liao, SY; Li, SY</t>
        </is>
      </c>
      <c r="F1292" t="inlineStr">
        <is>
          <t>Deng, Xingdong; Gao, Feng; Liao, Shunyi; Li, Shaoying</t>
        </is>
      </c>
      <c r="J1292" t="inlineStr">
        <is>
          <t>JOURNAL OF CLEANER PRODUCTION</t>
        </is>
      </c>
      <c r="M1292" t="inlineStr">
        <is>
          <t>English</t>
        </is>
      </c>
      <c r="N1292" t="inlineStr">
        <is>
          <t>Article</t>
        </is>
      </c>
      <c r="T1292" t="inlineStr">
        <is>
          <t>Unraveling the association between the built environment and air pollution from a geospatial perspective</t>
        </is>
      </c>
      <c r="U1292" t="inlineStr">
        <is>
          <t>Air quality; Built environment; Spatial heterogeneity; Urban planning; GWR</t>
        </is>
      </c>
      <c r="V1292" t="inlineStr">
        <is>
          <t>LAND-USE REGRESSION; URBAN FORM; PM2.5 CONCENTRATIONS; QUALITY; HEALTH; EMISSIONS; CITIES; DISPERSION; CARBON; AREAS</t>
        </is>
      </c>
      <c r="W1292" t="inlineStr">
        <is>
          <t>Fine particulate matter poses a negative effect on air quality and public health. The formation and dispersion of PM2.5 are often affected by the urban built environment. Previous literature has made great efforts to study the relationship between the built environment and air pollution, and propose corresponding policy implications for reducing air pollution. Most proposed policies are instructive but lack spatial heterogeneity, which is essential because the degree of air pollution and measures in each specific place is different. In this study, the built environment was depicted with multisource data and methods such as street view imagery (SVI) and deep learning, and the integration of geographically weighted regression (GWR) and k-means clustering was applied to explore the spatially varying impacts of the built environment factors on air pollution, and classify the study area into different groups with zonal policies and mitigation measures for PM2.5 reduction. Results show that parking lots significantly influenced PM2.5, followed by floor area ratio, road density, street vehicle volume, industrial facility, and street view greenery. Street view greenery was found to be negatively related to PM2.5 concentration in most of Xiamen Island. The study area was categorized into four groups with tailor-made policy implications considering spatial heterogeneity. For example, zone 1 is in the south of Xiamen Island with the highest coefficients of the parking lot and floor area ratio and lowest coefficient of street view greenery. For zone 1, greenery maintenance in the mountains, restricted high-density development, and improvement of greenery around the parking lot may be effective for this zone. These empirical results provide a new perspective for exploring the spatially heterogeneous mechanism of air pollution and a new approach to propose targeted and zonal policy implications for PM2.5 mitigation.</t>
        </is>
      </c>
      <c r="X1292" t="inlineStr">
        <is>
          <t>[Deng, Xingdong; Gao, Feng; Liao, Shunyi] Guangzhou Urban Planning &amp; Design Survey Res Inst, Guangzhou 510060, Peoples R China; [Deng, Xingdong; Gao, Feng; Liao, Shunyi] Guangdong Enterprise Key Lab Urban Sensing Monitor, Guangzhou 510060, Peoples R China; [Li, Shaoying] Guangzhou Univ, Sch Geog &amp; Remote Sensing, Guangzhou 510006, Peoples R China</t>
        </is>
      </c>
      <c r="Y1292" t="inlineStr">
        <is>
          <t>Guangzhou University</t>
        </is>
      </c>
      <c r="Z1292" t="inlineStr">
        <is>
          <t>Gao, F (corresponding author), Guangzhou Urban Planning &amp; Design Survey Res Inst, Guangzhou 510060, Peoples R China.;Gao, F (corresponding author), Guangdong Enterprise Key Lab Urban Sensing Monitor, Guangzhou 510060, Peoples R China.</t>
        </is>
      </c>
      <c r="AA1292" t="inlineStr">
        <is>
          <t>2111801048@e.gzhu.edu.cn</t>
        </is>
      </c>
      <c r="AC1292" t="inlineStr">
        <is>
          <t>Gao, Feng/0000-0003-0398-4255</t>
        </is>
      </c>
      <c r="AD1292" t="inlineStr">
        <is>
          <t>Guangdong Enterprise Key Laboratory for Urban Sensing, Monitoring and Early Warning [2020B121202019]; Science and Technology Foundation of Guangzhou Urban Planning &amp; Design Survey Research Institute [RDI2220205141]; National Natural Science Foundation of China [42271467]</t>
        </is>
      </c>
      <c r="AE1292" t="inlineStr">
        <is>
          <t>Guangdong Enterprise Key Laboratory for Urban Sensing, Monitoring and Early Warning; Science and Technology Foundation of Guangzhou Urban Planning &amp; Design Survey Research Institute; National Natural Science Foundation of China(National Natural Science Foundation of China (NSFC))</t>
        </is>
      </c>
      <c r="AF1292" t="inlineStr">
        <is>
          <t>This work was supported by the Guangdong Enterprise Key Laboratory for Urban Sensing, Monitoring and Early Warning (No. 2020B121202019), The Science and Technology Foundation of Guangzhou Urban Planning &amp; Design Survey Research Institute (RDI2220205141), National Natural Science Foundation of China [Grant No. 42271467].</t>
        </is>
      </c>
      <c r="AH1292" t="n">
        <v>70</v>
      </c>
      <c r="AI1292" t="n">
        <v>4</v>
      </c>
      <c r="AJ1292" t="n">
        <v>4</v>
      </c>
      <c r="AK1292" t="n">
        <v>40</v>
      </c>
      <c r="AL1292" t="n">
        <v>55</v>
      </c>
      <c r="AM1292" t="inlineStr">
        <is>
          <t>ELSEVIER SCI LTD</t>
        </is>
      </c>
      <c r="AN1292" t="inlineStr">
        <is>
          <t>OXFORD</t>
        </is>
      </c>
      <c r="AO1292" t="inlineStr">
        <is>
          <t>THE BOULEVARD, LANGFORD LANE, KIDLINGTON, OXFORD OX5 1GB, OXON, ENGLAND</t>
        </is>
      </c>
      <c r="AP1292" t="inlineStr">
        <is>
          <t>0959-6526</t>
        </is>
      </c>
      <c r="AQ1292" t="inlineStr">
        <is>
          <t>1879-1786</t>
        </is>
      </c>
      <c r="AS1292" t="inlineStr">
        <is>
          <t>J CLEAN PROD</t>
        </is>
      </c>
      <c r="AT1292" t="inlineStr">
        <is>
          <t>J. Clean Prod.</t>
        </is>
      </c>
      <c r="AU1292" t="inlineStr">
        <is>
          <t>FEB 1</t>
        </is>
      </c>
      <c r="AV1292" t="n">
        <v>2023</v>
      </c>
      <c r="AW1292" t="n">
        <v>386</v>
      </c>
      <c r="BE1292" t="n">
        <v>135768</v>
      </c>
      <c r="BF1292" t="inlineStr">
        <is>
          <t>10.1016/j.jclepro.2022.135768</t>
        </is>
      </c>
      <c r="BG1292">
        <f>HYPERLINK("http://dx.doi.org/10.1016/j.jclepro.2022.135768","http://dx.doi.org/10.1016/j.jclepro.2022.135768")</f>
        <v/>
      </c>
      <c r="BI1292" t="inlineStr">
        <is>
          <t>JAN 2023</t>
        </is>
      </c>
      <c r="BJ1292" t="n">
        <v>13</v>
      </c>
      <c r="BK1292" t="inlineStr">
        <is>
          <t>Green &amp; Sustainable Science &amp; Technology; Engineering, Environmental; Environmental Sciences</t>
        </is>
      </c>
      <c r="BL1292" t="inlineStr">
        <is>
          <t>Science Citation Index Expanded (SCI-EXPANDED)</t>
        </is>
      </c>
      <c r="BM1292" t="inlineStr">
        <is>
          <t>Science &amp; Technology - Other Topics; Engineering; Environmental Sciences &amp; Ecology</t>
        </is>
      </c>
      <c r="BN1292" t="inlineStr">
        <is>
          <t>8G4UD</t>
        </is>
      </c>
      <c r="BS1292" t="inlineStr">
        <is>
          <t>2023-10-26</t>
        </is>
      </c>
      <c r="BT1292" t="inlineStr">
        <is>
          <t>WOS:000920340300001</t>
        </is>
      </c>
      <c r="BU1292">
        <f>HYPERLINK("https%3A%2F%2Fwww.webofscience.com%2Fwos%2Fwoscc%2Ffull-record%2FWOS:000920340300001","View Full Record in Web of Science")</f>
        <v/>
      </c>
    </row>
    <row r="1293">
      <c r="A1293" t="inlineStr">
        <is>
          <t>J</t>
        </is>
      </c>
      <c r="B1293" t="inlineStr">
        <is>
          <t>Badri, MA; Yang, G; Al Khaili, M; Al Bahar, M; Al Rashdi, A; Al Hyas, L</t>
        </is>
      </c>
      <c r="F1293" t="inlineStr">
        <is>
          <t>Badri, Masood A.; Yang, Guang; Al Khaili, Mugheer; Al Bahar, Muna; Al Rashdi, Asma; Al Hyas, Layla</t>
        </is>
      </c>
      <c r="J1293" t="inlineStr">
        <is>
          <t>INTERNATIONAL JOURNAL OF ENVIRONMENTAL RESEARCH AND PUBLIC HEALTH</t>
        </is>
      </c>
      <c r="M1293" t="inlineStr">
        <is>
          <t>English</t>
        </is>
      </c>
      <c r="N1293" t="inlineStr">
        <is>
          <t>Article</t>
        </is>
      </c>
      <c r="T1293" t="inlineStr">
        <is>
          <t>Hierarchical Regression of Wellbeing and Self-Rated Health among Older Adults in Abu Dhabi</t>
        </is>
      </c>
      <c r="U1293" t="inlineStr">
        <is>
          <t>self-rated health; older adults; wellbeing; hierarchical regression; Abu Dhabi</t>
        </is>
      </c>
      <c r="V1293" t="inlineStr">
        <is>
          <t>PERCEIVED HEALTH; SOCIOECONOMIC INEQUALITIES; LIFE SATISFACTION; PREDICTORS; POPULATION; DETERMINANTS; RISK; DEPRESSION; SAMPLE; STYLE</t>
        </is>
      </c>
      <c r="W1293" t="inlineStr">
        <is>
          <t>This study investigates the wellbeing factors related to self-rated health for older adults in Abu Dhabi (&gt;= 55 years). The purpose is to provide a comprehensive analysis of the determinants of self-rated health, considering various wellbeing factors, controlling for factors such as gender, nationality and long-standing illness if present. This research drew from a sample of 2375 older adults who participated in the Abu Dhabi Quality-of-Life Survey (QoL) conducted in 2018. Hierarchical multiple regression analysis was employed where the first two models corresponded to gender, nationality and having a long-standing illness or not. The third model focused on the wellbeing factors of Abu Dhabi citizens (i.e., social networks and connection, income and housing, sports and activities, mental feelings). The analysis revealed the insignificance of gender and nationality as controlled variables while having a long-standing illness showed significant adverse effects. The most significant variables were social support networks, family and social arrangements and connections. Other variables of significance included housing satisfaction, household income satisfaction, frequency of practicing sports, current mental status and life satisfaction. Policymakers could use the outcomes as insider intelligence for policymakers and social work professionals to create policies, programs and services to enhance the lives of older people in Abu Dhabi.</t>
        </is>
      </c>
      <c r="X1293" t="inlineStr">
        <is>
          <t>[Badri, Masood A.; Yang, Guang; Al Khaili, Mugheer; Al Bahar, Muna; Al Rashdi, Asma; Al Hyas, Layla] UAE Univ, Dept Community Dev, Abu Dhabi 15551, U Arab Emirates</t>
        </is>
      </c>
      <c r="Y1293" t="inlineStr">
        <is>
          <t>United Arab Emirates University</t>
        </is>
      </c>
      <c r="Z1293" t="inlineStr">
        <is>
          <t>Badri, MA (corresponding author), UAE Univ, Dept Community Dev, Abu Dhabi 15551, U Arab Emirates.</t>
        </is>
      </c>
      <c r="AA1293" t="inlineStr">
        <is>
          <t>Masood@uaeu.ac.ae; Guang.Yang@addcd.gov.ae; Mugheer@addcd.gov.ae; muna.albahar@addcd.gov.ae; Asma.alrashdi@addcd.gov.ae; Layla.Alhyas@addcd.gov.ae</t>
        </is>
      </c>
      <c r="AC1293" t="inlineStr">
        <is>
          <t>Yang, Guang/0000-0002-6676-7808</t>
        </is>
      </c>
      <c r="AH1293" t="n">
        <v>65</v>
      </c>
      <c r="AI1293" t="n">
        <v>4</v>
      </c>
      <c r="AJ1293" t="n">
        <v>4</v>
      </c>
      <c r="AK1293" t="n">
        <v>1</v>
      </c>
      <c r="AL1293" t="n">
        <v>10</v>
      </c>
      <c r="AM1293" t="inlineStr">
        <is>
          <t>MDPI</t>
        </is>
      </c>
      <c r="AN1293" t="inlineStr">
        <is>
          <t>BASEL</t>
        </is>
      </c>
      <c r="AO1293" t="inlineStr">
        <is>
          <t>ST ALBAN-ANLAGE 66, CH-4052 BASEL, SWITZERLAND</t>
        </is>
      </c>
      <c r="AQ1293" t="inlineStr">
        <is>
          <t>1660-4601</t>
        </is>
      </c>
      <c r="AS1293" t="inlineStr">
        <is>
          <t>INT J ENV RES PUB HE</t>
        </is>
      </c>
      <c r="AT1293" t="inlineStr">
        <is>
          <t>Int. J. Environ. Res. Public Health</t>
        </is>
      </c>
      <c r="AU1293" t="inlineStr">
        <is>
          <t>AUG</t>
        </is>
      </c>
      <c r="AV1293" t="n">
        <v>2021</v>
      </c>
      <c r="AW1293" t="n">
        <v>18</v>
      </c>
      <c r="AX1293" t="n">
        <v>15</v>
      </c>
      <c r="BE1293" t="n">
        <v>8006</v>
      </c>
      <c r="BF1293" t="inlineStr">
        <is>
          <t>10.3390/ijerph18158006</t>
        </is>
      </c>
      <c r="BG1293">
        <f>HYPERLINK("http://dx.doi.org/10.3390/ijerph18158006","http://dx.doi.org/10.3390/ijerph18158006")</f>
        <v/>
      </c>
      <c r="BJ1293" t="n">
        <v>12</v>
      </c>
      <c r="BK1293" t="inlineStr">
        <is>
          <t>Environmental Sciences; Public, Environmental &amp; Occupational Health</t>
        </is>
      </c>
      <c r="BL1293" t="inlineStr">
        <is>
          <t>Science Citation Index Expanded (SCI-EXPANDED); Social Science Citation Index (SSCI)</t>
        </is>
      </c>
      <c r="BM1293" t="inlineStr">
        <is>
          <t>Environmental Sciences &amp; Ecology; Public, Environmental &amp; Occupational Health</t>
        </is>
      </c>
      <c r="BN1293" t="inlineStr">
        <is>
          <t>TV7HO</t>
        </is>
      </c>
      <c r="BO1293" t="n">
        <v>34360297</v>
      </c>
      <c r="BP1293" t="inlineStr">
        <is>
          <t>gold, Green Published</t>
        </is>
      </c>
      <c r="BS1293" t="inlineStr">
        <is>
          <t>2023-10-26</t>
        </is>
      </c>
      <c r="BT1293" t="inlineStr">
        <is>
          <t>WOS:000681890100001</t>
        </is>
      </c>
      <c r="BU1293">
        <f>HYPERLINK("https%3A%2F%2Fwww.webofscience.com%2Fwos%2Fwoscc%2Ffull-record%2FWOS:000681890100001","View Full Record in Web of Science")</f>
        <v/>
      </c>
    </row>
    <row r="1294">
      <c r="A1294" t="inlineStr">
        <is>
          <t>J</t>
        </is>
      </c>
      <c r="B1294" t="inlineStr">
        <is>
          <t>Morisawa, T; Kunieda, Y; Koyama, S; Suzuki, M; Takahashi, Y; Takakura, T; Kikuchi, Y; Matsuda, T; Fujino, Y; Sawa, R; Sakuyama, A; Saitoh, M; Takahashi, T; Fujiwara, T</t>
        </is>
      </c>
      <c r="F1294" t="inlineStr">
        <is>
          <t>Morisawa, Tomoyuki; Kunieda, Yota; Koyama, Shingo; Suzuki, Mizue; Takahashi, Yuma; Takakura, Tomokazu; Kikuchi, Yuta; Matsuda, Tadamitsu; Fujino, Yuji; Sawa, Ryuichi; Sakuyama, Akihiro; Saitoh, Masakazu; Takahashi, Tetsuya; Fujiwara, Toshiyuki</t>
        </is>
      </c>
      <c r="J1294" t="inlineStr">
        <is>
          <t>INTERNATIONAL JOURNAL OF ENVIRONMENTAL RESEARCH AND PUBLIC HEALTH</t>
        </is>
      </c>
      <c r="M1294" t="inlineStr">
        <is>
          <t>English</t>
        </is>
      </c>
      <c r="N1294" t="inlineStr">
        <is>
          <t>Article</t>
        </is>
      </c>
      <c r="T1294" t="inlineStr">
        <is>
          <t>The Relationship between Sarcopenia and Respiratory Muscle Weakness in Community-Dwelling Older Adults</t>
        </is>
      </c>
      <c r="U1294" t="inlineStr">
        <is>
          <t>sarcopenia; respiratory muscle weakness; older adults; physical performance; physical activity</t>
        </is>
      </c>
      <c r="V1294" t="inlineStr">
        <is>
          <t>JAPANESE VERSION; DEFINITIONS; PERFORMANCE; IMPAIRMENT; STRENGTH; MASS</t>
        </is>
      </c>
      <c r="W1294" t="inlineStr">
        <is>
          <t>An association between respiratory muscle weakness and sarcopenia may provide a clue to the mechanism of sarcopenia development. We aimed to clarify this relationship among community-dwelling older adults. In total, 117 community-dwelling older adults were assessed and classified into 4 groups: robust, respiratory muscle weakness, sarcopenia, and respiratory sarcopenia. The respiratory sarcopenia group (12%) had a significantly higher percentage of males and had lower BMI, skeletal muscle index, skeletal muscle mass, phase angle, and oral function than the robust group (32.5%). All physical functions were significantly lower. The respiratory muscle weakness group (54.7%) had a significantly lower BMI and slower walking speed, compared with the robust group. The sarcopenia group (0.8%) was excluded from the analysis. The percent maximum inspiratory pressure was significantly lower in both the respiratory muscle weakness and respiratory sarcopenia groups, compared with the robust group. Almost all participants with sarcopenia showed respiratory muscle weakness. In addition, approximately 50% had respiratory muscle weakness, even in the absence of systemic sarcopenia, suggesting that respiratory muscle weakness may be the precursor of sarcopenia. The values indicating physical function and skeletal muscle mass in the respiratory muscle weakness group were between those in the robust and the respiratory sarcopenia groups.</t>
        </is>
      </c>
      <c r="X1294" t="inlineStr">
        <is>
          <t>[Morisawa, Tomoyuki; Matsuda, Tadamitsu; Fujino, Yuji; Sawa, Ryuichi; Sakuyama, Akihiro; Saitoh, Masakazu; Takahashi, Tetsuya; Fujiwara, Toshiyuki] Juntendo Univ, Dept Phys Therapy, Bunkyo Ku, 3-2-12 Hongo,Ochanomizu Ctr Bldg 5F, Tokyo 1130033, Japan; [Kunieda, Yota; Koyama, Shingo; Suzuki, Mizue; Takahashi, Yuma; Takakura, Tomokazu] Juntendo Tokyo Koto Geriatr Med Ctr, Dept Rehabil Med, Koto Ku, 3-3-20 Shinsuna, Tokyo 1360075, Japan; [Kikuchi, Yuta; Fujiwara, Toshiyuki] Juntendo Univ Hosp, Dept Rehabil Med, Bunkyo Ku, 2-1-1 Hongo, Tokyo 1130033, Japan; [Fujiwara, Toshiyuki] Juntendo Univ, Dept Rehabil Med, Grad Sch Med, Bunkyo Ku, 2-1-1 Hongo, Tokyo 1138421, Japan</t>
        </is>
      </c>
      <c r="Y1294" t="inlineStr">
        <is>
          <t>Juntendo University; Juntendo University; Juntendo University; Juntendo University</t>
        </is>
      </c>
      <c r="Z1294" t="inlineStr">
        <is>
          <t>Morisawa, T (corresponding author), Juntendo Univ, Dept Phys Therapy, Bunkyo Ku, 3-2-12 Hongo,Ochanomizu Ctr Bldg 5F, Tokyo 1130033, Japan.</t>
        </is>
      </c>
      <c r="AA1294" t="inlineStr">
        <is>
          <t>t.morisawa.ul@juntendo.ac.jp</t>
        </is>
      </c>
      <c r="AC1294" t="inlineStr">
        <is>
          <t>Suzuki, Mizue/0000-0001-9332-8731; Sawa, Ryuichi/0000-0002-4624-767X; morisawa, tomoyuki/0000-0001-6344-7078</t>
        </is>
      </c>
      <c r="AH1294" t="n">
        <v>25</v>
      </c>
      <c r="AI1294" t="n">
        <v>8</v>
      </c>
      <c r="AJ1294" t="n">
        <v>9</v>
      </c>
      <c r="AK1294" t="n">
        <v>1</v>
      </c>
      <c r="AL1294" t="n">
        <v>5</v>
      </c>
      <c r="AM1294" t="inlineStr">
        <is>
          <t>MDPI</t>
        </is>
      </c>
      <c r="AN1294" t="inlineStr">
        <is>
          <t>BASEL</t>
        </is>
      </c>
      <c r="AO1294" t="inlineStr">
        <is>
          <t>ST ALBAN-ANLAGE 66, CH-4052 BASEL, SWITZERLAND</t>
        </is>
      </c>
      <c r="AQ1294" t="inlineStr">
        <is>
          <t>1660-4601</t>
        </is>
      </c>
      <c r="AS1294" t="inlineStr">
        <is>
          <t>INT J ENV RES PUB HE</t>
        </is>
      </c>
      <c r="AT1294" t="inlineStr">
        <is>
          <t>Int. J. Environ. Res. Public Health</t>
        </is>
      </c>
      <c r="AU1294" t="inlineStr">
        <is>
          <t>DEC</t>
        </is>
      </c>
      <c r="AV1294" t="n">
        <v>2021</v>
      </c>
      <c r="AW1294" t="n">
        <v>18</v>
      </c>
      <c r="AX1294" t="n">
        <v>24</v>
      </c>
      <c r="BE1294" t="n">
        <v>13257</v>
      </c>
      <c r="BF1294" t="inlineStr">
        <is>
          <t>10.3390/ijerph182413257</t>
        </is>
      </c>
      <c r="BG1294">
        <f>HYPERLINK("http://dx.doi.org/10.3390/ijerph182413257","http://dx.doi.org/10.3390/ijerph182413257")</f>
        <v/>
      </c>
      <c r="BJ1294" t="n">
        <v>9</v>
      </c>
      <c r="BK1294" t="inlineStr">
        <is>
          <t>Environmental Sciences; Public, Environmental &amp; Occupational Health</t>
        </is>
      </c>
      <c r="BL1294" t="inlineStr">
        <is>
          <t>Science Citation Index Expanded (SCI-EXPANDED); Social Science Citation Index (SSCI)</t>
        </is>
      </c>
      <c r="BM1294" t="inlineStr">
        <is>
          <t>Environmental Sciences &amp; Ecology; Public, Environmental &amp; Occupational Health</t>
        </is>
      </c>
      <c r="BN1294" t="inlineStr">
        <is>
          <t>YA0UQ</t>
        </is>
      </c>
      <c r="BO1294" t="n">
        <v>34948865</v>
      </c>
      <c r="BP1294" t="inlineStr">
        <is>
          <t>gold, Green Published</t>
        </is>
      </c>
      <c r="BS1294" t="inlineStr">
        <is>
          <t>2023-10-26</t>
        </is>
      </c>
      <c r="BT1294" t="inlineStr">
        <is>
          <t>WOS:000738059600001</t>
        </is>
      </c>
      <c r="BU1294">
        <f>HYPERLINK("https%3A%2F%2Fwww.webofscience.com%2Fwos%2Fwoscc%2Ffull-record%2FWOS:000738059600001","View Full Record in Web of Science")</f>
        <v/>
      </c>
    </row>
    <row r="1295">
      <c r="A1295" t="inlineStr">
        <is>
          <t>J</t>
        </is>
      </c>
      <c r="B1295" t="inlineStr">
        <is>
          <t>Tsaras, K; Tsiantoula, M; Papagiannis, D; Papathanasiou, IV; Chatzi, M; Kelesi, M; Kaba, E; Fradelos, EC</t>
        </is>
      </c>
      <c r="F1295" t="inlineStr">
        <is>
          <t>Tsaras, Konstantinos; Tsiantoula, Maria; Papagiannis, Dimitrios; Papathanasiou, Ioanna, V; Chatzi, Maria; Kelesi, Martha; Kaba, Evridiki; Fradelos, Evangelos C.</t>
        </is>
      </c>
      <c r="J1295" t="inlineStr">
        <is>
          <t>INTERNATIONAL JOURNAL OF ENVIRONMENTAL RESEARCH AND PUBLIC HEALTH</t>
        </is>
      </c>
      <c r="M1295" t="inlineStr">
        <is>
          <t>English</t>
        </is>
      </c>
      <c r="N1295" t="inlineStr">
        <is>
          <t>Article</t>
        </is>
      </c>
      <c r="T1295" t="inlineStr">
        <is>
          <t>The Effect of Depressive and Insomnia Symptoms in Quality of Life among Community-Dwelling Older Adults</t>
        </is>
      </c>
      <c r="U1295" t="inlineStr">
        <is>
          <t>depression; insomnia; quality of life; older adults; community; Greece</t>
        </is>
      </c>
      <c r="V1295" t="inlineStr">
        <is>
          <t>SLEEP QUALITY; VALIDATION; CHINESE; SCALE</t>
        </is>
      </c>
      <c r="W1295" t="inlineStr">
        <is>
          <t>The purpose of this study was to investigate the effects of depressive symptoms, insomnia symptoms, and comorbid depressive and insomnia symptoms on the quality of life among community-dwelling older adults in an urban area of central Greece. A cross-sectional study was conducted on 200 older adults (aged &gt;= 60) collected from five Open Care Centers for Elderly People of the Municipality of Larissa, Greece. Data were obtained through a questionnaire that included demographic, socioeconomic, and health-related characteristics; the World Health Organization Quality of Life (WHOQoL)-Bref questionnaire; the Geriatric Depression Scale; and the Athens Insomnia Scale. The prevalences of depression, insomnia, and comorbid depression and insomnia were 28% (95% confidence interval (95% CI): 21.8-34.2%), 40.5% (95% CI: 33.7-47.3%), and 19% (95% CI: 13.5-24.5%), respectively. The mean WHOQoL-Bref score for all domains was approximately 14.50, with the highest mean value observed for psychological health (14.79 +/- 2.60), followed by the physical health (14.49 +/- 2.66), social relationships (14.39 +/- 2.03), and environmental domains (14.32 +/- 1.90). All WHOQoL-Bref domains were negatively correlated with depression and insomnia. Older adults with depressive symptoms, insomnia symptoms, and comorbid depressive and insomnia symptoms had lower scores in all quality of life dimensions compared with those without.</t>
        </is>
      </c>
      <c r="X1295" t="inlineStr">
        <is>
          <t>[Tsaras, Konstantinos; Papagiannis, Dimitrios] Univ Thessaly, Sch Hlth Sci, Fac Nursing, Publ Hlth &amp; Vaccines Lab, Larisa 41500, Greece; [Tsiantoula, Maria] Municipal Larissa, Dept Welf, Larisa 41222, Greece; [Papathanasiou, Ioanna, V; Fradelos, Evangelos C.] Univ Thessaly, Fac Nursing, Sch Hlth Sci, Community Nursing Lab, Larisa 41500, Greece; [Chatzi, Maria] Univ Hosp Larissa, Dept Infect, Larisa 41110, Greece; [Kelesi, Martha; Kaba, Evridiki] Univ West Attica, Sch Hlth &amp; Care Sci, Dept Nursing, Athens 12243, Greece</t>
        </is>
      </c>
      <c r="Y1295" t="inlineStr">
        <is>
          <t>University of Thessaly; University of Thessaly; General University Hospital of Larissa; University of West Attica</t>
        </is>
      </c>
      <c r="Z1295" t="inlineStr">
        <is>
          <t>Tsaras, K (corresponding author), Univ Thessaly, Sch Hlth Sci, Fac Nursing, Publ Hlth &amp; Vaccines Lab, Larisa 41500, Greece.</t>
        </is>
      </c>
      <c r="AA1295" t="inlineStr">
        <is>
          <t>ktsa@uth.gr</t>
        </is>
      </c>
      <c r="AB1295" t="inlineStr">
        <is>
          <t>KABA, EVRIDIKI/K-1008-2019</t>
        </is>
      </c>
      <c r="AC1295" t="inlineStr">
        <is>
          <t>KABA, EVRIDIKI/0000-0001-8253-6551; Fradelos C., Evangelos/0000-0003-0244-9760; Papathanasiou, Ioanna V./0000-0002-8874-8085</t>
        </is>
      </c>
      <c r="AH1295" t="n">
        <v>31</v>
      </c>
      <c r="AI1295" t="n">
        <v>1</v>
      </c>
      <c r="AJ1295" t="n">
        <v>1</v>
      </c>
      <c r="AK1295" t="n">
        <v>0</v>
      </c>
      <c r="AL1295" t="n">
        <v>3</v>
      </c>
      <c r="AM1295" t="inlineStr">
        <is>
          <t>MDPI</t>
        </is>
      </c>
      <c r="AN1295" t="inlineStr">
        <is>
          <t>BASEL</t>
        </is>
      </c>
      <c r="AO1295" t="inlineStr">
        <is>
          <t>ST ALBAN-ANLAGE 66, CH-4052 BASEL, SWITZERLAND</t>
        </is>
      </c>
      <c r="AQ1295" t="inlineStr">
        <is>
          <t>1660-4601</t>
        </is>
      </c>
      <c r="AS1295" t="inlineStr">
        <is>
          <t>INT J ENV RES PUB HE</t>
        </is>
      </c>
      <c r="AT1295" t="inlineStr">
        <is>
          <t>Int. J. Environ. Res. Public Health</t>
        </is>
      </c>
      <c r="AU1295" t="inlineStr">
        <is>
          <t>OCT</t>
        </is>
      </c>
      <c r="AV1295" t="n">
        <v>2022</v>
      </c>
      <c r="AW1295" t="n">
        <v>19</v>
      </c>
      <c r="AX1295" t="n">
        <v>20</v>
      </c>
      <c r="BE1295" t="n">
        <v>13704</v>
      </c>
      <c r="BF1295" t="inlineStr">
        <is>
          <t>10.3390/ijerph192013704</t>
        </is>
      </c>
      <c r="BG1295">
        <f>HYPERLINK("http://dx.doi.org/10.3390/ijerph192013704","http://dx.doi.org/10.3390/ijerph192013704")</f>
        <v/>
      </c>
      <c r="BJ1295" t="n">
        <v>11</v>
      </c>
      <c r="BK1295" t="inlineStr">
        <is>
          <t>Environmental Sciences; Public, Environmental &amp; Occupational Health</t>
        </is>
      </c>
      <c r="BL1295" t="inlineStr">
        <is>
          <t>Science Citation Index Expanded (SCI-EXPANDED); Social Science Citation Index (SSCI)</t>
        </is>
      </c>
      <c r="BM1295" t="inlineStr">
        <is>
          <t>Environmental Sciences &amp; Ecology; Public, Environmental &amp; Occupational Health</t>
        </is>
      </c>
      <c r="BN1295" t="inlineStr">
        <is>
          <t>5R1VC</t>
        </is>
      </c>
      <c r="BO1295" t="n">
        <v>36294280</v>
      </c>
      <c r="BP1295" t="inlineStr">
        <is>
          <t>Green Published, gold</t>
        </is>
      </c>
      <c r="BS1295" t="inlineStr">
        <is>
          <t>2023-10-26</t>
        </is>
      </c>
      <c r="BT1295" t="inlineStr">
        <is>
          <t>WOS:000874304500001</t>
        </is>
      </c>
      <c r="BU1295">
        <f>HYPERLINK("https%3A%2F%2Fwww.webofscience.com%2Fwos%2Fwoscc%2Ffull-record%2FWOS:000874304500001","View Full Record in Web of Science")</f>
        <v/>
      </c>
    </row>
    <row r="1296">
      <c r="A1296" t="inlineStr">
        <is>
          <t>J</t>
        </is>
      </c>
      <c r="B1296" t="inlineStr">
        <is>
          <t>Guo, WJ; Jiao, AY; Wang, WQ; Chen, CQ; Ling, HB; Yan, JJ; Chen, FL</t>
        </is>
      </c>
      <c r="F1296" t="inlineStr">
        <is>
          <t>Guo, Wenjie; Jiao, Ayong; Wang, Wenqi; Chen, Chaoqun; Ling, Hongbo; Yan, Junjie; Chen, Fulong</t>
        </is>
      </c>
      <c r="J1296" t="inlineStr">
        <is>
          <t>WATER</t>
        </is>
      </c>
      <c r="M1296" t="inlineStr">
        <is>
          <t>English</t>
        </is>
      </c>
      <c r="N1296" t="inlineStr">
        <is>
          <t>Article</t>
        </is>
      </c>
      <c r="T1296" t="inlineStr">
        <is>
          <t>Change and Driving Factor Analysis of Eco-Environment of Typical Lakes in Arid Areas</t>
        </is>
      </c>
      <c r="U1296" t="inlineStr">
        <is>
          <t>arid area; ecological water conveyance; ecological environment quality; remote sensing ecological index model; Lake Taitema</t>
        </is>
      </c>
      <c r="V1296" t="inlineStr">
        <is>
          <t>RIVER-BASIN; WATER-RESOURCES</t>
        </is>
      </c>
      <c r="W1296" t="inlineStr">
        <is>
          <t>In arid regions with scarce water resources, lakes play an extremely vital role in maintaining the ecological environment. Therefore, the Chinese government has launched an ecological water conveyance project in the Tarim River basin in Xinjiang with the aim of restoring the ecological environment of the area. In previous studies, there was no complete evaluation system used to quantify changes in the ecological environment of arid regions after ecological water conveyance. In this paper, Lake Taitema was selected as the study area, which is both a terminal lake in the Tarim River basin and an object of the ecological water conveyance project. This study utilized Landsat TM/OLI satellite remote sensing images and MODIS datasets to build a remote sensing ecological index model and systematically evaluated the changes in the ecological environment and land use types in the Taitema Lake area. A structural equation model was constructed to analyze the correlation between the area of Taitema Lake and its driving factors. The results show that over the selected 20 years, the proportion of pixels with an upward trend (Zc &gt; 0) of the RSEI was 56.5%, while the proportion of pixels with a downward trend (Zc &lt; 0) of the RSEI was 43.5%. The area proportion of regions with poor ecological environment quality decreased by about 40%, and the area proportions of regions with moderate, good, and excellent ecological environment quality increased by 29.7%, 10%, and 0.6%, respectively. By comparing the land use data from 2000 and 2020, the proportion of grassland increased by 6%, the proportion of water area increased by 4.4%, and the proportion of unused land decreased by 9.6%. In summary, after the implementation of the ecological water conveyance project, the ecological environment quality of the Lake Taitema area gradually improved, and ecological water conveyance was the main driving factor of the area change in Lake Taitema.</t>
        </is>
      </c>
      <c r="X1296" t="inlineStr">
        <is>
          <t>[Guo, Wenjie; Jiao, Ayong; Chen, Fulong] Shihezi Univ, Coll Water Conservancy &amp; Architectural Engn, Shihezi 832003, Peoples R China; [Wang, Wenqi; Ling, Hongbo] Chinese Acad Sci, Xinjiang Inst Ecol &amp; Geog, Urumqi 830011, Peoples R China; [Chen, Chaoqun] Xinjiang Prod &amp; Construct Corps, Surveying &amp; Designing Inst Grp Co Ltd, Urumqi 830002, Peoples R China; [Yan, Junjie] Yili Normal Univ, Inst Resources &amp; Ecol, Yining 835000, Peoples R China</t>
        </is>
      </c>
      <c r="Y1296" t="inlineStr">
        <is>
          <t>Shihezi University; Chinese Academy of Sciences; Xinjiang Institute of Ecology &amp; Geography, CAS; Yili Normal University</t>
        </is>
      </c>
      <c r="Z1296" t="inlineStr">
        <is>
          <t>Ling, HB (corresponding author), Chinese Acad Sci, Xinjiang Inst Ecol &amp; Geog, Urumqi 830011, Peoples R China.;Yan, JJ (corresponding author), Yili Normal Univ, Inst Resources &amp; Ecol, Yining 835000, Peoples R China.</t>
        </is>
      </c>
      <c r="AA1296" t="inlineStr">
        <is>
          <t>linghb@ms.xjb.ac.cn; yan3550@sina.com</t>
        </is>
      </c>
      <c r="AD1296" t="inlineStr">
        <is>
          <t>Science and Technology Planning Project of Xinjiang Production and Construction Corps [2022DB023]; Key Research and Development Project of Xinjiang [2022B03024-1]; National Nature Science Foundation of China [52179028]; West Light Foundation of Chinese Academy of Sciences [2019-XBQNXZ-A-001]; Xinjiang water conservancy science and technology special funding projects [XSKJ-2023-08]</t>
        </is>
      </c>
      <c r="AE1296" t="inlineStr">
        <is>
          <t>Science and Technology Planning Project of Xinjiang Production and Construction Corps; Key Research and Development Project of Xinjiang; National Nature Science Foundation of China(National Natural Science Foundation of China (NSFC)); West Light Foundation of Chinese Academy of Sciences(Chinese Academy of Sciences); Xinjiang water conservancy science and technology special funding projects</t>
        </is>
      </c>
      <c r="AF1296" t="inlineStr">
        <is>
          <t>This research was funded by Science and Technology Planning Project of Xinjiang Production and Construction Corps (2022DB023), Key Research and Development Project of Xinjiang (2022B03024-1), National Nature Science Foundation of China (52179028), West Light Foundation of Chinese Academy of Sciences (2019-XBQNXZ-A-001), and Xinjiang water conservancy science and technology special funding projects (XSKJ-2023-08).</t>
        </is>
      </c>
      <c r="AH1296" t="n">
        <v>52</v>
      </c>
      <c r="AI1296" t="n">
        <v>0</v>
      </c>
      <c r="AJ1296" t="n">
        <v>0</v>
      </c>
      <c r="AK1296" t="n">
        <v>18</v>
      </c>
      <c r="AL1296" t="n">
        <v>18</v>
      </c>
      <c r="AM1296" t="inlineStr">
        <is>
          <t>MDPI</t>
        </is>
      </c>
      <c r="AN1296" t="inlineStr">
        <is>
          <t>BASEL</t>
        </is>
      </c>
      <c r="AO1296" t="inlineStr">
        <is>
          <t>ST ALBAN-ANLAGE 66, CH-4052 BASEL, SWITZERLAND</t>
        </is>
      </c>
      <c r="AQ1296" t="inlineStr">
        <is>
          <t>2073-4441</t>
        </is>
      </c>
      <c r="AS1296" t="inlineStr">
        <is>
          <t>WATER-SUI</t>
        </is>
      </c>
      <c r="AT1296" t="inlineStr">
        <is>
          <t>Water</t>
        </is>
      </c>
      <c r="AU1296" t="inlineStr">
        <is>
          <t>JUN 1</t>
        </is>
      </c>
      <c r="AV1296" t="n">
        <v>2023</v>
      </c>
      <c r="AW1296" t="n">
        <v>15</v>
      </c>
      <c r="AX1296" t="n">
        <v>11</v>
      </c>
      <c r="BE1296" t="n">
        <v>2107</v>
      </c>
      <c r="BF1296" t="inlineStr">
        <is>
          <t>10.3390/w15112107</t>
        </is>
      </c>
      <c r="BG1296">
        <f>HYPERLINK("http://dx.doi.org/10.3390/w15112107","http://dx.doi.org/10.3390/w15112107")</f>
        <v/>
      </c>
      <c r="BJ1296" t="n">
        <v>20</v>
      </c>
      <c r="BK1296" t="inlineStr">
        <is>
          <t>Environmental Sciences; Water Resources</t>
        </is>
      </c>
      <c r="BL1296" t="inlineStr">
        <is>
          <t>Science Citation Index Expanded (SCI-EXPANDED)</t>
        </is>
      </c>
      <c r="BM1296" t="inlineStr">
        <is>
          <t>Environmental Sciences &amp; Ecology; Water Resources</t>
        </is>
      </c>
      <c r="BN1296" t="inlineStr">
        <is>
          <t>I8DE1</t>
        </is>
      </c>
      <c r="BP1296" t="inlineStr">
        <is>
          <t>gold</t>
        </is>
      </c>
      <c r="BS1296" t="inlineStr">
        <is>
          <t>2023-10-26</t>
        </is>
      </c>
      <c r="BT1296" t="inlineStr">
        <is>
          <t>WOS:001005027900001</t>
        </is>
      </c>
      <c r="BU1296">
        <f>HYPERLINK("https%3A%2F%2Fwww.webofscience.com%2Fwos%2Fwoscc%2Ffull-record%2FWOS:001005027900001","View Full Record in Web of Science")</f>
        <v/>
      </c>
    </row>
    <row r="1297">
      <c r="A1297" t="inlineStr">
        <is>
          <t>J</t>
        </is>
      </c>
      <c r="B1297" t="inlineStr">
        <is>
          <t>Eriksson, E; Wazinski, K; Wanka, A; Kylén, M; Oswald, F; Slaug, B; Iwarsson, S; Schmidt, SM</t>
        </is>
      </c>
      <c r="F1297" t="inlineStr">
        <is>
          <t>Eriksson, Erik; Wazinski, Karla; Wanka, Anna; Kylen, Maya; Oswald, Frank; Slaug, Bjoern; Iwarsson, Susanne; Schmidt, Steven M.</t>
        </is>
      </c>
      <c r="J1297" t="inlineStr">
        <is>
          <t>INTERNATIONAL JOURNAL OF ENVIRONMENTAL RESEARCH AND PUBLIC HEALTH</t>
        </is>
      </c>
      <c r="M1297" t="inlineStr">
        <is>
          <t>English</t>
        </is>
      </c>
      <c r="N1297" t="inlineStr">
        <is>
          <t>Article</t>
        </is>
      </c>
      <c r="T1297" t="inlineStr">
        <is>
          <t>Perceived Housing in Relation to Retirement and Relocation: A Qualitative Interview Study among Older Adults</t>
        </is>
      </c>
      <c r="U1297" t="inlineStr">
        <is>
          <t>perceived housing; life course transitions; relocation; retirement; older adults</t>
        </is>
      </c>
      <c r="V1297" t="inlineStr">
        <is>
          <t>LIFE-SPAN THEORY; IN-PLACE; HEALTH; TRANSITION; PEOPLE; MOVE; HOME</t>
        </is>
      </c>
      <c r="W1297" t="inlineStr">
        <is>
          <t>As people age the home environment becomes increasingly important. Retirement commonly leads to spending more time in one's home, and relocating from your own home in older age could be associated with reduced health or wellbeing. The relationship between home and person is complex and perceived aspects of one's housing such as social, emotional and cognitive ties are considered important factors for health and wellbeing. However, little is known about how perceived aspects of the home change in relation to retirement and relocation. This paper used Situational Analysis to explore, via situational mapping, how community dwelling older adults (aged 60-75) perceived their housing situation in relation to retirement and relocation. The results suggest complex relations between relocation/retirement and perceived housing, and between different aspects of perceived housing. Furthermore, the results suggest that the relationship between life transitions and perceived housing can be seen as bi-directional, where different life transitions affect aspects of perceived housing, and that perceived housing affects (decisions for) relocation. The results suggest complex relations between retirement and relocation, as well as other life transitions, and perceived aspects of one's housing. It is important to consider these interactions to understand factors that affect health and wellbeing in older adults.</t>
        </is>
      </c>
      <c r="X1297" t="inlineStr">
        <is>
          <t>[Eriksson, Erik; Kylen, Maya; Slaug, Bjoern; Iwarsson, Susanne; Schmidt, Steven M.] Lund Univ, Dept Hlth Sci, S-22100 Lund, Sweden; [Wazinski, Karla; Wanka, Anna; Oswald, Frank] Goethe Univ Frankfurt, Fac Educ Sci, Interdisciplinary Ageing Res, D-60323 Frankfurt, Germany</t>
        </is>
      </c>
      <c r="Y1297" t="inlineStr">
        <is>
          <t>Lund University; Goethe University Frankfurt</t>
        </is>
      </c>
      <c r="Z1297" t="inlineStr">
        <is>
          <t>Eriksson, E (corresponding author), Lund Univ, Dept Hlth Sci, S-22100 Lund, Sweden.</t>
        </is>
      </c>
      <c r="AA1297" t="inlineStr">
        <is>
          <t>erik.eriksson@med.lu.se</t>
        </is>
      </c>
      <c r="AB1297" t="inlineStr">
        <is>
          <t>; Iwarsson, Susanne/I-7517-2013</t>
        </is>
      </c>
      <c r="AC1297" t="inlineStr">
        <is>
          <t>Kylen, Maya/0000-0003-2887-3674; Oswald, Frank/0000-0002-3811-1385; Eriksson, Erik/0000-0001-6599-0963; Iwarsson, Susanne/0000-0002-6670-7952; Slaug, Bjorn/0000-0001-7386-2224; Schmidt, Steven M./0000-0002-0878-735X; Wazinski, Karla/0000-0001-6871-7807</t>
        </is>
      </c>
      <c r="AD1297" t="inlineStr">
        <is>
          <t>Forte, the Swedish Research Council for Health, Working Life and Welfare [2019-00235]; LMK-stiftelsen, Foundation for Interdisciplinary Scientific Research; Forte [2019-00235] Funding Source: Forte; Vinnova [2019-00235] Funding Source: Vinnova</t>
        </is>
      </c>
      <c r="AE1297" t="inlineStr">
        <is>
          <t>Forte, the Swedish Research Council for Health, Working Life and Welfare; LMK-stiftelsen, Foundation for Interdisciplinary Scientific Research; Forte(Swedish Research Council for Health Working Life &amp; Welfare (Forte)); Vinnova(Vinnova)</t>
        </is>
      </c>
      <c r="AF1297" t="inlineStr">
        <is>
          <t>This research was funded by Forte, the Swedish Research Council for Health, Working Life and Welfare, grant number 2019-00235 and by the LMK-stiftelsen, Foundation for Interdisciplinary Scientific Research.</t>
        </is>
      </c>
      <c r="AH1297" t="n">
        <v>40</v>
      </c>
      <c r="AI1297" t="n">
        <v>0</v>
      </c>
      <c r="AJ1297" t="n">
        <v>0</v>
      </c>
      <c r="AK1297" t="n">
        <v>4</v>
      </c>
      <c r="AL1297" t="n">
        <v>8</v>
      </c>
      <c r="AM1297" t="inlineStr">
        <is>
          <t>MDPI</t>
        </is>
      </c>
      <c r="AN1297" t="inlineStr">
        <is>
          <t>BASEL</t>
        </is>
      </c>
      <c r="AO1297" t="inlineStr">
        <is>
          <t>ST ALBAN-ANLAGE 66, CH-4052 BASEL, SWITZERLAND</t>
        </is>
      </c>
      <c r="AQ1297" t="inlineStr">
        <is>
          <t>1660-4601</t>
        </is>
      </c>
      <c r="AS1297" t="inlineStr">
        <is>
          <t>INT J ENV RES PUB HE</t>
        </is>
      </c>
      <c r="AT1297" t="inlineStr">
        <is>
          <t>Int. J. Environ. Res. Public Health</t>
        </is>
      </c>
      <c r="AU1297" t="inlineStr">
        <is>
          <t>OCT</t>
        </is>
      </c>
      <c r="AV1297" t="n">
        <v>2022</v>
      </c>
      <c r="AW1297" t="n">
        <v>19</v>
      </c>
      <c r="AX1297" t="n">
        <v>20</v>
      </c>
      <c r="BE1297" t="n">
        <v>13314</v>
      </c>
      <c r="BF1297" t="inlineStr">
        <is>
          <t>10.3390/ijerph192013314</t>
        </is>
      </c>
      <c r="BG1297">
        <f>HYPERLINK("http://dx.doi.org/10.3390/ijerph192013314","http://dx.doi.org/10.3390/ijerph192013314")</f>
        <v/>
      </c>
      <c r="BJ1297" t="n">
        <v>16</v>
      </c>
      <c r="BK1297" t="inlineStr">
        <is>
          <t>Environmental Sciences; Public, Environmental &amp; Occupational Health</t>
        </is>
      </c>
      <c r="BL1297" t="inlineStr">
        <is>
          <t>Science Citation Index Expanded (SCI-EXPANDED); Social Science Citation Index (SSCI)</t>
        </is>
      </c>
      <c r="BM1297" t="inlineStr">
        <is>
          <t>Environmental Sciences &amp; Ecology; Public, Environmental &amp; Occupational Health</t>
        </is>
      </c>
      <c r="BN1297" t="inlineStr">
        <is>
          <t>5P3YM</t>
        </is>
      </c>
      <c r="BO1297" t="n">
        <v>36293895</v>
      </c>
      <c r="BP1297" t="inlineStr">
        <is>
          <t>gold, Green Published</t>
        </is>
      </c>
      <c r="BS1297" t="inlineStr">
        <is>
          <t>2023-10-26</t>
        </is>
      </c>
      <c r="BT1297" t="inlineStr">
        <is>
          <t>WOS:000873089900001</t>
        </is>
      </c>
      <c r="BU1297">
        <f>HYPERLINK("https%3A%2F%2Fwww.webofscience.com%2Fwos%2Fwoscc%2Ffull-record%2FWOS:000873089900001","View Full Record in Web of Science")</f>
        <v/>
      </c>
    </row>
    <row r="1298">
      <c r="A1298" t="inlineStr">
        <is>
          <t>J</t>
        </is>
      </c>
      <c r="B1298" t="inlineStr">
        <is>
          <t>Ye, B; Wang, Y; Chen, H; Chen, YW; Yan, HH; Fu, H; Bao, ZJ; Gao, JL</t>
        </is>
      </c>
      <c r="F1298" t="inlineStr">
        <is>
          <t>Ye, Bo; Wang, Yi; Chen, Hao; Chen, Yingwei; Yan, Huihui; Fu, Hua; Bao, Zhijun; Gao, Junling</t>
        </is>
      </c>
      <c r="J1298" t="inlineStr">
        <is>
          <t>INTERNATIONAL JOURNAL OF ENVIRONMENTAL RESEARCH AND PUBLIC HEALTH</t>
        </is>
      </c>
      <c r="M1298" t="inlineStr">
        <is>
          <t>English</t>
        </is>
      </c>
      <c r="N1298" t="inlineStr">
        <is>
          <t>Article</t>
        </is>
      </c>
      <c r="T1298" t="inlineStr">
        <is>
          <t>Development and Validation of the Chinese Frailty Screening Scale: A Study among Community-Dwelling Older Adults in Shanghai</t>
        </is>
      </c>
      <c r="U1298" t="inlineStr">
        <is>
          <t>frailty; assessment tool; disability; older adults; healthy aging</t>
        </is>
      </c>
      <c r="V1298" t="inlineStr">
        <is>
          <t>CLINICAL-PRACTICE; ALL-CAUSE; MORTALITY; INDEX; DISABILITY; PEOPLE</t>
        </is>
      </c>
      <c r="W1298" t="inlineStr">
        <is>
          <t>Background: Based on intrinsic capacity (IC) as defined by the World Health Organization, an accelerated decline may be an important precursor of frailty among older adults; however, there is a lack of validated instruments that both screen for frailty and monitor IC. This study aims to develop a comprehensive and acculturative frailty screening scale to determine healthy aging among older Chinese adults. Setting and participants: A cross-sectional and a cohort study both based on community-dwelling older adults aged 65 and older. Methods: This study mainly consisted of two parts. First, the selection and revision of 20 items related to frailty based on a literature review, expert consultation, and stakeholder analysis; second, a cross-sectional study was conducted to simplify the scale and test the reliability and validity of the new frailty screening tool. The fatigue, resistance, ambulation, illness, and loss of weight (FRAIL) scale, the Tilburg frailty indictor (TFI), and a 49-item Frailty Index (FI) were investigated as criteria. Additionally, a cohort study in Shanghai was conducted to verify the predictive validity of the new screening scale. The disability measured by the activity of daily living (ADL), instrumental activity of daily living (IADL) and all-cause mortality were documented as outcomes. Results: A 10-item Chinese frailty screening scale (CFSS-10) was successfully developed and validated. It presented a Cronbach's alpha of 0.63 and an intraclass correlation coefficient of 0.73, which indicated good reliability. Taking the other frailty tools as criteria, Kappa values of 0.54-0.58 and an area under the curve of 0.87-0.91 showed good validity. The results of the log-binomial and Poisson models showed a high score, which predicted a higher risk of disability and all-cause mortality. An optimal cut-off point of 5 gave an excellent prediction of one-year disability. Conclusions: The CFSS-10 has good validity and reliability as a quick and acculturative frailty screening scale for community-dwelling older adults in Shanghai. It may also supplement existing frailty screening tools.</t>
        </is>
      </c>
      <c r="X1298" t="inlineStr">
        <is>
          <t>[Ye, Bo; Bao, Zhijun] Fudan Univ, Huadong Hosp, Shanghai 200040, Peoples R China; [Wang, Yi; Chen, Hao; Chen, Yingwei; Yan, Huihui; Fu, Hua; Gao, Junling] Fudan Univ, Sch Publ Hlth, Shanghai 200032, Peoples R China; [Fu, Hua] Fudan Univ, Hlth Commun Inst, Shanghai 200032, Peoples R China; [Bao, Zhijun] Huadong Hosp, Shanghai Key Lab Clin Geriatr Med, Shanghai 200040, Peoples R China; [Gao, Junling] Natl Clin Res Ctr Geriatr Dis, Collaborat Innovat Cooperat Unit, Shanghai 200032, Peoples R China; [Gao, Junling] Shanghai Clin Res Ctr Geriatr Dis, Core Unit, Shanghai 200032, Peoples R China</t>
        </is>
      </c>
      <c r="Y1298" t="inlineStr">
        <is>
          <t>Fudan University; Fudan University; Fudan University; Fudan University</t>
        </is>
      </c>
      <c r="Z1298" t="inlineStr">
        <is>
          <t>Bao, ZJ (corresponding author), Fudan Univ, Huadong Hosp, Shanghai 200040, Peoples R China.;Gao, JL (corresponding author), Fudan Univ, Sch Publ Hlth, Shanghai 200032, Peoples R China.;Bao, ZJ (corresponding author), Huadong Hosp, Shanghai Key Lab Clin Geriatr Med, Shanghai 200040, Peoples R China.;Gao, JL (corresponding author), Natl Clin Res Ctr Geriatr Dis, Collaborat Innovat Cooperat Unit, Shanghai 200032, Peoples R China.;Gao, JL (corresponding author), Shanghai Clin Res Ctr Geriatr Dis, Core Unit, Shanghai 200032, Peoples R China.</t>
        </is>
      </c>
      <c r="AA1298" t="inlineStr">
        <is>
          <t>zhijunbao@fudan.edu.cn; jlgao@fudan.edu.cn</t>
        </is>
      </c>
      <c r="AB1298" t="inlineStr">
        <is>
          <t>Liu, Jing/IQX-0664-2023; wang, qi/ITT-9652-2023; Jiang, Yu/JEZ-9814-2023; cao, lili/JJF-4531-2023; qi, li/JFE-7167-2023; gao, junling/L-7465-2019</t>
        </is>
      </c>
      <c r="AC1298" t="inlineStr">
        <is>
          <t>Ye, Bo/0000-0002-4088-5734; Gao, Junling/0000-0002-0694-2010</t>
        </is>
      </c>
      <c r="AD1298" t="inlineStr">
        <is>
          <t>National Key Research and Development Program of China [2018YFC2002001, 2018YFC2002000]; National Natural Science Foundation of China [82173634]; Shanghai Medical Leadership Training Program [2019LJ09]; Shanghai Clinical Research Center for Aging and Medicine [19MC1910500]</t>
        </is>
      </c>
      <c r="AE1298" t="inlineStr">
        <is>
          <t>National Key Research and Development Program of China; National Natural Science Foundation of China(National Natural Science Foundation of China (NSFC)); Shanghai Medical Leadership Training Program; Shanghai Clinical Research Center for Aging and Medicine</t>
        </is>
      </c>
      <c r="AF1298" t="inlineStr">
        <is>
          <t>y This research was funded by National Key Research and Development Program of China grant number 2018YFC2002001, 2018YFC2002000; National Natural Science Foundation of China grant number 82173634; Shanghai Medical Leadership Training Program grant number 2019LJ09; and Shanghai Clinical Research Center for Aging and Medicine grant number 19MC1910500.</t>
        </is>
      </c>
      <c r="AH1298" t="n">
        <v>61</v>
      </c>
      <c r="AI1298" t="n">
        <v>1</v>
      </c>
      <c r="AJ1298" t="n">
        <v>1</v>
      </c>
      <c r="AK1298" t="n">
        <v>7</v>
      </c>
      <c r="AL1298" t="n">
        <v>26</v>
      </c>
      <c r="AM1298" t="inlineStr">
        <is>
          <t>MDPI</t>
        </is>
      </c>
      <c r="AN1298" t="inlineStr">
        <is>
          <t>BASEL</t>
        </is>
      </c>
      <c r="AO1298" t="inlineStr">
        <is>
          <t>ST ALBAN-ANLAGE 66, CH-4052 BASEL, SWITZERLAND</t>
        </is>
      </c>
      <c r="AQ1298" t="inlineStr">
        <is>
          <t>1660-4601</t>
        </is>
      </c>
      <c r="AS1298" t="inlineStr">
        <is>
          <t>INT J ENV RES PUB HE</t>
        </is>
      </c>
      <c r="AT1298" t="inlineStr">
        <is>
          <t>Int. J. Environ. Res. Public Health</t>
        </is>
      </c>
      <c r="AU1298" t="inlineStr">
        <is>
          <t>SEP</t>
        </is>
      </c>
      <c r="AV1298" t="n">
        <v>2022</v>
      </c>
      <c r="AW1298" t="n">
        <v>19</v>
      </c>
      <c r="AX1298" t="n">
        <v>18</v>
      </c>
      <c r="BE1298" t="n">
        <v>11811</v>
      </c>
      <c r="BF1298" t="inlineStr">
        <is>
          <t>10.3390/ijerph191811811</t>
        </is>
      </c>
      <c r="BG1298">
        <f>HYPERLINK("http://dx.doi.org/10.3390/ijerph191811811","http://dx.doi.org/10.3390/ijerph191811811")</f>
        <v/>
      </c>
      <c r="BJ1298" t="n">
        <v>14</v>
      </c>
      <c r="BK1298" t="inlineStr">
        <is>
          <t>Environmental Sciences; Public, Environmental &amp; Occupational Health</t>
        </is>
      </c>
      <c r="BL1298" t="inlineStr">
        <is>
          <t>Science Citation Index Expanded (SCI-EXPANDED); Social Science Citation Index (SSCI)</t>
        </is>
      </c>
      <c r="BM1298" t="inlineStr">
        <is>
          <t>Environmental Sciences &amp; Ecology; Public, Environmental &amp; Occupational Health</t>
        </is>
      </c>
      <c r="BN1298" t="inlineStr">
        <is>
          <t>4W4QZ</t>
        </is>
      </c>
      <c r="BO1298" t="n">
        <v>36142085</v>
      </c>
      <c r="BP1298" t="inlineStr">
        <is>
          <t>Green Published, gold</t>
        </is>
      </c>
      <c r="BS1298" t="inlineStr">
        <is>
          <t>2023-10-26</t>
        </is>
      </c>
      <c r="BT1298" t="inlineStr">
        <is>
          <t>WOS:000860150600001</t>
        </is>
      </c>
      <c r="BU1298">
        <f>HYPERLINK("https%3A%2F%2Fwww.webofscience.com%2Fwos%2Fwoscc%2Ffull-record%2FWOS:000860150600001","View Full Record in Web of Science")</f>
        <v/>
      </c>
    </row>
    <row r="1299">
      <c r="A1299" t="inlineStr">
        <is>
          <t>J</t>
        </is>
      </c>
      <c r="B1299" t="inlineStr">
        <is>
          <t>Wang, ZY; Wei, HC; Liu, ZH</t>
        </is>
      </c>
      <c r="F1299" t="inlineStr">
        <is>
          <t>Wang, Zhenyu; Wei, Hanchun; Liu, Zhihan</t>
        </is>
      </c>
      <c r="J1299" t="inlineStr">
        <is>
          <t>INTERNATIONAL JOURNAL OF ENVIRONMENTAL RESEARCH AND PUBLIC HEALTH</t>
        </is>
      </c>
      <c r="M1299" t="inlineStr">
        <is>
          <t>English</t>
        </is>
      </c>
      <c r="N1299" t="inlineStr">
        <is>
          <t>Article</t>
        </is>
      </c>
      <c r="T1299" t="inlineStr">
        <is>
          <t>Older Adults' Demand for Community-Based Adult Services (CBAS) Integrated with Medical Care and Its Influencing Factors: A Pilot Qualitative Study in China</t>
        </is>
      </c>
      <c r="U1299" t="inlineStr">
        <is>
          <t>community-based adult services; integrated care; older people; needs; influencing factors; qualitative</t>
        </is>
      </c>
      <c r="V1299" t="inlineStr">
        <is>
          <t>MENTAL-HEALTH; HOME; NEEDS; CAREGIVERS; PEOPLE</t>
        </is>
      </c>
      <c r="W1299" t="inlineStr">
        <is>
          <t>Introduction: The number of older people in China who require formal care is increasing. In response, China is creating a service delivery mode of health and social care combination for older people-community-based adult services (CBAS) integrated with medical care-in some provincial capital cities, such as Changsha. However, the needs of most older people for this service delivery mode are not well understood. Aim: To assess older people's awareness of and demand for CBAS integrated with medical care and to determine influencing factors. Methods: Semi-structured guideline interviews were conducted with 20 older people (aged 65+ years) from two communities at different economic development levels and from a nursing home in Changsha, China. Interviews were analyzed using qualitative content analysis. Results: The specific needs that older adults expect from CBAS integrated with medical care involve daily care, primary care, self-management guidance, rehabilitation therapy services, and mental health services. Contrary to expectations, most interviewees showed low awareness of and demand for CBAS integrated with medical care. Individual, family, and community factors influence older people's demand, as do exogenous variables such as gender and number of children. Discussion: The influencing mechanism of older people's demand for CBAS integrated with medical care is complex and multifaceted. To implement and promote CBAS integrated with medical care, attention should be given to older people's individual needs, family backgrounds and community environment improvement. Furthermore, improving awareness of integrated care and increasing ageing-in-place opportunities for more older adults is essential and urgent.</t>
        </is>
      </c>
      <c r="X1299" t="inlineStr">
        <is>
          <t>[Wang, Zhenyu] Sun Yat Sen Univ, Ctr Chinese Publ Adm Res, Sch Govt, Guangzhou 510006, Peoples R China; [Wei, Hanchun; Liu, Zhihan] Cent South Univ, Sch Publ Adm, Changsha 410075, Peoples R China</t>
        </is>
      </c>
      <c r="Y1299" t="inlineStr">
        <is>
          <t>Sun Yat Sen University; Central South University</t>
        </is>
      </c>
      <c r="Z1299" t="inlineStr">
        <is>
          <t>Liu, ZH (corresponding author), Cent South Univ, Sch Publ Adm, Changsha 410075, Peoples R China.</t>
        </is>
      </c>
      <c r="AA1299" t="inlineStr">
        <is>
          <t>liuzhihan@csu.edu.cn</t>
        </is>
      </c>
      <c r="AB1299" t="inlineStr">
        <is>
          <t>Wang, Zhenyu/IZQ-1361-2023; Liu, Zhihan/AFS-0535-2022</t>
        </is>
      </c>
      <c r="AC1299" t="inlineStr">
        <is>
          <t>Wang, Zhenyu/0000-0002-3827-3691; Liu, Zhihan/0000-0003-0659-1318</t>
        </is>
      </c>
      <c r="AD1299" t="inlineStr">
        <is>
          <t>Project of National Natural Science Foundation of China [71603289]; Project of Hunan Provincial Natural Science Foundation [2022JJ30055]; Project of Hunan Provincial Social Science Achievements Review Committee [XSP22ZDI008]; Project of Hunan Provincial Innovation Foundation For Postgraduate [QL20220028]</t>
        </is>
      </c>
      <c r="AE1299" t="inlineStr">
        <is>
          <t>Project of National Natural Science Foundation of China(National Natural Science Foundation of China (NSFC)); Project of Hunan Provincial Natural Science Foundation; Project of Hunan Provincial Social Science Achievements Review Committee; Project of Hunan Provincial Innovation Foundation For Postgraduate</t>
        </is>
      </c>
      <c r="AF1299" t="inlineStr">
        <is>
          <t>This research was funded by the Project of National Natural Science Foundation of China (71603289); Project of Hunan Provincial Natural Science Foundation (2022JJ30055); Project of Hunan Provincial Social Science Achievements Review Committee (XSP22ZDI008); and Project of Hunan Provincial Innovation Foundation For Postgraduate (QL20220028).</t>
        </is>
      </c>
      <c r="AH1299" t="n">
        <v>59</v>
      </c>
      <c r="AI1299" t="n">
        <v>2</v>
      </c>
      <c r="AJ1299" t="n">
        <v>2</v>
      </c>
      <c r="AK1299" t="n">
        <v>34</v>
      </c>
      <c r="AL1299" t="n">
        <v>60</v>
      </c>
      <c r="AM1299" t="inlineStr">
        <is>
          <t>MDPI</t>
        </is>
      </c>
      <c r="AN1299" t="inlineStr">
        <is>
          <t>BASEL</t>
        </is>
      </c>
      <c r="AO1299" t="inlineStr">
        <is>
          <t>ST ALBAN-ANLAGE 66, CH-4052 BASEL, SWITZERLAND</t>
        </is>
      </c>
      <c r="AQ1299" t="inlineStr">
        <is>
          <t>1660-4601</t>
        </is>
      </c>
      <c r="AS1299" t="inlineStr">
        <is>
          <t>INT J ENV RES PUB HE</t>
        </is>
      </c>
      <c r="AT1299" t="inlineStr">
        <is>
          <t>Int. J. Environ. Res. Public Health</t>
        </is>
      </c>
      <c r="AU1299" t="inlineStr">
        <is>
          <t>NOV</t>
        </is>
      </c>
      <c r="AV1299" t="n">
        <v>2022</v>
      </c>
      <c r="AW1299" t="n">
        <v>19</v>
      </c>
      <c r="AX1299" t="n">
        <v>22</v>
      </c>
      <c r="BE1299" t="n">
        <v>14869</v>
      </c>
      <c r="BF1299" t="inlineStr">
        <is>
          <t>10.3390/ijerph192214869</t>
        </is>
      </c>
      <c r="BG1299">
        <f>HYPERLINK("http://dx.doi.org/10.3390/ijerph192214869","http://dx.doi.org/10.3390/ijerph192214869")</f>
        <v/>
      </c>
      <c r="BJ1299" t="n">
        <v>17</v>
      </c>
      <c r="BK1299" t="inlineStr">
        <is>
          <t>Environmental Sciences; Public, Environmental &amp; Occupational Health</t>
        </is>
      </c>
      <c r="BL1299" t="inlineStr">
        <is>
          <t>Science Citation Index Expanded (SCI-EXPANDED); Social Science Citation Index (SSCI)</t>
        </is>
      </c>
      <c r="BM1299" t="inlineStr">
        <is>
          <t>Environmental Sciences &amp; Ecology; Public, Environmental &amp; Occupational Health</t>
        </is>
      </c>
      <c r="BN1299" t="inlineStr">
        <is>
          <t>6K0OT</t>
        </is>
      </c>
      <c r="BO1299" t="n">
        <v>36429594</v>
      </c>
      <c r="BP1299" t="inlineStr">
        <is>
          <t>Green Published, gold</t>
        </is>
      </c>
      <c r="BS1299" t="inlineStr">
        <is>
          <t>2023-10-26</t>
        </is>
      </c>
      <c r="BT1299" t="inlineStr">
        <is>
          <t>WOS:000887213700001</t>
        </is>
      </c>
      <c r="BU1299">
        <f>HYPERLINK("https%3A%2F%2Fwww.webofscience.com%2Fwos%2Fwoscc%2Ffull-record%2FWOS:000887213700001","View Full Record in Web of Science")</f>
        <v/>
      </c>
    </row>
    <row r="1300">
      <c r="A1300" t="inlineStr">
        <is>
          <t>J</t>
        </is>
      </c>
      <c r="B1300" t="inlineStr">
        <is>
          <t>Kim, K; Hwang, G; Cho, YH; Kim, EJ; Woang, JW; Hong, CH; Son, SJ; Roh, HW</t>
        </is>
      </c>
      <c r="F1300" t="inlineStr">
        <is>
          <t>Kim, Kahee; Hwang, Gyubeom; Cho, Yong Hyuk; Kim, Eun Jwoo; Woang, Ji Won; Hong, Chang Hyung; Son, Sang Joon; Roh, Hyun Woong</t>
        </is>
      </c>
      <c r="J1300" t="inlineStr">
        <is>
          <t>INTERNATIONAL JOURNAL OF ENVIRONMENTAL RESEARCH AND PUBLIC HEALTH</t>
        </is>
      </c>
      <c r="M1300" t="inlineStr">
        <is>
          <t>English</t>
        </is>
      </c>
      <c r="N1300" t="inlineStr">
        <is>
          <t>Article</t>
        </is>
      </c>
      <c r="T1300" t="inlineStr">
        <is>
          <t>Relationships of Physical Activity, Depression, and Sleep with Cognitive Function in Community-Dwelling Older Adults</t>
        </is>
      </c>
      <c r="U1300" t="inlineStr">
        <is>
          <t>physical activity; depression; sleep; cognitive function; community-dwelling older adult</t>
        </is>
      </c>
      <c r="V1300" t="inlineStr">
        <is>
          <t>SELF-REPORTED SLEEP; PREFRONTAL CORTEX; KOREAN VERSION; IMPAIRMENT; EXERCISE; DEMENTIA; DEPRIVATION; RELIABILITY; VALIDITY; DISEASE</t>
        </is>
      </c>
      <c r="W1300" t="inlineStr">
        <is>
          <t>This cross-sectional, observational study aimed to integrate the analyses of relationships of physical activity, depression, and sleep with cognitive function in community-dwelling older adults using a single model. To this end, physical activity, sleep, depression, and cognitive function in 864 community-dwelling older adults from the Suwon Geriatric Mental Health Center were assessed using the International Physical Activity Questionnaire, Montgomery-Asberg Depression Rating Scale, Pittsburgh Sleep Quality Index, and Mini-Mental State Examination for Dementia Screening, respectively. Their sociodemographic characteristics were also recorded. After adjusting for confounders, multiple linear regression analysis was performed to investigate the effects of physical activity, sleep, and depression on cognitive function. Models 4, 5, 7, and 14 of PROCESS were applied to verify the mediating and moderating effects of all variables. Physical activity had a direct effect on cognitive function (effect = 0.97, p &lt; 0.01) and indirect effect (effect = 0.36; confidence interval: 0.18, 0.57) through depression. Moreover, mediated moderation effects of sleep were confirmed in the pathways where physical activity affects cognitive function through depression (F-coeff = 13.37, p &lt; 0.001). Furthermore, these relationships differed with age. Thus, the associations among physical activity, depression, and sleep are important in interventions for the cognitive function of community-dwelling older adults. Such interventions should focus on different factors depending on age.</t>
        </is>
      </c>
      <c r="X1300" t="inlineStr">
        <is>
          <t>[Kim, Kahee; Hwang, Gyubeom; Cho, Yong Hyuk; Hong, Chang Hyung; Son, Sang Joon; Roh, Hyun Woong] Ajou Univ, Dept Psychiat, Sch Med, Suwon 16499, South Korea; [Kim, Eun Jwoo; Woang, Ji Won; Son, Sang Joon; Roh, Hyun Woong] Suwon Geriatr Mental Hlth Ctr, Suwon 16499, South Korea</t>
        </is>
      </c>
      <c r="Y1300" t="inlineStr">
        <is>
          <t>Ajou University</t>
        </is>
      </c>
      <c r="Z1300" t="inlineStr">
        <is>
          <t>Son, SJ; Roh, HW (corresponding author), Ajou Univ, Dept Psychiat, Sch Med, Suwon 16499, South Korea.;Son, SJ; Roh, HW (corresponding author), Suwon Geriatr Mental Hlth Ctr, Suwon 16499, South Korea.</t>
        </is>
      </c>
      <c r="AA1300" t="inlineStr">
        <is>
          <t>sjsonpsy@ajou.ac.kr; hansin8607@ajou.ac.kr</t>
        </is>
      </c>
      <c r="AC1300" t="inlineStr">
        <is>
          <t>Hwang, Gyubeom/0000-0002-2293-4555</t>
        </is>
      </c>
      <c r="AH1300" t="n">
        <v>57</v>
      </c>
      <c r="AI1300" t="n">
        <v>1</v>
      </c>
      <c r="AJ1300" t="n">
        <v>1</v>
      </c>
      <c r="AK1300" t="n">
        <v>4</v>
      </c>
      <c r="AL1300" t="n">
        <v>11</v>
      </c>
      <c r="AM1300" t="inlineStr">
        <is>
          <t>MDPI</t>
        </is>
      </c>
      <c r="AN1300" t="inlineStr">
        <is>
          <t>BASEL</t>
        </is>
      </c>
      <c r="AO1300" t="inlineStr">
        <is>
          <t>ST ALBAN-ANLAGE 66, CH-4052 BASEL, SWITZERLAND</t>
        </is>
      </c>
      <c r="AQ1300" t="inlineStr">
        <is>
          <t>1660-4601</t>
        </is>
      </c>
      <c r="AS1300" t="inlineStr">
        <is>
          <t>INT J ENV RES PUB HE</t>
        </is>
      </c>
      <c r="AT1300" t="inlineStr">
        <is>
          <t>Int. J. Environ. Res. Public Health</t>
        </is>
      </c>
      <c r="AU1300" t="inlineStr">
        <is>
          <t>DEC</t>
        </is>
      </c>
      <c r="AV1300" t="n">
        <v>2022</v>
      </c>
      <c r="AW1300" t="n">
        <v>19</v>
      </c>
      <c r="AX1300" t="n">
        <v>23</v>
      </c>
      <c r="BE1300" t="n">
        <v>15655</v>
      </c>
      <c r="BF1300" t="inlineStr">
        <is>
          <t>10.3390/ijerph192315655</t>
        </is>
      </c>
      <c r="BG1300">
        <f>HYPERLINK("http://dx.doi.org/10.3390/ijerph192315655","http://dx.doi.org/10.3390/ijerph192315655")</f>
        <v/>
      </c>
      <c r="BJ1300" t="n">
        <v>10</v>
      </c>
      <c r="BK1300" t="inlineStr">
        <is>
          <t>Environmental Sciences; Public, Environmental &amp; Occupational Health</t>
        </is>
      </c>
      <c r="BL1300" t="inlineStr">
        <is>
          <t>Science Citation Index Expanded (SCI-EXPANDED); Social Science Citation Index (SSCI)</t>
        </is>
      </c>
      <c r="BM1300" t="inlineStr">
        <is>
          <t>Environmental Sciences &amp; Ecology; Public, Environmental &amp; Occupational Health</t>
        </is>
      </c>
      <c r="BN1300" t="inlineStr">
        <is>
          <t>6X6MZ</t>
        </is>
      </c>
      <c r="BO1300" t="n">
        <v>36497729</v>
      </c>
      <c r="BP1300" t="inlineStr">
        <is>
          <t>Green Published, gold</t>
        </is>
      </c>
      <c r="BS1300" t="inlineStr">
        <is>
          <t>2023-10-26</t>
        </is>
      </c>
      <c r="BT1300" t="inlineStr">
        <is>
          <t>WOS:000896527000001</t>
        </is>
      </c>
      <c r="BU1300">
        <f>HYPERLINK("https%3A%2F%2Fwww.webofscience.com%2Fwos%2Fwoscc%2Ffull-record%2FWOS:000896527000001","View Full Record in Web of Science")</f>
        <v/>
      </c>
    </row>
    <row r="1301">
      <c r="A1301" t="inlineStr">
        <is>
          <t>J</t>
        </is>
      </c>
      <c r="B1301" t="inlineStr">
        <is>
          <t>Shin, S; Choo, S</t>
        </is>
      </c>
      <c r="F1301" t="inlineStr">
        <is>
          <t>Shin, Songhyeon; Choo, Sangho</t>
        </is>
      </c>
      <c r="J1301" t="inlineStr">
        <is>
          <t>SUSTAINABILITY</t>
        </is>
      </c>
      <c r="M1301" t="inlineStr">
        <is>
          <t>English</t>
        </is>
      </c>
      <c r="N1301" t="inlineStr">
        <is>
          <t>Article</t>
        </is>
      </c>
      <c r="T1301" t="inlineStr">
        <is>
          <t>Influence of Built Environment on Micromobility-Pedestrian Accidents</t>
        </is>
      </c>
      <c r="U1301" t="inlineStr">
        <is>
          <t>micromobility; pedestrian accident; safety; built environment; spatial zero-inflated negative binomial</t>
        </is>
      </c>
      <c r="V1301" t="inlineStr">
        <is>
          <t>REGRESSION; POISSON</t>
        </is>
      </c>
      <c r="W1301" t="inlineStr">
        <is>
          <t>The use of micromobility (MM), a form of sustainable urban mobility which has expected effects such as reducing traffic congestion and greenhouse gases, has been rapidly increasing across the world. However, this growth has resulted in a considerable number of MM-related accidents. Most previous studies have explored MM user injuries to improve the safety of MM users, but the threat to pedestrians by MM is not yet fully understood. Therefore, this study aims to identify built environment factors which contribute to MM-pedestrian accidents by using MM-pedestrian crash data in Seoul, Korea from 2020 to 2021. Setting the spatial unit of analysis as a hexagonal grid with an apothem of 150 m, we developed the SZINB (spatial zero-inflated negative binomial) models for the accidents, controlling spatial autocorrelation, zero-inflated, and overdispersion. The model results showed that road intersections, sidewalks, and subway entrances have significant impacts on MM-pedestrian accidents. Thus, it should be suggested that safety measures for both MM and pedestrians are reducing MM speed limits in intersections, preventing MM use on sidewalks through modified sidewalk designs, and installing MM stations near subway stations.</t>
        </is>
      </c>
      <c r="X1301" t="inlineStr">
        <is>
          <t>[Shin, Songhyeon] Hongik Univ, Dept Urban Planning, Seoul 04066, South Korea; [Choo, Sangho] Hongik Univ, Dept Urban Design &amp; Planning, Seoul 04066, South Korea</t>
        </is>
      </c>
      <c r="Y1301" t="inlineStr">
        <is>
          <t>Hongik University; Hongik University</t>
        </is>
      </c>
      <c r="Z1301" t="inlineStr">
        <is>
          <t>Choo, S (corresponding author), Hongik Univ, Dept Urban Design &amp; Planning, Seoul 04066, South Korea.</t>
        </is>
      </c>
      <c r="AA1301" t="inlineStr">
        <is>
          <t>shchoo@hongik.ac.kr</t>
        </is>
      </c>
      <c r="AD1301" t="inlineStr">
        <is>
          <t>National Research Foundation of Korea (NRF) - Ministry of Science and ICT [NRF-2020R1A2C2014561]</t>
        </is>
      </c>
      <c r="AE1301" t="inlineStr">
        <is>
          <t>National Research Foundation of Korea (NRF) - Ministry of Science and ICT(National Research Foundation of KoreaMinistry of Science, ICT &amp; Future Planning, Republic of Korea)</t>
        </is>
      </c>
      <c r="AF1301" t="inlineStr">
        <is>
          <t>This research was supported by the Basic Science Research Program through the National Research Foundation of Korea (NRF) funded by the Ministry of Science and ICT (NRF-2020R1A2C2014561).</t>
        </is>
      </c>
      <c r="AH1301" t="n">
        <v>21</v>
      </c>
      <c r="AI1301" t="n">
        <v>1</v>
      </c>
      <c r="AJ1301" t="n">
        <v>1</v>
      </c>
      <c r="AK1301" t="n">
        <v>7</v>
      </c>
      <c r="AL1301" t="n">
        <v>8</v>
      </c>
      <c r="AM1301" t="inlineStr">
        <is>
          <t>MDPI</t>
        </is>
      </c>
      <c r="AN1301" t="inlineStr">
        <is>
          <t>BASEL</t>
        </is>
      </c>
      <c r="AO1301" t="inlineStr">
        <is>
          <t>ST ALBAN-ANLAGE 66, CH-4052 BASEL, SWITZERLAND</t>
        </is>
      </c>
      <c r="AQ1301" t="inlineStr">
        <is>
          <t>2071-1050</t>
        </is>
      </c>
      <c r="AS1301" t="inlineStr">
        <is>
          <t>SUSTAINABILITY-BASEL</t>
        </is>
      </c>
      <c r="AT1301" t="inlineStr">
        <is>
          <t>Sustainability</t>
        </is>
      </c>
      <c r="AU1301" t="inlineStr">
        <is>
          <t>JAN</t>
        </is>
      </c>
      <c r="AV1301" t="n">
        <v>2023</v>
      </c>
      <c r="AW1301" t="n">
        <v>15</v>
      </c>
      <c r="AX1301" t="n">
        <v>1</v>
      </c>
      <c r="BE1301" t="n">
        <v>582</v>
      </c>
      <c r="BF1301" t="inlineStr">
        <is>
          <t>10.3390/su15010582</t>
        </is>
      </c>
      <c r="BG1301">
        <f>HYPERLINK("http://dx.doi.org/10.3390/su15010582","http://dx.doi.org/10.3390/su15010582")</f>
        <v/>
      </c>
      <c r="BJ1301" t="n">
        <v>11</v>
      </c>
      <c r="BK1301" t="inlineStr">
        <is>
          <t>Green &amp; Sustainable Science &amp; Technology; Environmental Sciences; Environmental Studies</t>
        </is>
      </c>
      <c r="BL1301" t="inlineStr">
        <is>
          <t>Science Citation Index Expanded (SCI-EXPANDED); Social Science Citation Index (SSCI)</t>
        </is>
      </c>
      <c r="BM1301" t="inlineStr">
        <is>
          <t>Science &amp; Technology - Other Topics; Environmental Sciences &amp; Ecology</t>
        </is>
      </c>
      <c r="BN1301" t="inlineStr">
        <is>
          <t>7R0CH</t>
        </is>
      </c>
      <c r="BP1301" t="inlineStr">
        <is>
          <t>gold</t>
        </is>
      </c>
      <c r="BS1301" t="inlineStr">
        <is>
          <t>2023-10-26</t>
        </is>
      </c>
      <c r="BT1301" t="inlineStr">
        <is>
          <t>WOS:000909747500001</t>
        </is>
      </c>
      <c r="BU1301">
        <f>HYPERLINK("https%3A%2F%2Fwww.webofscience.com%2Fwos%2Fwoscc%2Ffull-record%2FWOS:000909747500001","View Full Record in Web of Science")</f>
        <v/>
      </c>
    </row>
    <row r="1302">
      <c r="A1302" t="inlineStr">
        <is>
          <t>J</t>
        </is>
      </c>
      <c r="B1302" t="inlineStr">
        <is>
          <t>Liu, KF; Su, PB; Wang, HL; Tao, D</t>
        </is>
      </c>
      <c r="F1302" t="inlineStr">
        <is>
          <t>Liu, Kaifeng; Su, Pengbo; Wang, Hailiang; Tao, Da</t>
        </is>
      </c>
      <c r="J1302" t="inlineStr">
        <is>
          <t>SUSTAINABILITY</t>
        </is>
      </c>
      <c r="M1302" t="inlineStr">
        <is>
          <t>English</t>
        </is>
      </c>
      <c r="N1302" t="inlineStr">
        <is>
          <t>Article</t>
        </is>
      </c>
      <c r="T1302" t="inlineStr">
        <is>
          <t>Contextualizing Visualizations of Digital Health Information among Young and Older Adults Based on Eye-Tracking</t>
        </is>
      </c>
      <c r="U1302" t="inlineStr">
        <is>
          <t>visualization; digital health information; comprehension; eye-tracking; older adults</t>
        </is>
      </c>
      <c r="V1302" t="inlineStr">
        <is>
          <t>SELF-MANAGEMENT; CARE; COMPREHENSION; INFOGRAPHICS; ATTENTION; DESIGN; RECALL</t>
        </is>
      </c>
      <c r="W1302" t="inlineStr">
        <is>
          <t>Visualizations have been found to be a promising solution to aid individuals' comprehension of digital health information. However, how visualizations can be better contextualized remains unclear. This study aimed to examine the effects of visualizations of digital health information with various contextual cues and age on comprehension through eye-tracking techniques. A two-way mixed design was employed, with visualization (basic, color, color + text, and color + text + personalized statement) and age (young and older adults) as independent variables. Forty-one participants attended an experiment where they were asked to perform verbatim comprehension and value interpretation tasks in response to varied visualizations of digital health information. The results indicated that the four visualizations yielded comparable task completion time and accuracy. Older adults had longer task completion time and more errors compared with their counterparts. While eye movement measures were comparable across different visualizations, they were mostly affected by age and areas of interests. Different visualizations might attract different patterns of visual attention and yield varied effectiveness across age groups. Future research should focus on how to better visualize digital health information for older adults. Design practitioners should carefully consider how to attract patients' visual attention to important information to improve comprehension.</t>
        </is>
      </c>
      <c r="X1302" t="inlineStr">
        <is>
          <t>[Liu, Kaifeng; Su, Pengbo] Tianjin Univ, Acad Med Engn &amp; Translat Med, Tianjin 300072, Peoples R China; [Wang, Hailiang] Hong Kong Polytech Univ, Sch Design, Hong Kong, Peoples R China; [Tao, Da] Shenzhen Univ, Inst Human Factors &amp; Ergon, Coll Mechatron &amp; Control Engn, Shenzhen 518061, Peoples R China</t>
        </is>
      </c>
      <c r="Y1302" t="inlineStr">
        <is>
          <t>Tianjin University; Hong Kong Polytechnic University; Shenzhen University</t>
        </is>
      </c>
      <c r="Z1302" t="inlineStr">
        <is>
          <t>Tao, D (corresponding author), Shenzhen Univ, Inst Human Factors &amp; Ergon, Coll Mechatron &amp; Control Engn, Shenzhen 518061, Peoples R China.</t>
        </is>
      </c>
      <c r="AA1302" t="inlineStr">
        <is>
          <t>taoda@szu.edu.cn</t>
        </is>
      </c>
      <c r="AC1302" t="inlineStr">
        <is>
          <t>Tao, Da/0000-0003-2319-359X; wang, hailiang/0000-0002-6668-7947</t>
        </is>
      </c>
      <c r="AH1302" t="n">
        <v>52</v>
      </c>
      <c r="AI1302" t="n">
        <v>0</v>
      </c>
      <c r="AJ1302" t="n">
        <v>0</v>
      </c>
      <c r="AK1302" t="n">
        <v>9</v>
      </c>
      <c r="AL1302" t="n">
        <v>18</v>
      </c>
      <c r="AM1302" t="inlineStr">
        <is>
          <t>MDPI</t>
        </is>
      </c>
      <c r="AN1302" t="inlineStr">
        <is>
          <t>BASEL</t>
        </is>
      </c>
      <c r="AO1302" t="inlineStr">
        <is>
          <t>ST ALBAN-ANLAGE 66, CH-4052 BASEL, SWITZERLAND</t>
        </is>
      </c>
      <c r="AQ1302" t="inlineStr">
        <is>
          <t>2071-1050</t>
        </is>
      </c>
      <c r="AS1302" t="inlineStr">
        <is>
          <t>SUSTAINABILITY-BASEL</t>
        </is>
      </c>
      <c r="AT1302" t="inlineStr">
        <is>
          <t>Sustainability</t>
        </is>
      </c>
      <c r="AU1302" t="inlineStr">
        <is>
          <t>DEC</t>
        </is>
      </c>
      <c r="AV1302" t="n">
        <v>2022</v>
      </c>
      <c r="AW1302" t="n">
        <v>14</v>
      </c>
      <c r="AX1302" t="n">
        <v>24</v>
      </c>
      <c r="BE1302" t="n">
        <v>16506</v>
      </c>
      <c r="BF1302" t="inlineStr">
        <is>
          <t>10.3390/su142416506</t>
        </is>
      </c>
      <c r="BG1302">
        <f>HYPERLINK("http://dx.doi.org/10.3390/su142416506","http://dx.doi.org/10.3390/su142416506")</f>
        <v/>
      </c>
      <c r="BJ1302" t="n">
        <v>16</v>
      </c>
      <c r="BK1302" t="inlineStr">
        <is>
          <t>Green &amp; Sustainable Science &amp; Technology; Environmental Sciences; Environmental Studies</t>
        </is>
      </c>
      <c r="BL1302" t="inlineStr">
        <is>
          <t>Science Citation Index Expanded (SCI-EXPANDED); Social Science Citation Index (SSCI)</t>
        </is>
      </c>
      <c r="BM1302" t="inlineStr">
        <is>
          <t>Science &amp; Technology - Other Topics; Environmental Sciences &amp; Ecology</t>
        </is>
      </c>
      <c r="BN1302" t="inlineStr">
        <is>
          <t>7G6BC</t>
        </is>
      </c>
      <c r="BP1302" t="inlineStr">
        <is>
          <t>gold</t>
        </is>
      </c>
      <c r="BS1302" t="inlineStr">
        <is>
          <t>2023-10-26</t>
        </is>
      </c>
      <c r="BT1302" t="inlineStr">
        <is>
          <t>WOS:000902606200001</t>
        </is>
      </c>
      <c r="BU1302">
        <f>HYPERLINK("https%3A%2F%2Fwww.webofscience.com%2Fwos%2Fwoscc%2Ffull-record%2FWOS:000902606200001","View Full Record in Web of Science")</f>
        <v/>
      </c>
    </row>
    <row r="1303">
      <c r="A1303" t="inlineStr">
        <is>
          <t>J</t>
        </is>
      </c>
      <c r="B1303" t="inlineStr">
        <is>
          <t>Xia, DW; Xie, WE; Guo, JL; Zou, YK; Wu, ZT; Fan, YN</t>
        </is>
      </c>
      <c r="F1303" t="inlineStr">
        <is>
          <t>Xia, Dawei; Xie, Weien; Guo, Jialiang; Zou, Yukai; Wu, Zhuotong; Fan, Yini</t>
        </is>
      </c>
      <c r="J1303" t="inlineStr">
        <is>
          <t>SUSTAINABILITY</t>
        </is>
      </c>
      <c r="M1303" t="inlineStr">
        <is>
          <t>English</t>
        </is>
      </c>
      <c r="N1303" t="inlineStr">
        <is>
          <t>Article</t>
        </is>
      </c>
      <c r="T1303" t="inlineStr">
        <is>
          <t>Building Thermal and Energy Performance of Subtropical Terraced Houses under Future Climate Uncertainty</t>
        </is>
      </c>
      <c r="U1303" t="inlineStr">
        <is>
          <t>energy performance; building thermal; sensitivity analysis; indoor overheating hours; cooling load</t>
        </is>
      </c>
      <c r="V1303" t="inlineStr">
        <is>
          <t>DESIGN STRATEGIES; RESIDENTIAL BUILDINGS; HEAT WAVES; CONSUMPTION; IMPACTS; RISK; RETROFIT; COMFORT; DEMAND; OFFICE</t>
        </is>
      </c>
      <c r="W1303" t="inlineStr">
        <is>
          <t>Due to global temperature increases, terraced house (TH) residents face a threat to their health due to poor indoor thermal environments. As buildings are constructed by low-income residents without professional guidance, this study aims to investigate the indoor thermal comfort and energy resilience of THs under the future climate and determine the optimal passive design strategies for construction and retrofitting. By exploring the effects of building envelope structures, adjusting the window-to-wall ratio (WWR) and designing shading devices, EnergyPlus version 22.0 was used to optimize the thermal environment and cooling load of THs throughout their life cycle under future climate uncertainties. Unimproved THs will experience overheating for nearly 90% of the hours in a year and the cooling load will exceed 60,000 kWh by 2100 under the Representative Concentration Pathways (RCP) 8.5 scenario. In contrast, optimization and improvements resulted in a 17.3% reduction in indoor cooling load by increasing shading devices and the WWR, and using building envelope structures with moderate thermal insulation. This study can guide TH design and renovation, significantly reducing indoor cooling load and enabling residents to better use active cooling to combat future overheating environments.</t>
        </is>
      </c>
      <c r="X1303" t="inlineStr">
        <is>
          <t>[Xia, Dawei; Xie, Weien; Guo, Jialiang; Zou, Yukai; Wu, Zhuotong; Fan, Yini] Guangzhou Univ, Sch Architecture &amp; Urban Planning, Guangzhou 511442, Peoples R China</t>
        </is>
      </c>
      <c r="Y1303" t="inlineStr">
        <is>
          <t>Guangzhou University</t>
        </is>
      </c>
      <c r="Z1303" t="inlineStr">
        <is>
          <t>Zou, YK (corresponding author), Guangzhou Univ, Sch Architecture &amp; Urban Planning, Guangzhou 511442, Peoples R China.</t>
        </is>
      </c>
      <c r="AA1303" t="inlineStr">
        <is>
          <t>xiadawei@gzhu.edu.cn; xwe427wein@outlook.com; guojialiang97@gmail.com; zou.yukai@outlook.com; 2112209009@e.gzhu.edu.cn; yinifan@e.gzhu.edu.cn</t>
        </is>
      </c>
      <c r="AD1303" t="inlineStr">
        <is>
          <t>We express our gratitude to the anonymous reviewers for their valuable comments and suggestions, as well as the editors for their guidance and support regarding the manuscript.</t>
        </is>
      </c>
      <c r="AE1303" t="inlineStr">
        <is>
          <t>We express our gratitude to the anonymous reviewers for their valuable comments and suggestions, as well as the editors for their guidance and support regarding the manuscript.</t>
        </is>
      </c>
      <c r="AF1303" t="inlineStr">
        <is>
          <t>We express our gratitude to the anonymous reviewers for their valuable comments and suggestions, as well as the editors for their guidance and support regarding the manuscript.</t>
        </is>
      </c>
      <c r="AH1303" t="n">
        <v>69</v>
      </c>
      <c r="AI1303" t="n">
        <v>0</v>
      </c>
      <c r="AJ1303" t="n">
        <v>0</v>
      </c>
      <c r="AK1303" t="n">
        <v>2</v>
      </c>
      <c r="AL1303" t="n">
        <v>2</v>
      </c>
      <c r="AM1303" t="inlineStr">
        <is>
          <t>MDPI</t>
        </is>
      </c>
      <c r="AN1303" t="inlineStr">
        <is>
          <t>BASEL</t>
        </is>
      </c>
      <c r="AO1303" t="inlineStr">
        <is>
          <t>ST ALBAN-ANLAGE 66, CH-4052 BASEL, SWITZERLAND</t>
        </is>
      </c>
      <c r="AQ1303" t="inlineStr">
        <is>
          <t>2071-1050</t>
        </is>
      </c>
      <c r="AS1303" t="inlineStr">
        <is>
          <t>SUSTAINABILITY-BASEL</t>
        </is>
      </c>
      <c r="AT1303" t="inlineStr">
        <is>
          <t>Sustainability</t>
        </is>
      </c>
      <c r="AU1303" t="inlineStr">
        <is>
          <t>AUG</t>
        </is>
      </c>
      <c r="AV1303" t="n">
        <v>2023</v>
      </c>
      <c r="AW1303" t="n">
        <v>15</v>
      </c>
      <c r="AX1303" t="n">
        <v>16</v>
      </c>
      <c r="BE1303" t="n">
        <v>12464</v>
      </c>
      <c r="BF1303" t="inlineStr">
        <is>
          <t>10.3390/su151612464</t>
        </is>
      </c>
      <c r="BG1303">
        <f>HYPERLINK("http://dx.doi.org/10.3390/su151612464","http://dx.doi.org/10.3390/su151612464")</f>
        <v/>
      </c>
      <c r="BJ1303" t="n">
        <v>22</v>
      </c>
      <c r="BK1303" t="inlineStr">
        <is>
          <t>Green &amp; Sustainable Science &amp; Technology; Environmental Sciences; Environmental Studies</t>
        </is>
      </c>
      <c r="BL1303" t="inlineStr">
        <is>
          <t>Science Citation Index Expanded (SCI-EXPANDED); Social Science Citation Index (SSCI)</t>
        </is>
      </c>
      <c r="BM1303" t="inlineStr">
        <is>
          <t>Science &amp; Technology - Other Topics; Environmental Sciences &amp; Ecology</t>
        </is>
      </c>
      <c r="BN1303" t="inlineStr">
        <is>
          <t>Q1WZ3</t>
        </is>
      </c>
      <c r="BP1303" t="inlineStr">
        <is>
          <t>gold</t>
        </is>
      </c>
      <c r="BS1303" t="inlineStr">
        <is>
          <t>2023-10-26</t>
        </is>
      </c>
      <c r="BT1303" t="inlineStr">
        <is>
          <t>WOS:001055504600001</t>
        </is>
      </c>
      <c r="BU1303">
        <f>HYPERLINK("https%3A%2F%2Fwww.webofscience.com%2Fwos%2Fwoscc%2Ffull-record%2FWOS:001055504600001","View Full Record in Web of Science")</f>
        <v/>
      </c>
    </row>
    <row r="1304">
      <c r="A1304" t="inlineStr">
        <is>
          <t>J</t>
        </is>
      </c>
      <c r="B1304" t="inlineStr">
        <is>
          <t>Hwang, J; Park, S; Kim, S</t>
        </is>
      </c>
      <c r="F1304" t="inlineStr">
        <is>
          <t>Hwang, Jongnam; Park, Sangmin; Kim, Sujin</t>
        </is>
      </c>
      <c r="J1304" t="inlineStr">
        <is>
          <t>INTERNATIONAL JOURNAL OF ENVIRONMENTAL RESEARCH AND PUBLIC HEALTH</t>
        </is>
      </c>
      <c r="M1304" t="inlineStr">
        <is>
          <t>English</t>
        </is>
      </c>
      <c r="N1304" t="inlineStr">
        <is>
          <t>Article</t>
        </is>
      </c>
      <c r="T1304" t="inlineStr">
        <is>
          <t>Effects of Participation in Social Activities on Cognitive Function Among Middle-Aged and Older Adults in Korea</t>
        </is>
      </c>
      <c r="U1304" t="inlineStr">
        <is>
          <t>cognitive function; social activity; older adults; Korea</t>
        </is>
      </c>
      <c r="V1304" t="inlineStr">
        <is>
          <t>POPULATION-BASED COHORT; LATER-LIFE; NETWORK CHARACTERISTICS; DEMENTIA; DECLINE; IMPAIRMENT; HEALTH; ASSOCIATION; RISK; AMERICANS</t>
        </is>
      </c>
      <c r="W1304" t="inlineStr">
        <is>
          <t>Cognitive function is a critical health issue in later life, the decline of which disrupts well-being and daily life function. Cognitive decline in older ages can also be understood in the context of the social environment such as social connectedness and engagement in personal life. This study aimed to examine: (1) whether participation in social activities contributes to preventing cognitive decline, and (2) what type of social activities are beneficial to maintaining cognitive function. Data from the Korean Longitudinal Study of Aging (KLOSA) 2006-2014, a longitudinal survey of the household-dwelling population aged 45 and older in Korea were used. The results revealed that Mini-Mental State Examination (MMSE) scores decreased with increasing age, at a rate of approximately 0.18 units across all age-gender groups, and the decrease was steeper for adults aged 65 and over. Participation in social gatherings was likely to delay the decline in cognitive function after the age of 65. In a gender-stratified model, social activity may not have an impact on the decline of cognitive function for men, whereas participation in social gatherings was negatively related to the decline of MMSE scores in women. This study suggests the need for a gender-stratified policy for preventing the decline of cognitive function while promoting engagement in social activities in Korean older adults.</t>
        </is>
      </c>
      <c r="X1304" t="inlineStr">
        <is>
          <t>[Hwang, Jongnam] Wonkwang Univ, Div Social Welf &amp; Hlth Adm, Iksan 54538, South Korea; [Park, Sangmin] Seoul Natl Univ, Dept Family Med &amp; Biomed Sci, Seoul 03080, South Korea; [Kim, Sujin] Korea Inst Hlth &amp; Social Affairs, Dept Hlth Care Policy Res, Sejong 30147, South Korea</t>
        </is>
      </c>
      <c r="Y1304" t="inlineStr">
        <is>
          <t>Wonkwang University; Seoul National University (SNU); Korea Institute for Health and Social Affairs</t>
        </is>
      </c>
      <c r="Z1304" t="inlineStr">
        <is>
          <t>Kim, S (corresponding author), Korea Inst Hlth &amp; Social Affairs, Dept Hlth Care Policy Res, Sejong 30147, South Korea.</t>
        </is>
      </c>
      <c r="AA1304" t="inlineStr">
        <is>
          <t>jonhwang416@gmail.com; smpark.snuh@gmail.com; sujin0818@gmail.com</t>
        </is>
      </c>
      <c r="AB1304" t="inlineStr">
        <is>
          <t>Hwang, Jongnam/GLQ-6437-2022</t>
        </is>
      </c>
      <c r="AC1304" t="inlineStr">
        <is>
          <t>Hwang, Jongnam/0000-0001-7078-9244; Kim, Sujin/0000-0002-4251-6318</t>
        </is>
      </c>
      <c r="AD1304" t="inlineStr">
        <is>
          <t>Basic Science Research Program through the National Research Foundation of Korea - Ministry of Education, Science and Technology [2016R1D1A1B03935971]; National Research Foundation of Korea [2016R1D1A1B03935971] Funding Source: Korea Institute of Science &amp; Technology Information (KISTI), National Science &amp; Technology Information Service (NTIS)</t>
        </is>
      </c>
      <c r="AE1304" t="inlineStr">
        <is>
          <t>Basic Science Research Program through the National Research Foundation of Korea - Ministry of Education, Science and Technology; National Research Foundation of Korea(National Research Foundation of Korea)</t>
        </is>
      </c>
      <c r="AF1304" t="inlineStr">
        <is>
          <t>This research was funded by the Basic Science Research Program through the National Research Foundation of Korea funded by the Ministry of Education, Science and Technology [2016R1D1A1B03935971].</t>
        </is>
      </c>
      <c r="AH1304" t="n">
        <v>50</v>
      </c>
      <c r="AI1304" t="n">
        <v>21</v>
      </c>
      <c r="AJ1304" t="n">
        <v>23</v>
      </c>
      <c r="AK1304" t="n">
        <v>2</v>
      </c>
      <c r="AL1304" t="n">
        <v>24</v>
      </c>
      <c r="AM1304" t="inlineStr">
        <is>
          <t>MDPI</t>
        </is>
      </c>
      <c r="AN1304" t="inlineStr">
        <is>
          <t>BASEL</t>
        </is>
      </c>
      <c r="AO1304" t="inlineStr">
        <is>
          <t>ST ALBAN-ANLAGE 66, CH-4052 BASEL, SWITZERLAND</t>
        </is>
      </c>
      <c r="AQ1304" t="inlineStr">
        <is>
          <t>1660-4601</t>
        </is>
      </c>
      <c r="AS1304" t="inlineStr">
        <is>
          <t>INT J ENV RES PUB HE</t>
        </is>
      </c>
      <c r="AT1304" t="inlineStr">
        <is>
          <t>Int. J. Environ. Res. Public Health</t>
        </is>
      </c>
      <c r="AU1304" t="inlineStr">
        <is>
          <t>OCT</t>
        </is>
      </c>
      <c r="AV1304" t="n">
        <v>2018</v>
      </c>
      <c r="AW1304" t="n">
        <v>15</v>
      </c>
      <c r="AX1304" t="n">
        <v>10</v>
      </c>
      <c r="BE1304" t="n">
        <v>2315</v>
      </c>
      <c r="BF1304" t="inlineStr">
        <is>
          <t>10.3390/ijerph15102315</t>
        </is>
      </c>
      <c r="BG1304">
        <f>HYPERLINK("http://dx.doi.org/10.3390/ijerph15102315","http://dx.doi.org/10.3390/ijerph15102315")</f>
        <v/>
      </c>
      <c r="BJ1304" t="n">
        <v>12</v>
      </c>
      <c r="BK1304" t="inlineStr">
        <is>
          <t>Environmental Sciences; Public, Environmental &amp; Occupational Health</t>
        </is>
      </c>
      <c r="BL1304" t="inlineStr">
        <is>
          <t>Science Citation Index Expanded (SCI-EXPANDED); Social Science Citation Index (SSCI)</t>
        </is>
      </c>
      <c r="BM1304" t="inlineStr">
        <is>
          <t>Environmental Sciences &amp; Ecology; Public, Environmental &amp; Occupational Health</t>
        </is>
      </c>
      <c r="BN1304" t="inlineStr">
        <is>
          <t>GY7TQ</t>
        </is>
      </c>
      <c r="BO1304" t="n">
        <v>30347887</v>
      </c>
      <c r="BP1304" t="inlineStr">
        <is>
          <t>gold, Green Published, Green Submitted</t>
        </is>
      </c>
      <c r="BS1304" t="inlineStr">
        <is>
          <t>2023-10-26</t>
        </is>
      </c>
      <c r="BT1304" t="inlineStr">
        <is>
          <t>WOS:000448818100257</t>
        </is>
      </c>
      <c r="BU1304">
        <f>HYPERLINK("https%3A%2F%2Fwww.webofscience.com%2Fwos%2Fwoscc%2Ffull-record%2FWOS:000448818100257","View Full Record in Web of Science")</f>
        <v/>
      </c>
    </row>
    <row r="1305">
      <c r="A1305" t="inlineStr">
        <is>
          <t>J</t>
        </is>
      </c>
      <c r="B1305" t="inlineStr">
        <is>
          <t>Travezan, JY; Harmsen, R; van Toledo, G</t>
        </is>
      </c>
      <c r="F1305" t="inlineStr">
        <is>
          <t>Travezan, Jessica Yearwood; Harmsen, Robert; van Toledo, Gideon</t>
        </is>
      </c>
      <c r="J1305" t="inlineStr">
        <is>
          <t>ENERGY POLICY</t>
        </is>
      </c>
      <c r="M1305" t="inlineStr">
        <is>
          <t>English</t>
        </is>
      </c>
      <c r="N1305" t="inlineStr">
        <is>
          <t>Article</t>
        </is>
      </c>
      <c r="T1305" t="inlineStr">
        <is>
          <t>Policy analysis for energy efficiency in the built environment in Spain</t>
        </is>
      </c>
      <c r="U1305" t="inlineStr">
        <is>
          <t>Energy efficiency policies; Spain; Built environment</t>
        </is>
      </c>
      <c r="V1305" t="inlineStr">
        <is>
          <t>RENEWABLE ENERGY; SAVINGS</t>
        </is>
      </c>
      <c r="W1305" t="inlineStr">
        <is>
          <t>Energy efficiency is considered one of the most cost effective ways to enhance security of energy supply and reduce greenhouse gas emissions. According to Europe's Energy Efficiency Plan, the biggest energy savings potential in the EU lies in the built environment. However, the many barriers to energy efficiency have prevented the implementation of the existing potential so far. This paper evaluates the existing policy instruments aimed at energy efficiency in buildings in Spain as laid down in the 2nd National Energy Efficiency Action Plan (NEEAP). The results show that the current policy package is insufficient to yield the existing energy savings potential in this sector. As much of the savings potential can be found in existing buildings and realization of this potential very much relies on voluntary action, the renovation sector is in need of an appropriate financial framework that mobilizes sufficient public and private financial resources, and transparent and efficient mechanisms to ensure the return on investment and payments from those who benefit from the renovation. Such financial framework needs to be supported by a regulatory framework that is tuned to existing buildings and an organizational framework that effectively connects the different policy layers in Spain. (C) 2013 Elsevier Ltd. All rights reserved.</t>
        </is>
      </c>
      <c r="X1305" t="inlineStr">
        <is>
          <t>[Travezan, Jessica Yearwood] Triple E Consulting, NL-3014 GS Rotterdam, Netherlands; [Harmsen, Robert] Univ Utrecht, Copernicus Inst Sustainable Dev, NL-3584 CS Utrecht, Netherlands; [van Toledo, Gideon] Ecofys Netherlands, NL-3625 KL Utrecht, Netherlands</t>
        </is>
      </c>
      <c r="Y1305" t="inlineStr">
        <is>
          <t>Utrecht University</t>
        </is>
      </c>
      <c r="Z1305" t="inlineStr">
        <is>
          <t>Harmsen, R (corresponding author), Univ Utrecht, Copernicus Inst Sustainable Dev, Heidelberglaan 2, NL-3584 CS Utrecht, Netherlands.</t>
        </is>
      </c>
      <c r="AA1305" t="inlineStr">
        <is>
          <t>r.harmsen@uu.nl</t>
        </is>
      </c>
      <c r="AB1305" t="inlineStr">
        <is>
          <t>harmsen, robert/M-7669-2013</t>
        </is>
      </c>
      <c r="AC1305" t="inlineStr">
        <is>
          <t>harmsen, robert/0000-0002-9692-1319</t>
        </is>
      </c>
      <c r="AD1305" t="inlineStr">
        <is>
          <t>Education for Sustainable Energy Development (ESED) Scholarship</t>
        </is>
      </c>
      <c r="AE1305" t="inlineStr">
        <is>
          <t>Education for Sustainable Energy Development (ESED) Scholarship</t>
        </is>
      </c>
      <c r="AF1305" t="inlineStr">
        <is>
          <t>The Global Sustainable Electricity Partnership is gratefully thanked for partly funding this research through its Education for Sustainable Energy Development (ESED) Scholarship 2010-2012.</t>
        </is>
      </c>
      <c r="AH1305" t="n">
        <v>46</v>
      </c>
      <c r="AI1305" t="n">
        <v>33</v>
      </c>
      <c r="AJ1305" t="n">
        <v>33</v>
      </c>
      <c r="AK1305" t="n">
        <v>1</v>
      </c>
      <c r="AL1305" t="n">
        <v>24</v>
      </c>
      <c r="AM1305" t="inlineStr">
        <is>
          <t>ELSEVIER SCI LTD</t>
        </is>
      </c>
      <c r="AN1305" t="inlineStr">
        <is>
          <t>OXFORD</t>
        </is>
      </c>
      <c r="AO1305" t="inlineStr">
        <is>
          <t>THE BOULEVARD, LANGFORD LANE, KIDLINGTON, OXFORD OX5 1GB, OXON, ENGLAND</t>
        </is>
      </c>
      <c r="AP1305" t="inlineStr">
        <is>
          <t>0301-4215</t>
        </is>
      </c>
      <c r="AQ1305" t="inlineStr">
        <is>
          <t>1873-6777</t>
        </is>
      </c>
      <c r="AS1305" t="inlineStr">
        <is>
          <t>ENERG POLICY</t>
        </is>
      </c>
      <c r="AT1305" t="inlineStr">
        <is>
          <t>Energy Policy</t>
        </is>
      </c>
      <c r="AU1305" t="inlineStr">
        <is>
          <t>OCT</t>
        </is>
      </c>
      <c r="AV1305" t="n">
        <v>2013</v>
      </c>
      <c r="AW1305" t="n">
        <v>61</v>
      </c>
      <c r="BC1305" t="n">
        <v>317</v>
      </c>
      <c r="BD1305" t="n">
        <v>326</v>
      </c>
      <c r="BF1305" t="inlineStr">
        <is>
          <t>10.1016/j.enpol.2013.05.096</t>
        </is>
      </c>
      <c r="BG1305">
        <f>HYPERLINK("http://dx.doi.org/10.1016/j.enpol.2013.05.096","http://dx.doi.org/10.1016/j.enpol.2013.05.096")</f>
        <v/>
      </c>
      <c r="BJ1305" t="n">
        <v>10</v>
      </c>
      <c r="BK1305" t="inlineStr">
        <is>
          <t>Economics; Energy &amp; Fuels; Environmental Sciences; Environmental Studies</t>
        </is>
      </c>
      <c r="BL1305" t="inlineStr">
        <is>
          <t>Science Citation Index Expanded (SCI-EXPANDED); Social Science Citation Index (SSCI)</t>
        </is>
      </c>
      <c r="BM1305" t="inlineStr">
        <is>
          <t>Business &amp; Economics; Energy &amp; Fuels; Environmental Sciences &amp; Ecology</t>
        </is>
      </c>
      <c r="BN1305" t="inlineStr">
        <is>
          <t>231UI</t>
        </is>
      </c>
      <c r="BS1305" t="inlineStr">
        <is>
          <t>2023-10-26</t>
        </is>
      </c>
      <c r="BT1305" t="inlineStr">
        <is>
          <t>WOS:000325443500033</t>
        </is>
      </c>
      <c r="BU1305">
        <f>HYPERLINK("https%3A%2F%2Fwww.webofscience.com%2Fwos%2Fwoscc%2Ffull-record%2FWOS:000325443500033","View Full Record in Web of Science")</f>
        <v/>
      </c>
    </row>
    <row r="1306">
      <c r="A1306" t="inlineStr">
        <is>
          <t>J</t>
        </is>
      </c>
      <c r="B1306" t="inlineStr">
        <is>
          <t>Park, C; Ha, J; Lee, S</t>
        </is>
      </c>
      <c r="F1306" t="inlineStr">
        <is>
          <t>Park, Cheolyeong; Ha, Jaehyun; Lee, Sugie</t>
        </is>
      </c>
      <c r="J1306" t="inlineStr">
        <is>
          <t>SUSTAINABILITY</t>
        </is>
      </c>
      <c r="M1306" t="inlineStr">
        <is>
          <t>English</t>
        </is>
      </c>
      <c r="N1306" t="inlineStr">
        <is>
          <t>Article</t>
        </is>
      </c>
      <c r="T1306" t="inlineStr">
        <is>
          <t>Association between Three-Dimensional Built Environment and Urban Air Temperature: Seasonal and Temporal Differences</t>
        </is>
      </c>
      <c r="U1306" t="inlineStr">
        <is>
          <t>air temperature; three-dimensional built environment; sky view factor; surface roughness; porosity</t>
        </is>
      </c>
      <c r="V1306" t="inlineStr">
        <is>
          <t>VIEW FACTOR-ANALYSIS; HEAT-ISLAND INTENSITY; HONG-KONG; HIGHRISE; CITIES; CANYON; VENTILATION; SIMULATION; PARKS; AREA</t>
        </is>
      </c>
      <c r="W1306" t="inlineStr">
        <is>
          <t>Climate change and the urban heat island phenomenon are increasingly important issues in urban thermal environments. However, there is a lack of research on the relationship between three-dimensional built environments and air temperature. Therefore, the purpose of this study is to provide policy suggestions that could be used to improve urban thermal environments by analyzing the effect of the three-dimensional built environment of an urban space on the urban air temperature according to changes in time (i.e., season, time of day). Using data from 236 automatic weather stations (AWSs) in Seoul, Korea, this study focused on three-dimensional built environmental variables and land use variables that affect air temperature in terms of season and time. The analysis results indicate that the sky view factor and porosity were lower in urban areas, with higher sky view factor and porosity values associated with lower air temperature. This study also indicates that surface roughness is higher in urban areas, with higher surface roughness associated with higher air temperature. These results suggest that urban design practices should consider the three-dimensional built environment when planning urban development and urban regeneration projects in order to improve the urban thermal environment.</t>
        </is>
      </c>
      <c r="X1306" t="inlineStr">
        <is>
          <t>[Park, Cheolyeong; Ha, Jaehyun; Lee, Sugie] Hanyang Univ, Dept Urban Planning &amp; Engn, Seoul 04763, South Korea</t>
        </is>
      </c>
      <c r="Y1306" t="inlineStr">
        <is>
          <t>Hanyang University</t>
        </is>
      </c>
      <c r="Z1306" t="inlineStr">
        <is>
          <t>Lee, S (corresponding author), Hanyang Univ, Dept Urban Planning &amp; Engn, Seoul 04763, South Korea.</t>
        </is>
      </c>
      <c r="AA1306" t="inlineStr">
        <is>
          <t>kfyde@hanyang.ac.kr; jaehyunha@hanyang.ac.kr; sugielee@hanyang.ac.kr</t>
        </is>
      </c>
      <c r="AD1306" t="inlineStr">
        <is>
          <t>Korean Agency for Infrastructure Technology Advancement (KAIA) grant - Ministry of Land, Infrastructure, and Transport [17AUDP-B102406-03]; National Research Foundation of Korea [2015H1A2A1034449] Funding Source: Korea Institute of Science &amp; Technology Information (KISTI), National Science &amp; Technology Information Service (NTIS)</t>
        </is>
      </c>
      <c r="AE1306" t="inlineStr">
        <is>
          <t>Korean Agency for Infrastructure Technology Advancement (KAIA) grant - Ministry of Land, Infrastructure, and Transport; National Research Foundation of Korea(National Research Foundation of Korea)</t>
        </is>
      </c>
      <c r="AF1306" t="inlineStr">
        <is>
          <t>This work was supported by a Korean Agency for Infrastructure Technology Advancement (KAIA) grant funded by the Ministry of Land, Infrastructure, and Transport (Grant 17AUDP-B102406-03).</t>
        </is>
      </c>
      <c r="AH1306" t="n">
        <v>45</v>
      </c>
      <c r="AI1306" t="n">
        <v>9</v>
      </c>
      <c r="AJ1306" t="n">
        <v>9</v>
      </c>
      <c r="AK1306" t="n">
        <v>8</v>
      </c>
      <c r="AL1306" t="n">
        <v>31</v>
      </c>
      <c r="AM1306" t="inlineStr">
        <is>
          <t>MDPI AG</t>
        </is>
      </c>
      <c r="AN1306" t="inlineStr">
        <is>
          <t>BASEL</t>
        </is>
      </c>
      <c r="AO1306" t="inlineStr">
        <is>
          <t>ST ALBAN-ANLAGE 66, CH-4052 BASEL, SWITZERLAND</t>
        </is>
      </c>
      <c r="AP1306" t="inlineStr">
        <is>
          <t>2071-1050</t>
        </is>
      </c>
      <c r="AS1306" t="inlineStr">
        <is>
          <t>SUSTAINABILITY-BASEL</t>
        </is>
      </c>
      <c r="AT1306" t="inlineStr">
        <is>
          <t>Sustainability</t>
        </is>
      </c>
      <c r="AU1306" t="inlineStr">
        <is>
          <t>AUG</t>
        </is>
      </c>
      <c r="AV1306" t="n">
        <v>2017</v>
      </c>
      <c r="AW1306" t="n">
        <v>9</v>
      </c>
      <c r="AX1306" t="n">
        <v>8</v>
      </c>
      <c r="BE1306" t="n">
        <v>1338</v>
      </c>
      <c r="BF1306" t="inlineStr">
        <is>
          <t>10.3390/su9081338</t>
        </is>
      </c>
      <c r="BG1306">
        <f>HYPERLINK("http://dx.doi.org/10.3390/su9081338","http://dx.doi.org/10.3390/su9081338")</f>
        <v/>
      </c>
      <c r="BJ1306" t="n">
        <v>16</v>
      </c>
      <c r="BK1306" t="inlineStr">
        <is>
          <t>Green &amp; Sustainable Science &amp; Technology; Environmental Sciences; Environmental Studies</t>
        </is>
      </c>
      <c r="BL1306" t="inlineStr">
        <is>
          <t>Science Citation Index Expanded (SCI-EXPANDED); Social Science Citation Index (SSCI)</t>
        </is>
      </c>
      <c r="BM1306" t="inlineStr">
        <is>
          <t>Science &amp; Technology - Other Topics; Environmental Sciences &amp; Ecology</t>
        </is>
      </c>
      <c r="BN1306" t="inlineStr">
        <is>
          <t>FF3YT</t>
        </is>
      </c>
      <c r="BP1306" t="inlineStr">
        <is>
          <t>gold, Green Submitted</t>
        </is>
      </c>
      <c r="BS1306" t="inlineStr">
        <is>
          <t>2023-10-26</t>
        </is>
      </c>
      <c r="BT1306" t="inlineStr">
        <is>
          <t>WOS:000408861800053</t>
        </is>
      </c>
      <c r="BU1306">
        <f>HYPERLINK("https%3A%2F%2Fwww.webofscience.com%2Fwos%2Fwoscc%2Ffull-record%2FWOS:000408861800053","View Full Record in Web of Science")</f>
        <v/>
      </c>
    </row>
    <row r="1307">
      <c r="A1307" t="inlineStr">
        <is>
          <t>J</t>
        </is>
      </c>
      <c r="B1307" t="inlineStr">
        <is>
          <t>Keenan, JM; Hauer, ME</t>
        </is>
      </c>
      <c r="F1307" t="inlineStr">
        <is>
          <t>Keenan, Jesse M.; Hauer, Mathew E.</t>
        </is>
      </c>
      <c r="J1307" t="inlineStr">
        <is>
          <t>ENVIRONMENTAL RESEARCH LETTERS</t>
        </is>
      </c>
      <c r="M1307" t="inlineStr">
        <is>
          <t>English</t>
        </is>
      </c>
      <c r="N1307" t="inlineStr">
        <is>
          <t>Article</t>
        </is>
      </c>
      <c r="T1307" t="inlineStr">
        <is>
          <t>Resilience for whom? Demographic change and the redevelopment of the built environment in Puerto Rico</t>
        </is>
      </c>
      <c r="U1307" t="inlineStr">
        <is>
          <t>Puerto Rico; demography; resilience; climate adaptation; recovery; built environment</t>
        </is>
      </c>
      <c r="V1307" t="inlineStr">
        <is>
          <t>HURRICANE MARIA; POPULATION; FERTILITY; AGE</t>
        </is>
      </c>
      <c r="W1307" t="inlineStr">
        <is>
          <t>As Puerto Rico ('PR') makes long-term investments in the reconstruction of its built environment following Hurricanes Maria and Irma, a fundamental research question remains unanswered: who will benefit from these recovery and resilience efforts? The article presents 30-year demographic projections (2017-2047) that show current fiscal and infrastructure planning efforts overestimate the size and composition of the future PR populations who may be the direct and indirect beneficiaries of post-Hurricane recovery and resilience investments in the built environment. Our projections suggest long-term projected depopulation are inconsistently applied in the fiscal and infrastructure planning, shaping both recovery and resilience efforts. As PR moves forward with long-term plans and capital investments, consistently deployed, long-range population projections are critical for determining the optimal stewardship of public resources and as a check on the construction of a built environment that might be beyond the sustainable capacity of PR to utilize, maintain, and pay for.</t>
        </is>
      </c>
      <c r="X1307" t="inlineStr">
        <is>
          <t>[Keenan, Jesse M.] Tulane Univ, Sch Architecture, Mem Hall,6823 St Charles Ave, Richardson, LA 70118 USA; [Hauer, Mathew E.] Florida State Univ, Dept Sociol, Ctr Demog &amp; Populat Hlth, Tallahassee, FL 32306 USA</t>
        </is>
      </c>
      <c r="Y1307" t="inlineStr">
        <is>
          <t>Tulane University; State University System of Florida; Florida State University</t>
        </is>
      </c>
      <c r="Z1307" t="inlineStr">
        <is>
          <t>Keenan, JM (corresponding author), Tulane Univ, Sch Architecture, Mem Hall,6823 St Charles Ave, Richardson, LA 70118 USA.</t>
        </is>
      </c>
      <c r="AA1307" t="inlineStr">
        <is>
          <t>jkeenan@tulane.edu</t>
        </is>
      </c>
      <c r="AC1307" t="inlineStr">
        <is>
          <t>Keenan, Jesse/0000-0003-4058-1682; Hauer, Mathew/0000-0001-9390-5308</t>
        </is>
      </c>
      <c r="AD1307" t="inlineStr">
        <is>
          <t>RAND Corporation</t>
        </is>
      </c>
      <c r="AE1307" t="inlineStr">
        <is>
          <t>RAND Corporation</t>
        </is>
      </c>
      <c r="AF1307" t="inlineStr">
        <is>
          <t>The demographic modeling portion of this research was supported by a Research Subcontract Agreement with the RAND Corporation. All other portions of this research were advanced without external research funding.</t>
        </is>
      </c>
      <c r="AH1307" t="n">
        <v>54</v>
      </c>
      <c r="AI1307" t="n">
        <v>9</v>
      </c>
      <c r="AJ1307" t="n">
        <v>9</v>
      </c>
      <c r="AK1307" t="n">
        <v>2</v>
      </c>
      <c r="AL1307" t="n">
        <v>11</v>
      </c>
      <c r="AM1307" t="inlineStr">
        <is>
          <t>IOP Publishing Ltd</t>
        </is>
      </c>
      <c r="AN1307" t="inlineStr">
        <is>
          <t>BRISTOL</t>
        </is>
      </c>
      <c r="AO1307" t="inlineStr">
        <is>
          <t>TEMPLE CIRCUS, TEMPLE WAY, BRISTOL BS1 6BE, ENGLAND</t>
        </is>
      </c>
      <c r="AP1307" t="inlineStr">
        <is>
          <t>1748-9326</t>
        </is>
      </c>
      <c r="AS1307" t="inlineStr">
        <is>
          <t>ENVIRON RES LETT</t>
        </is>
      </c>
      <c r="AT1307" t="inlineStr">
        <is>
          <t>Environ. Res. Lett.</t>
        </is>
      </c>
      <c r="AU1307" t="inlineStr">
        <is>
          <t>JUL</t>
        </is>
      </c>
      <c r="AV1307" t="n">
        <v>2020</v>
      </c>
      <c r="AW1307" t="n">
        <v>15</v>
      </c>
      <c r="AX1307" t="n">
        <v>7</v>
      </c>
      <c r="BE1307" t="n">
        <v>74028</v>
      </c>
      <c r="BF1307" t="inlineStr">
        <is>
          <t>10.1088/1748-9326/ab92c2</t>
        </is>
      </c>
      <c r="BG1307">
        <f>HYPERLINK("http://dx.doi.org/10.1088/1748-9326/ab92c2","http://dx.doi.org/10.1088/1748-9326/ab92c2")</f>
        <v/>
      </c>
      <c r="BJ1307" t="n">
        <v>10</v>
      </c>
      <c r="BK1307" t="inlineStr">
        <is>
          <t>Environmental Sciences; Meteorology &amp; Atmospheric Sciences</t>
        </is>
      </c>
      <c r="BL1307" t="inlineStr">
        <is>
          <t>Science Citation Index Expanded (SCI-EXPANDED); Social Science Citation Index (SSCI)</t>
        </is>
      </c>
      <c r="BM1307" t="inlineStr">
        <is>
          <t>Environmental Sciences &amp; Ecology; Meteorology &amp; Atmospheric Sciences</t>
        </is>
      </c>
      <c r="BN1307" t="inlineStr">
        <is>
          <t>MJ8UJ</t>
        </is>
      </c>
      <c r="BP1307" t="inlineStr">
        <is>
          <t>gold</t>
        </is>
      </c>
      <c r="BS1307" t="inlineStr">
        <is>
          <t>2023-10-26</t>
        </is>
      </c>
      <c r="BT1307" t="inlineStr">
        <is>
          <t>WOS:000548362800001</t>
        </is>
      </c>
      <c r="BU1307">
        <f>HYPERLINK("https%3A%2F%2Fwww.webofscience.com%2Fwos%2Fwoscc%2Ffull-record%2FWOS:000548362800001","View Full Record in Web of Science")</f>
        <v/>
      </c>
    </row>
    <row r="1308">
      <c r="A1308" t="inlineStr">
        <is>
          <t>J</t>
        </is>
      </c>
      <c r="B1308" t="inlineStr">
        <is>
          <t>Poulain, T; Sobek, C; Ludwig, J; Igel, U; Grande, G; Ott, V; Kiess, W; Körner, A; Vogel, M</t>
        </is>
      </c>
      <c r="F1308" t="inlineStr">
        <is>
          <t>Poulain, Tanja; Sobek, Carolin; Ludwig, Juliane; Igel, Ulrike; Grande, Gesine; Ott, Verena; Kiess, Wieland; Korner, Antje; Vogel, Mandy</t>
        </is>
      </c>
      <c r="J1308" t="inlineStr">
        <is>
          <t>INTERNATIONAL JOURNAL OF ENVIRONMENTAL RESEARCH AND PUBLIC HEALTH</t>
        </is>
      </c>
      <c r="M1308" t="inlineStr">
        <is>
          <t>English</t>
        </is>
      </c>
      <c r="N1308" t="inlineStr">
        <is>
          <t>Article</t>
        </is>
      </c>
      <c r="T1308" t="inlineStr">
        <is>
          <t>Associations of Green Spaces and Streets in the Living Environment with Outdoor Activity, Media Use, Overweight/Obesity and Emotional Wellbeing in Children and Adolescents</t>
        </is>
      </c>
      <c r="U1308" t="inlineStr">
        <is>
          <t>urban living environment; outdoor activity; overweight; emotional wellbeing; children</t>
        </is>
      </c>
      <c r="V1308" t="inlineStr">
        <is>
          <t>PHYSICAL-ACTIVITY; BEHAVIORAL-PROBLEMS; BUILT ENVIRONMENT; OBESITY; CHILDHOOD; EXPOSURE; GINIPLUS; WALKING; HEALTH; IMPACT</t>
        </is>
      </c>
      <c r="W1308" t="inlineStr">
        <is>
          <t>Aspects of the living environment can affect health and wellbeing of children and adolescents. Whereas most previous studies assessed the more distant residential urban environment, less is known on possible effects of the close environment. The present study investigated associations of the proportion of streets and green spaces in the immediate urban living environment (50, 100 and 400 m around the home) with media use, outdoor activity, overweight/obesity and emotional problems in two samples of younger (age 3-10,n= 395) and older children (age 10-19,n= 405). Independently of socioeconomic parameters, a higher proportion of streets was associated with overweight/obesity (in younger and older children), higher media use (in younger children), less outdoor activity and more emotional problems (in older children). Older children's outdoor activity in winter increased with increasing proportions of green spaces. The observations suggest that the immediate urban living environment is a factor that can affect leisure behavior and health in children.</t>
        </is>
      </c>
      <c r="X1308" t="inlineStr">
        <is>
          <t>[Poulain, Tanja; Sobek, Carolin; Ludwig, Juliane; Kiess, Wieland; Korner, Antje; Vogel, Mandy] Univ Leipzig, LIFE Leipzig Res Ctr Civilizat Dis, Philipp Rosenthal Str 27, D-04103 Leipzig, Germany; [Poulain, Tanja; Sobek, Carolin; Kiess, Wieland; Korner, Antje; Vogel, Mandy] Univ Leipzig, Univ Hosp Children &amp; Adolescents, Dept Women &amp; Child Hlth, Liebigstr 20a, D-04103 Leipzig, Germany; [Poulain, Tanja; Sobek, Carolin; Kiess, Wieland; Korner, Antje; Vogel, Mandy] Univ Leipzig, Ctr Pediat Res, Liebigstr 20a, D-04103 Leipzig, Germany; [Igel, Ulrike; Grande, Gesine] Leipzig Univ Appl Sci HTWK, Ctr Res &amp; Transfer FTZ, Res Field Hlth &amp; Social Affairs, POB 30 11 66, D-04251 Leipzig, Germany; [Ott, Verena] Leibniz Inst Reg Geog IfL, Res Grp Mobil &amp; Migrat, Schongauerstr 9, D-04328 Leipzig, Germany</t>
        </is>
      </c>
      <c r="Y1308" t="inlineStr">
        <is>
          <t>Leipzig University; Leipzig University; Leipzig University; Leibniz Institut fur Landerkunde (IFL)</t>
        </is>
      </c>
      <c r="Z1308" t="inlineStr">
        <is>
          <t>Poulain, T (corresponding author), Univ Leipzig, LIFE Leipzig Res Ctr Civilizat Dis, Philipp Rosenthal Str 27, D-04103 Leipzig, Germany.;Poulain, T (corresponding author), Univ Leipzig, Univ Hosp Children &amp; Adolescents, Dept Women &amp; Child Hlth, Liebigstr 20a, D-04103 Leipzig, Germany.;Poulain, T (corresponding author), Univ Leipzig, Ctr Pediat Res, Liebigstr 20a, D-04103 Leipzig, Germany.</t>
        </is>
      </c>
      <c r="AA1308" t="inlineStr">
        <is>
          <t>tpoulain@life.uni-leipzig.de; csobek@life.uni-leipzig.de; jludwig@life.uni-leipzig.de; ulrike.igel@htwk-leipzig.de; gesine.grande@htwk-leipzig.de; v_ott@leibniz-ifl.de; wieland.kiess@medizin.uni-leipzig.de; antje.koerner@medizin.uni-leipzig.de; mvogel@life.uni-leipzig.de</t>
        </is>
      </c>
      <c r="AB1308" t="inlineStr">
        <is>
          <t>Körner, Antje/B-3988-2015</t>
        </is>
      </c>
      <c r="AC1308" t="inlineStr">
        <is>
          <t>Körner, Antje/0000-0001-6001-0356; Vogel, Mandy/0000-0003-2051-1249; Poulain, Tanja/0000-0003-3825-5829</t>
        </is>
      </c>
      <c r="AD1308" t="inlineStr">
        <is>
          <t>European Union; European Social Fund (ESF); European Regional Development Fund (ERDF); Free State of Saxony</t>
        </is>
      </c>
      <c r="AE1308" t="inlineStr">
        <is>
          <t>European Union(European Union (EU)); European Social Fund (ESF)(European Social Fund (ESF)); European Regional Development Fund (ERDF)(European Union (EU)); Free State of Saxony</t>
        </is>
      </c>
      <c r="AF1308" t="inlineStr">
        <is>
          <t>This work was supported by means of the European Union, by means of the European Social Fund (ESF), by the European Regional Development Fund (ERDF) and the Free State of Saxony as per the budget approved by the state parliament.</t>
        </is>
      </c>
      <c r="AH1308" t="n">
        <v>48</v>
      </c>
      <c r="AI1308" t="n">
        <v>10</v>
      </c>
      <c r="AJ1308" t="n">
        <v>10</v>
      </c>
      <c r="AK1308" t="n">
        <v>9</v>
      </c>
      <c r="AL1308" t="n">
        <v>63</v>
      </c>
      <c r="AM1308" t="inlineStr">
        <is>
          <t>MDPI</t>
        </is>
      </c>
      <c r="AN1308" t="inlineStr">
        <is>
          <t>BASEL</t>
        </is>
      </c>
      <c r="AO1308" t="inlineStr">
        <is>
          <t>ST ALBAN-ANLAGE 66, CH-4052 BASEL, SWITZERLAND</t>
        </is>
      </c>
      <c r="AQ1308" t="inlineStr">
        <is>
          <t>1660-4601</t>
        </is>
      </c>
      <c r="AS1308" t="inlineStr">
        <is>
          <t>INT J ENV RES PUB HE</t>
        </is>
      </c>
      <c r="AT1308" t="inlineStr">
        <is>
          <t>Int. J. Environ. Res. Public Health</t>
        </is>
      </c>
      <c r="AU1308" t="inlineStr">
        <is>
          <t>SEP</t>
        </is>
      </c>
      <c r="AV1308" t="n">
        <v>2020</v>
      </c>
      <c r="AW1308" t="n">
        <v>17</v>
      </c>
      <c r="AX1308" t="n">
        <v>17</v>
      </c>
      <c r="BE1308" t="n">
        <v>6321</v>
      </c>
      <c r="BF1308" t="inlineStr">
        <is>
          <t>10.3390/ijerph17176321</t>
        </is>
      </c>
      <c r="BG1308">
        <f>HYPERLINK("http://dx.doi.org/10.3390/ijerph17176321","http://dx.doi.org/10.3390/ijerph17176321")</f>
        <v/>
      </c>
      <c r="BJ1308" t="n">
        <v>14</v>
      </c>
      <c r="BK1308" t="inlineStr">
        <is>
          <t>Environmental Sciences; Public, Environmental &amp; Occupational Health</t>
        </is>
      </c>
      <c r="BL1308" t="inlineStr">
        <is>
          <t>Science Citation Index Expanded (SCI-EXPANDED); Social Science Citation Index (SSCI)</t>
        </is>
      </c>
      <c r="BM1308" t="inlineStr">
        <is>
          <t>Environmental Sciences &amp; Ecology; Public, Environmental &amp; Occupational Health</t>
        </is>
      </c>
      <c r="BN1308" t="inlineStr">
        <is>
          <t>NO6RA</t>
        </is>
      </c>
      <c r="BO1308" t="n">
        <v>32878010</v>
      </c>
      <c r="BP1308" t="inlineStr">
        <is>
          <t>Green Published, gold</t>
        </is>
      </c>
      <c r="BS1308" t="inlineStr">
        <is>
          <t>2023-10-26</t>
        </is>
      </c>
      <c r="BT1308" t="inlineStr">
        <is>
          <t>WOS:000569615600001</t>
        </is>
      </c>
      <c r="BU1308">
        <f>HYPERLINK("https%3A%2F%2Fwww.webofscience.com%2Fwos%2Fwoscc%2Ffull-record%2FWOS:000569615600001","View Full Record in Web of Science")</f>
        <v/>
      </c>
    </row>
    <row r="1309">
      <c r="A1309" t="inlineStr">
        <is>
          <t>J</t>
        </is>
      </c>
      <c r="B1309" t="inlineStr">
        <is>
          <t>Ravindra, K; Mor, S</t>
        </is>
      </c>
      <c r="F1309" t="inlineStr">
        <is>
          <t>Ravindra, Khaiwal; Mor, Suman</t>
        </is>
      </c>
      <c r="J1309" t="inlineStr">
        <is>
          <t>FRONTIERS IN SUSTAINABLE CITIES</t>
        </is>
      </c>
      <c r="M1309" t="inlineStr">
        <is>
          <t>English</t>
        </is>
      </c>
      <c r="N1309" t="inlineStr">
        <is>
          <t>Review</t>
        </is>
      </c>
      <c r="T1309" t="inlineStr">
        <is>
          <t>Phytoremediation potential of indoor plants in reducing air pollutants</t>
        </is>
      </c>
      <c r="U1309" t="inlineStr">
        <is>
          <t>indoor air quality (IAQ); air pollutants; removal efficiency; indoor plants; air remediation</t>
        </is>
      </c>
      <c r="V1309" t="inlineStr">
        <is>
          <t>VOLATILE ORGANIC-COMPOUNDS; POLYCYCLIC AROMATIC-HYDROCARBONS; PARTICULATE MATTER; FORMALDEHYDE REMOVAL; POLLUTION; HEALTH; PERFORMANCE; EXPOSURE; BENZENE; QUALITY</t>
        </is>
      </c>
      <c r="W1309" t="inlineStr">
        <is>
          <t>Indoor air quality (IAQ), specifically after the COVID-19 pandemic, has become an international issue, as humans spend 80-90% of their time in indoor microenvironments. Poor IAQ has been related to the sick-building syndrome, nasal and ocular irritations, allergies, and respiratory dysfunction, including premature deaths. Phytoremediation is a novel strategy to absorb, adsorb, assimilate or transfer/reduce air pollutants and improve the IAQ using plants. Hence, the current review aims to explore indoor plants' role in improving indoor air quality, including their purification capabilities. There is increasing evidence that various plant species (e.g., Ficus benjamina, Chlorophytum comosum, Draceana) or their parts can reliably reduce the concentration of numerous air pollutants in the indoor microenvironment and promote human wellbeing. However, the indoor air pollutants removal efficiency depends on the species of plant, various plant characteristics such as leaf size, thickness, area, photosynthetic activity, light intensity and part of plant involved, i.e., roots, leaves, wax, cuticle and stomata. Using indoor plants is one of the most cost-effective and reliable methods of making a healthier indoor environment. Better public health can be maintained at a lower cost, with less strain on the health care system, if more emphasis is placed on creating a biophilic atmosphere and increasing the use of indoor plants. However, there are no established criteria for the best indoor plants and the impact of indoor plants on various factors such as interior ventilation, temperature, humidity, etc. Therefore, further experimental research is needed that simulates the interior environment to monitor the impacts of indoor plants on factors such as humidity, temperature, ventilation, etc., in improving the microenvironment of a closed space/room.</t>
        </is>
      </c>
      <c r="X1309" t="inlineStr">
        <is>
          <t>[Ravindra, Khaiwal] Post Grad Inst Med Educ &amp; Res PGIMER, Dept Community Med, Chandigarh, India; [Ravindra, Khaiwal] Post Grad Inst Med Educ &amp; Res PGIMER, Sch Publ Hlth, Chandigarh, India; [Mor, Suman] Panjab Univ, Dept Environm Studies, Chandigarh, India</t>
        </is>
      </c>
      <c r="Y1309" t="inlineStr">
        <is>
          <t>Post Graduate Institute of Medical Education &amp; Research (PGIMER), Chandigarh; Post Graduate Institute of Medical Education &amp; Research (PGIMER), Chandigarh; Panjab University</t>
        </is>
      </c>
      <c r="Z1309" t="inlineStr">
        <is>
          <t>Ravindra, K (corresponding author), Post Grad Inst Med Educ &amp; Res PGIMER, Dept Community Med, Chandigarh, India.;Ravindra, K (corresponding author), Post Grad Inst Med Educ &amp; Res PGIMER, Sch Publ Hlth, Chandigarh, India.;Mor, S (corresponding author), Panjab Univ, Dept Environm Studies, Chandigarh, India.</t>
        </is>
      </c>
      <c r="AA1309" t="inlineStr">
        <is>
          <t>khaiwal@yahoo.com; sumanmor@yahoo.com</t>
        </is>
      </c>
      <c r="AH1309" t="n">
        <v>113</v>
      </c>
      <c r="AI1309" t="n">
        <v>1</v>
      </c>
      <c r="AJ1309" t="n">
        <v>1</v>
      </c>
      <c r="AK1309" t="n">
        <v>5</v>
      </c>
      <c r="AL1309" t="n">
        <v>9</v>
      </c>
      <c r="AM1309" t="inlineStr">
        <is>
          <t>FRONTIERS MEDIA SA</t>
        </is>
      </c>
      <c r="AN1309" t="inlineStr">
        <is>
          <t>LAUSANNE</t>
        </is>
      </c>
      <c r="AO1309" t="inlineStr">
        <is>
          <t>AVENUE DU TRIBUNAL FEDERAL 34, LAUSANNE, CH-1015, SWITZERLAND</t>
        </is>
      </c>
      <c r="AQ1309" t="inlineStr">
        <is>
          <t>2624-9634</t>
        </is>
      </c>
      <c r="AS1309" t="inlineStr">
        <is>
          <t>FRONT SUSTAIN CITIES</t>
        </is>
      </c>
      <c r="AT1309" t="inlineStr">
        <is>
          <t>Front. Sustain. Cities</t>
        </is>
      </c>
      <c r="AU1309" t="inlineStr">
        <is>
          <t>NOV 25</t>
        </is>
      </c>
      <c r="AV1309" t="n">
        <v>2022</v>
      </c>
      <c r="AW1309" t="n">
        <v>4</v>
      </c>
      <c r="BE1309" t="n">
        <v>1039710</v>
      </c>
      <c r="BF1309" t="inlineStr">
        <is>
          <t>10.3389/frsc.2022.1039710</t>
        </is>
      </c>
      <c r="BG1309">
        <f>HYPERLINK("http://dx.doi.org/10.3389/frsc.2022.1039710","http://dx.doi.org/10.3389/frsc.2022.1039710")</f>
        <v/>
      </c>
      <c r="BJ1309" t="n">
        <v>14</v>
      </c>
      <c r="BK1309" t="inlineStr">
        <is>
          <t>Green &amp; Sustainable Science &amp; Technology; Environmental Sciences; Environmental Studies; Urban Studies</t>
        </is>
      </c>
      <c r="BL1309" t="inlineStr">
        <is>
          <t>Emerging Sources Citation Index (ESCI)</t>
        </is>
      </c>
      <c r="BM1309" t="inlineStr">
        <is>
          <t>Science &amp; Technology - Other Topics; Environmental Sciences &amp; Ecology; Urban Studies</t>
        </is>
      </c>
      <c r="BN1309" t="inlineStr">
        <is>
          <t>7V8II</t>
        </is>
      </c>
      <c r="BP1309" t="inlineStr">
        <is>
          <t>gold</t>
        </is>
      </c>
      <c r="BS1309" t="inlineStr">
        <is>
          <t>2023-10-26</t>
        </is>
      </c>
      <c r="BT1309" t="inlineStr">
        <is>
          <t>WOS:000913055800001</t>
        </is>
      </c>
      <c r="BU1309">
        <f>HYPERLINK("https%3A%2F%2Fwww.webofscience.com%2Fwos%2Fwoscc%2Ffull-record%2FWOS:000913055800001","View Full Record in Web of Science")</f>
        <v/>
      </c>
    </row>
    <row r="1310">
      <c r="A1310" t="inlineStr">
        <is>
          <t>J</t>
        </is>
      </c>
      <c r="B1310" t="inlineStr">
        <is>
          <t>Chang, CF; Wang, JY; Kuo, TH; Lin, YL; Yang, SY</t>
        </is>
      </c>
      <c r="F1310" t="inlineStr">
        <is>
          <t>Chang, Cheng-Fen; Wang, Jiun-Yi; Kuo, Tien-Ho; Lin, Ying-Lien; Yang, Shang-Yu</t>
        </is>
      </c>
      <c r="J1310" t="inlineStr">
        <is>
          <t>INTERNATIONAL JOURNAL OF ENVIRONMENTAL RESEARCH AND PUBLIC HEALTH</t>
        </is>
      </c>
      <c r="M1310" t="inlineStr">
        <is>
          <t>English</t>
        </is>
      </c>
      <c r="N1310" t="inlineStr">
        <is>
          <t>Article</t>
        </is>
      </c>
      <c r="T1310" t="inlineStr">
        <is>
          <t>Stages of Change in Dairy Intake among Older Adults: Application of the Transtheoretical Model</t>
        </is>
      </c>
      <c r="U1310" t="inlineStr">
        <is>
          <t>transtheoretical model; stages of change (SOC); dairy product intake; older adults; self-efficacy</t>
        </is>
      </c>
      <c r="V1310" t="inlineStr">
        <is>
          <t>CALCIUM INTAKE; RISK; PRODUCTS; DIETARY; CONSUMPTION; SARCOPENIA; MORTALITY; FRACTURE; PREVENT; WOMEN</t>
        </is>
      </c>
      <c r="W1310" t="inlineStr">
        <is>
          <t>Adequate dairy product intake can reduce the risk of chronic disease, mortality, low quality of life, and healthcare expenditure. However, the insufficient consumption of dairy products is a serious issue in Eastern societies. To the authors' knowledge, few studies have explored dairy intake among Taiwanese older adults, especially using the transtheoretical model. The study aims were to address the following unknowns: (i) the distribution of dairy product intake behavior on stages of change (SOC); (ii) differences in variables (intake knowledge (IK), intake cons (IC), intake pros (IP), and intake self-efficacy (ISE)) among SOCs; (iii) discriminative abilities of variables on SOCs; and (iv) predictive ability of variables (IK, IC, IP, and ISE) for dairy product intake behavior on SOC for older adults. An explorative cross-sectional study was conducted to collect data from northern Taiwan using a questionnaire. A total of 342 older adults were recruited. Data were analyzed using multivariate analysis of variance, discriminant analysis, and multiple linear regression. There was a significant difference between the variables and SOCs. There was a better discriminant among the five SOCs. Dairy product intake behaviors were significantly associated with knowledge and self-efficacy in the pre-action stage, and with cons, pros, and self-efficacy in the post-action stage. In conclusion, appropriate nutritional empowerment could benefit older adults by improving dairy intake among the different SOCs.</t>
        </is>
      </c>
      <c r="X1310" t="inlineStr">
        <is>
          <t>[Chang, Cheng-Fen; Wang, Jiun-Yi; Yang, Shang-Yu] Asia Univ, Dept Healthcare Adm, Taichung 41354, Taiwan; [Chang, Cheng-Fen] Ching Kuo Inst Management &amp; Hlth, Dept Nursing, Keelung 203301, Taiwan; [Wang, Jiun-Yi] China Med Univ, China Med Univ Hosp, Dept Med Res, Taichung 404332, Taiwan; [Kuo, Tien-Ho] Tungnan Univ, Dept Leisure Management, New Taipei 222304, Taiwan; [Lin, Ying-Lien] Natl Cheng Kung Univ, Dept Ind &amp; Informat Management, Tainan 701401, Taiwan</t>
        </is>
      </c>
      <c r="Y1310" t="inlineStr">
        <is>
          <t>Asia University Taiwan; China Medical University Taiwan; China Medical University Hospital - Taiwan; National Cheng Kung University</t>
        </is>
      </c>
      <c r="Z1310" t="inlineStr">
        <is>
          <t>Yang, SY (corresponding author), Asia Univ, Dept Healthcare Adm, Taichung 41354, Taiwan.</t>
        </is>
      </c>
      <c r="AA1310" t="inlineStr">
        <is>
          <t>cfchang222@gmail.com; jjwang@asia.edu.tw; thkuo@mail.tnu.edu.tw; r38021019@gs.ncku.edu.tw; henry879019@yahoo.com.tw</t>
        </is>
      </c>
      <c r="AC1310" t="inlineStr">
        <is>
          <t>Yang, Shang-Yu/0000-0001-6690-7420; Chang, Cheng-Fen/0000-0001-8458-5365; Lin, Ying Lien/0000-0001-7469-0276</t>
        </is>
      </c>
      <c r="AH1310" t="n">
        <v>41</v>
      </c>
      <c r="AI1310" t="n">
        <v>1</v>
      </c>
      <c r="AJ1310" t="n">
        <v>1</v>
      </c>
      <c r="AK1310" t="n">
        <v>0</v>
      </c>
      <c r="AL1310" t="n">
        <v>10</v>
      </c>
      <c r="AM1310" t="inlineStr">
        <is>
          <t>MDPI</t>
        </is>
      </c>
      <c r="AN1310" t="inlineStr">
        <is>
          <t>BASEL</t>
        </is>
      </c>
      <c r="AO1310" t="inlineStr">
        <is>
          <t>ST ALBAN-ANLAGE 66, CH-4052 BASEL, SWITZERLAND</t>
        </is>
      </c>
      <c r="AQ1310" t="inlineStr">
        <is>
          <t>1660-4601</t>
        </is>
      </c>
      <c r="AS1310" t="inlineStr">
        <is>
          <t>INT J ENV RES PUB HE</t>
        </is>
      </c>
      <c r="AT1310" t="inlineStr">
        <is>
          <t>Int. J. Environ. Res. Public Health</t>
        </is>
      </c>
      <c r="AU1310" t="inlineStr">
        <is>
          <t>FEB</t>
        </is>
      </c>
      <c r="AV1310" t="n">
        <v>2022</v>
      </c>
      <c r="AW1310" t="n">
        <v>19</v>
      </c>
      <c r="AX1310" t="n">
        <v>3</v>
      </c>
      <c r="BE1310" t="n">
        <v>1146</v>
      </c>
      <c r="BF1310" t="inlineStr">
        <is>
          <t>10.3390/ijerph19031146</t>
        </is>
      </c>
      <c r="BG1310">
        <f>HYPERLINK("http://dx.doi.org/10.3390/ijerph19031146","http://dx.doi.org/10.3390/ijerph19031146")</f>
        <v/>
      </c>
      <c r="BJ1310" t="n">
        <v>12</v>
      </c>
      <c r="BK1310" t="inlineStr">
        <is>
          <t>Environmental Sciences; Public, Environmental &amp; Occupational Health</t>
        </is>
      </c>
      <c r="BL1310" t="inlineStr">
        <is>
          <t>Science Citation Index Expanded (SCI-EXPANDED); Social Science Citation Index (SSCI)</t>
        </is>
      </c>
      <c r="BM1310" t="inlineStr">
        <is>
          <t>Environmental Sciences &amp; Ecology; Public, Environmental &amp; Occupational Health</t>
        </is>
      </c>
      <c r="BN1310" t="inlineStr">
        <is>
          <t>ZA4JH</t>
        </is>
      </c>
      <c r="BO1310" t="n">
        <v>35162169</v>
      </c>
      <c r="BP1310" t="inlineStr">
        <is>
          <t>gold, Green Published</t>
        </is>
      </c>
      <c r="BS1310" t="inlineStr">
        <is>
          <t>2023-10-26</t>
        </is>
      </c>
      <c r="BT1310" t="inlineStr">
        <is>
          <t>WOS:000756131400001</t>
        </is>
      </c>
      <c r="BU1310">
        <f>HYPERLINK("https%3A%2F%2Fwww.webofscience.com%2Fwos%2Fwoscc%2Ffull-record%2FWOS:000756131400001","View Full Record in Web of Science")</f>
        <v/>
      </c>
    </row>
    <row r="1311">
      <c r="A1311" t="inlineStr">
        <is>
          <t>J</t>
        </is>
      </c>
      <c r="B1311" t="inlineStr">
        <is>
          <t>Teiri, H; Hajizadeh, Y; Azhdarpoor, A</t>
        </is>
      </c>
      <c r="F1311" t="inlineStr">
        <is>
          <t>Teiri, Hakimeh; Hajizadeh, Yaghoub; Azhdarpoor, Abooalfazl</t>
        </is>
      </c>
      <c r="J1311" t="inlineStr">
        <is>
          <t>AIR QUALITY ATMOSPHERE AND HEALTH</t>
        </is>
      </c>
      <c r="M1311" t="inlineStr">
        <is>
          <t>English</t>
        </is>
      </c>
      <c r="N1311" t="inlineStr">
        <is>
          <t>Review</t>
        </is>
      </c>
      <c r="T1311" t="inlineStr">
        <is>
          <t>A review of different phytoremediation methods and critical factors for purification of common indoor air pollutants: an approach with sensitive analysis</t>
        </is>
      </c>
      <c r="U1311" t="inlineStr">
        <is>
          <t>Building environment; Pollutant; Indoor air; Phytoremediation</t>
        </is>
      </c>
      <c r="V1311" t="inlineStr">
        <is>
          <t>VOLATILE ORGANIC-COMPOUNDS; ORNAMENTAL POTTED PLANTS; FORMALDEHYDE REMOVAL; GREEN WALLS; PARTICULATE MATTER; TOBACCO-SMOKE; VOC POLLUTION; CO2 REMOVAL; BENZENE; EFFICIENCY</t>
        </is>
      </c>
      <c r="W1311" t="inlineStr">
        <is>
          <t>In recent decades, indoor air pollution has become a major concern due to its adverse health effects on the inhabitants. The presence of fine particles (PM2.5) and hazardous volatile organic compounds (VOCs), such as formaldehyde and benzene, in indoor air and their proven carcinogenic effects, has raised the attention of health authorities. Their very difficult and expensive removal by chemical and mechanical methods has led researchers to seek an economical and environmentally friendly technique. The use of plants in different ways such as potted plants or green walls is considered as a potential green solution for the improvement of indoor air quality and the health level of its inhabitants. A review of the literature cited in this paper suggests that plants absorb some of the pollutants, such as particles directly and remove some pollutants such as VOCs indirectly through biological transfer or by using microorganisms. This review paper discusses the types of plants that have been used for the phytoremediation of airborne pollutants and the routes and mechanisms for removing the pollutants. Removal pathways of the pollutants by aerial parts of the plants, the growth media along with the roots and their microorganisms in the rhizosphere part were also discussed. Sensitive analysis of extracted data from the literature outlined the most useful types of plants and the appropriate substrate for phytoremediation. Also, it showed that factors affecting the removal efficiency such as light intensity and ambient temperature, behave differently depending on pollutants and plants types.</t>
        </is>
      </c>
      <c r="X1311" t="inlineStr">
        <is>
          <t>[Teiri, Hakimeh; Azhdarpoor, Abooalfazl] Shiraz Univ Med Sci, Fac Hlth, Dept Environm Hlth Engn, Shiraz, Iran; [Hajizadeh, Yaghoub] Isfahan Univ Med Sci, Fac Hlth, Dept Environm Hlth Engn, Esfahan, Iran</t>
        </is>
      </c>
      <c r="Y1311" t="inlineStr">
        <is>
          <t>Shiraz University of Medical Science; Isfahan University Medical Science</t>
        </is>
      </c>
      <c r="Z1311" t="inlineStr">
        <is>
          <t>Azhdarpoor, A (corresponding author), Shiraz Univ Med Sci, Fac Hlth, Dept Environm Hlth Engn, Shiraz, Iran.</t>
        </is>
      </c>
      <c r="AA1311" t="inlineStr">
        <is>
          <t>azhdarpoor@sums.ac.ir</t>
        </is>
      </c>
      <c r="AD1311" t="inlineStr">
        <is>
          <t>Shiraz University of Medical Sciences</t>
        </is>
      </c>
      <c r="AE1311" t="inlineStr">
        <is>
          <t>Shiraz University of Medical Sciences</t>
        </is>
      </c>
      <c r="AF1311" t="inlineStr">
        <is>
          <t>This research was supported by Shiraz University of Medical Sciences. Hereby, the authors warmly appreciate all those who helped in the process of this research.</t>
        </is>
      </c>
      <c r="AH1311" t="n">
        <v>117</v>
      </c>
      <c r="AI1311" t="n">
        <v>8</v>
      </c>
      <c r="AJ1311" t="n">
        <v>8</v>
      </c>
      <c r="AK1311" t="n">
        <v>6</v>
      </c>
      <c r="AL1311" t="n">
        <v>49</v>
      </c>
      <c r="AM1311" t="inlineStr">
        <is>
          <t>SPRINGER</t>
        </is>
      </c>
      <c r="AN1311" t="inlineStr">
        <is>
          <t>DORDRECHT</t>
        </is>
      </c>
      <c r="AO1311" t="inlineStr">
        <is>
          <t>VAN GODEWIJCKSTRAAT 30, 3311 GZ DORDRECHT, NETHERLANDS</t>
        </is>
      </c>
      <c r="AP1311" t="inlineStr">
        <is>
          <t>1873-9318</t>
        </is>
      </c>
      <c r="AQ1311" t="inlineStr">
        <is>
          <t>1873-9326</t>
        </is>
      </c>
      <c r="AS1311" t="inlineStr">
        <is>
          <t>AIR QUAL ATMOS HLTH</t>
        </is>
      </c>
      <c r="AT1311" t="inlineStr">
        <is>
          <t>Air Qual. Atmos. Health</t>
        </is>
      </c>
      <c r="AU1311" t="inlineStr">
        <is>
          <t>MAR</t>
        </is>
      </c>
      <c r="AV1311" t="n">
        <v>2022</v>
      </c>
      <c r="AW1311" t="n">
        <v>15</v>
      </c>
      <c r="AX1311" t="n">
        <v>3</v>
      </c>
      <c r="BC1311" t="n">
        <v>373</v>
      </c>
      <c r="BD1311" t="n">
        <v>391</v>
      </c>
      <c r="BF1311" t="inlineStr">
        <is>
          <t>10.1007/s11869-021-01118-3</t>
        </is>
      </c>
      <c r="BG1311">
        <f>HYPERLINK("http://dx.doi.org/10.1007/s11869-021-01118-3","http://dx.doi.org/10.1007/s11869-021-01118-3")</f>
        <v/>
      </c>
      <c r="BI1311" t="inlineStr">
        <is>
          <t>NOV 2021</t>
        </is>
      </c>
      <c r="BJ1311" t="n">
        <v>19</v>
      </c>
      <c r="BK1311" t="inlineStr">
        <is>
          <t>Environmental Sciences</t>
        </is>
      </c>
      <c r="BL1311" t="inlineStr">
        <is>
          <t>Science Citation Index Expanded (SCI-EXPANDED)</t>
        </is>
      </c>
      <c r="BM1311" t="inlineStr">
        <is>
          <t>Environmental Sciences &amp; Ecology</t>
        </is>
      </c>
      <c r="BN1311" t="inlineStr">
        <is>
          <t>ZO5XW</t>
        </is>
      </c>
      <c r="BS1311" t="inlineStr">
        <is>
          <t>2023-10-26</t>
        </is>
      </c>
      <c r="BT1311" t="inlineStr">
        <is>
          <t>WOS:000714533900001</t>
        </is>
      </c>
      <c r="BU1311">
        <f>HYPERLINK("https%3A%2F%2Fwww.webofscience.com%2Fwos%2Fwoscc%2Ffull-record%2FWOS:000714533900001","View Full Record in Web of Science")</f>
        <v/>
      </c>
    </row>
    <row r="1312">
      <c r="A1312" t="inlineStr">
        <is>
          <t>J</t>
        </is>
      </c>
      <c r="B1312" t="inlineStr">
        <is>
          <t>Wang, CH; Chang, WP; Chen, SR; Cheng, WJ; Chou, KR; Pien, LC</t>
        </is>
      </c>
      <c r="F1312" t="inlineStr">
        <is>
          <t>Wang, Chia-Hui; Chang, Wen-Pei; Chen, Su-Ru; Cheng, Wan-Ju; Chou, Kuei-Ru; Pien, Li-Chung</t>
        </is>
      </c>
      <c r="J1312" t="inlineStr">
        <is>
          <t>INTERNATIONAL JOURNAL OF ENVIRONMENTAL RESEARCH AND PUBLIC HEALTH</t>
        </is>
      </c>
      <c r="M1312" t="inlineStr">
        <is>
          <t>English</t>
        </is>
      </c>
      <c r="N1312" t="inlineStr">
        <is>
          <t>Article</t>
        </is>
      </c>
      <c r="T1312" t="inlineStr">
        <is>
          <t>Health Literacy and Exercise to Treat Frailty in Community-Dwelling Older Adults: A National Survey Study</t>
        </is>
      </c>
      <c r="U1312" t="inlineStr">
        <is>
          <t>health literacy; exercise; frailty; older adults; national survey</t>
        </is>
      </c>
      <c r="V1312" t="inlineStr">
        <is>
          <t>QUALITY-OF-LIFE; PREVALENCE; DISABILITY; ILLNESS</t>
        </is>
      </c>
      <c r="W1312" t="inlineStr">
        <is>
          <t>Aging is a major challenge facing modern society and has attracted global attention. Studies have provided some initial evidence that health literacy plays a role in determining frailty; however, most of these studies have used small convenience samples of individuals recruited from geographically limited areas, thus limiting the generalizability of their findings. The present study explored the relationships among health literacy, exercise, and frailty in Taiwanese older adults by using the data of a national population-based survey. We retrieved data from the Taiwan Longitudinal Study on Aging, a population-based survey. We gathered the 2015 data on the age, sex, education level, marital status, exercise habits, and activities of daily living (ADLs) of each eligible respondent. We evaluated the respondents' health literacy by using a nine-item health literacy scale and categorized their health literacy level as low, medium, or high. Frailty was diagnosed according the Fried criteria. Our final sample consisted of 7702 community-dwelling older adults (3630 men and 4072 adults). Of these, 25.3% had low health literacy. The proportion of respondents who had two or more disabilities in terms of ADLs or instrumental ADLs was higher among the women (36.4% and 12.6%, respectively), and regular exercise was more common among the men (19.6%). Frailty was more prevalent among the women; the prevalence of frailty among the male and female respondents was 4.5% and 8.1%, respectively. High health literacy and regular exercise were protective factors for frailty. According to our results, poor health literacy is a risk factor for prefrailty and frailty, and regular exercise is significantly negatively associated with prefrailty and frailty. Additional studies are necessary to define practical strategies for reducing the risks of disability and death for older adults with low health literacy who do not exercise regularly, thereby improving their quality of life.</t>
        </is>
      </c>
      <c r="X1312" t="inlineStr">
        <is>
          <t>[Wang, Chia-Hui; Chang, Wen-Pei; Chou, Kuei-Ru] Taipei Med Univ, Coll Nursing, Sch Nursing, Taipei 110301, Taiwan; [Chang, Wen-Pei; Chou, Kuei-Ru] Taipei Med Univ, Shuang Ho Hosp, Dept Nursing, New Taipei 235041, Taiwan; [Chen, Su-Ru; Pien, Li-Chung] Taipei Med Univ, Coll Nursing, Postbaccalaureate Program Nursing, Taipei 110301, Taiwan; [Cheng, Wan-Ju] China Med Univ Hosp, Dept Psychiat, Taichung 404332, Taiwan; [Cheng, Wan-Ju] China Med Univ, Dept Publ Hlth, Taichung 406040, Taiwan; [Cheng, Wan-Ju] China Med Univ, China Med Univ Hosp, Ctr Drug Abuse &amp; Addict, Taichung 404332, Taiwan; [Chou, Kuei-Ru] Taipei Med Univ, Wan Fang Hosp, Ctr Nursing &amp; Healthcare Res Clin Practice Applic, Taipei 116079, Taiwan; [Chou, Kuei-Ru] Taipei Med Univ Hosp, Psychiat Res Ctr, Taipei 110301, Taiwan; [Chou, Kuei-Ru] Taipei Med Univ, Neurosci Res Ctr, Taipei 110301, Taiwan; [Pien, Li-Chung] Taipei Med Univ, Wan Fang Hosp, Psychiat Res Ctr, Taipei 116079, Taiwan</t>
        </is>
      </c>
      <c r="Y1312" t="inlineStr">
        <is>
          <t>Taipei Medical University; China Medical University Taiwan; China Medical University Hospital - Taiwan; China Medical University Taiwan; China Medical University Taiwan; China Medical University Hospital - Taiwan; Taipei Municipal WanFang Hospital; Taipei Medical University Hospital; Taipei Municipal WanFang Hospital</t>
        </is>
      </c>
      <c r="Z1312" t="inlineStr">
        <is>
          <t>Pien, LC (corresponding author), Taipei Med Univ, Coll Nursing, Postbaccalaureate Program Nursing, Taipei 110301, Taiwan.;Pien, LC (corresponding author), Taipei Med Univ, Wan Fang Hosp, Psychiat Res Ctr, Taipei 116079, Taiwan.</t>
        </is>
      </c>
      <c r="AA1312" t="inlineStr">
        <is>
          <t>wangch@tmu.edu.tw; 10479@s.tmu.edu.tw; suru@tmu.edu.tw; s871065@gmail.com; kueiru@tmu.edu.tw; andy5240@tmu.edu.tw</t>
        </is>
      </c>
      <c r="AC1312" t="inlineStr">
        <is>
          <t>chou, kueiru/0000-0002-4882-3503; Chang, Wen-Pei/0000-0002-4906-2136; Cheng, Wan-Ju/0000-0003-4510-7584; Pien, Li-Chung/0000-0002-4918-8935</t>
        </is>
      </c>
      <c r="AD1312" t="inlineStr">
        <is>
          <t>Taipei Medical University [TMU108-AE1-B31]</t>
        </is>
      </c>
      <c r="AE1312" t="inlineStr">
        <is>
          <t>Taipei Medical University</t>
        </is>
      </c>
      <c r="AF1312" t="inlineStr">
        <is>
          <t>This study was funded by the Taipei Medical University (grant number: TMU108-AE1-B31).</t>
        </is>
      </c>
      <c r="AH1312" t="n">
        <v>51</v>
      </c>
      <c r="AI1312" t="n">
        <v>5</v>
      </c>
      <c r="AJ1312" t="n">
        <v>5</v>
      </c>
      <c r="AK1312" t="n">
        <v>3</v>
      </c>
      <c r="AL1312" t="n">
        <v>8</v>
      </c>
      <c r="AM1312" t="inlineStr">
        <is>
          <t>MDPI</t>
        </is>
      </c>
      <c r="AN1312" t="inlineStr">
        <is>
          <t>BASEL</t>
        </is>
      </c>
      <c r="AO1312" t="inlineStr">
        <is>
          <t>ST ALBAN-ANLAGE 66, CH-4052 BASEL, SWITZERLAND</t>
        </is>
      </c>
      <c r="AQ1312" t="inlineStr">
        <is>
          <t>1660-4601</t>
        </is>
      </c>
      <c r="AS1312" t="inlineStr">
        <is>
          <t>INT J ENV RES PUB HE</t>
        </is>
      </c>
      <c r="AT1312" t="inlineStr">
        <is>
          <t>Int. J. Environ. Res. Public Health</t>
        </is>
      </c>
      <c r="AU1312" t="inlineStr">
        <is>
          <t>JUL</t>
        </is>
      </c>
      <c r="AV1312" t="n">
        <v>2022</v>
      </c>
      <c r="AW1312" t="n">
        <v>19</v>
      </c>
      <c r="AX1312" t="n">
        <v>14</v>
      </c>
      <c r="BE1312" t="n">
        <v>8711</v>
      </c>
      <c r="BF1312" t="inlineStr">
        <is>
          <t>10.3390/ijerph19148711</t>
        </is>
      </c>
      <c r="BG1312">
        <f>HYPERLINK("http://dx.doi.org/10.3390/ijerph19148711","http://dx.doi.org/10.3390/ijerph19148711")</f>
        <v/>
      </c>
      <c r="BJ1312" t="n">
        <v>10</v>
      </c>
      <c r="BK1312" t="inlineStr">
        <is>
          <t>Environmental Sciences; Public, Environmental &amp; Occupational Health</t>
        </is>
      </c>
      <c r="BL1312" t="inlineStr">
        <is>
          <t>Science Citation Index Expanded (SCI-EXPANDED); Social Science Citation Index (SSCI)</t>
        </is>
      </c>
      <c r="BM1312" t="inlineStr">
        <is>
          <t>Environmental Sciences &amp; Ecology; Public, Environmental &amp; Occupational Health</t>
        </is>
      </c>
      <c r="BN1312" t="inlineStr">
        <is>
          <t>3J1AE</t>
        </is>
      </c>
      <c r="BO1312" t="n">
        <v>35886562</v>
      </c>
      <c r="BP1312" t="inlineStr">
        <is>
          <t>Green Published, gold</t>
        </is>
      </c>
      <c r="BS1312" t="inlineStr">
        <is>
          <t>2023-10-26</t>
        </is>
      </c>
      <c r="BT1312" t="inlineStr">
        <is>
          <t>WOS:000833134900001</t>
        </is>
      </c>
      <c r="BU1312">
        <f>HYPERLINK("https%3A%2F%2Fwww.webofscience.com%2Fwos%2Fwoscc%2Ffull-record%2FWOS:000833134900001","View Full Record in Web of Science")</f>
        <v/>
      </c>
    </row>
    <row r="1313">
      <c r="A1313" t="inlineStr">
        <is>
          <t>J</t>
        </is>
      </c>
      <c r="B1313" t="inlineStr">
        <is>
          <t>Fu, X; Li, YL; Meng, Y; Yuan, QQ; Zhang, ZF; Wen, HR; Deng, YQ; Norbäck, D; Hu, QS; Zhang, X; Sun, Y</t>
        </is>
      </c>
      <c r="F1313" t="inlineStr">
        <is>
          <t>Fu, Xi; Li, Yanling; Meng, Yi; Yuan, Qianqian; Zhang, Zefei; Wen, Huarong; Deng, Yiqun; Norback, Dan; Hu, Qiansheng; Zhang, Xin; Sun, Yu</t>
        </is>
      </c>
      <c r="J1313" t="inlineStr">
        <is>
          <t>ENVIRONMENTAL RESEARCH</t>
        </is>
      </c>
      <c r="M1313" t="inlineStr">
        <is>
          <t>English</t>
        </is>
      </c>
      <c r="N1313" t="inlineStr">
        <is>
          <t>Article</t>
        </is>
      </c>
      <c r="T1313" t="inlineStr">
        <is>
          <t>Derived habitats of indoor microbes are associated with asthma symptoms in Chinese university dormitories</t>
        </is>
      </c>
      <c r="U1313" t="inlineStr">
        <is>
          <t>Indoor environment; Asthma symptoms; Microbiome; University dormitory; Clostridia; FeNO</t>
        </is>
      </c>
      <c r="V1313" t="inlineStr">
        <is>
          <t>EXHALED NITRIC-OXIDE; CHILDHOOD ASTHMA; AIR-POLLUTION; SCHOOLS; TAIYUAN; PUPILS; DUST; MICROORGANISMS; ADJUSTMENT; ALLERGIES</t>
        </is>
      </c>
      <c r="W1313" t="inlineStr">
        <is>
          <t>Increasing evidence from the home environment indicates that indoor microbiome exposure is associated with asthma development. However, indoor microbiome composition can be highly diverse and dynamic, and thus current studies fail to produce consistent results. Chinese university dormitories are special high-density dwellings with similar building and occupants characteristics, which facilitate to disentangle the complex interactions between microbes, environmental characteristics and asthma. Settled air dust and floor dust was collected from 87 dormitory rooms in Shanxi University. Bacterial communities were characterized by 16 S rRNA amplicon sequencing. Students (n = 357) were surveyed for asthma symptoms and measured for fractional exhaled nitric oxide (FeNO). Asthma was not associated with the overall bacterial richness but associated with specific phylogenetic classes. Taxa richness and abundance in Clostridia, including Ruminococcus, Blautia, Clostridium and Subdoligranulum, were positively associated with asthma (p &lt; 0.05), and these taxa were mainly derived from the human gut. Taxa richness in Alphaproteobacteria and Actinobacteria were marginally protectively associated with asthma, and these taxa were mainly derived from the outdoor environment. Bacterial richness and abundance were not associated with FeNO levels. Building age was associated with overall bacterial community variation in air and floor dust (p &lt; 0.05), but not associated with the asthma-related microorganisms. Our data shows that taxa from different phylogenetic classes and derived habitats have different health effects, indicating the importance of incorporating phylogenetic and ecological concepts in revealing patterns in the microbiome asthma association analysis.</t>
        </is>
      </c>
      <c r="X1313" t="inlineStr">
        <is>
          <t>[Fu, Xi; Hu, Qiansheng] Sun Yat Sen Univ, Sch Publ Hlth, Dept Occupat &amp; Environm Hlth, Guangzhou, Peoples R China; [Fu, Xi; Li, Yanling; Meng, Yi; Yuan, Qianqian; Deng, Yiqun; Sun, Yu] South China Agr Univ, Coll Life Sci, Guangdong Prov Key Lab Prot Funct &amp; Regulat Agr O, Guangzhou 510642, Guangdong, Peoples R China; [Li, Yanling; Meng, Yi; Yuan, Qianqian; Deng, Yiqun; Sun, Yu] South China Agr Univ, Key Lab Zoonosis, Minist Agr &amp; Rural Affairs, Guangzhou 510642, Guangdong, Peoples R China; [Li, Yanling; Meng, Yi; Yuan, Qianqian; Deng, Yiqun; Sun, Yu] South China Agr Univ, Guangdong Lab Lingnan Modern Agr, Guangzhou 510642, Guangdong, Peoples R China; [Zhang, Zefei; Zhang, Xin] Shanxi Univ, Inst Environm Sci, Taiyuan, Peoples R China; [Wen, Huarong] Baling Hlth Ctr, Dangyang 444100, Hubei, Peoples R China; [Norback, Dan] Uppsala Univ, Univ Hosp, Dept Med Sci, Occupat &amp; Environm Med, S-75237 Uppsala, Sweden</t>
        </is>
      </c>
      <c r="Y1313" t="inlineStr">
        <is>
          <t>Sun Yat Sen University; South China Agricultural University; Ministry of Agriculture &amp; Rural Affairs; South China Agricultural University; Guangdong Laboratory for Lingnan Modern Agriculture; South China Agricultural University; Shanxi University; Uppsala University; Uppsala University Hospital</t>
        </is>
      </c>
      <c r="Z1313" t="inlineStr">
        <is>
          <t>Hu, QS (corresponding author), Sun Yat Sen Univ, Sch Publ Hlth, Dept Occupat &amp; Environm Hlth, Guangzhou, Peoples R China.;Sun, Y (corresponding author), South China Agr Univ, Coll Life Sci, Guangdong Prov Key Lab Prot Funct &amp; Regulat Agr O, Guangzhou 510642, Guangdong, Peoples R China.;Zhang, X (corresponding author), Shanxi Univ, Inst Environm Sci, Taiyuan, Peoples R China.</t>
        </is>
      </c>
      <c r="AA1313" t="inlineStr">
        <is>
          <t>huqsh@mail.sysu.edu.cn; xinzhang0051@sxu.edu.cn; sunyu@scau.edu.cn</t>
        </is>
      </c>
      <c r="AB1313" t="inlineStr">
        <is>
          <t>li, yan/GTI-4638-2022; Hu, Qian/GWZ-7617-2022; Deng, Yiqun/K-7709-2013; li, chunyuan/IQW-1618-2023; MENG, Yi/HTQ-7571-2023</t>
        </is>
      </c>
      <c r="AC1313" t="inlineStr">
        <is>
          <t>Deng, Yiqun/0000-0002-6838-3779; Sun, Yu/0000-0003-4799-0745</t>
        </is>
      </c>
      <c r="AD1313" t="inlineStr">
        <is>
          <t>Natural Science Foundation of Guangdong Province [2020A1515010845]; Natural Science Foundation of China [81861138005]; Key Research and Development (R&amp;D) Projects of Shanxi Province [201803D31021]; Shanxi One Hundred Excellent Experts Project [9]</t>
        </is>
      </c>
      <c r="AE1313" t="inlineStr">
        <is>
          <t>Natural Science Foundation of Guangdong Province(National Natural Science Foundation of Guangdong Province); Natural Science Foundation of China(National Natural Science Foundation of China (NSFC)); Key Research and Development (R&amp;D) Projects of Shanxi Province; Shanxi One Hundred Excellent Experts Project</t>
        </is>
      </c>
      <c r="AF1313" t="inlineStr">
        <is>
          <t>We thank for funding support from the Natural Science Foundation of Guangdong Province [Grant 2020A1515010845], Natural Science Foundation of China (81861138005), Key Research and Development (R&amp;D) Projects of Shanxi Province (201803D31021), Shanxi One Hundred Excellent Experts Project (nr 9). We thank Personalbio (www.perso nalbio.cn) for assistance in sequencing.</t>
        </is>
      </c>
      <c r="AH1313" t="n">
        <v>75</v>
      </c>
      <c r="AI1313" t="n">
        <v>14</v>
      </c>
      <c r="AJ1313" t="n">
        <v>14</v>
      </c>
      <c r="AK1313" t="n">
        <v>5</v>
      </c>
      <c r="AL1313" t="n">
        <v>37</v>
      </c>
      <c r="AM1313" t="inlineStr">
        <is>
          <t>ACADEMIC PRESS INC ELSEVIER SCIENCE</t>
        </is>
      </c>
      <c r="AN1313" t="inlineStr">
        <is>
          <t>SAN DIEGO</t>
        </is>
      </c>
      <c r="AO1313" t="inlineStr">
        <is>
          <t>525 B ST, STE 1900, SAN DIEGO, CA 92101-4495 USA</t>
        </is>
      </c>
      <c r="AP1313" t="inlineStr">
        <is>
          <t>0013-9351</t>
        </is>
      </c>
      <c r="AQ1313" t="inlineStr">
        <is>
          <t>1096-0953</t>
        </is>
      </c>
      <c r="AS1313" t="inlineStr">
        <is>
          <t>ENVIRON RES</t>
        </is>
      </c>
      <c r="AT1313" t="inlineStr">
        <is>
          <t>Environ. Res.</t>
        </is>
      </c>
      <c r="AU1313" t="inlineStr">
        <is>
          <t>MAR</t>
        </is>
      </c>
      <c r="AV1313" t="n">
        <v>2021</v>
      </c>
      <c r="AW1313" t="n">
        <v>194</v>
      </c>
      <c r="BE1313" t="n">
        <v>110501</v>
      </c>
      <c r="BF1313" t="inlineStr">
        <is>
          <t>10.1016/j.envres.2020.110501</t>
        </is>
      </c>
      <c r="BG1313">
        <f>HYPERLINK("http://dx.doi.org/10.1016/j.envres.2020.110501","http://dx.doi.org/10.1016/j.envres.2020.110501")</f>
        <v/>
      </c>
      <c r="BI1313" t="inlineStr">
        <is>
          <t>MAR 2021</t>
        </is>
      </c>
      <c r="BJ1313" t="n">
        <v>9</v>
      </c>
      <c r="BK1313" t="inlineStr">
        <is>
          <t>Environmental Sciences; Public, Environmental &amp; Occupational Health</t>
        </is>
      </c>
      <c r="BL1313" t="inlineStr">
        <is>
          <t>Science Citation Index Expanded (SCI-EXPANDED)</t>
        </is>
      </c>
      <c r="BM1313" t="inlineStr">
        <is>
          <t>Environmental Sciences &amp; Ecology; Public, Environmental &amp; Occupational Health</t>
        </is>
      </c>
      <c r="BN1313" t="inlineStr">
        <is>
          <t>RC1YK</t>
        </is>
      </c>
      <c r="BO1313" t="n">
        <v>33221308</v>
      </c>
      <c r="BS1313" t="inlineStr">
        <is>
          <t>2023-10-26</t>
        </is>
      </c>
      <c r="BT1313" t="inlineStr">
        <is>
          <t>WOS:000632600900013</t>
        </is>
      </c>
      <c r="BU1313">
        <f>HYPERLINK("https%3A%2F%2Fwww.webofscience.com%2Fwos%2Fwoscc%2Ffull-record%2FWOS:000632600900013","View Full Record in Web of Science")</f>
        <v/>
      </c>
    </row>
    <row r="1314">
      <c r="A1314" t="inlineStr">
        <is>
          <t>J</t>
        </is>
      </c>
      <c r="B1314" t="inlineStr">
        <is>
          <t>Campbell, JE; Janssen, I</t>
        </is>
      </c>
      <c r="F1314" t="inlineStr">
        <is>
          <t>Campbell, Julie E.; Janssen, Ian</t>
        </is>
      </c>
      <c r="J1314" t="inlineStr">
        <is>
          <t>INTERNATIONAL JOURNAL OF ENVIRONMENTAL HEALTH RESEARCH</t>
        </is>
      </c>
      <c r="M1314" t="inlineStr">
        <is>
          <t>English</t>
        </is>
      </c>
      <c r="N1314" t="inlineStr">
        <is>
          <t>Article</t>
        </is>
      </c>
      <c r="T1314" t="inlineStr">
        <is>
          <t>The neighborhood physical environment and the 24-hour movement behavior composition among children</t>
        </is>
      </c>
      <c r="U1314" t="inlineStr">
        <is>
          <t>Physical activity; sedentary behavior; sleep; child; environment</t>
        </is>
      </c>
      <c r="V1314" t="inlineStr">
        <is>
          <t>ACTIVE TRANSPORTATION; YOUTH; SLEEP; ASSOCIATIONS; WALKABILITY</t>
        </is>
      </c>
      <c r="W1314" t="inlineStr">
        <is>
          <t>The time spent in sleep, sedentary behavior, and physical activity form a 24-hour movement behavior composition. The objective was to identify neighborhood physical environment features associated with multiple components of the movement behavior composition among 10 to 13-year-olds. Twenty-three neighborhood physical environment features were measured in 1 km buffers from the participantsModified Letter Turned Comma homes and from these walkability, traffic safety, dedicated play spaces, non-dedicated play spaces, noise, and artificial light indices were created. Moderate-to-vigorous physical activity, light physical activity, sedentary time, and sleep duration were measured. Compositional data analysis was used to establish differences in movement behaviors according to neighborhood physical environment features. One hundred and sixteen associations, reflecting four movement behaviors X 29 environment variables and indices, were examined. Only three of these were statistically significant. Therefore, neighborhood physical environment features were not meaningful correlates of 24-hour movement behaviors.</t>
        </is>
      </c>
      <c r="X1314" t="inlineStr">
        <is>
          <t>[Campbell, Julie E.; Janssen, Ian] Queens Univ, Sch Kinesiol &amp; Hlth Studies, Kingston, ON K7L 3N6, Canada; [Janssen, Ian] Queens Univ, Dept Publ Hlth Sci, Kingston, ON, Canada</t>
        </is>
      </c>
      <c r="Y1314" t="inlineStr">
        <is>
          <t>Queens University - Canada; Queens University - Canada</t>
        </is>
      </c>
      <c r="Z1314" t="inlineStr">
        <is>
          <t>Janssen, I (corresponding author), Queens Univ, Sch Kinesiol &amp; Hlth Studies, Kingston, ON K7L 3N6, Canada.</t>
        </is>
      </c>
      <c r="AA1314" t="inlineStr">
        <is>
          <t>ian.janssen@queensu.ca</t>
        </is>
      </c>
      <c r="AD1314" t="inlineStr">
        <is>
          <t>Heart and Stroke Foundation of Canada</t>
        </is>
      </c>
      <c r="AE1314" t="inlineStr">
        <is>
          <t>Heart and Stroke Foundation of Canada(Heart &amp; Stroke Foundation of Canada)</t>
        </is>
      </c>
      <c r="AF1314" t="inlineStr">
        <is>
          <t>This research was funded by the Heart and Stroke Foundation of Canada.</t>
        </is>
      </c>
      <c r="AH1314" t="n">
        <v>42</v>
      </c>
      <c r="AI1314" t="n">
        <v>0</v>
      </c>
      <c r="AJ1314" t="n">
        <v>0</v>
      </c>
      <c r="AK1314" t="n">
        <v>4</v>
      </c>
      <c r="AL1314" t="n">
        <v>18</v>
      </c>
      <c r="AM1314" t="inlineStr">
        <is>
          <t>TAYLOR &amp; FRANCIS LTD</t>
        </is>
      </c>
      <c r="AN1314" t="inlineStr">
        <is>
          <t>ABINGDON</t>
        </is>
      </c>
      <c r="AO1314" t="inlineStr">
        <is>
          <t>2-4 PARK SQUARE, MILTON PARK, ABINGDON OR14 4RN, OXON, ENGLAND</t>
        </is>
      </c>
      <c r="AP1314" t="inlineStr">
        <is>
          <t>0960-3123</t>
        </is>
      </c>
      <c r="AQ1314" t="inlineStr">
        <is>
          <t>1369-1619</t>
        </is>
      </c>
      <c r="AS1314" t="inlineStr">
        <is>
          <t>INT J ENVIRON HEAL R</t>
        </is>
      </c>
      <c r="AT1314" t="inlineStr">
        <is>
          <t>Int. J. Environ. Health Res.</t>
        </is>
      </c>
      <c r="AU1314" t="inlineStr">
        <is>
          <t>JUN 3</t>
        </is>
      </c>
      <c r="AV1314" t="n">
        <v>2023</v>
      </c>
      <c r="AW1314" t="n">
        <v>33</v>
      </c>
      <c r="AX1314" t="n">
        <v>6</v>
      </c>
      <c r="BC1314" t="n">
        <v>575</v>
      </c>
      <c r="BD1314" t="n">
        <v>587</v>
      </c>
      <c r="BF1314" t="inlineStr">
        <is>
          <t>10.1080/09603123.2022.2041562</t>
        </is>
      </c>
      <c r="BG1314">
        <f>HYPERLINK("http://dx.doi.org/10.1080/09603123.2022.2041562","http://dx.doi.org/10.1080/09603123.2022.2041562")</f>
        <v/>
      </c>
      <c r="BI1314" t="inlineStr">
        <is>
          <t>MAR 2022</t>
        </is>
      </c>
      <c r="BJ1314" t="n">
        <v>13</v>
      </c>
      <c r="BK1314" t="inlineStr">
        <is>
          <t>Environmental Sciences; Public, Environmental &amp; Occupational Health</t>
        </is>
      </c>
      <c r="BL1314" t="inlineStr">
        <is>
          <t>Science Citation Index Expanded (SCI-EXPANDED)</t>
        </is>
      </c>
      <c r="BM1314" t="inlineStr">
        <is>
          <t>Environmental Sciences &amp; Ecology; Public, Environmental &amp; Occupational Health</t>
        </is>
      </c>
      <c r="BN1314" t="inlineStr">
        <is>
          <t>F4BJ9</t>
        </is>
      </c>
      <c r="BO1314" t="n">
        <v>35230213</v>
      </c>
      <c r="BS1314" t="inlineStr">
        <is>
          <t>2023-10-26</t>
        </is>
      </c>
      <c r="BT1314" t="inlineStr">
        <is>
          <t>WOS:000762578400001</t>
        </is>
      </c>
      <c r="BU1314">
        <f>HYPERLINK("https%3A%2F%2Fwww.webofscience.com%2Fwos%2Fwoscc%2Ffull-record%2FWOS:000762578400001","View Full Record in Web of Science")</f>
        <v/>
      </c>
    </row>
    <row r="1315">
      <c r="A1315" t="inlineStr">
        <is>
          <t>J</t>
        </is>
      </c>
      <c r="B1315" t="inlineStr">
        <is>
          <t>Wu, XD; Zhang, JG; Feng, HC; Liu, YN</t>
        </is>
      </c>
      <c r="F1315" t="inlineStr">
        <is>
          <t>Wu, Xingdong; Zhang, Jingang; Feng, Haicheng; Liu, Yunna</t>
        </is>
      </c>
      <c r="J1315" t="inlineStr">
        <is>
          <t>JOURNAL OF ENVIRONMENTAL PROTECTION AND ECOLOGY</t>
        </is>
      </c>
      <c r="M1315" t="inlineStr">
        <is>
          <t>English</t>
        </is>
      </c>
      <c r="N1315" t="inlineStr">
        <is>
          <t>Article</t>
        </is>
      </c>
      <c r="T1315" t="inlineStr">
        <is>
          <t>RESEARCH ON THE INFLUENCE OF PHYSICAL EDUCATION ON HEALTHY FITNESS BASED ON PHYSICAL SELF-CONCEPT ENVIRONMENT</t>
        </is>
      </c>
      <c r="U1315" t="inlineStr">
        <is>
          <t>physical education; health and fitness; physical self-concept environment</t>
        </is>
      </c>
      <c r="W1315" t="inlineStr">
        <is>
          <t>In modern society, students are used to sitting still. In addition, the excess nutrients they consume, in this case, cause the students physical decline, high obesity rate and early cardiovascular disease. Therefore, in recent years, physical education is actively used to promote students physical fitness promotion programs and cultivate students correct concepts and behaviours because the healthy fitness of the students can maintain a good state, which will help the prevention of the disease and maintain the normal function of the body. In this study, an experimental design model was used for experimental research. A total of 306 middle school students in Hunan Province were selected as experimental subjects for a six-week, three-hour (48 hours) study of physical education experiments. The results of this study were: (1) Physical education has a significant positive impact on the concept of physical self; (2) The physical self-concept has a significant positive impact on healthy fitness, and (3) Physical education has a significant positive impact on physical fitness. This study makes recommendations based on the results, which can improve students physical fitness. It also provides teachers with reference to the application of physical education and future research.</t>
        </is>
      </c>
      <c r="X1315" t="inlineStr">
        <is>
          <t>[Wu, Xingdong; Feng, Haicheng] Inst Disaster Prevent, Langfang 065201, Peoples R China; [Zhang, Jingang] Hebei Oriental Univ, Langfang 065001, Peoples R China; [Liu, Yunna] Shanghai Lixin Univ Accounting &amp; Finance, Sports &amp; Hlth Coll, Shanghai 201620, Peoples R China</t>
        </is>
      </c>
      <c r="Y1315" t="inlineStr">
        <is>
          <t>Institute of Disaster Prevention; Shanghai Lixin University of Accounting &amp; Finance</t>
        </is>
      </c>
      <c r="Z1315" t="inlineStr">
        <is>
          <t>Liu, YN (corresponding author), Shanghai Lixin Univ Accounting &amp; Finance, Sports &amp; Hlth Coll, Shanghai 201620, Peoples R China.</t>
        </is>
      </c>
      <c r="AA1315" t="inlineStr">
        <is>
          <t>1013453687@qq.com</t>
        </is>
      </c>
      <c r="AD1315" t="inlineStr">
        <is>
          <t>teaching research and teaching reform project of college of disaster prevention science and technology 'Physical education reform research for earthquake prevention and disaster reduction major' [JY2016B32]; Hebei social science foundation project: 'Risk management research on ice and snow sports entering the main channel of campus safety' [HB17TY001]</t>
        </is>
      </c>
      <c r="AE1315" t="inlineStr">
        <is>
          <t>teaching research and teaching reform project of college of disaster prevention science and technology 'Physical education reform research for earthquake prevention and disaster reduction major'; Hebei social science foundation project: 'Risk management research on ice and snow sports entering the main channel of campus safety'</t>
        </is>
      </c>
      <c r="AF1315" t="inlineStr">
        <is>
          <t>This research was supported by the teaching research and teaching reform project of college of disaster prevention science and technology 'Physical education reform research for earthquake prevention and disaster reduction major' No JY2016B32 and by the Hebei social science foundation project: 'Risk management research on ice and snow sports entering the main channel of campus safety', Project approval No HB17TY001.</t>
        </is>
      </c>
      <c r="AH1315" t="n">
        <v>5</v>
      </c>
      <c r="AI1315" t="n">
        <v>1</v>
      </c>
      <c r="AJ1315" t="n">
        <v>1</v>
      </c>
      <c r="AK1315" t="n">
        <v>1</v>
      </c>
      <c r="AL1315" t="n">
        <v>5</v>
      </c>
      <c r="AM1315" t="inlineStr">
        <is>
          <t>SCIBULCOM LTD</t>
        </is>
      </c>
      <c r="AN1315" t="inlineStr">
        <is>
          <t>SOFIA</t>
        </is>
      </c>
      <c r="AO1315" t="inlineStr">
        <is>
          <t>PO BOX 249, 1113 SOFIA, BULGARIA</t>
        </is>
      </c>
      <c r="AP1315" t="inlineStr">
        <is>
          <t>1311-5065</t>
        </is>
      </c>
      <c r="AS1315" t="inlineStr">
        <is>
          <t>J ENVIRON PROT ECOL</t>
        </is>
      </c>
      <c r="AT1315" t="inlineStr">
        <is>
          <t>J. Environ. Prot. Ecol.</t>
        </is>
      </c>
      <c r="AV1315" t="n">
        <v>2019</v>
      </c>
      <c r="AW1315" t="n">
        <v>20</v>
      </c>
      <c r="BA1315" t="inlineStr">
        <is>
          <t>B</t>
        </is>
      </c>
      <c r="BC1315" t="inlineStr">
        <is>
          <t>S600</t>
        </is>
      </c>
      <c r="BD1315" t="inlineStr">
        <is>
          <t>S605</t>
        </is>
      </c>
      <c r="BJ1315" t="n">
        <v>6</v>
      </c>
      <c r="BK1315" t="inlineStr">
        <is>
          <t>Environmental Sciences</t>
        </is>
      </c>
      <c r="BL1315" t="inlineStr">
        <is>
          <t>Science Citation Index Expanded (SCI-EXPANDED)</t>
        </is>
      </c>
      <c r="BM1315" t="inlineStr">
        <is>
          <t>Environmental Sciences &amp; Ecology</t>
        </is>
      </c>
      <c r="BN1315" t="inlineStr">
        <is>
          <t>LL9OQ</t>
        </is>
      </c>
      <c r="BS1315" t="inlineStr">
        <is>
          <t>2023-10-26</t>
        </is>
      </c>
      <c r="BT1315" t="inlineStr">
        <is>
          <t>WOS:000531884900028</t>
        </is>
      </c>
      <c r="BU1315">
        <f>HYPERLINK("https%3A%2F%2Fwww.webofscience.com%2Fwos%2Fwoscc%2Ffull-record%2FWOS:000531884900028","View Full Record in Web of Science")</f>
        <v/>
      </c>
    </row>
    <row r="1316">
      <c r="A1316" t="inlineStr">
        <is>
          <t>J</t>
        </is>
      </c>
      <c r="B1316" t="inlineStr">
        <is>
          <t>Gao, W; Tu, RX; Li, H; Fang, YL; Que, QM</t>
        </is>
      </c>
      <c r="F1316" t="inlineStr">
        <is>
          <t>Gao, Wei; Tu, Ruoxiang; Li, Hao; Fang, Yongli; Que, Qingmin</t>
        </is>
      </c>
      <c r="J1316" t="inlineStr">
        <is>
          <t>INTERNATIONAL JOURNAL OF ENVIRONMENTAL RESEARCH AND PUBLIC HEALTH</t>
        </is>
      </c>
      <c r="M1316" t="inlineStr">
        <is>
          <t>English</t>
        </is>
      </c>
      <c r="N1316" t="inlineStr">
        <is>
          <t>Article</t>
        </is>
      </c>
      <c r="T1316" t="inlineStr">
        <is>
          <t>In the Subtropical Monsoon Climate High-Density City, What Features of the Neighborhood Environment Matter Most for Public Health?</t>
        </is>
      </c>
      <c r="U1316" t="inlineStr">
        <is>
          <t>landscape architecture; environmental factor; correlation study; physical health; mental health; urban regeneration</t>
        </is>
      </c>
      <c r="V1316" t="inlineStr">
        <is>
          <t>BUILT ENVIRONMENT; HEAT WAVES; THERMAL PERCEPTION; PHYSICAL-ACTIVITY; URBAN; TEMPERATURE; MORTALITY; HUMIDITY; MICROCLIMATE; ASSOCIATION</t>
        </is>
      </c>
      <c r="W1316" t="inlineStr">
        <is>
          <t>Urbanization and climate change have been rapidly occurring globally. Evidence-based healthy city development is required to improve living quality and mitigate the adverse impact of the outdoor neighborhood environment on public health. Taking Guangzhou as an example to explore the association of neighborhood environment and public health and preferably to offer some implications for better future city development, we measured ten environmental factors (temperature (T), wind-chill index (WCI), thermal stress index (HSI), relative humidity (RH), average wind speed (AWS), negative oxygen ions (NOI), PM2.5, luminous flux (LF), and illuminance (I)) in four seasons in four typical neighborhoods, and the SF-36 health scale was employed to assess the physical and mental health of neighborhood residents in nine subscales (health transition(HT), physiological functions (PF), general health status (GH), physical pain (BP), physiological functions (RP), energy vitality (VT), mental health (MH), social function (SF), and emotional functions (RE)). The linear mixed model was used in an analysis of variance. We ranked the different environmental factors in relation to aspects of health and weighted them accordingly. Generally, the thermal environment had the greatest impact on both physical and mental health and the atmospheric environment and wind environment had the least impact on physical health and mental health, respectively. In addition, the physical health of the resident was more greatly affected by the environment than mental health. According to the results, we make a number of strategic suggestions for the renewal of the outdoor neighborhood environment in subtropical monsoon climate high-density cities and provide a theoretical basis for improving public health through landscape architecture at the neighborhood scale.</t>
        </is>
      </c>
      <c r="X1316" t="inlineStr">
        <is>
          <t>[Gao, Wei; Tu, Ruoxiang; Li, Hao; Fang, Yongli; Que, Qingmin] South China Agr Univ, Coll Forestry &amp; Landscape Architecture, Guangzhou 510640, Peoples R China</t>
        </is>
      </c>
      <c r="Y1316" t="inlineStr">
        <is>
          <t>South China Agricultural University</t>
        </is>
      </c>
      <c r="Z1316" t="inlineStr">
        <is>
          <t>Que, QM (corresponding author), South China Agr Univ, Coll Forestry &amp; Landscape Architecture, Guangzhou 510640, Peoples R China.</t>
        </is>
      </c>
      <c r="AA1316" t="inlineStr">
        <is>
          <t>gaowei@scau.edu.cn; scautrx@scauladri.com; lee19930808@gmail.com; photon033@gmail.com; qmque@scau.edu.cn</t>
        </is>
      </c>
      <c r="AC1316" t="inlineStr">
        <is>
          <t>Que, Qingmin/0000-0003-1833-1644; Tu, Ruoxiang/0000-0003-4371-6191; Fang, Yongli/0000-0001-9803-5671</t>
        </is>
      </c>
      <c r="AD1316" t="inlineStr">
        <is>
          <t>National Natural Science Foundation of China [51708227]</t>
        </is>
      </c>
      <c r="AE1316" t="inlineStr">
        <is>
          <t>National Natural Science Foundation of China(National Natural Science Foundation of China (NSFC))</t>
        </is>
      </c>
      <c r="AF1316" t="inlineStr">
        <is>
          <t>This research was funded by the National Natural Science Foundation of China, grant number 51708227.</t>
        </is>
      </c>
      <c r="AH1316" t="n">
        <v>73</v>
      </c>
      <c r="AI1316" t="n">
        <v>6</v>
      </c>
      <c r="AJ1316" t="n">
        <v>7</v>
      </c>
      <c r="AK1316" t="n">
        <v>7</v>
      </c>
      <c r="AL1316" t="n">
        <v>42</v>
      </c>
      <c r="AM1316" t="inlineStr">
        <is>
          <t>MDPI</t>
        </is>
      </c>
      <c r="AN1316" t="inlineStr">
        <is>
          <t>BASEL</t>
        </is>
      </c>
      <c r="AO1316" t="inlineStr">
        <is>
          <t>ST ALBAN-ANLAGE 66, CH-4052 BASEL, SWITZERLAND</t>
        </is>
      </c>
      <c r="AQ1316" t="inlineStr">
        <is>
          <t>1660-4601</t>
        </is>
      </c>
      <c r="AS1316" t="inlineStr">
        <is>
          <t>INT J ENV RES PUB HE</t>
        </is>
      </c>
      <c r="AT1316" t="inlineStr">
        <is>
          <t>Int. J. Environ. Res. Public Health</t>
        </is>
      </c>
      <c r="AU1316" t="inlineStr">
        <is>
          <t>DEC</t>
        </is>
      </c>
      <c r="AV1316" t="n">
        <v>2020</v>
      </c>
      <c r="AW1316" t="n">
        <v>17</v>
      </c>
      <c r="AX1316" t="n">
        <v>24</v>
      </c>
      <c r="BE1316" t="n">
        <v>9566</v>
      </c>
      <c r="BF1316" t="inlineStr">
        <is>
          <t>10.3390/ijerph17249566</t>
        </is>
      </c>
      <c r="BG1316">
        <f>HYPERLINK("http://dx.doi.org/10.3390/ijerph17249566","http://dx.doi.org/10.3390/ijerph17249566")</f>
        <v/>
      </c>
      <c r="BJ1316" t="n">
        <v>17</v>
      </c>
      <c r="BK1316" t="inlineStr">
        <is>
          <t>Environmental Sciences; Public, Environmental &amp; Occupational Health</t>
        </is>
      </c>
      <c r="BL1316" t="inlineStr">
        <is>
          <t>Science Citation Index Expanded (SCI-EXPANDED); Social Science Citation Index (SSCI)</t>
        </is>
      </c>
      <c r="BM1316" t="inlineStr">
        <is>
          <t>Environmental Sciences &amp; Ecology; Public, Environmental &amp; Occupational Health</t>
        </is>
      </c>
      <c r="BN1316" t="inlineStr">
        <is>
          <t>PL0HL</t>
        </is>
      </c>
      <c r="BO1316" t="n">
        <v>33371262</v>
      </c>
      <c r="BP1316" t="inlineStr">
        <is>
          <t>gold, Green Published</t>
        </is>
      </c>
      <c r="BS1316" t="inlineStr">
        <is>
          <t>2023-10-26</t>
        </is>
      </c>
      <c r="BT1316" t="inlineStr">
        <is>
          <t>WOS:000602814100001</t>
        </is>
      </c>
      <c r="BU1316">
        <f>HYPERLINK("https%3A%2F%2Fwww.webofscience.com%2Fwos%2Fwoscc%2Ffull-record%2FWOS:000602814100001","View Full Record in Web of Science")</f>
        <v/>
      </c>
    </row>
    <row r="1317">
      <c r="A1317" t="inlineStr">
        <is>
          <t>J</t>
        </is>
      </c>
      <c r="B1317" t="inlineStr">
        <is>
          <t>Diehl, C; Tavares, R; Abreu, T; Almeida, AMP; Silva, TE; Santinha, G; Rocha, NP; Seidel, K; MacLachlan, M; Silva, AG; Ribeiro, O</t>
        </is>
      </c>
      <c r="F1317" t="inlineStr">
        <is>
          <t>Diehl, Ceci; Tavares, Rita; Abreu, Taiane; Pisco Almeida, Ana Margarida; Silva, Telmo Eduardo; Santinha, Goncalo; Rocha, Nelson Pacheco; Seidel, Katja; MacLachlan, Mac; Silva, Anabela G.; Ribeiro, Oscar</t>
        </is>
      </c>
      <c r="J1317" t="inlineStr">
        <is>
          <t>INTERNATIONAL JOURNAL OF ENVIRONMENTAL RESEARCH AND PUBLIC HEALTH</t>
        </is>
      </c>
      <c r="M1317" t="inlineStr">
        <is>
          <t>English</t>
        </is>
      </c>
      <c r="N1317" t="inlineStr">
        <is>
          <t>Article</t>
        </is>
      </c>
      <c r="T1317" t="inlineStr">
        <is>
          <t>Perceptions on Extending the Use of Technology after the COVID-19 Pandemic Resolves: A Qualitative Study with Older Adults</t>
        </is>
      </c>
      <c r="U1317" t="inlineStr">
        <is>
          <t>technology; COVID-19; older adults; digital solution; eHealth</t>
        </is>
      </c>
      <c r="V1317" t="inlineStr">
        <is>
          <t>CORONAVIRUS; ADOPTION</t>
        </is>
      </c>
      <c r="W1317" t="inlineStr">
        <is>
          <t>The COVID-19 pandemic of the last two years has affected the lives of many individuals, especially the most vulnerable and at-risk population groups, e.g., older adults. While social distancing and isolation are shown to be effective at decreasing the transmission of the virus, these actions have also increased loneliness and social isolation. To combat social distancing from family and friends, older adults have turned to technology for help. In the health sector, these individuals also had a variety of options that strengthened eHealth care services. This study analyzed the technologies used during the COVID-19 pandemic by a group of older people, as well as explored their expectations of use after the pandemic period. Qualitative and ethnographic interviews were conducted with 10 Portuguese older adults, and data were collected over a period of seven months between 2020 and 2021. The research demonstrated that the use of current and new technologies in the post-pandemic future is likely to be related to overcoming: (i) insecurity regarding privacy issues; (ii) difficulties in using technologies due to the level of use of digital technology; and (iii) the human distancing and impersonal consequences of using these technologies.</t>
        </is>
      </c>
      <c r="X1317" t="inlineStr">
        <is>
          <t>[Diehl, Ceci; Pisco Almeida, Ana Margarida; Silva, Telmo Eduardo] Univ Aveiro, Digital Media &amp; Interact Res Ctr DigiMedia, Dept Commun &amp; Art, P-3810193 Aveiro, Portugal; [Tavares, Rita; Abreu, Taiane; Ribeiro, Oscar] Univ Aveiro, Ctr Hlth Technol &amp; Serv Res CINTESIS RISE, Dept Educ &amp; Psychol, P-3810193 Aveiro, Portugal; [Santinha, Goncalo] Univ Aveiro, Dept Social Polit &amp; Terr Sci, Governance Competitiveness &amp; Publ Policies GOVCOP, P-3810193 Aveiro, Portugal; [Rocha, Nelson Pacheco] Univ Aveiro, Inst Elect &amp; Informat Engn Aveiro IEETA, Dept Med Sci, P-3810193 Aveiro, Portugal; [Seidel, Katja] Maynooth Univ, ALL Inst, Dept Anthropol, Maynooth W23 F2H6, Kildare, Ireland; [MacLachlan, Mac] Maynooth Univ, Assisting Living &amp; Learning Inst ALL Inst, Dept Psychol, Maynooth W23 F2H6, Kildare, Ireland; [Silva, Anabela G.] Univ Aveiro, Ctr Hlth Technol &amp; Serv Res CINTESIS RISE, Sch Hlth Sci, P-3810193 Aveiro, Portugal</t>
        </is>
      </c>
      <c r="Y1317" t="inlineStr">
        <is>
          <t>Universidade de Aveiro; Universidade de Aveiro; Universidade de Aveiro; Universidade de Aveiro; Maynooth University; Maynooth University; Universidade de Aveiro</t>
        </is>
      </c>
      <c r="Z1317" t="inlineStr">
        <is>
          <t>Ribeiro, O (corresponding author), Univ Aveiro, Ctr Hlth Technol &amp; Serv Res CINTESIS RISE, Dept Educ &amp; Psychol, P-3810193 Aveiro, Portugal.</t>
        </is>
      </c>
      <c r="AA1317" t="inlineStr">
        <is>
          <t>oribeiro@ua.pt</t>
        </is>
      </c>
      <c r="AB1317" t="inlineStr">
        <is>
          <t>Rocha, Nelson/I-5943-2012; Silva, Anabela G./K-4460-2013; Pisco Almeida, Ana Margarida/N-1261-2013; Ribeiro, Oscar/K-4487-2013; Tavares, Rita/R-7599-2016</t>
        </is>
      </c>
      <c r="AC1317" t="inlineStr">
        <is>
          <t>Rocha, Nelson/0000-0003-3801-7249; Silva, Anabela G./0000-0002-4386-5851; Pisco Almeida, Ana Margarida/0000-0002-7349-457X; Ribeiro, Oscar/0000-0003-4740-7951; maclachlan, malcolm/0000-0001-6672-9206; santinha, goncalo/0000-0002-4732-5959; da Costa Diehl, Ceci/0000-0002-0728-7492; Seidel, Katja/0000-0003-0098-8955; Silva, Telmo/0000-0001-9383-7659; Tavares, Rita/0000-0002-1457-7367</t>
        </is>
      </c>
      <c r="AD1317" t="inlineStr">
        <is>
          <t>SHAPES (Smart and Health Aging through People Engaging in Supportive Systems) project - Horizon 2020 Framework Program of the European Union for Research Innovation [857159-H2020-SC1-FADTS-2018-2020]</t>
        </is>
      </c>
      <c r="AE1317" t="inlineStr">
        <is>
          <t>SHAPES (Smart and Health Aging through People Engaging in Supportive Systems) project - Horizon 2020 Framework Program of the European Union for Research Innovation</t>
        </is>
      </c>
      <c r="AF1317" t="inlineStr">
        <is>
          <t>This work was supported by the SHAPES (Smart and Health Aging through People Engaging in Supportive Systems) project, funded by the Horizon 2020 Framework Program of the European Union for Research Innovation, under grant agreement number: 857159-H2020-SC1-FADTS-2018-2020.</t>
        </is>
      </c>
      <c r="AH1317" t="n">
        <v>52</v>
      </c>
      <c r="AI1317" t="n">
        <v>2</v>
      </c>
      <c r="AJ1317" t="n">
        <v>2</v>
      </c>
      <c r="AK1317" t="n">
        <v>6</v>
      </c>
      <c r="AL1317" t="n">
        <v>8</v>
      </c>
      <c r="AM1317" t="inlineStr">
        <is>
          <t>MDPI</t>
        </is>
      </c>
      <c r="AN1317" t="inlineStr">
        <is>
          <t>BASEL</t>
        </is>
      </c>
      <c r="AO1317" t="inlineStr">
        <is>
          <t>ST ALBAN-ANLAGE 66, CH-4052 BASEL, SWITZERLAND</t>
        </is>
      </c>
      <c r="AQ1317" t="inlineStr">
        <is>
          <t>1660-4601</t>
        </is>
      </c>
      <c r="AS1317" t="inlineStr">
        <is>
          <t>INT J ENV RES PUB HE</t>
        </is>
      </c>
      <c r="AT1317" t="inlineStr">
        <is>
          <t>Int. J. Environ. Res. Public Health</t>
        </is>
      </c>
      <c r="AU1317" t="inlineStr">
        <is>
          <t>NOV</t>
        </is>
      </c>
      <c r="AV1317" t="n">
        <v>2022</v>
      </c>
      <c r="AW1317" t="n">
        <v>19</v>
      </c>
      <c r="AX1317" t="n">
        <v>21</v>
      </c>
      <c r="BE1317" t="n">
        <v>14152</v>
      </c>
      <c r="BF1317" t="inlineStr">
        <is>
          <t>10.3390/ijerph192114152</t>
        </is>
      </c>
      <c r="BG1317">
        <f>HYPERLINK("http://dx.doi.org/10.3390/ijerph192114152","http://dx.doi.org/10.3390/ijerph192114152")</f>
        <v/>
      </c>
      <c r="BJ1317" t="n">
        <v>12</v>
      </c>
      <c r="BK1317" t="inlineStr">
        <is>
          <t>Environmental Sciences; Public, Environmental &amp; Occupational Health</t>
        </is>
      </c>
      <c r="BL1317" t="inlineStr">
        <is>
          <t>Science Citation Index Expanded (SCI-EXPANDED); Social Science Citation Index (SSCI)</t>
        </is>
      </c>
      <c r="BM1317" t="inlineStr">
        <is>
          <t>Environmental Sciences &amp; Ecology; Public, Environmental &amp; Occupational Health</t>
        </is>
      </c>
      <c r="BN1317" t="inlineStr">
        <is>
          <t>6G1UP</t>
        </is>
      </c>
      <c r="BO1317" t="n">
        <v>36361030</v>
      </c>
      <c r="BP1317" t="inlineStr">
        <is>
          <t>gold, Green Published</t>
        </is>
      </c>
      <c r="BS1317" t="inlineStr">
        <is>
          <t>2023-10-26</t>
        </is>
      </c>
      <c r="BT1317" t="inlineStr">
        <is>
          <t>WOS:000884544600001</t>
        </is>
      </c>
      <c r="BU1317">
        <f>HYPERLINK("https%3A%2F%2Fwww.webofscience.com%2Fwos%2Fwoscc%2Ffull-record%2FWOS:000884544600001","View Full Record in Web of Science")</f>
        <v/>
      </c>
    </row>
    <row r="1318">
      <c r="A1318" t="inlineStr">
        <is>
          <t>J</t>
        </is>
      </c>
      <c r="B1318" t="inlineStr">
        <is>
          <t>Kugimiya, Y; Iwasaki, M; Ohara, Y; Motokawa, K; Edahiro, A; Shirobe, M; Watanabe, Y; Obuchi, S; Kawai, H; Fujiwara, Y; Ihara, K; Kim, H; Ueda, T; Hirano, H</t>
        </is>
      </c>
      <c r="F1318" t="inlineStr">
        <is>
          <t>Kugimiya, Yoshihiro; Iwasaki, Masanori; Ohara, Yuki; Motokawa, Keiko; Edahiro, Ayako; Shirobe, Maki; Watanabe, Yutaka; Obuchi, Shuichi; Kawai, Hisashi; Fujiwara, Yoshinori; Ihara, Kazushige; Kim, Hunkyung; Ueda, Takayuki; Hirano, Hirohiko</t>
        </is>
      </c>
      <c r="J1318" t="inlineStr">
        <is>
          <t>INTERNATIONAL JOURNAL OF ENVIRONMENTAL RESEARCH AND PUBLIC HEALTH</t>
        </is>
      </c>
      <c r="M1318" t="inlineStr">
        <is>
          <t>English</t>
        </is>
      </c>
      <c r="N1318" t="inlineStr">
        <is>
          <t>Article</t>
        </is>
      </c>
      <c r="T1318" t="inlineStr">
        <is>
          <t>Relationship between Oral Hypofunction and Sarcopenia in Community-Dwelling Older Adults: The Otassha Study</t>
        </is>
      </c>
      <c r="U1318" t="inlineStr">
        <is>
          <t>oral hypofunction; sarcopenia; oral function; physical health; older adults; Japan</t>
        </is>
      </c>
      <c r="V1318" t="inlineStr">
        <is>
          <t>MINI-MENTAL-STATE; INDIVIDUALS; RELIABILITY; PERFORMANCE; DIAGNOSIS; VALIDITY; JAPANESE; UPDATE; HEALTH; FORCE</t>
        </is>
      </c>
      <c r="W1318" t="inlineStr">
        <is>
          <t>Oral hypofunction, resulting from a combined decrease in multiple oral functions, may affect systemic-condition deterioration; however, few studies have examined the association between oral hypofunction and general health among older adults. In this cross-sectional study, we examined the relationship between oral hypofunction and sarcopenia in community-dwelling older adults. We included 878 adults (268 men and 610 women, mean age 76.5 +/- 8.3 years). Tongue coating index, oral moisture, occlusal force, oral diadochokinesis (/pa/,/ta/,/ka/), tongue pressure, mas-ticatory function, and swallowing function were evaluated as indicators of oral hypofunction. Grip strength, gait speed, and skeletal muscle mass index were measured as diagnostic sarcopenia parameters. The association between oral hypofunction and sarcopenia was examined via logistic regression using sarcopenia as the dependent variable. Oral hypofunction prevalence was 50.5% overall, 40.3% in men, and 54.9% in women. The prevalence of sarcopenia was 18.6% overall, 9.7% in men, and 22.5% in women. A logistic regression showed oral hypofunction, age, body mass index, higher-level functional capacity, and serum albumin level were significantly associated with sarcopenia. Sarcopenia occurred at an increased frequency in patients diagnosed with oral hypofunction (odds ratio: 1.59, 95% confidence interval: 1.02-2.47); accordingly, oral hypofunction appears to be significantly associated with sarcopenia.</t>
        </is>
      </c>
      <c r="X1318" t="inlineStr">
        <is>
          <t>[Kugimiya, Yoshihiro; Ueda, Takayuki] Tokyo Dent Coll, Dept Removable Prosthodont &amp; Gerodontol, Tokyo 1010061, Japan; [Kugimiya, Yoshihiro; Iwasaki, Masanori; Ohara, Yuki; Motokawa, Keiko; Edahiro, Ayako; Watanabe, Yutaka; Kim, Hunkyung; Hirano, Hirohiko] Tokyo Metropolitan Inst Gerontol, Res Team Promoting Independence &amp; Mental Hlth, Tokyo 1730015, Japan; [Shirobe, Maki] Tokyo Metropolitan Inst Gerontol, Tokyo Metropolitan Support Ctr Preventat Long Ter, Tokyo 1730015, Japan; [Watanabe, Yutaka] Hokkaido Univ, Fac Dent Med, Dept Oral Hlth Sci, Gerodontol, Sapporo, Hokkaido 0608586, Japan; [Obuchi, Shuichi; Kawai, Hisashi] Tokyo Metropolitan Inst Gerontol, Res Team Human Care, Tokyo 1730015, Japan; [Fujiwara, Yoshinori] Tokyo Metropolitan Inst Gerontol, Res Team Social Participat &amp; Community Hlth, Tokyo 1730015, Japan; [Ihara, Kazushige] Hirosaki Univ, Dept Social Med, Sch Med, Aomori 0368562, Japan; [Hirano, Hirohiko] Tokyo Metropolitan Geriatr Hosp, Tokyo 1730015, Japan</t>
        </is>
      </c>
      <c r="Y1318" t="inlineStr">
        <is>
          <t>Tokyo Metropolitan Institute of Gerontology; Tokyo Metropolitan Institute of Gerontology; Hokkaido University; Tokyo Metropolitan Institute of Gerontology; Tokyo Metropolitan Institute of Gerontology; Hirosaki University; Tokyo Metropolitan Institute of Gerontology</t>
        </is>
      </c>
      <c r="Z1318" t="inlineStr">
        <is>
          <t>Kugimiya, Y (corresponding author), Tokyo Metropolitan Inst Gerontol, Res Team Promoting Independence &amp; Mental Hlth, Tokyo 1730015, Japan.</t>
        </is>
      </c>
      <c r="AA1318" t="inlineStr">
        <is>
          <t>kugimiya1989@gmail.com; iwasaki@tmig.or.jp; yohara@tmig.or.jp; kikiki_1004@yahoo.co.jp; aedahiro514@gmail.com; mashirobe@gmail.com; ywata@den.hokudai.ac.jp; obuchipc@tmig.or.jp; hkawai@tmig.or.jp; fujiwayo@tmig.or.jp; ihara@hirosaki-u.ac.jp; kimhk@tmig.or.jp; uedat@tdc.ac.jp; h-hiro@gd5.so-net.ne.jp</t>
        </is>
      </c>
      <c r="AB1318" t="inlineStr">
        <is>
          <t>Shirobe, Maki/HGE-5669-2022; Watanabe, Yutaka/AFP-3943-2022; Ueda, Takayuki/JCN-8515-2023; Iwasaki, Masanori/HTM-9059-2023; Kugimiya, Yoshihiro/AAE-1024-2020</t>
        </is>
      </c>
      <c r="AC1318" t="inlineStr">
        <is>
          <t>Shirobe, Maki/0000-0003-2478-8202; Watanabe, Yutaka/0000-0002-4983-2399; Ueda, Takayuki/0000-0002-6432-1749; Iwasaki, Masanori/0000-0002-5739-2936; Kugimiya, Yoshihiro/0000-0002-2858-1260; Kawai, Hisashi/0000-0003-3015-6041; Ohara, Yuki/0000-0002-1294-256X; Obuchi, Shuichi/0000-0003-0187-9275</t>
        </is>
      </c>
      <c r="AD1318" t="inlineStr">
        <is>
          <t>Japan Society for the Promotion of Science KAKENHI [JP15K01469, JP16K01853, JP20K10297]; Research Funding for Longevity Sciences from the National Center for Geriatrics and Gerontology, Japan [28-30, 29-42]</t>
        </is>
      </c>
      <c r="AE1318" t="inlineStr">
        <is>
          <t>Japan Society for the Promotion of Science KAKENHI(Ministry of Education, Culture, Sports, Science and Technology, Japan (MEXT)Japan Society for the Promotion of ScienceGrants-in-Aid for Scientific Research (KAKENHI)); Research Funding for Longevity Sciences from the National Center for Geriatrics and Gerontology, Japan</t>
        </is>
      </c>
      <c r="AF1318" t="inlineStr">
        <is>
          <t>This work was supported by the Japan Society for the Promotion of Science KAKENHI (grant numbers: JP15K01469, JP16K01853 and JP20K10297) and Research Funding for Longevity Sciences from the National Center for Geriatrics and Gerontology, Japan (grant numbers: 28-30 and 29-42).</t>
        </is>
      </c>
      <c r="AH1318" t="n">
        <v>53</v>
      </c>
      <c r="AI1318" t="n">
        <v>21</v>
      </c>
      <c r="AJ1318" t="n">
        <v>21</v>
      </c>
      <c r="AK1318" t="n">
        <v>3</v>
      </c>
      <c r="AL1318" t="n">
        <v>10</v>
      </c>
      <c r="AM1318" t="inlineStr">
        <is>
          <t>MDPI</t>
        </is>
      </c>
      <c r="AN1318" t="inlineStr">
        <is>
          <t>BASEL</t>
        </is>
      </c>
      <c r="AO1318" t="inlineStr">
        <is>
          <t>ST ALBAN-ANLAGE 66, CH-4052 BASEL, SWITZERLAND</t>
        </is>
      </c>
      <c r="AQ1318" t="inlineStr">
        <is>
          <t>1660-4601</t>
        </is>
      </c>
      <c r="AS1318" t="inlineStr">
        <is>
          <t>INT J ENV RES PUB HE</t>
        </is>
      </c>
      <c r="AT1318" t="inlineStr">
        <is>
          <t>Int. J. Environ. Res. Public Health</t>
        </is>
      </c>
      <c r="AU1318" t="inlineStr">
        <is>
          <t>JUN</t>
        </is>
      </c>
      <c r="AV1318" t="n">
        <v>2021</v>
      </c>
      <c r="AW1318" t="n">
        <v>18</v>
      </c>
      <c r="AX1318" t="n">
        <v>12</v>
      </c>
      <c r="BE1318" t="n">
        <v>6666</v>
      </c>
      <c r="BF1318" t="inlineStr">
        <is>
          <t>10.3390/ijerph18126666</t>
        </is>
      </c>
      <c r="BG1318">
        <f>HYPERLINK("http://dx.doi.org/10.3390/ijerph18126666","http://dx.doi.org/10.3390/ijerph18126666")</f>
        <v/>
      </c>
      <c r="BJ1318" t="n">
        <v>12</v>
      </c>
      <c r="BK1318" t="inlineStr">
        <is>
          <t>Environmental Sciences; Public, Environmental &amp; Occupational Health</t>
        </is>
      </c>
      <c r="BL1318" t="inlineStr">
        <is>
          <t>Science Citation Index Expanded (SCI-EXPANDED); Social Science Citation Index (SSCI)</t>
        </is>
      </c>
      <c r="BM1318" t="inlineStr">
        <is>
          <t>Environmental Sciences &amp; Ecology; Public, Environmental &amp; Occupational Health</t>
        </is>
      </c>
      <c r="BN1318" t="inlineStr">
        <is>
          <t>SZ6YP</t>
        </is>
      </c>
      <c r="BO1318" t="n">
        <v>34205795</v>
      </c>
      <c r="BP1318" t="inlineStr">
        <is>
          <t>gold, Green Published</t>
        </is>
      </c>
      <c r="BS1318" t="inlineStr">
        <is>
          <t>2023-10-26</t>
        </is>
      </c>
      <c r="BT1318" t="inlineStr">
        <is>
          <t>WOS:000666708400001</t>
        </is>
      </c>
      <c r="BU1318">
        <f>HYPERLINK("https%3A%2F%2Fwww.webofscience.com%2Fwos%2Fwoscc%2Ffull-record%2FWOS:000666708400001","View Full Record in Web of Science")</f>
        <v/>
      </c>
    </row>
    <row r="1319">
      <c r="A1319" t="inlineStr">
        <is>
          <t>J</t>
        </is>
      </c>
      <c r="B1319" t="inlineStr">
        <is>
          <t>Goyal, R; Kumar, P</t>
        </is>
      </c>
      <c r="F1319" t="inlineStr">
        <is>
          <t>Goyal, Radha; Kumar, Prashant</t>
        </is>
      </c>
      <c r="J1319" t="inlineStr">
        <is>
          <t>AIR QUALITY ATMOSPHERE AND HEALTH</t>
        </is>
      </c>
      <c r="M1319" t="inlineStr">
        <is>
          <t>English</t>
        </is>
      </c>
      <c r="N1319" t="inlineStr">
        <is>
          <t>Article</t>
        </is>
      </c>
      <c r="T1319" t="inlineStr">
        <is>
          <t>Indoor-outdoor concentrations of particulate matter in nine microenvironments of a mix-use commercial building in megacity Delhi</t>
        </is>
      </c>
      <c r="U1319" t="inlineStr">
        <is>
          <t>Particulate matter; Building microenvironment; Environmental comfort parameters; Occupancy; I/O relationship; Megacity Delhi</t>
        </is>
      </c>
      <c r="V1319" t="inlineStr">
        <is>
          <t>PARTICLE-SIZE CHARACTERIZATION; AIR AEROSOL MODEL; FINE; POLLUTION; QUALITY; URBAN; EXPOSURE; HOMES; PM10; RESUSPENSION</t>
        </is>
      </c>
      <c r="W1319" t="inlineStr">
        <is>
          <t>Three naturally and six mechanically ventilated microenvironments (MEs) of a mix-use commercial building in Delhi are used to study indoor-outdoor (I/O) relationships of particulate matter a parts per thousand currency sign10 mu m (PM10), a parts per thousand currency sign2.5 mu m (PM2.5), and a parts per thousand currency sign1 mu m (PM1). Effect of environmental and occupancy parameters on the concentrations of PM during working and non-working hours (i.e., activity and non-activity periods, respectively) are also investigated. Average outdoor concentration of PM10 and PM2.5 were found to exceed the 24-h averaged national standard values, showing a polluted environment surrounding the studied building. During working hours, indoor PM10 concentration was found 6-10 times, both PM2.5 and PM1 were 1.5-2 times, higher than the non-working hours in the selected MEs. The variations of indoor concentrations were highest (17.1-601.2 mu g/m(3)) for PM10 compared with PM2.5 (16.9-102.6 mu g/m(3)) and PM1.0 (10.6-63.6 mu g/m(3)). The I/O for PM10, PM2.5, and PM1.0 varied from 0.37-3.1, 0.2-3.2, and 0.17-2.9, respectively. The results suggest highest I/O for PM10, PM2.5, and PM1 as 3.1, 2.15, and 1.76, respectively, in all the three natural-ventilated MEs (canteen, kitchen, reception). Irrespective of PM types, the average I/O was &lt; 1 for mechanically ventilated MEs compared with &gt; 1 for naturally ventilated MEs. As opposed to PM1, better correlation (r &gt; 0.6) was noted between indoor PM10, PM2.5, and CO2 concentrations in most of the airtight MEs.</t>
        </is>
      </c>
      <c r="X1319" t="inlineStr">
        <is>
          <t>[Goyal, Radha] CSIR NEERI, Delhi Zonal Lab, Naraina Ind Area, Delhi 110028, India; [Kumar, Prashant] Univ Surrey, FEPS, Dept Civil &amp; Environm Engn, Guildford GU2 7XH, Surrey, England; [Kumar, Prashant] Univ Surrey, FEPS, Environm Flow EnFlo Res Ctr, Guildford GU2 7XH, Surrey, England</t>
        </is>
      </c>
      <c r="Y1319" t="inlineStr">
        <is>
          <t>Council of Scientific &amp; Industrial Research (CSIR) - India; CSIR - National Environmental Engineering Research Institute (NEERI); University of Surrey; University of Surrey</t>
        </is>
      </c>
      <c r="Z1319" t="inlineStr">
        <is>
          <t>Kumar, P (corresponding author), Univ Surrey, FEPS, Environm Flow EnFlo Res Ctr, Guildford GU2 7XH, Surrey, England.</t>
        </is>
      </c>
      <c r="AA1319" t="inlineStr">
        <is>
          <t>radhagoyal@gmail.com; P.Kumar@surrey.ac.uk</t>
        </is>
      </c>
      <c r="AB1319" t="inlineStr">
        <is>
          <t>Kumar, Prashant/C-6357-2011</t>
        </is>
      </c>
      <c r="AC1319" t="inlineStr">
        <is>
          <t>Kumar, Prashant/0000-0002-2462-4411</t>
        </is>
      </c>
      <c r="AH1319" t="n">
        <v>46</v>
      </c>
      <c r="AI1319" t="n">
        <v>56</v>
      </c>
      <c r="AJ1319" t="n">
        <v>57</v>
      </c>
      <c r="AK1319" t="n">
        <v>1</v>
      </c>
      <c r="AL1319" t="n">
        <v>31</v>
      </c>
      <c r="AM1319" t="inlineStr">
        <is>
          <t>SPRINGER</t>
        </is>
      </c>
      <c r="AN1319" t="inlineStr">
        <is>
          <t>DORDRECHT</t>
        </is>
      </c>
      <c r="AO1319" t="inlineStr">
        <is>
          <t>VAN GODEWIJCKSTRAAT 30, 3311 GZ DORDRECHT, NETHERLANDS</t>
        </is>
      </c>
      <c r="AP1319" t="inlineStr">
        <is>
          <t>1873-9318</t>
        </is>
      </c>
      <c r="AQ1319" t="inlineStr">
        <is>
          <t>1873-9326</t>
        </is>
      </c>
      <c r="AS1319" t="inlineStr">
        <is>
          <t>AIR QUAL ATMOS HLTH</t>
        </is>
      </c>
      <c r="AT1319" t="inlineStr">
        <is>
          <t>Air Qual. Atmos. Health</t>
        </is>
      </c>
      <c r="AU1319" t="inlineStr">
        <is>
          <t>DEC</t>
        </is>
      </c>
      <c r="AV1319" t="n">
        <v>2013</v>
      </c>
      <c r="AW1319" t="n">
        <v>6</v>
      </c>
      <c r="AX1319" t="n">
        <v>4</v>
      </c>
      <c r="BC1319" t="n">
        <v>747</v>
      </c>
      <c r="BD1319" t="n">
        <v>757</v>
      </c>
      <c r="BF1319" t="inlineStr">
        <is>
          <t>10.1007/s11869-013-0212-0</t>
        </is>
      </c>
      <c r="BG1319">
        <f>HYPERLINK("http://dx.doi.org/10.1007/s11869-013-0212-0","http://dx.doi.org/10.1007/s11869-013-0212-0")</f>
        <v/>
      </c>
      <c r="BJ1319" t="n">
        <v>11</v>
      </c>
      <c r="BK1319" t="inlineStr">
        <is>
          <t>Environmental Sciences</t>
        </is>
      </c>
      <c r="BL1319" t="inlineStr">
        <is>
          <t>Science Citation Index Expanded (SCI-EXPANDED)</t>
        </is>
      </c>
      <c r="BM1319" t="inlineStr">
        <is>
          <t>Environmental Sciences &amp; Ecology</t>
        </is>
      </c>
      <c r="BN1319" t="inlineStr">
        <is>
          <t>270QC</t>
        </is>
      </c>
      <c r="BP1319" t="inlineStr">
        <is>
          <t>Green Submitted</t>
        </is>
      </c>
      <c r="BS1319" t="inlineStr">
        <is>
          <t>2023-10-26</t>
        </is>
      </c>
      <c r="BT1319" t="inlineStr">
        <is>
          <t>WOS:000328332500008</t>
        </is>
      </c>
      <c r="BU1319">
        <f>HYPERLINK("https%3A%2F%2Fwww.webofscience.com%2Fwos%2Fwoscc%2Ffull-record%2FWOS:000328332500008","View Full Record in Web of Science")</f>
        <v/>
      </c>
    </row>
    <row r="1320">
      <c r="A1320" t="inlineStr">
        <is>
          <t>J</t>
        </is>
      </c>
      <c r="B1320" t="inlineStr">
        <is>
          <t>Li, ZT; Shang, YZ; Zhao, GW; Yang, MZ</t>
        </is>
      </c>
      <c r="F1320" t="inlineStr">
        <is>
          <t>Li, Zhitao; Shang, Yuzhen; Zhao, Guanwei; Yang, Muzhuang</t>
        </is>
      </c>
      <c r="J1320" t="inlineStr">
        <is>
          <t>INTERNATIONAL JOURNAL OF ENVIRONMENTAL RESEARCH AND PUBLIC HEALTH</t>
        </is>
      </c>
      <c r="M1320" t="inlineStr">
        <is>
          <t>English</t>
        </is>
      </c>
      <c r="N1320" t="inlineStr">
        <is>
          <t>Article</t>
        </is>
      </c>
      <c r="T1320" t="inlineStr">
        <is>
          <t>Exploring the Multiscale Relationship between the Built Environment and the Metro-Oriented Dockless Bike-Sharing Usage</t>
        </is>
      </c>
      <c r="U1320" t="inlineStr">
        <is>
          <t>bike-sharing; built environment; metro; geographically weighted regression; multiscale</t>
        </is>
      </c>
      <c r="V1320" t="inlineStr">
        <is>
          <t>GEOGRAPHICALLY WEIGHTED REGRESSION; SPATIAL VARIATION; DEMAND; SUBWAY; SYSTEM; IMPACT; TRAVEL; AUSTRALIA; PATTERNS; WORK</t>
        </is>
      </c>
      <c r="W1320" t="inlineStr">
        <is>
          <t>Dockless bike-sharing systems have become one of the important transport methods for urban residents as they can effectively expand the metro's service area. We applied the ordinary least square (OLS) model, the geographically weighted regression (GWR) model and the multiscale geographically weighted regression (MGWR) model to capture the spatial relationship between the urban built environment and the usage of bike-sharing connected to the metro. A case study in Beijing, China, was conducted. The empirical result demonstrates that the MGWR model can explain the varieties of spatial relationship more precisely than the OLS model and the GWR model. The result also shows that, among the proposed built environment factors, the integrated usage of bike-sharing and metro is mainly affected by the distance to central business district (CBD), the Hotels-Residences points of interest (POI) density, and the road density. It is noteworthy that the effect of population density on dockless bike-sharing usage is only significant at weekends. In addition, the effects of the built environment variables on dockless bike-sharing usage also vary across space. A common feature is that most of the built environment factors have a more obvious impact on the metro-oriented dockless bike-sharing usage in the eastern part of the study area. This finding can provide support for governments and urban planners to efficiently develop a bike-sharing-friendly built environment that promotes the integration of bike-sharing and metro.</t>
        </is>
      </c>
      <c r="X1320" t="inlineStr">
        <is>
          <t>[Li, Zhitao; Shang, Yuzhen; Zhao, Guanwei; Yang, Muzhuang] Guangzhou Univ, Sch Geog &amp; Remote Sensing, Guangzhou 510006, Peoples R China; [Zhao, Guanwei; Yang, Muzhuang] Guangzhou Univ, Inst Land Resources &amp; Coastal Zone, Guangzhou 510006, Peoples R China</t>
        </is>
      </c>
      <c r="Y1320" t="inlineStr">
        <is>
          <t>Guangzhou University; Guangzhou University</t>
        </is>
      </c>
      <c r="Z1320" t="inlineStr">
        <is>
          <t>Zhao, GW (corresponding author), Guangzhou Univ, Sch Geog &amp; Remote Sensing, Guangzhou 510006, Peoples R China.;Zhao, GW (corresponding author), Guangzhou Univ, Inst Land Resources &amp; Coastal Zone, Guangzhou 510006, Peoples R China.</t>
        </is>
      </c>
      <c r="AA1320" t="inlineStr">
        <is>
          <t>2112001071@e.gzhu.edu.cn; 2112001045@e.gzhu.edu.cn; zhaogw@gzhu.edu.cn; ymz@gzhu.edu.cn</t>
        </is>
      </c>
      <c r="AC1320" t="inlineStr">
        <is>
          <t>Zhao, Guanwei/0000-0002-3311-9062; Li, ZhiTao/0000-0002-4323-3571</t>
        </is>
      </c>
      <c r="AH1320" t="n">
        <v>61</v>
      </c>
      <c r="AI1320" t="n">
        <v>4</v>
      </c>
      <c r="AJ1320" t="n">
        <v>5</v>
      </c>
      <c r="AK1320" t="n">
        <v>30</v>
      </c>
      <c r="AL1320" t="n">
        <v>98</v>
      </c>
      <c r="AM1320" t="inlineStr">
        <is>
          <t>MDPI</t>
        </is>
      </c>
      <c r="AN1320" t="inlineStr">
        <is>
          <t>BASEL</t>
        </is>
      </c>
      <c r="AO1320" t="inlineStr">
        <is>
          <t>ST ALBAN-ANLAGE 66, CH-4052 BASEL, SWITZERLAND</t>
        </is>
      </c>
      <c r="AQ1320" t="inlineStr">
        <is>
          <t>1660-4601</t>
        </is>
      </c>
      <c r="AS1320" t="inlineStr">
        <is>
          <t>INT J ENV RES PUB HE</t>
        </is>
      </c>
      <c r="AT1320" t="inlineStr">
        <is>
          <t>Int. J. Environ. Res. Public Health</t>
        </is>
      </c>
      <c r="AU1320" t="inlineStr">
        <is>
          <t>FEB</t>
        </is>
      </c>
      <c r="AV1320" t="n">
        <v>2022</v>
      </c>
      <c r="AW1320" t="n">
        <v>19</v>
      </c>
      <c r="AX1320" t="n">
        <v>4</v>
      </c>
      <c r="BE1320" t="n">
        <v>2323</v>
      </c>
      <c r="BF1320" t="inlineStr">
        <is>
          <t>10.3390/ijerph19042323</t>
        </is>
      </c>
      <c r="BG1320">
        <f>HYPERLINK("http://dx.doi.org/10.3390/ijerph19042323","http://dx.doi.org/10.3390/ijerph19042323")</f>
        <v/>
      </c>
      <c r="BJ1320" t="n">
        <v>21</v>
      </c>
      <c r="BK1320" t="inlineStr">
        <is>
          <t>Environmental Sciences; Public, Environmental &amp; Occupational Health</t>
        </is>
      </c>
      <c r="BL1320" t="inlineStr">
        <is>
          <t>Science Citation Index Expanded (SCI-EXPANDED); Social Science Citation Index (SSCI)</t>
        </is>
      </c>
      <c r="BM1320" t="inlineStr">
        <is>
          <t>Environmental Sciences &amp; Ecology; Public, Environmental &amp; Occupational Health</t>
        </is>
      </c>
      <c r="BN1320" t="inlineStr">
        <is>
          <t>ZI1TB</t>
        </is>
      </c>
      <c r="BO1320" t="n">
        <v>35206509</v>
      </c>
      <c r="BP1320" t="inlineStr">
        <is>
          <t>Green Published, gold</t>
        </is>
      </c>
      <c r="BS1320" t="inlineStr">
        <is>
          <t>2023-10-26</t>
        </is>
      </c>
      <c r="BT1320" t="inlineStr">
        <is>
          <t>WOS:000761410000001</t>
        </is>
      </c>
      <c r="BU1320">
        <f>HYPERLINK("https%3A%2F%2Fwww.webofscience.com%2Fwos%2Fwoscc%2Ffull-record%2FWOS:000761410000001","View Full Record in Web of Science")</f>
        <v/>
      </c>
    </row>
    <row r="1321">
      <c r="A1321" t="inlineStr">
        <is>
          <t>J</t>
        </is>
      </c>
      <c r="B1321" t="inlineStr">
        <is>
          <t>Bazargan, M; Smith, J; Saqib, M; Helmi, H; Assari, S</t>
        </is>
      </c>
      <c r="F1321" t="inlineStr">
        <is>
          <t>Bazargan, Mohsen; Smith, James; Saqib, Mohammed; Helmi, Hamid; Assari, Shervin</t>
        </is>
      </c>
      <c r="J1321" t="inlineStr">
        <is>
          <t>INTERNATIONAL JOURNAL OF ENVIRONMENTAL RESEARCH AND PUBLIC HEALTH</t>
        </is>
      </c>
      <c r="M1321" t="inlineStr">
        <is>
          <t>English</t>
        </is>
      </c>
      <c r="N1321" t="inlineStr">
        <is>
          <t>Article</t>
        </is>
      </c>
      <c r="T1321" t="inlineStr">
        <is>
          <t>Associations between Polypharmacy, Self-Rated Health, and Depression in African American Older Adults; Mediators and Moderators</t>
        </is>
      </c>
      <c r="U1321" t="inlineStr">
        <is>
          <t>African Americans; Black; older adults; polypharmacy; self-rated health; depression; depressive symptoms</t>
        </is>
      </c>
      <c r="V1321" t="inlineStr">
        <is>
          <t>INAPPROPRIATE DRUG-USE; MEDICATION REGIMEN COMPLEXITY; NON-HISPANIC BLACKS; GENDER-DIFFERENCES; CLINICAL CONSEQUENCES; PRESCRIPTION DRUGS; SHORT-FORM; CARE; MORTALITY; PEOPLE</t>
        </is>
      </c>
      <c r="W1321" t="inlineStr">
        <is>
          <t>Background. Despite the prevalence of multimorbidity among African American (AA) older adults, little information exists on correlates of polypharmacy (using 5+ medications) in AA older adults. There is more information available regarding the link between polypharmacy and physical aspects of health than subjective ones. Aims. In a local sample of AA older adults in Los Angeles, this study investigated the association of polypharmacy with self-rated health (SRH) and depression. We also explored gender differences in these links. Methods. This community-based study was conducted in south Los Angeles. A total number of 708 AA older adults (age 55 years) were entered into this study. From this number, 253 were AA men and 455 were AA women. Polypharmacy was the independent variable. Self-rated health (SRH) and depression were the dependent variables. Age, educational attainment, financial difficulty (difficulty paying bills, etc.), and marital status were covariates. Gender was the moderator. Multimorbidity, measured as the number of chronic diseases (CDs), was the mediator. Logistic regressions were applied for data analysis. Results. Polypharmacy was associated with worse SRH and depression. Multimorbidity fully mediated the association between polypharmacy and depressive symptoms. Multimorbidity only partially mediated the association between polypharmacy and poor SRH. Gender moderated the association between polypharmacy and SRH, as polypharmacy was associated with poor SRH in women but not men. Gender did not alter the association between polypharmacy and depression. Conclusions. AA older women with polypharmacy experience worse SRH and depression, an association which is partially due to the underlying multimorbidity. There is a need for preventing inappropriate polypharmacy in AA older adults, particularly when addressing poor SRH and depression in AA older women with multimorbidity.</t>
        </is>
      </c>
      <c r="X1321" t="inlineStr">
        <is>
          <t>[Bazargan, Mohsen; Smith, James; Assari, Shervin] Charles R Drew Univ Med &amp; Sci, Dept Family Med, Los Angeles, CA 90095 USA; [Bazargan, Mohsen] Univ Calif Los Angeles, Dept Family Med, Los Angeles, CA 90095 USA; [Saqib, Mohammed] Univ Michigan, Ctr Res Ethn Culture &amp; Hlth, Ann Arbor, MI 48109 USA; [Helmi, Hamid] Wayne State Univ, Detroit, MI 48202 USA</t>
        </is>
      </c>
      <c r="Y1321" t="inlineStr">
        <is>
          <t>Charles R. Drew University of Medicine &amp; Science; University of California System; University of California Los Angeles; University of Michigan System; University of Michigan; Wayne State University</t>
        </is>
      </c>
      <c r="Z1321" t="inlineStr">
        <is>
          <t>Assari, S (corresponding author), Charles R Drew Univ Med &amp; Sci, Dept Family Med, Los Angeles, CA 90095 USA.</t>
        </is>
      </c>
      <c r="AA1321" t="inlineStr">
        <is>
          <t>mobazarg@cdrewu.edu; jamessmith@cdrewu.edu; saqimoha@umich.edu; hhelmi@umich.edu; assari@umich.edu</t>
        </is>
      </c>
      <c r="AB1321" t="inlineStr">
        <is>
          <t>Assari, Shervin/B-3062-2011</t>
        </is>
      </c>
      <c r="AC1321" t="inlineStr">
        <is>
          <t>Assari, Shervin/0000-0002-5054-6250</t>
        </is>
      </c>
      <c r="AD1321" t="inlineStr">
        <is>
          <t>Center for Medicare and Medicaid Services (CMS) Grant [1H0CMS331621]; NIH [54MD008149, R25 MD007610, 2U54MD007598, U54 TR001627]; CMS grant [1H0CMS331621]; National Institute on Minority Health and Health Disparities (NIMHD) [U54 MD007598]; National Cancer Institute (NCI) [CA201415-02]</t>
        </is>
      </c>
      <c r="AE1321" t="inlineStr">
        <is>
          <t>Center for Medicare and Medicaid Services (CMS) Grant; NIH(United States Department of Health &amp; Human ServicesNational Institutes of Health (NIH) - USA); CMS grant; National Institute on Minority Health and Health Disparities (NIMHD)(United States Department of Health &amp; Human ServicesNational Institutes of Health (NIH) - USANIH National Institute on Minority Health &amp; Health Disparities (NIMHD)); National Cancer Institute (NCI)(United States Department of Health &amp; Human ServicesNational Institutes of Health (NIH) - USANIH National Cancer Institute (NCI))</t>
        </is>
      </c>
      <c r="AF1321" t="inlineStr">
        <is>
          <t>This study was supported by the Center for Medicare and Medicaid Services (CMS) Grant 1H0CMS331621 to Charles R. Drew University of Medicine and Science (PI: M. Bazargan). Additionally, Bazargan is supported by the NIH under Award #54MD008149 and #R25 MD007610 (PI: M. Bazargan), 2U54MD007598 (PI: J. Vadgama), and U54 TR001627 (PIs: S. Dubinett, and R. Jenders). Shervin Assari is partly supported by the CMS grant 1H0CMS331621 (PI: M. Bazargan), National Institute on Minority Health and Health Disparities (NIMHD) grant U54 MD007598 (PI = M. Bazargan) and the National Cancer Institute (NCI) grant CA201415-02 (Co-PI = R. Mistry).</t>
        </is>
      </c>
      <c r="AH1321" t="n">
        <v>86</v>
      </c>
      <c r="AI1321" t="n">
        <v>21</v>
      </c>
      <c r="AJ1321" t="n">
        <v>21</v>
      </c>
      <c r="AK1321" t="n">
        <v>4</v>
      </c>
      <c r="AL1321" t="n">
        <v>10</v>
      </c>
      <c r="AM1321" t="inlineStr">
        <is>
          <t>MDPI</t>
        </is>
      </c>
      <c r="AN1321" t="inlineStr">
        <is>
          <t>BASEL</t>
        </is>
      </c>
      <c r="AO1321" t="inlineStr">
        <is>
          <t>ST ALBAN-ANLAGE 66, CH-4052 BASEL, SWITZERLAND</t>
        </is>
      </c>
      <c r="AP1321" t="inlineStr">
        <is>
          <t>1661-7827</t>
        </is>
      </c>
      <c r="AQ1321" t="inlineStr">
        <is>
          <t>1660-4601</t>
        </is>
      </c>
      <c r="AS1321" t="inlineStr">
        <is>
          <t>INT J ENV RES PUB HE</t>
        </is>
      </c>
      <c r="AT1321" t="inlineStr">
        <is>
          <t>Int. J. Environ. Res. Public Health</t>
        </is>
      </c>
      <c r="AU1321" t="inlineStr">
        <is>
          <t>MAY 1</t>
        </is>
      </c>
      <c r="AV1321" t="n">
        <v>2019</v>
      </c>
      <c r="AW1321" t="n">
        <v>16</v>
      </c>
      <c r="AX1321" t="n">
        <v>9</v>
      </c>
      <c r="BE1321" t="n">
        <v>1574</v>
      </c>
      <c r="BF1321" t="inlineStr">
        <is>
          <t>10.3390/ijerph16091574</t>
        </is>
      </c>
      <c r="BG1321">
        <f>HYPERLINK("http://dx.doi.org/10.3390/ijerph16091574","http://dx.doi.org/10.3390/ijerph16091574")</f>
        <v/>
      </c>
      <c r="BJ1321" t="n">
        <v>14</v>
      </c>
      <c r="BK1321" t="inlineStr">
        <is>
          <t>Environmental Sciences; Public, Environmental &amp; Occupational Health</t>
        </is>
      </c>
      <c r="BL1321" t="inlineStr">
        <is>
          <t>Science Citation Index Expanded (SCI-EXPANDED); Social Science Citation Index (SSCI)</t>
        </is>
      </c>
      <c r="BM1321" t="inlineStr">
        <is>
          <t>Environmental Sciences &amp; Ecology; Public, Environmental &amp; Occupational Health</t>
        </is>
      </c>
      <c r="BN1321" t="inlineStr">
        <is>
          <t>IA4ER</t>
        </is>
      </c>
      <c r="BO1321" t="n">
        <v>31064059</v>
      </c>
      <c r="BP1321" t="inlineStr">
        <is>
          <t>Green Submitted, Green Published, gold</t>
        </is>
      </c>
      <c r="BS1321" t="inlineStr">
        <is>
          <t>2023-10-26</t>
        </is>
      </c>
      <c r="BT1321" t="inlineStr">
        <is>
          <t>WOS:000469517300099</t>
        </is>
      </c>
      <c r="BU1321">
        <f>HYPERLINK("https%3A%2F%2Fwww.webofscience.com%2Fwos%2Fwoscc%2Ffull-record%2FWOS:000469517300099","View Full Record in Web of Science")</f>
        <v/>
      </c>
    </row>
    <row r="1322">
      <c r="A1322" t="inlineStr">
        <is>
          <t>J</t>
        </is>
      </c>
      <c r="B1322" t="inlineStr">
        <is>
          <t>Sheahan, J; Hjorth, L; Figueiredo, B; Martin, DM; Reid, M; Aleti, T; Buschgens, M</t>
        </is>
      </c>
      <c r="F1322" t="inlineStr">
        <is>
          <t>Sheahan, Jacob; Hjorth, Larissa; Figueiredo, Bernardo; Martin, Diane M.; Reid, Mike; Aleti, Torgeir; Buschgens, Mark</t>
        </is>
      </c>
      <c r="J1322" t="inlineStr">
        <is>
          <t>INTERNATIONAL JOURNAL OF ENVIRONMENTAL RESEARCH AND PUBLIC HEALTH</t>
        </is>
      </c>
      <c r="M1322" t="inlineStr">
        <is>
          <t>English</t>
        </is>
      </c>
      <c r="N1322" t="inlineStr">
        <is>
          <t>Article</t>
        </is>
      </c>
      <c r="T1322" t="inlineStr">
        <is>
          <t>Co-Creating ICT Risk Strategies with Older Australians: A Workshop Model</t>
        </is>
      </c>
      <c r="U1322" t="inlineStr">
        <is>
          <t>older adults; ICT risks; digital literacy; scenario personarrative method</t>
        </is>
      </c>
      <c r="V1322" t="inlineStr">
        <is>
          <t>TECHNOLOGY; TIME</t>
        </is>
      </c>
      <c r="W1322" t="inlineStr">
        <is>
          <t>As digital inclusion becomes a growing indicator of wellbeing in later life, the ability to understand older adults' preferences for information and communication technologies (ICTs) and develop strategies to support their digital literacy is critical. The barriers older adults face include their perceived ICT risks and capacity to learn. Complexities, including ICT environmental stressors and societal norms, may require concerted engagement with older adults to achieve higher digital literacy competencies. This article describes the results of a series of co-design workshops to develop strategies for increased ICT competencies and reduced perceived risks among older adults. Engaging older Australians in three in-person workshops (each workshop consisting of 15 people), this study adapted the Scenario Personarrative Method to illustrate the experiences of people with technology and rich pictures of the strategies seniors employ. Through the enrichment of low-to-high-digital-literacy personas and mapping workshop participant responses to several scenarios, the workshops contextualized the different opportunities and barriers seniors may face, offering a useful approach toward collaborative strategy development. We argued that in using co-designed persona methods, scholars can develop more nuance in generating ICT risk strategies that are built with and for older adults. By allowing risks to be contextualized through this approach, we illustrated the novelty of adapting the Scenario Personarrative Method to provide insights into perceived barriers and to build skills, motivations, and strategies toward enhancing digital literacy.</t>
        </is>
      </c>
      <c r="X1322" t="inlineStr">
        <is>
          <t>[Sheahan, Jacob] RMIT Univ, Coll Design &amp; Social Context, Sch Design, GPO Box 2476, Melbourne, Vic 3001, Australia; [Hjorth, Larissa] RMIT Univ, Coll Design &amp; Social Context, Sch Media &amp; Commun, GPO Box 2476, Melbourne, Vic 3001, Australia; [Figueiredo, Bernardo; Martin, Diane M.; Reid, Mike; Aleti, Torgeir] RMIT Univ, Coll Business, Sch Econ Finance &amp; Mkt, GPO Box 2476, Melbourne, Vic 3001, Australia; [Buschgens, Mark] Univ Waikato, Sch Mkt &amp; Management, Hamilton 3240, New Zealand</t>
        </is>
      </c>
      <c r="Y1322" t="inlineStr">
        <is>
          <t>Royal Melbourne Institute of Technology (RMIT); Royal Melbourne Institute of Technology (RMIT); Royal Melbourne Institute of Technology (RMIT); University of Waikato</t>
        </is>
      </c>
      <c r="Z1322" t="inlineStr">
        <is>
          <t>Sheahan, J (corresponding author), RMIT Univ, Coll Design &amp; Social Context, Sch Design, GPO Box 2476, Melbourne, Vic 3001, Australia.</t>
        </is>
      </c>
      <c r="AA1322" t="inlineStr">
        <is>
          <t>jacob.sheahan@rmit.edu.au</t>
        </is>
      </c>
      <c r="AB1322" t="inlineStr">
        <is>
          <t>Buschgens, Mark/ACI-5739-2022; Hjorth, Larissa/R-8755-2019</t>
        </is>
      </c>
      <c r="AC1322" t="inlineStr">
        <is>
          <t>Hjorth, Larissa/0000-0002-4793-3233; Buschgens, Mark/0000-0003-3046-4466; Amado Figueiredo, Bernardo/0000-0003-1935-4370; Aleti, Torgeir/0000-0002-1222-3784; Sheahan, Jacob/0000-0001-8282-4094</t>
        </is>
      </c>
      <c r="AD1322" t="inlineStr">
        <is>
          <t>Australian Communications Consumer Action Network (ACCAN)</t>
        </is>
      </c>
      <c r="AE1322" t="inlineStr">
        <is>
          <t>Australian Communications Consumer Action Network (ACCAN)</t>
        </is>
      </c>
      <c r="AF1322" t="inlineStr">
        <is>
          <t>This research was funded by the Australian Communications Consumer Action Network (ACCAN) as part of the Co-designing Participatory Strategies with Older Adults to Reduce Perceived Risk and Promote Digital Inclusion project.</t>
        </is>
      </c>
      <c r="AH1322" t="n">
        <v>37</v>
      </c>
      <c r="AI1322" t="n">
        <v>3</v>
      </c>
      <c r="AJ1322" t="n">
        <v>3</v>
      </c>
      <c r="AK1322" t="n">
        <v>9</v>
      </c>
      <c r="AL1322" t="n">
        <v>10</v>
      </c>
      <c r="AM1322" t="inlineStr">
        <is>
          <t>MDPI</t>
        </is>
      </c>
      <c r="AN1322" t="inlineStr">
        <is>
          <t>BASEL</t>
        </is>
      </c>
      <c r="AO1322" t="inlineStr">
        <is>
          <t>ST ALBAN-ANLAGE 66, CH-4052 BASEL, SWITZERLAND</t>
        </is>
      </c>
      <c r="AQ1322" t="inlineStr">
        <is>
          <t>1660-4601</t>
        </is>
      </c>
      <c r="AS1322" t="inlineStr">
        <is>
          <t>INT J ENV RES PUB HE</t>
        </is>
      </c>
      <c r="AT1322" t="inlineStr">
        <is>
          <t>Int. J. Environ. Res. Public Health</t>
        </is>
      </c>
      <c r="AU1322" t="inlineStr">
        <is>
          <t>JAN</t>
        </is>
      </c>
      <c r="AV1322" t="n">
        <v>2023</v>
      </c>
      <c r="AW1322" t="n">
        <v>20</v>
      </c>
      <c r="AX1322" t="n">
        <v>1</v>
      </c>
      <c r="BE1322" t="n">
        <v>52</v>
      </c>
      <c r="BF1322" t="inlineStr">
        <is>
          <t>10.3390/ijerph20010052</t>
        </is>
      </c>
      <c r="BG1322">
        <f>HYPERLINK("http://dx.doi.org/10.3390/ijerph20010052","http://dx.doi.org/10.3390/ijerph20010052")</f>
        <v/>
      </c>
      <c r="BJ1322" t="n">
        <v>15</v>
      </c>
      <c r="BK1322" t="inlineStr">
        <is>
          <t>Environmental Sciences; Public, Environmental &amp; Occupational Health</t>
        </is>
      </c>
      <c r="BL1322" t="inlineStr">
        <is>
          <t>Science Citation Index Expanded (SCI-EXPANDED); Social Science Citation Index (SSCI)</t>
        </is>
      </c>
      <c r="BM1322" t="inlineStr">
        <is>
          <t>Environmental Sciences &amp; Ecology; Public, Environmental &amp; Occupational Health</t>
        </is>
      </c>
      <c r="BN1322" t="inlineStr">
        <is>
          <t>7Q7FM</t>
        </is>
      </c>
      <c r="BO1322" t="n">
        <v>36612373</v>
      </c>
      <c r="BP1322" t="inlineStr">
        <is>
          <t>Green Published, gold</t>
        </is>
      </c>
      <c r="BS1322" t="inlineStr">
        <is>
          <t>2023-10-26</t>
        </is>
      </c>
      <c r="BT1322" t="inlineStr">
        <is>
          <t>WOS:000909552900001</t>
        </is>
      </c>
      <c r="BU1322">
        <f>HYPERLINK("https%3A%2F%2Fwww.webofscience.com%2Fwos%2Fwoscc%2Ffull-record%2FWOS:000909552900001","View Full Record in Web of Science")</f>
        <v/>
      </c>
    </row>
    <row r="1323">
      <c r="A1323" t="inlineStr">
        <is>
          <t>J</t>
        </is>
      </c>
      <c r="B1323" t="inlineStr">
        <is>
          <t>Roscoe, C; Sheridan, C; Geneshka, M; Hodgson, S; Vineis, P; Gulliver, J; Fecht, D</t>
        </is>
      </c>
      <c r="F1323" t="inlineStr">
        <is>
          <t>Roscoe, Charlotte; Sheridan, Charlotte; Geneshka, Mariya; Hodgson, Susan; Vineis, Paolo; Gulliver, John; Fecht, Daniela</t>
        </is>
      </c>
      <c r="J1323" t="inlineStr">
        <is>
          <t>INTERNATIONAL JOURNAL OF ENVIRONMENTAL RESEARCH AND PUBLIC HEALTH</t>
        </is>
      </c>
      <c r="M1323" t="inlineStr">
        <is>
          <t>English</t>
        </is>
      </c>
      <c r="N1323" t="inlineStr">
        <is>
          <t>Article</t>
        </is>
      </c>
      <c r="T1323" t="inlineStr">
        <is>
          <t>Green Walkability and Physical Activity in UK Biobank: A Cross-Sectional Analysis of Adults in Greater London</t>
        </is>
      </c>
      <c r="U1323" t="inlineStr">
        <is>
          <t>greenspace; walkability; street trees; physical activity; accelerometer; moderate-vigorous physical activity; walking; network buffer; urban planning; prospective cohort</t>
        </is>
      </c>
      <c r="V1323" t="inlineStr">
        <is>
          <t>RESIDENTIAL GREENNESS; BUILT-ENVIRONMENT; ASSOCIATIONS</t>
        </is>
      </c>
      <c r="W1323" t="inlineStr">
        <is>
          <t>Urban greenspace provides opportunities for outdoor exercise and may increase physical activity, with accompanying health benefits. Areas suitable for walking (walkability) are also associated with increased physical activity, but interactions with greenspace are poorly understood. We investigated associations of walkability and green walkability with physical activity in an urban adult cohort. We used cross-sectional data from Greater London UK Biobank participants (n = 57,726) and assessed walkability along roads and footpaths within 1000 m of their residential addresses. Additionally, we assessed green walkability by integrating trees and low-lying vegetation into the walkability index. Physical activity outcomes included self-reported and accelerometer-measured physical activity and active transport. We assessed associations using log-linear, logistic and linear regression models, adjusted for individual- and area-level confounders. Higher green walkability was associated with favourable International Physical Activity Questionnaire responses and achievement of weekly UK government physical activity guideline recommendations. Participants living in the highest versus lowest quintile of green walkability participated in 2.41 min (95% confidence intervals: 0.22, 4.60) additional minutes of moderate-and-vigorous physical activity per day. Higher walkability and green walkability scores were also associated with choosing active transport modes such as walking and cycling. Our green walkability approach demonstrates the utility in accounting for walkability and greenspace simultaneously to understand the role of the built environment on physical activity.</t>
        </is>
      </c>
      <c r="X1323" t="inlineStr">
        <is>
          <t>[Roscoe, Charlotte; Sheridan, Charlotte; Hodgson, Susan; Vineis, Paolo; Fecht, Daniela] Imperial Coll London, MRC Ctr Environm &amp; Hlth, St Marys Hosp, Praed St, London W2 1NY, England; [Roscoe, Charlotte] Harvard Univ, Landmark Ctr, Harvard TH Chan Sch Publ Hlth, Dept Environm &amp; Hlth, Floor 3 West,401 Pk Dr, Boston, MA 02215 USA; [Sheridan, Charlotte] London Sch Hyg &amp; Trop Med, Keppel St, London WC1E 7HT, England; [Geneshka, Mariya] Univ York, Dept Hlth Sci, York YO10 4DD, N Yorkshire, England; [Gulliver, John] Univ Leicester, Ctr Environm Hlth &amp; Sustainabil, Sch Geog Geol &amp; Environm, Leicester LE1 7LW, Leics, England</t>
        </is>
      </c>
      <c r="Y1323" t="inlineStr">
        <is>
          <t>Imperial College London; Harvard University; Harvard T.H. Chan School of Public Health; University of London; London School of Hygiene &amp; Tropical Medicine; University of York - UK; University of Leicester</t>
        </is>
      </c>
      <c r="Z1323" t="inlineStr">
        <is>
          <t>Roscoe, C (corresponding author), Imperial Coll London, MRC Ctr Environm &amp; Hlth, St Marys Hosp, Praed St, London W2 1NY, England.;Roscoe, C (corresponding author), Harvard Univ, Landmark Ctr, Harvard TH Chan Sch Publ Hlth, Dept Environm &amp; Hlth, Floor 3 West,401 Pk Dr, Boston, MA 02215 USA.</t>
        </is>
      </c>
      <c r="AA1323" t="inlineStr">
        <is>
          <t>croscoe@hsph.harvard.edu; charlotte.sheridan2@gmail.com; mmg529@york.ac.uk; dr.susan.hodgson@gmail.com; p.vineis@imperial.ac.uk; jg435@le.ac.uk; d.fecht@imperial.ac.uk</t>
        </is>
      </c>
      <c r="AB1323" t="inlineStr">
        <is>
          <t>, Daniela/HRD-8206-2023; Hodgson, Susan/H-1317-2013; Roscoe, Charlotte/IYT-0121-2023</t>
        </is>
      </c>
      <c r="AC1323" t="inlineStr">
        <is>
          <t>Roscoe, Charlotte/0000-0002-9169-6458; Sheridan, Charlotte/0000-0001-7014-1245; Hodgson, Susan/0000-0001-8519-8586; Fecht, Daniela/0000-0002-0738-0013</t>
        </is>
      </c>
      <c r="AD1323" t="inlineStr">
        <is>
          <t>MRC Centre for Environment and Health - Medical Research Council [MR/S019669/1]; National Institute for Health Research (NIHR) Health Protection Research Unit in Chemical and Radiation Threats and Hazards</t>
        </is>
      </c>
      <c r="AE1323" t="inlineStr">
        <is>
          <t>MRC Centre for Environment and Health - Medical Research Council(UK Research &amp; Innovation (UKRI)Medical Research Council UK (MRC)); National Institute for Health Research (NIHR) Health Protection Research Unit in Chemical and Radiation Threats and Hazards</t>
        </is>
      </c>
      <c r="AF1323" t="inlineStr">
        <is>
          <t>This research was supported by the MRC Centre for Environment and Health, which is currently funded by the Medical Research Council (MR/S019669/1, 2019-2024). Infrastructure support for the Department of Epidemiology and Biostatistics was provided by the NIHR Imperial Biomedical Research Centre. This study is part funded by the National Institute for Health Research (NIHR) Health Protection Research Unit in Chemical and Radiation Threats and Hazards, a partnership between UK Health Security Agency and Imperial College London. The views expressed are those of the authors and not necessarily those of the NIHR, UK Health Security Agency or the Department of Health and Social Care.</t>
        </is>
      </c>
      <c r="AH1323" t="n">
        <v>39</v>
      </c>
      <c r="AI1323" t="n">
        <v>9</v>
      </c>
      <c r="AJ1323" t="n">
        <v>9</v>
      </c>
      <c r="AK1323" t="n">
        <v>5</v>
      </c>
      <c r="AL1323" t="n">
        <v>23</v>
      </c>
      <c r="AM1323" t="inlineStr">
        <is>
          <t>MDPI</t>
        </is>
      </c>
      <c r="AN1323" t="inlineStr">
        <is>
          <t>BASEL</t>
        </is>
      </c>
      <c r="AO1323" t="inlineStr">
        <is>
          <t>ST ALBAN-ANLAGE 66, CH-4052 BASEL, SWITZERLAND</t>
        </is>
      </c>
      <c r="AQ1323" t="inlineStr">
        <is>
          <t>1660-4601</t>
        </is>
      </c>
      <c r="AS1323" t="inlineStr">
        <is>
          <t>INT J ENV RES PUB HE</t>
        </is>
      </c>
      <c r="AT1323" t="inlineStr">
        <is>
          <t>Int. J. Environ. Res. Public Health</t>
        </is>
      </c>
      <c r="AU1323" t="inlineStr">
        <is>
          <t>APR</t>
        </is>
      </c>
      <c r="AV1323" t="n">
        <v>2022</v>
      </c>
      <c r="AW1323" t="n">
        <v>19</v>
      </c>
      <c r="AX1323" t="n">
        <v>7</v>
      </c>
      <c r="BE1323" t="n">
        <v>4247</v>
      </c>
      <c r="BF1323" t="inlineStr">
        <is>
          <t>10.3390/ijerph19074247</t>
        </is>
      </c>
      <c r="BG1323">
        <f>HYPERLINK("http://dx.doi.org/10.3390/ijerph19074247","http://dx.doi.org/10.3390/ijerph19074247")</f>
        <v/>
      </c>
      <c r="BJ1323" t="n">
        <v>15</v>
      </c>
      <c r="BK1323" t="inlineStr">
        <is>
          <t>Environmental Sciences; Public, Environmental &amp; Occupational Health</t>
        </is>
      </c>
      <c r="BL1323" t="inlineStr">
        <is>
          <t>Science Citation Index Expanded (SCI-EXPANDED); Social Science Citation Index (SSCI)</t>
        </is>
      </c>
      <c r="BM1323" t="inlineStr">
        <is>
          <t>Environmental Sciences &amp; Ecology; Public, Environmental &amp; Occupational Health</t>
        </is>
      </c>
      <c r="BN1323" t="inlineStr">
        <is>
          <t>0K9FT</t>
        </is>
      </c>
      <c r="BO1323" t="n">
        <v>35409927</v>
      </c>
      <c r="BP1323" t="inlineStr">
        <is>
          <t>gold, Green Accepted, Green Published</t>
        </is>
      </c>
      <c r="BS1323" t="inlineStr">
        <is>
          <t>2023-10-26</t>
        </is>
      </c>
      <c r="BT1323" t="inlineStr">
        <is>
          <t>WOS:000781093500001</t>
        </is>
      </c>
      <c r="BU1323">
        <f>HYPERLINK("https%3A%2F%2Fwww.webofscience.com%2Fwos%2Fwoscc%2Ffull-record%2FWOS:000781093500001","View Full Record in Web of Science")</f>
        <v/>
      </c>
    </row>
    <row r="1324">
      <c r="A1324" t="inlineStr">
        <is>
          <t>J</t>
        </is>
      </c>
      <c r="B1324" t="inlineStr">
        <is>
          <t>Triguero-Mas, M; Donaire-Gonzalez, D; Seto, E; Valentín, A; Smith, G; Martínez, D; Carrasco-Turigas, G; Masterson, D; van den Berg, M; Ambròs, A; Martínez-Iñiguez, T; Dedele, A; Hurst, G; Ellis, N; Grazulevicius, T; Voorsmit, M; Cirach, M; Cirac-Claveras, J; Swart, W; Clasquin, E; Maas, J; Wendel-Vos, W; Jerrett, M; Grazuleviciene, R; Kruize, H; Gidlow, CJ; Nieuwenhuijsen, MJ</t>
        </is>
      </c>
      <c r="F1324" t="inlineStr">
        <is>
          <t>Triguero-Mas, Margarita; Donaire-Gonzalez, David; Seto, Edmund; Valentin, Antonia; Smith, Graham; Martinez, David; Carrasco-Turigas, Gloria; Masterson, Daniel; van den Berg, Magdalena; Ambros, Albert; Martinez-Iniguez, Tania; Dedele, Audrius; Hurst, Gemma; Ellis, Naomi; Grazulevicius, Tomas; Voorsmit, Martin; Cirach, Marta; Cirac-Claveras, Judith; Swart, Wim; Clasquin, Eddy; Maas, Jolanda; Wendel-Vos, Wanda; Jerrett, Michael; Grazuleviciene, Regina; Kruize, Hanneke; Gidlow, Christopher J.; Nieuwenhuijsen, Mark J.</t>
        </is>
      </c>
      <c r="J1324" t="inlineStr">
        <is>
          <t>INTERNATIONAL JOURNAL OF ENVIRONMENTAL RESEARCH AND PUBLIC HEALTH</t>
        </is>
      </c>
      <c r="M1324" t="inlineStr">
        <is>
          <t>English</t>
        </is>
      </c>
      <c r="N1324" t="inlineStr">
        <is>
          <t>Article</t>
        </is>
      </c>
      <c r="T1324" t="inlineStr">
        <is>
          <t>Living Close to Natural Outdoor Environments in Four European Cities: Adults' Contact with the Environments and Physical Activity</t>
        </is>
      </c>
      <c r="U1324" t="inlineStr">
        <is>
          <t>green spaces; physical activity; natural outdoor environments</t>
        </is>
      </c>
      <c r="V1324" t="inlineStr">
        <is>
          <t>NEIGHBORHOOD GREEN SPACE; MENTAL-HEALTH; ACTIVITY INDOORS; ASSOCIATION; PARKS; PROXIMITY; COMMUNITY; SETTINGS; EXPOSURE; BENEFITS</t>
        </is>
      </c>
      <c r="W1324" t="inlineStr">
        <is>
          <t>This study investigated whether residential availability of natural outdoor environments (NOE) was associated with contact with NOE, overall physical activity and physical activity in NOE, in four different European cities using objective measures. A nested cross-sectional study was conducted in Barcelona (Spain); Stoke-on-Trent (United Kingdom); Doetinchem (The Netherlands); and Kaunas (Lithuania). Smartphones were used to collect information on the location and physical activity (overall and NOE) of around 100 residents of each city over seven days. We used Geographic Information Systems (GIS) to determine residential NOE availability (presence/absence of NOE within 300 m buffer from residence), contact with NOE (time spent in NOE), overall PA (total physical activity), NOE PA (total physical activity in NOE). Potential effect modifiers were investigated. Participants spent around 40 min in NOE and 80 min doing overall PA daily, of which 11% was in NOE. Having residential NOE availability was consistently linked with higher NOE contact during weekdays, but not to overall PA. Having residential NOE availability was related to NOE PA, especially for our Barcelona participants, people that lived in a city with low NOE availability.</t>
        </is>
      </c>
      <c r="X1324" t="inlineStr">
        <is>
          <t>[Triguero-Mas, Margarita; Donaire-Gonzalez, David; Valentin, Antonia; Martinez, David; Carrasco-Turigas, Gloria; Ambros, Albert; Martinez-Iniguez, Tania; Cirach, Marta; Cirac-Claveras, Judith; Nieuwenhuijsen, Mark J.] ISGlobal, Ctr Res Environm Epidemiol CREAL, Barcelona 08003, Spain; [Triguero-Mas, Margarita; Donaire-Gonzalez, David; Valentin, Antonia; Martinez, David; Carrasco-Turigas, Gloria; Ambros, Albert; Martinez-Iniguez, Tania; Cirach, Marta; Cirac-Claveras, Judith; Nieuwenhuijsen, Mark J.] Univ Pompeu Fabra, Barcelona 08003, Spain; [Triguero-Mas, Margarita; Donaire-Gonzalez, David; Valentin, Antonia; Martinez, David; Carrasco-Turigas, Gloria; Ambros, Albert; Martinez-Iniguez, Tania; Cirach, Marta; Cirac-Claveras, Judith; Nieuwenhuijsen, Mark J.] CIBER Epidemiol &amp; Salud Publ CIBERESP, Barcelona 08003, Spain; [Donaire-Gonzalez, David] Ramon Llull Univ, Phys Act &amp; Sports Sci Dept, Fundacio Blanquerna, Barcelona 08022, Spain; [Seto, Edmund] Univ Washington, Sch Publ Hlth, Dept Environm &amp; Occupat Hlth Sci, Seattle, WA 98195 USA; [Smith, Graham; Masterson, Daniel; Hurst, Gemma; Ellis, Naomi; Gidlow, Christopher J.] Staffordshire Univ, Ctr Sport Hlth &amp; Exercise Res, Stoke On Trent ST4 2DE, Staffs, England; [van den Berg, Magdalena; Voorsmit, Martin; Clasquin, Eddy; Maas, Jolanda] Vrije Univ Amsterdam, Med Ctr VUMC, Inst Hlth &amp; Care Res, Dept Publ &amp; Occupat Hlth, NL-1007 Amsterdam, Netherlands; [Dedele, Audrius; Grazulevicius, Tomas; Grazuleviciene, Regina] Vytauto Didziojo Univ, Dept Environm Sci, LT-44248 Kaunas, Lithuania; [Swart, Wim; Kruize, Hanneke] Natl Inst Publ Hlth &amp; Environm RIVM, Ctr Sustainabil Environm &amp; Hlth, NL-3720 Bilthoven, Netherlands; [Wendel-Vos, Wanda] Natl Inst Publ Hlth &amp; Environm RIVM, Ctr Nutr Prevent &amp; Hlth Serv, NL-3720 Bilthoven, Netherlands; [Jerrett, Michael] Univ Calif Los Angeles, Dept Environm Hlth Sci, Los Angeles, CA 90095 USA; [Jerrett, Michael] Univ Calif Los Angeles, Ctr Occupat &amp; Environm Hlth, Los Angeles, CA 90095 USA</t>
        </is>
      </c>
      <c r="Y1324" t="inlineStr">
        <is>
          <t>Pompeu Fabra University; ISGlobal; Pompeu Fabra University; CIBER - Centro de Investigacion Biomedica en Red; CIBERESP; Universitat Ramon Llull; University of Washington; University of Washington Seattle; Staffordshire University; Vrije Universiteit Amsterdam; Vytautas Magnus University; Netherlands National Institute for Public Health &amp; the Environment; Netherlands National Institute for Public Health &amp; the Environment; University of California System; University of California Los Angeles; University of California System; University of California Los Angeles</t>
        </is>
      </c>
      <c r="Z1324" t="inlineStr">
        <is>
          <t>Triguero-Mas, M (corresponding author), ISGlobal, Ctr Res Environm Epidemiol CREAL, Barcelona 08003, Spain.;Triguero-Mas, M (corresponding author), Univ Pompeu Fabra, Barcelona 08003, Spain.;Triguero-Mas, M (corresponding author), CIBER Epidemiol &amp; Salud Publ CIBERESP, Barcelona 08003, Spain.</t>
        </is>
      </c>
      <c r="AA1324" t="inlineStr">
        <is>
          <t>margarita.triguero@isglobal.org; david.donaire@isglobal.org; eseto@uw.edu; antonia.valentin@isglobal.org; G.R.Smith@staffs.ac.uk; david.martinez@isglobal.org; gloria.carrasco@isglobal.org; daniel@happia.me; mm.vandenberg@vumc.nl; albert.ambros@isglobal.org; tania.martinez@isglobal.org; adedele@gmf.vdu.lt; G.L.Hurst@staffs.ac.uk; n.j.ellis@staffs.ac.uk; t.grazulevicius@gmail.com; martin.voorsmit@gmail.com; marta.cirach@isglobal.org; txerms0@hotmail.com; wim.swart@rivm.nl; e.clasquin@gmail.com; jolandamaas@hotmail.com; wanda.vos@rivm.nl; mjerrett@ucla.edu; r.grazuleviciene@gmf.vdu.lt; hanneke.kruize@rivm.nl; C.Gidlow@staffs.ac.uk; mark.nieuwenhuijsen@isglobal.org</t>
        </is>
      </c>
      <c r="AB1324" t="inlineStr">
        <is>
          <t>Gidlow, Christopher James/C-5796-2018; Grazuleviciene, Regina/AAR-4539-2021; GONZALEZ, DAVID/JDD-2892-2023; Triguero Mas, Margarita/AAA-9148-2020; Jerrett, Michael/CAA-2482-2022; Gonzalez, David Donaire/AAB-9651-2020; Nieuwenhuijsen, Mark J/C-3914-2017; martinez, david/GQI-0849-2022; Gonzalez, David/IPU-3884-2023</t>
        </is>
      </c>
      <c r="AC1324" t="inlineStr">
        <is>
          <t>Gidlow, Christopher James/0000-0003-4990-4572; Grazuleviciene, Regina/0000-0002-0210-8053; Triguero Mas, Margarita/0000-0002-1580-2693; Gonzalez, David Donaire/0000-0003-2337-1712; Nieuwenhuijsen, Mark J/0000-0001-9461-7981; Wendel-Vos, Wanda/0000-0002-0653-3620; Ellis, Naomi/0000-0003-1909-4169; Martinez, David/0000-0001-7001-7674; Hurst, Gemma/0000-0001-6155-1189; Grazulevicius, Tomas/0009-0005-4418-3915</t>
        </is>
      </c>
      <c r="AD1324" t="inlineStr">
        <is>
          <t>European Community's Seventh Framework Programme [282996]; Catalan Government (AGAUR FI-DGR)</t>
        </is>
      </c>
      <c r="AE1324" t="inlineStr">
        <is>
          <t>European Community's Seventh Framework Programme(European Union (EU)); Catalan Government (AGAUR FI-DGR)</t>
        </is>
      </c>
      <c r="AF1324" t="inlineStr">
        <is>
          <t>This study was funded from the European Community's Seventh Framework Programme (FP/2007-2013) under grant agreement No: 282996 (ENV.2011.1.2.3-2). Margarita Triguero-Mas is funded by a pre-doctoral grant from the Catalan Government (AGAUR FI-DGR-2013).</t>
        </is>
      </c>
      <c r="AH1324" t="n">
        <v>62</v>
      </c>
      <c r="AI1324" t="n">
        <v>23</v>
      </c>
      <c r="AJ1324" t="n">
        <v>23</v>
      </c>
      <c r="AK1324" t="n">
        <v>2</v>
      </c>
      <c r="AL1324" t="n">
        <v>27</v>
      </c>
      <c r="AM1324" t="inlineStr">
        <is>
          <t>MDPI</t>
        </is>
      </c>
      <c r="AN1324" t="inlineStr">
        <is>
          <t>BASEL</t>
        </is>
      </c>
      <c r="AO1324" t="inlineStr">
        <is>
          <t>ST ALBAN-ANLAGE 66, CH-4052 BASEL, SWITZERLAND</t>
        </is>
      </c>
      <c r="AP1324" t="inlineStr">
        <is>
          <t>1660-4601</t>
        </is>
      </c>
      <c r="AS1324" t="inlineStr">
        <is>
          <t>INT J ENV RES PUB HE</t>
        </is>
      </c>
      <c r="AT1324" t="inlineStr">
        <is>
          <t>Int. J. Environ. Res. Public Health</t>
        </is>
      </c>
      <c r="AU1324" t="inlineStr">
        <is>
          <t>OCT</t>
        </is>
      </c>
      <c r="AV1324" t="n">
        <v>2017</v>
      </c>
      <c r="AW1324" t="n">
        <v>14</v>
      </c>
      <c r="AX1324" t="n">
        <v>10</v>
      </c>
      <c r="BE1324" t="n">
        <v>1162</v>
      </c>
      <c r="BF1324" t="inlineStr">
        <is>
          <t>10.3390/ijerph14101162</t>
        </is>
      </c>
      <c r="BG1324">
        <f>HYPERLINK("http://dx.doi.org/10.3390/ijerph14101162","http://dx.doi.org/10.3390/ijerph14101162")</f>
        <v/>
      </c>
      <c r="BJ1324" t="n">
        <v>21</v>
      </c>
      <c r="BK1324" t="inlineStr">
        <is>
          <t>Environmental Sciences; Public, Environmental &amp; Occupational Health</t>
        </is>
      </c>
      <c r="BL1324" t="inlineStr">
        <is>
          <t>Science Citation Index Expanded (SCI-EXPANDED); Social Science Citation Index (SSCI)</t>
        </is>
      </c>
      <c r="BM1324" t="inlineStr">
        <is>
          <t>Environmental Sciences &amp; Ecology; Public, Environmental &amp; Occupational Health</t>
        </is>
      </c>
      <c r="BN1324" t="inlineStr">
        <is>
          <t>FM1TF</t>
        </is>
      </c>
      <c r="BO1324" t="n">
        <v>28974010</v>
      </c>
      <c r="BP1324" t="inlineStr">
        <is>
          <t>Green Published, Green Submitted, gold, Green Accepted</t>
        </is>
      </c>
      <c r="BS1324" t="inlineStr">
        <is>
          <t>2023-10-26</t>
        </is>
      </c>
      <c r="BT1324" t="inlineStr">
        <is>
          <t>WOS:000414763200071</t>
        </is>
      </c>
      <c r="BU1324">
        <f>HYPERLINK("https%3A%2F%2Fwww.webofscience.com%2Fwos%2Fwoscc%2Ffull-record%2FWOS:000414763200071","View Full Record in Web of Science")</f>
        <v/>
      </c>
    </row>
    <row r="1325">
      <c r="A1325" t="inlineStr">
        <is>
          <t>J</t>
        </is>
      </c>
      <c r="B1325" t="inlineStr">
        <is>
          <t>Takemoto, M; Carlson, JA; Moran, K; Godbole, S; Crist, K; Kerr, J</t>
        </is>
      </c>
      <c r="F1325" t="inlineStr">
        <is>
          <t>Takemoto, Michelle; Carlson, Jordan A.; Moran, Kevin; Godbole, Suneeta; Crist, Katie; Kerr, Jacqueline</t>
        </is>
      </c>
      <c r="J1325" t="inlineStr">
        <is>
          <t>INTERNATIONAL JOURNAL OF ENVIRONMENTAL RESEARCH AND PUBLIC HEALTH</t>
        </is>
      </c>
      <c r="M1325" t="inlineStr">
        <is>
          <t>English</t>
        </is>
      </c>
      <c r="N1325" t="inlineStr">
        <is>
          <t>Article</t>
        </is>
      </c>
      <c r="T1325" t="inlineStr">
        <is>
          <t>Relationship between Objectively Measured Transportation Behaviors and Health Characteristics in Older Adults</t>
        </is>
      </c>
      <c r="U1325" t="inlineStr">
        <is>
          <t>physical mobility; life-space mobility; older adults; Global Positioning System (GPS); physical functioning; psychological functioning; cognitive functioning; health</t>
        </is>
      </c>
      <c r="V1325" t="inlineStr">
        <is>
          <t>MEASURING LIFE-SPACE; OF-HOME MOBILITY; COGNITIVE DECLINE; FALLS; MEMORY; TRAIL; ASSOCIATION; VALIDATION; VALIDITY; DISEASE</t>
        </is>
      </c>
      <c r="W1325" t="inlineStr">
        <is>
          <t>This study used objective Global Positioning Systems (GPS) to investigate the relationship between pedestrian and vehicle trips to physical, cognitive, and psychological functioning in older adults living in retirement communities. Older adults (N = 279; mean age = 83 +/- 6 years) wore a GPS and accelerometer for 6 days. Participants completed standard health measures. The Personal Activity and Location Measurement System (PALMS) was used to calculate the average daily number of trips, distance, and minutes traveled for pedestrian and vehicle trips from the combined GPS and accelerometer data. Linear mixed effects regression models explored relationships between these transportation variables and physical, psychological and cognitive functioning. Number, distance, and minutes of pedestrian trips were positively associated with physical and psychological functioning but not cognitive functioning. Number of vehicle trips was negatively associated with fear of falls; there were no other associations between the vehicle trip variables and functioning. Vehicle travel did not appear to be related to functioning in older adults in retirement communities except that fear of falling was related to number of vehicle trips. Pedestrian trips had moderate associations with multiple physical and psychological functioning measures, supporting a link between walking and many aspects of health in older adults.</t>
        </is>
      </c>
      <c r="X1325" t="inlineStr">
        <is>
          <t>[Takemoto, Michelle; Godbole, Suneeta; Crist, Katie; Kerr, Jacqueline] Univ Calif San Diego, Dept Family Med Publ Hlth, San Diego, CA 92093 USA; [Carlson, Jordan A.] Childrens Mercy Hosp, Ctr Childrens Healthy Lifestyles &amp; Nutr, Kansas City, MO 64148 USA; [Moran, Kevin] Northwestern Univ, Dept Prevent Med, Chicago, IL 60611 USA</t>
        </is>
      </c>
      <c r="Y1325" t="inlineStr">
        <is>
          <t>University of California System; University of California San Diego; Children's Mercy Hospital; Northwestern University</t>
        </is>
      </c>
      <c r="Z1325" t="inlineStr">
        <is>
          <t>Takemoto, M (corresponding author), Univ Calif San Diego, Dept Family Med Publ Hlth, San Diego, CA 92093 USA.</t>
        </is>
      </c>
      <c r="AA1325" t="inlineStr">
        <is>
          <t>miblack@ucsd.edu; jacarlson@cmh.edu; Kevin.Moran@northwestern.edu; sgodbole@ucsd.edu; kcrist@ucsd.edu; jkerr@ucsd.edu</t>
        </is>
      </c>
      <c r="AD1325" t="inlineStr">
        <is>
          <t>National Heart, Lung, and Blood Institute, NIH [R01 10152583]; NIH [T32 HL79891]</t>
        </is>
      </c>
      <c r="AE1325" t="inlineStr">
        <is>
          <t>National Heart, Lung, and Blood Institute, NIH(United States Department of Health &amp; Human ServicesNational Institutes of Health (NIH) - USANIH National Heart Lung &amp; Blood Institute (NHLBI)); NIH(United States Department of Health &amp; Human ServicesNational Institutes of Health (NIH) - USA)</t>
        </is>
      </c>
      <c r="AF1325" t="inlineStr">
        <is>
          <t>This study was funded by the National Heart, Lung, and Blood Institute, NIH. (R01 10152583). Jordan A. Carlson received funding from NIH grant T32 HL79891.</t>
        </is>
      </c>
      <c r="AH1325" t="n">
        <v>50</v>
      </c>
      <c r="AI1325" t="n">
        <v>23</v>
      </c>
      <c r="AJ1325" t="n">
        <v>23</v>
      </c>
      <c r="AK1325" t="n">
        <v>0</v>
      </c>
      <c r="AL1325" t="n">
        <v>14</v>
      </c>
      <c r="AM1325" t="inlineStr">
        <is>
          <t>MDPI</t>
        </is>
      </c>
      <c r="AN1325" t="inlineStr">
        <is>
          <t>BASEL</t>
        </is>
      </c>
      <c r="AO1325" t="inlineStr">
        <is>
          <t>ST ALBAN-ANLAGE 66, CH-4052 BASEL, SWITZERLAND</t>
        </is>
      </c>
      <c r="AP1325" t="inlineStr">
        <is>
          <t>1660-4601</t>
        </is>
      </c>
      <c r="AS1325" t="inlineStr">
        <is>
          <t>INT J ENV RES PUB HE</t>
        </is>
      </c>
      <c r="AT1325" t="inlineStr">
        <is>
          <t>Int. J. Environ. Res. Public Health</t>
        </is>
      </c>
      <c r="AU1325" t="inlineStr">
        <is>
          <t>NOV</t>
        </is>
      </c>
      <c r="AV1325" t="n">
        <v>2015</v>
      </c>
      <c r="AW1325" t="n">
        <v>12</v>
      </c>
      <c r="AX1325" t="n">
        <v>11</v>
      </c>
      <c r="BC1325" t="n">
        <v>13923</v>
      </c>
      <c r="BD1325" t="n">
        <v>13937</v>
      </c>
      <c r="BF1325" t="inlineStr">
        <is>
          <t>10.3390/ijerph121113923</t>
        </is>
      </c>
      <c r="BG1325">
        <f>HYPERLINK("http://dx.doi.org/10.3390/ijerph121113923","http://dx.doi.org/10.3390/ijerph121113923")</f>
        <v/>
      </c>
      <c r="BJ1325" t="n">
        <v>15</v>
      </c>
      <c r="BK1325" t="inlineStr">
        <is>
          <t>Environmental Sciences; Public, Environmental &amp; Occupational Health</t>
        </is>
      </c>
      <c r="BL1325" t="inlineStr">
        <is>
          <t>Science Citation Index Expanded (SCI-EXPANDED); Social Science Citation Index (SSCI)</t>
        </is>
      </c>
      <c r="BM1325" t="inlineStr">
        <is>
          <t>Environmental Sciences &amp; Ecology; Public, Environmental &amp; Occupational Health</t>
        </is>
      </c>
      <c r="BN1325" t="inlineStr">
        <is>
          <t>CX4CJ</t>
        </is>
      </c>
      <c r="BO1325" t="n">
        <v>26528999</v>
      </c>
      <c r="BP1325" t="inlineStr">
        <is>
          <t>Green Published, gold, Green Submitted</t>
        </is>
      </c>
      <c r="BS1325" t="inlineStr">
        <is>
          <t>2023-10-26</t>
        </is>
      </c>
      <c r="BT1325" t="inlineStr">
        <is>
          <t>WOS:000365645500019</t>
        </is>
      </c>
      <c r="BU1325">
        <f>HYPERLINK("https%3A%2F%2Fwww.webofscience.com%2Fwos%2Fwoscc%2Ffull-record%2FWOS:000365645500019","View Full Record in Web of Science")</f>
        <v/>
      </c>
    </row>
    <row r="1326">
      <c r="A1326" t="inlineStr">
        <is>
          <t>J</t>
        </is>
      </c>
      <c r="B1326" t="inlineStr">
        <is>
          <t>Klempel, N; Blackburn, NE; McMullan, IL; Wilson, JJ; Smith, L; Cunningham, C; O'Sullivan, R; Caserotti, P; Tully, MA</t>
        </is>
      </c>
      <c r="F1326" t="inlineStr">
        <is>
          <t>Klempel, Natalie; Blackburn, Nicole E.; McMullan, Ilona L.; Wilson, Jason J.; Smith, Lee; Cunningham, Conor; O'Sullivan, Roger; Caserotti, Paolo; Tully, Mark A.</t>
        </is>
      </c>
      <c r="J1326" t="inlineStr">
        <is>
          <t>INTERNATIONAL JOURNAL OF ENVIRONMENTAL RESEARCH AND PUBLIC HEALTH</t>
        </is>
      </c>
      <c r="M1326" t="inlineStr">
        <is>
          <t>English</t>
        </is>
      </c>
      <c r="N1326" t="inlineStr">
        <is>
          <t>Review</t>
        </is>
      </c>
      <c r="T1326" t="inlineStr">
        <is>
          <t>The Effect of Chair-Based Exercise on Physical Function in Older Adults: A Systematic Review and Meta-Analysis</t>
        </is>
      </c>
      <c r="U1326" t="inlineStr">
        <is>
          <t>chair-based exercise; physical function; older adults; systematic review</t>
        </is>
      </c>
      <c r="V1326" t="inlineStr">
        <is>
          <t>RANDOMIZED CONTROLLED-TRIAL; SKELETAL-MUSCLE; YOGA; PEOPLE; BALANCE; FITNESS; IMMOBILIZATION; STRENGTH; PROGRAMS; QUALITY</t>
        </is>
      </c>
      <c r="W1326" t="inlineStr">
        <is>
          <t>Physical activity is an important determinant of health in later life. The public health restrictions in response to COVID-19 have interrupted habitual physical activity behaviours in older adults. In response, numerous exercise programmes have been developed for older adults, many involving chair-based exercise. The aim of this systematic review was to synthesise the effects of chair-based exercise on the health of older adults. Ovid Medline, EMBASE, CINAHL, AMED, PyscInfo and SPORTDiscus databases were searched from inception to 1 April 2020. Chair-based exercise programmes in adults &gt;= 50 years, lasting for at least 2 weeks and measuring the impact on physical function were included. Risk of bias of included studies were assessed using Cochrane risk of bias tool v2. Intervention content was described using TiDieR Criteria. Where sufficient studies (&gt;= 3 studies) reported data on an outcome, a random effects meta-analysis was performed. In total, 25 studies were included, with 19 studies in the meta-analyses. Seventeen studies had a low risk of bias and five had a high risk of bias. In this systematic review including 1388 participants, results demonstrated that chair-based exercise programmes improve upper extremity (handgrip strength: MD = 2.10; 95% CI = 0.76, 3.43 and 30 s arm curl test: MD = 2.82; 95% CI = 1.34, 4.31) and lower extremity function (30 s chair stand: MD 2.25; 95% CI = 0.64, 3.86). The findings suggest that chair-based exercises are effective and should be promoted as simple and easily implemented activities to maintain and develop strength for older adults.</t>
        </is>
      </c>
      <c r="X1326" t="inlineStr">
        <is>
          <t>[Klempel, Natalie; Blackburn, Nicole E.; McMullan, Ilona L.; Wilson, Jason J.] Ulster Univ, Inst Nursing &amp; Hlth Res, Sch Hlth Sci, Newtownabbey BT37 0QB, Antrim, North Ireland; [Wilson, Jason J.] Sport &amp; Exercise Sci Res Inst, Sch Sport, Newtownabbey BT37 0QB, Antrim, North Ireland; [Wilson, Jason J.; Tully, Mark A.] Univ Ulster, Inst Mental Hlth Sci, Sch Hlth Sci, Newtownabbey BT37 0QB, Antrim, North Ireland; [Smith, Lee] Anglia Ruskin Univ, Cambridge Ctr Sport &amp; Exercise Sci, Cambridge CB1 1PT, England; [Cunningham, Conor] Inst Publ Hlth, City Exchange, 11-13 Gloucester St, Belfast BT1 4LS, Antrim, North Ireland; [O'Sullivan, Roger] Ulster Univ, Bamford Ctr Mental Hlth &amp; Wellbeing, Coleraine BT52 1SA, Londonderry, North Ireland; [Caserotti, Paolo] Univ Southern Denmark, Dept Sports Sci &amp; Clin Biomech, Ctr Act &amp; Hlth Ageing, Campusvej 55, DK-5230 Odense, Denmark</t>
        </is>
      </c>
      <c r="Y1326" t="inlineStr">
        <is>
          <t>Ulster University; Ulster University; Anglia Ruskin University; Ulster University; University of Southern Denmark</t>
        </is>
      </c>
      <c r="Z1326" t="inlineStr">
        <is>
          <t>Tully, MA (corresponding author), Univ Ulster, Inst Mental Hlth Sci, Sch Hlth Sci, Newtownabbey BT37 0QB, Antrim, North Ireland.</t>
        </is>
      </c>
      <c r="AA1326" t="inlineStr">
        <is>
          <t>Klempel-N@ulster.ac.uk; ne.blackburn@ulster.ac.uk; McMullan-I2@ulster.ac.uk; jj.wilson@ulster.ac.uk; Lee.Smith@aru.ac.uk; conor.cunningham@publichealth.ie; Roger.OSullivan@publichealth.ie; PCaserotti@health.sdu.dk; m.tully@ulster.ac.uk</t>
        </is>
      </c>
      <c r="AB1326" t="inlineStr">
        <is>
          <t>Caserotti, Paolo/JFA-7287-2023; Tully, Mark/AAB-2939-2019</t>
        </is>
      </c>
      <c r="AC1326" t="inlineStr">
        <is>
          <t>Caserotti, Paolo/0000-0002-0476-5786; Tully, Mark/0000-0001-9710-4014; Klempel, Natalie/0000-0001-7937-6470; Blackburn, Nicole/0000-0003-4379-6312; Smith, Lee/0000-0002-5340-9833; Wilson, Jason/0000-0001-5558-8399</t>
        </is>
      </c>
      <c r="AD1326" t="inlineStr">
        <is>
          <t>European Union program Horizon 2020 (H2020) as part of the SITLESS consortium [634270]; H2020 Societal Challenges Programme [634270] Funding Source: H2020 Societal Challenges Programme</t>
        </is>
      </c>
      <c r="AE1326" t="inlineStr">
        <is>
          <t>European Union program Horizon 2020 (H2020) as part of the SITLESS consortium; H2020 Societal Challenges Programme(Horizon 2020)</t>
        </is>
      </c>
      <c r="AF1326" t="inlineStr">
        <is>
          <t>M.A.T., N.K., N.E.B., J.J.W., I.L.M. and P.C. were supported and funded by the European Union program Horizon 2020 (H2020-Grant 634270) as part of the SITLESS consortium. The funders had no role in study design, data analysis and interpretation, or preparation of the manuscript.</t>
        </is>
      </c>
      <c r="AH1326" t="n">
        <v>48</v>
      </c>
      <c r="AI1326" t="n">
        <v>13</v>
      </c>
      <c r="AJ1326" t="n">
        <v>13</v>
      </c>
      <c r="AK1326" t="n">
        <v>1</v>
      </c>
      <c r="AL1326" t="n">
        <v>17</v>
      </c>
      <c r="AM1326" t="inlineStr">
        <is>
          <t>MDPI</t>
        </is>
      </c>
      <c r="AN1326" t="inlineStr">
        <is>
          <t>BASEL</t>
        </is>
      </c>
      <c r="AO1326" t="inlineStr">
        <is>
          <t>ST ALBAN-ANLAGE 66, CH-4052 BASEL, SWITZERLAND</t>
        </is>
      </c>
      <c r="AQ1326" t="inlineStr">
        <is>
          <t>1660-4601</t>
        </is>
      </c>
      <c r="AS1326" t="inlineStr">
        <is>
          <t>INT J ENV RES PUB HE</t>
        </is>
      </c>
      <c r="AT1326" t="inlineStr">
        <is>
          <t>Int. J. Environ. Res. Public Health</t>
        </is>
      </c>
      <c r="AU1326" t="inlineStr">
        <is>
          <t>FEB</t>
        </is>
      </c>
      <c r="AV1326" t="n">
        <v>2021</v>
      </c>
      <c r="AW1326" t="n">
        <v>18</v>
      </c>
      <c r="AX1326" t="n">
        <v>4</v>
      </c>
      <c r="BE1326" t="n">
        <v>1902</v>
      </c>
      <c r="BF1326" t="inlineStr">
        <is>
          <t>10.3390/ijerph18041902</t>
        </is>
      </c>
      <c r="BG1326">
        <f>HYPERLINK("http://dx.doi.org/10.3390/ijerph18041902","http://dx.doi.org/10.3390/ijerph18041902")</f>
        <v/>
      </c>
      <c r="BJ1326" t="n">
        <v>17</v>
      </c>
      <c r="BK1326" t="inlineStr">
        <is>
          <t>Environmental Sciences; Public, Environmental &amp; Occupational Health</t>
        </is>
      </c>
      <c r="BL1326" t="inlineStr">
        <is>
          <t>Science Citation Index Expanded (SCI-EXPANDED); Social Science Citation Index (SSCI)</t>
        </is>
      </c>
      <c r="BM1326" t="inlineStr">
        <is>
          <t>Environmental Sciences &amp; Ecology; Public, Environmental &amp; Occupational Health</t>
        </is>
      </c>
      <c r="BN1326" t="inlineStr">
        <is>
          <t>QP1EY</t>
        </is>
      </c>
      <c r="BO1326" t="n">
        <v>33669357</v>
      </c>
      <c r="BP1326" t="inlineStr">
        <is>
          <t>Green Published, gold, Green Accepted</t>
        </is>
      </c>
      <c r="BS1326" t="inlineStr">
        <is>
          <t>2023-10-26</t>
        </is>
      </c>
      <c r="BT1326" t="inlineStr">
        <is>
          <t>WOS:000623580900001</t>
        </is>
      </c>
      <c r="BU1326">
        <f>HYPERLINK("https%3A%2F%2Fwww.webofscience.com%2Fwos%2Fwoscc%2Ffull-record%2FWOS:000623580900001","View Full Record in Web of Science")</f>
        <v/>
      </c>
    </row>
    <row r="1327">
      <c r="A1327" t="inlineStr">
        <is>
          <t>J</t>
        </is>
      </c>
      <c r="B1327" t="inlineStr">
        <is>
          <t>Lin, JY; Zhuang, YY; Zhao, Y; Li, H; He, XY; Lu, SY</t>
        </is>
      </c>
      <c r="F1327" t="inlineStr">
        <is>
          <t>Lin, Jinyao; Zhuang, Yaye; Zhao, Yang; Li, Hua; He, Xiaoyu; Lu, Siyan</t>
        </is>
      </c>
      <c r="J1327" t="inlineStr">
        <is>
          <t>INTERNATIONAL JOURNAL OF ENVIRONMENTAL RESEARCH AND PUBLIC HEALTH</t>
        </is>
      </c>
      <c r="M1327" t="inlineStr">
        <is>
          <t>English</t>
        </is>
      </c>
      <c r="N1327" t="inlineStr">
        <is>
          <t>Article</t>
        </is>
      </c>
      <c r="T1327" t="inlineStr">
        <is>
          <t>Measuring the Non-Linear Relationship between Three-Dimensional Built Environment and Urban Vitality Based on a Random Forest Model</t>
        </is>
      </c>
      <c r="U1327" t="inlineStr">
        <is>
          <t>three-dimensional built environment; urban vitality; vertical urban planning; machine learning</t>
        </is>
      </c>
      <c r="V1327" t="inlineStr">
        <is>
          <t>SOCIAL NETWORKS; BUILDING HEIGHT; JANE JACOBS; LAND USES; BIG DATA; VIBRANCY; ASSOCIATION; BARCELONA; SHENZHEN; DENSITY</t>
        </is>
      </c>
      <c r="W1327" t="inlineStr">
        <is>
          <t>Urban vitality is a major indicator used for evaluating the sustainability and attractiveness of an urban environment. Global experience indicates that urban vitality can be stimulated through a reasonable urban design. However, it remains incompletely understood in the literature which building-related indicators can substantially affect urban vitality in Asian countries. To give an insight into this question, our study took a step forward by focusing specifically on the influence of the three-dimensional built environment on urban vitality, based on which decision makers could enhance urban vitality from the perspective of vertical building design. A machine-learning-based framework was developed in this study. First, we utilized several building-related indicators to thoroughly measure the spatial characteristics of buildings at the township level. Second, the relationship between a three-dimensional built environment and urban vitality was revealed based on a combined use of the correlation method, scatter charts, and a random forest. In the random forest, both a benchmark and a new model were constructed to evaluate the importance of those building-related indicators. The results suggested that urban vitality was closely related to the three-dimensional built environment, which played an even more important role than common benchmark factors in stimulating urban vitality. The building coverage ratio, density of tall buildings, and floor area ratio were essential spatial drivers behind urban vitality. Therefore, urban designers and decision makers should not only take traditional factors into account but also carefully consider the potential influence of high-rise buildings and the outdoor thermal environment so that urban vitality can be enhanced. Our study's results can offer practical recommendations for improving urban vitality from the perspective of vertical building design. The proposed framework can also be used for measuring the potential influence of the three-dimensional built environment in other areas.</t>
        </is>
      </c>
      <c r="X1327" t="inlineStr">
        <is>
          <t>[Lin, Jinyao; Zhuang, Yaye; Zhao, Yang; Li, Hua; He, Xiaoyu; Lu, Siyan] Guangzhou Univ, Sch Geog &amp; Remote Sensing, Guangzhou 510006, Peoples R China</t>
        </is>
      </c>
      <c r="Y1327" t="inlineStr">
        <is>
          <t>Guangzhou University</t>
        </is>
      </c>
      <c r="Z1327" t="inlineStr">
        <is>
          <t>Lin, JY (corresponding author), Guangzhou Univ, Sch Geog &amp; Remote Sensing, Guangzhou 510006, Peoples R China.</t>
        </is>
      </c>
      <c r="AA1327" t="inlineStr">
        <is>
          <t>ljy2012@gzhu.edu.cn</t>
        </is>
      </c>
      <c r="AB1327" t="inlineStr">
        <is>
          <t>yang, kun/JGM-4169-2023; Lin, Jinyao/AAZ-3574-2020; Wang, Xintong/JJE-1189-2023; huaye, li/HIZ-6242-2022</t>
        </is>
      </c>
      <c r="AC1327" t="inlineStr">
        <is>
          <t>Lin, Jinyao/0000-0001-5048-6510;</t>
        </is>
      </c>
      <c r="AD1327" t="inlineStr">
        <is>
          <t>National Natural Science Foundation of China; National College Students Innovation and Entrepreneurship Training Program; Guangzhou Municipal Science and Technology Project; [41801307]; [S202111078001]; [202201010289]</t>
        </is>
      </c>
      <c r="AE1327" t="inlineStr">
        <is>
          <t>National Natural Science Foundation of China(National Natural Science Foundation of China (NSFC)); National College Students Innovation and Entrepreneurship Training Program; Guangzhou Municipal Science and Technology Project; ; ;</t>
        </is>
      </c>
      <c r="AF1327" t="inlineStr">
        <is>
          <t>This research was funded by the National Natural Science Foundation of China (grant no. 41801307), the National College Students Innovation and Entrepreneurship Training Program (grant no. S202111078001), and the Guangzhou Municipal Science and Technology Project (grant no. 202201010289).</t>
        </is>
      </c>
      <c r="AH1327" t="n">
        <v>81</v>
      </c>
      <c r="AI1327" t="n">
        <v>2</v>
      </c>
      <c r="AJ1327" t="n">
        <v>2</v>
      </c>
      <c r="AK1327" t="n">
        <v>28</v>
      </c>
      <c r="AL1327" t="n">
        <v>54</v>
      </c>
      <c r="AM1327" t="inlineStr">
        <is>
          <t>MDPI</t>
        </is>
      </c>
      <c r="AN1327" t="inlineStr">
        <is>
          <t>BASEL</t>
        </is>
      </c>
      <c r="AO1327" t="inlineStr">
        <is>
          <t>ST ALBAN-ANLAGE 66, CH-4052 BASEL, SWITZERLAND</t>
        </is>
      </c>
      <c r="AQ1327" t="inlineStr">
        <is>
          <t>1660-4601</t>
        </is>
      </c>
      <c r="AS1327" t="inlineStr">
        <is>
          <t>INT J ENV RES PUB HE</t>
        </is>
      </c>
      <c r="AT1327" t="inlineStr">
        <is>
          <t>Int. J. Environ. Res. Public Health</t>
        </is>
      </c>
      <c r="AU1327" t="inlineStr">
        <is>
          <t>JAN</t>
        </is>
      </c>
      <c r="AV1327" t="n">
        <v>2023</v>
      </c>
      <c r="AW1327" t="n">
        <v>20</v>
      </c>
      <c r="AX1327" t="n">
        <v>1</v>
      </c>
      <c r="BE1327" t="n">
        <v>734</v>
      </c>
      <c r="BF1327" t="inlineStr">
        <is>
          <t>10.3390/ijerph20010734</t>
        </is>
      </c>
      <c r="BG1327">
        <f>HYPERLINK("http://dx.doi.org/10.3390/ijerph20010734","http://dx.doi.org/10.3390/ijerph20010734")</f>
        <v/>
      </c>
      <c r="BJ1327" t="n">
        <v>18</v>
      </c>
      <c r="BK1327" t="inlineStr">
        <is>
          <t>Environmental Sciences; Public, Environmental &amp; Occupational Health</t>
        </is>
      </c>
      <c r="BL1327" t="inlineStr">
        <is>
          <t>Science Citation Index Expanded (SCI-EXPANDED); Social Science Citation Index (SSCI)</t>
        </is>
      </c>
      <c r="BM1327" t="inlineStr">
        <is>
          <t>Environmental Sciences &amp; Ecology; Public, Environmental &amp; Occupational Health</t>
        </is>
      </c>
      <c r="BN1327" t="inlineStr">
        <is>
          <t>7Q3OH</t>
        </is>
      </c>
      <c r="BO1327" t="n">
        <v>36613053</v>
      </c>
      <c r="BP1327" t="inlineStr">
        <is>
          <t>gold, Green Published</t>
        </is>
      </c>
      <c r="BS1327" t="inlineStr">
        <is>
          <t>2023-10-26</t>
        </is>
      </c>
      <c r="BT1327" t="inlineStr">
        <is>
          <t>WOS:000909303900001</t>
        </is>
      </c>
      <c r="BU1327">
        <f>HYPERLINK("https%3A%2F%2Fwww.webofscience.com%2Fwos%2Fwoscc%2Ffull-record%2FWOS:000909303900001","View Full Record in Web of Science")</f>
        <v/>
      </c>
    </row>
    <row r="1328">
      <c r="A1328" t="inlineStr">
        <is>
          <t>J</t>
        </is>
      </c>
      <c r="B1328" t="inlineStr">
        <is>
          <t>Hou, X; Liu, JM; Tang, ZY; Ruan, B; Cao, XY</t>
        </is>
      </c>
      <c r="F1328" t="inlineStr">
        <is>
          <t>Hou, Xiao; Liu, Jing-Min; Tang, Zheng-Yan; Ruan, Bing; Cao, Xu-Yao</t>
        </is>
      </c>
      <c r="J1328" t="inlineStr">
        <is>
          <t>INTERNATIONAL JOURNAL OF ENVIRONMENTAL RESEARCH AND PUBLIC HEALTH</t>
        </is>
      </c>
      <c r="M1328" t="inlineStr">
        <is>
          <t>English</t>
        </is>
      </c>
      <c r="N1328" t="inlineStr">
        <is>
          <t>Article</t>
        </is>
      </c>
      <c r="T1328" t="inlineStr">
        <is>
          <t>The Gender Difference in Association between Home-Based Environment and Different Physical Behaviors of Chinese Adolescents</t>
        </is>
      </c>
      <c r="U1328" t="inlineStr">
        <is>
          <t>home-based environment; adolescents; physical behaviors; physical activity; accelerometer</t>
        </is>
      </c>
      <c r="V1328" t="inlineStr">
        <is>
          <t>BALANCE-RELATED BEHAVIORS; SEDENTARY BEHAVIOR; UNITED-STATES; TIME; SCHOOL; CHILDRENS; YOUTH; PATTERNS; FAMILY; PARTICIPATION</t>
        </is>
      </c>
      <c r="W1328" t="inlineStr">
        <is>
          <t>Purpose: The aim of this study was to evaluate the home-based physical activity (PA) environmental characteristics, and different types of physical behavior level of adolescents in different genders, and explore the impact of different domains of home-based PA environmental factors on different physical behaviors of adolescents in different genders. Methods: Five hundred forty-four adolescents aged from 12 to 18 years old (males: n = 358, females: n = 186) and their parents were analyzed in this cross-sectional survey. The volume of various physical behaviors of all adolescent subjects were measured by the ActiGraph wGT3X-BT accelerometer, and the level in different domains of home-based environmental characteristics were assessed by the Gattshall's home-based PA environment questionnaire, which was answered by adolescents' parents. The difference in the volume of different physical behaviors was examined using Kruskal-Wallis analysis. The difference in home physical environment and home social environment for adolescents was examined using one-way analysis of variance (ANOVA). Multiple linear regression analysis in the adjusted model was used to evaluate the influence of different home-based PA environmental domains (PA availability, PA accessibility, Parental role-modeling of PA, and Parental policies around PA) on different physical behaviors (sedentary behavior, SB; light-intensity physical activity, LPA; and moderate-vigorous physical activity, MVPA) of adolescents (boys and girls). Results: The volume of LPA and MVPA, the score of PA accessibility in the home physical environment, and the score of home social environment of boys are significantly higher than those of girls, while the SB volume of boys is significantly lower than that of girls. The PA availability, the parents' role-modeling of PA in same-sex parent-child dyads, and the parents' policies around PA in opposite-sex parent-child dyads are significantly associated with adolescents' decreased SB and increased LPA and MVPA. Conclusion: There is significant gender difference in adolescents' physical behaviors and home-based environmental characteristics, as well as in the association between adolescents' physical behaviors and their home-based environment. The PA availability, the parents' role-modeling of PA in same-sex parent-child dyads, and the parents' policies around PA in opposite-sex parent-child dyads can significantly promote adolescents' healthy physical behaviors.</t>
        </is>
      </c>
      <c r="X1328" t="inlineStr">
        <is>
          <t>[Hou, Xiao; Liu, Jing-Min; Tang, Zheng-Yan; Cao, Xu-Yao] Tsinghua Univ, Dept Sports Sci &amp; Phys Educ, Beijing 100084, Peoples R China; [Ruan, Bing] Beijing Sport Univ, Sch Sports Med &amp; Phys Therapy, Beijing 100084, Peoples R China</t>
        </is>
      </c>
      <c r="Y1328" t="inlineStr">
        <is>
          <t>Tsinghua University; Beijing Sport University</t>
        </is>
      </c>
      <c r="Z1328" t="inlineStr">
        <is>
          <t>Liu, JM (corresponding author), Tsinghua Univ, Dept Sports Sci &amp; Phys Educ, Beijing 100084, Peoples R China.</t>
        </is>
      </c>
      <c r="AA1328" t="inlineStr">
        <is>
          <t>houxiao18@mails.tsinghua.edu.cn; ljm_th@mail.tsinghua.edu.cn; tangzy19@mails.tsinghua.edu.cn; ruanbing@bsu.edu.cn; cao-xy17@mails.tsinghua.edu.cn</t>
        </is>
      </c>
      <c r="AC1328" t="inlineStr">
        <is>
          <t>Hou, Xiao/0000-0002-9198-4468; Ruan, Bing/0000-0002-3818-148X</t>
        </is>
      </c>
      <c r="AD1328" t="inlineStr">
        <is>
          <t>National Social Science Fund of China (Planning Subject for the 13th Five Year Plan of National Education Sciences) [BLA180218]</t>
        </is>
      </c>
      <c r="AE1328" t="inlineStr">
        <is>
          <t>National Social Science Fund of China (Planning Subject for the 13th Five Year Plan of National Education Sciences)</t>
        </is>
      </c>
      <c r="AF1328" t="inlineStr">
        <is>
          <t>This research was funded by the National Social Science Fund of China (Planning Subject for the 13th Five Year Plan of National Education Sciences), grant number BLA180218.</t>
        </is>
      </c>
      <c r="AH1328" t="n">
        <v>64</v>
      </c>
      <c r="AI1328" t="n">
        <v>5</v>
      </c>
      <c r="AJ1328" t="n">
        <v>5</v>
      </c>
      <c r="AK1328" t="n">
        <v>1</v>
      </c>
      <c r="AL1328" t="n">
        <v>15</v>
      </c>
      <c r="AM1328" t="inlineStr">
        <is>
          <t>MDPI</t>
        </is>
      </c>
      <c r="AN1328" t="inlineStr">
        <is>
          <t>BASEL</t>
        </is>
      </c>
      <c r="AO1328" t="inlineStr">
        <is>
          <t>ST ALBAN-ANLAGE 66, CH-4052 BASEL, SWITZERLAND</t>
        </is>
      </c>
      <c r="AQ1328" t="inlineStr">
        <is>
          <t>1660-4601</t>
        </is>
      </c>
      <c r="AS1328" t="inlineStr">
        <is>
          <t>INT J ENV RES PUB HE</t>
        </is>
      </c>
      <c r="AT1328" t="inlineStr">
        <is>
          <t>Int. J. Environ. Res. Public Health</t>
        </is>
      </c>
      <c r="AU1328" t="inlineStr">
        <is>
          <t>NOV</t>
        </is>
      </c>
      <c r="AV1328" t="n">
        <v>2020</v>
      </c>
      <c r="AW1328" t="n">
        <v>17</v>
      </c>
      <c r="AX1328" t="n">
        <v>21</v>
      </c>
      <c r="BE1328" t="n">
        <v>8120</v>
      </c>
      <c r="BF1328" t="inlineStr">
        <is>
          <t>10.3390/ijerph17218120</t>
        </is>
      </c>
      <c r="BG1328">
        <f>HYPERLINK("http://dx.doi.org/10.3390/ijerph17218120","http://dx.doi.org/10.3390/ijerph17218120")</f>
        <v/>
      </c>
      <c r="BJ1328" t="n">
        <v>15</v>
      </c>
      <c r="BK1328" t="inlineStr">
        <is>
          <t>Environmental Sciences; Public, Environmental &amp; Occupational Health</t>
        </is>
      </c>
      <c r="BL1328" t="inlineStr">
        <is>
          <t>Science Citation Index Expanded (SCI-EXPANDED); Social Science Citation Index (SSCI)</t>
        </is>
      </c>
      <c r="BM1328" t="inlineStr">
        <is>
          <t>Environmental Sciences &amp; Ecology; Public, Environmental &amp; Occupational Health</t>
        </is>
      </c>
      <c r="BN1328" t="inlineStr">
        <is>
          <t>OQ9WD</t>
        </is>
      </c>
      <c r="BO1328" t="n">
        <v>33153172</v>
      </c>
      <c r="BP1328" t="inlineStr">
        <is>
          <t>Green Published, gold</t>
        </is>
      </c>
      <c r="BS1328" t="inlineStr">
        <is>
          <t>2023-10-26</t>
        </is>
      </c>
      <c r="BT1328" t="inlineStr">
        <is>
          <t>WOS:000589126200001</t>
        </is>
      </c>
      <c r="BU1328">
        <f>HYPERLINK("https%3A%2F%2Fwww.webofscience.com%2Fwos%2Fwoscc%2Ffull-record%2FWOS:000589126200001","View Full Record in Web of Science")</f>
        <v/>
      </c>
    </row>
    <row r="1329">
      <c r="A1329" t="inlineStr">
        <is>
          <t>J</t>
        </is>
      </c>
      <c r="B1329" t="inlineStr">
        <is>
          <t>Chen, LJ; Li, YA; Yang, QY</t>
        </is>
      </c>
      <c r="F1329" t="inlineStr">
        <is>
          <t>Chen, Lijuan; Li, Yiang; Yang, Qiuyue</t>
        </is>
      </c>
      <c r="J1329" t="inlineStr">
        <is>
          <t>INTERNATIONAL JOURNAL OF ENVIRONMENTAL RESEARCH AND PUBLIC HEALTH</t>
        </is>
      </c>
      <c r="M1329" t="inlineStr">
        <is>
          <t>English</t>
        </is>
      </c>
      <c r="N1329" t="inlineStr">
        <is>
          <t>Article</t>
        </is>
      </c>
      <c r="T1329" t="inlineStr">
        <is>
          <t>The Effect of Grandparenting on the Depression and Life Satisfaction among Middle-Aged and Older Chinese Adults</t>
        </is>
      </c>
      <c r="U1329" t="inlineStr">
        <is>
          <t>grandparenting; well-being; life satisfaction; older adults; China</t>
        </is>
      </c>
      <c r="V1329" t="inlineStr">
        <is>
          <t>GRANDMOTHERS RAISING GRANDCHILDREN; LIVING ARRANGEMENTS; CONTEMPORARY CHINA; HEALTH; CARE; CHILDREN; SYMPTOMS; PARENTS; IMPACT; CONSEQUENCES</t>
        </is>
      </c>
      <c r="W1329" t="inlineStr">
        <is>
          <t>Given the prevalence of depressive mental health symptoms among Chinese adults of grandparenting age in recent decades, a better understanding of how depression and life satisfaction among middle-aged and older adults in China are affected by their role as grandparents is called for. This study examines the relationship between grandparenting and depression and life satisfaction among Chinese adults using multilevel regression models based on a multilevel matching dataset formulated from the 2018 China Health and Retirement Longitudinal Study (CHARLS) and the 2018 China City Statistical Yearbook. The results show that for adults who take care of their grandchildren, living with their children can significantly reduce depression. Meanwhile, whereas spending more time taking care of grandchildren can lower life satisfaction, taking care of more grandchildren is related to higher life satisfaction. The findings of this study should help policymakers improve the quality of life of Chinese adults through better-targeted approaches.</t>
        </is>
      </c>
      <c r="X1329" t="inlineStr">
        <is>
          <t>[Chen, Lijuan] Nanjing Univ Posts &amp; Telecommun, High Qual Dev Evaluat Inst, Nanjing 210003, Peoples R China; [Li, Yiang] Univ Chicago, Div Social Sci, Chicago, IL 60637 USA; [Yang, Qiuyue] Nanjing Univ, Sch Social &amp; Behav Sci, Nanjing 210023, Peoples R China</t>
        </is>
      </c>
      <c r="Y1329" t="inlineStr">
        <is>
          <t>Nanjing University of Posts &amp; Telecommunications; University of Chicago; Nanjing University</t>
        </is>
      </c>
      <c r="Z1329" t="inlineStr">
        <is>
          <t>Yang, QY (corresponding author), Nanjing Univ, Sch Social &amp; Behav Sci, Nanjing 210023, Peoples R China.</t>
        </is>
      </c>
      <c r="AA1329" t="inlineStr">
        <is>
          <t>dg1807023@smail.nju.edu.cn</t>
        </is>
      </c>
      <c r="AB1329" t="inlineStr">
        <is>
          <t>Chen, Lijuan/ABC-9433-2020; chen, lijuan/IZP-5778-2023</t>
        </is>
      </c>
      <c r="AC1329" t="inlineStr">
        <is>
          <t>Chen, Lijuan/0000-0002-0532-9361; Li, Yiang/0000-0001-7811-4321</t>
        </is>
      </c>
      <c r="AD1329" t="inlineStr">
        <is>
          <t>National Social Science Fund of China [20BRK040]; National Natural Science Foundation of China [71921003]</t>
        </is>
      </c>
      <c r="AE1329" t="inlineStr">
        <is>
          <t>National Social Science Fund of China; National Natural Science Foundation of China(National Natural Science Foundation of China (NSFC))</t>
        </is>
      </c>
      <c r="AF1329" t="inlineStr">
        <is>
          <t>This research was funded by the National Social Science Fund of China (No. 20BRK040) and the National Natural Science Foundation of China (No. 71921003).</t>
        </is>
      </c>
      <c r="AH1329" t="n">
        <v>61</v>
      </c>
      <c r="AI1329" t="n">
        <v>1</v>
      </c>
      <c r="AJ1329" t="n">
        <v>1</v>
      </c>
      <c r="AK1329" t="n">
        <v>12</v>
      </c>
      <c r="AL1329" t="n">
        <v>38</v>
      </c>
      <c r="AM1329" t="inlineStr">
        <is>
          <t>MDPI</t>
        </is>
      </c>
      <c r="AN1329" t="inlineStr">
        <is>
          <t>BASEL</t>
        </is>
      </c>
      <c r="AO1329" t="inlineStr">
        <is>
          <t>ST ALBAN-ANLAGE 66, CH-4052 BASEL, SWITZERLAND</t>
        </is>
      </c>
      <c r="AQ1329" t="inlineStr">
        <is>
          <t>1660-4601</t>
        </is>
      </c>
      <c r="AS1329" t="inlineStr">
        <is>
          <t>INT J ENV RES PUB HE</t>
        </is>
      </c>
      <c r="AT1329" t="inlineStr">
        <is>
          <t>Int. J. Environ. Res. Public Health</t>
        </is>
      </c>
      <c r="AU1329" t="inlineStr">
        <is>
          <t>SEP</t>
        </is>
      </c>
      <c r="AV1329" t="n">
        <v>2022</v>
      </c>
      <c r="AW1329" t="n">
        <v>19</v>
      </c>
      <c r="AX1329" t="n">
        <v>17</v>
      </c>
      <c r="BE1329" t="n">
        <v>10790</v>
      </c>
      <c r="BF1329" t="inlineStr">
        <is>
          <t>10.3390/ijerph191710790</t>
        </is>
      </c>
      <c r="BG1329">
        <f>HYPERLINK("http://dx.doi.org/10.3390/ijerph191710790","http://dx.doi.org/10.3390/ijerph191710790")</f>
        <v/>
      </c>
      <c r="BJ1329" t="n">
        <v>12</v>
      </c>
      <c r="BK1329" t="inlineStr">
        <is>
          <t>Environmental Sciences; Public, Environmental &amp; Occupational Health</t>
        </is>
      </c>
      <c r="BL1329" t="inlineStr">
        <is>
          <t>Science Citation Index Expanded (SCI-EXPANDED); Social Science Citation Index (SSCI)</t>
        </is>
      </c>
      <c r="BM1329" t="inlineStr">
        <is>
          <t>Environmental Sciences &amp; Ecology; Public, Environmental &amp; Occupational Health</t>
        </is>
      </c>
      <c r="BN1329" t="inlineStr">
        <is>
          <t>4J3FB</t>
        </is>
      </c>
      <c r="BO1329" t="n">
        <v>36078506</v>
      </c>
      <c r="BP1329" t="inlineStr">
        <is>
          <t>Green Published, gold</t>
        </is>
      </c>
      <c r="BS1329" t="inlineStr">
        <is>
          <t>2023-10-26</t>
        </is>
      </c>
      <c r="BT1329" t="inlineStr">
        <is>
          <t>WOS:000851151200001</t>
        </is>
      </c>
      <c r="BU1329">
        <f>HYPERLINK("https%3A%2F%2Fwww.webofscience.com%2Fwos%2Fwoscc%2Ffull-record%2FWOS:000851151200001","View Full Record in Web of Science")</f>
        <v/>
      </c>
    </row>
    <row r="1330">
      <c r="A1330" t="inlineStr">
        <is>
          <t>J</t>
        </is>
      </c>
      <c r="B1330" t="inlineStr">
        <is>
          <t>Budd, EL; Liévanos, RS; Amidon, B</t>
        </is>
      </c>
      <c r="F1330" t="inlineStr">
        <is>
          <t>Budd, Elizabeth L.; Lievanos, Raoul S.; Amidon, Brigette</t>
        </is>
      </c>
      <c r="J1330" t="inlineStr">
        <is>
          <t>INTERNATIONAL JOURNAL OF ENVIRONMENTAL RESEARCH AND PUBLIC HEALTH</t>
        </is>
      </c>
      <c r="M1330" t="inlineStr">
        <is>
          <t>English</t>
        </is>
      </c>
      <c r="N1330" t="inlineStr">
        <is>
          <t>Article</t>
        </is>
      </c>
      <c r="T1330" t="inlineStr">
        <is>
          <t>Open Campus Policies: How Built, Food, Social, and Organizational Environments Matter for Oregon's Public High School Students' Health</t>
        </is>
      </c>
      <c r="U1330" t="inlineStr">
        <is>
          <t>schools; youth; policy; built environment; food environment; social environment; organizational environment</t>
        </is>
      </c>
      <c r="V1330" t="inlineStr">
        <is>
          <t>BODY-MASS INDEX; ECOLOGICAL MODEL; PARTICIPATION; ASSOCIATION; SEGREGATION; WALKABILITY; RESTAURANTS; VALIDATION; INEQUALITY; COMMUNITY</t>
        </is>
      </c>
      <c r="W1330" t="inlineStr">
        <is>
          <t>Open campus policies that grant access to the off-campus food environment may influence U.S. high school students' exposure to unhealthy foods, yet predictors of these policies are unknown. Policy holding and built (walkability), food (access to grocery stores), social (school-to-neighborhood demographic similarity), and organizational (policy holding of neighboring schools) environment data were collected for 200 Oregon public high schools. These existing data were derived from the Oregon School Board Association, WalkScore.com, the 2010 Decennial Census, the 2010-2014 American Community Survey, the Supplemental Nutrition Assistance Program, TDLinex, Nielson directories, the U.S. Department of Education, the National Center for Education Statistics, and the Common Core of Data. Most (67%) of Oregon public high schools have open campus policies. Logistic regression analyses modeled open campus policy holding as a function of built, food, social, and organizational environment influences. With health and policy implications, the results indicate that the schools' walkability, food access, and extent of neighboring open campus policy-schools are significantly associated with open campus policy holding in Oregon.</t>
        </is>
      </c>
      <c r="X1330" t="inlineStr">
        <is>
          <t>[Budd, Elizabeth L.] Univ Oregon, Coll Educ, Dept Counseling Psychol &amp; Human Serv, 5461 Univ Oregon, Eugene, OR 97403 USA; [Lievanos, Raoul S.] Univ Oregon, Dept Sociol, Coll Arts &amp; Sci, 1291 Univ Oregon, Eugene, OR 97403 USA; [Amidon, Brigette] Univ Denver, Morgridge Coll Educ, 1999 E Evans Ave, Denver, CO 80208 USA</t>
        </is>
      </c>
      <c r="Y1330" t="inlineStr">
        <is>
          <t>University of Oregon; University of Oregon; University of Denver</t>
        </is>
      </c>
      <c r="Z1330" t="inlineStr">
        <is>
          <t>Budd, EL (corresponding author), Univ Oregon, Coll Educ, Dept Counseling Psychol &amp; Human Serv, 5461 Univ Oregon, Eugene, OR 97403 USA.</t>
        </is>
      </c>
      <c r="AA1330" t="inlineStr">
        <is>
          <t>ebudd@uoregon.edu; raoull@uoregon.edu; Brigette.Amidon@du.edu</t>
        </is>
      </c>
      <c r="AC1330" t="inlineStr">
        <is>
          <t>Budd, Elizabeth/0000-0003-4854-3795; Lievanos, Raoul/0000-0002-3647-1504</t>
        </is>
      </c>
      <c r="AD1330" t="inlineStr">
        <is>
          <t>University of Oregon: Office of the Provost and Academic Affairs, Underrepresented Minority Recruitment Program</t>
        </is>
      </c>
      <c r="AE1330" t="inlineStr">
        <is>
          <t>University of Oregon: Office of the Provost and Academic Affairs, Underrepresented Minority Recruitment Program</t>
        </is>
      </c>
      <c r="AF1330" t="inlineStr">
        <is>
          <t>This research and article processing charges were funded in part by the University of Oregon: Office of the Provost and Academic Affairs, Underrepresented Minority Recruitment Program.</t>
        </is>
      </c>
      <c r="AH1330" t="n">
        <v>85</v>
      </c>
      <c r="AI1330" t="n">
        <v>2</v>
      </c>
      <c r="AJ1330" t="n">
        <v>2</v>
      </c>
      <c r="AK1330" t="n">
        <v>0</v>
      </c>
      <c r="AL1330" t="n">
        <v>10</v>
      </c>
      <c r="AM1330" t="inlineStr">
        <is>
          <t>MDPI</t>
        </is>
      </c>
      <c r="AN1330" t="inlineStr">
        <is>
          <t>BASEL</t>
        </is>
      </c>
      <c r="AO1330" t="inlineStr">
        <is>
          <t>ST ALBAN-ANLAGE 66, CH-4052 BASEL, SWITZERLAND</t>
        </is>
      </c>
      <c r="AQ1330" t="inlineStr">
        <is>
          <t>1660-4601</t>
        </is>
      </c>
      <c r="AS1330" t="inlineStr">
        <is>
          <t>INT J ENV RES PUB HE</t>
        </is>
      </c>
      <c r="AT1330" t="inlineStr">
        <is>
          <t>Int. J. Environ. Res. Public Health</t>
        </is>
      </c>
      <c r="AU1330" t="inlineStr">
        <is>
          <t>JAN 2</t>
        </is>
      </c>
      <c r="AV1330" t="n">
        <v>2020</v>
      </c>
      <c r="AW1330" t="n">
        <v>17</v>
      </c>
      <c r="AX1330" t="n">
        <v>2</v>
      </c>
      <c r="BE1330" t="n">
        <v>469</v>
      </c>
      <c r="BF1330" t="inlineStr">
        <is>
          <t>10.3390/ijerph17020469</t>
        </is>
      </c>
      <c r="BG1330">
        <f>HYPERLINK("http://dx.doi.org/10.3390/ijerph17020469","http://dx.doi.org/10.3390/ijerph17020469")</f>
        <v/>
      </c>
      <c r="BJ1330" t="n">
        <v>19</v>
      </c>
      <c r="BK1330" t="inlineStr">
        <is>
          <t>Environmental Sciences; Public, Environmental &amp; Occupational Health</t>
        </is>
      </c>
      <c r="BL1330" t="inlineStr">
        <is>
          <t>Science Citation Index Expanded (SCI-EXPANDED); Social Science Citation Index (SSCI)</t>
        </is>
      </c>
      <c r="BM1330" t="inlineStr">
        <is>
          <t>Environmental Sciences &amp; Ecology; Public, Environmental &amp; Occupational Health</t>
        </is>
      </c>
      <c r="BN1330" t="inlineStr">
        <is>
          <t>KQ3LG</t>
        </is>
      </c>
      <c r="BO1330" t="n">
        <v>31936808</v>
      </c>
      <c r="BP1330" t="inlineStr">
        <is>
          <t>Green Submitted, Green Published, gold</t>
        </is>
      </c>
      <c r="BS1330" t="inlineStr">
        <is>
          <t>2023-10-26</t>
        </is>
      </c>
      <c r="BT1330" t="inlineStr">
        <is>
          <t>WOS:000516827400090</t>
        </is>
      </c>
      <c r="BU1330">
        <f>HYPERLINK("https%3A%2F%2Fwww.webofscience.com%2Fwos%2Fwoscc%2Ffull-record%2FWOS:000516827400090","View Full Record in Web of Science")</f>
        <v/>
      </c>
    </row>
    <row r="1331">
      <c r="A1331" t="inlineStr">
        <is>
          <t>J</t>
        </is>
      </c>
      <c r="B1331" t="inlineStr">
        <is>
          <t>Brooks-Cleator, LA; Giles, AR</t>
        </is>
      </c>
      <c r="F1331" t="inlineStr">
        <is>
          <t>Brooks-Cleator, Lauren A.; Giles, Audrey R.</t>
        </is>
      </c>
      <c r="J1331" t="inlineStr">
        <is>
          <t>ARCTIC</t>
        </is>
      </c>
      <c r="M1331" t="inlineStr">
        <is>
          <t>English</t>
        </is>
      </c>
      <c r="N1331" t="inlineStr">
        <is>
          <t>Article</t>
        </is>
      </c>
      <c r="T1331" t="inlineStr">
        <is>
          <t>Physical Activity Policy for Older Adults in the Northwest Territories, Canada: Gaps and Opportunities for Gains</t>
        </is>
      </c>
      <c r="U1331" t="inlineStr">
        <is>
          <t>older adults; physical activity; health; recreation; Northwest Territories; policy analysis; policy cycle; rural and remote</t>
        </is>
      </c>
      <c r="W1331" t="inlineStr">
        <is>
          <t>In the Northwest Territories (NWT), Canada, the population of older adults is increasing, and this population reports much poorer health than other age cohorts. Given the number of benefits that physical activity (PA) can have for older adults, we analyzed policies concerning older adults and PA of both the NWT government and non-governmental organizations in the health, recreation, and sports sectors. Our findings indicate that although the majority of the organizations had no PA policies specific to older adults or Aboriginal older adults, some organizations completed all five stages of the policy cycle (agenda setting, policy formulation, decision making, implementation, and evaluation). Our analysis suggests that PA for older adults is not on the agenda for many organizations in the NWT and that often the policy process does not continue past the decision-making stage. To address the need for connections between all stages of the policy cycle, we suggest that organizations collaborate across multiple sectors and with older adults to develop a territory-wide, age-friendly rural and remote community strategy that is applicable to the NWT. Prioritizing age-friendly communities would, in turn, facilitate appropriate PA opportunities for older adults in the NWT and thus contribute to a healthier aging population.</t>
        </is>
      </c>
      <c r="X1331" t="inlineStr">
        <is>
          <t>[Brooks-Cleator, Lauren A.; Giles, Audrey R.] Univ Ottawa, Sch Human Kinet, Ottawa, ON K1N 6N5, Canada</t>
        </is>
      </c>
      <c r="Y1331" t="inlineStr">
        <is>
          <t>University of Ottawa</t>
        </is>
      </c>
      <c r="Z1331" t="inlineStr">
        <is>
          <t>Brooks-Cleator, LA (corresponding author), Univ Ottawa, Sch Human Kinet, Ottawa, ON K1N 6N5, Canada.</t>
        </is>
      </c>
      <c r="AA1331" t="inlineStr">
        <is>
          <t>Lbroo049@uottawa.ca</t>
        </is>
      </c>
      <c r="AH1331" t="n">
        <v>39</v>
      </c>
      <c r="AI1331" t="n">
        <v>2</v>
      </c>
      <c r="AJ1331" t="n">
        <v>2</v>
      </c>
      <c r="AK1331" t="n">
        <v>0</v>
      </c>
      <c r="AL1331" t="n">
        <v>20</v>
      </c>
      <c r="AM1331" t="inlineStr">
        <is>
          <t>ARCTIC INST N AMER</t>
        </is>
      </c>
      <c r="AN1331" t="inlineStr">
        <is>
          <t>CALGARY</t>
        </is>
      </c>
      <c r="AO1331" t="inlineStr">
        <is>
          <t>UNIV OF CALGARY 2500 UNIVERSITY DRIVE NW 11TH FLOOR LIBRARY TOWER, CALGARY, ALBERTA T2N 1N4, CANADA</t>
        </is>
      </c>
      <c r="AP1331" t="inlineStr">
        <is>
          <t>0004-0843</t>
        </is>
      </c>
      <c r="AQ1331" t="inlineStr">
        <is>
          <t>1923-1245</t>
        </is>
      </c>
      <c r="AS1331" t="inlineStr">
        <is>
          <t>ARCTIC</t>
        </is>
      </c>
      <c r="AT1331" t="inlineStr">
        <is>
          <t>Arctic</t>
        </is>
      </c>
      <c r="AU1331" t="inlineStr">
        <is>
          <t>JUN</t>
        </is>
      </c>
      <c r="AV1331" t="n">
        <v>2016</v>
      </c>
      <c r="AW1331" t="n">
        <v>69</v>
      </c>
      <c r="AX1331" t="n">
        <v>2</v>
      </c>
      <c r="BC1331" t="n">
        <v>169</v>
      </c>
      <c r="BD1331" t="n">
        <v>176</v>
      </c>
      <c r="BF1331" t="inlineStr">
        <is>
          <t>10.14430/arctic4564</t>
        </is>
      </c>
      <c r="BG1331">
        <f>HYPERLINK("http://dx.doi.org/10.14430/arctic4564","http://dx.doi.org/10.14430/arctic4564")</f>
        <v/>
      </c>
      <c r="BJ1331" t="n">
        <v>8</v>
      </c>
      <c r="BK1331" t="inlineStr">
        <is>
          <t>Environmental Sciences; Geography, Physical</t>
        </is>
      </c>
      <c r="BL1331" t="inlineStr">
        <is>
          <t>Science Citation Index Expanded (SCI-EXPANDED); Social Science Citation Index (SSCI)</t>
        </is>
      </c>
      <c r="BM1331" t="inlineStr">
        <is>
          <t>Environmental Sciences &amp; Ecology; Physical Geography</t>
        </is>
      </c>
      <c r="BN1331" t="inlineStr">
        <is>
          <t>DY3LJ</t>
        </is>
      </c>
      <c r="BP1331" t="inlineStr">
        <is>
          <t>Bronze</t>
        </is>
      </c>
      <c r="BS1331" t="inlineStr">
        <is>
          <t>2023-10-26</t>
        </is>
      </c>
      <c r="BT1331" t="inlineStr">
        <is>
          <t>WOS:000384993600006</t>
        </is>
      </c>
      <c r="BU1331">
        <f>HYPERLINK("https%3A%2F%2Fwww.webofscience.com%2Fwos%2Fwoscc%2Ffull-record%2FWOS:000384993600006","View Full Record in Web of Science")</f>
        <v/>
      </c>
    </row>
    <row r="1332">
      <c r="A1332" t="inlineStr">
        <is>
          <t>J</t>
        </is>
      </c>
      <c r="B1332" t="inlineStr">
        <is>
          <t>Tsurumi, R; Asawa, T; Oshio, H</t>
        </is>
      </c>
      <c r="F1332" t="inlineStr">
        <is>
          <t>Tsurumi, Ryuta; Asawa, Takashi; Oshio, Haruki</t>
        </is>
      </c>
      <c r="J1332" t="inlineStr">
        <is>
          <t>REMOTE SENSING</t>
        </is>
      </c>
      <c r="M1332" t="inlineStr">
        <is>
          <t>English</t>
        </is>
      </c>
      <c r="N1332" t="inlineStr">
        <is>
          <t>Article</t>
        </is>
      </c>
      <c r="T1332" t="inlineStr">
        <is>
          <t>Experimental Study on the Inverse Estimation of Horizontal Air Temperature Distribution in Built Spaces Using a Ground-Based Thermal Infrared Spectroradiometer</t>
        </is>
      </c>
      <c r="U1332" t="inlineStr">
        <is>
          <t>air temperature; spectroradiometer; infrared; inverse estimation; maximum a posteriori; radiative transfer equation</t>
        </is>
      </c>
      <c r="V1332" t="inlineStr">
        <is>
          <t>URBAN; ENVIRONMENT; ENERGY</t>
        </is>
      </c>
      <c r="W1332" t="inlineStr">
        <is>
          <t>Air temperature is an important physical indicator for urban and architectural environments; however, it is difficult to obtain its distributive characteristics by field measurements owing to the limitations of current measuring instruments. In this context, this study was conducted to demonstrate whether a small and portable ground-based thermal infrared spectroradiometer can be used to estimate the horizontal air temperature distribution in built spaces. For this estimation, we first calculated a forward model using radiative transfer simulations, and the air temperature distribution was inversely estimated from the observed radiance using the model. To regularize the estimated air temperature, we used the maximum a posteriori method, which uses prior information. To verify this estimation method, we conducted measurement experiments in two types of built spaces that had different air temperature distributions within spaces that were approximately 20 m long. Moreover, we conducted a parametric case study on the prior information. As a result, we were able to estimate the air temperature distribution with an average root mean square error (RMSE) of 1.3 degrees C for all cases when the average RMSE of the prior information for all cases was 2.1 degrees C. This improvement in the RMSE indicates that this method is able to remotely estimate the horizontal air temperature distribution in built spaces.</t>
        </is>
      </c>
      <c r="X1332" t="inlineStr">
        <is>
          <t>[Tsurumi, Ryuta; Asawa, Takashi] Tokyo Inst Technol, Sch Environm &amp; Soc, Midori Ku, 4259-G5-2 Nagatsuta Cho, Yokohama, Kanagawa 2268502, Japan; [Tsurumi, Ryuta] NIKKEN SEKKEI Res Inst, Chiyoda Ku, 3-7-1 Kanda Ogawamachi, Tokyo 1010052, Japan; [Oshio, Haruki] Natl Inst Environm Studies, Ctr Global Environm Res, Tsukuba, Ibaraki 3058506, Japan</t>
        </is>
      </c>
      <c r="Y1332" t="inlineStr">
        <is>
          <t>Tokyo Institute of Technology; National Institute for Environmental Studies - Japan</t>
        </is>
      </c>
      <c r="Z1332" t="inlineStr">
        <is>
          <t>Asawa, T (corresponding author), Tokyo Inst Technol, Sch Environm &amp; Soc, Midori Ku, 4259-G5-2 Nagatsuta Cho, Yokohama, Kanagawa 2268502, Japan.</t>
        </is>
      </c>
      <c r="AA1332" t="inlineStr">
        <is>
          <t>tsurumi.r.aa@m.titech.ac.jp; asawa.t.aa@m.titech.ac.jp; oshio.haruki@nies.go.jp</t>
        </is>
      </c>
      <c r="AC1332" t="inlineStr">
        <is>
          <t>Tsurumi, Ryuta/0000-0002-5431-8044; Oshio, Haruki/0000-0003-1896-3932</t>
        </is>
      </c>
      <c r="AD1332" t="inlineStr">
        <is>
          <t>JSPS KAKENHI [17H03353]; Grants-in-Aid for Scientific Research [17H03353] Funding Source: KAKEN</t>
        </is>
      </c>
      <c r="AE1332" t="inlineStr">
        <is>
          <t>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is>
      </c>
      <c r="AF1332" t="inlineStr">
        <is>
          <t>This work was supported by JSPS KAKENHI Grant Number 17H03353.</t>
        </is>
      </c>
      <c r="AH1332" t="n">
        <v>36</v>
      </c>
      <c r="AI1332" t="n">
        <v>2</v>
      </c>
      <c r="AJ1332" t="n">
        <v>2</v>
      </c>
      <c r="AK1332" t="n">
        <v>0</v>
      </c>
      <c r="AL1332" t="n">
        <v>4</v>
      </c>
      <c r="AM1332" t="inlineStr">
        <is>
          <t>MDPI</t>
        </is>
      </c>
      <c r="AN1332" t="inlineStr">
        <is>
          <t>BASEL</t>
        </is>
      </c>
      <c r="AO1332" t="inlineStr">
        <is>
          <t>ST ALBAN-ANLAGE 66, CH-4052 BASEL, SWITZERLAND</t>
        </is>
      </c>
      <c r="AQ1332" t="inlineStr">
        <is>
          <t>2072-4292</t>
        </is>
      </c>
      <c r="AS1332" t="inlineStr">
        <is>
          <t>REMOTE SENS-BASEL</t>
        </is>
      </c>
      <c r="AT1332" t="inlineStr">
        <is>
          <t>Remote Sens.</t>
        </is>
      </c>
      <c r="AU1332" t="inlineStr">
        <is>
          <t>FEB</t>
        </is>
      </c>
      <c r="AV1332" t="n">
        <v>2021</v>
      </c>
      <c r="AW1332" t="n">
        <v>13</v>
      </c>
      <c r="AX1332" t="n">
        <v>4</v>
      </c>
      <c r="BE1332" t="n">
        <v>562</v>
      </c>
      <c r="BF1332" t="inlineStr">
        <is>
          <t>10.3390/rs13040562</t>
        </is>
      </c>
      <c r="BG1332">
        <f>HYPERLINK("http://dx.doi.org/10.3390/rs13040562","http://dx.doi.org/10.3390/rs13040562")</f>
        <v/>
      </c>
      <c r="BJ1332" t="n">
        <v>17</v>
      </c>
      <c r="BK1332" t="inlineStr">
        <is>
          <t>Environmental Sciences; Geosciences, Multidisciplinary; Remote Sensing; Imaging Science &amp; Photographic Technology</t>
        </is>
      </c>
      <c r="BL1332" t="inlineStr">
        <is>
          <t>Science Citation Index Expanded (SCI-EXPANDED)</t>
        </is>
      </c>
      <c r="BM1332" t="inlineStr">
        <is>
          <t>Environmental Sciences &amp; Ecology; Geology; Remote Sensing; Imaging Science &amp; Photographic Technology</t>
        </is>
      </c>
      <c r="BN1332" t="inlineStr">
        <is>
          <t>QQ3LN</t>
        </is>
      </c>
      <c r="BP1332" t="inlineStr">
        <is>
          <t>gold</t>
        </is>
      </c>
      <c r="BS1332" t="inlineStr">
        <is>
          <t>2023-10-26</t>
        </is>
      </c>
      <c r="BT1332" t="inlineStr">
        <is>
          <t>WOS:000624425900001</t>
        </is>
      </c>
      <c r="BU1332">
        <f>HYPERLINK("https%3A%2F%2Fwww.webofscience.com%2Fwos%2Fwoscc%2Ffull-record%2FWOS:000624425900001","View Full Record in Web of Science")</f>
        <v/>
      </c>
    </row>
    <row r="1333">
      <c r="A1333" t="inlineStr">
        <is>
          <t>J</t>
        </is>
      </c>
      <c r="B1333" t="inlineStr">
        <is>
          <t>Su, B; Milic, RJ; McPherson, P; Wu, L</t>
        </is>
      </c>
      <c r="F1333" t="inlineStr">
        <is>
          <t>Su, Bin; Milic, Renata Jadresin; McPherson, Peter; Wu, Lian</t>
        </is>
      </c>
      <c r="J1333" t="inlineStr">
        <is>
          <t>INTERNATIONAL JOURNAL OF ENVIRONMENTAL RESEARCH AND PUBLIC HEALTH</t>
        </is>
      </c>
      <c r="M1333" t="inlineStr">
        <is>
          <t>English</t>
        </is>
      </c>
      <c r="N1333" t="inlineStr">
        <is>
          <t>Article</t>
        </is>
      </c>
      <c r="T1333" t="inlineStr">
        <is>
          <t>Thermal Performance of School Buildings: Impacts beyond Thermal Comfort</t>
        </is>
      </c>
      <c r="U1333" t="inlineStr">
        <is>
          <t>building envelope; indirect health effects; indoor allergen; indoor microclimate; indoor thermal environment; insulation and thermal mass; school building; thermal comfort; occupant health; thermal performance</t>
        </is>
      </c>
      <c r="V1333" t="inlineStr">
        <is>
          <t>HOUSE-DUST MITES; INDOOR AIR-QUALITY; RELATIVE-HUMIDITY; CLASSROOMS; DERMATOPHAGOIDES; GROWTH; SCHOOLCHILDREN; TEMPERATURE; POPULATION; PERCEPTION</t>
        </is>
      </c>
      <c r="W1333" t="inlineStr">
        <is>
          <t>Based on field study data regarding the winter indoor thermal environment of three classrooms with different building envelopes, this study compared and evaluated these environments, not only related to students' thermal comfort but also to their health. The inadequacy of the conventional New Zealand school building for maintaining a comfortable and healthy winter indoor thermal environment has been identified. A classroom with thermal mass had 31%, 34% and 9% more time than a classroom without thermal mass when indoor temperatures met 16 degrees C 18 degrees C and 20 degrees C respectively and has 21.4% more time than the classroom without thermal mass when indoor relative humidity was in the optimal range of 40% to 60%, in a temperate climate with a mild and humid winter. Adding thermal mass to school building envelopes should be considered as a strategy to improve the winter indoor thermal environment in future school design and development. Adding thermal mass to a school building with sufficient insulation can not only increase winter indoor mean air temperature but can also reduce the fluctuation of indoor air temperatures. This can significantly reduce the incidence of very low indoor temperature and very high indoor relative humidity, and significantly improve the indoor thermal environment.</t>
        </is>
      </c>
      <c r="X1333" t="inlineStr">
        <is>
          <t>[Su, Bin; Milic, Renata Jadresin; McPherson, Peter] Unitec Inst Technol, Sch Architecture, Auckland 0600, New Zealand; [Wu, Lian] Unitec Inst Technol, Sch Healthcare &amp; Social Practice, Auckland 0600, New Zealand</t>
        </is>
      </c>
      <c r="Y1333" t="inlineStr">
        <is>
          <t>Unitec NZ; Unitec NZ</t>
        </is>
      </c>
      <c r="Z1333" t="inlineStr">
        <is>
          <t>Su, B (corresponding author), Unitec Inst Technol, Sch Architecture, Auckland 0600, New Zealand.</t>
        </is>
      </c>
      <c r="AA1333" t="inlineStr">
        <is>
          <t>bsu@unitec.ac.nz; rjadresinmilic@unitec.ac.nz; pmcpherson@unitec.ac.nz; lwu@unitec.ac.nz</t>
        </is>
      </c>
      <c r="AB1333" t="inlineStr">
        <is>
          <t>; Jadresin Milic, Renata/AAW-3307-2021</t>
        </is>
      </c>
      <c r="AC1333" t="inlineStr">
        <is>
          <t>wu, Lian/0000-0003-0183-7542; McPherson, Peter/0000-0002-0428-1124; Jadresin Milic, Renata/0000-0001-8642-790X</t>
        </is>
      </c>
      <c r="AD1333" t="inlineStr">
        <is>
          <t>Jasmax</t>
        </is>
      </c>
      <c r="AE1333" t="inlineStr">
        <is>
          <t>Jasmax</t>
        </is>
      </c>
      <c r="AF1333" t="inlineStr">
        <is>
          <t>This work was supported by Jasmax. The authors would like to thank Jerome Partington and Justin Evatt, who gave us help and support for the field studies.</t>
        </is>
      </c>
      <c r="AH1333" t="n">
        <v>55</v>
      </c>
      <c r="AI1333" t="n">
        <v>6</v>
      </c>
      <c r="AJ1333" t="n">
        <v>6</v>
      </c>
      <c r="AK1333" t="n">
        <v>8</v>
      </c>
      <c r="AL1333" t="n">
        <v>23</v>
      </c>
      <c r="AM1333" t="inlineStr">
        <is>
          <t>MDPI</t>
        </is>
      </c>
      <c r="AN1333" t="inlineStr">
        <is>
          <t>BASEL</t>
        </is>
      </c>
      <c r="AO1333" t="inlineStr">
        <is>
          <t>ST ALBAN-ANLAGE 66, CH-4052 BASEL, SWITZERLAND</t>
        </is>
      </c>
      <c r="AQ1333" t="inlineStr">
        <is>
          <t>1660-4601</t>
        </is>
      </c>
      <c r="AS1333" t="inlineStr">
        <is>
          <t>INT J ENV RES PUB HE</t>
        </is>
      </c>
      <c r="AT1333" t="inlineStr">
        <is>
          <t>Int. J. Environ. Res. Public Health</t>
        </is>
      </c>
      <c r="AU1333" t="inlineStr">
        <is>
          <t>MAY</t>
        </is>
      </c>
      <c r="AV1333" t="n">
        <v>2022</v>
      </c>
      <c r="AW1333" t="n">
        <v>19</v>
      </c>
      <c r="AX1333" t="n">
        <v>10</v>
      </c>
      <c r="BE1333" t="n">
        <v>5811</v>
      </c>
      <c r="BF1333" t="inlineStr">
        <is>
          <t>10.3390/ijerph19105811</t>
        </is>
      </c>
      <c r="BG1333">
        <f>HYPERLINK("http://dx.doi.org/10.3390/ijerph19105811","http://dx.doi.org/10.3390/ijerph19105811")</f>
        <v/>
      </c>
      <c r="BJ1333" t="n">
        <v>19</v>
      </c>
      <c r="BK1333" t="inlineStr">
        <is>
          <t>Environmental Sciences; Public, Environmental &amp; Occupational Health</t>
        </is>
      </c>
      <c r="BL1333" t="inlineStr">
        <is>
          <t>Science Citation Index Expanded (SCI-EXPANDED); Social Science Citation Index (SSCI)</t>
        </is>
      </c>
      <c r="BM1333" t="inlineStr">
        <is>
          <t>Environmental Sciences &amp; Ecology; Public, Environmental &amp; Occupational Health</t>
        </is>
      </c>
      <c r="BN1333" t="inlineStr">
        <is>
          <t>1R6OM</t>
        </is>
      </c>
      <c r="BO1333" t="n">
        <v>35627345</v>
      </c>
      <c r="BP1333" t="inlineStr">
        <is>
          <t>Green Published, gold</t>
        </is>
      </c>
      <c r="BS1333" t="inlineStr">
        <is>
          <t>2023-10-26</t>
        </is>
      </c>
      <c r="BT1333" t="inlineStr">
        <is>
          <t>WOS:000803487200001</t>
        </is>
      </c>
      <c r="BU1333">
        <f>HYPERLINK("https%3A%2F%2Fwww.webofscience.com%2Fwos%2Fwoscc%2Ffull-record%2FWOS:000803487200001","View Full Record in Web of Science")</f>
        <v/>
      </c>
    </row>
    <row r="1334">
      <c r="A1334" t="inlineStr">
        <is>
          <t>J</t>
        </is>
      </c>
      <c r="B1334" t="inlineStr">
        <is>
          <t>Paek, MS; Lee, MJ; Shin, YS</t>
        </is>
      </c>
      <c r="F1334" t="inlineStr">
        <is>
          <t>Paek, Min-So; Lee, Mi Jin; Shin, Yu-Seon</t>
        </is>
      </c>
      <c r="J1334" t="inlineStr">
        <is>
          <t>INTERNATIONAL JOURNAL OF ENVIRONMENTAL RESEARCH AND PUBLIC HEALTH</t>
        </is>
      </c>
      <c r="M1334" t="inlineStr">
        <is>
          <t>English</t>
        </is>
      </c>
      <c r="N1334" t="inlineStr">
        <is>
          <t>Article</t>
        </is>
      </c>
      <c r="T1334" t="inlineStr">
        <is>
          <t>Elder Mistreatment as a Risk Factor for Depression and Suicidal Ideation in Korean Older Adults</t>
        </is>
      </c>
      <c r="U1334" t="inlineStr">
        <is>
          <t>elder mistreatment; elder abuse; multi-type mistreatment; depression; suicidal ideation</t>
        </is>
      </c>
      <c r="V1334" t="inlineStr">
        <is>
          <t>ABUSE; HEALTH</t>
        </is>
      </c>
      <c r="W1334" t="inlineStr">
        <is>
          <t>Older adults suffering from mistreatment are especially vulnerable to adverse health outcomes. The current study examined the associations of elder mistreatment (single- and multi-type mistreatment) with depression or suicidal ideation in a Korean representative sample. The data were derived from the 2017 National Survey of Living Conditions and Welfare Needs of Korean Older Persons (unweighted n = 10,059 and weighted n = 10,055). Descriptive statistics and multivariate logistic regression analyses were performed. In the weighted population, 9.8% of older adults had mistreatment experiences. Results indicated that single- and multi-type mistreatment experiences were associated with increased risks of depression (OR = 1.93, 95% CI = [1.61, 2.32] and OR = 3.51, 95% CI = [2.52, 4.87], respectively), after adjusting for the confounding factors (socio-demographic, health-related, and social relation characteristics). Experiences of single- and multi-type mistreatment were also associated with suicidal ideation (OR = 2.48, 95% CI = [1.97, 3.12] and OR = 3.19, 95% CI = [2.25, 4.51], respectively), even after adjusting for the above confounding factors and depression. Similar results were found in sensitivity analyses using unweighted data. The current findings expanded our knowledge of the associations of mistreatment with depression and suicidal ideation in later life.</t>
        </is>
      </c>
      <c r="X1334" t="inlineStr">
        <is>
          <t>[Paek, Min-So; Lee, Mi Jin; Shin, Yu-Seon] Konkuk Univ, Dept Social Welf, Chungju Si 27478, South Korea</t>
        </is>
      </c>
      <c r="Y1334" t="inlineStr">
        <is>
          <t>Konkuk University</t>
        </is>
      </c>
      <c r="Z1334" t="inlineStr">
        <is>
          <t>Lee, MJ (corresponding author), Konkuk Univ, Dept Social Welf, Chungju Si 27478, South Korea.</t>
        </is>
      </c>
      <c r="AA1334" t="inlineStr">
        <is>
          <t>mleegwb@kku.ac.kr</t>
        </is>
      </c>
      <c r="AC1334" t="inlineStr">
        <is>
          <t>Paek, Min-So/0000-0002-9446-8266</t>
        </is>
      </c>
      <c r="AD1334" t="inlineStr">
        <is>
          <t>Konkuk University</t>
        </is>
      </c>
      <c r="AE1334" t="inlineStr">
        <is>
          <t>Konkuk University</t>
        </is>
      </c>
      <c r="AF1334" t="inlineStr">
        <is>
          <t>This paper was supported by Konkuk University in 2020.</t>
        </is>
      </c>
      <c r="AH1334" t="n">
        <v>31</v>
      </c>
      <c r="AI1334" t="n">
        <v>1</v>
      </c>
      <c r="AJ1334" t="n">
        <v>1</v>
      </c>
      <c r="AK1334" t="n">
        <v>1</v>
      </c>
      <c r="AL1334" t="n">
        <v>1</v>
      </c>
      <c r="AM1334" t="inlineStr">
        <is>
          <t>MDPI</t>
        </is>
      </c>
      <c r="AN1334" t="inlineStr">
        <is>
          <t>BASEL</t>
        </is>
      </c>
      <c r="AO1334" t="inlineStr">
        <is>
          <t>ST ALBAN-ANLAGE 66, CH-4052 BASEL, SWITZERLAND</t>
        </is>
      </c>
      <c r="AQ1334" t="inlineStr">
        <is>
          <t>1660-4601</t>
        </is>
      </c>
      <c r="AS1334" t="inlineStr">
        <is>
          <t>INT J ENV RES PUB HE</t>
        </is>
      </c>
      <c r="AT1334" t="inlineStr">
        <is>
          <t>Int. J. Environ. Res. Public Health</t>
        </is>
      </c>
      <c r="AU1334" t="inlineStr">
        <is>
          <t>SEP</t>
        </is>
      </c>
      <c r="AV1334" t="n">
        <v>2022</v>
      </c>
      <c r="AW1334" t="n">
        <v>19</v>
      </c>
      <c r="AX1334" t="n">
        <v>18</v>
      </c>
      <c r="BE1334" t="n">
        <v>11165</v>
      </c>
      <c r="BF1334" t="inlineStr">
        <is>
          <t>10.3390/ijerph191811165</t>
        </is>
      </c>
      <c r="BG1334">
        <f>HYPERLINK("http://dx.doi.org/10.3390/ijerph191811165","http://dx.doi.org/10.3390/ijerph191811165")</f>
        <v/>
      </c>
      <c r="BJ1334" t="n">
        <v>11</v>
      </c>
      <c r="BK1334" t="inlineStr">
        <is>
          <t>Environmental Sciences; Public, Environmental &amp; Occupational Health</t>
        </is>
      </c>
      <c r="BL1334" t="inlineStr">
        <is>
          <t>Science Citation Index Expanded (SCI-EXPANDED); Social Science Citation Index (SSCI)</t>
        </is>
      </c>
      <c r="BM1334" t="inlineStr">
        <is>
          <t>Environmental Sciences &amp; Ecology; Public, Environmental &amp; Occupational Health</t>
        </is>
      </c>
      <c r="BN1334" t="inlineStr">
        <is>
          <t>4U6KP</t>
        </is>
      </c>
      <c r="BO1334" t="n">
        <v>36141438</v>
      </c>
      <c r="BP1334" t="inlineStr">
        <is>
          <t>gold, Green Published</t>
        </is>
      </c>
      <c r="BS1334" t="inlineStr">
        <is>
          <t>2023-10-26</t>
        </is>
      </c>
      <c r="BT1334" t="inlineStr">
        <is>
          <t>WOS:000858900800001</t>
        </is>
      </c>
      <c r="BU1334">
        <f>HYPERLINK("https%3A%2F%2Fwww.webofscience.com%2Fwos%2Fwoscc%2Ffull-record%2FWOS:000858900800001","View Full Record in Web of Science")</f>
        <v/>
      </c>
    </row>
    <row r="1335">
      <c r="A1335" t="inlineStr">
        <is>
          <t>J</t>
        </is>
      </c>
      <c r="B1335" t="inlineStr">
        <is>
          <t>Mistry, SK; Ali, AM; Yadav, UN; Khanam, F; Huda, MN; Lim, D; Chowdhury, AA; Sarma, H</t>
        </is>
      </c>
      <c r="F1335" t="inlineStr">
        <is>
          <t>Mistry, Sabuj Kanti; Ali, Arm Mehrab; Yadav, Uday Narayan; Khanam, Fouzia; Huda, Md Nazmul; Lim, David; Chowdhury, Abm Alauddin; Sarma, Haribondhu</t>
        </is>
      </c>
      <c r="J1335" t="inlineStr">
        <is>
          <t>INTERNATIONAL JOURNAL OF ENVIRONMENTAL RESEARCH AND PUBLIC HEALTH</t>
        </is>
      </c>
      <c r="M1335" t="inlineStr">
        <is>
          <t>English</t>
        </is>
      </c>
      <c r="N1335" t="inlineStr">
        <is>
          <t>Article</t>
        </is>
      </c>
      <c r="T1335" t="inlineStr">
        <is>
          <t>Changes in Prevalence and Determinants of Self-Reported Hypertension among Bangladeshi Older Adults during the COVID-19 Pandemic</t>
        </is>
      </c>
      <c r="U1335" t="inlineStr">
        <is>
          <t>hypertension; older adults; COVID-19; determinants; prevalence; Bangladesh</t>
        </is>
      </c>
      <c r="V1335" t="inlineStr">
        <is>
          <t>COGNITIVE DECLINE; RISK; OUTCOMES</t>
        </is>
      </c>
      <c r="W1335" t="inlineStr">
        <is>
          <t>The present study aimed to assess the changes in the prevalence and determinants of self-reported hypertension among older adults during the COVID-19 pandemic in Bangladesh. This repeated cross-sectional study was conducted on two successive occasions (October 2020 and September 2021), overlapping the first and second waves of the COVID-19 pandemic in Bangladesh. The survey was conducted through telephone interviews among Bangladeshi older adults aged 60 years and above. The prevalence of hypertension was measured by asking a question about whether a doctor or health professional told the participants that they have hypertension or high blood pressure and/or whether they are currently using medication to control it. We also collected information on the socio-economic characteristics of the participants, their cognitive ability, and their COVID-19-related attributes. A total of 2077 older adults with a mean age of 66.7 +/- 6.4 years participated in the study. The samples were randomly selected on two successive occasions from a pre-established registry developed by the ARCED Foundation. Thus, the sample in the 2021-survey (round two; n = 1045) was not the same as that in the 2020-survey (round one; n = 1031) but both were drawn from the same population. The findings revealed that the prevalence of hypertension significantly increased across the two periods (43.7% versus 56.3%; p = 0.006). The odds of hypertension were 1.34 times more likely in round two than in the round one cohort (AOR 1.34, 95% CI 1.06-1.70). We also found that having formal schooling, poorer memory or concentration, and having had received COVID-19 information were all associated with an increased risk of hypertension in both rounds (p &lt; 0.05). The findings of the present study suggest providing immediate support to ensure proper screening, control, and treatment of hypertension among older adults in Bangladesh.</t>
        </is>
      </c>
      <c r="X1335" t="inlineStr">
        <is>
          <t>[Mistry, Sabuj Kanti; Ali, Arm Mehrab; Huda, Md Nazmul] ARCED Fdn, 13-1 Pallabi,Mirpur 12, Dhaka 1216, Bangladesh; [Mistry, Sabuj Kanti; Yadav, Uday Narayan] Univ New South Wales, Ctr Primary Hlth Care &amp; Equ, Sydney, NSW 2052, Australia; [Mistry, Sabuj Kanti] BRAC Univ, BRAC James P Grant Sch Publ Hlth, Dhaka 1213, Bangladesh; [Mistry, Sabuj Kanti; Chowdhury, Abm Alauddin] Daffodil Int Univ, Dept Publ Hlth, Dhaka 1207, Bangladesh; [Yadav, Uday Narayan; Sarma, Haribondhu] Australian Natl Univ, Natl Ctr Epidemiol &amp; Populat Hlth, Canberra, ACT 0200, Australia; [Khanam, Fouzia] North South Univ, Dept Publ Hlth, Dhaka 1229, Bangladesh; [Huda, Md Nazmul] Western Sydney Univ, Sch Med, Translat Hlth Res Inst, Campbelltown, NSW 2560, Australia; [Lim, David] Western Sydney Univ, Sch Hlth Sci, Campbelltown, NSW 2560, Australia</t>
        </is>
      </c>
      <c r="Y1335" t="inlineStr">
        <is>
          <t>University of New South Wales Sydney; Bangladesh Rural Advancement Committee BRAC; BRAC University; Daffodil International University; Australian National University; North South University (NSU); University of Sydney; Western Sydney University; Western Sydney University; University of Sydney</t>
        </is>
      </c>
      <c r="Z1335" t="inlineStr">
        <is>
          <t>Mistry, SK (corresponding author), ARCED Fdn, 13-1 Pallabi,Mirpur 12, Dhaka 1216, Bangladesh.;Mistry, SK (corresponding author), Univ New South Wales, Ctr Primary Hlth Care &amp; Equ, Sydney, NSW 2052, Australia.;Mistry, SK (corresponding author), BRAC Univ, BRAC James P Grant Sch Publ Hlth, Dhaka 1213, Bangladesh.;Mistry, SK (corresponding author), Daffodil Int Univ, Dept Publ Hlth, Dhaka 1207, Bangladesh.</t>
        </is>
      </c>
      <c r="AA1335" t="inlineStr">
        <is>
          <t>smitra411@gmail.com</t>
        </is>
      </c>
      <c r="AB1335" t="inlineStr">
        <is>
          <t>Yadav, Uday N/ABD-1547-2020; Lim, David/AAN-9908-2020; Huda, Md Nazmul/HHC-7918-2022</t>
        </is>
      </c>
      <c r="AC1335" t="inlineStr">
        <is>
          <t>Yadav, Uday N/0000-0002-6626-1604; Lim, David/0000-0002-2837-0973; Huda, Md Nazmul/0000-0001-7048-1266; Sarma, Haribondhu/0000-0003-1553-8498; Khanam, Fouzia/0000-0002-2690-3342; Ali, ARM Mehrab/0000-0001-5442-7147; Mistry, Sabuj Kanti/0000-0001-6100-6076</t>
        </is>
      </c>
      <c r="AH1335" t="n">
        <v>65</v>
      </c>
      <c r="AI1335" t="n">
        <v>0</v>
      </c>
      <c r="AJ1335" t="n">
        <v>0</v>
      </c>
      <c r="AK1335" t="n">
        <v>0</v>
      </c>
      <c r="AL1335" t="n">
        <v>1</v>
      </c>
      <c r="AM1335" t="inlineStr">
        <is>
          <t>MDPI</t>
        </is>
      </c>
      <c r="AN1335" t="inlineStr">
        <is>
          <t>BASEL</t>
        </is>
      </c>
      <c r="AO1335" t="inlineStr">
        <is>
          <t>ST ALBAN-ANLAGE 66, CH-4052 BASEL, SWITZERLAND</t>
        </is>
      </c>
      <c r="AQ1335" t="inlineStr">
        <is>
          <t>1660-4601</t>
        </is>
      </c>
      <c r="AS1335" t="inlineStr">
        <is>
          <t>INT J ENV RES PUB HE</t>
        </is>
      </c>
      <c r="AT1335" t="inlineStr">
        <is>
          <t>Int. J. Environ. Res. Public Health</t>
        </is>
      </c>
      <c r="AU1335" t="inlineStr">
        <is>
          <t>OCT</t>
        </is>
      </c>
      <c r="AV1335" t="n">
        <v>2022</v>
      </c>
      <c r="AW1335" t="n">
        <v>19</v>
      </c>
      <c r="AX1335" t="n">
        <v>20</v>
      </c>
      <c r="BE1335" t="n">
        <v>13475</v>
      </c>
      <c r="BF1335" t="inlineStr">
        <is>
          <t>10.3390/ijerph192013475</t>
        </is>
      </c>
      <c r="BG1335">
        <f>HYPERLINK("http://dx.doi.org/10.3390/ijerph192013475","http://dx.doi.org/10.3390/ijerph192013475")</f>
        <v/>
      </c>
      <c r="BJ1335" t="n">
        <v>14</v>
      </c>
      <c r="BK1335" t="inlineStr">
        <is>
          <t>Environmental Sciences; Public, Environmental &amp; Occupational Health</t>
        </is>
      </c>
      <c r="BL1335" t="inlineStr">
        <is>
          <t>Science Citation Index Expanded (SCI-EXPANDED); Social Science Citation Index (SSCI)</t>
        </is>
      </c>
      <c r="BM1335" t="inlineStr">
        <is>
          <t>Environmental Sciences &amp; Ecology; Public, Environmental &amp; Occupational Health</t>
        </is>
      </c>
      <c r="BN1335" t="inlineStr">
        <is>
          <t>5P3MW</t>
        </is>
      </c>
      <c r="BO1335" t="n">
        <v>36294058</v>
      </c>
      <c r="BP1335" t="inlineStr">
        <is>
          <t>gold, Green Published</t>
        </is>
      </c>
      <c r="BS1335" t="inlineStr">
        <is>
          <t>2023-10-26</t>
        </is>
      </c>
      <c r="BT1335" t="inlineStr">
        <is>
          <t>WOS:000873059700001</t>
        </is>
      </c>
      <c r="BU1335">
        <f>HYPERLINK("https%3A%2F%2Fwww.webofscience.com%2Fwos%2Fwoscc%2Ffull-record%2FWOS:000873059700001","View Full Record in Web of Science")</f>
        <v/>
      </c>
    </row>
    <row r="1336">
      <c r="A1336" t="inlineStr">
        <is>
          <t>J</t>
        </is>
      </c>
      <c r="B1336" t="inlineStr">
        <is>
          <t>Roba, C; Rosu, C; Neamtiu, I; Gurzau, E</t>
        </is>
      </c>
      <c r="F1336" t="inlineStr">
        <is>
          <t>Roba, Carmen; Rosu, Cristina; Neamtiu, Iulia; Gurzau, Eugen</t>
        </is>
      </c>
      <c r="J1336" t="inlineStr">
        <is>
          <t>ENVIRONMENTAL ENGINEERING AND MANAGEMENT JOURNAL</t>
        </is>
      </c>
      <c r="M1336" t="inlineStr">
        <is>
          <t>English</t>
        </is>
      </c>
      <c r="N1336" t="inlineStr">
        <is>
          <t>Article</t>
        </is>
      </c>
      <c r="T1336" t="inlineStr">
        <is>
          <t>RP-HPLC ANALYSIS OF CARBONYL COMPOUNDS IN SOME INDOOR AIR SAMPLES IN A FACULTY FROM CLUJ-NAPOCA</t>
        </is>
      </c>
      <c r="U1336" t="inlineStr">
        <is>
          <t>carbonyl compounds; indoor air pollution; passive sampling</t>
        </is>
      </c>
      <c r="V1336" t="inlineStr">
        <is>
          <t>FORMALDEHYDE</t>
        </is>
      </c>
      <c r="W1336" t="inlineStr">
        <is>
          <t>This study describes a reversed-phase high-performance liquid chromatography (RP-HPLC) method for the analysis of several carbonyl compounds in air samples. The air samples were collected using a passive sampling method and cartridges based on florisil impregnated with 2,4-dinitrophenylhydrazine (2,4-DNPH). After derivatization the carbonyl compounds were analyzed by liquid chromatography technique coupled with UV detection. The developed RP-HPLC method was used to analyze eight carbonyl compounds in air samples collected from the indoor environment of a faculty building located in Cluj-Napoca. The analyses results indicated the presence of three carbonyl compounds: propionaldehyde (2.65-3.14 mu g/m(3)), acetaldehyde (10.45-26.91 mu g/m(3)), and acetone (44.96-89.88 mu g/m(3)).</t>
        </is>
      </c>
      <c r="X1336" t="inlineStr">
        <is>
          <t>[Roba, Carmen; Rosu, Cristina; Neamtiu, Iulia; Gurzau, Eugen] Univ Babes Bolyai, Fac Environm Sci &amp; Engn, Cluj Napoca 400294, Romania; [Neamtiu, Iulia; Gurzau, Eugen] Ctr Environm Hlth, Cluj Napoca 400240, Romania</t>
        </is>
      </c>
      <c r="Y1336" t="inlineStr">
        <is>
          <t>Babes Bolyai University from Cluj</t>
        </is>
      </c>
      <c r="Z1336" t="inlineStr">
        <is>
          <t>Roba, C (corresponding author), Univ Babes Bolyai, Fac Environm Sci &amp; Engn, 30 Fantanele St, Cluj Napoca 400294, Romania.</t>
        </is>
      </c>
      <c r="AA1336" t="inlineStr">
        <is>
          <t>carmen.roba@ubbcluj.ro</t>
        </is>
      </c>
      <c r="AB1336" t="inlineStr">
        <is>
          <t>ROBA, CARMEN A/C-6695-2012; Neamtiu, Iulia Adina/AAS-8958-2021</t>
        </is>
      </c>
      <c r="AC1336" t="inlineStr">
        <is>
          <t>Neamtiu, Iulia Adina/0000-0002-5314-0539; Gurzau, Eugen/0000-0002-8688-6118; Roba, Carmen Andreea/0000-0002-1694-6875</t>
        </is>
      </c>
      <c r="AD1336" t="inlineStr">
        <is>
          <t>SINPHONIE project Schools Indoor Pollution and Health: Observatory Network in Europe</t>
        </is>
      </c>
      <c r="AE1336" t="inlineStr">
        <is>
          <t>SINPHONIE project Schools Indoor Pollution and Health: Observatory Network in Europe</t>
        </is>
      </c>
      <c r="AF1336" t="inlineStr">
        <is>
          <t>This study was supported by the SINPHONIE project Schools Indoor Pollution and Health: Observatory Network in Europe, contract DG SANCO.</t>
        </is>
      </c>
      <c r="AH1336" t="n">
        <v>17</v>
      </c>
      <c r="AI1336" t="n">
        <v>1</v>
      </c>
      <c r="AJ1336" t="n">
        <v>1</v>
      </c>
      <c r="AK1336" t="n">
        <v>0</v>
      </c>
      <c r="AL1336" t="n">
        <v>12</v>
      </c>
      <c r="AM1336" t="inlineStr">
        <is>
          <t>GH ASACHI TECHNICAL UNIV IASI</t>
        </is>
      </c>
      <c r="AN1336" t="inlineStr">
        <is>
          <t>IASI</t>
        </is>
      </c>
      <c r="AO1336" t="inlineStr">
        <is>
          <t>71 MANGERON BLVD, IASI, 700050, ROMANIA</t>
        </is>
      </c>
      <c r="AP1336" t="inlineStr">
        <is>
          <t>1582-9596</t>
        </is>
      </c>
      <c r="AQ1336" t="inlineStr">
        <is>
          <t>1843-3707</t>
        </is>
      </c>
      <c r="AS1336" t="inlineStr">
        <is>
          <t>ENVIRON ENG MANAG J</t>
        </is>
      </c>
      <c r="AT1336" t="inlineStr">
        <is>
          <t>Environ. Eng. Manag. J.</t>
        </is>
      </c>
      <c r="AU1336" t="inlineStr">
        <is>
          <t>FEB</t>
        </is>
      </c>
      <c r="AV1336" t="n">
        <v>2013</v>
      </c>
      <c r="AW1336" t="n">
        <v>12</v>
      </c>
      <c r="AX1336" t="n">
        <v>2</v>
      </c>
      <c r="BC1336" t="n">
        <v>219</v>
      </c>
      <c r="BD1336" t="n">
        <v>225</v>
      </c>
      <c r="BF1336" t="inlineStr">
        <is>
          <t>10.30638/eemj.2013.024</t>
        </is>
      </c>
      <c r="BG1336">
        <f>HYPERLINK("http://dx.doi.org/10.30638/eemj.2013.024","http://dx.doi.org/10.30638/eemj.2013.024")</f>
        <v/>
      </c>
      <c r="BJ1336" t="n">
        <v>7</v>
      </c>
      <c r="BK1336" t="inlineStr">
        <is>
          <t>Environmental Sciences</t>
        </is>
      </c>
      <c r="BL1336" t="inlineStr">
        <is>
          <t>Science Citation Index Expanded (SCI-EXPANDED)</t>
        </is>
      </c>
      <c r="BM1336" t="inlineStr">
        <is>
          <t>Environmental Sciences &amp; Ecology</t>
        </is>
      </c>
      <c r="BN1336" t="inlineStr">
        <is>
          <t>129PR</t>
        </is>
      </c>
      <c r="BS1336" t="inlineStr">
        <is>
          <t>2023-10-26</t>
        </is>
      </c>
      <c r="BT1336" t="inlineStr">
        <is>
          <t>WOS:000317854400003</t>
        </is>
      </c>
      <c r="BU1336">
        <f>HYPERLINK("https%3A%2F%2Fwww.webofscience.com%2Fwos%2Fwoscc%2Ffull-record%2FWOS:000317854400003","View Full Record in Web of Science")</f>
        <v/>
      </c>
    </row>
    <row r="1337">
      <c r="A1337" t="inlineStr">
        <is>
          <t>J</t>
        </is>
      </c>
      <c r="B1337" t="inlineStr">
        <is>
          <t>Balocco, C; Colaianni, A</t>
        </is>
      </c>
      <c r="F1337" t="inlineStr">
        <is>
          <t>Balocco, Carla; Colaianni, Alessandro</t>
        </is>
      </c>
      <c r="J1337" t="inlineStr">
        <is>
          <t>SUSTAINABILITY</t>
        </is>
      </c>
      <c r="M1337" t="inlineStr">
        <is>
          <t>English</t>
        </is>
      </c>
      <c r="N1337" t="inlineStr">
        <is>
          <t>Article</t>
        </is>
      </c>
      <c r="T1337" t="inlineStr">
        <is>
          <t>Modelling of Reversible Plant System Operations in a Cultural Heritage School Building for Indoor Thermal Comfort</t>
        </is>
      </c>
      <c r="U1337" t="inlineStr">
        <is>
          <t>cultural heritage; school building; energy refurbishment; CFD simulation; thermal comfort; global and local comfort indexes</t>
        </is>
      </c>
      <c r="V1337" t="inlineStr">
        <is>
          <t>ENERGY PERFORMANCE; EDUCATIONAL BUILDINGS; AIR ENVIRONMENT; STRATEGIES; EFFICIENCY; CLASSROOM</t>
        </is>
      </c>
      <c r="W1337" t="inlineStr">
        <is>
          <t>The aim of our present research is to investigate possible solutions for the achievement of indoor comfort with the absence of any draft risks in the occupied zones of Cultural Heritage school building. A simple method for sustainable, reversible, and easily maintainable operations on the plant system, oriented to indoor comfort improvement and possible building-plant system refurbishment, is provided. It is based on thermal comfort assessment at an early design stage, carried out by dynamic simulation and CFD techniques. It helps to identify major ineffective equipment in historical school buildings, and potential sustainable, noninvasive, reversible, and conservative measures. Results obtained by a simulation exercise of a historical school building, a check case study, showed that the evaluation of thermal comfort conditions can be a strong guideline for reversible plant design. This guarantees building protection and preventive conservation. Refurbishment and retrofitting solutions, with a lower impact can be identified. Thus in depth assessment of the building physics and plant performance aiming at energy efficacy and sustainability, can contribute to finding out the balance between energy saving, sustainability, and quality of life. Our method can be a useful tool for effectiveness analysis on retrofit and refurbishment measures for similar case studies.</t>
        </is>
      </c>
      <c r="X1337" t="inlineStr">
        <is>
          <t>[Balocco, Carla; Colaianni, Alessandro] Univ Florence, Dept Ind Engn, Via Santa Marta 3, I-50139 Florence, Italy</t>
        </is>
      </c>
      <c r="Y1337" t="inlineStr">
        <is>
          <t>University of Florence</t>
        </is>
      </c>
      <c r="Z1337" t="inlineStr">
        <is>
          <t>Balocco, C (corresponding author), Univ Florence, Dept Ind Engn, Via Santa Marta 3, I-50139 Florence, Italy.</t>
        </is>
      </c>
      <c r="AA1337" t="inlineStr">
        <is>
          <t>carla.balocco@unifi.it; alessandro.colaianni@unifi.it</t>
        </is>
      </c>
      <c r="AB1337" t="inlineStr">
        <is>
          <t>Noris, Francisco/AHC-5769-2022</t>
        </is>
      </c>
      <c r="AC1337" t="inlineStr">
        <is>
          <t>Noris, Francisco/0000-0003-0841-8324; Balocco, Carla/0000-0002-8698-2097</t>
        </is>
      </c>
      <c r="AH1337" t="n">
        <v>43</v>
      </c>
      <c r="AI1337" t="n">
        <v>2</v>
      </c>
      <c r="AJ1337" t="n">
        <v>2</v>
      </c>
      <c r="AK1337" t="n">
        <v>2</v>
      </c>
      <c r="AL1337" t="n">
        <v>15</v>
      </c>
      <c r="AM1337" t="inlineStr">
        <is>
          <t>MDPI</t>
        </is>
      </c>
      <c r="AN1337" t="inlineStr">
        <is>
          <t>BASEL</t>
        </is>
      </c>
      <c r="AO1337" t="inlineStr">
        <is>
          <t>ST ALBAN-ANLAGE 66, CH-4052 BASEL, SWITZERLAND</t>
        </is>
      </c>
      <c r="AQ1337" t="inlineStr">
        <is>
          <t>2071-1050</t>
        </is>
      </c>
      <c r="AS1337" t="inlineStr">
        <is>
          <t>SUSTAINABILITY-BASEL</t>
        </is>
      </c>
      <c r="AT1337" t="inlineStr">
        <is>
          <t>Sustainability</t>
        </is>
      </c>
      <c r="AU1337" t="inlineStr">
        <is>
          <t>OCT</t>
        </is>
      </c>
      <c r="AV1337" t="n">
        <v>2018</v>
      </c>
      <c r="AW1337" t="n">
        <v>10</v>
      </c>
      <c r="AX1337" t="n">
        <v>10</v>
      </c>
      <c r="BE1337" t="n">
        <v>3776</v>
      </c>
      <c r="BF1337" t="inlineStr">
        <is>
          <t>10.3390/su10103776</t>
        </is>
      </c>
      <c r="BG1337">
        <f>HYPERLINK("http://dx.doi.org/10.3390/su10103776","http://dx.doi.org/10.3390/su10103776")</f>
        <v/>
      </c>
      <c r="BJ1337" t="n">
        <v>16</v>
      </c>
      <c r="BK1337" t="inlineStr">
        <is>
          <t>Green &amp; Sustainable Science &amp; Technology; Environmental Sciences; Environmental Studies</t>
        </is>
      </c>
      <c r="BL1337" t="inlineStr">
        <is>
          <t>Science Citation Index Expanded (SCI-EXPANDED); Social Science Citation Index (SSCI)</t>
        </is>
      </c>
      <c r="BM1337" t="inlineStr">
        <is>
          <t>Science &amp; Technology - Other Topics; Environmental Sciences &amp; Ecology</t>
        </is>
      </c>
      <c r="BN1337" t="inlineStr">
        <is>
          <t>GY4UB</t>
        </is>
      </c>
      <c r="BP1337" t="inlineStr">
        <is>
          <t>gold, Green Submitted, Green Published</t>
        </is>
      </c>
      <c r="BS1337" t="inlineStr">
        <is>
          <t>2023-10-26</t>
        </is>
      </c>
      <c r="BT1337" t="inlineStr">
        <is>
          <t>WOS:000448559400418</t>
        </is>
      </c>
      <c r="BU1337">
        <f>HYPERLINK("https%3A%2F%2Fwww.webofscience.com%2Fwos%2Fwoscc%2Ffull-record%2FWOS:000448559400418","View Full Record in Web of Science")</f>
        <v/>
      </c>
    </row>
    <row r="1338">
      <c r="A1338" t="inlineStr">
        <is>
          <t>J</t>
        </is>
      </c>
      <c r="B1338" t="inlineStr">
        <is>
          <t>Streiff, O</t>
        </is>
      </c>
      <c r="F1338" t="inlineStr">
        <is>
          <t>Streiff, Oliver</t>
        </is>
      </c>
      <c r="J1338" t="inlineStr">
        <is>
          <t>GAIA-ECOLOGICAL PERSPECTIVES FOR SCIENCE AND SOCIETY</t>
        </is>
      </c>
      <c r="M1338" t="inlineStr">
        <is>
          <t>English</t>
        </is>
      </c>
      <c r="N1338" t="inlineStr">
        <is>
          <t>Article</t>
        </is>
      </c>
      <c r="T1338" t="inlineStr">
        <is>
          <t>Reflecting on Law and the Quality of the Built Environment A Transdisciplinary Perspective</t>
        </is>
      </c>
      <c r="U1338" t="inlineStr">
        <is>
          <t>architectural policy; architecture; artificial resource; building culture; lawmaking; political-administrative programme; public law; spatial planning</t>
        </is>
      </c>
      <c r="X1338" t="inlineStr">
        <is>
          <t>ETH, Dept Humanities Social &amp; Polit Sci D Gess, CH-8092 Zurich, Switzerland</t>
        </is>
      </c>
      <c r="Y1338" t="inlineStr">
        <is>
          <t>Swiss Federal Institutes of Technology Domain; ETH Zurich</t>
        </is>
      </c>
      <c r="Z1338" t="inlineStr">
        <is>
          <t>Streiff, O (corresponding author), ETH, Dept Humanities Social &amp; Polit Sci D Gess, Haldeneggsteig 4, CH-8092 Zurich, Switzerland.</t>
        </is>
      </c>
      <c r="AA1338" t="inlineStr">
        <is>
          <t>streiffo@ethz.ch</t>
        </is>
      </c>
      <c r="AH1338" t="n">
        <v>8</v>
      </c>
      <c r="AI1338" t="n">
        <v>0</v>
      </c>
      <c r="AJ1338" t="n">
        <v>0</v>
      </c>
      <c r="AK1338" t="n">
        <v>0</v>
      </c>
      <c r="AL1338" t="n">
        <v>1</v>
      </c>
      <c r="AM1338" t="inlineStr">
        <is>
          <t>OEKOM VERLAG</t>
        </is>
      </c>
      <c r="AN1338" t="inlineStr">
        <is>
          <t>MUNICH</t>
        </is>
      </c>
      <c r="AO1338" t="inlineStr">
        <is>
          <t>WALTHERSTR 29, MUNICH, 80337, GERMANY</t>
        </is>
      </c>
      <c r="AP1338" t="inlineStr">
        <is>
          <t>0940-5550</t>
        </is>
      </c>
      <c r="AS1338" t="inlineStr">
        <is>
          <t>GAIA</t>
        </is>
      </c>
      <c r="AT1338" t="inlineStr">
        <is>
          <t>GAIA</t>
        </is>
      </c>
      <c r="AV1338" t="n">
        <v>2014</v>
      </c>
      <c r="AW1338" t="n">
        <v>23</v>
      </c>
      <c r="AX1338" t="n">
        <v>3</v>
      </c>
      <c r="BC1338" t="n">
        <v>269</v>
      </c>
      <c r="BD1338" t="n">
        <v>271</v>
      </c>
      <c r="BF1338" t="inlineStr">
        <is>
          <t>10.14512/gaia.23.3.13</t>
        </is>
      </c>
      <c r="BG1338">
        <f>HYPERLINK("http://dx.doi.org/10.14512/gaia.23.3.13","http://dx.doi.org/10.14512/gaia.23.3.13")</f>
        <v/>
      </c>
      <c r="BJ1338" t="n">
        <v>3</v>
      </c>
      <c r="BK1338" t="inlineStr">
        <is>
          <t>Environmental Sciences; Environmental Studies</t>
        </is>
      </c>
      <c r="BL1338" t="inlineStr">
        <is>
          <t>Science Citation Index Expanded (SCI-EXPANDED); Social Science Citation Index (SSCI)</t>
        </is>
      </c>
      <c r="BM1338" t="inlineStr">
        <is>
          <t>Environmental Sciences &amp; Ecology</t>
        </is>
      </c>
      <c r="BN1338" t="inlineStr">
        <is>
          <t>AQ7BB</t>
        </is>
      </c>
      <c r="BS1338" t="inlineStr">
        <is>
          <t>2023-10-26</t>
        </is>
      </c>
      <c r="BT1338" t="inlineStr">
        <is>
          <t>WOS:000342966500012</t>
        </is>
      </c>
      <c r="BU1338">
        <f>HYPERLINK("https%3A%2F%2Fwww.webofscience.com%2Fwos%2Fwoscc%2Ffull-record%2FWOS:000342966500012","View Full Record in Web of Science")</f>
        <v/>
      </c>
    </row>
    <row r="1339">
      <c r="A1339" t="inlineStr">
        <is>
          <t>J</t>
        </is>
      </c>
      <c r="B1339" t="inlineStr">
        <is>
          <t>Zhao, LZ; Shen, ZJ; Zhang, YJ; Ma, Y</t>
        </is>
      </c>
      <c r="F1339" t="inlineStr">
        <is>
          <t>Zhao, Lizhen; Shen, Zhenjiang; Zhang, Yanji; Ma, Yan</t>
        </is>
      </c>
      <c r="J1339" t="inlineStr">
        <is>
          <t>SUSTAINABILITY</t>
        </is>
      </c>
      <c r="M1339" t="inlineStr">
        <is>
          <t>English</t>
        </is>
      </c>
      <c r="N1339" t="inlineStr">
        <is>
          <t>Article</t>
        </is>
      </c>
      <c r="T1339" t="inlineStr">
        <is>
          <t>The Impact of the Community Built Environment on the Walking Times of Residents in a Community in the Downtown Area of Fuzhou</t>
        </is>
      </c>
      <c r="U1339" t="inlineStr">
        <is>
          <t>walking time; density; diversity; design; destination; distance</t>
        </is>
      </c>
      <c r="V1339" t="inlineStr">
        <is>
          <t>PERCEIVED NEIGHBORHOOD ENVIRONMENT; PHYSICAL-ACTIVITY; URBAN DESIGN; TRAVEL; BEHAVIOR; HEALTH; ASSOCIATIONS; LOCATION; DENSITY; FORM</t>
        </is>
      </c>
      <c r="W1339" t="inlineStr">
        <is>
          <t>By means of on-site and network investigation, we collected data relevant to residents of communities, point of interest (POI) data, and land-use data of Fuzhou. We set traffic walking time and leisure walking time as an independent variable, built environment as dependent variable, and gender, age, education level and income level as control variables. Six linear regression models were established using Statistical Product and Service Solutions (SPSS). The results showed that in the 5D (i.e., Density, Diversity, Design, Destination and Distance) elements of the built environment, the density was negatively correlated with the traffic walking time, whereas other elements were positively correlated with the walking time, but the degree of influence was different.</t>
        </is>
      </c>
      <c r="X1339" t="inlineStr">
        <is>
          <t>[Zhao, Lizhen; Shen, Zhenjiang] Kanazawa Univ, Sch Geosci &amp; Civil Engn, Kanazawa, Ishikawa 9201192, Japan; [Zhao, Lizhen; Zhang, Yanji; Ma, Yan] Fuzhou Univ, Sch Architecture, Fuzhou 350116, Fujian, Peoples R China</t>
        </is>
      </c>
      <c r="Y1339" t="inlineStr">
        <is>
          <t>Kanazawa University; Fuzhou University</t>
        </is>
      </c>
      <c r="Z1339" t="inlineStr">
        <is>
          <t>Shen, ZJ (corresponding author), Kanazawa Univ, Sch Geosci &amp; Civil Engn, Kanazawa, Ishikawa 9201192, Japan.</t>
        </is>
      </c>
      <c r="AA1339" t="inlineStr">
        <is>
          <t>zlz1997@fzu.edu.cn; shenzhe@se.kanazawa-u.ac.jp; 1125722562@qq.com; 80541565@qq.com</t>
        </is>
      </c>
      <c r="AB1339" t="inlineStr">
        <is>
          <t>Shen, Zhenjiang/J-7979-2015</t>
        </is>
      </c>
      <c r="AC1339" t="inlineStr">
        <is>
          <t>Shen, Zhenjiang/0000-0002-0417-5962</t>
        </is>
      </c>
      <c r="AD1339" t="inlineStr">
        <is>
          <t>Natural Science Foundation of Fujian Province [2018J01747]</t>
        </is>
      </c>
      <c r="AE1339" t="inlineStr">
        <is>
          <t>Natural Science Foundation of Fujian Province(Natural Science Foundation of Fujian Province)</t>
        </is>
      </c>
      <c r="AF1339" t="inlineStr">
        <is>
          <t>This research was sponsored by Natural Science Foundation of Fujian Province, No. 2018J01747.</t>
        </is>
      </c>
      <c r="AH1339" t="n">
        <v>40</v>
      </c>
      <c r="AI1339" t="n">
        <v>3</v>
      </c>
      <c r="AJ1339" t="n">
        <v>3</v>
      </c>
      <c r="AK1339" t="n">
        <v>1</v>
      </c>
      <c r="AL1339" t="n">
        <v>22</v>
      </c>
      <c r="AM1339" t="inlineStr">
        <is>
          <t>MDPI</t>
        </is>
      </c>
      <c r="AN1339" t="inlineStr">
        <is>
          <t>BASEL</t>
        </is>
      </c>
      <c r="AO1339" t="inlineStr">
        <is>
          <t>ST ALBAN-ANLAGE 66, CH-4052 BASEL, SWITZERLAND</t>
        </is>
      </c>
      <c r="AQ1339" t="inlineStr">
        <is>
          <t>2071-1050</t>
        </is>
      </c>
      <c r="AS1339" t="inlineStr">
        <is>
          <t>SUSTAINABILITY-BASEL</t>
        </is>
      </c>
      <c r="AT1339" t="inlineStr">
        <is>
          <t>Sustainability</t>
        </is>
      </c>
      <c r="AU1339" t="inlineStr">
        <is>
          <t>FEB 1</t>
        </is>
      </c>
      <c r="AV1339" t="n">
        <v>2019</v>
      </c>
      <c r="AW1339" t="n">
        <v>11</v>
      </c>
      <c r="AX1339" t="n">
        <v>3</v>
      </c>
      <c r="BE1339" t="n">
        <v>691</v>
      </c>
      <c r="BF1339" t="inlineStr">
        <is>
          <t>10.3390/su11030691</t>
        </is>
      </c>
      <c r="BG1339">
        <f>HYPERLINK("http://dx.doi.org/10.3390/su11030691","http://dx.doi.org/10.3390/su11030691")</f>
        <v/>
      </c>
      <c r="BJ1339" t="n">
        <v>11</v>
      </c>
      <c r="BK1339" t="inlineStr">
        <is>
          <t>Green &amp; Sustainable Science &amp; Technology; Environmental Sciences; Environmental Studies</t>
        </is>
      </c>
      <c r="BL1339" t="inlineStr">
        <is>
          <t>Science Citation Index Expanded (SCI-EXPANDED); Social Science Citation Index (SSCI)</t>
        </is>
      </c>
      <c r="BM1339" t="inlineStr">
        <is>
          <t>Science &amp; Technology - Other Topics; Environmental Sciences &amp; Ecology</t>
        </is>
      </c>
      <c r="BN1339" t="inlineStr">
        <is>
          <t>HL7NY</t>
        </is>
      </c>
      <c r="BP1339" t="inlineStr">
        <is>
          <t>gold, Green Published</t>
        </is>
      </c>
      <c r="BS1339" t="inlineStr">
        <is>
          <t>2023-10-26</t>
        </is>
      </c>
      <c r="BT1339" t="inlineStr">
        <is>
          <t>WOS:000458929500136</t>
        </is>
      </c>
      <c r="BU1339">
        <f>HYPERLINK("https%3A%2F%2Fwww.webofscience.com%2Fwos%2Fwoscc%2Ffull-record%2FWOS:000458929500136","View Full Record in Web of Science")</f>
        <v/>
      </c>
    </row>
    <row r="1340">
      <c r="A1340" t="inlineStr">
        <is>
          <t>J</t>
        </is>
      </c>
      <c r="B1340" t="inlineStr">
        <is>
          <t>Chaudhry, BM; Dasgupta, D; Chawla, NV</t>
        </is>
      </c>
      <c r="F1340" t="inlineStr">
        <is>
          <t>Chaudhry, Beenish Moalla; Dasgupta, Dipanwita; Chawla, Nitesh, V</t>
        </is>
      </c>
      <c r="J1340" t="inlineStr">
        <is>
          <t>INTERNATIONAL JOURNAL OF ENVIRONMENTAL RESEARCH AND PUBLIC HEALTH</t>
        </is>
      </c>
      <c r="M1340" t="inlineStr">
        <is>
          <t>English</t>
        </is>
      </c>
      <c r="N1340" t="inlineStr">
        <is>
          <t>Article</t>
        </is>
      </c>
      <c r="T1340" t="inlineStr">
        <is>
          <t>Successful Aging for Community-Dwelling Older Adults: An Experimental Study with a Tablet App</t>
        </is>
      </c>
      <c r="U1340" t="inlineStr">
        <is>
          <t>older adults; goal-oriented care; connected health; mobile application; human-centered design</t>
        </is>
      </c>
      <c r="V1340" t="inlineStr">
        <is>
          <t>QUALITY-OF-LIFE; HEALTH; QUESTIONNAIRE; TECHNOLOGY; DISABILITY; EDUCATION; STRATEGY; EXERCISE; DIETARY</t>
        </is>
      </c>
      <c r="W1340" t="inlineStr">
        <is>
          <t>Mobile health (mHealth) technologies offer an opportunity to enable the care and support of community-dwelling older adults, however, research examining the use of mHealth in delivering quality of life (QoL) improvements in the older population is limited. We developed a tablet application (eSeniorCare) based on the Successful Aging framework and investigated its feasibility among older adults with low socioeconomic status. Twenty five participants (females = 14, mean age = 65 years) used the app to set and track medication intake reminders and health goals, and to play selected casual mobile games for 24 weeks. The Older person QoL and Short Health (SF12v2) surveys were administered before and after the study. The Wilcoxon rank tests were used to determine differences from baseline, and thematic analysis was used to analyze post-study interview data. The improvements in health-related QoL (HRQoL) scores were statistically significant (V=41.5, p=0.005856) across all participants. The frequent eSeniorCare users experienced statistically significant improvements in their physical health (V=13, p=0.04546) and HRQoL (V=7.5, p=0.0050307) scores. Participants reported that the eSeniorCare app motivated timely medication intake and health goals achievement, whereas tablet games promoted mental stimulation. Participants were willing to use mobile apps to self-manage their medications (70%) and adopt healthy activities (72%), while 92% wanted to recommend eSeniorCare to a friend. This study shows the feasibility and possible impact of an mHealth tool on the health-related QoL in older adults with a low socioeconomic status. mHealth support tools and future research to determine their effects are warranted for this population.</t>
        </is>
      </c>
      <c r="X1340" t="inlineStr">
        <is>
          <t>[Chaudhry, Beenish Moalla] Univ Louisiana Lafayette, Sch Comp &amp; Informat, 104 E Univ Cirde, Lafayette, LA 70501 USA; [Dasgupta, Dipanwita; Chawla, Nitesh, V] Univ Notre Dame, Dept Comp Sci &amp; Engn, Notre Dame, IN 46656 USA</t>
        </is>
      </c>
      <c r="Y1340" t="inlineStr">
        <is>
          <t>University of Louisiana Lafayette; University of Notre Dame</t>
        </is>
      </c>
      <c r="Z1340" t="inlineStr">
        <is>
          <t>Chawla, NV (corresponding author), Univ Notre Dame, Dept Comp Sci &amp; Engn, Notre Dame, IN 46656 USA.</t>
        </is>
      </c>
      <c r="AA1340" t="inlineStr">
        <is>
          <t>nchawla@nd.edu</t>
        </is>
      </c>
      <c r="AB1340" t="inlineStr">
        <is>
          <t>Chawla, Nitesh/F-2690-2016</t>
        </is>
      </c>
      <c r="AC1340" t="inlineStr">
        <is>
          <t>Chawla, Nitesh/0000-0003-3932-5956; Chaudhry, Beenish Moalla/0000-0002-0437-6924</t>
        </is>
      </c>
      <c r="AH1340" t="n">
        <v>87</v>
      </c>
      <c r="AI1340" t="n">
        <v>5</v>
      </c>
      <c r="AJ1340" t="n">
        <v>5</v>
      </c>
      <c r="AK1340" t="n">
        <v>2</v>
      </c>
      <c r="AL1340" t="n">
        <v>7</v>
      </c>
      <c r="AM1340" t="inlineStr">
        <is>
          <t>MDPI</t>
        </is>
      </c>
      <c r="AN1340" t="inlineStr">
        <is>
          <t>BASEL</t>
        </is>
      </c>
      <c r="AO1340" t="inlineStr">
        <is>
          <t>ST ALBAN-ANLAGE 66, CH-4052 BASEL, SWITZERLAND</t>
        </is>
      </c>
      <c r="AQ1340" t="inlineStr">
        <is>
          <t>1660-4601</t>
        </is>
      </c>
      <c r="AS1340" t="inlineStr">
        <is>
          <t>INT J ENV RES PUB HE</t>
        </is>
      </c>
      <c r="AT1340" t="inlineStr">
        <is>
          <t>Int. J. Environ. Res. Public Health</t>
        </is>
      </c>
      <c r="AU1340" t="inlineStr">
        <is>
          <t>OCT</t>
        </is>
      </c>
      <c r="AV1340" t="n">
        <v>2022</v>
      </c>
      <c r="AW1340" t="n">
        <v>19</v>
      </c>
      <c r="AX1340" t="n">
        <v>20</v>
      </c>
      <c r="BE1340" t="n">
        <v>13148</v>
      </c>
      <c r="BF1340" t="inlineStr">
        <is>
          <t>10.3390/ijerph192013148</t>
        </is>
      </c>
      <c r="BG1340">
        <f>HYPERLINK("http://dx.doi.org/10.3390/ijerph192013148","http://dx.doi.org/10.3390/ijerph192013148")</f>
        <v/>
      </c>
      <c r="BJ1340" t="n">
        <v>28</v>
      </c>
      <c r="BK1340" t="inlineStr">
        <is>
          <t>Environmental Sciences; Public, Environmental &amp; Occupational Health</t>
        </is>
      </c>
      <c r="BL1340" t="inlineStr">
        <is>
          <t>Science Citation Index Expanded (SCI-EXPANDED); Social Science Citation Index (SSCI)</t>
        </is>
      </c>
      <c r="BM1340" t="inlineStr">
        <is>
          <t>Environmental Sciences &amp; Ecology; Public, Environmental &amp; Occupational Health</t>
        </is>
      </c>
      <c r="BN1340" t="inlineStr">
        <is>
          <t>5P8RR</t>
        </is>
      </c>
      <c r="BO1340" t="n">
        <v>36293730</v>
      </c>
      <c r="BP1340" t="inlineStr">
        <is>
          <t>Green Published, gold</t>
        </is>
      </c>
      <c r="BS1340" t="inlineStr">
        <is>
          <t>2023-10-26</t>
        </is>
      </c>
      <c r="BT1340" t="inlineStr">
        <is>
          <t>WOS:000873412200001</t>
        </is>
      </c>
      <c r="BU1340">
        <f>HYPERLINK("https%3A%2F%2Fwww.webofscience.com%2Fwos%2Fwoscc%2Ffull-record%2FWOS:000873412200001","View Full Record in Web of Science")</f>
        <v/>
      </c>
    </row>
    <row r="1341">
      <c r="A1341" t="inlineStr">
        <is>
          <t>J</t>
        </is>
      </c>
      <c r="B1341" t="inlineStr">
        <is>
          <t>Wang, D; Krebs, E; Vissoci, JRN; de Andrade, L; Rulisa, S; Staton, CA</t>
        </is>
      </c>
      <c r="F1341" t="inlineStr">
        <is>
          <t>Wang, Daphne; Krebs, Elizabeth; Vissoci, Joao Ricardo Nickenig; de Andrade, Luciano; Rulisa, Stephen; Staton, Catherine A.</t>
        </is>
      </c>
      <c r="J1341" t="inlineStr">
        <is>
          <t>FRONTIERS IN SUSTAINABLE CITIES</t>
        </is>
      </c>
      <c r="M1341" t="inlineStr">
        <is>
          <t>English</t>
        </is>
      </c>
      <c r="N1341" t="inlineStr">
        <is>
          <t>Article</t>
        </is>
      </c>
      <c r="T1341" t="inlineStr">
        <is>
          <t>Built Environment Analysis for Road Traffic Crash Hotspots in Kigali, Rwanda</t>
        </is>
      </c>
      <c r="U1341" t="inlineStr">
        <is>
          <t>road; traffic; crash; injury; Rwanda; hotspot; built-environment; LMIC</t>
        </is>
      </c>
      <c r="W1341" t="inlineStr">
        <is>
          <t>Introduction: Road traffic injuries (RTIs) are a significant cause of morbidity and mortality in Rwanda. Investigations of the high risk areas for road traffic crashes (RTCs) are urgently needed to guide improvements in road safety. This study aims to identify RTC hotspots in Kigali, Rwanda, and to conduct a built environment analysis of these hotspots. Methods: RTC and RTC-prone locations were collected from the Kigali Traffic Police and high frequency road users, and hotspots were identified through kernel density estimation. Built environment characteristics (BEA), including road design, road safety, pedestrian safety, and traffic density, were collected for each hotspot. BEA characteristics were associated with risk of RTC using logistic regression and BEA scores were calculated using principal component analysis. Patterns of BEA were identified through exploratory cluster analysis and associated with risk for RTC using logistic regression. Results: 25 RTC hotspots were identified. High crash risk locations were less likely to have unpaved roads (21%, p = 0.049) and road narrowing (21%, p = 0.049). High crash risk locations were also more likely to have pedestrian walkways (100%, p = 0.009), factors aiding pedestrian crossing (100%, p = 0.026), and poor road surfaces (86%, p = 0.005). Cluster analysis showed that hotspots with fewer urban characteristics, including road safety features, motor vehicle density, and pedestrian safety features, have significantly decreased odds of being a high mortality risk hotspot than a hotspot with more urban characteristics (OR = 0.13, 95% CI 0.02-0.79). Conclusions: RTC hotspots were in the city center with high motor vehicle density but did have road and pedestrian safety features, suggesting that speeding is a major cause of RTCs. Effective traffic calming measures and enforcement of road safety laws may reduce the burden of road traffic injuries in Kigali but additional analyses are recommended.</t>
        </is>
      </c>
      <c r="X1341" t="inlineStr">
        <is>
          <t>[Wang, Daphne; Krebs, Elizabeth; Vissoci, Joao Ricardo Nickenig; de Andrade, Luciano; Staton, Catherine A.] Duke Univ, Dept Global Injury, Duke Global Hlth Inst, Durham, NC 27706 USA; [Krebs, Elizabeth; Vissoci, Joao Ricardo Nickenig; Staton, Catherine A.] Duke Univ, Med Ctr, Dept Surg, Div Emergency Med, Durham, NC 27706 USA; [Krebs, Elizabeth] Thomas Jefferson Univ, Dept Emergency Med, Philadelphia, PA 19107 USA; [de Andrade, Luciano] Univ Maringa, Dept Med, Maringa, Parana, Brazil; [Rulisa, Stephen] Univ Rwanda, Univ Teaching Hosp Kigali, Dept Obstet &amp; Gynecol, Kigali, Rwanda</t>
        </is>
      </c>
      <c r="Y1341" t="inlineStr">
        <is>
          <t>Duke University; Duke University; Jefferson University; University of Rwanda</t>
        </is>
      </c>
      <c r="Z1341" t="inlineStr">
        <is>
          <t>Staton, CA (corresponding author), Duke Univ, Dept Global Injury, Duke Global Hlth Inst, Durham, NC 27706 USA.;Staton, CA (corresponding author), Duke Univ, Med Ctr, Dept Surg, Div Emergency Med, Durham, NC 27706 USA.</t>
        </is>
      </c>
      <c r="AA1341" t="inlineStr">
        <is>
          <t>catherine.staton@duke.edu</t>
        </is>
      </c>
      <c r="AC1341" t="inlineStr">
        <is>
          <t>Krebs, Elizabeth/0000-0003-4905-9700; Staton, Catherine/0000-0002-6468-2894</t>
        </is>
      </c>
      <c r="AD1341" t="inlineStr">
        <is>
          <t>Duke Global Health Institute of the Fudan University; Global Health Institute of the Fudan University; Fogarty International Center [K01 TW010000-01A1, R25 TW009887]</t>
        </is>
      </c>
      <c r="AE1341" t="inlineStr">
        <is>
          <t>Duke Global Health Institute of the Fudan University; Global Health Institute of the Fudan University; Fogarty International Center(United States Department of Health &amp; Human ServicesNational Institutes of Health (NIH) - USANIH Fogarty International Center (FIC))</t>
        </is>
      </c>
      <c r="AF1341" t="inlineStr">
        <is>
          <t>Funding for this project was from the Duke Global Health Institute and the Global Health Institute of the Fudan University. The authors acknowledge funding for this study from the Fogarty International Center (K01 TW010000-01A1 to CS, R25 TW009887 to EK). The content is solely the responsibility of the authors and does not necessarily represent the official views of the NIH.</t>
        </is>
      </c>
      <c r="AH1341" t="n">
        <v>56</v>
      </c>
      <c r="AI1341" t="n">
        <v>3</v>
      </c>
      <c r="AJ1341" t="n">
        <v>3</v>
      </c>
      <c r="AK1341" t="n">
        <v>3</v>
      </c>
      <c r="AL1341" t="n">
        <v>11</v>
      </c>
      <c r="AM1341" t="inlineStr">
        <is>
          <t>FRONTIERS MEDIA SA</t>
        </is>
      </c>
      <c r="AN1341" t="inlineStr">
        <is>
          <t>LAUSANNE</t>
        </is>
      </c>
      <c r="AO1341" t="inlineStr">
        <is>
          <t>AVENUE DU TRIBUNAL FEDERAL 34, LAUSANNE, CH-1015, SWITZERLAND</t>
        </is>
      </c>
      <c r="AQ1341" t="inlineStr">
        <is>
          <t>2624-9634</t>
        </is>
      </c>
      <c r="AS1341" t="inlineStr">
        <is>
          <t>FRONT SUSTAIN CITIES</t>
        </is>
      </c>
      <c r="AT1341" t="inlineStr">
        <is>
          <t>Front. Sustain. Cities</t>
        </is>
      </c>
      <c r="AV1341" t="n">
        <v>2020</v>
      </c>
      <c r="AW1341" t="n">
        <v>2</v>
      </c>
      <c r="BE1341" t="n">
        <v>17</v>
      </c>
      <c r="BF1341" t="inlineStr">
        <is>
          <t>10.3389/frsc.2020.00017</t>
        </is>
      </c>
      <c r="BG1341">
        <f>HYPERLINK("http://dx.doi.org/10.3389/frsc.2020.00017","http://dx.doi.org/10.3389/frsc.2020.00017")</f>
        <v/>
      </c>
      <c r="BJ1341" t="n">
        <v>13</v>
      </c>
      <c r="BK1341" t="inlineStr">
        <is>
          <t>Green &amp; Sustainable Science &amp; Technology; Environmental Sciences; Environmental Studies; Urban Studies</t>
        </is>
      </c>
      <c r="BL1341" t="inlineStr">
        <is>
          <t>Emerging Sources Citation Index (ESCI)</t>
        </is>
      </c>
      <c r="BM1341" t="inlineStr">
        <is>
          <t>Science &amp; Technology - Other Topics; Environmental Sciences &amp; Ecology; Urban Studies</t>
        </is>
      </c>
      <c r="BN1341" t="inlineStr">
        <is>
          <t>VK7OB</t>
        </is>
      </c>
      <c r="BP1341" t="inlineStr">
        <is>
          <t>gold</t>
        </is>
      </c>
      <c r="BS1341" t="inlineStr">
        <is>
          <t>2023-10-26</t>
        </is>
      </c>
      <c r="BT1341" t="inlineStr">
        <is>
          <t>WOS:000751652700017</t>
        </is>
      </c>
      <c r="BU1341">
        <f>HYPERLINK("https%3A%2F%2Fwww.webofscience.com%2Fwos%2Fwoscc%2Ffull-record%2FWOS:000751652700017","View Full Record in Web of Science")</f>
        <v/>
      </c>
    </row>
    <row r="1342">
      <c r="A1342" t="inlineStr">
        <is>
          <t>J</t>
        </is>
      </c>
      <c r="B1342" t="inlineStr">
        <is>
          <t>Zhang, N; Gruhler, K; Schiller, G</t>
        </is>
      </c>
      <c r="F1342" t="inlineStr">
        <is>
          <t>Zhang, Ning; Gruhler, Karin; Schiller, Georg</t>
        </is>
      </c>
      <c r="J1342" t="inlineStr">
        <is>
          <t>ENVIRONMENTAL SCIENCE AND POLLUTION RESEARCH</t>
        </is>
      </c>
      <c r="M1342" t="inlineStr">
        <is>
          <t>English</t>
        </is>
      </c>
      <c r="N1342" t="inlineStr">
        <is>
          <t>Review; Early Access</t>
        </is>
      </c>
      <c r="T1342" t="inlineStr">
        <is>
          <t>A review of spatial characteristics influencing circular economy in the built environment</t>
        </is>
      </c>
      <c r="U1342" t="inlineStr">
        <is>
          <t>Circular economy; Built environment; Space; Construction materials; Circularity; Literature review</t>
        </is>
      </c>
      <c r="V1342" t="inlineStr">
        <is>
          <t>MATERIAL FLOW-ANALYSIS; DEMOLITION WASTE; CONSTRUCTION; MANAGEMENT; INDICATORS; IMPACT; INFRASTRUCTURE; URBANIZATION; CHALLENGES; FRAMEWORK</t>
        </is>
      </c>
      <c r="W1342" t="inlineStr">
        <is>
          <t>Industrialization, population growth, and urbanization are all trends driving the explosive growth of the construction industry. Creating buildings to house people and operate industry, together with building infrastructure to provide public services, requires prodigious quantities of energy and materials. Most of these virgin materials are non-renewable, and resource shortages caused by the development of the built environment are becoming increasingly inevitable. The gradually evolved circular economy (CE) is considered a way to ease the depletion of resources by extending service life, increasing efficiency, and converting waste into resources. However, the circularity of construction materials shows heavy regional distinctness due to the difference in spatial contexts in the geographical sense, resulting in the same CE business models (CEBMs) not being adapted to all regions. To optimize resource loops and formulate effective CEBMs, it is essential to understand the relationship between space and CE in the built environment. This paper reviews existing publications to summarize the research trends, examine how spatial features are reflected in the circularity of materials, and identify connections between spatial and CE clues. We found that the majority of contributors in this interdisciplinary field are from countries with middle to high levels of urbanization. Further, the case analysis details the material dynamics in different spatial contexts and links space and material cycles. The results indicate that the spatial characteristics can indeed influence the circularity of materials through varying resource cycling patterns. By utilizing spatial information wisely can help design locally adapted CEBMs and maximize the value chain of construction materials.</t>
        </is>
      </c>
      <c r="X1342" t="inlineStr">
        <is>
          <t>[Zhang, Ning; Gruhler, Karin; Schiller, Georg] Leibniz Inst Ecol Urban &amp; Reg Dev IOER, Weberpl 1, D-01217 Dresden, Germany</t>
        </is>
      </c>
      <c r="Y1342" t="inlineStr">
        <is>
          <t>Leibniz Institut fur okologische Raumentwicklung</t>
        </is>
      </c>
      <c r="Z1342" t="inlineStr">
        <is>
          <t>Schiller, G (corresponding author), Leibniz Inst Ecol Urban &amp; Reg Dev IOER, Weberpl 1, D-01217 Dresden, Germany.</t>
        </is>
      </c>
      <c r="AA1342" t="inlineStr">
        <is>
          <t>g.schiller@ioer.de</t>
        </is>
      </c>
      <c r="AC1342" t="inlineStr">
        <is>
          <t>Zhang, Ning/0000-0002-1563-1417</t>
        </is>
      </c>
      <c r="AH1342" t="n">
        <v>129</v>
      </c>
      <c r="AI1342" t="n">
        <v>1</v>
      </c>
      <c r="AJ1342" t="n">
        <v>1</v>
      </c>
      <c r="AK1342" t="n">
        <v>9</v>
      </c>
      <c r="AL1342" t="n">
        <v>10</v>
      </c>
      <c r="AM1342" t="inlineStr">
        <is>
          <t>SPRINGER HEIDELBERG</t>
        </is>
      </c>
      <c r="AN1342" t="inlineStr">
        <is>
          <t>HEIDELBERG</t>
        </is>
      </c>
      <c r="AO1342" t="inlineStr">
        <is>
          <t>TIERGARTENSTRASSE 17, D-69121 HEIDELBERG, GERMANY</t>
        </is>
      </c>
      <c r="AP1342" t="inlineStr">
        <is>
          <t>0944-1344</t>
        </is>
      </c>
      <c r="AQ1342" t="inlineStr">
        <is>
          <t>1614-7499</t>
        </is>
      </c>
      <c r="AS1342" t="inlineStr">
        <is>
          <t>ENVIRON SCI POLLUT R</t>
        </is>
      </c>
      <c r="AT1342" t="inlineStr">
        <is>
          <t>Environ. Sci. Pollut. Res.</t>
        </is>
      </c>
      <c r="AU1342" t="inlineStr">
        <is>
          <t>2023 MAR 17</t>
        </is>
      </c>
      <c r="AV1342" t="n">
        <v>2023</v>
      </c>
      <c r="BF1342" t="inlineStr">
        <is>
          <t>10.1007/s11356-023-26326-5</t>
        </is>
      </c>
      <c r="BG1342">
        <f>HYPERLINK("http://dx.doi.org/10.1007/s11356-023-26326-5","http://dx.doi.org/10.1007/s11356-023-26326-5")</f>
        <v/>
      </c>
      <c r="BI1342" t="inlineStr">
        <is>
          <t>MAR 2023</t>
        </is>
      </c>
      <c r="BJ1342" t="n">
        <v>23</v>
      </c>
      <c r="BK1342" t="inlineStr">
        <is>
          <t>Environmental Sciences</t>
        </is>
      </c>
      <c r="BL1342" t="inlineStr">
        <is>
          <t>Science Citation Index Expanded (SCI-EXPANDED)</t>
        </is>
      </c>
      <c r="BM1342" t="inlineStr">
        <is>
          <t>Environmental Sciences &amp; Ecology</t>
        </is>
      </c>
      <c r="BN1342" t="inlineStr">
        <is>
          <t>A2JR7</t>
        </is>
      </c>
      <c r="BO1342" t="n">
        <v>36930305</v>
      </c>
      <c r="BP1342" t="inlineStr">
        <is>
          <t>hybrid, Green Published</t>
        </is>
      </c>
      <c r="BS1342" t="inlineStr">
        <is>
          <t>2023-10-26</t>
        </is>
      </c>
      <c r="BT1342" t="inlineStr">
        <is>
          <t>WOS:000953451200005</t>
        </is>
      </c>
      <c r="BU1342">
        <f>HYPERLINK("https%3A%2F%2Fwww.webofscience.com%2Fwos%2Fwoscc%2Ffull-record%2FWOS:000953451200005","View Full Record in Web of Science")</f>
        <v/>
      </c>
    </row>
    <row r="1343">
      <c r="A1343" t="inlineStr">
        <is>
          <t>J</t>
        </is>
      </c>
      <c r="B1343" t="inlineStr">
        <is>
          <t>Nagy, R; Meciarová, L; Vilceková, S; Burdová, EK; Kosicanová, D</t>
        </is>
      </c>
      <c r="F1343" t="inlineStr">
        <is>
          <t>Nagy, Richard; Meciarova, L'udmila; Vilcekova, Silvia; Burdova, Eva Kridlova; Kosicanova, Danica</t>
        </is>
      </c>
      <c r="J1343" t="inlineStr">
        <is>
          <t>INTERNATIONAL JOURNAL OF ENVIRONMENTAL RESEARCH AND PUBLIC HEALTH</t>
        </is>
      </c>
      <c r="M1343" t="inlineStr">
        <is>
          <t>English</t>
        </is>
      </c>
      <c r="N1343" t="inlineStr">
        <is>
          <t>Article</t>
        </is>
      </c>
      <c r="T1343" t="inlineStr">
        <is>
          <t>Investigation of a Ventilation System for Energy Efficiency and Indoor Environmental Quality in a Renovated Historical Building: A Case Study</t>
        </is>
      </c>
      <c r="U1343" t="inlineStr">
        <is>
          <t>historical building; energy performance; natural ventilation; mechanical ventilation; IEQ; CO2; PM; SBS symptoms</t>
        </is>
      </c>
      <c r="V1343" t="inlineStr">
        <is>
          <t>SCHOOL; CONSERVATION; STRATEGIES; CLASSROOMS; PM10</t>
        </is>
      </c>
      <c r="W1343" t="inlineStr">
        <is>
          <t>This paper emphasizes the importance of environmental protection regarding the reduction of energy consumption while maintaining living standards. The aim of the research is to observe the effects of mechanical and natural ventilation on energy consumption and building operation as well as indoor environmental quality (IEQ). The results of indoor environmental quality testing show that the mean relative humidity (31%) is in the permissible range (30%-70%); the mean CO2 concentration (1050.5 ppm) is above the recommended value of 1000 ppm according to Pettenkofer; and the mean PM10 concentration (43.5 mu g/m(3)) is under the limit value of 50 mu g/m(3). A very large positive correlation is found between relative humidity and concentration of CO2 as well as between the concentration of PM5 and the concentration of CO2. The most commonly occurring sick building syndrome (SBS) symptoms are found to be fatigue and the feeling of a heavy head.</t>
        </is>
      </c>
      <c r="X1343" t="inlineStr">
        <is>
          <t>[Nagy, Richard; Kosicanova, Danica] Tech Univ Kosice, Fac Civil Engn, Inst Architectural Engn, Vysokoskolska 4, Kosice 04200, Slovakia; [Meciarova, L'udmila; Vilcekova, Silvia; Burdova, Eva Kridlova] Tech Univ Kosice, Fac Civil Engn, Inst Environm Engn, Vysokoskolska 4, Kosice 04200, Slovakia</t>
        </is>
      </c>
      <c r="Y1343" t="inlineStr">
        <is>
          <t>Technical University Kosice; Technical University Kosice</t>
        </is>
      </c>
      <c r="Z1343" t="inlineStr">
        <is>
          <t>Vilceková, S (corresponding author), Tech Univ Kosice, Fac Civil Engn, Inst Environm Engn, Vysokoskolska 4, Kosice 04200, Slovakia.</t>
        </is>
      </c>
      <c r="AA1343" t="inlineStr">
        <is>
          <t>richard.nagy@tuke.sk; ludmila.meciarova@gmail.com; silvia.vilcekova@tuke.sk; eva.kridlova.burdova@tuke.sk; danica.kosicanova@tuke.sk</t>
        </is>
      </c>
      <c r="AB1343" t="inlineStr">
        <is>
          <t>Vilcekova, Silvia/K-1565-2014; Burdová, Eva Krídlová/AAA-6293-2019; Košičanová, Danica/AAA-1429-2020</t>
        </is>
      </c>
      <c r="AC1343" t="inlineStr">
        <is>
          <t>Vilcekova, Silvia/0000-0002-1953-1253; Burdová, Eva Krídlová/0000-0001-6496-865X; Košičanová, Danica/0000-0001-7619-4911; Vaculova Meciarova, Ludmila/0000-0002-6438-9049</t>
        </is>
      </c>
      <c r="AD1343" t="inlineStr">
        <is>
          <t>Grant Agency of Slovak Republic [1/0307/16, 1/0697/17, NFP313010T578]</t>
        </is>
      </c>
      <c r="AE1343" t="inlineStr">
        <is>
          <t>Grant Agency of Slovak Republic(Grant Agency of the Czech Republic)</t>
        </is>
      </c>
      <c r="AF1343" t="inlineStr">
        <is>
          <t>This study was financially supported by the Grant Agency of Slovak Republic to support projects No. 1/0307/16 and 1/0697/17 as well project NFP313010T578.</t>
        </is>
      </c>
      <c r="AH1343" t="n">
        <v>42</v>
      </c>
      <c r="AI1343" t="n">
        <v>9</v>
      </c>
      <c r="AJ1343" t="n">
        <v>9</v>
      </c>
      <c r="AK1343" t="n">
        <v>1</v>
      </c>
      <c r="AL1343" t="n">
        <v>5</v>
      </c>
      <c r="AM1343" t="inlineStr">
        <is>
          <t>MDPI</t>
        </is>
      </c>
      <c r="AN1343" t="inlineStr">
        <is>
          <t>BASEL</t>
        </is>
      </c>
      <c r="AO1343" t="inlineStr">
        <is>
          <t>ST ALBAN-ANLAGE 66, CH-4052 BASEL, SWITZERLAND</t>
        </is>
      </c>
      <c r="AP1343" t="inlineStr">
        <is>
          <t>1661-7827</t>
        </is>
      </c>
      <c r="AQ1343" t="inlineStr">
        <is>
          <t>1660-4601</t>
        </is>
      </c>
      <c r="AS1343" t="inlineStr">
        <is>
          <t>INT J ENV RES PUB HE</t>
        </is>
      </c>
      <c r="AT1343" t="inlineStr">
        <is>
          <t>Int. J. Environ. Res. Public Health</t>
        </is>
      </c>
      <c r="AU1343" t="inlineStr">
        <is>
          <t>NOV</t>
        </is>
      </c>
      <c r="AV1343" t="n">
        <v>2019</v>
      </c>
      <c r="AW1343" t="n">
        <v>16</v>
      </c>
      <c r="AX1343" t="n">
        <v>21</v>
      </c>
      <c r="BE1343" t="n">
        <v>4133</v>
      </c>
      <c r="BF1343" t="inlineStr">
        <is>
          <t>10.3390/ijerph16214133</t>
        </is>
      </c>
      <c r="BG1343">
        <f>HYPERLINK("http://dx.doi.org/10.3390/ijerph16214133","http://dx.doi.org/10.3390/ijerph16214133")</f>
        <v/>
      </c>
      <c r="BJ1343" t="n">
        <v>17</v>
      </c>
      <c r="BK1343" t="inlineStr">
        <is>
          <t>Environmental Sciences; Public, Environmental &amp; Occupational Health</t>
        </is>
      </c>
      <c r="BL1343" t="inlineStr">
        <is>
          <t>Science Citation Index Expanded (SCI-EXPANDED); Social Science Citation Index (SSCI)</t>
        </is>
      </c>
      <c r="BM1343" t="inlineStr">
        <is>
          <t>Environmental Sciences &amp; Ecology; Public, Environmental &amp; Occupational Health</t>
        </is>
      </c>
      <c r="BN1343" t="inlineStr">
        <is>
          <t>JQ3IF</t>
        </is>
      </c>
      <c r="BO1343" t="n">
        <v>31717831</v>
      </c>
      <c r="BP1343" t="inlineStr">
        <is>
          <t>gold, Green Published</t>
        </is>
      </c>
      <c r="BS1343" t="inlineStr">
        <is>
          <t>2023-10-26</t>
        </is>
      </c>
      <c r="BT1343" t="inlineStr">
        <is>
          <t>WOS:000498842000079</t>
        </is>
      </c>
      <c r="BU1343">
        <f>HYPERLINK("https%3A%2F%2Fwww.webofscience.com%2Fwos%2Fwoscc%2Ffull-record%2FWOS:000498842000079","View Full Record in Web of Science")</f>
        <v/>
      </c>
    </row>
    <row r="1344">
      <c r="A1344" t="inlineStr">
        <is>
          <t>J</t>
        </is>
      </c>
      <c r="B1344" t="inlineStr">
        <is>
          <t>Hsueh, MC; Liao, Y; Chang, SH</t>
        </is>
      </c>
      <c r="F1344" t="inlineStr">
        <is>
          <t>Hsueh, Ming-Chun; Liao, Yung; Chang, Shao-Hsi</t>
        </is>
      </c>
      <c r="J1344" t="inlineStr">
        <is>
          <t>INTERNATIONAL JOURNAL OF ENVIRONMENTAL RESEARCH AND PUBLIC HEALTH</t>
        </is>
      </c>
      <c r="M1344" t="inlineStr">
        <is>
          <t>English</t>
        </is>
      </c>
      <c r="N1344" t="inlineStr">
        <is>
          <t>Article</t>
        </is>
      </c>
      <c r="T1344" t="inlineStr">
        <is>
          <t>Are Total and Domain-Specific Sedentary Time Associated with Overweight in Older Taiwanese Adults?</t>
        </is>
      </c>
      <c r="U1344" t="inlineStr">
        <is>
          <t>sedentary behavior; domain-specific sedentary time; sitting; TV viewing; overweight; obesity; older adults; Taiwan</t>
        </is>
      </c>
      <c r="V1344" t="inlineStr">
        <is>
          <t>TELEVISION VIEWING TIME; ALL-CAUSE MORTALITY; PHYSICAL-ACTIVITY; OBESITY; PEOPLE; RISK</t>
        </is>
      </c>
      <c r="W1344" t="inlineStr">
        <is>
          <t>This study investigated the associations between total and domain-specific sedentary time with the risk of overweight in older adults. A cross-sectional study was conducted by administering computer-assisted telephone interviews to 1046 Taiwanese older adults (aged 65 years) residing in two regions in Taiwan in 2015. Odds ratios (ORs) and 95% confidence intervals (CIs) were calculated to examine the associations between self-reported total and six domain-specific sedentary times and body mass index status (calculating by self-reported height and weight) by using logistic regression analyses. The results showed that compared with older women in the lowest quartile of the total sedentary time, those in the highest quartile were 1.87 (95% CI: 1.10-3.21) times more likely to be overweight, after adjustment for potential confounders. The total sedentary time was stratified into six specific domains, and only watching television more than 2 h per day was positively associated with overweight (OR, 1.55; 95% CI: 1.08-2.25) in older women, whereas no other sedentary time domains were associated with the risk of overweight. No significant associations were observed in older men. Further studies using prospective designs are required to confirm the presently observed effects of total and domain-specific sedentary behavior on the health of older adults.</t>
        </is>
      </c>
      <c r="X1344" t="inlineStr">
        <is>
          <t>[Hsueh, Ming-Chun; Chang, Shao-Hsi] Natl Taiwan Normal Univ, Dept Phys Educ, Taipei 10643, Taiwan; [Liao, Yung] Natl Taiwan Normal Univ, Dept Hlth Promot &amp; Hlth Educ, Taipei 10643, Taiwan</t>
        </is>
      </c>
      <c r="Y1344" t="inlineStr">
        <is>
          <t>National Taiwan Normal University; National Taiwan Normal University</t>
        </is>
      </c>
      <c r="Z1344" t="inlineStr">
        <is>
          <t>Chang, SH (corresponding author), Natl Taiwan Normal Univ, Dept Phys Educ, 162 Heping East Rd Sect 1, Taipei 10643, Taiwan.</t>
        </is>
      </c>
      <c r="AA1344" t="inlineStr">
        <is>
          <t>boxeo19912016@gmail.com; liaoyung@ntnu.edu.tw; t08016@ntnu.edu.tw</t>
        </is>
      </c>
      <c r="AD1344" t="inlineStr">
        <is>
          <t>Aim for the Top University Project of National Taiwan Normal University (NTNU) - Ministry of Education, Taiwan, R.O.C; International Research-Intensive Center of Excellence Program of NTNU; Ministry of Science and Technology, Taiwan, R.O.C [MOST 104-2911-I-003-301]</t>
        </is>
      </c>
      <c r="AE1344" t="inlineStr">
        <is>
          <t>Aim for the Top University Project of National Taiwan Normal University (NTNU) - Ministry of Education, Taiwan, R.O.C; International Research-Intensive Center of Excellence Program of NTNU; Ministry of Science and Technology, Taiwan, R.O.C(Ministry of Science and Technology, Taiwan)</t>
        </is>
      </c>
      <c r="AF1344" t="inlineStr">
        <is>
          <t>This research was partially supported by the Aim for the Top University Project of National Taiwan Normal University (NTNU), sponsored by the Ministry of Education, Taiwan, R.O.C. and the International Research-Intensive Center of Excellence Program of NTNU and the Ministry of Science and Technology, Taiwan, R.O.C. under Grant No. MOST 104-2911-I-003-301.</t>
        </is>
      </c>
      <c r="AH1344" t="n">
        <v>20</v>
      </c>
      <c r="AI1344" t="n">
        <v>16</v>
      </c>
      <c r="AJ1344" t="n">
        <v>16</v>
      </c>
      <c r="AK1344" t="n">
        <v>0</v>
      </c>
      <c r="AL1344" t="n">
        <v>1</v>
      </c>
      <c r="AM1344" t="inlineStr">
        <is>
          <t>MDPI</t>
        </is>
      </c>
      <c r="AN1344" t="inlineStr">
        <is>
          <t>BASEL</t>
        </is>
      </c>
      <c r="AO1344" t="inlineStr">
        <is>
          <t>ST ALBAN-ANLAGE 66, CH-4052 BASEL, SWITZERLAND</t>
        </is>
      </c>
      <c r="AQ1344" t="inlineStr">
        <is>
          <t>1660-4601</t>
        </is>
      </c>
      <c r="AS1344" t="inlineStr">
        <is>
          <t>INT J ENV RES PUB HE</t>
        </is>
      </c>
      <c r="AT1344" t="inlineStr">
        <is>
          <t>Int. J. Environ. Res. Public Health</t>
        </is>
      </c>
      <c r="AU1344" t="inlineStr">
        <is>
          <t>OCT</t>
        </is>
      </c>
      <c r="AV1344" t="n">
        <v>2015</v>
      </c>
      <c r="AW1344" t="n">
        <v>12</v>
      </c>
      <c r="AX1344" t="n">
        <v>10</v>
      </c>
      <c r="BC1344" t="n">
        <v>12697</v>
      </c>
      <c r="BD1344" t="n">
        <v>12705</v>
      </c>
      <c r="BF1344" t="inlineStr">
        <is>
          <t>10.3390/ijerph121012697</t>
        </is>
      </c>
      <c r="BG1344">
        <f>HYPERLINK("http://dx.doi.org/10.3390/ijerph121012697","http://dx.doi.org/10.3390/ijerph121012697")</f>
        <v/>
      </c>
      <c r="BJ1344" t="n">
        <v>9</v>
      </c>
      <c r="BK1344" t="inlineStr">
        <is>
          <t>Environmental Sciences; Public, Environmental &amp; Occupational Health</t>
        </is>
      </c>
      <c r="BL1344" t="inlineStr">
        <is>
          <t>Science Citation Index Expanded (SCI-EXPANDED)</t>
        </is>
      </c>
      <c r="BM1344" t="inlineStr">
        <is>
          <t>Environmental Sciences &amp; Ecology; Public, Environmental &amp; Occupational Health</t>
        </is>
      </c>
      <c r="BN1344" t="inlineStr">
        <is>
          <t>CX1RE</t>
        </is>
      </c>
      <c r="BO1344" t="n">
        <v>26473902</v>
      </c>
      <c r="BP1344" t="inlineStr">
        <is>
          <t>Green Published, gold, Green Submitted</t>
        </is>
      </c>
      <c r="BS1344" t="inlineStr">
        <is>
          <t>2023-10-26</t>
        </is>
      </c>
      <c r="BT1344" t="inlineStr">
        <is>
          <t>WOS:000365472500045</t>
        </is>
      </c>
      <c r="BU1344">
        <f>HYPERLINK("https%3A%2F%2Fwww.webofscience.com%2Fwos%2Fwoscc%2Ffull-record%2FWOS:000365472500045","View Full Record in Web of Science")</f>
        <v/>
      </c>
    </row>
    <row r="1345">
      <c r="A1345" t="inlineStr">
        <is>
          <t>J</t>
        </is>
      </c>
      <c r="B1345" t="inlineStr">
        <is>
          <t>Alnusairat, S; Al-Shatnawi, Z; Ayyad, Y; Alwaked, A; Abuanzeh, N</t>
        </is>
      </c>
      <c r="F1345" t="inlineStr">
        <is>
          <t>Alnusairat, Saba; Al-Shatnawi, Zahra; Ayyad, Yara; Alwaked, Ala; Abuanzeh, Nasser</t>
        </is>
      </c>
      <c r="J1345" t="inlineStr">
        <is>
          <t>SUSTAINABILITY</t>
        </is>
      </c>
      <c r="M1345" t="inlineStr">
        <is>
          <t>English</t>
        </is>
      </c>
      <c r="N1345" t="inlineStr">
        <is>
          <t>Article</t>
        </is>
      </c>
      <c r="T1345" t="inlineStr">
        <is>
          <t>Rethinking Outdoor Courtyard Spaces on University Campuses to Enhance Health and Wellbeing: The Anti-Virus Built Environment</t>
        </is>
      </c>
      <c r="U1345" t="inlineStr">
        <is>
          <t>post-pandemic urbanism; transformation to anti-virus built environment; COVID-19; university campus; outdoor open spaces; health and wellbeing; space syntax; CFD; observation; questionnaire</t>
        </is>
      </c>
      <c r="V1345" t="inlineStr">
        <is>
          <t>CORONAVIRUS COVID-19; AIR-POLLUTION; TRANSMISSION; TEMPERATURE; QUALITY; DISTANCE; HUMIDITY; STUDENTS; WEATHER; COULD</t>
        </is>
      </c>
      <c r="W1345" t="inlineStr">
        <is>
          <t>Responding to the events surrounding the COVID-19 pandemic, this study explores how to improve health and wellbeing and reduce infections in outdoor open spaces on university campuses to maximize their potential as a response to future crises. The study identifies the relationship between human behavior (social) and the various physical and environmental elements of these spaces. A case study and mixed-methods approach were undertaken, comprising four modes of inspection: user analysis layer using questionnaires and observations to survey students' needs and behavior; context analysis layer using space syntax and CFD to examine the space's physical and environmental conditions; design solutions reflecting an understanding of virus transmission; and a performance analysis layer to test the performance of 'anti-virus' courtyards. The findings demonstrated that students are willing to use the open spaces that they used before the pandemic, at the same frequency. This indicates a need to redesign the current spaces to prevent the spread of viruses. The study highlights the social, physical, and environmental implications to be considered in designs for outdoor anti-virus spaces. It provides a comprehensive process for transforming outdoor spaces on university campuses into anti-virus spaces that meet users' needs. These findings have implications for the designing and retrofitting of open spaces to reduce infection.</t>
        </is>
      </c>
      <c r="X1345" t="inlineStr">
        <is>
          <t>[Alnusairat, Saba; Al-Shatnawi, Zahra; Ayyad, Yara; Alwaked, Ala; Abuanzeh, Nasser] Al Ahliyya Amman Univ, Fac Architecture &amp; Design, Dept Architecture Engn, Amman 19328, Jordan</t>
        </is>
      </c>
      <c r="Y1345" t="inlineStr">
        <is>
          <t>Al-Ahliyya Amman University</t>
        </is>
      </c>
      <c r="Z1345" t="inlineStr">
        <is>
          <t>Alnusairat, S (corresponding author), Al Ahliyya Amman Univ, Fac Architecture &amp; Design, Dept Architecture Engn, Amman 19328, Jordan.</t>
        </is>
      </c>
      <c r="AA1345" t="inlineStr">
        <is>
          <t>s.alnusairat@ammanu.edu.jo; zahraa_shatnawi@hotmail.com; y.ayyad@ammanu.edu.jo; a.alwaked@ammanu.edu.jo; abuanzeh@ammanu.edu.jo</t>
        </is>
      </c>
      <c r="AB1345" t="inlineStr">
        <is>
          <t>AlNusairat, Saba/JFS-6243-2023</t>
        </is>
      </c>
      <c r="AC1345" t="inlineStr">
        <is>
          <t>Al-Shatnawi, Zahra/0000-0001-5013-9471; Alnusairat, Saba/0000-0003-0842-2921; Ayyad, Yara/0000-0001-8736-2423</t>
        </is>
      </c>
      <c r="AD1345" t="inlineStr">
        <is>
          <t>Al-Ahliyya Amman University</t>
        </is>
      </c>
      <c r="AE1345" t="inlineStr">
        <is>
          <t>Al-Ahliyya Amman University</t>
        </is>
      </c>
      <c r="AF1345" t="inlineStr">
        <is>
          <t>Authors would like to express sincere thanks to everyone who contributed to this work, and in particular Al-Ahliyya Amman University. This study is part of an ongoing funded project by Al-Ahliyya Amman University (AAU), Jordan to develop a roadmap for a sustainable university campus.</t>
        </is>
      </c>
      <c r="AH1345" t="n">
        <v>90</v>
      </c>
      <c r="AI1345" t="n">
        <v>3</v>
      </c>
      <c r="AJ1345" t="n">
        <v>3</v>
      </c>
      <c r="AK1345" t="n">
        <v>4</v>
      </c>
      <c r="AL1345" t="n">
        <v>27</v>
      </c>
      <c r="AM1345" t="inlineStr">
        <is>
          <t>MDPI</t>
        </is>
      </c>
      <c r="AN1345" t="inlineStr">
        <is>
          <t>BASEL</t>
        </is>
      </c>
      <c r="AO1345" t="inlineStr">
        <is>
          <t>ST ALBAN-ANLAGE 66, CH-4052 BASEL, SWITZERLAND</t>
        </is>
      </c>
      <c r="AQ1345" t="inlineStr">
        <is>
          <t>2071-1050</t>
        </is>
      </c>
      <c r="AS1345" t="inlineStr">
        <is>
          <t>SUSTAINABILITY-BASEL</t>
        </is>
      </c>
      <c r="AT1345" t="inlineStr">
        <is>
          <t>Sustainability</t>
        </is>
      </c>
      <c r="AU1345" t="inlineStr">
        <is>
          <t>MAY</t>
        </is>
      </c>
      <c r="AV1345" t="n">
        <v>2022</v>
      </c>
      <c r="AW1345" t="n">
        <v>14</v>
      </c>
      <c r="AX1345" t="n">
        <v>9</v>
      </c>
      <c r="BE1345" t="n">
        <v>5602</v>
      </c>
      <c r="BF1345" t="inlineStr">
        <is>
          <t>10.3390/su14095602</t>
        </is>
      </c>
      <c r="BG1345">
        <f>HYPERLINK("http://dx.doi.org/10.3390/su14095602","http://dx.doi.org/10.3390/su14095602")</f>
        <v/>
      </c>
      <c r="BJ1345" t="n">
        <v>32</v>
      </c>
      <c r="BK1345" t="inlineStr">
        <is>
          <t>Green &amp; Sustainable Science &amp; Technology; Environmental Sciences; Environmental Studies</t>
        </is>
      </c>
      <c r="BL1345" t="inlineStr">
        <is>
          <t>Science Citation Index Expanded (SCI-EXPANDED); Social Science Citation Index (SSCI)</t>
        </is>
      </c>
      <c r="BM1345" t="inlineStr">
        <is>
          <t>Science &amp; Technology - Other Topics; Environmental Sciences &amp; Ecology</t>
        </is>
      </c>
      <c r="BN1345" t="inlineStr">
        <is>
          <t>1F5UP</t>
        </is>
      </c>
      <c r="BP1345" t="inlineStr">
        <is>
          <t>gold</t>
        </is>
      </c>
      <c r="BS1345" t="inlineStr">
        <is>
          <t>2023-10-26</t>
        </is>
      </c>
      <c r="BT1345" t="inlineStr">
        <is>
          <t>WOS:000795234300001</t>
        </is>
      </c>
      <c r="BU1345">
        <f>HYPERLINK("https%3A%2F%2Fwww.webofscience.com%2Fwos%2Fwoscc%2Ffull-record%2FWOS:000795234300001","View Full Record in Web of Science")</f>
        <v/>
      </c>
    </row>
    <row r="1346">
      <c r="A1346" t="inlineStr">
        <is>
          <t>J</t>
        </is>
      </c>
      <c r="B1346" t="inlineStr">
        <is>
          <t>Casas-Arredondo, M; Croxford, B; Domenech, T</t>
        </is>
      </c>
      <c r="F1346" t="inlineStr">
        <is>
          <t>Casas-Arredondo, Miguel; Croxford, Ben; Domenech, Teresa</t>
        </is>
      </c>
      <c r="J1346" t="inlineStr">
        <is>
          <t>JOURNAL OF CLEANER PRODUCTION</t>
        </is>
      </c>
      <c r="M1346" t="inlineStr">
        <is>
          <t>English</t>
        </is>
      </c>
      <c r="N1346" t="inlineStr">
        <is>
          <t>Article</t>
        </is>
      </c>
      <c r="T1346" t="inlineStr">
        <is>
          <t>Material and decision flows in non-domestic building fit-outs</t>
        </is>
      </c>
      <c r="U1346" t="inlineStr">
        <is>
          <t>Circular economy; Non-domestic building fit-outs; Interior refurbishment; Recycling; Material flow analysis (MFA)</t>
        </is>
      </c>
      <c r="W1346" t="inlineStr">
        <is>
          <t>The built environment is the most resource intensive sector of the economy, accounting for a significant share of the extracted materials and the total waste generated. Within the built environment the most recurrent replacements of building materials and components take place during fit-outs, which are the process of installing interior fittings, fixtures and finishes. These materials and components are frequently replaced in non-domestic buildings. Non-domestic building fit-outs are therefore responsible for a significant consumption of materials and a large source of waste. However, they tend to be excluded and unmeasured in the research on the built environment. The present work aims to study this research gap and analyse the potential for fit-outs to become more sustainable. The approach of this project ties in closely to the concept of circular economy, where materials are kept at their most useful state for as long as possible. This paper analyses fit-out practices within London, identifying the supply-chain stakeholders, the key materials used and the waste streams generated, while tracing the decision and material flows across the supply chain. A material flow analysis (MFA) is conducted for a fit-out case study, showing the paths and destinations of the waste generated. The mixed methodology includes on-site observations, cross-examination of the corresponding waste reports, MFA, and qualitative analysis of interviews with the involved stakeholders. The aim of this research is to provide a grounded perspective that allows the identification of process and design flaws as well as potential improvements that support the transition towards more circular fit-outs. It is concluded that there are potential areas of improvement as fit-out practices show a predominantly linear tendency both for decision making and material flows, in which there is a discontinuity of communication and material-flow information across the supply chain. (C) 2018 Elsevier Ltd. All rights reserved.</t>
        </is>
      </c>
      <c r="X1346" t="inlineStr">
        <is>
          <t>[Casas-Arredondo, Miguel; Croxford, Ben; Domenech, Teresa] UCL, Bartlett Sch Environm Energy &amp; Resources, London WC1E 6BT, England</t>
        </is>
      </c>
      <c r="Y1346" t="inlineStr">
        <is>
          <t>University of London; University College London</t>
        </is>
      </c>
      <c r="Z1346" t="inlineStr">
        <is>
          <t>Casas-Arredondo, M (corresponding author), UCL, Bartlett Sch Environm Energy &amp; Resources, London WC1E 6BT, England.</t>
        </is>
      </c>
      <c r="AA1346" t="inlineStr">
        <is>
          <t>miguel.casas.15@ucl.ac.uk</t>
        </is>
      </c>
      <c r="AB1346" t="inlineStr">
        <is>
          <t>Aparisi, Teresa Domenech/AAA-6137-2020</t>
        </is>
      </c>
      <c r="AC1346" t="inlineStr">
        <is>
          <t>Aparisi, Teresa Domenech/0000-0002-6131-5538; Casas-Arredondo, Miguel/0000-0001-5932-1552</t>
        </is>
      </c>
      <c r="AD1346" t="inlineStr">
        <is>
          <t>CONACYT [324656]</t>
        </is>
      </c>
      <c r="AE1346" t="inlineStr">
        <is>
          <t>CONACYT(Consejo Nacional de Ciencia y Tecnologia (CONACyT))</t>
        </is>
      </c>
      <c r="AF1346" t="inlineStr">
        <is>
          <t>The authors acknowledge the support and the data provided by the interviewees and the corresponding stakeholders. The authors also thank the reviewers and the editors for their helpful comments. Finally, Miguel Casas-Arredondo acknowledges scholarship grant 324656 by CONACYT.</t>
        </is>
      </c>
      <c r="AH1346" t="n">
        <v>26</v>
      </c>
      <c r="AI1346" t="n">
        <v>7</v>
      </c>
      <c r="AJ1346" t="n">
        <v>7</v>
      </c>
      <c r="AK1346" t="n">
        <v>1</v>
      </c>
      <c r="AL1346" t="n">
        <v>14</v>
      </c>
      <c r="AM1346" t="inlineStr">
        <is>
          <t>ELSEVIER SCI LTD</t>
        </is>
      </c>
      <c r="AN1346" t="inlineStr">
        <is>
          <t>OXFORD</t>
        </is>
      </c>
      <c r="AO1346" t="inlineStr">
        <is>
          <t>THE BOULEVARD, LANGFORD LANE, KIDLINGTON, OXFORD OX5 1GB, OXON, ENGLAND</t>
        </is>
      </c>
      <c r="AP1346" t="inlineStr">
        <is>
          <t>0959-6526</t>
        </is>
      </c>
      <c r="AQ1346" t="inlineStr">
        <is>
          <t>1879-1786</t>
        </is>
      </c>
      <c r="AS1346" t="inlineStr">
        <is>
          <t>J CLEAN PROD</t>
        </is>
      </c>
      <c r="AT1346" t="inlineStr">
        <is>
          <t>J. Clean Prod.</t>
        </is>
      </c>
      <c r="AU1346" t="inlineStr">
        <is>
          <t>DEC 10</t>
        </is>
      </c>
      <c r="AV1346" t="n">
        <v>2018</v>
      </c>
      <c r="AW1346" t="n">
        <v>204</v>
      </c>
      <c r="BC1346" t="n">
        <v>916</v>
      </c>
      <c r="BD1346" t="n">
        <v>925</v>
      </c>
      <c r="BF1346" t="inlineStr">
        <is>
          <t>10.1016/j.jclepro.2018.08.328</t>
        </is>
      </c>
      <c r="BG1346">
        <f>HYPERLINK("http://dx.doi.org/10.1016/j.jclepro.2018.08.328","http://dx.doi.org/10.1016/j.jclepro.2018.08.328")</f>
        <v/>
      </c>
      <c r="BJ1346" t="n">
        <v>10</v>
      </c>
      <c r="BK1346" t="inlineStr">
        <is>
          <t>Green &amp; Sustainable Science &amp; Technology; Engineering, Environmental; Environmental Sciences</t>
        </is>
      </c>
      <c r="BL1346" t="inlineStr">
        <is>
          <t>Science Citation Index Expanded (SCI-EXPANDED)</t>
        </is>
      </c>
      <c r="BM1346" t="inlineStr">
        <is>
          <t>Science &amp; Technology - Other Topics; Engineering; Environmental Sciences &amp; Ecology</t>
        </is>
      </c>
      <c r="BN1346" t="inlineStr">
        <is>
          <t>GX9BC</t>
        </is>
      </c>
      <c r="BP1346" t="inlineStr">
        <is>
          <t>Green Submitted</t>
        </is>
      </c>
      <c r="BS1346" t="inlineStr">
        <is>
          <t>2023-10-26</t>
        </is>
      </c>
      <c r="BT1346" t="inlineStr">
        <is>
          <t>WOS:000448092500079</t>
        </is>
      </c>
      <c r="BU1346">
        <f>HYPERLINK("https%3A%2F%2Fwww.webofscience.com%2Fwos%2Fwoscc%2Ffull-record%2FWOS:000448092500079","View Full Record in Web of Science")</f>
        <v/>
      </c>
    </row>
    <row r="1347">
      <c r="A1347" t="inlineStr">
        <is>
          <t>J</t>
        </is>
      </c>
      <c r="B1347" t="inlineStr">
        <is>
          <t>Manfren, M; Tagliabue, LC; Cecconi, FR; Ricci, M</t>
        </is>
      </c>
      <c r="F1347" t="inlineStr">
        <is>
          <t>Manfren, Massimiliano; Tagliabue, Lavinia Chiara; Cecconi, Fulvio Re; Ricci, Marco</t>
        </is>
      </c>
      <c r="J1347" t="inlineStr">
        <is>
          <t>SUSTAINABILITY</t>
        </is>
      </c>
      <c r="M1347" t="inlineStr">
        <is>
          <t>English</t>
        </is>
      </c>
      <c r="N1347" t="inlineStr">
        <is>
          <t>Article</t>
        </is>
      </c>
      <c r="T1347" t="inlineStr">
        <is>
          <t>Long-Term Techno-Economic Performance Monitoring to Promote Built Environment Decarbonisation and Digital Transformation-A Case Study</t>
        </is>
      </c>
      <c r="U1347" t="inlineStr">
        <is>
          <t>data-driven methods; data-driven energy modelling; regression-based approaches; interpretable machine-learning; energy analytics; techno-economic analysis; measurement and verification</t>
        </is>
      </c>
      <c r="V1347" t="inlineStr">
        <is>
          <t>ENERGY ANALYTICS; ALGORITHM</t>
        </is>
      </c>
      <c r="W1347" t="inlineStr">
        <is>
          <t>Buildings' long-term techno-economic performance monitoring is critical for benchmarking in order to reduce costs and environmental impact while providing adequate services. Reliable building stock performance data provide a fundamental knowledge foundation for evidence-based energy efficiency interventions and decarbonisation strategies. Simply put, an adequate understanding of building performance is required to reduce energy consumption, as well as associated costs and emissions. In this framework, Variable-base degree-days-based methods have been widely used for weather normalisation of energy statistics and energy monitoring for Measurement and Verification (M &amp; V) purposes. The base temperature used to calculate degree-days is determined by building thermal characteristics, operation strategies, and occupant behaviour, and thus varies from building to building. In this paper, we develop a variable-base degrees days regression model, typically used for energy monitoring and M &amp; V, using a proxy variable, the cost of energy services. The study's goal is to assess the applicability of this type of model as a screening tool to analyse the impact of efficiency measures, as well as to understand the evolution of performance over time, and we test it on nine public schools in the Northern Italian city of Seregno. While not as accurate as M &amp; V techniques, this regression-based approach can be a low-cost tool for tracking performance over time using cost data typically available in digital format and can work reasonably well with limited resolution, such as monthly data. The modelling methodology is simple, scalable and can be automated further, contributing to long-term techno-economic performance monitoring of building stock in the context of incremental built environment digitalization.</t>
        </is>
      </c>
      <c r="X1347" t="inlineStr">
        <is>
          <t>[Manfren, Massimiliano] Univ Southampton, Fac Engn &amp; Phys Sci, Boldrewood Innovat Campus,Burgess Rd, Southampton SO16 7QF, Hants, England; [Tagliabue, Lavinia Chiara] Univ Turin, Dept Comp Sci, Corso Svizzera 185, I-10149 Turin, Italy; [Cecconi, Fulvio Re; Ricci, Marco] Politecn Milan, Dept Architecture Built Environm &amp; Construct Engn, Via G Ponzio 31, I-20133 Milan, Italy</t>
        </is>
      </c>
      <c r="Y1347" t="inlineStr">
        <is>
          <t>University of Southampton; University of Turin; Polytechnic University of Milan</t>
        </is>
      </c>
      <c r="Z1347" t="inlineStr">
        <is>
          <t>Manfren, M (corresponding author), Univ Southampton, Fac Engn &amp; Phys Sci, Boldrewood Innovat Campus,Burgess Rd, Southampton SO16 7QF, Hants, England.</t>
        </is>
      </c>
      <c r="AA1347" t="inlineStr">
        <is>
          <t>M.Manfren@soton.ac.uk; laviniachiara.tagliabue@unito.it; fulvio.rececconi@polimi.it; marco.ricci@polimi.it</t>
        </is>
      </c>
      <c r="AB1347" t="inlineStr">
        <is>
          <t>; RE CECCONI, FULVIO/T-1438-2018</t>
        </is>
      </c>
      <c r="AC1347" t="inlineStr">
        <is>
          <t>Manfren, Massimiliano/0000-0003-1438-970X; RE CECCONI, FULVIO/0000-0001-7716-8854; Tagliabue, Lavinia Chiara/0000-0002-3059-4204</t>
        </is>
      </c>
      <c r="AH1347" t="n">
        <v>45</v>
      </c>
      <c r="AI1347" t="n">
        <v>9</v>
      </c>
      <c r="AJ1347" t="n">
        <v>9</v>
      </c>
      <c r="AK1347" t="n">
        <v>2</v>
      </c>
      <c r="AL1347" t="n">
        <v>4</v>
      </c>
      <c r="AM1347" t="inlineStr">
        <is>
          <t>MDPI</t>
        </is>
      </c>
      <c r="AN1347" t="inlineStr">
        <is>
          <t>BASEL</t>
        </is>
      </c>
      <c r="AO1347" t="inlineStr">
        <is>
          <t>ST ALBAN-ANLAGE 66, CH-4052 BASEL, SWITZERLAND</t>
        </is>
      </c>
      <c r="AQ1347" t="inlineStr">
        <is>
          <t>2071-1050</t>
        </is>
      </c>
      <c r="AS1347" t="inlineStr">
        <is>
          <t>SUSTAINABILITY-BASEL</t>
        </is>
      </c>
      <c r="AT1347" t="inlineStr">
        <is>
          <t>Sustainability</t>
        </is>
      </c>
      <c r="AU1347" t="inlineStr">
        <is>
          <t>JAN</t>
        </is>
      </c>
      <c r="AV1347" t="n">
        <v>2022</v>
      </c>
      <c r="AW1347" t="n">
        <v>14</v>
      </c>
      <c r="AX1347" t="n">
        <v>2</v>
      </c>
      <c r="BE1347" t="n">
        <v>644</v>
      </c>
      <c r="BF1347" t="inlineStr">
        <is>
          <t>10.3390/su14020644</t>
        </is>
      </c>
      <c r="BG1347">
        <f>HYPERLINK("http://dx.doi.org/10.3390/su14020644","http://dx.doi.org/10.3390/su14020644")</f>
        <v/>
      </c>
      <c r="BJ1347" t="n">
        <v>17</v>
      </c>
      <c r="BK1347" t="inlineStr">
        <is>
          <t>Green &amp; Sustainable Science &amp; Technology; Environmental Sciences; Environmental Studies</t>
        </is>
      </c>
      <c r="BL1347" t="inlineStr">
        <is>
          <t>Science Citation Index Expanded (SCI-EXPANDED); Social Science Citation Index (SSCI)</t>
        </is>
      </c>
      <c r="BM1347" t="inlineStr">
        <is>
          <t>Science &amp; Technology - Other Topics; Environmental Sciences &amp; Ecology</t>
        </is>
      </c>
      <c r="BN1347" t="inlineStr">
        <is>
          <t>8B2GL</t>
        </is>
      </c>
      <c r="BP1347" t="inlineStr">
        <is>
          <t>Green Accepted, Green Published, gold</t>
        </is>
      </c>
      <c r="BS1347" t="inlineStr">
        <is>
          <t>2023-10-26</t>
        </is>
      </c>
      <c r="BT1347" t="inlineStr">
        <is>
          <t>WOS:000916747100001</t>
        </is>
      </c>
      <c r="BU1347">
        <f>HYPERLINK("https%3A%2F%2Fwww.webofscience.com%2Fwos%2Fwoscc%2Ffull-record%2FWOS:000916747100001","View Full Record in Web of Science")</f>
        <v/>
      </c>
    </row>
    <row r="1348">
      <c r="A1348" t="inlineStr">
        <is>
          <t>J</t>
        </is>
      </c>
      <c r="B1348" t="inlineStr">
        <is>
          <t>Lee, S; Lee, C; Ory, MG</t>
        </is>
      </c>
      <c r="F1348" t="inlineStr">
        <is>
          <t>Lee, Sungmin; Lee, Chanam; Ory, Marcia G.</t>
        </is>
      </c>
      <c r="J1348" t="inlineStr">
        <is>
          <t>INTERNATIONAL JOURNAL OF ENVIRONMENTAL RESEARCH AND PUBLIC HEALTH</t>
        </is>
      </c>
      <c r="M1348" t="inlineStr">
        <is>
          <t>English</t>
        </is>
      </c>
      <c r="N1348" t="inlineStr">
        <is>
          <t>Article</t>
        </is>
      </c>
      <c r="T1348" t="inlineStr">
        <is>
          <t>Association between Recent Falls and Changes in Outdoor Environments near Community-Dwelling Older Adults' Homes over Time: Findings from the NHATS Study</t>
        </is>
      </c>
      <c r="U1348" t="inlineStr">
        <is>
          <t>outdoor environmental characteristics; falls; elderly</t>
        </is>
      </c>
      <c r="V1348" t="inlineStr">
        <is>
          <t>PHYSICAL-ACTIVITY; NEIGHBORHOOD ENVIRONMENT; PUBLIC-HEALTH; RISK-FACTORS; NATIONAL-HEALTH; MOBILITY; LIFE; RECOMMENDATION; DISADVANTAGE; PREVENTION</t>
        </is>
      </c>
      <c r="W1348" t="inlineStr">
        <is>
          <t>Neighborhood environments have been increasingly associated with incidents of falling and the fear of falling. However, little is known about the causal impact of neighborhood environments on falling. This study identifies whether changes in outdoor environmental attributes over a one-year period are associated with the occurrence of recent falls among community-dwelling older adults aged 65 and older in the United States. Data were obtained from 4802 adults aged 65 years or older from the National Health and Aging Trends Study (NHATS). Logistic regression analyses were performed to identify neighborhood risk factors linked to the odds of experiencing recent falls at the one-year follow-up. Almost one in ten subjects (9.7% of 4802 subjects) who had not fallen before reported experiencing recent falls after one year. After adjusting for sociodemographic, health, and walking-related behavioral covariates, these subjects were more likely to reside in areas with higher environmental barriers on sidewalks/streets and uneven walking surfaces or broken steps, compared to non-fallers. Our findings suggest that safe and well-maintained outdoor environments may help prevent falls among community-dwelling older adults who engage in outdoor activities. Clinical and environmental interventions for promoting both safe walking and safe environments are warranted.</t>
        </is>
      </c>
      <c r="X1348" t="inlineStr">
        <is>
          <t>[Lee, Sungmin] Univ Connecticut, Coll Agr Hlth &amp; Nat Resources, Dept Plant Sci &amp; Landscape Architecture, Storrs, CT 06268 USA; [Lee, Chanam] Texas A&amp;M Univ, Coll Architecture, Dept Landscape Architecture &amp; Urban Planning, College Stn, TX 77843 USA; [Ory, Marcia G.] Texas A&amp;M Hlth Sci Ctr, Sch Publ Hlth, Dept Environm &amp; Occupat Hlth, College Stn, TX 77843 USA</t>
        </is>
      </c>
      <c r="Y1348" t="inlineStr">
        <is>
          <t>University of Connecticut; Texas A&amp;M University System; Texas A&amp;M University College Station; Texas A&amp;M University System; Texas A&amp;M University College Station; Texas A&amp;M Health Science Center</t>
        </is>
      </c>
      <c r="Z1348" t="inlineStr">
        <is>
          <t>Lee, S (corresponding author), Univ Connecticut, Coll Agr Hlth &amp; Nat Resources, Dept Plant Sci &amp; Landscape Architecture, Storrs, CT 06268 USA.</t>
        </is>
      </c>
      <c r="AA1348" t="inlineStr">
        <is>
          <t>sungminlee@uconn.edu</t>
        </is>
      </c>
      <c r="AC1348" t="inlineStr">
        <is>
          <t>Lee, Sungmin/0000-0002-4529-9769</t>
        </is>
      </c>
      <c r="AD1348" t="inlineStr">
        <is>
          <t>National Institute on Aging [NIAU01AG032947]; Johns Hopkins Bloomberg School of Public Health</t>
        </is>
      </c>
      <c r="AE1348" t="inlineStr">
        <is>
          <t>National Institute on Aging(United States Department of Health &amp; Human ServicesNational Institutes of Health (NIH) - USANIH National Institute on Aging (NIA)); Johns Hopkins Bloomberg School of Public Health(Johns Hopkins University)</t>
        </is>
      </c>
      <c r="AF1348" t="inlineStr">
        <is>
          <t>This study uses data collected from the National Health and Aging Trends Study sponsored by the National Institute on Aging (NIAU01AG032947) through a cooperative agreement with the Johns Hopkins Bloomberg School of Public Health.</t>
        </is>
      </c>
      <c r="AH1348" t="n">
        <v>43</v>
      </c>
      <c r="AI1348" t="n">
        <v>14</v>
      </c>
      <c r="AJ1348" t="n">
        <v>14</v>
      </c>
      <c r="AK1348" t="n">
        <v>2</v>
      </c>
      <c r="AL1348" t="n">
        <v>15</v>
      </c>
      <c r="AM1348" t="inlineStr">
        <is>
          <t>MDPI</t>
        </is>
      </c>
      <c r="AN1348" t="inlineStr">
        <is>
          <t>BASEL</t>
        </is>
      </c>
      <c r="AO1348" t="inlineStr">
        <is>
          <t>ST ALBAN-ANLAGE 66, CH-4052 BASEL, SWITZERLAND</t>
        </is>
      </c>
      <c r="AQ1348" t="inlineStr">
        <is>
          <t>1660-4601</t>
        </is>
      </c>
      <c r="AS1348" t="inlineStr">
        <is>
          <t>INT J ENV RES PUB HE</t>
        </is>
      </c>
      <c r="AT1348" t="inlineStr">
        <is>
          <t>Int. J. Environ. Res. Public Health</t>
        </is>
      </c>
      <c r="AU1348" t="inlineStr">
        <is>
          <t>SEP 2</t>
        </is>
      </c>
      <c r="AV1348" t="n">
        <v>2019</v>
      </c>
      <c r="AW1348" t="n">
        <v>16</v>
      </c>
      <c r="AX1348" t="n">
        <v>18</v>
      </c>
      <c r="BE1348" t="n">
        <v>3230</v>
      </c>
      <c r="BF1348" t="inlineStr">
        <is>
          <t>10.3390/ijerph16183230</t>
        </is>
      </c>
      <c r="BG1348">
        <f>HYPERLINK("http://dx.doi.org/10.3390/ijerph16183230","http://dx.doi.org/10.3390/ijerph16183230")</f>
        <v/>
      </c>
      <c r="BJ1348" t="n">
        <v>12</v>
      </c>
      <c r="BK1348" t="inlineStr">
        <is>
          <t>Environmental Sciences; Public, Environmental &amp; Occupational Health</t>
        </is>
      </c>
      <c r="BL1348" t="inlineStr">
        <is>
          <t>Science Citation Index Expanded (SCI-EXPANDED); Social Science Citation Index (SSCI)</t>
        </is>
      </c>
      <c r="BM1348" t="inlineStr">
        <is>
          <t>Environmental Sciences &amp; Ecology; Public, Environmental &amp; Occupational Health</t>
        </is>
      </c>
      <c r="BN1348" t="inlineStr">
        <is>
          <t>JC3KV</t>
        </is>
      </c>
      <c r="BO1348" t="n">
        <v>31487783</v>
      </c>
      <c r="BP1348" t="inlineStr">
        <is>
          <t>Green Published, gold</t>
        </is>
      </c>
      <c r="BS1348" t="inlineStr">
        <is>
          <t>2023-10-26</t>
        </is>
      </c>
      <c r="BT1348" t="inlineStr">
        <is>
          <t>WOS:000489178500004</t>
        </is>
      </c>
      <c r="BU1348">
        <f>HYPERLINK("https%3A%2F%2Fwww.webofscience.com%2Fwos%2Fwoscc%2Ffull-record%2FWOS:000489178500004","View Full Record in Web of Science")</f>
        <v/>
      </c>
    </row>
    <row r="1349">
      <c r="A1349" t="inlineStr">
        <is>
          <t>J</t>
        </is>
      </c>
      <c r="B1349" t="inlineStr">
        <is>
          <t>Zhang, DM; Hu, Z; Orton, S; Wang, JJ; Zheng, JZ; Qin, X; Chen, RL</t>
        </is>
      </c>
      <c r="F1349" t="inlineStr">
        <is>
          <t>Zhang Dong Mei; Hu Zhi; Orton Sophie; Wang Jia Ji; Zheng Jian Zhong; Qin Xia; Chen Ruo Ling</t>
        </is>
      </c>
      <c r="J1349" t="inlineStr">
        <is>
          <t>BIOMEDICAL AND ENVIRONMENTAL SCIENCES</t>
        </is>
      </c>
      <c r="M1349" t="inlineStr">
        <is>
          <t>English</t>
        </is>
      </c>
      <c r="N1349" t="inlineStr">
        <is>
          <t>Article</t>
        </is>
      </c>
      <c r="T1349" t="inlineStr">
        <is>
          <t>Socio-economic and Psychosocial Determinants of Smoking and Passive Smoking in Older Adults</t>
        </is>
      </c>
      <c r="U1349" t="inlineStr">
        <is>
          <t>Smoking; Second-hand smoke; Socio-economic; Psychosocial; Older adults</t>
        </is>
      </c>
      <c r="V1349" t="inlineStr">
        <is>
          <t>ENVIRONMENTAL TOBACCO-SMOKE; GMS-AGECAT PREVALENCE; SECONDHAND SMOKE; 2ND-HAND SMOKE; EXPOSURE; DEMENTIA; DEPRESSION; CHINA; POPULATION; DISEASE</t>
        </is>
      </c>
      <c r="W1349" t="inlineStr">
        <is>
          <t>Objective To determine the associations of socio-economic and psychosocial factors with active and passive smoking in older adults. Methods Using a standard interview method, we examined random samples of 6071 people aged &gt;= 60 years in 5 provinces of China during 2007-2009. Results World age-standardised prevalence for current and former smoking in men was 45.6% and 20.5%, and in women 11.1% and 4.5%. Current smoking reduced with older age but increased with men, low socioeconomic status (SES), alcohol drinking, being never-married, pessimistic and depressive syndromes. Former smoking was associated with men, secondary school education, a middle-high income, being a businessman, being widowed, less frequencies of visiting children/relatives and friends, and worrying about children. Among 3774 never-smokers, the prevalence of passive smoking was 31.5%, and the risk increased with women, low SES, alcohol drinking, being married, having a religious believe, and daily visiting children/relatives. There were sex differences in the associations, and an interaction effect of education and income on smoking and passive smoking. Conclusion Older Chinese had a higher level of smoking and passive smoking than those in high income countries, reflecting China's failures in controlling smoking. The associations with low SES and different psychosocial aspects and sex differences suggest preventative strategies for active and passive smoking.</t>
        </is>
      </c>
      <c r="X1349" t="inlineStr">
        <is>
          <t>[Zhang Dong Mei; Hu Zhi; Qin Xia; Chen Ruo Ling] Anhui Med Univ, Sch Hlth Adm, Hefei 230032, Anhui, Peoples R China; [Zhang Dong Mei; Orton Sophie] Wolverhampton Univ, Sch Hlth &amp; Wellbeing, Ctr Hlth &amp; Social Care Improvement, Wolverhampton WV1 1DT, W Midlands, England; [Orton Sophie] Univ Nottingham, Div Primary Care, Nottingham NG7 2RD, England; [Wang Jia Ji] Guangzhou Med Univ, Sch Publ Hlth &amp; Gen Practice, Guangzhou 510182, Guangdong, Peoples R China; [Zheng Jian Zhong] Shanxi Med Univ, Dept Hlth Adm &amp; Serv, Taiyuan 030001, Shanxi, Peoples R China; [Chen Ruo Ling] Kings Coll London, Div Hlth &amp; Social Care Res, London SE1 3QU, England</t>
        </is>
      </c>
      <c r="Y1349" t="inlineStr">
        <is>
          <t>Anhui Medical University; University of Wolverhampton; University of Nottingham; Guangzhou Medical University; Shanxi Medical University; University of London; King's College London</t>
        </is>
      </c>
      <c r="Z1349" t="inlineStr">
        <is>
          <t>Chen, RL (corresponding author), Anhui Med Univ, Sch Hlth Adm, Hefei 230032, Anhui, Peoples R China.</t>
        </is>
      </c>
      <c r="AA1349" t="inlineStr">
        <is>
          <t>r_chen77@hotmail.com</t>
        </is>
      </c>
      <c r="AB1349" t="inlineStr">
        <is>
          <t>chen, ronghe/K-8584-2012; WANG, Jia Ji/E-9059-2015</t>
        </is>
      </c>
      <c r="AC1349" t="inlineStr">
        <is>
          <t>Chen, Ruoling/0000-0002-3033-8753; Orton, Sophie/0000-0002-8577-216X</t>
        </is>
      </c>
      <c r="AD1349" t="inlineStr">
        <is>
          <t>BUPA Foundation [45NOV06]; Alzheimer's Research Trust in the UK [ART/PPG2007B/2]; Anhui provincial natural science foundation for institutions of higher education [KJ2013A164]; Strategic Research Development Fund, University of Wolverhampton in Centre for Health and Social Care Improvement, School of Health and Wellbeing, UK</t>
        </is>
      </c>
      <c r="AE1349" t="inlineStr">
        <is>
          <t>BUPA Foundation; Alzheimer's Research Trust in the UK; Anhui provincial natural science foundation for institutions of higher education; Strategic Research Development Fund, University of Wolverhampton in Centre for Health and Social Care Improvement, School of Health and Wellbeing, UK</t>
        </is>
      </c>
      <c r="AF1349" t="inlineStr">
        <is>
          <t>The data collection in this study was supported by the Research Grants from the BUPA Foundation (45NOV06) and Alzheimer's Research Trust (ART/PPG2007B/2) in the UK. and Anhui provincial natural science foundation for institutions of higher education (KJ2013A164) Dr ZHANG Dong Mei was supported by the Strategic Research Development Fund, University of Wolverhampton in Centre for Health and Social Care Improvement, School of Health and Wellbeing, UK.</t>
        </is>
      </c>
      <c r="AH1349" t="n">
        <v>48</v>
      </c>
      <c r="AI1349" t="n">
        <v>12</v>
      </c>
      <c r="AJ1349" t="n">
        <v>13</v>
      </c>
      <c r="AK1349" t="n">
        <v>1</v>
      </c>
      <c r="AL1349" t="n">
        <v>22</v>
      </c>
      <c r="AM1349" t="inlineStr">
        <is>
          <t>CHINESE CENTER DISEASE CONTROL &amp; PREVENTION</t>
        </is>
      </c>
      <c r="AN1349" t="inlineStr">
        <is>
          <t>BEIJING</t>
        </is>
      </c>
      <c r="AO1349" t="inlineStr">
        <is>
          <t>155 CHANGBAI RD, CHANGPING DISTRICT, BEIJING, 102206, PEOPLES R CHINA</t>
        </is>
      </c>
      <c r="AP1349" t="inlineStr">
        <is>
          <t>0895-3988</t>
        </is>
      </c>
      <c r="AS1349" t="inlineStr">
        <is>
          <t>BIOMED ENVIRON SCI</t>
        </is>
      </c>
      <c r="AT1349" t="inlineStr">
        <is>
          <t>Biomed. Environ. Sci.</t>
        </is>
      </c>
      <c r="AU1349" t="inlineStr">
        <is>
          <t>JUN</t>
        </is>
      </c>
      <c r="AV1349" t="n">
        <v>2013</v>
      </c>
      <c r="AW1349" t="n">
        <v>26</v>
      </c>
      <c r="AX1349" t="n">
        <v>6</v>
      </c>
      <c r="BC1349" t="n">
        <v>453</v>
      </c>
      <c r="BD1349" t="n">
        <v>467</v>
      </c>
      <c r="BF1349" t="inlineStr">
        <is>
          <t>10.3967/0895-3988.2013.06.006</t>
        </is>
      </c>
      <c r="BG1349">
        <f>HYPERLINK("http://dx.doi.org/10.3967/0895-3988.2013.06.006","http://dx.doi.org/10.3967/0895-3988.2013.06.006")</f>
        <v/>
      </c>
      <c r="BJ1349" t="n">
        <v>15</v>
      </c>
      <c r="BK1349" t="inlineStr">
        <is>
          <t>Environmental Sciences; Public, Environmental &amp; Occupational Health</t>
        </is>
      </c>
      <c r="BL1349" t="inlineStr">
        <is>
          <t>Science Citation Index Expanded (SCI-EXPANDED); Social Science Citation Index (SSCI)</t>
        </is>
      </c>
      <c r="BM1349" t="inlineStr">
        <is>
          <t>Environmental Sciences &amp; Ecology; Public, Environmental &amp; Occupational Health</t>
        </is>
      </c>
      <c r="BN1349" t="inlineStr">
        <is>
          <t>174WO</t>
        </is>
      </c>
      <c r="BO1349" t="n">
        <v>23816579</v>
      </c>
      <c r="BS1349" t="inlineStr">
        <is>
          <t>2023-10-26</t>
        </is>
      </c>
      <c r="BT1349" t="inlineStr">
        <is>
          <t>WOS:000321188000006</t>
        </is>
      </c>
      <c r="BU1349">
        <f>HYPERLINK("https%3A%2F%2Fwww.webofscience.com%2Fwos%2Fwoscc%2Ffull-record%2FWOS:000321188000006","View Full Record in Web of Science")</f>
        <v/>
      </c>
    </row>
    <row r="1350">
      <c r="A1350" t="inlineStr">
        <is>
          <t>J</t>
        </is>
      </c>
      <c r="B1350" t="inlineStr">
        <is>
          <t>Belardi, P; Gusella, V; Liberotti, R; Sorignani, C</t>
        </is>
      </c>
      <c r="F1350" t="inlineStr">
        <is>
          <t>Belardi, Paolo; Gusella, Vittorio; Liberotti, Riccardo; Sorignani, Camilla</t>
        </is>
      </c>
      <c r="J1350" t="inlineStr">
        <is>
          <t>SUSTAINABILITY</t>
        </is>
      </c>
      <c r="M1350" t="inlineStr">
        <is>
          <t>English</t>
        </is>
      </c>
      <c r="N1350" t="inlineStr">
        <is>
          <t>Article</t>
        </is>
      </c>
      <c r="T1350" t="inlineStr">
        <is>
          <t>Built Environment's Sustainability: The Design of the Gypso|TechA of the University of Perugia</t>
        </is>
      </c>
      <c r="U1350" t="inlineStr">
        <is>
          <t>heritage; restoration; reuse; design; earthquake; vulnerability; plaster cast</t>
        </is>
      </c>
      <c r="W1350" t="inlineStr">
        <is>
          <t>A multidisciplinary approach embedded with sustainability represents a pathway to design strategies applicable in different cultural contexts. Considering the emissions attributed to building processes, the design of conservation measures is evolving to create high performance both in terms of healthiness and safety. On this, heritage buildings in earthquake-prone cities proved their vulnerability during the recent seismic events. However, the most important aspect of restoration interventions is that the design process must respect the architectural peculiarities of the building. In this regard, the contribution presents the reuse of a heritage building, currently disused, in the novel role of University of Perugia's plaster cast gallery, in line with the aims declared by the University with the adoption of the Action Plan for University Sustainability 2021-2023. Such architecture is part of Palazzo Murena, University of Perugia headquarters, a former monastery designed by Luigi Vanvitelli and completed in 1762 by Carlo Murena. A historical-iconographical investigation, together with a survey, revealed the building origin: a pre-existing architecture, anciently a hospice, included by Vanvitelli in their project. The purpose was the masonries' reinforcement conceiving, at once, a flexible space according to the adaptive architecture principle: give to buildings configurations new, whole or in part, from the original ones in response to emerging threats. An integrated project was designed to restore the building in order to realize a contemporary museum in which full-height exhibition spaces alternate with the pre-existing ones. In this way, the new Gypso|TechA showcases the academic plasters, actually without a seat matching their cultural value, and through a peculiar layout encodes the collection's message in a site-specific cognitive process.</t>
        </is>
      </c>
      <c r="X1350" t="inlineStr">
        <is>
          <t>[Belardi, Paolo; Gusella, Vittorio; Liberotti, Riccardo; Sorignani, Camilla] Univ Perugia, Dept Civil &amp; Environm Engn, Via G Duranti 93, I-06125 Perugia, Italy</t>
        </is>
      </c>
      <c r="Y1350" t="inlineStr">
        <is>
          <t>University of Perugia</t>
        </is>
      </c>
      <c r="Z1350" t="inlineStr">
        <is>
          <t>Liberotti, R (corresponding author), Univ Perugia, Dept Civil &amp; Environm Engn, Via G Duranti 93, I-06125 Perugia, Italy.</t>
        </is>
      </c>
      <c r="AA1350" t="inlineStr">
        <is>
          <t>paolo.belardi@unipg.it; vittorio.gusella@unipg.it; riccardo.liberotti@studenti.unipg.it; camilla.sorignani@outlook.it</t>
        </is>
      </c>
      <c r="AB1350" t="inlineStr">
        <is>
          <t>Liberotti, Riccardo/GSN-3929-2022</t>
        </is>
      </c>
      <c r="AC1350" t="inlineStr">
        <is>
          <t>Liberotti, Riccardo/0000-0001-5516-2806; Belardi, Paolo/0000-0002-8811-8980</t>
        </is>
      </c>
      <c r="AD1350" t="inlineStr">
        <is>
          <t>Italian Ministry of University and Research (University of Perugia Research Unit) [2017HFPKZY]</t>
        </is>
      </c>
      <c r="AE1350" t="inlineStr">
        <is>
          <t>Italian Ministry of University and Research (University of Perugia Research Unit)</t>
        </is>
      </c>
      <c r="AF1350" t="inlineStr">
        <is>
          <t>Authors gratefully acknowledge the support received from the Italian Ministry of University and Research, through the PRIN 2017 funding scheme (Project title Modelling of constitutive laws for traditional and innovative building materials, Project code 2017HFPKZY; University of Perugia Research Unit).</t>
        </is>
      </c>
      <c r="AH1350" t="n">
        <v>66</v>
      </c>
      <c r="AI1350" t="n">
        <v>3</v>
      </c>
      <c r="AJ1350" t="n">
        <v>3</v>
      </c>
      <c r="AK1350" t="n">
        <v>0</v>
      </c>
      <c r="AL1350" t="n">
        <v>2</v>
      </c>
      <c r="AM1350" t="inlineStr">
        <is>
          <t>MDPI</t>
        </is>
      </c>
      <c r="AN1350" t="inlineStr">
        <is>
          <t>BASEL</t>
        </is>
      </c>
      <c r="AO1350" t="inlineStr">
        <is>
          <t>ST ALBAN-ANLAGE 66, CH-4052 BASEL, SWITZERLAND</t>
        </is>
      </c>
      <c r="AQ1350" t="inlineStr">
        <is>
          <t>2071-1050</t>
        </is>
      </c>
      <c r="AS1350" t="inlineStr">
        <is>
          <t>SUSTAINABILITY-BASEL</t>
        </is>
      </c>
      <c r="AT1350" t="inlineStr">
        <is>
          <t>Sustainability</t>
        </is>
      </c>
      <c r="AU1350" t="inlineStr">
        <is>
          <t>JUN</t>
        </is>
      </c>
      <c r="AV1350" t="n">
        <v>2022</v>
      </c>
      <c r="AW1350" t="n">
        <v>14</v>
      </c>
      <c r="AX1350" t="n">
        <v>11</v>
      </c>
      <c r="BE1350" t="n">
        <v>6857</v>
      </c>
      <c r="BF1350" t="inlineStr">
        <is>
          <t>10.3390/su14116857</t>
        </is>
      </c>
      <c r="BG1350">
        <f>HYPERLINK("http://dx.doi.org/10.3390/su14116857","http://dx.doi.org/10.3390/su14116857")</f>
        <v/>
      </c>
      <c r="BJ1350" t="n">
        <v>22</v>
      </c>
      <c r="BK1350" t="inlineStr">
        <is>
          <t>Green &amp; Sustainable Science &amp; Technology; Environmental Sciences; Environmental Studies</t>
        </is>
      </c>
      <c r="BL1350" t="inlineStr">
        <is>
          <t>Science Citation Index Expanded (SCI-EXPANDED); Social Science Citation Index (SSCI)</t>
        </is>
      </c>
      <c r="BM1350" t="inlineStr">
        <is>
          <t>Science &amp; Technology - Other Topics; Environmental Sciences &amp; Ecology</t>
        </is>
      </c>
      <c r="BN1350" t="inlineStr">
        <is>
          <t>1Z2SC</t>
        </is>
      </c>
      <c r="BP1350" t="inlineStr">
        <is>
          <t>gold</t>
        </is>
      </c>
      <c r="BS1350" t="inlineStr">
        <is>
          <t>2023-10-26</t>
        </is>
      </c>
      <c r="BT1350" t="inlineStr">
        <is>
          <t>WOS:000808679300001</t>
        </is>
      </c>
      <c r="BU1350">
        <f>HYPERLINK("https%3A%2F%2Fwww.webofscience.com%2Fwos%2Fwoscc%2Ffull-record%2FWOS:000808679300001","View Full Record in Web of Science")</f>
        <v/>
      </c>
    </row>
    <row r="1351">
      <c r="A1351" t="inlineStr">
        <is>
          <t>J</t>
        </is>
      </c>
      <c r="B1351" t="inlineStr">
        <is>
          <t>Pettit, T; Irga, PJ; Torpy, FR</t>
        </is>
      </c>
      <c r="F1351" t="inlineStr">
        <is>
          <t>Pettit, T.; Irga, P. J.; Torpy, F. R.</t>
        </is>
      </c>
      <c r="J1351" t="inlineStr">
        <is>
          <t>CHEMOSPHERE</t>
        </is>
      </c>
      <c r="M1351" t="inlineStr">
        <is>
          <t>English</t>
        </is>
      </c>
      <c r="N1351" t="inlineStr">
        <is>
          <t>Review</t>
        </is>
      </c>
      <c r="T1351" t="inlineStr">
        <is>
          <t>Towards practical indoor air phytoremediation: A review</t>
        </is>
      </c>
      <c r="U1351" t="inlineStr">
        <is>
          <t>Green wall; Botanical biofilter; Indoor air quality; Living architecture; VOC; Potted plant</t>
        </is>
      </c>
      <c r="V1351" t="inlineStr">
        <is>
          <t>VOLATILE ORGANIC-COMPOUNDS; FINE PARTICULATE MATTER; POTTED-PLANT; FORMALDEHYDE REMOVAL; ULTRAFINE PARTICLES; CARBON-DIOXIDE; COMMERCIAL BUILDINGS; MASS CONCENTRATIONS; AIRBORNE PARTICLES; ORNAMENTAL PLANTS</t>
        </is>
      </c>
      <c r="W1351" t="inlineStr">
        <is>
          <t>Indoor air quality has become a growing concern due to the increasing proportion of time people spend indoors, combined with reduced building ventilation rates resulting from an increasing awareness of building energy use. It has been well established that potted-plants can help to phytoremediate a diverse range of indoor air pollutants. In particular, a substantial body of literature has demonstrated the ability of the potted-plant system to remove volatile organic compounds (VOCs) from indoor air. These findings have largely originated from laboratory scale chamber experiments, with several studies drawing different conclusions regarding the primary VOC removal mechanism, and removal efficiencies. Advancements in indoor air phytoremediation technology, notably active botanical biofilters, can more effectively reduce the concentrations of multiple indoor air pollutants through the action of active airflow through a plant growing medium, along with vertically aligned plants which achieve a high leaf area density per unit of floor space. Despite variable system designs, systems available have clear potential to assist or replace existing mechanical ventilation systems for indoor air pollutant removal. Further research is needed to develop, test and confirm their effectiveness and safety before they can be functionally integrated in the broader built environment. The current article reviews the current state of active air phytoremediation technology, discusses the available botanical biofiltration systems, and identifies areas in need of development. (C) 2018 Elsevier Ltd. All rights reserved.</t>
        </is>
      </c>
      <c r="X1351" t="inlineStr">
        <is>
          <t>[Pettit, T.; Torpy, F. R.] Univ Technol Sydney, Fac Sci, Plants &amp; Environm Qual Res Grp, Broadway, NSW, Australia; [Irga, P. J.] Univ Technol Sydney, Fac Engn &amp; Informat Technol, Sch Civil &amp; Environm Engn, Plants &amp; Environm Qual Res Grp, Broadway, NSW, Australia</t>
        </is>
      </c>
      <c r="Y1351" t="inlineStr">
        <is>
          <t>University of Technology Sydney; University of Technology Sydney</t>
        </is>
      </c>
      <c r="Z1351" t="inlineStr">
        <is>
          <t>Irga, PJ (corresponding author), Univ Technol Sydney, POB 123, Broadway, NSW 2007, Australia.</t>
        </is>
      </c>
      <c r="AA1351" t="inlineStr">
        <is>
          <t>Peter.Irga@uts.edu.au</t>
        </is>
      </c>
      <c r="AB1351" t="inlineStr">
        <is>
          <t>Torpy, Fraser/I-5392-2019</t>
        </is>
      </c>
      <c r="AC1351" t="inlineStr">
        <is>
          <t>Pettit, Thomas/0000-0003-2707-7764; Irga, Peter/0000-0001-5952-0658; Torpy, Fraser/0000-0002-9137-6948</t>
        </is>
      </c>
      <c r="AD1351" t="inlineStr">
        <is>
          <t>Australian Government Research Training Program Scholarship</t>
        </is>
      </c>
      <c r="AE1351" t="inlineStr">
        <is>
          <t>Australian Government Research Training Program Scholarship(Australian GovernmentDepartment of Industry, Innovation and Science)</t>
        </is>
      </c>
      <c r="AF1351" t="inlineStr">
        <is>
          <t>TP is supported by an Australian Government Research Training Program Scholarship. The authors would like to thank Zarah Fath for her assistance with the preparation of figures.</t>
        </is>
      </c>
      <c r="AH1351" t="n">
        <v>166</v>
      </c>
      <c r="AI1351" t="n">
        <v>60</v>
      </c>
      <c r="AJ1351" t="n">
        <v>63</v>
      </c>
      <c r="AK1351" t="n">
        <v>6</v>
      </c>
      <c r="AL1351" t="n">
        <v>158</v>
      </c>
      <c r="AM1351" t="inlineStr">
        <is>
          <t>PERGAMON-ELSEVIER SCIENCE LTD</t>
        </is>
      </c>
      <c r="AN1351" t="inlineStr">
        <is>
          <t>OXFORD</t>
        </is>
      </c>
      <c r="AO1351" t="inlineStr">
        <is>
          <t>THE BOULEVARD, LANGFORD LANE, KIDLINGTON, OXFORD OX5 1GB, ENGLAND</t>
        </is>
      </c>
      <c r="AP1351" t="inlineStr">
        <is>
          <t>0045-6535</t>
        </is>
      </c>
      <c r="AQ1351" t="inlineStr">
        <is>
          <t>1879-1298</t>
        </is>
      </c>
      <c r="AS1351" t="inlineStr">
        <is>
          <t>CHEMOSPHERE</t>
        </is>
      </c>
      <c r="AT1351" t="inlineStr">
        <is>
          <t>Chemosphere</t>
        </is>
      </c>
      <c r="AU1351" t="inlineStr">
        <is>
          <t>OCT</t>
        </is>
      </c>
      <c r="AV1351" t="n">
        <v>2018</v>
      </c>
      <c r="AW1351" t="n">
        <v>208</v>
      </c>
      <c r="BC1351" t="n">
        <v>960</v>
      </c>
      <c r="BD1351" t="n">
        <v>974</v>
      </c>
      <c r="BF1351" t="inlineStr">
        <is>
          <t>10.1016/j.chemosphere.2018.06.048</t>
        </is>
      </c>
      <c r="BG1351">
        <f>HYPERLINK("http://dx.doi.org/10.1016/j.chemosphere.2018.06.048","http://dx.doi.org/10.1016/j.chemosphere.2018.06.048")</f>
        <v/>
      </c>
      <c r="BJ1351" t="n">
        <v>15</v>
      </c>
      <c r="BK1351" t="inlineStr">
        <is>
          <t>Environmental Sciences</t>
        </is>
      </c>
      <c r="BL1351" t="inlineStr">
        <is>
          <t>Science Citation Index Expanded (SCI-EXPANDED)</t>
        </is>
      </c>
      <c r="BM1351" t="inlineStr">
        <is>
          <t>Environmental Sciences &amp; Ecology</t>
        </is>
      </c>
      <c r="BN1351" t="inlineStr">
        <is>
          <t>GQ8JI</t>
        </is>
      </c>
      <c r="BO1351" t="n">
        <v>30068040</v>
      </c>
      <c r="BP1351" t="inlineStr">
        <is>
          <t>Green Submitted</t>
        </is>
      </c>
      <c r="BS1351" t="inlineStr">
        <is>
          <t>2023-10-26</t>
        </is>
      </c>
      <c r="BT1351" t="inlineStr">
        <is>
          <t>WOS:000441999400107</t>
        </is>
      </c>
      <c r="BU1351">
        <f>HYPERLINK("https%3A%2F%2Fwww.webofscience.com%2Fwos%2Fwoscc%2Ffull-record%2FWOS:000441999400107","View Full Record in Web of Science")</f>
        <v/>
      </c>
    </row>
    <row r="1352">
      <c r="A1352" t="inlineStr">
        <is>
          <t>J</t>
        </is>
      </c>
      <c r="B1352" t="inlineStr">
        <is>
          <t>Kim, J; Heo, W</t>
        </is>
      </c>
      <c r="F1352" t="inlineStr">
        <is>
          <t>Kim, Jeongah; Heo, Wookjae</t>
        </is>
      </c>
      <c r="J1352" t="inlineStr">
        <is>
          <t>SUSTAINABILITY</t>
        </is>
      </c>
      <c r="M1352" t="inlineStr">
        <is>
          <t>English</t>
        </is>
      </c>
      <c r="N1352" t="inlineStr">
        <is>
          <t>Article</t>
        </is>
      </c>
      <c r="T1352" t="inlineStr">
        <is>
          <t>Interior Design with Consumers' Perception about Art, Brand Image, and Sustainability</t>
        </is>
      </c>
      <c r="U1352" t="inlineStr">
        <is>
          <t>interior design; consumer perception; perception of art; perception of sustainability; sustainable store management</t>
        </is>
      </c>
      <c r="V1352" t="inlineStr">
        <is>
          <t>VISUAL ART; LUXURY; ARTIFICATION; INSIGHTS; INFUSION; MARKET; IMPACT; STORES; STYLE; SIZE</t>
        </is>
      </c>
      <c r="W1352" t="inlineStr">
        <is>
          <t>In this study, the main research purpose was to determine whether artistic components of interior design in a store lead consumers to have different perceptions of the store. There were three main research questions. The first was whether consumers perceived the artistic components in a store visually. Second, based on the first research question, this study explored whether the artistic displays at the show window, around the furniture, and around the stairs were associated with consumers' perceptions of the store as environmental-friendly. The third research question explored how the consumers' perceptions of artistic and environment-friendly components were associated with the conventional marketing performance of the store. The 2 Stages Probit Least Squares (2SPLS) method was utilized to answer the first and second research questions and the 2 Stage Least Squares (2SLS) method was utilized for the third research question. Findings indicated that consumers had significant emotional responses from seeing artistic components in a store. In addition, these perceived art elements were associated with marketing performances, including pro-environmental perception, store differentiation, brand image, and consumer satisfaction. The practical implications were included in the discussion.</t>
        </is>
      </c>
      <c r="X1352" t="inlineStr">
        <is>
          <t>[Kim, Jeongah] Keimyung Univ, Coll Engn, Daegu 42601, South Korea; [Heo, Wookjae] South Dakota State Univ, Sch Hlth &amp; Consumer Sci, Brookings, SD 57007 USA; [Heo, Wookjae] Purdue Univ, Sch Hospitality &amp; Tourism Management, W Lafayette, IN 47907 USA</t>
        </is>
      </c>
      <c r="Y1352" t="inlineStr">
        <is>
          <t>Keimyung University; South Dakota State University; Purdue University System; Purdue University West Lafayette Campus; Purdue University</t>
        </is>
      </c>
      <c r="Z1352" t="inlineStr">
        <is>
          <t>Heo, W (corresponding author), South Dakota State Univ, Sch Hlth &amp; Consumer Sci, Brookings, SD 57007 USA.;Heo, W (corresponding author), Purdue Univ, Sch Hospitality &amp; Tourism Management, W Lafayette, IN 47907 USA.</t>
        </is>
      </c>
      <c r="AA1352" t="inlineStr">
        <is>
          <t>design1@kmu.ac.kr; wookjae.heo@sdstate.edu</t>
        </is>
      </c>
      <c r="AB1352" t="inlineStr">
        <is>
          <t>Heo, Wookjae/I-4890-2016</t>
        </is>
      </c>
      <c r="AC1352" t="inlineStr">
        <is>
          <t>Heo, Wookjae/0000-0001-5807-9792</t>
        </is>
      </c>
      <c r="AH1352" t="n">
        <v>62</v>
      </c>
      <c r="AI1352" t="n">
        <v>4</v>
      </c>
      <c r="AJ1352" t="n">
        <v>4</v>
      </c>
      <c r="AK1352" t="n">
        <v>5</v>
      </c>
      <c r="AL1352" t="n">
        <v>28</v>
      </c>
      <c r="AM1352" t="inlineStr">
        <is>
          <t>MDPI</t>
        </is>
      </c>
      <c r="AN1352" t="inlineStr">
        <is>
          <t>BASEL</t>
        </is>
      </c>
      <c r="AO1352" t="inlineStr">
        <is>
          <t>ST ALBAN-ANLAGE 66, CH-4052 BASEL, SWITZERLAND</t>
        </is>
      </c>
      <c r="AQ1352" t="inlineStr">
        <is>
          <t>2071-1050</t>
        </is>
      </c>
      <c r="AS1352" t="inlineStr">
        <is>
          <t>SUSTAINABILITY-BASEL</t>
        </is>
      </c>
      <c r="AT1352" t="inlineStr">
        <is>
          <t>Sustainability</t>
        </is>
      </c>
      <c r="AU1352" t="inlineStr">
        <is>
          <t>APR</t>
        </is>
      </c>
      <c r="AV1352" t="n">
        <v>2021</v>
      </c>
      <c r="AW1352" t="n">
        <v>13</v>
      </c>
      <c r="AX1352" t="n">
        <v>8</v>
      </c>
      <c r="BE1352" t="n">
        <v>4557</v>
      </c>
      <c r="BF1352" t="inlineStr">
        <is>
          <t>10.3390/su13084557</t>
        </is>
      </c>
      <c r="BG1352">
        <f>HYPERLINK("http://dx.doi.org/10.3390/su13084557","http://dx.doi.org/10.3390/su13084557")</f>
        <v/>
      </c>
      <c r="BJ1352" t="n">
        <v>20</v>
      </c>
      <c r="BK1352" t="inlineStr">
        <is>
          <t>Green &amp; Sustainable Science &amp; Technology; Environmental Sciences; Environmental Studies</t>
        </is>
      </c>
      <c r="BL1352" t="inlineStr">
        <is>
          <t>Science Citation Index Expanded (SCI-EXPANDED); Social Science Citation Index (SSCI)</t>
        </is>
      </c>
      <c r="BM1352" t="inlineStr">
        <is>
          <t>Science &amp; Technology - Other Topics; Environmental Sciences &amp; Ecology</t>
        </is>
      </c>
      <c r="BN1352" t="inlineStr">
        <is>
          <t>RU8EK</t>
        </is>
      </c>
      <c r="BP1352" t="inlineStr">
        <is>
          <t>Green Published, gold</t>
        </is>
      </c>
      <c r="BS1352" t="inlineStr">
        <is>
          <t>2023-10-26</t>
        </is>
      </c>
      <c r="BT1352" t="inlineStr">
        <is>
          <t>WOS:000645374400001</t>
        </is>
      </c>
      <c r="BU1352">
        <f>HYPERLINK("https%3A%2F%2Fwww.webofscience.com%2Fwos%2Fwoscc%2Ffull-record%2FWOS:000645374400001","View Full Record in Web of Science")</f>
        <v/>
      </c>
    </row>
    <row r="1353">
      <c r="A1353" t="inlineStr">
        <is>
          <t>J</t>
        </is>
      </c>
      <c r="B1353" t="inlineStr">
        <is>
          <t>Ishibashi, T; Kazawa, K; Jahan, Y; Moriyama, M</t>
        </is>
      </c>
      <c r="F1353" t="inlineStr">
        <is>
          <t>Ishibashi, Tomoyuki; Kazawa, Kana; Jahan, Yasmin; Moriyama, Michiko</t>
        </is>
      </c>
      <c r="J1353" t="inlineStr">
        <is>
          <t>INTERNATIONAL JOURNAL OF ENVIRONMENTAL RESEARCH AND PUBLIC HEALTH</t>
        </is>
      </c>
      <c r="M1353" t="inlineStr">
        <is>
          <t>English</t>
        </is>
      </c>
      <c r="N1353" t="inlineStr">
        <is>
          <t>Article</t>
        </is>
      </c>
      <c r="T1353" t="inlineStr">
        <is>
          <t>Factors That Facilitate Discussion and Documentation of End-of-Life Care among Community-Dwelling Older Adults: A Cross-Sectional Study</t>
        </is>
      </c>
      <c r="U1353" t="inlineStr">
        <is>
          <t>older adults; end-of-life care; decision-making</t>
        </is>
      </c>
      <c r="V1353" t="inlineStr">
        <is>
          <t>ADVANCE CARE; DEFINITION; CANCER; PLACE; DEATH</t>
        </is>
      </c>
      <c r="W1353" t="inlineStr">
        <is>
          <t>We aimed to clarify the regional cultural characteristics in areas with different death rates at home, and to identify factors that influence the discussion and documentation of end-of-life care (EOLC) among community-dwelling older adults. This study was a cross-sectional study using a self-administered questionnaire survey, and participants were Japanese older adults. A chi-square test and multiple regression analysis were conducted. Among the 227 respondents, 143 were analyzed. There were no statistical differences by area. Participants who had intentions to discuss EOLC tended to discuss EOLC with their families and family doctors and tended to create documents to show their wills on EOLC (p &lt; 0.05). The following factors that influence the intentions to discuss EOLC were extracted: experience in providing EOLC; information on EOLC; having religious and spiritual beliefs, and not avoiding the subject of death as part of beliefs related to life and death. These results indicate that beliefs and intentions regarding EOLC may be similar across Japan. Moreover, our findings suggest that to increase the interest of older adults on EOLC, it is important to provide opportunities for older adults to share and discuss information about EOLC with healthcare professionals and others who have experience providing EOLC.</t>
        </is>
      </c>
      <c r="X1353" t="inlineStr">
        <is>
          <t>[Ishibashi, Tomoyuki; Jahan, Yasmin; Moriyama, Michiko] Hiroshima Univ, Grad Sch Biomed &amp; Hlth Sci, Div Nursing Sci, Hiroshima 7348553, Japan; [Kazawa, Kana] Hiroshima Univ, Grad Sch Biomed &amp; Hlth Sci, Dept Med Integrated Approach Social Inclus, Hiroshima 7348553, Japan</t>
        </is>
      </c>
      <c r="Y1353" t="inlineStr">
        <is>
          <t>Hiroshima University; Hiroshima University</t>
        </is>
      </c>
      <c r="Z1353" t="inlineStr">
        <is>
          <t>Kazawa, K (corresponding author), Hiroshima Univ, Grad Sch Biomed &amp; Hlth Sci, Dept Med Integrated Approach Social Inclus, Hiroshima 7348553, Japan.</t>
        </is>
      </c>
      <c r="AA1353" t="inlineStr">
        <is>
          <t>tatibanasora9249@yahoo.co.jp; kkazawa@hiroshima-u.ac.jp; dr.yasminjahan@gmail.com; morimich@hiroshima-u.ac.jp</t>
        </is>
      </c>
      <c r="AB1353" t="inlineStr">
        <is>
          <t>Kazawa, Kana/A-7441-2018; Jahan, Yasmin/GOV-3711-2022; Jahan, Yasmin/AFM-4321-2022; Moriyama, Michiko/A-7187-2018</t>
        </is>
      </c>
      <c r="AC1353" t="inlineStr">
        <is>
          <t>Kazawa, Kana/0000-0002-5303-8542; Jahan, Yasmin/0000-0001-9273-9651; Moriyama, Michiko/0000-0002-9190-8705</t>
        </is>
      </c>
      <c r="AH1353" t="n">
        <v>35</v>
      </c>
      <c r="AI1353" t="n">
        <v>0</v>
      </c>
      <c r="AJ1353" t="n">
        <v>0</v>
      </c>
      <c r="AK1353" t="n">
        <v>0</v>
      </c>
      <c r="AL1353" t="n">
        <v>1</v>
      </c>
      <c r="AM1353" t="inlineStr">
        <is>
          <t>MDPI</t>
        </is>
      </c>
      <c r="AN1353" t="inlineStr">
        <is>
          <t>BASEL</t>
        </is>
      </c>
      <c r="AO1353" t="inlineStr">
        <is>
          <t>ST ALBAN-ANLAGE 66, CH-4052 BASEL, SWITZERLAND</t>
        </is>
      </c>
      <c r="AQ1353" t="inlineStr">
        <is>
          <t>1660-4601</t>
        </is>
      </c>
      <c r="AS1353" t="inlineStr">
        <is>
          <t>INT J ENV RES PUB HE</t>
        </is>
      </c>
      <c r="AT1353" t="inlineStr">
        <is>
          <t>Int. J. Environ. Res. Public Health</t>
        </is>
      </c>
      <c r="AU1353" t="inlineStr">
        <is>
          <t>APR</t>
        </is>
      </c>
      <c r="AV1353" t="n">
        <v>2022</v>
      </c>
      <c r="AW1353" t="n">
        <v>19</v>
      </c>
      <c r="AX1353" t="n">
        <v>7</v>
      </c>
      <c r="BE1353" t="n">
        <v>4273</v>
      </c>
      <c r="BF1353" t="inlineStr">
        <is>
          <t>10.3390/ijerph19074273</t>
        </is>
      </c>
      <c r="BG1353">
        <f>HYPERLINK("http://dx.doi.org/10.3390/ijerph19074273","http://dx.doi.org/10.3390/ijerph19074273")</f>
        <v/>
      </c>
      <c r="BJ1353" t="n">
        <v>11</v>
      </c>
      <c r="BK1353" t="inlineStr">
        <is>
          <t>Environmental Sciences; Public, Environmental &amp; Occupational Health</t>
        </is>
      </c>
      <c r="BL1353" t="inlineStr">
        <is>
          <t>Science Citation Index Expanded (SCI-EXPANDED); Social Science Citation Index (SSCI)</t>
        </is>
      </c>
      <c r="BM1353" t="inlineStr">
        <is>
          <t>Environmental Sciences &amp; Ecology; Public, Environmental &amp; Occupational Health</t>
        </is>
      </c>
      <c r="BN1353" t="inlineStr">
        <is>
          <t>0M1AX</t>
        </is>
      </c>
      <c r="BO1353" t="n">
        <v>35409955</v>
      </c>
      <c r="BP1353" t="inlineStr">
        <is>
          <t>gold, Green Published</t>
        </is>
      </c>
      <c r="BS1353" t="inlineStr">
        <is>
          <t>2023-10-26</t>
        </is>
      </c>
      <c r="BT1353" t="inlineStr">
        <is>
          <t>WOS:000781896100001</t>
        </is>
      </c>
      <c r="BU1353">
        <f>HYPERLINK("https%3A%2F%2Fwww.webofscience.com%2Fwos%2Fwoscc%2Ffull-record%2FWOS:000781896100001","View Full Record in Web of Science")</f>
        <v/>
      </c>
    </row>
    <row r="1354">
      <c r="A1354" t="inlineStr">
        <is>
          <t>J</t>
        </is>
      </c>
      <c r="B1354" t="inlineStr">
        <is>
          <t>Wang, QW; Zhao, YN</t>
        </is>
      </c>
      <c r="F1354" t="inlineStr">
        <is>
          <t>Wang, Qianwen; Zhao, Yanan</t>
        </is>
      </c>
      <c r="J1354" t="inlineStr">
        <is>
          <t>INTERNATIONAL JOURNAL OF ENVIRONMENTAL RESEARCH AND PUBLIC HEALTH</t>
        </is>
      </c>
      <c r="M1354" t="inlineStr">
        <is>
          <t>English</t>
        </is>
      </c>
      <c r="N1354" t="inlineStr">
        <is>
          <t>Article</t>
        </is>
      </c>
      <c r="T1354" t="inlineStr">
        <is>
          <t>Effects of a Modified Tap Dance Program on Ankle Function and Postural Control in Older Adults: A Randomized Controlled Trial</t>
        </is>
      </c>
      <c r="U1354" t="inlineStr">
        <is>
          <t>postural control; ankle function; tap dance; older adults</t>
        </is>
      </c>
      <c r="V1354" t="inlineStr">
        <is>
          <t>EXERCISE INTERVENTIONS; MUSCLE STRENGTH; BALANCE; FALLS; RISK; MOTION; RANGE; PERFORMANCE; WOMEN; SPEED</t>
        </is>
      </c>
      <c r="W1354" t="inlineStr">
        <is>
          <t>Older adults are at a high risk of falling due to age-related degradations in physical fitness. This study aimed to examine the effects of a modified tap dance program (MTD) on ankle function and postural control in older adults. Forty-four healthy older adults (mean age = 64.1 years, with 9 men) were recruited from local communities and were randomly divided into the MTD group and the control (CON) group. The MTD group received 12 weeks of MTD training 3 times per week for 30 min per session. Outcomes were measured using the five times sit-to-stand test (FTSST) for ankle strength, the universal goniometer for ankle range of motion, and the Footscan(R) to trace the center of pressure. Results revealed significant improvements in FTSST in the MTD group (mean difference = 1.01), plantar flexion (left = 9.10, right = 10.0). In addition, the MTD group displayed significantly more improvements at midtest than the CON group in FTSST (mean difference = 1.51) and plantar flexion (mean difference: left = 6.10; right = 4.5). Therefore, the MTD can be an effective exercise program for ankle function improvement, but it has limited effects on improving postural control among healthy older adults.</t>
        </is>
      </c>
      <c r="X1354" t="inlineStr">
        <is>
          <t>[Wang, Qianwen; Zhao, Yanan] Nanjing Normal Univ, Sch Sports Sci &amp; Phys Educ, Nanjing 210023, Peoples R China</t>
        </is>
      </c>
      <c r="Y1354" t="inlineStr">
        <is>
          <t>Nanjing Normal University</t>
        </is>
      </c>
      <c r="Z1354" t="inlineStr">
        <is>
          <t>Zhao, YN (corresponding author), Nanjing Normal Univ, Sch Sports Sci &amp; Phys Educ, Nanjing 210023, Peoples R China.</t>
        </is>
      </c>
      <c r="AA1354" t="inlineStr">
        <is>
          <t>161502014@njnu.edu.cn; ynzhao@njnu.edu.cn</t>
        </is>
      </c>
      <c r="AC1354" t="inlineStr">
        <is>
          <t>Zhao, Yanan/0000-0001-5313-6671</t>
        </is>
      </c>
      <c r="AD1354" t="inlineStr">
        <is>
          <t>Natural Science Foundation of China [81801387]</t>
        </is>
      </c>
      <c r="AE1354" t="inlineStr">
        <is>
          <t>Natural Science Foundation of China(National Natural Science Foundation of China (NSFC))</t>
        </is>
      </c>
      <c r="AF1354" t="inlineStr">
        <is>
          <t>This researchwas funded by the Natural Science Foundation of China, grant number 81801387.</t>
        </is>
      </c>
      <c r="AH1354" t="n">
        <v>39</v>
      </c>
      <c r="AI1354" t="n">
        <v>3</v>
      </c>
      <c r="AJ1354" t="n">
        <v>3</v>
      </c>
      <c r="AK1354" t="n">
        <v>0</v>
      </c>
      <c r="AL1354" t="n">
        <v>16</v>
      </c>
      <c r="AM1354" t="inlineStr">
        <is>
          <t>MDPI</t>
        </is>
      </c>
      <c r="AN1354" t="inlineStr">
        <is>
          <t>BASEL</t>
        </is>
      </c>
      <c r="AO1354" t="inlineStr">
        <is>
          <t>ST ALBAN-ANLAGE 66, CH-4052 BASEL, SWITZERLAND</t>
        </is>
      </c>
      <c r="AQ1354" t="inlineStr">
        <is>
          <t>1660-4601</t>
        </is>
      </c>
      <c r="AS1354" t="inlineStr">
        <is>
          <t>INT J ENV RES PUB HE</t>
        </is>
      </c>
      <c r="AT1354" t="inlineStr">
        <is>
          <t>Int. J. Environ. Res. Public Health</t>
        </is>
      </c>
      <c r="AU1354" t="inlineStr">
        <is>
          <t>JUN</t>
        </is>
      </c>
      <c r="AV1354" t="n">
        <v>2021</v>
      </c>
      <c r="AW1354" t="n">
        <v>18</v>
      </c>
      <c r="AX1354" t="n">
        <v>12</v>
      </c>
      <c r="BE1354" t="n">
        <v>6379</v>
      </c>
      <c r="BF1354" t="inlineStr">
        <is>
          <t>10.3390/ijerph18126379</t>
        </is>
      </c>
      <c r="BG1354">
        <f>HYPERLINK("http://dx.doi.org/10.3390/ijerph18126379","http://dx.doi.org/10.3390/ijerph18126379")</f>
        <v/>
      </c>
      <c r="BJ1354" t="n">
        <v>10</v>
      </c>
      <c r="BK1354" t="inlineStr">
        <is>
          <t>Environmental Sciences; Public, Environmental &amp; Occupational Health</t>
        </is>
      </c>
      <c r="BL1354" t="inlineStr">
        <is>
          <t>Science Citation Index Expanded (SCI-EXPANDED); Social Science Citation Index (SSCI)</t>
        </is>
      </c>
      <c r="BM1354" t="inlineStr">
        <is>
          <t>Environmental Sciences &amp; Ecology; Public, Environmental &amp; Occupational Health</t>
        </is>
      </c>
      <c r="BN1354" t="inlineStr">
        <is>
          <t>SZ7JG</t>
        </is>
      </c>
      <c r="BO1354" t="n">
        <v>34204694</v>
      </c>
      <c r="BP1354" t="inlineStr">
        <is>
          <t>gold, Green Published</t>
        </is>
      </c>
      <c r="BS1354" t="inlineStr">
        <is>
          <t>2023-10-26</t>
        </is>
      </c>
      <c r="BT1354" t="inlineStr">
        <is>
          <t>WOS:000666736100001</t>
        </is>
      </c>
      <c r="BU1354">
        <f>HYPERLINK("https%3A%2F%2Fwww.webofscience.com%2Fwos%2Fwoscc%2Ffull-record%2FWOS:000666736100001","View Full Record in Web of Science")</f>
        <v/>
      </c>
    </row>
    <row r="1355">
      <c r="A1355" t="inlineStr">
        <is>
          <t>J</t>
        </is>
      </c>
      <c r="B1355" t="inlineStr">
        <is>
          <t>Han, JJ; Zhao, X; Zhang, H; Liu, Y</t>
        </is>
      </c>
      <c r="F1355" t="inlineStr">
        <is>
          <t>Han, Jiejie; Zhao, Xi; Zhang, Hao; Liu, Yu</t>
        </is>
      </c>
      <c r="J1355" t="inlineStr">
        <is>
          <t>SUSTAINABILITY</t>
        </is>
      </c>
      <c r="M1355" t="inlineStr">
        <is>
          <t>English</t>
        </is>
      </c>
      <c r="N1355" t="inlineStr">
        <is>
          <t>Article</t>
        </is>
      </c>
      <c r="T1355" t="inlineStr">
        <is>
          <t>Analyzing the Spatial Heterogeneity of the Built Environment and Its Impact on the Urban Thermal Environment-Case Study of Downtown Shanghai</t>
        </is>
      </c>
      <c r="U1355" t="inlineStr">
        <is>
          <t>built-up environment; spatial heterogeneity; urban thermal environment; blue-green space; land use pattern</t>
        </is>
      </c>
      <c r="V1355" t="inlineStr">
        <is>
          <t>HEAT-ISLAND; LAND-SURFACE; URBANIZATION; CITY; PATTERNS; COMFORT</t>
        </is>
      </c>
      <c r="W1355" t="inlineStr">
        <is>
          <t>Ongoing urban expansion has accelerated the explosive growth of urban populations and has led to a dramatic increase in the impervious surface area within urban areas. This, in turn, has exacerbated the surface heat island effect within cities. However, the importance of the surface heat island effect within urban areas, scilicet the intra-SUHI effect, has attracted less concern. The aim of this study was to quantitatively explore the relationship between the spatial heterogeneity of a built environment and the intra-urban surface heat island (intra-SUHI) effect using the thermally sharpened land surface temperature (LST) and high-resolution land-use classification products. The results show that at the land parcel scale, the parcel-based relative intensity of intra-SUHI should be attributed to the land parcels featured with differential land developmental intensity. Furthermore, the partial least squares regression (PLSR) modeling quantified the relative importance of the spatial heterogeneity indices of the built environment that exhibit a negative contribution to decreasing the parcel-based intra-SUHI effect or a positive contribution to increasing the intra-SUHI effect. Finally, based on the findings of this study, some practical countermeasures towards mitigating the adverse intra-SUHI effect and improving urban climatic adaption are discussed.</t>
        </is>
      </c>
      <c r="X1355" t="inlineStr">
        <is>
          <t>[Han, Jiejie; Zhao, Xi; Zhang, Hao; Liu, Yu] Fudan Univ, Dept Environm Sci &amp; Engn, Lab Appl Earth Observat &amp; Spatial Anal, Jiangwan Campus, Shanghai 200438, Peoples R China; [Han, Jiejie] Guangzhou Urban Planning &amp; Design Survey Res Inst, Guangzhou 510030, Peoples R China; [Liu, Yu] Henan Univ, Sch Civil Engn &amp; Architecture, Kaifeng 475003, Peoples R China</t>
        </is>
      </c>
      <c r="Y1355" t="inlineStr">
        <is>
          <t>Fudan University; Henan University</t>
        </is>
      </c>
      <c r="Z1355" t="inlineStr">
        <is>
          <t>Han, JJ; Zhang, H (corresponding author), Fudan Univ, Dept Environm Sci &amp; Engn, Lab Appl Earth Observat &amp; Spatial Anal, Jiangwan Campus, Shanghai 200438, Peoples R China.;Han, JJ (corresponding author), Guangzhou Urban Planning &amp; Design Survey Res Inst, Guangzhou 510030, Peoples R China.</t>
        </is>
      </c>
      <c r="AA1355" t="inlineStr">
        <is>
          <t>fudan_jiejiehan@163.com; 19210740064@fudan.edu.cn; zhokzhok@163.com; liuyu1982@henu.edu.cn</t>
        </is>
      </c>
      <c r="AC1355" t="inlineStr">
        <is>
          <t>Liu, Yu/0000-0003-0420-314X; Zhao, Xi/0000-0001-8441-2886</t>
        </is>
      </c>
      <c r="AH1355" t="n">
        <v>40</v>
      </c>
      <c r="AI1355" t="n">
        <v>4</v>
      </c>
      <c r="AJ1355" t="n">
        <v>4</v>
      </c>
      <c r="AK1355" t="n">
        <v>3</v>
      </c>
      <c r="AL1355" t="n">
        <v>38</v>
      </c>
      <c r="AM1355" t="inlineStr">
        <is>
          <t>MDPI</t>
        </is>
      </c>
      <c r="AN1355" t="inlineStr">
        <is>
          <t>BASEL</t>
        </is>
      </c>
      <c r="AO1355" t="inlineStr">
        <is>
          <t>ST ALBAN-ANLAGE 66, CH-4052 BASEL, SWITZERLAND</t>
        </is>
      </c>
      <c r="AQ1355" t="inlineStr">
        <is>
          <t>2071-1050</t>
        </is>
      </c>
      <c r="AS1355" t="inlineStr">
        <is>
          <t>SUSTAINABILITY-BASEL</t>
        </is>
      </c>
      <c r="AT1355" t="inlineStr">
        <is>
          <t>Sustainability</t>
        </is>
      </c>
      <c r="AU1355" t="inlineStr">
        <is>
          <t>OCT</t>
        </is>
      </c>
      <c r="AV1355" t="n">
        <v>2021</v>
      </c>
      <c r="AW1355" t="n">
        <v>13</v>
      </c>
      <c r="AX1355" t="n">
        <v>20</v>
      </c>
      <c r="BE1355" t="n">
        <v>11302</v>
      </c>
      <c r="BF1355" t="inlineStr">
        <is>
          <t>10.3390/su132011302</t>
        </is>
      </c>
      <c r="BG1355">
        <f>HYPERLINK("http://dx.doi.org/10.3390/su132011302","http://dx.doi.org/10.3390/su132011302")</f>
        <v/>
      </c>
      <c r="BJ1355" t="n">
        <v>17</v>
      </c>
      <c r="BK1355" t="inlineStr">
        <is>
          <t>Green &amp; Sustainable Science &amp; Technology; Environmental Sciences; Environmental Studies</t>
        </is>
      </c>
      <c r="BL1355" t="inlineStr">
        <is>
          <t>Science Citation Index Expanded (SCI-EXPANDED); Social Science Citation Index (SSCI)</t>
        </is>
      </c>
      <c r="BM1355" t="inlineStr">
        <is>
          <t>Science &amp; Technology - Other Topics; Environmental Sciences &amp; Ecology</t>
        </is>
      </c>
      <c r="BN1355" t="inlineStr">
        <is>
          <t>WT0NV</t>
        </is>
      </c>
      <c r="BP1355" t="inlineStr">
        <is>
          <t>gold</t>
        </is>
      </c>
      <c r="BS1355" t="inlineStr">
        <is>
          <t>2023-10-26</t>
        </is>
      </c>
      <c r="BT1355" t="inlineStr">
        <is>
          <t>WOS:000715571300001</t>
        </is>
      </c>
      <c r="BU1355">
        <f>HYPERLINK("https%3A%2F%2Fwww.webofscience.com%2Fwos%2Fwoscc%2Ffull-record%2FWOS:000715571300001","View Full Record in Web of Science")</f>
        <v/>
      </c>
    </row>
    <row r="1356">
      <c r="A1356" t="inlineStr">
        <is>
          <t>J</t>
        </is>
      </c>
      <c r="B1356" t="inlineStr">
        <is>
          <t>Yin, C; Sun, BD</t>
        </is>
      </c>
      <c r="F1356" t="inlineStr">
        <is>
          <t>Yin, Chun; Sun, Bindong</t>
        </is>
      </c>
      <c r="J1356" t="inlineStr">
        <is>
          <t>INTERNATIONAL JOURNAL OF ENVIRONMENTAL RESEARCH AND PUBLIC HEALTH</t>
        </is>
      </c>
      <c r="M1356" t="inlineStr">
        <is>
          <t>English</t>
        </is>
      </c>
      <c r="N1356" t="inlineStr">
        <is>
          <t>Article</t>
        </is>
      </c>
      <c r="T1356" t="inlineStr">
        <is>
          <t>Does Compact Built Environment Help to Reduce Obesity? Influence of Population Density on Waist-Hip Ratio in Chinese Cities</t>
        </is>
      </c>
      <c r="U1356" t="inlineStr">
        <is>
          <t>compact development; obesity; population density; China; fixed-effect model</t>
        </is>
      </c>
      <c r="V1356" t="inlineStr">
        <is>
          <t>BODY-MASS INDEX; PHYSICAL-ACTIVITY; MARITAL-STATUS; URBAN DESIGN; MODE CHOICE; IMPACTS; BMI; TRANSPORTATION; FATNESS; WALKING</t>
        </is>
      </c>
      <c r="W1356" t="inlineStr">
        <is>
          <t>This study aimed to identify the non-linear association between population density and obesity in China and to provide empirical evidence for the public health orientated guideline of urban planning. By conducting a longitudinal study with data collected from the China Health and Nutrition Survey (CHNS) between 2004 and 2011, we applied fixed-effect models to assess the non-linear association between the compact built environment and waist-hip ratio (WHR), controlling for sex, age, nationality, education, employment status, marital status, household size, household income, and residents' attitudes. Our findings reveal that the built environment is one of the key determinants of obesity. The U-shaped influence of population density on WHR was observed. Moreover, influence differs according to sex and weight status. Our findings indicate healthy city planning has the potential to improve the built environment to reduce obesity risk and promote public health.</t>
        </is>
      </c>
      <c r="X1356" t="inlineStr">
        <is>
          <t>[Yin, Chun; Sun, Bindong] East China Normal Univ, Res Ctr China Adm Div, Shanghai 200241, Peoples R China; [Yin, Chun; Sun, Bindong] Inst Ecochongming, Shanghai 202162, Peoples R China; [Yin, Chun; Sun, Bindong] East China Normal Univ, Future City Lab, Shanghai 200241, Peoples R China</t>
        </is>
      </c>
      <c r="Y1356" t="inlineStr">
        <is>
          <t>East China Normal University; East China Normal University</t>
        </is>
      </c>
      <c r="Z1356" t="inlineStr">
        <is>
          <t>Sun, BD (corresponding author), East China Normal Univ, Res Ctr China Adm Div, Shanghai 200241, Peoples R China.;Sun, BD (corresponding author), Inst Ecochongming, Shanghai 202162, Peoples R China.;Sun, BD (corresponding author), East China Normal Univ, Future City Lab, Shanghai 200241, Peoples R China.</t>
        </is>
      </c>
      <c r="AA1356" t="inlineStr">
        <is>
          <t>cyin@geo.ecnu.edu.cn; bdsun@re.ecnu.edu.cn</t>
        </is>
      </c>
      <c r="AB1356" t="inlineStr">
        <is>
          <t>Sun, Bin/HMD-1646-2023</t>
        </is>
      </c>
      <c r="AC1356" t="inlineStr">
        <is>
          <t>Yin, Chun/0000-0002-1539-049X</t>
        </is>
      </c>
      <c r="AD1356" t="inlineStr">
        <is>
          <t>National Natural Science Foundation of China [42071210]; Major Program of the National Social Science Foundation of China [17ZDA068]</t>
        </is>
      </c>
      <c r="AE1356" t="inlineStr">
        <is>
          <t>National Natural Science Foundation of China(National Natural Science Foundation of China (NSFC)); Major Program of the National Social Science Foundation of China(National Office of Philosophy and Social Sciences)</t>
        </is>
      </c>
      <c r="AF1356" t="inlineStr">
        <is>
          <t>This research was supported by the National Natural Science Foundation of China (No. 42071210) and the Major Program of the National Social Science Foundation of China (No. 17ZDA068).</t>
        </is>
      </c>
      <c r="AH1356" t="n">
        <v>54</v>
      </c>
      <c r="AI1356" t="n">
        <v>5</v>
      </c>
      <c r="AJ1356" t="n">
        <v>7</v>
      </c>
      <c r="AK1356" t="n">
        <v>0</v>
      </c>
      <c r="AL1356" t="n">
        <v>28</v>
      </c>
      <c r="AM1356" t="inlineStr">
        <is>
          <t>MDPI</t>
        </is>
      </c>
      <c r="AN1356" t="inlineStr">
        <is>
          <t>BASEL</t>
        </is>
      </c>
      <c r="AO1356" t="inlineStr">
        <is>
          <t>ST ALBAN-ANLAGE 66, CH-4052 BASEL, SWITZERLAND</t>
        </is>
      </c>
      <c r="AQ1356" t="inlineStr">
        <is>
          <t>1660-4601</t>
        </is>
      </c>
      <c r="AS1356" t="inlineStr">
        <is>
          <t>INT J ENV RES PUB HE</t>
        </is>
      </c>
      <c r="AT1356" t="inlineStr">
        <is>
          <t>Int. J. Environ. Res. Public Health</t>
        </is>
      </c>
      <c r="AU1356" t="inlineStr">
        <is>
          <t>NOV</t>
        </is>
      </c>
      <c r="AV1356" t="n">
        <v>2020</v>
      </c>
      <c r="AW1356" t="n">
        <v>17</v>
      </c>
      <c r="AX1356" t="n">
        <v>21</v>
      </c>
      <c r="BE1356" t="n">
        <v>7746</v>
      </c>
      <c r="BF1356" t="inlineStr">
        <is>
          <t>10.3390/ijerph17217746</t>
        </is>
      </c>
      <c r="BG1356">
        <f>HYPERLINK("http://dx.doi.org/10.3390/ijerph17217746","http://dx.doi.org/10.3390/ijerph17217746")</f>
        <v/>
      </c>
      <c r="BJ1356" t="n">
        <v>16</v>
      </c>
      <c r="BK1356" t="inlineStr">
        <is>
          <t>Environmental Sciences; Public, Environmental &amp; Occupational Health</t>
        </is>
      </c>
      <c r="BL1356" t="inlineStr">
        <is>
          <t>Science Citation Index Expanded (SCI-EXPANDED); Social Science Citation Index (SSCI)</t>
        </is>
      </c>
      <c r="BM1356" t="inlineStr">
        <is>
          <t>Environmental Sciences &amp; Ecology; Public, Environmental &amp; Occupational Health</t>
        </is>
      </c>
      <c r="BN1356" t="inlineStr">
        <is>
          <t>OQ8CX</t>
        </is>
      </c>
      <c r="BO1356" t="n">
        <v>33113970</v>
      </c>
      <c r="BP1356" t="inlineStr">
        <is>
          <t>gold, Green Published</t>
        </is>
      </c>
      <c r="BS1356" t="inlineStr">
        <is>
          <t>2023-10-26</t>
        </is>
      </c>
      <c r="BT1356" t="inlineStr">
        <is>
          <t>WOS:000589005300001</t>
        </is>
      </c>
      <c r="BU1356">
        <f>HYPERLINK("https%3A%2F%2Fwww.webofscience.com%2Fwos%2Fwoscc%2Ffull-record%2FWOS:000589005300001","View Full Record in Web of Science")</f>
        <v/>
      </c>
    </row>
    <row r="1357">
      <c r="A1357" t="inlineStr">
        <is>
          <t>J</t>
        </is>
      </c>
      <c r="B1357" t="inlineStr">
        <is>
          <t>Chen, MJ; Wang, XQ; Yun, QP; Lin, YT; Wu, QQ; Yang, QH; Wan, DZ; Tian, D; Chang, C</t>
        </is>
      </c>
      <c r="F1357" t="inlineStr">
        <is>
          <t>Chen, Meijun; Wang, Xiaoqi; Yun, Qingping; Lin, Yuting; Wu, Qingqing; Yang, Qinghua; Wan, Dezhi; Tian, Dan; Chang, Chun</t>
        </is>
      </c>
      <c r="J1357" t="inlineStr">
        <is>
          <t>INTERNATIONAL JOURNAL OF ENVIRONMENTAL RESEARCH AND PUBLIC HEALTH</t>
        </is>
      </c>
      <c r="M1357" t="inlineStr">
        <is>
          <t>English</t>
        </is>
      </c>
      <c r="N1357" t="inlineStr">
        <is>
          <t>Article</t>
        </is>
      </c>
      <c r="T1357" t="inlineStr">
        <is>
          <t>Would Older Adults Perform Preventive Practices in the Post-COVID-19 Era? A Community-Based Cross-Sectional Survey in China</t>
        </is>
      </c>
      <c r="U1357" t="inlineStr">
        <is>
          <t>older adults; post-COVID-19 era; preventive practices</t>
        </is>
      </c>
      <c r="V1357" t="inlineStr">
        <is>
          <t>RISK PERCEPTIONS; BEHAVIORS; COVID-19; RESPONSES; INFLUENZA; ACCURACY; SARS</t>
        </is>
      </c>
      <c r="W1357" t="inlineStr">
        <is>
          <t>During the post-COVID-19 era, preventive practices, such as washing hands and wearing a mask, remain key measures for controlling the spread of infection for older adults. This study investigated the status of preventive practices among older adults and identified the related influencing factors. Participants who were &amp; GE;60 years old were recruited nationwide. Data were collected through self-designed questionnaires, including demographic variables, knowledge, perceived vulnerability, response efficacy, anxiety and preventive practices. Descriptive statistics and chi-square tests were performed. Hierarchical logistic regression was conducted to determine the predictors. A total of 2996 participants completed this study. Of them, 2358 (78.7%) participants reported washing hands regularly in the last two weeks, and 1699 (56.7%) always wore masks outside this year. Knowledge (hand washing: OR = 1.09, p &lt; 0.01; mask wearing: OR = 1.17, p &lt; 0.01) and response efficacy (hand washing: OR = 1.61, p &lt; 0.01; mask wearing: OR = 1.70, p &lt; 0.01) were positively associated with preventive practices, whereas perceived vulnerability had a negative effect (hand washing: OR = 0.54, p &lt; 0.01; mask wearing: OR = 0.72, p &lt; 0.01). Knowledge, response efficacy and perceived vulnerability were found to be significant predictors of the preventive practice among older adults in the post-COVID-19 era. This study provides new insights into preventive suggestions after the peak of the pandemic and also has significant implications in improving the life quality of older adults.</t>
        </is>
      </c>
      <c r="X1357" t="inlineStr">
        <is>
          <t>[Chen, Meijun; Yun, Qingping; Lin, Yuting; Chang, Chun] Peking Univ, Sch Publ Hlth, Beijing 100191, Peoples R China; [Wang, Xiaoqi] Chinese Ctr Dis Control &amp; Prevent, Natl Immunizat Program, Beijing 100050, Peoples R China; [Wu, Qingqing] Prov Ctr Dis Control &amp; Prevent, Hangzhou 310006, Peoples R China; [Yang, Qinghua] Prov Hlth Educ Ctr, Chongqing 401120, Peoples R China; [Wan, Dezhi] Prov Patriot Hlth &amp; Hlth Promot Ctr, Nanchang 330006, Jiangxi, Peoples R China; [Tian, Dan] Prov Hlth Serv Ctr, Shenyang 110005, Peoples R China</t>
        </is>
      </c>
      <c r="Y1357" t="inlineStr">
        <is>
          <t>Peking University; Chinese Center for Disease Control &amp; Prevention</t>
        </is>
      </c>
      <c r="Z1357" t="inlineStr">
        <is>
          <t>Chang, C (corresponding author), Peking Univ, Sch Publ Hlth, Beijing 100191, Peoples R China.</t>
        </is>
      </c>
      <c r="AA1357" t="inlineStr">
        <is>
          <t>chenmeijun@pku.edu.cn; wangxq1@chinacdc.cn; yunqingping@bjmu.edu.cn; 2011110174@bjmu.edu.cn; qqwu@cdc.zj.cn; yaqh3@163.com; wdz739@163.com; sunliming.wsjkfwzx@ln.gov.cn; changchunpku@126.com</t>
        </is>
      </c>
      <c r="AB1357" t="inlineStr">
        <is>
          <t>Wu, Qingqing/AFU-3222-2022; lin, yt/IQT-6771-2023; Lin, Yuting/HPE-4176-2023</t>
        </is>
      </c>
      <c r="AC1357" t="inlineStr">
        <is>
          <t>Wu, Qingqing/0000-0002-1566-1253;</t>
        </is>
      </c>
      <c r="AD1357" t="inlineStr">
        <is>
          <t>Provincial Center for Disease Control and Prevention in Zhejiang; Provincial Patriotic Health and Health Promotion Center in Jiangxi; Provincial Health Education Center in Chongqing, Liaoning and Gansu</t>
        </is>
      </c>
      <c r="AE1357" t="inlineStr">
        <is>
          <t>Provincial Center for Disease Control and Prevention in Zhejiang; Provincial Patriotic Health and Health Promotion Center in Jiangxi; Provincial Health Education Center in Chongqing, Liaoning and Gansu</t>
        </is>
      </c>
      <c r="AF1357" t="inlineStr">
        <is>
          <t>We appreciate the support from community health service centers in Xicheng and Daxing Districts, Beijing. We also appreciate the kind help and support from Provincial Center for Disease Control and Prevention in Zhejiang; Provincial Patriotic Health and Health Promotion Center in Jiangxi; Provincial Health Education Center in Chongqing, Liaoning and Gansu.</t>
        </is>
      </c>
      <c r="AH1357" t="n">
        <v>33</v>
      </c>
      <c r="AI1357" t="n">
        <v>0</v>
      </c>
      <c r="AJ1357" t="n">
        <v>0</v>
      </c>
      <c r="AK1357" t="n">
        <v>2</v>
      </c>
      <c r="AL1357" t="n">
        <v>15</v>
      </c>
      <c r="AM1357" t="inlineStr">
        <is>
          <t>MDPI</t>
        </is>
      </c>
      <c r="AN1357" t="inlineStr">
        <is>
          <t>BASEL</t>
        </is>
      </c>
      <c r="AO1357" t="inlineStr">
        <is>
          <t>ST ALBAN-ANLAGE 66, CH-4052 BASEL, SWITZERLAND</t>
        </is>
      </c>
      <c r="AQ1357" t="inlineStr">
        <is>
          <t>1660-4601</t>
        </is>
      </c>
      <c r="AS1357" t="inlineStr">
        <is>
          <t>INT J ENV RES PUB HE</t>
        </is>
      </c>
      <c r="AT1357" t="inlineStr">
        <is>
          <t>Int. J. Environ. Res. Public Health</t>
        </is>
      </c>
      <c r="AU1357" t="inlineStr">
        <is>
          <t>OCT</t>
        </is>
      </c>
      <c r="AV1357" t="n">
        <v>2021</v>
      </c>
      <c r="AW1357" t="n">
        <v>18</v>
      </c>
      <c r="AX1357" t="n">
        <v>19</v>
      </c>
      <c r="BE1357" t="n">
        <v>10169</v>
      </c>
      <c r="BF1357" t="inlineStr">
        <is>
          <t>10.3390/ijerph181910169</t>
        </is>
      </c>
      <c r="BG1357">
        <f>HYPERLINK("http://dx.doi.org/10.3390/ijerph181910169","http://dx.doi.org/10.3390/ijerph181910169")</f>
        <v/>
      </c>
      <c r="BJ1357" t="n">
        <v>12</v>
      </c>
      <c r="BK1357" t="inlineStr">
        <is>
          <t>Environmental Sciences; Public, Environmental &amp; Occupational Health</t>
        </is>
      </c>
      <c r="BL1357" t="inlineStr">
        <is>
          <t>Science Citation Index Expanded (SCI-EXPANDED); Social Science Citation Index (SSCI)</t>
        </is>
      </c>
      <c r="BM1357" t="inlineStr">
        <is>
          <t>Environmental Sciences &amp; Ecology; Public, Environmental &amp; Occupational Health</t>
        </is>
      </c>
      <c r="BN1357" t="inlineStr">
        <is>
          <t>WI2HQ</t>
        </is>
      </c>
      <c r="BO1357" t="n">
        <v>34639471</v>
      </c>
      <c r="BP1357" t="inlineStr">
        <is>
          <t>gold, Green Published</t>
        </is>
      </c>
      <c r="BS1357" t="inlineStr">
        <is>
          <t>2023-10-26</t>
        </is>
      </c>
      <c r="BT1357" t="inlineStr">
        <is>
          <t>WOS:000708188000001</t>
        </is>
      </c>
      <c r="BU1357">
        <f>HYPERLINK("https%3A%2F%2Fwww.webofscience.com%2Fwos%2Fwoscc%2Ffull-record%2FWOS:000708188000001","View Full Record in Web of Science")</f>
        <v/>
      </c>
    </row>
    <row r="1358">
      <c r="A1358" t="inlineStr">
        <is>
          <t>J</t>
        </is>
      </c>
      <c r="B1358" t="inlineStr">
        <is>
          <t>Navarro-Flores, E; Romero-Morales, C; de Bengoa-Vallejo, RB; Rodríguez-Sanz, D; Palomo-López, P; López-López, D; Losa-Iglesias, ME; Calvo-Lobo, C</t>
        </is>
      </c>
      <c r="F1358" t="inlineStr">
        <is>
          <t>Navarro-Flores, Emmanuel; Romero-Morales, Carlos; Becerro de Bengoa-Vallejo, Ricardo; Rodriguez-Sanz, David; Palomo-Lopez, Patricia; Lopez-Lopez, Daniel; Elena Losa-Iglesias, Marta; Calvo-Lobo, Cesar</t>
        </is>
      </c>
      <c r="J1358" t="inlineStr">
        <is>
          <t>INTERNATIONAL JOURNAL OF ENVIRONMENTAL RESEARCH AND PUBLIC HEALTH</t>
        </is>
      </c>
      <c r="M1358" t="inlineStr">
        <is>
          <t>English</t>
        </is>
      </c>
      <c r="N1358" t="inlineStr">
        <is>
          <t>Article</t>
        </is>
      </c>
      <c r="T1358" t="inlineStr">
        <is>
          <t>Sex Differences in Frail Older Adults with Foot Pain in a Spanish Population: An Observational Study</t>
        </is>
      </c>
      <c r="U1358" t="inlineStr">
        <is>
          <t>frailty; older adults; foot deformities; foot diseases; foot pain</t>
        </is>
      </c>
      <c r="V1358" t="inlineStr">
        <is>
          <t>CROSS-CULTURAL ADAPTATION; SCALE; VALIDATION; GAIT; BALANCE; PROPRIOCEPTION; RELIABILITY; ACCURACY; VALIDITY; PROGRAM</t>
        </is>
      </c>
      <c r="W1358" t="inlineStr">
        <is>
          <t>Frailty is a condition that can increase the risk of falls. In addition, foot pain can influence older adults and affect their frail condition. The main objective was to measure the frailty degree in older adults in a Spanish population with foot pain from moderate to severe. Method: This is a cross-sectional descriptive study. A sample of people older than 60 years (n= 52), including 26 males and 26 females, were recruited, and frailty disability was measured using the 5-Frailty scale and the Edmonton Frailty scale (EFS). Results: Spearman's correlation coefficients were categorized as weak (rs &lt;= 0.40), moderate (0.41 &lt;= rs &gt;= 0.69), or strong (0.70 &lt;= rs &gt;= 1.00). There was a statistically significant correlation for the total score (p&lt; 0.001) and most of the subscales of the 5-Frailty scale compared with the EFS, except for Mood (p&gt; 0.05). In addition, females and males showed similar 5-Frailty and Edmonton Frail scales scores with no difference (p&gt; 0.05). Conclusion: Foot pain above 5 points, i.e., from moderate to severe, does not affect the fragility more in one sex than another.</t>
        </is>
      </c>
      <c r="X1358" t="inlineStr">
        <is>
          <t>[Navarro-Flores, Emmanuel] Univ Valencia, Fac Nursing &amp; Podiatry, Dept Nursing, Frailty Res Organizaded Grp FROG, Valencia 46010, Spain; [Romero-Morales, Carlos] Univ Europea Madrid, Fac Sport Sci, Madrid 28670, Spain; [Becerro de Bengoa-Vallejo, Ricardo; Rodriguez-Sanz, David; Calvo-Lobo, Cesar] Univ Complutense Madrid, Fac Enfermeria Fisioterapia &amp; Podol, Madrid 28040, Spain; [Palomo-Lopez, Patricia] Univ Extremadura, Univ Ctr Plasencia, Badajoz 06006, Spain; [Lopez-Lopez, Daniel] Univ A Coruna, Fac Nursing &amp; Podiatry, Dept Hlth Sci, Res Hlth &amp; Podiatry Grp, Ferrol 15403, Spain; [Elena Losa-Iglesias, Marta] Univ Rey Juan Carlos, Fac Hlth Sci, Madrid 28933, Spain</t>
        </is>
      </c>
      <c r="Y1358" t="inlineStr">
        <is>
          <t>University of Valencia; European University of Madrid; Complutense University of Madrid; Universidad de Extremadura; Universidade da Coruna; Universidad Rey Juan Carlos</t>
        </is>
      </c>
      <c r="Z1358" t="inlineStr">
        <is>
          <t>Romero-Morales, C (corresponding author), Univ Europea Madrid, Fac Sport Sci, Madrid 28670, Spain.</t>
        </is>
      </c>
      <c r="AA1358" t="inlineStr">
        <is>
          <t>emmanuel.navarro@uv.es; carlos.romero@universidadeuropea.es; ribebeva@ucm.es; davidrodriguersanz@ucm.es; patibiom@unex.es; daniellopez@udc.es; marta.losa@urjc.es; cescalvo@ucm.es</t>
        </is>
      </c>
      <c r="AB1358" t="inlineStr">
        <is>
          <t>Flores, Emmanuel Navarro/B-8805-2015; Lobo, César Calvo/J-9122-2017; Morales, Carlos Romero/P-3474-2019; López, Patricia Palomo/U-3840-2017; López-López, Daniel/K-9182-2013; Losa Iglesias, Marta Elena/B-8830-2009; Becerro de Bengoa Vallejo, Ricardo/B-8857-2009</t>
        </is>
      </c>
      <c r="AC1358" t="inlineStr">
        <is>
          <t>Flores, Emmanuel Navarro/0000-0002-6170-4779; Lobo, César Calvo/0000-0002-6569-1311; Morales, Carlos Romero/0000-0001-6598-829X; López, Patricia Palomo/0000-0003-3821-949X; López-López, Daniel/0000-0002-9818-6290; Losa Iglesias, Marta Elena/0000-0001-7588-2069; Becerro de Bengoa Vallejo, Ricardo/0000-0003-1568-7602</t>
        </is>
      </c>
      <c r="AH1358" t="n">
        <v>32</v>
      </c>
      <c r="AI1358" t="n">
        <v>14</v>
      </c>
      <c r="AJ1358" t="n">
        <v>14</v>
      </c>
      <c r="AK1358" t="n">
        <v>1</v>
      </c>
      <c r="AL1358" t="n">
        <v>3</v>
      </c>
      <c r="AM1358" t="inlineStr">
        <is>
          <t>MDPI</t>
        </is>
      </c>
      <c r="AN1358" t="inlineStr">
        <is>
          <t>BASEL</t>
        </is>
      </c>
      <c r="AO1358" t="inlineStr">
        <is>
          <t>ST ALBAN-ANLAGE 66, CH-4052 BASEL, SWITZERLAND</t>
        </is>
      </c>
      <c r="AQ1358" t="inlineStr">
        <is>
          <t>1660-4601</t>
        </is>
      </c>
      <c r="AS1358" t="inlineStr">
        <is>
          <t>INT J ENV RES PUB HE</t>
        </is>
      </c>
      <c r="AT1358" t="inlineStr">
        <is>
          <t>Int. J. Environ. Res. Public Health</t>
        </is>
      </c>
      <c r="AU1358" t="inlineStr">
        <is>
          <t>SEP</t>
        </is>
      </c>
      <c r="AV1358" t="n">
        <v>2020</v>
      </c>
      <c r="AW1358" t="n">
        <v>17</v>
      </c>
      <c r="AX1358" t="n">
        <v>17</v>
      </c>
      <c r="BE1358" t="n">
        <v>6141</v>
      </c>
      <c r="BF1358" t="inlineStr">
        <is>
          <t>10.3390/ijerph17176141</t>
        </is>
      </c>
      <c r="BG1358">
        <f>HYPERLINK("http://dx.doi.org/10.3390/ijerph17176141","http://dx.doi.org/10.3390/ijerph17176141")</f>
        <v/>
      </c>
      <c r="BJ1358" t="n">
        <v>9</v>
      </c>
      <c r="BK1358" t="inlineStr">
        <is>
          <t>Environmental Sciences; Public, Environmental &amp; Occupational Health</t>
        </is>
      </c>
      <c r="BL1358" t="inlineStr">
        <is>
          <t>Science Citation Index Expanded (SCI-EXPANDED); Social Science Citation Index (SSCI)</t>
        </is>
      </c>
      <c r="BM1358" t="inlineStr">
        <is>
          <t>Environmental Sciences &amp; Ecology; Public, Environmental &amp; Occupational Health</t>
        </is>
      </c>
      <c r="BN1358" t="inlineStr">
        <is>
          <t>NO7FZ</t>
        </is>
      </c>
      <c r="BO1358" t="n">
        <v>32847063</v>
      </c>
      <c r="BP1358" t="inlineStr">
        <is>
          <t>Green Published</t>
        </is>
      </c>
      <c r="BS1358" t="inlineStr">
        <is>
          <t>2023-10-26</t>
        </is>
      </c>
      <c r="BT1358" t="inlineStr">
        <is>
          <t>WOS:000569655000001</t>
        </is>
      </c>
      <c r="BU1358">
        <f>HYPERLINK("https%3A%2F%2Fwww.webofscience.com%2Fwos%2Fwoscc%2Ffull-record%2FWOS:000569655000001","View Full Record in Web of Science")</f>
        <v/>
      </c>
    </row>
    <row r="1359">
      <c r="A1359" t="inlineStr">
        <is>
          <t>J</t>
        </is>
      </c>
      <c r="B1359" t="inlineStr">
        <is>
          <t>Anaya, M; Borrego, SF; Gámez, E; Castro, M; Molina, A; Valdés, O</t>
        </is>
      </c>
      <c r="F1359" t="inlineStr">
        <is>
          <t>Anaya, Matilde; Borrego, Sofia F.; Gamez, Erasmo; Castro, Miguel; Molina, Alian; Valdes, Oderlaise</t>
        </is>
      </c>
      <c r="J1359" t="inlineStr">
        <is>
          <t>AEROBIOLOGIA</t>
        </is>
      </c>
      <c r="M1359" t="inlineStr">
        <is>
          <t>English</t>
        </is>
      </c>
      <c r="N1359" t="inlineStr">
        <is>
          <t>Article</t>
        </is>
      </c>
      <c r="T1359" t="inlineStr">
        <is>
          <t>Viable fungi in the air of indoor environments of the National Archive of the Republic of Cuba</t>
        </is>
      </c>
      <c r="U1359" t="inlineStr">
        <is>
          <t>Archive building; Fungi; Magnetic field; Microbiological quality of indoor air; Pathogenic fungi</t>
        </is>
      </c>
      <c r="V1359" t="inlineStr">
        <is>
          <t>HAVANA</t>
        </is>
      </c>
      <c r="W1359" t="inlineStr">
        <is>
          <t>The aim of this study was to analyze the viable fungi in the air of indoor environments of the National Archive of the Republic of Cuba (NARC). The samples were taken in fifteen areas (five points for the three floors) at 2 days (rainy and dry seasons) using a biocolector SAS in 3 h: 10:00 a.m., 1:00 p.m. and 4:00 p.m. The fungal concentration was indicated as colony forming units per cubic meter of air (cfu/m(3) of air). It was concluded that indoor air of the NARC was not polluted due to the average fungal concentration that was obtained (59 and 327 cfu/m(3) of air in rainy and dry seasons, respectively). In front of the electric transformers, the fungal concentration was significantly higher than those obtained along the corridors of the lower-ground floor. A trend to the increasing of fungal concentration was observed: when the floors were increased, in dry season was higher than rainy season, where also there was biggest fungal diversity. Among the fungal genera isolated, Aspergillus had the highest relative frequency of appearance, and in dry season, it was isolated Actinobacillus sp. (Actinomycetes). Six fungal species were isolated in both samplings: Aspergillus alliaceus, Aspergillus niger, Cladosporium cladosporioides, Fusarium oxysporum, Penicillium chrysogenum and Mucor racemosus. All of fungal species isolated have high biodeteriogenic capacity, and the 61 % showed pathogenic attributes.</t>
        </is>
      </c>
      <c r="X1359" t="inlineStr">
        <is>
          <t>[Anaya, Matilde] IIIA, Carretera Guatao Km 3 1-2, Havana 19200, Cuba; [Borrego, Sofia F.; Molina, Alian; Valdes, Oderlaise] Arch Nacl Republ Cuba, Lab Conservac Prevent, Compostela 906 Esquina San Isidro, Havana 10100, Cuba; [Gamez, Erasmo] Univ La Habana, Fac Biol, Calle 25 &amp; J Vedado,Plaza Revoluc, Havana, Cuba; [Castro, Miguel] Ctr Invest &amp; Pruebas Electroenerget, Fac Ingn Elect, CUJAE, Calle 114,11901 E Ciclovia Rotonda, Havana, Cuba</t>
        </is>
      </c>
      <c r="Y1359" t="inlineStr">
        <is>
          <t>Universidad de la Habana</t>
        </is>
      </c>
      <c r="Z1359" t="inlineStr">
        <is>
          <t>Borrego, SF (corresponding author), Arch Nacl Republ Cuba, Lab Conservac Prevent, Compostela 906 Esquina San Isidro, Havana 10100, Cuba.</t>
        </is>
      </c>
      <c r="AA1359" t="inlineStr">
        <is>
          <t>sofia@arnac.cu</t>
        </is>
      </c>
      <c r="AB1359" t="inlineStr">
        <is>
          <t>Borrego, Sofia/AAF-6875-2020</t>
        </is>
      </c>
      <c r="AC1359" t="inlineStr">
        <is>
          <t>Anaya Villalpanda, Matilde/0000-0002-6149-2278; Gamez-Espinosa, Erasmo/0000-0003-4092-4198</t>
        </is>
      </c>
      <c r="AD1359" t="inlineStr">
        <is>
          <t>Assistance Program for Archives of Latin America, ADAI, from Spain [064/2012]</t>
        </is>
      </c>
      <c r="AE1359" t="inlineStr">
        <is>
          <t>Assistance Program for Archives of Latin America, ADAI, from Spain</t>
        </is>
      </c>
      <c r="AF1359" t="inlineStr">
        <is>
          <t>The authors acknowledge the financial support received from the Assistance Program for Archives of Latin America, ADAI, from Spain (Project 064/2012).</t>
        </is>
      </c>
      <c r="AH1359" t="n">
        <v>36</v>
      </c>
      <c r="AI1359" t="n">
        <v>22</v>
      </c>
      <c r="AJ1359" t="n">
        <v>26</v>
      </c>
      <c r="AK1359" t="n">
        <v>1</v>
      </c>
      <c r="AL1359" t="n">
        <v>7</v>
      </c>
      <c r="AM1359" t="inlineStr">
        <is>
          <t>SPRINGER</t>
        </is>
      </c>
      <c r="AN1359" t="inlineStr">
        <is>
          <t>DORDRECHT</t>
        </is>
      </c>
      <c r="AO1359" t="inlineStr">
        <is>
          <t>VAN GODEWIJCKSTRAAT 30, 3311 GZ DORDRECHT, NETHERLANDS</t>
        </is>
      </c>
      <c r="AP1359" t="inlineStr">
        <is>
          <t>0393-5965</t>
        </is>
      </c>
      <c r="AQ1359" t="inlineStr">
        <is>
          <t>1573-3025</t>
        </is>
      </c>
      <c r="AS1359" t="inlineStr">
        <is>
          <t>AEROBIOLOGIA</t>
        </is>
      </c>
      <c r="AT1359" t="inlineStr">
        <is>
          <t>Aerobiologia</t>
        </is>
      </c>
      <c r="AU1359" t="inlineStr">
        <is>
          <t>SEP</t>
        </is>
      </c>
      <c r="AV1359" t="n">
        <v>2016</v>
      </c>
      <c r="AW1359" t="n">
        <v>32</v>
      </c>
      <c r="AX1359" t="n">
        <v>3</v>
      </c>
      <c r="BC1359" t="n">
        <v>513</v>
      </c>
      <c r="BD1359" t="n">
        <v>527</v>
      </c>
      <c r="BF1359" t="inlineStr">
        <is>
          <t>10.1007/s10453-016-9429-3</t>
        </is>
      </c>
      <c r="BG1359">
        <f>HYPERLINK("http://dx.doi.org/10.1007/s10453-016-9429-3","http://dx.doi.org/10.1007/s10453-016-9429-3")</f>
        <v/>
      </c>
      <c r="BJ1359" t="n">
        <v>15</v>
      </c>
      <c r="BK1359" t="inlineStr">
        <is>
          <t>Biology; Environmental Sciences</t>
        </is>
      </c>
      <c r="BL1359" t="inlineStr">
        <is>
          <t>Science Citation Index Expanded (SCI-EXPANDED)</t>
        </is>
      </c>
      <c r="BM1359" t="inlineStr">
        <is>
          <t>Life Sciences &amp; Biomedicine - Other Topics; Environmental Sciences &amp; Ecology</t>
        </is>
      </c>
      <c r="BN1359" t="inlineStr">
        <is>
          <t>DU3UC</t>
        </is>
      </c>
      <c r="BS1359" t="inlineStr">
        <is>
          <t>2023-10-26</t>
        </is>
      </c>
      <c r="BT1359" t="inlineStr">
        <is>
          <t>WOS:000382136700013</t>
        </is>
      </c>
      <c r="BU1359">
        <f>HYPERLINK("https%3A%2F%2Fwww.webofscience.com%2Fwos%2Fwoscc%2Ffull-record%2FWOS:000382136700013","View Full Record in Web of Science")</f>
        <v/>
      </c>
    </row>
    <row r="1360">
      <c r="A1360" t="inlineStr">
        <is>
          <t>J</t>
        </is>
      </c>
      <c r="B1360" t="inlineStr">
        <is>
          <t>Ma, D; Yuan, H</t>
        </is>
      </c>
      <c r="F1360" t="inlineStr">
        <is>
          <t>Ma, Dan; Yuan, Hao</t>
        </is>
      </c>
      <c r="J1360" t="inlineStr">
        <is>
          <t>INTERNATIONAL JOURNAL OF ENVIRONMENTAL RESEARCH AND PUBLIC HEALTH</t>
        </is>
      </c>
      <c r="M1360" t="inlineStr">
        <is>
          <t>English</t>
        </is>
      </c>
      <c r="N1360" t="inlineStr">
        <is>
          <t>Article</t>
        </is>
      </c>
      <c r="T1360" t="inlineStr">
        <is>
          <t>Neighborhood Environment, Internet Use and Mental Distress among Older Adults: The Case of Shanghai, China</t>
        </is>
      </c>
      <c r="U1360" t="inlineStr">
        <is>
          <t>mental distress; neighborhood environment; Internet use; moderating effect; older adults</t>
        </is>
      </c>
      <c r="V1360" t="inlineStr">
        <is>
          <t>DEPRESSIVE SYMPTOMS; SOCIAL NETWORKING; HEALTH; PARTICIPATION; ASSOCIATIONS; ONLINE; PEOPLE; MODEL; AGE</t>
        </is>
      </c>
      <c r="W1360" t="inlineStr">
        <is>
          <t>As the Internet evolves in urban communities, its consequences on mental distress have drawn significant research attention. We examine the relationships of mental distress with neighborhood environment and Internet use among older adults, using data from a representative sample of 2036 adults aged older than 60 years in Shanghai, China. We assess mental health with a 10-item scale from the Symptom Checklist 90 and Internet use with a 4-item scale and obtain information of neighborhood environment from an online map platform. Results from multilevel models show that both neighborhood environment and Internet use are significantly related to mental distress. Moreover, a worse neighborhood environment may strengthen the correlation between Internet use and mental distress, indicating the strong moderating role of the neighborhood environment. Thus, promoting Internet use among elderly people might result in a reduction in the prevalence of mental distress in disadvantaged neighborhoods.</t>
        </is>
      </c>
      <c r="X1360" t="inlineStr">
        <is>
          <t>[Ma, Dan] Shanghai Adm Inst, Dept Sociol, Shanghai 200233, Peoples R China; [Yuan, Hao] Shanghai Univ, Sch Sociol &amp; Polit Sci, Shanghai 200444, Peoples R China</t>
        </is>
      </c>
      <c r="Y1360" t="inlineStr">
        <is>
          <t>Shanghai University</t>
        </is>
      </c>
      <c r="Z1360" t="inlineStr">
        <is>
          <t>Yuan, H (corresponding author), Shanghai Univ, Sch Sociol &amp; Polit Sci, Shanghai 200444, Peoples R China.</t>
        </is>
      </c>
      <c r="AA1360" t="inlineStr">
        <is>
          <t>madansoc@163.com; yuanhao@shu.edu.cn</t>
        </is>
      </c>
      <c r="AD1360" t="inlineStr">
        <is>
          <t>National Social Science Foundation of China [18BSH123]</t>
        </is>
      </c>
      <c r="AE1360" t="inlineStr">
        <is>
          <t>National Social Science Foundation of China(National Office of Philosophy and Social Sciences)</t>
        </is>
      </c>
      <c r="AF1360" t="inlineStr">
        <is>
          <t>This work was funded by the National Social Science Foundation of China (grant numbers 18BSH123).</t>
        </is>
      </c>
      <c r="AH1360" t="n">
        <v>46</v>
      </c>
      <c r="AI1360" t="n">
        <v>1</v>
      </c>
      <c r="AJ1360" t="n">
        <v>1</v>
      </c>
      <c r="AK1360" t="n">
        <v>6</v>
      </c>
      <c r="AL1360" t="n">
        <v>60</v>
      </c>
      <c r="AM1360" t="inlineStr">
        <is>
          <t>MDPI</t>
        </is>
      </c>
      <c r="AN1360" t="inlineStr">
        <is>
          <t>BASEL</t>
        </is>
      </c>
      <c r="AO1360" t="inlineStr">
        <is>
          <t>ST ALBAN-ANLAGE 66, CH-4052 BASEL, SWITZERLAND</t>
        </is>
      </c>
      <c r="AQ1360" t="inlineStr">
        <is>
          <t>1660-4601</t>
        </is>
      </c>
      <c r="AS1360" t="inlineStr">
        <is>
          <t>INT J ENV RES PUB HE</t>
        </is>
      </c>
      <c r="AT1360" t="inlineStr">
        <is>
          <t>Int. J. Environ. Res. Public Health</t>
        </is>
      </c>
      <c r="AU1360" t="inlineStr">
        <is>
          <t>APR</t>
        </is>
      </c>
      <c r="AV1360" t="n">
        <v>2021</v>
      </c>
      <c r="AW1360" t="n">
        <v>18</v>
      </c>
      <c r="AX1360" t="n">
        <v>7</v>
      </c>
      <c r="BE1360" t="n">
        <v>3616</v>
      </c>
      <c r="BF1360" t="inlineStr">
        <is>
          <t>10.3390/ijerph18073616</t>
        </is>
      </c>
      <c r="BG1360">
        <f>HYPERLINK("http://dx.doi.org/10.3390/ijerph18073616","http://dx.doi.org/10.3390/ijerph18073616")</f>
        <v/>
      </c>
      <c r="BJ1360" t="n">
        <v>12</v>
      </c>
      <c r="BK1360" t="inlineStr">
        <is>
          <t>Environmental Sciences; Public, Environmental &amp; Occupational Health</t>
        </is>
      </c>
      <c r="BL1360" t="inlineStr">
        <is>
          <t>Science Citation Index Expanded (SCI-EXPANDED); Social Science Citation Index (SSCI)</t>
        </is>
      </c>
      <c r="BM1360" t="inlineStr">
        <is>
          <t>Environmental Sciences &amp; Ecology; Public, Environmental &amp; Occupational Health</t>
        </is>
      </c>
      <c r="BN1360" t="inlineStr">
        <is>
          <t>RK8HH</t>
        </is>
      </c>
      <c r="BO1360" t="n">
        <v>33807261</v>
      </c>
      <c r="BP1360" t="inlineStr">
        <is>
          <t>Green Published, gold</t>
        </is>
      </c>
      <c r="BS1360" t="inlineStr">
        <is>
          <t>2023-10-26</t>
        </is>
      </c>
      <c r="BT1360" t="inlineStr">
        <is>
          <t>WOS:000638529700001</t>
        </is>
      </c>
      <c r="BU1360">
        <f>HYPERLINK("https%3A%2F%2Fwww.webofscience.com%2Fwos%2Fwoscc%2Ffull-record%2FWOS:000638529700001","View Full Record in Web of Science")</f>
        <v/>
      </c>
    </row>
    <row r="1361">
      <c r="A1361" t="inlineStr">
        <is>
          <t>J</t>
        </is>
      </c>
      <c r="B1361" t="inlineStr">
        <is>
          <t>Lee, JW; Kim, DW; Lee, SE; Jeong, JW</t>
        </is>
      </c>
      <c r="F1361" t="inlineStr">
        <is>
          <t>Lee, Jong-Won; Kim, Deuk-Woo; Lee, Seung-Eon; Jeong, Jae-Weon</t>
        </is>
      </c>
      <c r="J1361" t="inlineStr">
        <is>
          <t>SUSTAINABILITY</t>
        </is>
      </c>
      <c r="M1361" t="inlineStr">
        <is>
          <t>English</t>
        </is>
      </c>
      <c r="N1361" t="inlineStr">
        <is>
          <t>Article</t>
        </is>
      </c>
      <c r="T1361" t="inlineStr">
        <is>
          <t>Indoor Environmental Quality Survey in Research Institute: A Floor-by-Floor Analysis</t>
        </is>
      </c>
      <c r="U1361" t="inlineStr">
        <is>
          <t>indoor environmental quality (IEQ); occupant satisfaction; research institute; floor-by-floor analysis</t>
        </is>
      </c>
      <c r="V1361" t="inlineStr">
        <is>
          <t>PRODUCTIVITY; IEQ; PERFORMANCE; PERCEPTION; BUILDINGS; SYSTEM; IMPACT</t>
        </is>
      </c>
      <c r="W1361" t="inlineStr">
        <is>
          <t>Comprehensively monitoring indoor environmental quality (IEQ) parameters and their dynamic relations is essential to ensure improved productivity and a healthy environment for building occupants. Although IEQ significantly influences working efficiency, studies addressing this aspect with researchers in institutes as the focal point are limited. Thus, this study employed drill-down analyses, such as floor-by-floor and building-by-building examinations and used an occupant IEQ survey approach to evaluate working conditions in research buildings. This study systematically and objectively assessed IEQ using the Korea building occupant survey system. The results indicate that acoustic qualities affect the work productivity and satisfaction of the building occupants. The floor-by-floor analysis is necessary to identify IEQ factors and the reasons for the satisfaction of occupants. Additionally, it is important to improve the user-friendliness of the system, implement frequent survey distribution systems, and empirically analyze data associations among building, spatial, and demographical characteristics.</t>
        </is>
      </c>
      <c r="X1361" t="inlineStr">
        <is>
          <t>[Lee, Jong-Won] Hanyang Univ, Coll Engn, Dept Architectural Engn, Seoul 04763, South Korea; [Lee, Jong-Won; Kim, Deuk-Woo; Lee, Seung-Eon] Korea Inst Civil Engn &amp; Bldg Technol, 283 Goyang Daero, Goyang Si 10223, South Korea; [Jeong, Jae-Weon] Hanyang Univ, Dept Architectural Engn, 222 Wangsimni Ro, Seoul 04763, South Korea</t>
        </is>
      </c>
      <c r="Y1361" t="inlineStr">
        <is>
          <t>Hanyang University; Korea Institute of Civil Engineering &amp; Building Technology (KICT); Hanyang University</t>
        </is>
      </c>
      <c r="Z1361" t="inlineStr">
        <is>
          <t>Jeong, JW (corresponding author), Hanyang Univ, Dept Architectural Engn, 222 Wangsimni Ro, Seoul 04763, South Korea.</t>
        </is>
      </c>
      <c r="AA1361" t="inlineStr">
        <is>
          <t>jongwonlee@kict.re.kr; deukwookim@kict.re.kr; selee2@kict.re.kr; jjwarc@hanyang.ac.kr</t>
        </is>
      </c>
      <c r="AB1361" t="inlineStr">
        <is>
          <t>JEONG, JAE-WEON/K-6463-2017; JEONG, JAE-WEON/AAM-3030-2021</t>
        </is>
      </c>
      <c r="AC1361" t="inlineStr">
        <is>
          <t>JEONG, JAE-WEON/0000-0002-5391-3298; JEONG, JAE-WEON/0000-0002-5391-3298; Lee, Jong-Won/0000-0002-6602-035X; Kim, Deuk-Woo/0000-0002-9304-0372</t>
        </is>
      </c>
      <c r="AD1361" t="inlineStr">
        <is>
          <t>Major Project of the Korea Institute of Civil Engineering and Building Technology (KICT) [20210204-001, 20200287-001]; National Research Council of Science &amp; Technology (NST), Republic of Korea [20210204-001] Funding Source: Korea Institute of Science &amp; Technology Information (KISTI), National Science &amp; Technology Information Service (NTIS)</t>
        </is>
      </c>
      <c r="AE1361" t="inlineStr">
        <is>
          <t>Major Project of the Korea Institute of Civil Engineering and Building Technology (KICT); National Research Council of Science &amp; Technology (NST), Republic of Korea(National Research Council of Science &amp; Technology (NST), Republic of Korea)</t>
        </is>
      </c>
      <c r="AF1361" t="inlineStr">
        <is>
          <t>This research was funded by the Major Project of the Korea Institute of Civil Engineering and Building Technology (KICT) (grant number 20210204-001) and (grant number 20200287-001).</t>
        </is>
      </c>
      <c r="AH1361" t="n">
        <v>34</v>
      </c>
      <c r="AI1361" t="n">
        <v>0</v>
      </c>
      <c r="AJ1361" t="n">
        <v>0</v>
      </c>
      <c r="AK1361" t="n">
        <v>0</v>
      </c>
      <c r="AL1361" t="n">
        <v>5</v>
      </c>
      <c r="AM1361" t="inlineStr">
        <is>
          <t>MDPI</t>
        </is>
      </c>
      <c r="AN1361" t="inlineStr">
        <is>
          <t>BASEL</t>
        </is>
      </c>
      <c r="AO1361" t="inlineStr">
        <is>
          <t>ST ALBAN-ANLAGE 66, CH-4052 BASEL, SWITZERLAND</t>
        </is>
      </c>
      <c r="AQ1361" t="inlineStr">
        <is>
          <t>2071-1050</t>
        </is>
      </c>
      <c r="AS1361" t="inlineStr">
        <is>
          <t>SUSTAINABILITY-BASEL</t>
        </is>
      </c>
      <c r="AT1361" t="inlineStr">
        <is>
          <t>Sustainability</t>
        </is>
      </c>
      <c r="AU1361" t="inlineStr">
        <is>
          <t>DEC</t>
        </is>
      </c>
      <c r="AV1361" t="n">
        <v>2021</v>
      </c>
      <c r="AW1361" t="n">
        <v>13</v>
      </c>
      <c r="AX1361" t="n">
        <v>24</v>
      </c>
      <c r="BE1361" t="n">
        <v>14067</v>
      </c>
      <c r="BF1361" t="inlineStr">
        <is>
          <t>10.3390/su132414067</t>
        </is>
      </c>
      <c r="BG1361">
        <f>HYPERLINK("http://dx.doi.org/10.3390/su132414067","http://dx.doi.org/10.3390/su132414067")</f>
        <v/>
      </c>
      <c r="BJ1361" t="n">
        <v>17</v>
      </c>
      <c r="BK1361" t="inlineStr">
        <is>
          <t>Green &amp; Sustainable Science &amp; Technology; Environmental Sciences; Environmental Studies</t>
        </is>
      </c>
      <c r="BL1361" t="inlineStr">
        <is>
          <t>Science Citation Index Expanded (SCI-EXPANDED); Social Science Citation Index (SSCI)</t>
        </is>
      </c>
      <c r="BM1361" t="inlineStr">
        <is>
          <t>Science &amp; Technology - Other Topics; Environmental Sciences &amp; Ecology</t>
        </is>
      </c>
      <c r="BN1361" t="inlineStr">
        <is>
          <t>0G6LN</t>
        </is>
      </c>
      <c r="BP1361" t="inlineStr">
        <is>
          <t>gold</t>
        </is>
      </c>
      <c r="BS1361" t="inlineStr">
        <is>
          <t>2023-10-26</t>
        </is>
      </c>
      <c r="BT1361" t="inlineStr">
        <is>
          <t>WOS:000778154400001</t>
        </is>
      </c>
      <c r="BU1361">
        <f>HYPERLINK("https%3A%2F%2Fwww.webofscience.com%2Fwos%2Fwoscc%2Ffull-record%2FWOS:000778154400001","View Full Record in Web of Science")</f>
        <v/>
      </c>
    </row>
    <row r="1362">
      <c r="A1362" t="inlineStr">
        <is>
          <t>J</t>
        </is>
      </c>
      <c r="B1362" t="inlineStr">
        <is>
          <t>Conte, E</t>
        </is>
      </c>
      <c r="F1362" t="inlineStr">
        <is>
          <t>Conte, Emilia</t>
        </is>
      </c>
      <c r="J1362" t="inlineStr">
        <is>
          <t>SUSTAINABILITY</t>
        </is>
      </c>
      <c r="M1362" t="inlineStr">
        <is>
          <t>English</t>
        </is>
      </c>
      <c r="N1362" t="inlineStr">
        <is>
          <t>Article</t>
        </is>
      </c>
      <c r="T1362" t="inlineStr">
        <is>
          <t>The Era of Sustainability: Promises, Pitfalls and Prospects for Sustainable Buildings and the Built Environment</t>
        </is>
      </c>
      <c r="U1362" t="inlineStr">
        <is>
          <t>sustainable development; sustainable building; built environment; era of sustainability; greening process</t>
        </is>
      </c>
      <c r="V1362" t="inlineStr">
        <is>
          <t>ARCHITECTURE; PARADIGM; FRAMEWORK; PLACE; GREEN</t>
        </is>
      </c>
      <c r="W1362" t="inlineStr">
        <is>
          <t>Following 25 years of efforts in the field, the author discusses the situation of the construction sector by reflecting on the 3Ps of the era of sustainability: the promises of sustainability; the pitfalls in the interpretation of sustainability for construction; the prospects for sustainable buildings and the built environment in the future. The paper is organized into five sections. The first section introduces the emergence of sustainable construction, its promises and challenges for architects and engineers. The second section considers how sustainability has been interpreted in practice in construction, i.e., primarily through the process of greening buildings and the built environment. The third section describes the main pitfalls that such interpretation has determined, including the role played by evaluation and assessment systems for sustainable buildings. The fourth section examines prospective paths to overcoming such pitfalls, with particular concerns for new professionalisms and the ensuing role for higher education. The fifth section concludes by supporting the idea that the era of sustainability is still necessary, if sustainability itself becomes a sort of container concept' of all that is necessary for long-lasting natural and human life on Earth.</t>
        </is>
      </c>
      <c r="X1362" t="inlineStr">
        <is>
          <t>[Conte, Emilia] Polytech Univ Bari, DICATECh, I-70125 Bari, Italy</t>
        </is>
      </c>
      <c r="Y1362" t="inlineStr">
        <is>
          <t>Politecnico di Bari</t>
        </is>
      </c>
      <c r="Z1362" t="inlineStr">
        <is>
          <t>Conte, E (corresponding author), Polytech Univ Bari, DICATECh, I-70125 Bari, Italy.</t>
        </is>
      </c>
      <c r="AA1362" t="inlineStr">
        <is>
          <t>emilia.conte@poliba.it</t>
        </is>
      </c>
      <c r="AH1362" t="n">
        <v>69</v>
      </c>
      <c r="AI1362" t="n">
        <v>6</v>
      </c>
      <c r="AJ1362" t="n">
        <v>6</v>
      </c>
      <c r="AK1362" t="n">
        <v>1</v>
      </c>
      <c r="AL1362" t="n">
        <v>10</v>
      </c>
      <c r="AM1362" t="inlineStr">
        <is>
          <t>MDPI</t>
        </is>
      </c>
      <c r="AN1362" t="inlineStr">
        <is>
          <t>BASEL</t>
        </is>
      </c>
      <c r="AO1362" t="inlineStr">
        <is>
          <t>ST ALBAN-ANLAGE 66, CH-4052 BASEL, SWITZERLAND</t>
        </is>
      </c>
      <c r="AQ1362" t="inlineStr">
        <is>
          <t>2071-1050</t>
        </is>
      </c>
      <c r="AS1362" t="inlineStr">
        <is>
          <t>SUSTAINABILITY-BASEL</t>
        </is>
      </c>
      <c r="AT1362" t="inlineStr">
        <is>
          <t>Sustainability</t>
        </is>
      </c>
      <c r="AU1362" t="inlineStr">
        <is>
          <t>JUN</t>
        </is>
      </c>
      <c r="AV1362" t="n">
        <v>2018</v>
      </c>
      <c r="AW1362" t="n">
        <v>10</v>
      </c>
      <c r="AX1362" t="n">
        <v>6</v>
      </c>
      <c r="BE1362" t="n">
        <v>2092</v>
      </c>
      <c r="BF1362" t="inlineStr">
        <is>
          <t>10.3390/su10062092</t>
        </is>
      </c>
      <c r="BG1362">
        <f>HYPERLINK("http://dx.doi.org/10.3390/su10062092","http://dx.doi.org/10.3390/su10062092")</f>
        <v/>
      </c>
      <c r="BJ1362" t="n">
        <v>16</v>
      </c>
      <c r="BK1362" t="inlineStr">
        <is>
          <t>Green &amp; Sustainable Science &amp; Technology; Environmental Sciences; Environmental Studies</t>
        </is>
      </c>
      <c r="BL1362" t="inlineStr">
        <is>
          <t>Science Citation Index Expanded (SCI-EXPANDED); Social Science Citation Index (SSCI)</t>
        </is>
      </c>
      <c r="BM1362" t="inlineStr">
        <is>
          <t>Science &amp; Technology - Other Topics; Environmental Sciences &amp; Ecology</t>
        </is>
      </c>
      <c r="BN1362" t="inlineStr">
        <is>
          <t>GK9LE</t>
        </is>
      </c>
      <c r="BP1362" t="inlineStr">
        <is>
          <t>gold, Green Submitted</t>
        </is>
      </c>
      <c r="BS1362" t="inlineStr">
        <is>
          <t>2023-10-26</t>
        </is>
      </c>
      <c r="BT1362" t="inlineStr">
        <is>
          <t>WOS:000436570100404</t>
        </is>
      </c>
      <c r="BU1362">
        <f>HYPERLINK("https%3A%2F%2Fwww.webofscience.com%2Fwos%2Fwoscc%2Ffull-record%2FWOS:000436570100404","View Full Record in Web of Science")</f>
        <v/>
      </c>
    </row>
    <row r="1363">
      <c r="A1363" t="inlineStr">
        <is>
          <t>J</t>
        </is>
      </c>
      <c r="B1363" t="inlineStr">
        <is>
          <t>Jeon, H; Kong, J</t>
        </is>
      </c>
      <c r="F1363" t="inlineStr">
        <is>
          <t>Jeon, Haesang; Kong, Jooyoung</t>
        </is>
      </c>
      <c r="J1363" t="inlineStr">
        <is>
          <t>INTERNATIONAL JOURNAL OF ENVIRONMENTAL RESEARCH AND PUBLIC HEALTH</t>
        </is>
      </c>
      <c r="M1363" t="inlineStr">
        <is>
          <t>English</t>
        </is>
      </c>
      <c r="N1363" t="inlineStr">
        <is>
          <t>Article</t>
        </is>
      </c>
      <c r="T1363" t="inlineStr">
        <is>
          <t>Exploring Factors Associated with Perceived Changes in Severity of Elder Abuse: A Population-Based Study of Older Adults in Korea</t>
        </is>
      </c>
      <c r="U1363" t="inlineStr">
        <is>
          <t>elder abuse; older Korean; perceived changes in severity of abuse</t>
        </is>
      </c>
      <c r="V1363" t="inlineStr">
        <is>
          <t>RISK-FACTORS; FAMILY CAREGIVERS; PREVALENCE; NEGLECT; DEMENTIA</t>
        </is>
      </c>
      <c r="W1363" t="inlineStr">
        <is>
          <t>Elder abuse is a pressing problem that demands social attention in South Korea. This study aims to examine the characteristics of older adults and their family perpetrators that may influence the perceived severity of abuse by older adults using a nationally representative sample among older Koreans. We analyzed 952 community-dwelling older Koreans from a population-based survey of the Survey of Elderly Care and Welfare Need. The analytic sample of this study consisted of older adults who self-reported having been emotionally, physically, and financially abused or neglected by their family members or other primary caregivers. We used multinomial logistic regression models to predict perceived change in severity of abuse. Results showed that the abuse type and duration of abuse were significantly associated with the perceived change in the severity of abuse. Older victims' age, being female, and being married were also associated with greater risk for increased severity of abuse relative to no change, while older adults' better health status was associated with lower risk for increased severity of abuse. The findings of this study can help social work professionals identify older adults with heightened risk of abuse and protect the human rights of the most vulnerable aging population.</t>
        </is>
      </c>
      <c r="X1363" t="inlineStr">
        <is>
          <t>[Jeon, Haesang] Jeonju Univ, Dept Social Welf, Jeonju Si 55069, South Korea; [Kong, Jooyoung] Univ Wisconsin Madison, Sandra Rosenbaum Sch Social Work, 1350 Univ Ave,Off 304, Madison, WI 53706 USA</t>
        </is>
      </c>
      <c r="Y1363" t="inlineStr">
        <is>
          <t>Jeonju University; University of Wisconsin System; University of Wisconsin Madison</t>
        </is>
      </c>
      <c r="Z1363" t="inlineStr">
        <is>
          <t>Jeon, H (corresponding author), Jeonju Univ, Dept Social Welf, Jeonju Si 55069, South Korea.</t>
        </is>
      </c>
      <c r="AA1363" t="inlineStr">
        <is>
          <t>jeonh20@jj.ac.kr</t>
        </is>
      </c>
      <c r="AH1363" t="n">
        <v>25</v>
      </c>
      <c r="AI1363" t="n">
        <v>1</v>
      </c>
      <c r="AJ1363" t="n">
        <v>1</v>
      </c>
      <c r="AK1363" t="n">
        <v>2</v>
      </c>
      <c r="AL1363" t="n">
        <v>4</v>
      </c>
      <c r="AM1363" t="inlineStr">
        <is>
          <t>MDPI</t>
        </is>
      </c>
      <c r="AN1363" t="inlineStr">
        <is>
          <t>BASEL</t>
        </is>
      </c>
      <c r="AO1363" t="inlineStr">
        <is>
          <t>ST ALBAN-ANLAGE 66, CH-4052 BASEL, SWITZERLAND</t>
        </is>
      </c>
      <c r="AQ1363" t="inlineStr">
        <is>
          <t>1660-4601</t>
        </is>
      </c>
      <c r="AS1363" t="inlineStr">
        <is>
          <t>INT J ENV RES PUB HE</t>
        </is>
      </c>
      <c r="AT1363" t="inlineStr">
        <is>
          <t>Int. J. Environ. Res. Public Health</t>
        </is>
      </c>
      <c r="AU1363" t="inlineStr">
        <is>
          <t>AUG</t>
        </is>
      </c>
      <c r="AV1363" t="n">
        <v>2022</v>
      </c>
      <c r="AW1363" t="n">
        <v>19</v>
      </c>
      <c r="AX1363" t="n">
        <v>16</v>
      </c>
      <c r="BE1363" t="n">
        <v>10033</v>
      </c>
      <c r="BF1363" t="inlineStr">
        <is>
          <t>10.3390/ijerph191610033</t>
        </is>
      </c>
      <c r="BG1363">
        <f>HYPERLINK("http://dx.doi.org/10.3390/ijerph191610033","http://dx.doi.org/10.3390/ijerph191610033")</f>
        <v/>
      </c>
      <c r="BJ1363" t="n">
        <v>10</v>
      </c>
      <c r="BK1363" t="inlineStr">
        <is>
          <t>Environmental Sciences; Public, Environmental &amp; Occupational Health</t>
        </is>
      </c>
      <c r="BL1363" t="inlineStr">
        <is>
          <t>Science Citation Index Expanded (SCI-EXPANDED); Social Science Citation Index (SSCI)</t>
        </is>
      </c>
      <c r="BM1363" t="inlineStr">
        <is>
          <t>Environmental Sciences &amp; Ecology; Public, Environmental &amp; Occupational Health</t>
        </is>
      </c>
      <c r="BN1363" t="inlineStr">
        <is>
          <t>4C8JG</t>
        </is>
      </c>
      <c r="BO1363" t="n">
        <v>36011668</v>
      </c>
      <c r="BP1363" t="inlineStr">
        <is>
          <t>Green Published, gold</t>
        </is>
      </c>
      <c r="BS1363" t="inlineStr">
        <is>
          <t>2023-10-26</t>
        </is>
      </c>
      <c r="BT1363" t="inlineStr">
        <is>
          <t>WOS:000846691700001</t>
        </is>
      </c>
      <c r="BU1363">
        <f>HYPERLINK("https%3A%2F%2Fwww.webofscience.com%2Fwos%2Fwoscc%2Ffull-record%2FWOS:000846691700001","View Full Record in Web of Science")</f>
        <v/>
      </c>
    </row>
    <row r="1364">
      <c r="A1364" t="inlineStr">
        <is>
          <t>J</t>
        </is>
      </c>
      <c r="B1364" t="inlineStr">
        <is>
          <t>Hao-He; Feifan-Yang</t>
        </is>
      </c>
      <c r="F1364" t="inlineStr">
        <is>
          <t>Hao-He; Feifan-Yang</t>
        </is>
      </c>
      <c r="J1364" t="inlineStr">
        <is>
          <t>JOURNAL OF ENVIRONMENTAL PROTECTION AND ECOLOGY</t>
        </is>
      </c>
      <c r="M1364" t="inlineStr">
        <is>
          <t>English</t>
        </is>
      </c>
      <c r="N1364" t="inlineStr">
        <is>
          <t>Article</t>
        </is>
      </c>
      <c r="T1364" t="inlineStr">
        <is>
          <t>EVALUATION OF SPATIAL AND TEMPORAL CHANGES OF MINE ECOLOGICAL ENVIRONMENT IN ILI VALLEY BASED ON REMOTE SENSING ECOLOGICAL INDEX</t>
        </is>
      </c>
      <c r="U1364" t="inlineStr">
        <is>
          <t>remote sensing ecological index; ecological environment of mines; Ili Valley; spatial and temporal changes</t>
        </is>
      </c>
      <c r="V1364" t="inlineStr">
        <is>
          <t>RIVER</t>
        </is>
      </c>
      <c r="W1364" t="inlineStr">
        <is>
          <t>This paper analyses the characteristics of the temporal changes of ecological environment quality in the mining area of the Ili Valley from 2013-2021 to provide a scientific basis for improving the ecological environment in the region. Based on 5 issues of Landsat8 OLI data from 2013-2021, the remote sensing ecological index (RSEI) was constructed by using principal component analysis and selecting Normalised differential vegetation index (NDVI), the wetness component of the tasseled cap transformation (WET), the dryness index synthesised by the building index and the normalised difference soil index (NDSI), and the land surface temperature (LST). The RSEI is classified into 5 levels by reclassification, and the centre of gravity migration of RSEI levels I-V is analysed according to the centre of gravity migration method, and the spatial change pattern of RSEI is analysed to realise the dynamic monitoring and evaluation of ecological environment quality in the mining area of Ili Valley by using RSEI. The experimental results show that: (i) The ecological environment condition of the mining area in the Ili Valley is significantly improved in 2013-2021, in which the area with an increasing trend accounts for 38.36% of the total area of the mining area, and the NDVI and WET have a greater impact on the ecological environment quality of the mining area; (ii) The ecological environment quality of the mining area is mainly level I, II and III, and the migration of level IV and V is larger and the centre of gravity moves to the northeast and southeast of the mining area. The ecological and environmental quality of the mining area in the Ili Valley shows a general upward trend from 2013 to 2021, which is influenced by the growth of vegetation and human activity factors.</t>
        </is>
      </c>
      <c r="X1364" t="inlineStr">
        <is>
          <t>[Hao-He; Feifan-Yang] Xinjiang Univ, Coll Civil &amp; Architectural Engn, Urumqi, Peoples R China</t>
        </is>
      </c>
      <c r="Y1364" t="inlineStr">
        <is>
          <t>Xinjiang University</t>
        </is>
      </c>
      <c r="Z1364" t="inlineStr">
        <is>
          <t>Hao-He (corresponding author), Xinjiang Univ, Coll Civil &amp; Architectural Engn, Urumqi, Peoples R China.</t>
        </is>
      </c>
      <c r="AA1364" t="inlineStr">
        <is>
          <t>58080863@qq.com</t>
        </is>
      </c>
      <c r="AD1364" t="inlineStr">
        <is>
          <t>doctoral research startup fund project of Xinjiang University Research on priority evaluation of multi-scale mine ecological restoration in Yili Valley [202109120012]; natural science foundation of Xinjiang Autonomous Region Project Monitoring of urban leaf area index based on hyperspectral remote sensing images [2021D01C054]</t>
        </is>
      </c>
      <c r="AE1364" t="inlineStr">
        <is>
          <t>doctoral research startup fund project of Xinjiang University Research on priority evaluation of multi-scale mine ecological restoration in Yili Valley; natural science foundation of Xinjiang Autonomous Region Project Monitoring of urban leaf area index based on hyperspectral remote sensing images</t>
        </is>
      </c>
      <c r="AF1364" t="inlineStr">
        <is>
          <t>This study was supported by doctoral research startup fund project of Xinjiang University Research on priority evaluation of multi-scale mine ecological restoration in Yili Valley (Grant No 202109120012) and the natural science foundation of Xinjiang Autonomous Region Project Monitoring of urban leaf area index based on hyperspectral remote sensing images (Grant No 2021D01C054). In addition, the constructive comments and suggestions from the handling editor and anonymous reviewers are gratefully acknowledged.</t>
        </is>
      </c>
      <c r="AH1364" t="n">
        <v>15</v>
      </c>
      <c r="AI1364" t="n">
        <v>0</v>
      </c>
      <c r="AJ1364" t="n">
        <v>0</v>
      </c>
      <c r="AK1364" t="n">
        <v>7</v>
      </c>
      <c r="AL1364" t="n">
        <v>11</v>
      </c>
      <c r="AM1364" t="inlineStr">
        <is>
          <t>SCIBULCOM LTD</t>
        </is>
      </c>
      <c r="AN1364" t="inlineStr">
        <is>
          <t>SOFIA</t>
        </is>
      </c>
      <c r="AO1364" t="inlineStr">
        <is>
          <t>PO BOX 249, 1113 SOFIA, BULGARIA</t>
        </is>
      </c>
      <c r="AP1364" t="inlineStr">
        <is>
          <t>1311-5065</t>
        </is>
      </c>
      <c r="AS1364" t="inlineStr">
        <is>
          <t>J ENVIRON PROT ECOL</t>
        </is>
      </c>
      <c r="AT1364" t="inlineStr">
        <is>
          <t>J. Environ. Prot. Ecol.</t>
        </is>
      </c>
      <c r="AV1364" t="n">
        <v>2022</v>
      </c>
      <c r="AW1364" t="n">
        <v>23</v>
      </c>
      <c r="AX1364" t="n">
        <v>5</v>
      </c>
      <c r="BC1364" t="n">
        <v>2124</v>
      </c>
      <c r="BD1364" t="n">
        <v>2132</v>
      </c>
      <c r="BJ1364" t="n">
        <v>9</v>
      </c>
      <c r="BK1364" t="inlineStr">
        <is>
          <t>Environmental Sciences</t>
        </is>
      </c>
      <c r="BL1364" t="inlineStr">
        <is>
          <t>Science Citation Index Expanded (SCI-EXPANDED)</t>
        </is>
      </c>
      <c r="BM1364" t="inlineStr">
        <is>
          <t>Environmental Sciences &amp; Ecology</t>
        </is>
      </c>
      <c r="BN1364" t="inlineStr">
        <is>
          <t>5K9IK</t>
        </is>
      </c>
      <c r="BS1364" t="inlineStr">
        <is>
          <t>2023-10-26</t>
        </is>
      </c>
      <c r="BT1364" t="inlineStr">
        <is>
          <t>WOS:000870031700037</t>
        </is>
      </c>
      <c r="BU1364">
        <f>HYPERLINK("https%3A%2F%2Fwww.webofscience.com%2Fwos%2Fwoscc%2Ffull-record%2FWOS:000870031700037","View Full Record in Web of Science")</f>
        <v/>
      </c>
    </row>
    <row r="1365">
      <c r="A1365" t="inlineStr">
        <is>
          <t>J</t>
        </is>
      </c>
      <c r="B1365" t="inlineStr">
        <is>
          <t>Nuwere, E; Gibbs, BB; Toto, PE; Ross, SET</t>
        </is>
      </c>
      <c r="F1365" t="inlineStr">
        <is>
          <t>Nuwere, Efekona; Gibbs, Bethany Barone; Toto, Pamela E.; Ross, Sharon E. Taverno</t>
        </is>
      </c>
      <c r="J1365" t="inlineStr">
        <is>
          <t>INTERNATIONAL JOURNAL OF ENVIRONMENTAL RESEARCH AND PUBLIC HEALTH</t>
        </is>
      </c>
      <c r="M1365" t="inlineStr">
        <is>
          <t>English</t>
        </is>
      </c>
      <c r="N1365" t="inlineStr">
        <is>
          <t>Article</t>
        </is>
      </c>
      <c r="T1365" t="inlineStr">
        <is>
          <t>Planning for a Healthy Aging Program to Reduce Sedentary Behavior: Perceptions among Diverse Older Adults</t>
        </is>
      </c>
      <c r="U1365" t="inlineStr">
        <is>
          <t>sedentary behavior; sitting; older adults; healthy aging; qualitative; perceptions; program development; senior center</t>
        </is>
      </c>
      <c r="V1365" t="inlineStr">
        <is>
          <t>UNITED-STATES; TIME; DETERMINANTS; RELIABILITY; ASSOCIATION; STRATEGIES; VALIDITY; PATTERNS; OUTCOMES; RISK</t>
        </is>
      </c>
      <c r="W1365" t="inlineStr">
        <is>
          <t>Reducing prolonged engagement in sedentary behavior is increasingly considered a viable pathway to older-adult health and continued functional ability. Community-based programs that aim to increase physical activity can improve programs' acceptability by integrating older adults' perspectives on sedentary behavior and healthy aging into their design. The purpose of this study was to better understand the perceptions of a diverse group of community-dwelling older adults regarding sedentary behavior and its influence on healthy aging. Six focus group discussions with forty-six participants took place across two senior centers in New York City. Self-report questionnaires about daily activity patterns, general health status, and typical sedentary behaviors were also completed by the participants and analyzed using descriptive statistics. The focus group discussions were audio-recorded, transcribed, and analyzed using inductive and deductive approaches and an ecological framework to identify salient themes. A qualitative analysis revealed that the participants were aware of the physical costs of engaging in prolonged sedentary behavior. However, many routine sedentary activities were perceived to be health-promoting and of psychological, cognitive, or social value. The insights gained can inform the development of senior-center programs and health-promotion messaging strategies that aim to reduce older adults' sedentary behavior.</t>
        </is>
      </c>
      <c r="X1365" t="inlineStr">
        <is>
          <t>[Nuwere, Efekona] Long Isl Univ, Dept Occupat Therapy, 1 Univ Plaza, Brooklyn, NY 11201 USA; [Gibbs, Bethany Barone; Ross, Sharon E. Taverno] Univ Pittsburgh, Dept Hlth &amp; Human Dev, 4200 Fifth Ave, Pittsburgh, PA 15260 USA; [Toto, Pamela E.] Univ Pittsburgh, Dept Occupat Therapy, 4200 Fifth Ave, Pittsburgh, PA 15260 USA</t>
        </is>
      </c>
      <c r="Y1365" t="inlineStr">
        <is>
          <t>Long Island University-Brooklyn Campus; Pennsylvania Commonwealth System of Higher Education (PCSHE); University of Pittsburgh; Pennsylvania Commonwealth System of Higher Education (PCSHE); University of Pittsburgh</t>
        </is>
      </c>
      <c r="Z1365" t="inlineStr">
        <is>
          <t>Nuwere, E (corresponding author), Long Isl Univ, Dept Occupat Therapy, 1 Univ Plaza, Brooklyn, NY 11201 USA.</t>
        </is>
      </c>
      <c r="AA1365" t="inlineStr">
        <is>
          <t>efekona.nuwere@liu.edu; bbarone@pitt.edu; pet3@pitt.edu; seross@pitt.edu</t>
        </is>
      </c>
      <c r="AC1365" t="inlineStr">
        <is>
          <t>Ross, Sharon/0000-0002-3556-598X; Nuwere, Efekona/0000-0002-6337-0362; Toto, Pamela/0000-0002-8561-5068</t>
        </is>
      </c>
      <c r="AD1365" t="inlineStr">
        <is>
          <t>School of Education Student Research Fund, University of Pittsburgh; Council for Graduate Students in Education (CGSE), University of Pittsburgh</t>
        </is>
      </c>
      <c r="AE1365" t="inlineStr">
        <is>
          <t>School of Education Student Research Fund, University of Pittsburgh; Council for Graduate Students in Education (CGSE), University of Pittsburgh</t>
        </is>
      </c>
      <c r="AF1365" t="inlineStr">
        <is>
          <t>This research was funded by the School of Education Student Research Fund, University of Pittsburgh and the Council for Graduate Students in Education (CGSE), University of Pittsburgh.</t>
        </is>
      </c>
      <c r="AH1365" t="n">
        <v>52</v>
      </c>
      <c r="AI1365" t="n">
        <v>2</v>
      </c>
      <c r="AJ1365" t="n">
        <v>2</v>
      </c>
      <c r="AK1365" t="n">
        <v>2</v>
      </c>
      <c r="AL1365" t="n">
        <v>11</v>
      </c>
      <c r="AM1365" t="inlineStr">
        <is>
          <t>MDPI</t>
        </is>
      </c>
      <c r="AN1365" t="inlineStr">
        <is>
          <t>BASEL</t>
        </is>
      </c>
      <c r="AO1365" t="inlineStr">
        <is>
          <t>ST ALBAN-ANLAGE 66, CH-4052 BASEL, SWITZERLAND</t>
        </is>
      </c>
      <c r="AQ1365" t="inlineStr">
        <is>
          <t>1660-4601</t>
        </is>
      </c>
      <c r="AS1365" t="inlineStr">
        <is>
          <t>INT J ENV RES PUB HE</t>
        </is>
      </c>
      <c r="AT1365" t="inlineStr">
        <is>
          <t>Int. J. Environ. Res. Public Health</t>
        </is>
      </c>
      <c r="AU1365" t="inlineStr">
        <is>
          <t>MAY</t>
        </is>
      </c>
      <c r="AV1365" t="n">
        <v>2022</v>
      </c>
      <c r="AW1365" t="n">
        <v>19</v>
      </c>
      <c r="AX1365" t="n">
        <v>10</v>
      </c>
      <c r="BE1365" t="n">
        <v>6068</v>
      </c>
      <c r="BF1365" t="inlineStr">
        <is>
          <t>10.3390/ijerph19106068</t>
        </is>
      </c>
      <c r="BG1365">
        <f>HYPERLINK("http://dx.doi.org/10.3390/ijerph19106068","http://dx.doi.org/10.3390/ijerph19106068")</f>
        <v/>
      </c>
      <c r="BJ1365" t="n">
        <v>14</v>
      </c>
      <c r="BK1365" t="inlineStr">
        <is>
          <t>Environmental Sciences; Public, Environmental &amp; Occupational Health</t>
        </is>
      </c>
      <c r="BL1365" t="inlineStr">
        <is>
          <t>Science Citation Index Expanded (SCI-EXPANDED); Social Science Citation Index (SSCI)</t>
        </is>
      </c>
      <c r="BM1365" t="inlineStr">
        <is>
          <t>Environmental Sciences &amp; Ecology; Public, Environmental &amp; Occupational Health</t>
        </is>
      </c>
      <c r="BN1365" t="inlineStr">
        <is>
          <t>1P1FM</t>
        </is>
      </c>
      <c r="BO1365" t="n">
        <v>35627604</v>
      </c>
      <c r="BP1365" t="inlineStr">
        <is>
          <t>Green Published, gold</t>
        </is>
      </c>
      <c r="BS1365" t="inlineStr">
        <is>
          <t>2023-10-26</t>
        </is>
      </c>
      <c r="BT1365" t="inlineStr">
        <is>
          <t>WOS:000801763600001</t>
        </is>
      </c>
      <c r="BU1365">
        <f>HYPERLINK("https%3A%2F%2Fwww.webofscience.com%2Fwos%2Fwoscc%2Ffull-record%2FWOS:000801763600001","View Full Record in Web of Science")</f>
        <v/>
      </c>
    </row>
    <row r="1366">
      <c r="A1366" t="inlineStr">
        <is>
          <t>J</t>
        </is>
      </c>
      <c r="B1366" t="inlineStr">
        <is>
          <t>Choi, K; Jeon, GS; Jang, KS</t>
        </is>
      </c>
      <c r="F1366" t="inlineStr">
        <is>
          <t>Choi, Kyungwon; Jeon, Gyeong-Suk; Jang, Kwang-Sim</t>
        </is>
      </c>
      <c r="J1366" t="inlineStr">
        <is>
          <t>INTERNATIONAL JOURNAL OF ENVIRONMENTAL RESEARCH AND PUBLIC HEALTH</t>
        </is>
      </c>
      <c r="M1366" t="inlineStr">
        <is>
          <t>English</t>
        </is>
      </c>
      <c r="N1366" t="inlineStr">
        <is>
          <t>Article</t>
        </is>
      </c>
      <c r="T1366" t="inlineStr">
        <is>
          <t>Gender Differences in the Impact of Intergenerational Support on Depressive Symptoms among Older Adults in Korea</t>
        </is>
      </c>
      <c r="U1366" t="inlineStr">
        <is>
          <t>depression; older adults; social support; intergenerational relations; gender</t>
        </is>
      </c>
      <c r="V1366" t="inlineStr">
        <is>
          <t>SOCIAL SUPPORT; LIVING ARRANGEMENTS; LIFE SATISFACTION; FAMILY SUPPORT; RURAL CHINA; CHILDREN; HEALTH; PARENTS; PEOPLE; CONSEQUENCES</t>
        </is>
      </c>
      <c r="W1366" t="inlineStr">
        <is>
          <t>Background: This study examined the relationship between intergenerational support patterns and depressive symptoms among older men and women in Korea.Methods: A nationally representative survey of non-institutionalized, community-dwelling older adults in Korea was used. A total of 7531 older adults (3592 men and 3939 women) was included in the analysis.Results: We observed gender differences in the impact of financial support exchanges on depressive symptoms. A lack of mutual financial support significantly increased the risk of depressive symptoms by 3.83 times (95% CI 2.34-6.24) in men and 1.73 times (95% CI 1.06-2.83) in women. Men who received financial support were more likely to experience depressive symptoms (OR (Odds Ratio), 1.81, 95% CI 1.36-2.42), whereas women who provided financial support were more likely to experience depressive symptoms (OR 2.82, 95% CI 1.21-6.56). The lack of an exchange of emotional support was significantly associated with depressive symptoms in both men (OR 1.49, 95% CI 1.17-1.90) and women (OR 1.87, 95% CI 1.50-2.34).Conclusions: We discuss the evidence of gender differences in intergenerational support exchange patterns and their impact on depressive symptoms within the context of Korean cultures and suggest that future research should be conducted on gender differences in the impact of intergenerational support on mental health across diverse societies.</t>
        </is>
      </c>
      <c r="X1366" t="inlineStr">
        <is>
          <t>[Choi, Kyungwon] Korea Natl Univ Transportat, Dept Nursing, ZA-27909 Chungbuk, South Africa; [Jeon, Gyeong-Suk] Mokpo Natl Univ, Dept Nursing, Div Nat Sci, Muan Gun 58554, South Korea; [Jang, Kwang-Sim] Sehan Univ, Dept Nursing, Youngam 58447, South Korea</t>
        </is>
      </c>
      <c r="Y1366" t="inlineStr">
        <is>
          <t>Mokpo National University; Sehan University</t>
        </is>
      </c>
      <c r="Z1366" t="inlineStr">
        <is>
          <t>Jeon, GS (corresponding author), Mokpo Natl Univ, Dept Nursing, Div Nat Sci, Muan Gun 58554, South Korea.</t>
        </is>
      </c>
      <c r="AA1366" t="inlineStr">
        <is>
          <t>kwchoi@ut.ac.kr; sookie@mokpo.ac.kr; ksjang@sehan.ac.kr</t>
        </is>
      </c>
      <c r="AB1366" t="inlineStr">
        <is>
          <t>Kwang-Sim, Jang/AAU-5584-2021</t>
        </is>
      </c>
      <c r="AC1366" t="inlineStr">
        <is>
          <t>Kwang-Sim, Jang/0000-0001-9696-2842; Jeon, Gyeong-Suk/0000-0001-8574-7936</t>
        </is>
      </c>
      <c r="AD1366" t="inlineStr">
        <is>
          <t>Mokpo National University [2019-0239]</t>
        </is>
      </c>
      <c r="AE1366" t="inlineStr">
        <is>
          <t>Mokpo National University</t>
        </is>
      </c>
      <c r="AF1366" t="inlineStr">
        <is>
          <t>This study was supported by the 2019 research grant of the Mokpo National University (2019-0239).</t>
        </is>
      </c>
      <c r="AH1366" t="n">
        <v>47</v>
      </c>
      <c r="AI1366" t="n">
        <v>15</v>
      </c>
      <c r="AJ1366" t="n">
        <v>15</v>
      </c>
      <c r="AK1366" t="n">
        <v>3</v>
      </c>
      <c r="AL1366" t="n">
        <v>37</v>
      </c>
      <c r="AM1366" t="inlineStr">
        <is>
          <t>MDPI</t>
        </is>
      </c>
      <c r="AN1366" t="inlineStr">
        <is>
          <t>BASEL</t>
        </is>
      </c>
      <c r="AO1366" t="inlineStr">
        <is>
          <t>ST ALBAN-ANLAGE 66, CH-4052 BASEL, SWITZERLAND</t>
        </is>
      </c>
      <c r="AQ1366" t="inlineStr">
        <is>
          <t>1660-4601</t>
        </is>
      </c>
      <c r="AS1366" t="inlineStr">
        <is>
          <t>INT J ENV RES PUB HE</t>
        </is>
      </c>
      <c r="AT1366" t="inlineStr">
        <is>
          <t>Int. J. Environ. Res. Public Health</t>
        </is>
      </c>
      <c r="AU1366" t="inlineStr">
        <is>
          <t>JUN</t>
        </is>
      </c>
      <c r="AV1366" t="n">
        <v>2020</v>
      </c>
      <c r="AW1366" t="n">
        <v>17</v>
      </c>
      <c r="AX1366" t="n">
        <v>12</v>
      </c>
      <c r="BE1366" t="n">
        <v>4380</v>
      </c>
      <c r="BF1366" t="inlineStr">
        <is>
          <t>10.3390/ijerph17124380</t>
        </is>
      </c>
      <c r="BG1366">
        <f>HYPERLINK("http://dx.doi.org/10.3390/ijerph17124380","http://dx.doi.org/10.3390/ijerph17124380")</f>
        <v/>
      </c>
      <c r="BJ1366" t="n">
        <v>13</v>
      </c>
      <c r="BK1366" t="inlineStr">
        <is>
          <t>Environmental Sciences; Public, Environmental &amp; Occupational Health</t>
        </is>
      </c>
      <c r="BL1366" t="inlineStr">
        <is>
          <t>Science Citation Index Expanded (SCI-EXPANDED); Social Science Citation Index (SSCI)</t>
        </is>
      </c>
      <c r="BM1366" t="inlineStr">
        <is>
          <t>Environmental Sciences &amp; Ecology; Public, Environmental &amp; Occupational Health</t>
        </is>
      </c>
      <c r="BN1366" t="inlineStr">
        <is>
          <t>ML6MX</t>
        </is>
      </c>
      <c r="BO1366" t="n">
        <v>32570826</v>
      </c>
      <c r="BP1366" t="inlineStr">
        <is>
          <t>Green Published, gold</t>
        </is>
      </c>
      <c r="BS1366" t="inlineStr">
        <is>
          <t>2023-10-26</t>
        </is>
      </c>
      <c r="BT1366" t="inlineStr">
        <is>
          <t>WOS:000549578800001</t>
        </is>
      </c>
      <c r="BU1366">
        <f>HYPERLINK("https%3A%2F%2Fwww.webofscience.com%2Fwos%2Fwoscc%2Ffull-record%2FWOS:000549578800001","View Full Record in Web of Science")</f>
        <v/>
      </c>
    </row>
    <row r="1367">
      <c r="A1367" t="inlineStr">
        <is>
          <t>J</t>
        </is>
      </c>
      <c r="B1367" t="inlineStr">
        <is>
          <t>Ito, T; Hirata-Mogi, S; Watanabe, T; Sugiyama, T; Jin, XY; Kobayashi, S; Tamiya, N</t>
        </is>
      </c>
      <c r="F1367" t="inlineStr">
        <is>
          <t>Ito, Tomoko; Hirata-Mogi, Sachiko; Watanabe, Taeko; Sugiyama, Takehiro; Jin, Xueying; Kobayashi, Shu; Tamiya, Nanako</t>
        </is>
      </c>
      <c r="J1367" t="inlineStr">
        <is>
          <t>INTERNATIONAL JOURNAL OF ENVIRONMENTAL RESEARCH AND PUBLIC HEALTH</t>
        </is>
      </c>
      <c r="M1367" t="inlineStr">
        <is>
          <t>English</t>
        </is>
      </c>
      <c r="N1367" t="inlineStr">
        <is>
          <t>Article</t>
        </is>
      </c>
      <c r="T1367" t="inlineStr">
        <is>
          <t>Change of Use in Community Services among Disabled Older Adults during COVID-19 in Japan</t>
        </is>
      </c>
      <c r="U1367" t="inlineStr">
        <is>
          <t>COVID-19; older adults; community services; home-visit services; outpatient services</t>
        </is>
      </c>
      <c r="V1367" t="inlineStr">
        <is>
          <t>LONG-TERM-CARE</t>
        </is>
      </c>
      <c r="W1367" t="inlineStr">
        <is>
          <t>During the COVID-19 pandemic, social interactions were restricted, including community services for disabled older adults. This study aimed to describe the change of use in community services related to long-term care insurance (LTCI) during the pandemic in Japan. A retrospective descriptive study was conducted using data collected via a cloud-based management support platform for older adult care provider Kaipoke, by a private-sector company SMS Co., Ltd., in which care-managers of LTCI manage their office work. Data collection occurred from July 2019 to June 2020. Study subjects were LTCI service users aged 65 years and above. Subjects were living at home. We examined changes in the number of users of LTCI services before and after the COVID-19 pandemic began, using an interrupted time-series analysis. Results indicated that the use of outpatient services was reduced; however, home-visit services were maintained. The decrease in use was significant in the seven prefectures where the infection initially spread. There are concerns that older adults or surrounding caregivers can be affected by such changes in LTC service use. It is therefore necessary to implement sustainable measures from a long-term perspective and investigate their influence as part of future studies.</t>
        </is>
      </c>
      <c r="X1367" t="inlineStr">
        <is>
          <t>[Ito, Tomoko; Sugiyama, Takehiro; Jin, Xueying; Tamiya, Nanako] Univ Tsukuba, Dept Hlth Serv Res, Fac Med, Tsukuba, Ibaraki 3058577, Japan; [Ito, Tomoko; Hirata-Mogi, Sachiko; Watanabe, Taeko; Sugiyama, Takehiro; Jin, Xueying; Tamiya, Nanako] Univ Tsukuba, Hlth Serv Res &amp; Dev Ctr, Tsukuba, Ibaraki 3058577, Japan; [Hirata-Mogi, Sachiko; Kobayashi, Shu] SMS Co Ltd, Analyt &amp; Innovat Dept, Res &amp; Dev Grp, Tokyo 1050011, Japan; [Sugiyama, Takehiro] Natl Ctr Global Hlth &amp; Med, Diabet &amp; Metab Informat Ctr, Res Inst, Tokyo 1628655, Japan</t>
        </is>
      </c>
      <c r="Y1367" t="inlineStr">
        <is>
          <t>University of Tsukuba; University of Tsukuba; National Center for Global Health &amp; Medicine - Japan</t>
        </is>
      </c>
      <c r="Z1367" t="inlineStr">
        <is>
          <t>Sugiyama, T (corresponding author), Univ Tsukuba, Dept Hlth Serv Res, Fac Med, Tsukuba, Ibaraki 3058577, Japan.;Sugiyama, T (corresponding author), Univ Tsukuba, Hlth Serv Res &amp; Dev Ctr, Tsukuba, Ibaraki 3058577, Japan.;Sugiyama, T (corresponding author), Natl Ctr Global Hlth &amp; Med, Diabet &amp; Metab Informat Ctr, Res Inst, Tokyo 1628655, Japan.</t>
        </is>
      </c>
      <c r="AA1367" t="inlineStr">
        <is>
          <t>tito@md.tsukuba.ac.jp; sachiko-hirata@bm-sms.co.jp; taeko-watanabe@umin.ac.jp; tsugiyama-tky@umin.ac.jp; kinnsetuei@yahoo.co.jp; shu-kobayashi@bm-sms.co.jp; ntamiya@md.tsukuba.ac.jp</t>
        </is>
      </c>
      <c r="AC1367" t="inlineStr">
        <is>
          <t>Sugiyama, Takehiro/0000-0001-5391-682X</t>
        </is>
      </c>
      <c r="AD1367" t="inlineStr">
        <is>
          <t>SMS Co., Ltd. in University of Tsukuba [CRE30018]</t>
        </is>
      </c>
      <c r="AE1367" t="inlineStr">
        <is>
          <t>SMS Co., Ltd. in University of Tsukuba</t>
        </is>
      </c>
      <c r="AF1367" t="inlineStr">
        <is>
          <t>This research was funded by SMS Co., Ltd., grant number CRE30018 in University of Tsukuba. This study was conducted as a joint research program at the University of Tsukuba and SMS Co., Ltd.</t>
        </is>
      </c>
      <c r="AH1367" t="n">
        <v>36</v>
      </c>
      <c r="AI1367" t="n">
        <v>20</v>
      </c>
      <c r="AJ1367" t="n">
        <v>20</v>
      </c>
      <c r="AK1367" t="n">
        <v>4</v>
      </c>
      <c r="AL1367" t="n">
        <v>25</v>
      </c>
      <c r="AM1367" t="inlineStr">
        <is>
          <t>MDPI</t>
        </is>
      </c>
      <c r="AN1367" t="inlineStr">
        <is>
          <t>BASEL</t>
        </is>
      </c>
      <c r="AO1367" t="inlineStr">
        <is>
          <t>ST ALBAN-ANLAGE 66, CH-4052 BASEL, SWITZERLAND</t>
        </is>
      </c>
      <c r="AQ1367" t="inlineStr">
        <is>
          <t>1660-4601</t>
        </is>
      </c>
      <c r="AS1367" t="inlineStr">
        <is>
          <t>INT J ENV RES PUB HE</t>
        </is>
      </c>
      <c r="AT1367" t="inlineStr">
        <is>
          <t>Int. J. Environ. Res. Public Health</t>
        </is>
      </c>
      <c r="AU1367" t="inlineStr">
        <is>
          <t>FEB</t>
        </is>
      </c>
      <c r="AV1367" t="n">
        <v>2021</v>
      </c>
      <c r="AW1367" t="n">
        <v>18</v>
      </c>
      <c r="AX1367" t="n">
        <v>3</v>
      </c>
      <c r="BE1367" t="n">
        <v>1148</v>
      </c>
      <c r="BF1367" t="inlineStr">
        <is>
          <t>10.3390/ijerph18031148</t>
        </is>
      </c>
      <c r="BG1367">
        <f>HYPERLINK("http://dx.doi.org/10.3390/ijerph18031148","http://dx.doi.org/10.3390/ijerph18031148")</f>
        <v/>
      </c>
      <c r="BJ1367" t="n">
        <v>14</v>
      </c>
      <c r="BK1367" t="inlineStr">
        <is>
          <t>Environmental Sciences; Public, Environmental &amp; Occupational Health</t>
        </is>
      </c>
      <c r="BL1367" t="inlineStr">
        <is>
          <t>Science Citation Index Expanded (SCI-EXPANDED); Social Science Citation Index (SSCI)</t>
        </is>
      </c>
      <c r="BM1367" t="inlineStr">
        <is>
          <t>Environmental Sciences &amp; Ecology; Public, Environmental &amp; Occupational Health</t>
        </is>
      </c>
      <c r="BN1367" t="inlineStr">
        <is>
          <t>QD1FQ</t>
        </is>
      </c>
      <c r="BO1367" t="n">
        <v>33525441</v>
      </c>
      <c r="BP1367" t="inlineStr">
        <is>
          <t>Green Published, gold</t>
        </is>
      </c>
      <c r="BS1367" t="inlineStr">
        <is>
          <t>2023-10-26</t>
        </is>
      </c>
      <c r="BT1367" t="inlineStr">
        <is>
          <t>WOS:000615273800001</t>
        </is>
      </c>
      <c r="BU1367">
        <f>HYPERLINK("https%3A%2F%2Fwww.webofscience.com%2Fwos%2Fwoscc%2Ffull-record%2FWOS:000615273800001","View Full Record in Web of Science")</f>
        <v/>
      </c>
    </row>
    <row r="1368">
      <c r="A1368" t="inlineStr">
        <is>
          <t>J</t>
        </is>
      </c>
      <c r="B1368" t="inlineStr">
        <is>
          <t>Ishii, K; Shibata, A; Sato, M; Oka, K</t>
        </is>
      </c>
      <c r="F1368" t="inlineStr">
        <is>
          <t>Ishii, Kaori; Shibata, Ai; Sato, Mai; Oka, Koichiro</t>
        </is>
      </c>
      <c r="J1368" t="inlineStr">
        <is>
          <t>INTERNATIONAL JOURNAL OF ENVIRONMENTAL RESEARCH AND PUBLIC HEALTH</t>
        </is>
      </c>
      <c r="M1368" t="inlineStr">
        <is>
          <t>English</t>
        </is>
      </c>
      <c r="N1368" t="inlineStr">
        <is>
          <t>Article</t>
        </is>
      </c>
      <c r="T1368" t="inlineStr">
        <is>
          <t>Recess Physical Activity and Perceived School Environment among Elementary School Children</t>
        </is>
      </c>
      <c r="U1368" t="inlineStr">
        <is>
          <t>children; school; recess; physical activity; environment</t>
        </is>
      </c>
      <c r="V1368" t="inlineStr">
        <is>
          <t>INTERVENTIONS; PLAYGROUNDS; INTENSITY; PROJECT; TIME</t>
        </is>
      </c>
      <c r="W1368" t="inlineStr">
        <is>
          <t>Differences in recess physical activity (PA) according to perceived school environment among elementary school children were examined. Participants were 103 children from two schools in Japan. PA was measured using accelerometry for seven consecutive days. Time spent in sedentary or PA (light, moderate, or vigorous) during their morning recess (25 min) and lunch recess (15 min) was determined. The School Physical Activity Environment Scale (three factors: equipment, facility, and safety) was used to investigate perceived school environment. Environmental factor scores were assigned to low or high groups for each factor by median. An analysis of covariance, with grade as the covariate, was conducted separately by gender to examine differences in PA between two groups. During lunch recess, boys in the high-equipment group spent significantly more time in moderate PA (high: 1.5; low: 0.8 min) whereas girls in this group spent less time in light PA (9.3, 11.0). Boys in the high-facility group spent significantly less time in sedentary (2.3, 3.9) and more time in vigorous PA (2.4, 1.4) during lunch recess, and girls spent more time in moderate (2.1, 1.2) and vigorous PA (1.9, 1.3) during morning recess. Differences were observed in recess PA according to school environment perceptions. The present study may be useful for further intervention studies for the promotion of PA during recess.</t>
        </is>
      </c>
      <c r="X1368" t="inlineStr">
        <is>
          <t>[Ishii, Kaori; Shibata, Ai; Oka, Koichiro] Waseda Univ, Fac Sport Sci, Saitama 3591192, Japan; [Shibata, Ai] Univ Tsukuba, Fac Hlth &amp; Sport Sci, Tsukuba, Ibaraki 3058574, Japan; [Sato, Mai] Waseda Univ, Grad Sch Sport Sci, Saitama 3591192, Japan</t>
        </is>
      </c>
      <c r="Y1368" t="inlineStr">
        <is>
          <t>Waseda University; University of Tsukuba; Waseda University</t>
        </is>
      </c>
      <c r="Z1368" t="inlineStr">
        <is>
          <t>Ishii, K (corresponding author), Waseda Univ, Fac Sport Sci, 2-579-15 Mikajima Tokorozawa, Saitama 3591192, Japan.</t>
        </is>
      </c>
      <c r="AA1368" t="inlineStr">
        <is>
          <t>ishiikaori@aoni.waseda.jp; shibata@taiiku.tsukuba.ac.jp; smai1002@yahoo.co.jp; koka@waseda.jp</t>
        </is>
      </c>
      <c r="AB1368" t="inlineStr">
        <is>
          <t>Oka, Koichiro/K-3297-2019</t>
        </is>
      </c>
      <c r="AC1368" t="inlineStr">
        <is>
          <t>Oka, Koichiro/0000-0001-5571-042X</t>
        </is>
      </c>
      <c r="AD1368" t="inlineStr">
        <is>
          <t>Japan Society for the Promotion of Science [22700680]; Waseda University [2010A-095, 2011A-092]; Global COE from the Japan Ministry of Education, Culture, Sports, Science and Technology; Grants-in-Aid for Scientific Research [22700680] Funding Source: KAKEN</t>
        </is>
      </c>
      <c r="AE1368" t="inlineStr">
        <is>
          <t>Japan Society for the Promotion of Science(Ministry of Education, Culture, Sports, Science and Technology, Japan (MEXT)Japan Society for the Promotion of Science); Waseda University; Global COE from the Japan Ministry of Education, Culture, Sports, Science and Technology; Grants-in-Aid for Scientific Research(Ministry of Education, Culture, Sports, Science and Technology, Japan (MEXT)Japan Society for the Promotion of ScienceGrants-in-Aid for Scientific Research (KAKENHI))</t>
        </is>
      </c>
      <c r="AF1368" t="inlineStr">
        <is>
          <t>This study was supported by the Grants-in-Aid for Scientific Research (No. 22700680) from the Japan Society for the Promotion of Science, Waseda University Grant for Special Research Projects (2010A-095, 2011A-092), and the Global COE Program Sport Sciences for the Promotion of Active Life from the Japan Ministry of Education, Culture, Sports, Science and Technology.</t>
        </is>
      </c>
      <c r="AH1368" t="n">
        <v>38</v>
      </c>
      <c r="AI1368" t="n">
        <v>12</v>
      </c>
      <c r="AJ1368" t="n">
        <v>13</v>
      </c>
      <c r="AK1368" t="n">
        <v>0</v>
      </c>
      <c r="AL1368" t="n">
        <v>19</v>
      </c>
      <c r="AM1368" t="inlineStr">
        <is>
          <t>MDPI</t>
        </is>
      </c>
      <c r="AN1368" t="inlineStr">
        <is>
          <t>BASEL</t>
        </is>
      </c>
      <c r="AO1368" t="inlineStr">
        <is>
          <t>ST ALBAN-ANLAGE 66, CH-4052 BASEL, SWITZERLAND</t>
        </is>
      </c>
      <c r="AP1368" t="inlineStr">
        <is>
          <t>1660-4601</t>
        </is>
      </c>
      <c r="AS1368" t="inlineStr">
        <is>
          <t>INT J ENV RES PUB HE</t>
        </is>
      </c>
      <c r="AT1368" t="inlineStr">
        <is>
          <t>Int. J. Environ. Res. Public Health</t>
        </is>
      </c>
      <c r="AU1368" t="inlineStr">
        <is>
          <t>JUL</t>
        </is>
      </c>
      <c r="AV1368" t="n">
        <v>2014</v>
      </c>
      <c r="AW1368" t="n">
        <v>11</v>
      </c>
      <c r="AX1368" t="n">
        <v>7</v>
      </c>
      <c r="BC1368" t="n">
        <v>7195</v>
      </c>
      <c r="BD1368" t="n">
        <v>7206</v>
      </c>
      <c r="BF1368" t="inlineStr">
        <is>
          <t>10.3390/ijerph110707195</t>
        </is>
      </c>
      <c r="BG1368">
        <f>HYPERLINK("http://dx.doi.org/10.3390/ijerph110707195","http://dx.doi.org/10.3390/ijerph110707195")</f>
        <v/>
      </c>
      <c r="BJ1368" t="n">
        <v>12</v>
      </c>
      <c r="BK1368" t="inlineStr">
        <is>
          <t>Environmental Sciences; Public, Environmental &amp; Occupational Health</t>
        </is>
      </c>
      <c r="BL1368" t="inlineStr">
        <is>
          <t>Science Citation Index Expanded (SCI-EXPANDED); Social Science Citation Index (SSCI)</t>
        </is>
      </c>
      <c r="BM1368" t="inlineStr">
        <is>
          <t>Environmental Sciences &amp; Ecology; Public, Environmental &amp; Occupational Health</t>
        </is>
      </c>
      <c r="BN1368" t="inlineStr">
        <is>
          <t>AM6QK</t>
        </is>
      </c>
      <c r="BO1368" t="n">
        <v>25029495</v>
      </c>
      <c r="BP1368" t="inlineStr">
        <is>
          <t>gold, Green Published, Green Submitted</t>
        </is>
      </c>
      <c r="BS1368" t="inlineStr">
        <is>
          <t>2023-10-26</t>
        </is>
      </c>
      <c r="BT1368" t="inlineStr">
        <is>
          <t>WOS:000339989500038</t>
        </is>
      </c>
      <c r="BU1368">
        <f>HYPERLINK("https%3A%2F%2Fwww.webofscience.com%2Fwos%2Fwoscc%2Ffull-record%2FWOS:000339989500038","View Full Record in Web of Science")</f>
        <v/>
      </c>
    </row>
    <row r="1369">
      <c r="A1369" t="inlineStr">
        <is>
          <t>J</t>
        </is>
      </c>
      <c r="B1369" t="inlineStr">
        <is>
          <t>Sun, J; Buys, NJ; Hills, AP</t>
        </is>
      </c>
      <c r="F1369" t="inlineStr">
        <is>
          <t>Sun, Jing; Buys, Nicholas J.; Hills, Andrew P.</t>
        </is>
      </c>
      <c r="J1369" t="inlineStr">
        <is>
          <t>INTERNATIONAL JOURNAL OF ENVIRONMENTAL RESEARCH AND PUBLIC HEALTH</t>
        </is>
      </c>
      <c r="M1369" t="inlineStr">
        <is>
          <t>English</t>
        </is>
      </c>
      <c r="N1369" t="inlineStr">
        <is>
          <t>Article</t>
        </is>
      </c>
      <c r="T1369" t="inlineStr">
        <is>
          <t>Dietary Pattern and Its Association with the Prevalence of Obesity, Hypertension and Other Cardiovascular Risk Factors among Chinese Older Adults</t>
        </is>
      </c>
      <c r="U1369" t="inlineStr">
        <is>
          <t>dietary pattern; obesity; hypertension; metabolic syndrome; older adults</t>
        </is>
      </c>
      <c r="V1369" t="inlineStr">
        <is>
          <t>METABOLIC SYNDROME; BLOOD-PRESSURE; QUALITY; MEN</t>
        </is>
      </c>
      <c r="W1369" t="inlineStr">
        <is>
          <t>Aim: This article examined the association between dietary patterns and cardiovascular risk factors in Chinese older adults. Methods: For this study, older adults with one or more cardiovascular risk factors or a history of cardiovascular disease were randomly selected using health check medical records from the Changshu and Beijing Fangshan Centers for Disease Control and Prevention. Exploratory factor analysis and cluster analysis was used to extract dietary pattern factors. Log binomial regression analysis was used to analyse the association between dietary patterns and chronic disease related risk factors. Results: Four factors were found through factor analysis. A high level of internal consistency was obtained, with a high Cronbach's alpha coefficient of 0.83. Cluster analysis identified three dietary patterns: healthy diet, Western diet, and balanced diet. Findings in this sample of Chinese adults correspond to those reported in previous studies, indicating that a Western diet is significantly related to likelihood of having obesity, hypertension and the metabolic syndrome. The identification of distinct dietary patterns among Chinese older adults and the nutritional status of people with chronic diseases suggest that the three dietary patterns have a reasonable level of discriminant validity. Conclusions: This study provides evidence that a FFQ is a valid and reliable tool to assess the dietary patterns of individuals with chronic diseases in small- to medium-size urban and rural settings in China. It also validates the significant association between dietary pattern and cardiovascular disease risk factors, including body mass index, blood pressure, triglycerides, and metabolic conditions. Clinical diagnosis of chronic disease further confirmed this relationship in Chinese older adults.</t>
        </is>
      </c>
      <c r="X1369" t="inlineStr">
        <is>
          <t>[Sun, Jing; Buys, Nicholas J.; Hills, Andrew P.] Griffith Univ, Griffith Hlth Inst, Parkland 4222, Australia; [Sun, Jing] Griffith Univ, Sch Med, Parkland 4222, Australia; [Hills, Andrew P.] Mater Mothers Hosp, South Brisbane, Qld 4101, Australia; [Hills, Andrew P.] Univ Queensland, Mater Res Inst, Ctr Nutr &amp; Exercise, South Brisbane, Qld 4101, Australia</t>
        </is>
      </c>
      <c r="Y1369" t="inlineStr">
        <is>
          <t>Griffith University; Griffith University; University of Queensland; Mater Research</t>
        </is>
      </c>
      <c r="Z1369" t="inlineStr">
        <is>
          <t>Sun, J (corresponding author), Griffith Univ, Griffith Hlth Inst, Gold Coast Campus, Parkland 4222, Australia.</t>
        </is>
      </c>
      <c r="AA1369" t="inlineStr">
        <is>
          <t>j.sun@griffith.edu.au; n.buys@griffith.edu.au; ahills@mmri.mater.org.au</t>
        </is>
      </c>
      <c r="AB1369" t="inlineStr">
        <is>
          <t>Buys, Nicholas/AAT-3925-2020; SUN, JIN/GPX-9641-2022; zhao, han/JFS-9633-2023; Hills, Andrew P/ABE-6408-2020; Sun, Jing/AAS-1582-2020; Hills, Andrew/M-3199-2014</t>
        </is>
      </c>
      <c r="AC1369" t="inlineStr">
        <is>
          <t>Buys, Nicholas/0000-0002-4780-8088; Hills, Andrew P/0000-0002-7787-7201; Sun, Jing/0000-0002-0097-2438; Hills, Andrew/0000-0002-7787-7201</t>
        </is>
      </c>
      <c r="AH1369" t="n">
        <v>25</v>
      </c>
      <c r="AI1369" t="n">
        <v>79</v>
      </c>
      <c r="AJ1369" t="n">
        <v>81</v>
      </c>
      <c r="AK1369" t="n">
        <v>1</v>
      </c>
      <c r="AL1369" t="n">
        <v>26</v>
      </c>
      <c r="AM1369" t="inlineStr">
        <is>
          <t>MDPI</t>
        </is>
      </c>
      <c r="AN1369" t="inlineStr">
        <is>
          <t>BASEL</t>
        </is>
      </c>
      <c r="AO1369" t="inlineStr">
        <is>
          <t>ST ALBAN-ANLAGE 66, CH-4052 BASEL, SWITZERLAND</t>
        </is>
      </c>
      <c r="AP1369" t="inlineStr">
        <is>
          <t>1660-4601</t>
        </is>
      </c>
      <c r="AS1369" t="inlineStr">
        <is>
          <t>INT J ENV RES PUB HE</t>
        </is>
      </c>
      <c r="AT1369" t="inlineStr">
        <is>
          <t>Int. J. Environ. Res. Public Health</t>
        </is>
      </c>
      <c r="AU1369" t="inlineStr">
        <is>
          <t>APR</t>
        </is>
      </c>
      <c r="AV1369" t="n">
        <v>2014</v>
      </c>
      <c r="AW1369" t="n">
        <v>11</v>
      </c>
      <c r="AX1369" t="n">
        <v>4</v>
      </c>
      <c r="BC1369" t="n">
        <v>3956</v>
      </c>
      <c r="BD1369" t="n">
        <v>3971</v>
      </c>
      <c r="BF1369" t="inlineStr">
        <is>
          <t>10.3390/ijerph110403956</t>
        </is>
      </c>
      <c r="BG1369">
        <f>HYPERLINK("http://dx.doi.org/10.3390/ijerph110403956","http://dx.doi.org/10.3390/ijerph110403956")</f>
        <v/>
      </c>
      <c r="BJ1369" t="n">
        <v>16</v>
      </c>
      <c r="BK1369" t="inlineStr">
        <is>
          <t>Environmental Sciences; Public, Environmental &amp; Occupational Health</t>
        </is>
      </c>
      <c r="BL1369" t="inlineStr">
        <is>
          <t>Science Citation Index Expanded (SCI-EXPANDED)</t>
        </is>
      </c>
      <c r="BM1369" t="inlineStr">
        <is>
          <t>Environmental Sciences &amp; Ecology; Public, Environmental &amp; Occupational Health</t>
        </is>
      </c>
      <c r="BN1369" t="inlineStr">
        <is>
          <t>AG9TM</t>
        </is>
      </c>
      <c r="BO1369" t="n">
        <v>24727356</v>
      </c>
      <c r="BP1369" t="inlineStr">
        <is>
          <t>Green Published, gold, Green Submitted</t>
        </is>
      </c>
      <c r="BS1369" t="inlineStr">
        <is>
          <t>2023-10-26</t>
        </is>
      </c>
      <c r="BT1369" t="inlineStr">
        <is>
          <t>WOS:000335762700021</t>
        </is>
      </c>
      <c r="BU1369">
        <f>HYPERLINK("https%3A%2F%2Fwww.webofscience.com%2Fwos%2Fwoscc%2Ffull-record%2FWOS:000335762700021","View Full Record in Web of Science")</f>
        <v/>
      </c>
    </row>
    <row r="1370">
      <c r="A1370" t="inlineStr">
        <is>
          <t>J</t>
        </is>
      </c>
      <c r="B1370" t="inlineStr">
        <is>
          <t>Yoshizawa, Y; Tanaka, T; Takahashi, K; Fujisaki-Sueda-Sakai, M; Son, BK; Iijima, K</t>
        </is>
      </c>
      <c r="F1370" t="inlineStr">
        <is>
          <t>Yoshizawa, Yasuyo; Tanaka, Tomoki; Takahashi, Kyo; Fujisaki-Sueda-Sakai, Mahiro; Son, Bo-kyung; Iijima, Katsuya</t>
        </is>
      </c>
      <c r="J1370" t="inlineStr">
        <is>
          <t>INTERNATIONAL JOURNAL OF ENVIRONMENTAL RESEARCH AND PUBLIC HEALTH</t>
        </is>
      </c>
      <c r="M1370" t="inlineStr">
        <is>
          <t>English</t>
        </is>
      </c>
      <c r="N1370" t="inlineStr">
        <is>
          <t>Article</t>
        </is>
      </c>
      <c r="T1370" t="inlineStr">
        <is>
          <t>Impact of Health Literacy on the Progression of Frailty after 4 Years among Community-Dwelling Older Adults</t>
        </is>
      </c>
      <c r="U1370" t="inlineStr">
        <is>
          <t>community-dwelling older adults; frailty; health literacy; Kihon Checklist</t>
        </is>
      </c>
      <c r="V1370" t="inlineStr">
        <is>
          <t>JAPANESE; POPULATION; VALIDITY; BEHAVIOR; OUTCOMES; INDEX</t>
        </is>
      </c>
      <c r="W1370" t="inlineStr">
        <is>
          <t>Health literacy (HL) promotes healthy lifestyle behaviors among older adults, and its relationship with frailty remains unclear. This study examined whether HL is a predictor of frailty progression among community-dwelling older adults. Data from two surveys conducted in 2012 and 2016 involving older residents (mean age, 71.6 +/- 4.6 years) of Kashiwa City, Chiba Prefecture, Japan were used. Only healthy individuals without frailty and cognitive impairments participated in the 2012 assessment, where the Kihon Checklist (KCL), HL, and other variables were assessed. Logistic and multiple logistic analyses were used to assess the effects of HL and other factors on frailty between the 'high HL' vs. 'low HL' groups in 2012 and between the 'robust' vs. 'frailty-progressing' groups in 2016. Of the 621 robust participants, 154 (25.4%) had progression of frailty in 2016, which was significantly associated with advanced age, higher KCL score, lower HL, poor mental health, and lack of social support. Furthermore, low HL was a predictor of frailty progression. Low HL may be associated with frailty progression. The obtained results suggest that increased health literacy should be effective in preventing frailty for community-dwelling older residents.</t>
        </is>
      </c>
      <c r="X1370" t="inlineStr">
        <is>
          <t>[Yoshizawa, Yasuyo] Juntendo Univ, Dept Hlth Life Expectancy, Grad Sch Med, Tokyo 1130034, Japan; [Yoshizawa, Yasuyo] Tokyo Womens Med Univ, Sch Nursing, Tokyo 1628666, Japan; [Tanaka, Tomoki; Takahashi, Kyo; Fujisaki-Sueda-Sakai, Mahiro; Son, Bo-kyung; Iijima, Katsuya] Univ Tokyo, Inst Gerontol, Tokyo 1138656, Japan; [Takahashi, Kyo] Dokkyo Med Univ, Sch Med, Dept Publ Hlth, Mibu, Tochigi 3210293, Japan; [Fujisaki-Sueda-Sakai, Mahiro] Tohoku Univ, Sch Hlth Sci, Dept Publ Hlth Nursing, Sendai, Miyagi 9808575, Japan; [Son, Bo-kyung; Iijima, Katsuya] Univ Tokyo, Inst Future Initiat, Tokyo 1138656, Japan</t>
        </is>
      </c>
      <c r="Y1370" t="inlineStr">
        <is>
          <t>Juntendo University; Tokyo Women's Medical University; University of Tokyo; Dokkyo Medical University; Tohoku University; University of Tokyo</t>
        </is>
      </c>
      <c r="Z1370" t="inlineStr">
        <is>
          <t>Yoshizawa, Y (corresponding author), Juntendo Univ, Dept Hlth Life Expectancy, Grad Sch Med, Tokyo 1130034, Japan.;Yoshizawa, Y (corresponding author), Tokyo Womens Med Univ, Sch Nursing, Tokyo 1628666, Japan.</t>
        </is>
      </c>
      <c r="AA1370" t="inlineStr">
        <is>
          <t>y.yoshizawa.qz@juntendo.ac.jp; tmk-tanaka@iog.u-tokyo.ac.jp; k.takahashi@iog.u-tokyo.ac.jp; fujisam@iog.u-tokyo.ac.jp; son@iog.u-tokyo.ac.jp; iijima@iog.u-tokyo.ac.jp</t>
        </is>
      </c>
      <c r="AB1370" t="inlineStr">
        <is>
          <t>Tanaka, Tomoki/IAP-3238-2023; Fujisaki, Mahiro/GYD-6026-2022; Takahashi, Kyo/O-1581-2018</t>
        </is>
      </c>
      <c r="AC1370" t="inlineStr">
        <is>
          <t>yoshizawa, yasuyo/0000-0001-9091-4356; Takahashi, Kyo/0000-0003-2276-1049</t>
        </is>
      </c>
      <c r="AH1370" t="n">
        <v>38</v>
      </c>
      <c r="AI1370" t="n">
        <v>4</v>
      </c>
      <c r="AJ1370" t="n">
        <v>5</v>
      </c>
      <c r="AK1370" t="n">
        <v>0</v>
      </c>
      <c r="AL1370" t="n">
        <v>14</v>
      </c>
      <c r="AM1370" t="inlineStr">
        <is>
          <t>MDPI</t>
        </is>
      </c>
      <c r="AN1370" t="inlineStr">
        <is>
          <t>BASEL</t>
        </is>
      </c>
      <c r="AO1370" t="inlineStr">
        <is>
          <t>ST ALBAN-ANLAGE 66, CH-4052 BASEL, SWITZERLAND</t>
        </is>
      </c>
      <c r="AQ1370" t="inlineStr">
        <is>
          <t>1660-4601</t>
        </is>
      </c>
      <c r="AS1370" t="inlineStr">
        <is>
          <t>INT J ENV RES PUB HE</t>
        </is>
      </c>
      <c r="AT1370" t="inlineStr">
        <is>
          <t>Int. J. Environ. Res. Public Health</t>
        </is>
      </c>
      <c r="AU1370" t="inlineStr">
        <is>
          <t>JAN</t>
        </is>
      </c>
      <c r="AV1370" t="n">
        <v>2022</v>
      </c>
      <c r="AW1370" t="n">
        <v>19</v>
      </c>
      <c r="AX1370" t="n">
        <v>1</v>
      </c>
      <c r="BE1370" t="n">
        <v>394</v>
      </c>
      <c r="BF1370" t="inlineStr">
        <is>
          <t>10.3390/ijerph19010394</t>
        </is>
      </c>
      <c r="BG1370">
        <f>HYPERLINK("http://dx.doi.org/10.3390/ijerph19010394","http://dx.doi.org/10.3390/ijerph19010394")</f>
        <v/>
      </c>
      <c r="BJ1370" t="n">
        <v>13</v>
      </c>
      <c r="BK1370" t="inlineStr">
        <is>
          <t>Environmental Sciences; Public, Environmental &amp; Occupational Health</t>
        </is>
      </c>
      <c r="BL1370" t="inlineStr">
        <is>
          <t>Science Citation Index Expanded (SCI-EXPANDED); Social Science Citation Index (SSCI)</t>
        </is>
      </c>
      <c r="BM1370" t="inlineStr">
        <is>
          <t>Environmental Sciences &amp; Ecology; Public, Environmental &amp; Occupational Health</t>
        </is>
      </c>
      <c r="BN1370" t="inlineStr">
        <is>
          <t>ZE1SL</t>
        </is>
      </c>
      <c r="BO1370" t="n">
        <v>35010654</v>
      </c>
      <c r="BP1370" t="inlineStr">
        <is>
          <t>Green Published, gold</t>
        </is>
      </c>
      <c r="BS1370" t="inlineStr">
        <is>
          <t>2023-10-26</t>
        </is>
      </c>
      <c r="BT1370" t="inlineStr">
        <is>
          <t>WOS:000758670100001</t>
        </is>
      </c>
      <c r="BU1370">
        <f>HYPERLINK("https%3A%2F%2Fwww.webofscience.com%2Fwos%2Fwoscc%2Ffull-record%2FWOS:000758670100001","View Full Record in Web of Science")</f>
        <v/>
      </c>
    </row>
    <row r="1371">
      <c r="A1371" t="inlineStr">
        <is>
          <t>J</t>
        </is>
      </c>
      <c r="B1371" t="inlineStr">
        <is>
          <t>Tan, JH; Abdin, E; Shahwan, S; Zhang, YJ; Sambasivam, R; Vaingankar, JA; Mahendran, R; Chua, HC; Chong, SA; Subramaniam, M</t>
        </is>
      </c>
      <c r="F1371" t="inlineStr">
        <is>
          <t>Tan, Jit Hui; Abdin, Edimansyah; Shahwan, Shazana; Zhang, Yunjue; Sambasivam, Rajeswari; Vaingankar, Janhavi Ajit; Mahendran, Rathi; Chua, Hong Choon; Chong, Siow Ann; Subramaniam, Mythily</t>
        </is>
      </c>
      <c r="J1371" t="inlineStr">
        <is>
          <t>INTERNATIONAL JOURNAL OF ENVIRONMENTAL RESEARCH AND PUBLIC HEALTH</t>
        </is>
      </c>
      <c r="M1371" t="inlineStr">
        <is>
          <t>English</t>
        </is>
      </c>
      <c r="N1371" t="inlineStr">
        <is>
          <t>Article</t>
        </is>
      </c>
      <c r="T1371" t="inlineStr">
        <is>
          <t>Happiness and Cognitive Impairment Among Older Adults: Investigating the Mediational Roles of Disability, Depression, Social Contact Frequency, and Loneliness</t>
        </is>
      </c>
      <c r="U1371" t="inlineStr">
        <is>
          <t>happiness; cognitive impairment; older adults; social isolation; disability; depression</t>
        </is>
      </c>
      <c r="V1371" t="inlineStr">
        <is>
          <t>QUALITY-OF-LIFE; POSITIVE EMOTIONS; FOLLOW-UP; COMMUNITY; DEMENTIA; POPULATION; LONGEVITY; NETWORK; DECLINE; PEOPLE</t>
        </is>
      </c>
      <c r="W1371" t="inlineStr">
        <is>
          <t>Background: Understanding the lower level of happiness among older adults with cognitive impairment has been a largely neglected issue. This study (1) reports on the level of happiness among older adults in Singapore and (2) examines the potential mediating roles of depression, disability, social contact frequency, and loneliness in the relationship between cognitive scores and happiness. Methods: Data for this study were extracted from the Well-being of the Singapore Elderly (WiSE) study: a cross-sectional; comprehensive single-phase survey conducted among Singapore citizens and permanent residents that were aged 60 years and above (n = 2565). The Geriatric Mental State examination (GMS) was administered to the participants. Questions pertaining to socio-demographic characteristics; happiness; loneliness; social contact; depression; and, disability were utilized in this study. Logistic regression analyses and mediation analyses were used to explore the correlates of happiness and potential mediating factors. Results: Overall, 96.2% of older adults in Singapore reported feeling either fairly happy or very happy. In the regression analysis, individuals of Malay descent, those who were married/cohabiting, or had higher education levels were more likely to report feeling happy. After controlling for socio-demographic factors, higher cognitive scores were associated with higher odds of reporting happiness. We found that the positive association between cognition and happiness was fully mediated by disability, depression, loneliness, and frequency of contact with friends. Conclusion: The majority of the older adult population reported feeling fairly or very happy. While cognitive impairment has shown limited reversibility in past studies, unhappiness among older adults with cognitive impairment might be potentially mitigated through interventions addressing accompanying issues of social isolation, disability, and depression</t>
        </is>
      </c>
      <c r="X1371" t="inlineStr">
        <is>
          <t>[Tan, Jit Hui; Abdin, Edimansyah; Shahwan, Shazana; Zhang, Yunjue; Sambasivam, Rajeswari; Vaingankar, Janhavi Ajit; Chong, Siow Ann; Subramaniam, Mythily] Inst Mental Hlth, Res Div, Singapore 539747, Singapore; [Mahendran, Rathi] Natl Univ Singapore, Dept Psychol Med, Singapore 11907, Singapore; [Chua, Hong Choon] Inst Mental Hlth, CEO Off, Singapore 539747, Singapore</t>
        </is>
      </c>
      <c r="Y1371" t="inlineStr">
        <is>
          <t>National University of Singapore</t>
        </is>
      </c>
      <c r="Z1371" t="inlineStr">
        <is>
          <t>Abdin, E (corresponding author), Inst Mental Hlth, Res Div, Singapore 539747, Singapore.</t>
        </is>
      </c>
      <c r="AA1371" t="inlineStr">
        <is>
          <t>jithui01@hotmail.com; Edimansyah_abdin@imh.com.sg; shazana_mohamed_shahwan@imh.com.sg; yunjue_zhang@imh.com.sg; rajeswari_sambasivam@imh.com.sg; janhavi_vaingankar@imh.com.sg; rathi_mahendran@nuhs.edu.sg; hong_choon_chua@imh.com.sg; siow_ann_chong@imh.com.sg; mythily@imh.com.sg</t>
        </is>
      </c>
      <c r="AB1371" t="inlineStr">
        <is>
          <t>Abdin, Edimansyah/E-6451-2011</t>
        </is>
      </c>
      <c r="AC1371" t="inlineStr">
        <is>
          <t>Abdin, Edimansyah/0000-0002-1016-3298; Subramaniam, Mythily/0000-0003-4530-1096</t>
        </is>
      </c>
      <c r="AD1371" t="inlineStr">
        <is>
          <t>Ministry of Health, Singapore [RF-07-2011-02]; Singapore Millennium Foundation of the Temasek Trust</t>
        </is>
      </c>
      <c r="AE1371" t="inlineStr">
        <is>
          <t>Ministry of Health, Singapore(Ministry of Health-Singapore); Singapore Millennium Foundation of the Temasek Trust</t>
        </is>
      </c>
      <c r="AF1371" t="inlineStr">
        <is>
          <t>This research was funded by the Ministry of Health, Singapore (Grant no: RF-07-2011-02) and the Singapore Millennium Foundation of the Temasek Trust.</t>
        </is>
      </c>
      <c r="AH1371" t="n">
        <v>46</v>
      </c>
      <c r="AI1371" t="n">
        <v>26</v>
      </c>
      <c r="AJ1371" t="n">
        <v>26</v>
      </c>
      <c r="AK1371" t="n">
        <v>4</v>
      </c>
      <c r="AL1371" t="n">
        <v>27</v>
      </c>
      <c r="AM1371" t="inlineStr">
        <is>
          <t>MDPI</t>
        </is>
      </c>
      <c r="AN1371" t="inlineStr">
        <is>
          <t>BASEL</t>
        </is>
      </c>
      <c r="AO1371" t="inlineStr">
        <is>
          <t>ST ALBAN-ANLAGE 66, CH-4052 BASEL, SWITZERLAND</t>
        </is>
      </c>
      <c r="AP1371" t="inlineStr">
        <is>
          <t>1661-7827</t>
        </is>
      </c>
      <c r="AQ1371" t="inlineStr">
        <is>
          <t>1660-4601</t>
        </is>
      </c>
      <c r="AS1371" t="inlineStr">
        <is>
          <t>INT J ENV RES PUB HE</t>
        </is>
      </c>
      <c r="AT1371" t="inlineStr">
        <is>
          <t>Int. J. Environ. Res. Public Health</t>
        </is>
      </c>
      <c r="AU1371" t="inlineStr">
        <is>
          <t>DEC 2</t>
        </is>
      </c>
      <c r="AV1371" t="n">
        <v>2019</v>
      </c>
      <c r="AW1371" t="n">
        <v>16</v>
      </c>
      <c r="AX1371" t="n">
        <v>24</v>
      </c>
      <c r="BE1371" t="n">
        <v>4954</v>
      </c>
      <c r="BF1371" t="inlineStr">
        <is>
          <t>10.3390/ijerph16244954</t>
        </is>
      </c>
      <c r="BG1371">
        <f>HYPERLINK("http://dx.doi.org/10.3390/ijerph16244954","http://dx.doi.org/10.3390/ijerph16244954")</f>
        <v/>
      </c>
      <c r="BJ1371" t="n">
        <v>14</v>
      </c>
      <c r="BK1371" t="inlineStr">
        <is>
          <t>Environmental Sciences; Public, Environmental &amp; Occupational Health</t>
        </is>
      </c>
      <c r="BL1371" t="inlineStr">
        <is>
          <t>Science Citation Index Expanded (SCI-EXPANDED); Social Science Citation Index (SSCI)</t>
        </is>
      </c>
      <c r="BM1371" t="inlineStr">
        <is>
          <t>Environmental Sciences &amp; Ecology; Public, Environmental &amp; Occupational Health</t>
        </is>
      </c>
      <c r="BN1371" t="inlineStr">
        <is>
          <t>KC6VK</t>
        </is>
      </c>
      <c r="BO1371" t="n">
        <v>31817633</v>
      </c>
      <c r="BP1371" t="inlineStr">
        <is>
          <t>Green Published, gold</t>
        </is>
      </c>
      <c r="BS1371" t="inlineStr">
        <is>
          <t>2023-10-26</t>
        </is>
      </c>
      <c r="BT1371" t="inlineStr">
        <is>
          <t>WOS:000507312700075</t>
        </is>
      </c>
      <c r="BU1371">
        <f>HYPERLINK("https%3A%2F%2Fwww.webofscience.com%2Fwos%2Fwoscc%2Ffull-record%2FWOS:000507312700075","View Full Record in Web of Science")</f>
        <v/>
      </c>
    </row>
    <row r="1372">
      <c r="A1372" t="inlineStr">
        <is>
          <t>J</t>
        </is>
      </c>
      <c r="B1372" t="inlineStr">
        <is>
          <t>Cavazzotto, TG; Ronque, ERV; Vieira, ER; Queiroga, MR; Serassuelo, H</t>
        </is>
      </c>
      <c r="F1372" t="inlineStr">
        <is>
          <t>Cavazzotto, Timothy Gustavo; Vaz Ronque, Enio Ricardo; Vieira, Edgar Ramos; Queiroga, Marcos Roberto; Serassuelo Junior, Helio</t>
        </is>
      </c>
      <c r="J1372" t="inlineStr">
        <is>
          <t>INTERNATIONAL JOURNAL OF ENVIRONMENTAL RESEARCH AND PUBLIC HEALTH</t>
        </is>
      </c>
      <c r="M1372" t="inlineStr">
        <is>
          <t>English</t>
        </is>
      </c>
      <c r="N1372" t="inlineStr">
        <is>
          <t>Article</t>
        </is>
      </c>
      <c r="T1372" t="inlineStr">
        <is>
          <t>Social-Ecological Correlates of Regular Leisure-Time Physical Activity Practice among Adults</t>
        </is>
      </c>
      <c r="U1372" t="inlineStr">
        <is>
          <t>lifestyle; health risk behavior; health policy; environment; public health; social environment; public health surveillance</t>
        </is>
      </c>
      <c r="V1372" t="inlineStr">
        <is>
          <t>HEALTH BEHAVIOR-CHANGE; BUILT ENVIRONMENT; EXERCISE; HUMIDITY; ASSOCIATIONS; DETERMINANTS; PERFORMANCE; WEATHER</t>
        </is>
      </c>
      <c r="W1372" t="inlineStr">
        <is>
          <t>This study calculated the exposure-response rates of social-ecological correlates of practicing regular (&gt;150 min/week) leisure-time physical activity (PA) in 393,648 adults from the 27 Brazilian state capitals who participated in a national survey between 2006 and 2016. Regular PA encouraging factors were inputted into an exposure-response model. Growth rates for the odds ratio and prevalence of regular PA were calculated for each increase of one encouraging factor. Regular PA was reported by 22% of the participants (25% of men and 20% of women). More than 40% of men and 30% of women with higher intra-personal encouraging conditions reported practicing regular PA. There was a 3% (ages 18-32 years) to 5% (ages 46-60 years) increase in regular PA practice in men for each increase in an encouraging climate factor (temperature from 21 degrees C to 31 degrees C, humidity from 65% to 85%, 2430 to 3250 h of sun/year, and from 1560 to 1910 mm of rain/year). Encouraging intra-personal factors and favorable climate conditions had larger effects on regular PA practice than the built environment and socio-political conditions; the latter two had independent effects, but did not have a cumulative effect on PA.</t>
        </is>
      </c>
      <c r="X1372" t="inlineStr">
        <is>
          <t>[Cavazzotto, Timothy Gustavo; Queiroga, Marcos Roberto] Midwestern Parana State Univ, Dept Phys Educ, BR-85040167 Guarapuava, Brazil; [Vaz Ronque, Enio Ricardo] Univ Estadual Londrina, Dept Phys Educ, BR-86057970 Londrina, Parana, Brazil; [Vieira, Edgar Ramos] Florida Int Univ, Dept Phys Therapy, Miami, FL 33179 USA; [Serassuelo Junior, Helio] Univ Estadual Londrina, Dept Sport Sci, BR-86057970 Londrina, Parana, Brazil</t>
        </is>
      </c>
      <c r="Y1372" t="inlineStr">
        <is>
          <t>Universidade Estadual de Londrina; State University System of Florida; Florida International University; Universidade Estadual de Londrina</t>
        </is>
      </c>
      <c r="Z1372" t="inlineStr">
        <is>
          <t>Cavazzotto, TG (corresponding author), Midwestern Parana State Univ, Dept Phys Educ, BR-85040167 Guarapuava, Brazil.</t>
        </is>
      </c>
      <c r="AA1372" t="inlineStr">
        <is>
          <t>tcavazzotto@yahoo.com.br; enioronque@uel.br; evieira@fiu.edu; queiroga@unicentro.br; heliojr@uel.br</t>
        </is>
      </c>
      <c r="AB1372" t="inlineStr">
        <is>
          <t>Cavazzotto, Timothy/M-6394-2019; Cavazzotto, Timothy Gustavo/IWM-7013-2023; Queiroga, Marcos Roberto/AAG-3899-2019; Ronque, Enio Ricardo Vaz/J-7937-2015; Serassuelo Junior, Helio/B-2486-2018; Vieira, Edgar/I-7609-2013</t>
        </is>
      </c>
      <c r="AC1372" t="inlineStr">
        <is>
          <t>Cavazzotto, Timothy/0000-0001-9813-6149; Cavazzotto, Timothy Gustavo/0000-0001-9813-6149; Queiroga, Marcos Roberto/0000-0002-9284-976X; Ronque, Enio Ricardo Vaz/0000-0003-3430-3993; Serassuelo Junior, Helio/0000-0002-1156-4237; Vieira, Edgar/0000-0002-1011-5077</t>
        </is>
      </c>
      <c r="AD1372" t="inlineStr">
        <is>
          <t>CAPES (Coordenacao de Aperfeicoamento de Pessoal de Nivel Superior-Brasil) [001]; Florida International University</t>
        </is>
      </c>
      <c r="AE1372" t="inlineStr">
        <is>
          <t>CAPES (Coordenacao de Aperfeicoamento de Pessoal de Nivel Superior-Brasil)(Coordenacao de Aperfeicoamento de Pessoal de Nivel Superior (CAPES)); Florida International University</t>
        </is>
      </c>
      <c r="AF1372" t="inlineStr">
        <is>
          <t>This research was funded by CAPES (Coordenacao de Aperfeicoamento de Pessoal de Nivel Superior-Brasil) grant number 001. The APC was funded by Florida International University.</t>
        </is>
      </c>
      <c r="AH1372" t="n">
        <v>38</v>
      </c>
      <c r="AI1372" t="n">
        <v>5</v>
      </c>
      <c r="AJ1372" t="n">
        <v>5</v>
      </c>
      <c r="AK1372" t="n">
        <v>0</v>
      </c>
      <c r="AL1372" t="n">
        <v>5</v>
      </c>
      <c r="AM1372" t="inlineStr">
        <is>
          <t>MDPI</t>
        </is>
      </c>
      <c r="AN1372" t="inlineStr">
        <is>
          <t>BASEL</t>
        </is>
      </c>
      <c r="AO1372" t="inlineStr">
        <is>
          <t>ST ALBAN-ANLAGE 66, CH-4052 BASEL, SWITZERLAND</t>
        </is>
      </c>
      <c r="AQ1372" t="inlineStr">
        <is>
          <t>1660-4601</t>
        </is>
      </c>
      <c r="AS1372" t="inlineStr">
        <is>
          <t>INT J ENV RES PUB HE</t>
        </is>
      </c>
      <c r="AT1372" t="inlineStr">
        <is>
          <t>Int. J. Environ. Res. Public Health</t>
        </is>
      </c>
      <c r="AU1372" t="inlineStr">
        <is>
          <t>MAY</t>
        </is>
      </c>
      <c r="AV1372" t="n">
        <v>2020</v>
      </c>
      <c r="AW1372" t="n">
        <v>17</v>
      </c>
      <c r="AX1372" t="n">
        <v>10</v>
      </c>
      <c r="BE1372" t="n">
        <v>3619</v>
      </c>
      <c r="BF1372" t="inlineStr">
        <is>
          <t>10.3390/ijerph17103619</t>
        </is>
      </c>
      <c r="BG1372">
        <f>HYPERLINK("http://dx.doi.org/10.3390/ijerph17103619","http://dx.doi.org/10.3390/ijerph17103619")</f>
        <v/>
      </c>
      <c r="BJ1372" t="n">
        <v>15</v>
      </c>
      <c r="BK1372" t="inlineStr">
        <is>
          <t>Environmental Sciences; Public, Environmental &amp; Occupational Health</t>
        </is>
      </c>
      <c r="BL1372" t="inlineStr">
        <is>
          <t>Science Citation Index Expanded (SCI-EXPANDED); Social Science Citation Index (SSCI)</t>
        </is>
      </c>
      <c r="BM1372" t="inlineStr">
        <is>
          <t>Environmental Sciences &amp; Ecology; Public, Environmental &amp; Occupational Health</t>
        </is>
      </c>
      <c r="BN1372" t="inlineStr">
        <is>
          <t>LW7CK</t>
        </is>
      </c>
      <c r="BO1372" t="n">
        <v>32455832</v>
      </c>
      <c r="BP1372" t="inlineStr">
        <is>
          <t>gold, Green Published</t>
        </is>
      </c>
      <c r="BS1372" t="inlineStr">
        <is>
          <t>2023-10-26</t>
        </is>
      </c>
      <c r="BT1372" t="inlineStr">
        <is>
          <t>WOS:000539300900276</t>
        </is>
      </c>
      <c r="BU1372">
        <f>HYPERLINK("https%3A%2F%2Fwww.webofscience.com%2Fwos%2Fwoscc%2Ffull-record%2FWOS:000539300900276","View Full Record in Web of Science")</f>
        <v/>
      </c>
    </row>
    <row r="1373">
      <c r="A1373" t="inlineStr">
        <is>
          <t>J</t>
        </is>
      </c>
      <c r="B1373" t="inlineStr">
        <is>
          <t>Shaw, RJ; Cukic, I; Deary, IJ; Gale, CR; Chastin, SFM; Dall, PM; Dontje, ML; Skelton, DA; Macdonald, L; Der, G</t>
        </is>
      </c>
      <c r="F1373" t="inlineStr">
        <is>
          <t>Shaw, Richard J.; Cukic, Iva; Deary, Ian J.; Gale, Catharine R.; Chastin, Sebastien F. M.; Dall, Philippa M.; Dontje, Manon L.; Skelton, Dawn A.; Macdonald, Laura; Der, Geoff</t>
        </is>
      </c>
      <c r="J1373" t="inlineStr">
        <is>
          <t>INTERNATIONAL JOURNAL OF ENVIRONMENTAL RESEARCH AND PUBLIC HEALTH</t>
        </is>
      </c>
      <c r="M1373" t="inlineStr">
        <is>
          <t>English</t>
        </is>
      </c>
      <c r="N1373" t="inlineStr">
        <is>
          <t>Article</t>
        </is>
      </c>
      <c r="T1373" t="inlineStr">
        <is>
          <t>The Influence of Neighbourhoods and the Social Environment on Sedentary Behaviour in Older Adults in Three Prospective Cohorts</t>
        </is>
      </c>
      <c r="U1373" t="inlineStr">
        <is>
          <t>sedentary behaviour; social environment; physical environment; ageing; health; neighbourhood; social capital; social support</t>
        </is>
      </c>
      <c r="V1373" t="inlineStr">
        <is>
          <t>PHYSICAL-ACTIVITY; PERCEIVED NEIGHBORHOOD; SITTING TIME; CARDIOVASCULAR-DISEASE; ECOLOGICAL APPROACH; VIEWING TIME; DETERMINANTS; HEALTH; MORTALITY; METAANALYSIS</t>
        </is>
      </c>
      <c r="W1373" t="inlineStr">
        <is>
          <t>Sedentary behaviour is an emerging risk factor for poor health. This study aimed to identify ecological determinants of sedentary behaviour, for which evidence is currently scarce. The study participants were community dwelling adults from, respectively, the Lothian Birth Cohort 1936 (n = 271, mean age 79) and the 1930s (n = 119, mean age 83) and 1950s (n = 310, mean age 64) cohorts of the West of Scotland Twenty-07 study. The outcome measure, percentage of waking time spent sedentary (sedentary time), was measured using an activPAL activity monitor worn continuously for seven days. Potential determinants included objective and subjective neighbourhood measures such as natural space, crime, social cohesion and fear of crime. Other determinants included measures of social participation such as social support, social group membership and providing care. Results from multivariable regression analyses indicated that providing care was associated with reduced sedentary time in retired participants in all cohorts. Fear of crime and perceived absence of services were associated with increased sedentary time for retired 1950s cohort members. Higher crime rates were associated with increased sedentary time in all cohorts but this was not significant after adjustment for socio-demographic characteristics. Most other neighbourhood and social participation measures showed no association with sedentary time.</t>
        </is>
      </c>
      <c r="X1373" t="inlineStr">
        <is>
          <t>[Shaw, Richard J.; Macdonald, Laura; Der, Geoff] Univ Glasgow, MRC CSO Social &amp; Publ Hlth Sci Unit, Glasgow G2 3QB, Lanark, Scotland; [Cukic, Iva; Deary, Ian J.; Gale, Catharine R.; Der, Geoff] Univ Edinburgh, Dept Psychol, Ctr Cognit Ageing &amp; Cognit Epidemiol, Edinburgh EH8 9JZ, Midlothian, Scotland; [Gale, Catharine R.] Univ Southampton, MRC Lifecourse Epidemiol Unit, Southampton S016 6YD, Hants, England; [Chastin, Sebastien F. M.; Dall, Philippa M.; Dontje, Manon L.; Skelton, Dawn A.] Glasgow Caledonian Univ, Sch Hlth &amp; Life Sci, Inst Appl Hlth Res, Glasgow G4 0BA, Lanark, Scotland; [Chastin, Sebastien F. M.] Univ Ghent, Fac Med &amp; Hlth Sci, Dept Movement &amp; Sports Sci, B-9000 Ghent, Belgium; [Dontje, Manon L.] Univ Western Australia, Sch Populat &amp; Global Hlth, Perth, WA 6009, Australia</t>
        </is>
      </c>
      <c r="Y1373" t="inlineStr">
        <is>
          <t>MRC/CSO SOCIAL AND PUBLIC HEALTH SCIENCES UNIT; University of Glasgow; University of Edinburgh; University of Southampton; Glasgow Caledonian University; Ghent University; University of Western Australia</t>
        </is>
      </c>
      <c r="Z1373" t="inlineStr">
        <is>
          <t>Shaw, RJ (corresponding author), Univ Glasgow, MRC CSO Social &amp; Publ Hlth Sci Unit, Glasgow G2 3QB, Lanark, Scotland.</t>
        </is>
      </c>
      <c r="AA1373" t="inlineStr">
        <is>
          <t>dr.richard.shaw@gmail.com; iva.cukic@ed.ac.uk; i.deary@ed.ac.uk; cgale@staffmail.ed.ac.uk; sebastien.chastin@gcu.ac.uk; philippa.dall@gcu.ac.uk; dr.m.l.dontje@gmail.com; dawn.skelton@gcu.ac.uk; laura.macdonald@glasgow.ac.uk; geoff.der@glasgow.ac.uk</t>
        </is>
      </c>
      <c r="AB1373" t="inlineStr">
        <is>
          <t>Shaw, Richard/X-8215-2019; Gale, Catharine R/B-1653-2012; Cukic, Iva/HGE-8252-2022; Chastin, Sebastien/ABF-1455-2020; Skelton, Dawn/B-7552-2013; Deary, Ian J/C-6297-2009</t>
        </is>
      </c>
      <c r="AC1373" t="inlineStr">
        <is>
          <t>Shaw, Richard/0000-0002-7906-6066; Chastin, Sebastien/0000-0003-1421-9348; Skelton, Dawn/0000-0001-6223-9840; Deary, Ian J/0000-0002-1733-263X; Dontje, Manon/0000-0002-0348-9556; Der, Geoff/0000-0002-8677-073X; Cukic, Iva/0000-0002-2010-1648; Macdonald, Laura/0000-0002-0593-8079; Dall, Philippa/0000-0002-1958-1517</t>
        </is>
      </c>
      <c r="AD1373" t="inlineStr">
        <is>
          <t>UK Medical Research Council (MRC) as part of the Lifelong Health and Wellbeing Initiative (LLHW) [MR/K025023/1]; Age UK; MRC [MR/M01311/1, G1001245/96077]; BBSRC; MRC as part of the LLHW [MR/K026992/1]; MRC; Chief Scientist Office [SPHSU10] Funding Source: researchfish; Economic and Social Research Council [ES/L011921/1] Funding Source: researchfish; Medical Research Council [MC_UU_12011/1, MC_UU_12011/2, MC_U147585819, U1475000001, MC_UP_A620_1014, G1001245, G0400491, MC_U147585824, MC_UU_12017/10, MR/K026992/1, MC_U147585827, MR/K025023/1] Funding Source: researchfish; National Institute for Health Research [NF-SI-0513-10085, NF-SI-0508-10082] Funding Source: researchfish; ESRC [ES/L011921/1] Funding Source: UKRI; MRC [MC_UU_12011/2, MC_UU_12017/10, G0400491, MR/K025023/1, MC_U147585819, MC_U147585827] Funding Source: UKRI</t>
        </is>
      </c>
      <c r="AE1373" t="inlineStr">
        <is>
          <t>UK Medical Research Council (MRC) as part of the Lifelong Health and Wellbeing Initiative (LLHW)(UK Research &amp; Innovation (UKRI)Medical Research Council UK (MRC)); Age UK; MRC(UK Research &amp; Innovation (UKRI)Medical Research Council UK (MRC)); BBSRC(UK Research &amp; Innovation (UKRI)Biotechnology and Biological Sciences Research Council (BBSRC)); MRC as part of the LLHW(UK Research &amp; Innovation (UKRI)Medical Research Council UK (MRC)); MRC(UK Research &amp; Innovation (UKRI)Medical Research Council UK (MRC)); Chief Scientist Office; Economic and Social Research Council(UK Research &amp; Innovation (UKRI)Economic &amp; Social Research Council (ESRC)); Medical Research Council(UK Research &amp; Innovation (UKRI)Medical Research Council UK (MRC)); National Institute for Health Research(National Institutes of Health Research (NIHR)); ESRC(UK Research &amp; Innovation (UKRI)Economic &amp; Social Research Council (ESRC)); MRC(UK Research &amp; Innovation (UKRI)Medical Research Council UK (MRC))</t>
        </is>
      </c>
      <c r="AF1373" t="inlineStr">
        <is>
          <t>The named authors present the study on behalf of the Seniors USP Team, which comprises: Dawn A. Skelton (PI), Sebastien Chastin, Simon Cox, Elaine Coulter, Iva Cukic, Philippa Dall, Ian Deary, Geoff Der, Manon L. Dontje, Claire Fitzsimons, Catharine Gale, Jason Gill, Malcolm Granat, Cindy Gray, Carolyn Greig, Elaine Hindle, Karen Laird, Gillian Mead, Nanette Mutrie, Victoria Palmer, Ratko Radakovic, Naveed Sattar, Richard J. Shaw, John Starr, Sally Stewart, and Sally Wyke. The Seniors USP (understanding sedentary patterns) project is funded by the UK Medical Research Council (MRC) as part of the Lifelong Health and Wellbeing Initiative (LLHW) [MR/K025023/1]. Elizabeth Richardson processed the data from Scotland's Greenspace Map to calculate the percentage natural space for data zones. Green space data for output areas were obtained from the Urban Big Data Centre, Glasgow University. Percentage of natural space for each data zone was calculated from Scotland's Greenspace Map; obtained from Central Scotland Green Network (CSGN). The Lothian Birth Cohort 1936 (LBC1936) thank the cohort members, investigators, research associates and team members. We also thank the radiographers at the Brain Research Imaging Centre, and the research nurses and Genetics Core staff at the Wellcome Trust Clinical Research Facility. LBC1936 data collection are supported by the Disconnected Mind project (funded by Age UK and MRC (MR/M01311/1 and G1001245/96077) and undertaken within the University of Edinburgh Centre for Cognitive Ageing and Cognitive Epidemiology (funded by the BBSRC and MRC as part of the LLHW (MR/K026992/1)). The West of Scotland Twenty-07 Study was funded by the MRC, and the data were originally collected by the MRC Social and Public Health Sciences Unit (MC_A540_53462). We thank all of the cohort participants, and the survey staff and research nurses who carried it out. The data are employed here with the permission of the Twenty-07 Steering Committee.</t>
        </is>
      </c>
      <c r="AH1373" t="n">
        <v>59</v>
      </c>
      <c r="AI1373" t="n">
        <v>14</v>
      </c>
      <c r="AJ1373" t="n">
        <v>15</v>
      </c>
      <c r="AK1373" t="n">
        <v>0</v>
      </c>
      <c r="AL1373" t="n">
        <v>21</v>
      </c>
      <c r="AM1373" t="inlineStr">
        <is>
          <t>MDPI AG</t>
        </is>
      </c>
      <c r="AN1373" t="inlineStr">
        <is>
          <t>BASEL</t>
        </is>
      </c>
      <c r="AO1373" t="inlineStr">
        <is>
          <t>ST ALBAN-ANLAGE 66, CH-4052 BASEL, SWITZERLAND</t>
        </is>
      </c>
      <c r="AP1373" t="inlineStr">
        <is>
          <t>1660-4601</t>
        </is>
      </c>
      <c r="AS1373" t="inlineStr">
        <is>
          <t>INT J ENV RES PUB HE</t>
        </is>
      </c>
      <c r="AT1373" t="inlineStr">
        <is>
          <t>Int. J. Environ. Res. Public Health</t>
        </is>
      </c>
      <c r="AU1373" t="inlineStr">
        <is>
          <t>JUN</t>
        </is>
      </c>
      <c r="AV1373" t="n">
        <v>2017</v>
      </c>
      <c r="AW1373" t="n">
        <v>14</v>
      </c>
      <c r="AX1373" t="n">
        <v>6</v>
      </c>
      <c r="BE1373" t="n">
        <v>557</v>
      </c>
      <c r="BF1373" t="inlineStr">
        <is>
          <t>10.3390/ijerph14060557</t>
        </is>
      </c>
      <c r="BG1373">
        <f>HYPERLINK("http://dx.doi.org/10.3390/ijerph14060557","http://dx.doi.org/10.3390/ijerph14060557")</f>
        <v/>
      </c>
      <c r="BJ1373" t="n">
        <v>21</v>
      </c>
      <c r="BK1373" t="inlineStr">
        <is>
          <t>Environmental Sciences; Public, Environmental &amp; Occupational Health</t>
        </is>
      </c>
      <c r="BL1373" t="inlineStr">
        <is>
          <t>Science Citation Index Expanded (SCI-EXPANDED); Social Science Citation Index (SSCI)</t>
        </is>
      </c>
      <c r="BM1373" t="inlineStr">
        <is>
          <t>Environmental Sciences &amp; Ecology; Public, Environmental &amp; Occupational Health</t>
        </is>
      </c>
      <c r="BN1373" t="inlineStr">
        <is>
          <t>EY6QF</t>
        </is>
      </c>
      <c r="BO1373" t="n">
        <v>28538672</v>
      </c>
      <c r="BP1373" t="inlineStr">
        <is>
          <t>Green Published, Green Accepted, gold</t>
        </is>
      </c>
      <c r="BS1373" t="inlineStr">
        <is>
          <t>2023-10-26</t>
        </is>
      </c>
      <c r="BT1373" t="inlineStr">
        <is>
          <t>WOS:000404107600005</t>
        </is>
      </c>
      <c r="BU1373">
        <f>HYPERLINK("https%3A%2F%2Fwww.webofscience.com%2Fwos%2Fwoscc%2Ffull-record%2FWOS:000404107600005","View Full Record in Web of Science")</f>
        <v/>
      </c>
    </row>
    <row r="1374">
      <c r="A1374" t="inlineStr">
        <is>
          <t>J</t>
        </is>
      </c>
      <c r="B1374" t="inlineStr">
        <is>
          <t>Duncan, MJ; Mowle, S; Noon, M; Eyre, E; Clarke, ND; Hill, M; Tallis, J; Julin, M</t>
        </is>
      </c>
      <c r="F1374" t="inlineStr">
        <is>
          <t>Duncan, Michael J.; Mowle, Sophie; Noon, Mark; Eyre, Emma; Clarke, Neil D.; Hill, Mathew; Tallis, Jason; Julin, Mikko</t>
        </is>
      </c>
      <c r="J1374" t="inlineStr">
        <is>
          <t>INTERNATIONAL JOURNAL OF ENVIRONMENTAL RESEARCH AND PUBLIC HEALTH</t>
        </is>
      </c>
      <c r="M1374" t="inlineStr">
        <is>
          <t>English</t>
        </is>
      </c>
      <c r="N1374" t="inlineStr">
        <is>
          <t>Article</t>
        </is>
      </c>
      <c r="T1374" t="inlineStr">
        <is>
          <t>The Effect of 12-Weeks Recreational Football (Soccer) for Health Intervention on Functional Movement in Older Adults</t>
        </is>
      </c>
      <c r="U1374" t="inlineStr">
        <is>
          <t>walking football; older adults; physical activity; motor skill; functional fitness</t>
        </is>
      </c>
      <c r="V1374" t="inlineStr">
        <is>
          <t>PHYSICAL-ACTIVITY; PERFORMANCE; STRENGTH; FITNESS; PROFILE; SPORTS</t>
        </is>
      </c>
      <c r="W1374" t="inlineStr">
        <is>
          <t>There is growing evidence that recreational football offers health benefits for older adults and an important pathway for physical activity for older adult groups. Despite anecdotal evidence that recreational football is beneficial for older adults, no empirical data are available to support this assertion. This study addressed this issue and examined the effects of a 12-week recreational football intervention on the functional fitness of older adults. Using a pre-post case-control design, thirteen males, aged 61-73 years (mean age +/- SD = 66 +/- 4 years) undertook a twice-weekly, 12-week recreational football for health intervention, and were matched with a control group, comprising thirteen males, aged 62-78 years (mean age +/- SD = 66 +/- 4 years) who maintained their typical exercise habits during the intervention period. Pre- and postintervention, participants underwent assessment of functional fitness, using the Rikli and Jones functional fitness battery as well as an assessment of body fatness, via bioelectrical impedance analysis and dominant handgrip strength using handgrip dynamometry. Results from a series of 2 (pre-post) X 2 (intervention vs. control) repeated-measures ANOVAs indicate significant pre-post X group interactions for the 30-second chair stand (p = 0.038, Pn(2) = 0.168), 8-foot timed up and go (p = 0.001, Pn(2) = 0.577) and 6 min walk test (p = 0.036, Pn(2) = 0.171). In all cases, performance improved significantly after the intervention for the football intervention group but not the control group. There were no significant differences in the 30 s arm curl test or dominant handgrip strength (p &gt; 0.05). There was a non-significant trend (p = 0.07, Pn(2) = 0.127) towards a pre-post X group interaction for body fatness, showing a decreased percent body fat for the intervention group over the control group. The results of the present study demonstrate the utility of recreational football as a physical activity intervention in older adults to improve functional movement.</t>
        </is>
      </c>
      <c r="X1374" t="inlineStr">
        <is>
          <t>[Duncan, Michael J.; Mowle, Sophie; Noon, Mark; Eyre, Emma; Clarke, Neil D.; Hill, Mathew; Tallis, Jason] Coventry Univ, Ctr Sport Exercise &amp; Life Sci, Coventry CV1 5FB, W Midlands, England; [Julin, Mikko] Laurea Univ Appl Sci, Res Dev &amp; Innovat RDI Unit, Espoo 02650, Finland</t>
        </is>
      </c>
      <c r="Y1374" t="inlineStr">
        <is>
          <t>Coventry University; Laurea University of Applied Sciences</t>
        </is>
      </c>
      <c r="Z1374" t="inlineStr">
        <is>
          <t>Duncan, MJ (corresponding author), Coventry Univ, Ctr Sport Exercise &amp; Life Sci, Coventry CV1 5FB, W Midlands, England.</t>
        </is>
      </c>
      <c r="AA1374" t="inlineStr">
        <is>
          <t>aa8396@coventry.ac.uk</t>
        </is>
      </c>
      <c r="AB1374" t="inlineStr">
        <is>
          <t>Clarke, Neil D/D-9613-2014</t>
        </is>
      </c>
      <c r="AC1374" t="inlineStr">
        <is>
          <t>Mowle, Sophie/0000-0003-3759-8870; Duncan, Michael/0000-0002-2016-6580; Clarke, Neil/0000-0002-1909-329X; Eyre, Emma/0000-0002-4040-5921; Hill, Mathew/0000-0002-9226-1712; Tallis, Jason/0000-0001-8904-2693</t>
        </is>
      </c>
      <c r="AD1374" t="inlineStr">
        <is>
          <t>Erasmus+ Sport programme of the European Commission</t>
        </is>
      </c>
      <c r="AE1374" t="inlineStr">
        <is>
          <t>Erasmus+ Sport programme of the European Commission</t>
        </is>
      </c>
      <c r="AF1374" t="inlineStr">
        <is>
          <t>This research was funded by the Erasmus+ Sport programme of the European Commission (Erasmus+ Sport project/603552-EPP-1-2018-1-FI-SPO-SCP).</t>
        </is>
      </c>
      <c r="AH1374" t="n">
        <v>35</v>
      </c>
      <c r="AI1374" t="n">
        <v>2</v>
      </c>
      <c r="AJ1374" t="n">
        <v>2</v>
      </c>
      <c r="AK1374" t="n">
        <v>0</v>
      </c>
      <c r="AL1374" t="n">
        <v>3</v>
      </c>
      <c r="AM1374" t="inlineStr">
        <is>
          <t>MDPI</t>
        </is>
      </c>
      <c r="AN1374" t="inlineStr">
        <is>
          <t>BASEL</t>
        </is>
      </c>
      <c r="AO1374" t="inlineStr">
        <is>
          <t>ST ALBAN-ANLAGE 66, CH-4052 BASEL, SWITZERLAND</t>
        </is>
      </c>
      <c r="AQ1374" t="inlineStr">
        <is>
          <t>1660-4601</t>
        </is>
      </c>
      <c r="AS1374" t="inlineStr">
        <is>
          <t>INT J ENV RES PUB HE</t>
        </is>
      </c>
      <c r="AT1374" t="inlineStr">
        <is>
          <t>Int. J. Environ. Res. Public Health</t>
        </is>
      </c>
      <c r="AU1374" t="inlineStr">
        <is>
          <t>OCT</t>
        </is>
      </c>
      <c r="AV1374" t="n">
        <v>2022</v>
      </c>
      <c r="AW1374" t="n">
        <v>19</v>
      </c>
      <c r="AX1374" t="n">
        <v>20</v>
      </c>
      <c r="BE1374" t="n">
        <v>13625</v>
      </c>
      <c r="BF1374" t="inlineStr">
        <is>
          <t>10.3390/ijerph192013625</t>
        </is>
      </c>
      <c r="BG1374">
        <f>HYPERLINK("http://dx.doi.org/10.3390/ijerph192013625","http://dx.doi.org/10.3390/ijerph192013625")</f>
        <v/>
      </c>
      <c r="BJ1374" t="n">
        <v>11</v>
      </c>
      <c r="BK1374" t="inlineStr">
        <is>
          <t>Environmental Sciences; Public, Environmental &amp; Occupational Health</t>
        </is>
      </c>
      <c r="BL1374" t="inlineStr">
        <is>
          <t>Science Citation Index Expanded (SCI-EXPANDED); Social Science Citation Index (SSCI)</t>
        </is>
      </c>
      <c r="BM1374" t="inlineStr">
        <is>
          <t>Environmental Sciences &amp; Ecology; Public, Environmental &amp; Occupational Health</t>
        </is>
      </c>
      <c r="BN1374" t="inlineStr">
        <is>
          <t>5S6MM</t>
        </is>
      </c>
      <c r="BO1374" t="n">
        <v>36294203</v>
      </c>
      <c r="BP1374" t="inlineStr">
        <is>
          <t>gold, Green Published</t>
        </is>
      </c>
      <c r="BS1374" t="inlineStr">
        <is>
          <t>2023-10-26</t>
        </is>
      </c>
      <c r="BT1374" t="inlineStr">
        <is>
          <t>WOS:000875301500001</t>
        </is>
      </c>
      <c r="BU1374">
        <f>HYPERLINK("https%3A%2F%2Fwww.webofscience.com%2Fwos%2Fwoscc%2Ffull-record%2FWOS:000875301500001","View Full Record in Web of Science")</f>
        <v/>
      </c>
    </row>
    <row r="1375">
      <c r="A1375" t="inlineStr">
        <is>
          <t>J</t>
        </is>
      </c>
      <c r="B1375" t="inlineStr">
        <is>
          <t>Zhang, T; Me, RC; Alli, H</t>
        </is>
      </c>
      <c r="F1375" t="inlineStr">
        <is>
          <t>Zhang, Ting; Me, Rosalam Che; Alli, Hassan</t>
        </is>
      </c>
      <c r="J1375" t="inlineStr">
        <is>
          <t>SUSTAINABILITY</t>
        </is>
      </c>
      <c r="M1375" t="inlineStr">
        <is>
          <t>English</t>
        </is>
      </c>
      <c r="N1375" t="inlineStr">
        <is>
          <t>Review</t>
        </is>
      </c>
      <c r="T1375" t="inlineStr">
        <is>
          <t>The Usability Issues Encountered in the Design Features of Intelligent Products for Older Adults in China: A Scoping Review</t>
        </is>
      </c>
      <c r="U1375" t="inlineStr">
        <is>
          <t>aging; intelligent products; design features; usability issues; older adults in China</t>
        </is>
      </c>
      <c r="W1375" t="inlineStr">
        <is>
          <t>This study aims to expand upon the understanding of the multifaceted usability issues older adults encounter when using intelligent products. This was achieved by synthesizing extant research findings to come to an understanding of why usability issues still exist in intelligent products for older adults in China, even when appropriate design features are incorporated. This review was conducted by searching the literature on the Scopus, Springer, ScienceDirect, and China National Knowledge Infrastructure databases as well as Google Scholar using the terms older adults in China, intelligent products, and usability. Forty-three studies from between 2007 and 2022 were included in the review. The results reveal three salient aspects directly related to the usability issues of intelligent products experienced by older adults in China: (1) the usefulness of the product; (2) the ease of use of the product; and (3) the impact of the policy. The first two impact the effectiveness of the use of intelligent products, while the lack of policy intervention in the management system of intelligent products results in product clutter. This review provides insights for designers by proposing a conceptual framework for an intelligent product service platform for older adults, which will help researchers and research teams better understand the usability issues according to older adults' feedback on intelligent products. We suggest a unified standard for intelligent product management in the future that is compatible across systems and reduces older adults' learning stress.</t>
        </is>
      </c>
      <c r="X1375" t="inlineStr">
        <is>
          <t>[Zhang, Ting; Me, Rosalam Che; Alli, Hassan] Univ Putra Malaysia, Fac Design &amp; Architecture, Dept Ind Design, Serdang 43400, Malaysia; [Zhang, Ting] Zhaoqing Univ, Ind Design Inst, Zhaoqing 526061, Peoples R China; [Me, Rosalam Che] Univ Putra Malaysia, Malaysian Res Inst Ageing MyAgeing, Serdang 43300, Malaysia</t>
        </is>
      </c>
      <c r="Y1375" t="inlineStr">
        <is>
          <t>Universiti Putra Malaysia; Zhaoqing University; Universiti Putra Malaysia</t>
        </is>
      </c>
      <c r="Z1375" t="inlineStr">
        <is>
          <t>Me, RC (corresponding author), Univ Putra Malaysia, Fac Design &amp; Architecture, Dept Ind Design, Serdang 43400, Malaysia.;Me, RC (corresponding author), Univ Putra Malaysia, Malaysian Res Inst Ageing MyAgeing, Serdang 43300, Malaysia.</t>
        </is>
      </c>
      <c r="AA1375" t="inlineStr">
        <is>
          <t>rosalam@upm.edu.my</t>
        </is>
      </c>
      <c r="AB1375" t="inlineStr">
        <is>
          <t>Alli, Hassan/P-1320-2019</t>
        </is>
      </c>
      <c r="AH1375" t="n">
        <v>67</v>
      </c>
      <c r="AI1375" t="n">
        <v>0</v>
      </c>
      <c r="AJ1375" t="n">
        <v>0</v>
      </c>
      <c r="AK1375" t="n">
        <v>11</v>
      </c>
      <c r="AL1375" t="n">
        <v>12</v>
      </c>
      <c r="AM1375" t="inlineStr">
        <is>
          <t>MDPI</t>
        </is>
      </c>
      <c r="AN1375" t="inlineStr">
        <is>
          <t>BASEL</t>
        </is>
      </c>
      <c r="AO1375" t="inlineStr">
        <is>
          <t>ST ALBAN-ANLAGE 66, CH-4052 BASEL, SWITZERLAND</t>
        </is>
      </c>
      <c r="AQ1375" t="inlineStr">
        <is>
          <t>2071-1050</t>
        </is>
      </c>
      <c r="AS1375" t="inlineStr">
        <is>
          <t>SUSTAINABILITY-BASEL</t>
        </is>
      </c>
      <c r="AT1375" t="inlineStr">
        <is>
          <t>Sustainability</t>
        </is>
      </c>
      <c r="AU1375" t="inlineStr">
        <is>
          <t>MAR</t>
        </is>
      </c>
      <c r="AV1375" t="n">
        <v>2023</v>
      </c>
      <c r="AW1375" t="n">
        <v>15</v>
      </c>
      <c r="AX1375" t="n">
        <v>5</v>
      </c>
      <c r="BE1375" t="n">
        <v>4372</v>
      </c>
      <c r="BF1375" t="inlineStr">
        <is>
          <t>10.3390/su15054372</t>
        </is>
      </c>
      <c r="BG1375">
        <f>HYPERLINK("http://dx.doi.org/10.3390/su15054372","http://dx.doi.org/10.3390/su15054372")</f>
        <v/>
      </c>
      <c r="BJ1375" t="n">
        <v>23</v>
      </c>
      <c r="BK1375" t="inlineStr">
        <is>
          <t>Green &amp; Sustainable Science &amp; Technology; Environmental Sciences; Environmental Studies</t>
        </is>
      </c>
      <c r="BL1375" t="inlineStr">
        <is>
          <t>Science Citation Index Expanded (SCI-EXPANDED); Social Science Citation Index (SSCI)</t>
        </is>
      </c>
      <c r="BM1375" t="inlineStr">
        <is>
          <t>Science &amp; Technology - Other Topics; Environmental Sciences &amp; Ecology</t>
        </is>
      </c>
      <c r="BN1375" t="inlineStr">
        <is>
          <t>9U4JN</t>
        </is>
      </c>
      <c r="BP1375" t="inlineStr">
        <is>
          <t>gold</t>
        </is>
      </c>
      <c r="BS1375" t="inlineStr">
        <is>
          <t>2023-10-26</t>
        </is>
      </c>
      <c r="BT1375" t="inlineStr">
        <is>
          <t>WOS:000947679400001</t>
        </is>
      </c>
      <c r="BU1375">
        <f>HYPERLINK("https%3A%2F%2Fwww.webofscience.com%2Fwos%2Fwoscc%2Ffull-record%2FWOS:000947679400001","View Full Record in Web of Science")</f>
        <v/>
      </c>
    </row>
    <row r="1376">
      <c r="A1376" t="inlineStr">
        <is>
          <t>J</t>
        </is>
      </c>
      <c r="B1376" t="inlineStr">
        <is>
          <t>El-Husseiny, MA; El-Setouhy, H</t>
        </is>
      </c>
      <c r="F1376" t="inlineStr">
        <is>
          <t>El-Husseiny, Mennat-Allah; El-Setouhy, Hamdy</t>
        </is>
      </c>
      <c r="J1376" t="inlineStr">
        <is>
          <t>SUSTAINABILITY</t>
        </is>
      </c>
      <c r="M1376" t="inlineStr">
        <is>
          <t>English</t>
        </is>
      </c>
      <c r="N1376" t="inlineStr">
        <is>
          <t>Article</t>
        </is>
      </c>
      <c r="T1376" t="inlineStr">
        <is>
          <t>Reviving Low-Tech Modes of Construction as a Method for Sustainability</t>
        </is>
      </c>
      <c r="U1376" t="inlineStr">
        <is>
          <t>familiar technology; sustainability; architectural design; built environment; Al-Nazlah; HBIM</t>
        </is>
      </c>
      <c r="V1376" t="inlineStr">
        <is>
          <t>ARCHITECTURE</t>
        </is>
      </c>
      <c r="W1376" t="inlineStr">
        <is>
          <t>Sustainability in architectural design has been widely researched in respect to environmental, social and economic impacts on the built environment. Associated debates have been raised regarding zero CO2 emissions, clean energy consumption, simulations for optimized designs, and high-tech utilization, among other. However, little focus has been given to the possibility of reviving low-technology construction, which can contribute to the field through an added value to the identity of communities, especially in areas with special familiar construction techniques that are possible to be optimized and capitalized upon. Stemming from this, the research aims to analyze strategies and tools for contemporary projects which have adopted the experience of applying low-tech construction modes to upraise a specific local community. The Al-Nazlah project in Fayoum, Egypt, which has been awarded several international prizes, is the main focus of this analysis, based on first-hand information from the architect, local community, and heritage experts using interviews and questionnaires, in addition to applying Heritage Building Information Modeling (HBIM) methodology to assess the experience collectively. The results highlight the points of strength and weakness of the revival project, in the form of a framework assessing the experiment for the familiar construction-based project in applying the three levels of sustainability in a community with special characteristics.</t>
        </is>
      </c>
      <c r="X1376" t="inlineStr">
        <is>
          <t>[El-Husseiny, Mennat-Allah; El-Setouhy, Hamdy] Cairo Univ, Fac Engn, Architecture Dept, Cairo 12613, Egypt</t>
        </is>
      </c>
      <c r="Y1376" t="inlineStr">
        <is>
          <t>Egyptian Knowledge Bank (EKB); Cairo University</t>
        </is>
      </c>
      <c r="Z1376" t="inlineStr">
        <is>
          <t>El-Husseiny, MA (corresponding author), Cairo Univ, Fac Engn, Architecture Dept, Cairo 12613, Egypt.</t>
        </is>
      </c>
      <c r="AA1376" t="inlineStr">
        <is>
          <t>mennatallahelhusseiny@gmail.com</t>
        </is>
      </c>
      <c r="AC1376" t="inlineStr">
        <is>
          <t>El-Husseiny, Mennat-Allah/0000-0002-0553-2183; Elsetouhy, Hamdy/0000-0002-0630-2670</t>
        </is>
      </c>
      <c r="AH1376" t="n">
        <v>41</v>
      </c>
      <c r="AI1376" t="n">
        <v>0</v>
      </c>
      <c r="AJ1376" t="n">
        <v>0</v>
      </c>
      <c r="AK1376" t="n">
        <v>2</v>
      </c>
      <c r="AL1376" t="n">
        <v>6</v>
      </c>
      <c r="AM1376" t="inlineStr">
        <is>
          <t>MDPI</t>
        </is>
      </c>
      <c r="AN1376" t="inlineStr">
        <is>
          <t>BASEL</t>
        </is>
      </c>
      <c r="AO1376" t="inlineStr">
        <is>
          <t>ST ALBAN-ANLAGE 66, CH-4052 BASEL, SWITZERLAND</t>
        </is>
      </c>
      <c r="AQ1376" t="inlineStr">
        <is>
          <t>2071-1050</t>
        </is>
      </c>
      <c r="AS1376" t="inlineStr">
        <is>
          <t>SUSTAINABILITY-BASEL</t>
        </is>
      </c>
      <c r="AT1376" t="inlineStr">
        <is>
          <t>Sustainability</t>
        </is>
      </c>
      <c r="AU1376" t="inlineStr">
        <is>
          <t>NOV</t>
        </is>
      </c>
      <c r="AV1376" t="n">
        <v>2022</v>
      </c>
      <c r="AW1376" t="n">
        <v>14</v>
      </c>
      <c r="AX1376" t="n">
        <v>21</v>
      </c>
      <c r="BE1376" t="n">
        <v>13762</v>
      </c>
      <c r="BF1376" t="inlineStr">
        <is>
          <t>10.3390/su142113762</t>
        </is>
      </c>
      <c r="BG1376">
        <f>HYPERLINK("http://dx.doi.org/10.3390/su142113762","http://dx.doi.org/10.3390/su142113762")</f>
        <v/>
      </c>
      <c r="BJ1376" t="n">
        <v>21</v>
      </c>
      <c r="BK1376" t="inlineStr">
        <is>
          <t>Green &amp; Sustainable Science &amp; Technology; Environmental Sciences; Environmental Studies</t>
        </is>
      </c>
      <c r="BL1376" t="inlineStr">
        <is>
          <t>Science Citation Index Expanded (SCI-EXPANDED); Social Science Citation Index (SSCI)</t>
        </is>
      </c>
      <c r="BM1376" t="inlineStr">
        <is>
          <t>Science &amp; Technology - Other Topics; Environmental Sciences &amp; Ecology</t>
        </is>
      </c>
      <c r="BN1376" t="inlineStr">
        <is>
          <t>6B7PO</t>
        </is>
      </c>
      <c r="BP1376" t="inlineStr">
        <is>
          <t>gold</t>
        </is>
      </c>
      <c r="BS1376" t="inlineStr">
        <is>
          <t>2023-10-26</t>
        </is>
      </c>
      <c r="BT1376" t="inlineStr">
        <is>
          <t>WOS:000881521200001</t>
        </is>
      </c>
      <c r="BU1376">
        <f>HYPERLINK("https%3A%2F%2Fwww.webofscience.com%2Fwos%2Fwoscc%2Ffull-record%2FWOS:000881521200001","View Full Record in Web of Science")</f>
        <v/>
      </c>
    </row>
    <row r="1377">
      <c r="A1377" t="inlineStr">
        <is>
          <t>J</t>
        </is>
      </c>
      <c r="B1377" t="inlineStr">
        <is>
          <t>Yu, L; Xie, BL; Chan, EHW</t>
        </is>
      </c>
      <c r="F1377" t="inlineStr">
        <is>
          <t>Yu, Le; Xie, Binglei; Chan, Edwin H. W.</t>
        </is>
      </c>
      <c r="J1377" t="inlineStr">
        <is>
          <t>SUSTAINABILITY</t>
        </is>
      </c>
      <c r="M1377" t="inlineStr">
        <is>
          <t>English</t>
        </is>
      </c>
      <c r="N1377" t="inlineStr">
        <is>
          <t>Article</t>
        </is>
      </c>
      <c r="T1377" t="inlineStr">
        <is>
          <t>How does the Built Environment Influence Public Transit Choice in Urban Villages in China?</t>
        </is>
      </c>
      <c r="U1377" t="inlineStr">
        <is>
          <t>public transit; built environment; urban villages; urban regeneration; transport planning</t>
        </is>
      </c>
      <c r="V1377" t="inlineStr">
        <is>
          <t>ACTIVITY-TRAVEL BEHAVIOR; MODE CHOICE; NEIGHBORHOOD TYPE; SOCIAL EXCLUSION; SELF-SELECTION; LAND-USE; TRANSPORT; DISSONANCE; RIDERSHIP; DISTANCE</t>
        </is>
      </c>
      <c r="W1377" t="inlineStr">
        <is>
          <t>With growing traffic congestion and environmental issues, the interactions between travel behaviour and the built environment have drawn attention from researchers and policymakers to take effective measures to encourage more sustainable travel modes and to curb car trips, especially in urbanising areas where travel demand is very complicated. This paper presents how built environmental factors affect public transit choice behaviour in urban villages in China, where a large population of low-income workers are accommodated. This location had a high demand for public transit and special built environmental characteristics. Multinomial logistic regression was employed to examine both the determinants and magnitude of their influence. The results indicate that the impacts of built environments apply particularly in urban villages compared to those in formal residences. In particular, mixed land use generates an adverse effect on public transit choice, a surprising outcome which is contrary to previous common conclusions. This study contributes by addressing a special type of neighbourhood in order to narrow down the research gap in this domain. The findings help to suggest effective measures to satisfy public transit demand efficiently and also provide a new perspective for urban regeneration.</t>
        </is>
      </c>
      <c r="X1377" t="inlineStr">
        <is>
          <t>[Yu, Le; Xie, Binglei] Harbin Inst Technol Shenzhen, Sch Architecture, Shenzhen 518000, Peoples R China; [Yu, Le; Chan, Edwin H. W.] Hong Kong Polytech Univ, Dept Bldg &amp; Real Estate, Hong Kong 99077, Peoples R China; [Yu, Le; Chan, Edwin H. W.] Hong Kong Polytech Univ, Res Inst Sustainable Dev, Hong Kong 99077, Peoples R China</t>
        </is>
      </c>
      <c r="Y1377" t="inlineStr">
        <is>
          <t>Harbin Institute of Technology; Hong Kong Polytechnic University; Hong Kong Polytechnic University</t>
        </is>
      </c>
      <c r="Z1377" t="inlineStr">
        <is>
          <t>Xie, BL (corresponding author), Harbin Inst Technol Shenzhen, Sch Architecture, Shenzhen 518000, Peoples R China.;Chan, EHW (corresponding author), Hong Kong Polytech Univ, Dept Bldg &amp; Real Estate, Hong Kong 99077, Peoples R China.;Chan, EHW (corresponding author), Hong Kong Polytech Univ, Res Inst Sustainable Dev, Hong Kong 99077, Peoples R China.</t>
        </is>
      </c>
      <c r="AA1377" t="inlineStr">
        <is>
          <t>yulewuhan@126.com; xiebingleihit@163.com; edwin.chan@polyu.edu.hk</t>
        </is>
      </c>
      <c r="AB1377" t="inlineStr">
        <is>
          <t>Chan, Edwin Hon Wan/D-9630-2012</t>
        </is>
      </c>
      <c r="AC1377" t="inlineStr">
        <is>
          <t>Chan, Edwin Hon Wan/0000-0003-4841-6956; YU, LE/0000-0001-6207-6172</t>
        </is>
      </c>
      <c r="AD1377" t="inlineStr">
        <is>
          <t>National Natural Science Foundation of China [71473060]</t>
        </is>
      </c>
      <c r="AE1377" t="inlineStr">
        <is>
          <t>National Natural Science Foundation of China(National Natural Science Foundation of China (NSFC))</t>
        </is>
      </c>
      <c r="AF1377" t="inlineStr">
        <is>
          <t>This research was funded by the National Natural Science Foundation of China, grant number 71473060.</t>
        </is>
      </c>
      <c r="AH1377" t="n">
        <v>39</v>
      </c>
      <c r="AI1377" t="n">
        <v>12</v>
      </c>
      <c r="AJ1377" t="n">
        <v>12</v>
      </c>
      <c r="AK1377" t="n">
        <v>6</v>
      </c>
      <c r="AL1377" t="n">
        <v>28</v>
      </c>
      <c r="AM1377" t="inlineStr">
        <is>
          <t>MDPI</t>
        </is>
      </c>
      <c r="AN1377" t="inlineStr">
        <is>
          <t>BASEL</t>
        </is>
      </c>
      <c r="AO1377" t="inlineStr">
        <is>
          <t>ST ALBAN-ANLAGE 66, CH-4052 BASEL, SWITZERLAND</t>
        </is>
      </c>
      <c r="AQ1377" t="inlineStr">
        <is>
          <t>2071-1050</t>
        </is>
      </c>
      <c r="AS1377" t="inlineStr">
        <is>
          <t>SUSTAINABILITY-BASEL</t>
        </is>
      </c>
      <c r="AT1377" t="inlineStr">
        <is>
          <t>Sustainability</t>
        </is>
      </c>
      <c r="AU1377" t="inlineStr">
        <is>
          <t>JAN 1</t>
        </is>
      </c>
      <c r="AV1377" t="n">
        <v>2019</v>
      </c>
      <c r="AW1377" t="n">
        <v>11</v>
      </c>
      <c r="AX1377" t="n">
        <v>1</v>
      </c>
      <c r="BE1377" t="n">
        <v>148</v>
      </c>
      <c r="BF1377" t="inlineStr">
        <is>
          <t>10.3390/su11010148</t>
        </is>
      </c>
      <c r="BG1377">
        <f>HYPERLINK("http://dx.doi.org/10.3390/su11010148","http://dx.doi.org/10.3390/su11010148")</f>
        <v/>
      </c>
      <c r="BJ1377" t="n">
        <v>15</v>
      </c>
      <c r="BK1377" t="inlineStr">
        <is>
          <t>Green &amp; Sustainable Science &amp; Technology; Environmental Sciences; Environmental Studies</t>
        </is>
      </c>
      <c r="BL1377" t="inlineStr">
        <is>
          <t>Science Citation Index Expanded (SCI-EXPANDED); Social Science Citation Index (SSCI)</t>
        </is>
      </c>
      <c r="BM1377" t="inlineStr">
        <is>
          <t>Science &amp; Technology - Other Topics; Environmental Sciences &amp; Ecology</t>
        </is>
      </c>
      <c r="BN1377" t="inlineStr">
        <is>
          <t>HJ4ER</t>
        </is>
      </c>
      <c r="BP1377" t="inlineStr">
        <is>
          <t>Green Published, gold, Green Submitted</t>
        </is>
      </c>
      <c r="BS1377" t="inlineStr">
        <is>
          <t>2023-10-26</t>
        </is>
      </c>
      <c r="BT1377" t="inlineStr">
        <is>
          <t>WOS:000457127300148</t>
        </is>
      </c>
      <c r="BU1377">
        <f>HYPERLINK("https%3A%2F%2Fwww.webofscience.com%2Fwos%2Fwoscc%2Ffull-record%2FWOS:000457127300148","View Full Record in Web of Science")</f>
        <v/>
      </c>
    </row>
    <row r="1378">
      <c r="A1378" t="inlineStr">
        <is>
          <t>J</t>
        </is>
      </c>
      <c r="B1378" t="inlineStr">
        <is>
          <t>Richard, R; Hamilton, KA; Westerhoff, P; Boyer, TH</t>
        </is>
      </c>
      <c r="F1378" t="inlineStr">
        <is>
          <t>Richard, Rain; Hamilton, Kerry A.; Westerhoff, Paul; Boyer, Treavor H.</t>
        </is>
      </c>
      <c r="J1378" t="inlineStr">
        <is>
          <t>ACS ES&amp;T WATER</t>
        </is>
      </c>
      <c r="M1378" t="inlineStr">
        <is>
          <t>English</t>
        </is>
      </c>
      <c r="N1378" t="inlineStr">
        <is>
          <t>Article</t>
        </is>
      </c>
      <c r="T1378" t="inlineStr">
        <is>
          <t>Physical, Chemical, and Microbiological Water Quality Variation between City and Building and within Multistory Building</t>
        </is>
      </c>
      <c r="U1378" t="inlineStr">
        <is>
          <t>building occupancy; cellular adenosine triphosphate (cATP); chlorine; copper; premise plumbing; trihalomethanes</t>
        </is>
      </c>
      <c r="V1378" t="inlineStr">
        <is>
          <t>DRINKING-WATER; NONTUBERCULOUS MYCOBACTERIA; COPPER; CHLORINE; IMPACT; CHLORAMINE; REACTIVITY; CORROSION; RELEASE; DESIGN</t>
        </is>
      </c>
      <c r="W1378" t="inlineStr">
        <is>
          <t>Municipal drinking water entering buildings can experience degraded water quality due to in-building water treatment devices, plumbing design, materials, and occupancy patterns. To understand water quality patterns, we installed online sensors and collected grab samples throughout a multistory university building to quantify temporal and spatial fluctuations in temperature, pH, free chlorine, dissolved copper, trihalomethanes (THMs), cellular adenosine triphosphate (cATP), and organic matter surrogate (UV254). A whole-building water softener had a detrimental impact on water quality, increasing pH, decreasing disinfectant residual, and increasing THMs. Disinfectant residual was always greatest at the building inlet, with little to no measurable free chlorine at sinks and water fountains. Cellular adenosine triphosphate levels were lowest at the building inlet and measured greater at water fountains. Copper levels were &lt;0.2 mg/L entering the building but ranged from 0.5 to 1.5 mg/L within the building. HVAC operations resulted in less variability for in-building water temperature than at the water treatment plant with temperatures averaging 5 degrees C warmer inside the building than at the building inlet. Trihalomethane concentrations were influenced by chlorine residual, pH, and water demand, with consistently higher in-building measurements than at the building inlet. Trihalomethane speciation remained constant throughout the study with chloroform being the greatest contributor to speciation, followed by dichlorobromoform, dibromochloromethane, and finally bromoform.</t>
        </is>
      </c>
      <c r="X1378" t="inlineStr">
        <is>
          <t>[Richard, Rain; Hamilton, Kerry A.; Westerhoff, Paul; Boyer, Treavor H.] Arizona State Univ, Sch Sustainable Engn &amp; Built Environm SSEBE, Tempe, AZ 85287 USA; [Hamilton, Kerry A.] Arizona State Univ, Biodesign Ctr Environm Hlth Engn, Tempe, AZ 85287 USA; [Richard, Rain; Boyer, Treavor H.] Arizona State Univ, Biodesign Swette Ctr Environm Biotechnol, Tempe, AZ 85287 USA</t>
        </is>
      </c>
      <c r="Y1378" t="inlineStr">
        <is>
          <t>Arizona State University; Arizona State University-Tempe; Arizona State University; Arizona State University-Tempe; Arizona State University; Arizona State University-Tempe</t>
        </is>
      </c>
      <c r="Z1378" t="inlineStr">
        <is>
          <t>Richard, R; Boyer, TH (corresponding author), Arizona State Univ, Sch Sustainable Engn &amp; Built Environm SSEBE, Tempe, AZ 85287 USA.;Richard, R; Boyer, TH (corresponding author), Arizona State Univ, Biodesign Swette Ctr Environm Biotechnol, Tempe, AZ 85287 USA.</t>
        </is>
      </c>
      <c r="AA1378" t="inlineStr">
        <is>
          <t>rain.richard@asu.edu; thboyer@asu.edu</t>
        </is>
      </c>
      <c r="AB1378" t="inlineStr">
        <is>
          <t>Westerhoff, Paul/AAF-1850-2019</t>
        </is>
      </c>
      <c r="AC1378" t="inlineStr">
        <is>
          <t>Westerhoff, Paul/0000-0002-9241-8759; Richard, Rain/0000-0002-3739-2998; Hamilton, Kerry/0000-0003-2991-7325</t>
        </is>
      </c>
      <c r="AD1378" t="inlineStr">
        <is>
          <t>Arizona State University; Drexel University; ASU initiative Future H20</t>
        </is>
      </c>
      <c r="AE1378" t="inlineStr">
        <is>
          <t>Arizona State University; Drexel University; ASU initiative Future H20</t>
        </is>
      </c>
      <c r="AF1378" t="inlineStr">
        <is>
          <t>This work could not be done without the help of Daniella Saetta, Carlos Leyva, Rebecca Dietz, and Lucas Crane. We acknowledge Dave Tracey from LuminUltra for the loan of a PhotonMaster luminometer to our project team to conduct ATP analyses. This research was partially supported through a collaboration funded by Arizona State University and Drexel University and the ASU initiative Future H20. This paper was improved by the thoughtful comments of four anonymous reviewers.</t>
        </is>
      </c>
      <c r="AH1378" t="n">
        <v>41</v>
      </c>
      <c r="AI1378" t="n">
        <v>6</v>
      </c>
      <c r="AJ1378" t="n">
        <v>6</v>
      </c>
      <c r="AK1378" t="n">
        <v>0</v>
      </c>
      <c r="AL1378" t="n">
        <v>5</v>
      </c>
      <c r="AM1378" t="inlineStr">
        <is>
          <t>AMER CHEMICAL SOC</t>
        </is>
      </c>
      <c r="AN1378" t="inlineStr">
        <is>
          <t>WASHINGTON</t>
        </is>
      </c>
      <c r="AO1378" t="inlineStr">
        <is>
          <t>1155 16TH ST, NW, WASHINGTON, DC 20036 USA</t>
        </is>
      </c>
      <c r="AQ1378" t="inlineStr">
        <is>
          <t>2690-0637</t>
        </is>
      </c>
      <c r="AS1378" t="inlineStr">
        <is>
          <t>ACS EST WATER</t>
        </is>
      </c>
      <c r="AT1378" t="inlineStr">
        <is>
          <t>ACS ES&amp;T Wat.</t>
        </is>
      </c>
      <c r="AU1378" t="inlineStr">
        <is>
          <t>JUN 11</t>
        </is>
      </c>
      <c r="AV1378" t="n">
        <v>2021</v>
      </c>
      <c r="AW1378" t="n">
        <v>1</v>
      </c>
      <c r="AX1378" t="n">
        <v>6</v>
      </c>
      <c r="BC1378" t="n">
        <v>1369</v>
      </c>
      <c r="BD1378" t="n">
        <v>1379</v>
      </c>
      <c r="BF1378" t="inlineStr">
        <is>
          <t>10.1021/acsestwater.0c00240</t>
        </is>
      </c>
      <c r="BG1378">
        <f>HYPERLINK("http://dx.doi.org/10.1021/acsestwater.0c00240","http://dx.doi.org/10.1021/acsestwater.0c00240")</f>
        <v/>
      </c>
      <c r="BI1378" t="inlineStr">
        <is>
          <t>APR 2021</t>
        </is>
      </c>
      <c r="BJ1378" t="n">
        <v>11</v>
      </c>
      <c r="BK1378" t="inlineStr">
        <is>
          <t>Environmental Sciences; Water Resources</t>
        </is>
      </c>
      <c r="BL1378" t="inlineStr">
        <is>
          <t>Emerging Sources Citation Index (ESCI)</t>
        </is>
      </c>
      <c r="BM1378" t="inlineStr">
        <is>
          <t>Environmental Sciences &amp; Ecology; Water Resources</t>
        </is>
      </c>
      <c r="BN1378" t="inlineStr">
        <is>
          <t>WP4NX</t>
        </is>
      </c>
      <c r="BS1378" t="inlineStr">
        <is>
          <t>2023-10-26</t>
        </is>
      </c>
      <c r="BT1378" t="inlineStr">
        <is>
          <t>WOS:000713111700006</t>
        </is>
      </c>
      <c r="BU1378">
        <f>HYPERLINK("https%3A%2F%2Fwww.webofscience.com%2Fwos%2Fwoscc%2Ffull-record%2FWOS:000713111700006","View Full Record in Web of Science")</f>
        <v/>
      </c>
    </row>
    <row r="1379">
      <c r="A1379" t="inlineStr">
        <is>
          <t>J</t>
        </is>
      </c>
      <c r="B1379" t="inlineStr">
        <is>
          <t>Liu, JJ; Yu, W; Zhou, JY; Yang, YF; Chen, SN; Wu, ST</t>
        </is>
      </c>
      <c r="F1379" t="inlineStr">
        <is>
          <t>Liu, Jianjian; Yu, Wei; Zhou, Jiayi; Yang, Yifan; Chen, Shuoni; Wu, Shaotang</t>
        </is>
      </c>
      <c r="J1379" t="inlineStr">
        <is>
          <t>INTERNATIONAL JOURNAL OF ENVIRONMENTAL RESEARCH AND PUBLIC HEALTH</t>
        </is>
      </c>
      <c r="M1379" t="inlineStr">
        <is>
          <t>English</t>
        </is>
      </c>
      <c r="N1379" t="inlineStr">
        <is>
          <t>Article</t>
        </is>
      </c>
      <c r="T1379" t="inlineStr">
        <is>
          <t>Relationship between the Number of Noncommunicable Diseases and Health-Related Quality of Life in Chinese Older Adults: A Cross-Sectional Survey</t>
        </is>
      </c>
      <c r="U1379" t="inlineStr">
        <is>
          <t>noncommunicable diseases; health-related quality of life; Chinese older adults</t>
        </is>
      </c>
      <c r="V1379" t="inlineStr">
        <is>
          <t>MULTIMORBIDITY; HYPERTENSION</t>
        </is>
      </c>
      <c r="W1379" t="inlineStr">
        <is>
          <t>China has the largest population of older adults, most of whom suffer from one or more noncommunicable diseases (NCDs). The harm of the number of NCDs on the health-related quality of life (HRQOL) of older adults should be taken seriously. A sample of 5166 adults, aged 60 years and older, was included in this study. The Chinese version of the World Health Organization Quality of Life-Old (WHOQOL-OLD) instrument was used to assess the HRQOL. Multiple linear regression models were established to determine the relationship between the number of NCDs and the total score and scores of each dimension of the WHOQOL-OLD scale. After adjusting for confounding factors, suffering from one NCD (B = -0.87, 95% CI = -1.67 to -0.08,p&lt; 0.05), two NCDs (B = -2.89, 95% CI = -3.87 to -1.90,p&lt; 0.001), and three or more NCDs (B = -4.20, 95% CI = -5.36 to -3.05,p&lt; 0.001), all had negative impacts on the HRQOL of older adults. NCDs had significant negative impacts on the HRQOL of older adults, and as the number of NCDs increased, the HRQOL of older adults deteriorated. Therefore, we should pay attention to the prevention and management of NCDs of older adults to prevent the occurrence of multiple NCDs.</t>
        </is>
      </c>
      <c r="X1379" t="inlineStr">
        <is>
          <t>[Liu, Jianjian; Yu, Wei; Zhou, Jiayi; Yang, Yifan; Chen, Shuoni; Wu, Shaotang] Wuhan Univ, Sch Hlth Sci, Wuhan 430071, Peoples R China; [Liu, Jianjian; Wu, Shaotang] Wuhan Univ, Global Hlth Inst, Wuhan 430072, Peoples R China</t>
        </is>
      </c>
      <c r="Y1379" t="inlineStr">
        <is>
          <t>Wuhan University; Wuhan University</t>
        </is>
      </c>
      <c r="Z1379" t="inlineStr">
        <is>
          <t>Wu, ST (corresponding author), Wuhan Univ, Sch Hlth Sci, Wuhan 430071, Peoples R China.;Wu, ST (corresponding author), Wuhan Univ, Global Hlth Inst, Wuhan 430072, Peoples R China.</t>
        </is>
      </c>
      <c r="AA1379" t="inlineStr">
        <is>
          <t>jianjianliu@whu.edu.cn; 2016302170027@whu.edu.cn; 2017302180144@whu.edu.cn; 2017302170040@whu.edu.cn; 2017302170019@whu.edu.cn; tangdream@whu.edu.cn</t>
        </is>
      </c>
      <c r="AB1379" t="inlineStr">
        <is>
          <t>zhou, jiayi/IQW-6977-2023</t>
        </is>
      </c>
      <c r="AD1379" t="inlineStr">
        <is>
          <t>Wuhan University Double First-Class (World's First-Class University &amp;World's First-Class Disciplines) development</t>
        </is>
      </c>
      <c r="AE1379" t="inlineStr">
        <is>
          <t>Wuhan University Double First-Class (World's First-Class University &amp;World's First-Class Disciplines) development</t>
        </is>
      </c>
      <c r="AF1379" t="inlineStr">
        <is>
          <t>This research was funded by Wuhan University Double First-Class (World's First-Class University &amp;World's First-Class Disciplines) development (Special fund #C). No support was received from industry. All researchers acted independently of the funding bodies.</t>
        </is>
      </c>
      <c r="AH1379" t="n">
        <v>44</v>
      </c>
      <c r="AI1379" t="n">
        <v>6</v>
      </c>
      <c r="AJ1379" t="n">
        <v>6</v>
      </c>
      <c r="AK1379" t="n">
        <v>2</v>
      </c>
      <c r="AL1379" t="n">
        <v>24</v>
      </c>
      <c r="AM1379" t="inlineStr">
        <is>
          <t>MDPI</t>
        </is>
      </c>
      <c r="AN1379" t="inlineStr">
        <is>
          <t>BASEL</t>
        </is>
      </c>
      <c r="AO1379" t="inlineStr">
        <is>
          <t>ST ALBAN-ANLAGE 66, CH-4052 BASEL, SWITZERLAND</t>
        </is>
      </c>
      <c r="AQ1379" t="inlineStr">
        <is>
          <t>1660-4601</t>
        </is>
      </c>
      <c r="AS1379" t="inlineStr">
        <is>
          <t>INT J ENV RES PUB HE</t>
        </is>
      </c>
      <c r="AT1379" t="inlineStr">
        <is>
          <t>Int. J. Environ. Res. Public Health</t>
        </is>
      </c>
      <c r="AU1379" t="inlineStr">
        <is>
          <t>JUL</t>
        </is>
      </c>
      <c r="AV1379" t="n">
        <v>2020</v>
      </c>
      <c r="AW1379" t="n">
        <v>17</v>
      </c>
      <c r="AX1379" t="n">
        <v>14</v>
      </c>
      <c r="BE1379" t="n">
        <v>5150</v>
      </c>
      <c r="BF1379" t="inlineStr">
        <is>
          <t>10.3390/ijerph17145150</t>
        </is>
      </c>
      <c r="BG1379">
        <f>HYPERLINK("http://dx.doi.org/10.3390/ijerph17145150","http://dx.doi.org/10.3390/ijerph17145150")</f>
        <v/>
      </c>
      <c r="BJ1379" t="n">
        <v>11</v>
      </c>
      <c r="BK1379" t="inlineStr">
        <is>
          <t>Environmental Sciences; Public, Environmental &amp; Occupational Health</t>
        </is>
      </c>
      <c r="BL1379" t="inlineStr">
        <is>
          <t>Science Citation Index Expanded (SCI-EXPANDED); Social Science Citation Index (SSCI)</t>
        </is>
      </c>
      <c r="BM1379" t="inlineStr">
        <is>
          <t>Environmental Sciences &amp; Ecology; Public, Environmental &amp; Occupational Health</t>
        </is>
      </c>
      <c r="BN1379" t="inlineStr">
        <is>
          <t>MT2VR</t>
        </is>
      </c>
      <c r="BO1379" t="n">
        <v>32708844</v>
      </c>
      <c r="BP1379" t="inlineStr">
        <is>
          <t>Green Published, gold</t>
        </is>
      </c>
      <c r="BS1379" t="inlineStr">
        <is>
          <t>2023-10-26</t>
        </is>
      </c>
      <c r="BT1379" t="inlineStr">
        <is>
          <t>WOS:000554826400001</t>
        </is>
      </c>
      <c r="BU1379">
        <f>HYPERLINK("https%3A%2F%2Fwww.webofscience.com%2Fwos%2Fwoscc%2Ffull-record%2FWOS:000554826400001","View Full Record in Web of Science")</f>
        <v/>
      </c>
    </row>
    <row r="1380">
      <c r="A1380" t="inlineStr">
        <is>
          <t>J</t>
        </is>
      </c>
      <c r="B1380" t="inlineStr">
        <is>
          <t>Al-Rashidi, MS; Al-Awadi, L; Khan, AR</t>
        </is>
      </c>
      <c r="F1380" t="inlineStr">
        <is>
          <t>Al-Rashidi, M. S.; Al-Awadi, L.; Khan, A. R.</t>
        </is>
      </c>
      <c r="J1380" t="inlineStr">
        <is>
          <t>INTERNATIONAL JOURNAL OF ENVIRONMENTAL SCIENCE AND TECHNOLOGY</t>
        </is>
      </c>
      <c r="M1380" t="inlineStr">
        <is>
          <t>English</t>
        </is>
      </c>
      <c r="N1380" t="inlineStr">
        <is>
          <t>Article; Proceedings Paper</t>
        </is>
      </c>
      <c r="O1380" t="inlineStr">
        <is>
          <t>Workshop on Indoor Air Quality in Hot Arid Climate (IAQHAC)</t>
        </is>
      </c>
      <c r="P1380" t="inlineStr">
        <is>
          <t>APR 03-04, 2017</t>
        </is>
      </c>
      <c r="Q1380" t="inlineStr">
        <is>
          <t>Kuwait City, KUWAIT</t>
        </is>
      </c>
      <c r="T1380" t="inlineStr">
        <is>
          <t>Suitability of an official building at an old salt and chlorine industrial site</t>
        </is>
      </c>
      <c r="U1380" t="inlineStr">
        <is>
          <t>Indoor air quality; Mercury; Volatile organic compounds; Site rehabilitation</t>
        </is>
      </c>
      <c r="V1380" t="inlineStr">
        <is>
          <t>INDOOR AIR</t>
        </is>
      </c>
      <c r="W1380" t="inlineStr">
        <is>
          <t>Industrial sites have an inherited problem of contamination to air, water, and soil and have to be restored with extra care to eliminate all types of pollution associated with its operations and decommissioning. This work describes the rehabilitation effects of an old industrial site of a salt-chlorine plant situated at the prominent location on the Kuwait Bay. The site has reminiscence history for the uses of a considerable number of mercury cells for the electrolysis of brine to produce caustic soda and chlorine gas, resulting into mercury and other chemical spills in the coastal marine waters and silt sediments in the neighbouring areas. The present study is to assess indoor and outdoor air quality and the suitability of the official building constructed on this industrial abandoned site in the most attractive coastal location. Indoor and outdoor air quality is of significant concern with past historical contamination and hazardous pollutants from the industrial site and surrounding emissions. Overall results show that the new building has an adequate air quality for most of the monitored pollutants, and the mercury concentrations in ambient and indoor air were found to be very low, showing proper land reclamation and eliminating reminisce of the history associated with the industrial site. However, the indoor oxygenated organic compound was found to be 2-4 times that of outdoor concentrations, due to excessive use of solvents, paint, thinner, glue, and varnishes during the refurbishment of the building.</t>
        </is>
      </c>
      <c r="X1380" t="inlineStr">
        <is>
          <t>[Al-Rashidi, M. S.] KISR, ELSRC, Crisis Decis Support Program CDS, POB 24885, Safat 13109, Shuwaikh, Kuwait; [Al-Awadi, L.; Khan, A. R.] KISR, ELSRC, EPCP, POB 24885, Safat 13109, Shuwaikh, Kuwait</t>
        </is>
      </c>
      <c r="Y1380" t="inlineStr">
        <is>
          <t>Kuwait Institute for Scientific Research; Kuwait Institute for Scientific Research</t>
        </is>
      </c>
      <c r="Z1380" t="inlineStr">
        <is>
          <t>Al-Rashidi, MS (corresponding author), KISR, ELSRC, Crisis Decis Support Program CDS, POB 24885, Safat 13109, Shuwaikh, Kuwait.</t>
        </is>
      </c>
      <c r="AA1380" t="inlineStr">
        <is>
          <t>mrashidi@kisr.edu.kw</t>
        </is>
      </c>
      <c r="AC1380" t="inlineStr">
        <is>
          <t>Al-Rashidi, Mufreh S/0000-0001-6032-6553</t>
        </is>
      </c>
      <c r="AD1380" t="inlineStr">
        <is>
          <t>Kuwait Petroleum Corporation (KPC) [EC042C]; Kuwait Institute for scientific research (KISR)</t>
        </is>
      </c>
      <c r="AE1380" t="inlineStr">
        <is>
          <t>Kuwait Petroleum Corporation (KPC); Kuwait Institute for scientific research (KISR)</t>
        </is>
      </c>
      <c r="AF1380" t="inlineStr">
        <is>
          <t>The authors are gratefully acknowledged Kuwait Petroleum Corporation (KPC) for the financial support in completing the research study of indoor air quality and environmental assessment for the New Corporate Oil Sector Complex (NCOSC) Building (EC042C). The continuous support and cooperation of Ms. Asma Qallaf the Manager of Health Safety Environment and Corporate Risk Management, and Mr. Abdulraheem Al-Rashidi, Environment Manager are highly acknowledged. The authors would like to acknowledge with thanks the support and encouragement of Dr. Samira A. S. Omar, the Director General of Kuwait Institute for scientific research (KISR) in completing this study.</t>
        </is>
      </c>
      <c r="AH1380" t="n">
        <v>15</v>
      </c>
      <c r="AI1380" t="n">
        <v>2</v>
      </c>
      <c r="AJ1380" t="n">
        <v>2</v>
      </c>
      <c r="AK1380" t="n">
        <v>2</v>
      </c>
      <c r="AL1380" t="n">
        <v>17</v>
      </c>
      <c r="AM1380" t="inlineStr">
        <is>
          <t>SPRINGER</t>
        </is>
      </c>
      <c r="AN1380" t="inlineStr">
        <is>
          <t>NEW YORK</t>
        </is>
      </c>
      <c r="AO1380" t="inlineStr">
        <is>
          <t>233 SPRING ST, NEW YORK, NY 10013 USA</t>
        </is>
      </c>
      <c r="AP1380" t="inlineStr">
        <is>
          <t>1735-1472</t>
        </is>
      </c>
      <c r="AQ1380" t="inlineStr">
        <is>
          <t>1735-2630</t>
        </is>
      </c>
      <c r="AS1380" t="inlineStr">
        <is>
          <t>INT J ENVIRON SCI TE</t>
        </is>
      </c>
      <c r="AT1380" t="inlineStr">
        <is>
          <t>Int. J. Environ. Sci. Technol.</t>
        </is>
      </c>
      <c r="AU1380" t="inlineStr">
        <is>
          <t>JUN</t>
        </is>
      </c>
      <c r="AV1380" t="n">
        <v>2019</v>
      </c>
      <c r="AW1380" t="n">
        <v>16</v>
      </c>
      <c r="AX1380" t="n">
        <v>6</v>
      </c>
      <c r="BA1380" t="inlineStr">
        <is>
          <t>SI</t>
        </is>
      </c>
      <c r="BC1380" t="n">
        <v>2755</v>
      </c>
      <c r="BD1380" t="n">
        <v>2764</v>
      </c>
      <c r="BF1380" t="inlineStr">
        <is>
          <t>10.1007/s13762-018-1833-5</t>
        </is>
      </c>
      <c r="BG1380">
        <f>HYPERLINK("http://dx.doi.org/10.1007/s13762-018-1833-5","http://dx.doi.org/10.1007/s13762-018-1833-5")</f>
        <v/>
      </c>
      <c r="BJ1380" t="n">
        <v>10</v>
      </c>
      <c r="BK1380" t="inlineStr">
        <is>
          <t>Environmental Sciences</t>
        </is>
      </c>
      <c r="BL1380" t="inlineStr">
        <is>
          <t>Science Citation Index Expanded (SCI-EXPANDED); Conference Proceedings Citation Index - Science (CPCI-S)</t>
        </is>
      </c>
      <c r="BM1380" t="inlineStr">
        <is>
          <t>Environmental Sciences &amp; Ecology</t>
        </is>
      </c>
      <c r="BN1380" t="inlineStr">
        <is>
          <t>HY5LO</t>
        </is>
      </c>
      <c r="BP1380" t="inlineStr">
        <is>
          <t>Bronze</t>
        </is>
      </c>
      <c r="BS1380" t="inlineStr">
        <is>
          <t>2023-10-26</t>
        </is>
      </c>
      <c r="BT1380" t="inlineStr">
        <is>
          <t>WOS:000468169700021</t>
        </is>
      </c>
      <c r="BU1380">
        <f>HYPERLINK("https%3A%2F%2Fwww.webofscience.com%2Fwos%2Fwoscc%2Ffull-record%2FWOS:000468169700021","View Full Record in Web of Science")</f>
        <v/>
      </c>
    </row>
    <row r="1381">
      <c r="A1381" t="inlineStr">
        <is>
          <t>J</t>
        </is>
      </c>
      <c r="B1381" t="inlineStr">
        <is>
          <t>Li, KL; Wen, M; Henry, KA</t>
        </is>
      </c>
      <c r="F1381" t="inlineStr">
        <is>
          <t>Li, Kelin; Wen, Ming; Henry, Kevin A.</t>
        </is>
      </c>
      <c r="J1381" t="inlineStr">
        <is>
          <t>INTERNATIONAL JOURNAL OF ENVIRONMENTAL RESEARCH AND PUBLIC HEALTH</t>
        </is>
      </c>
      <c r="M1381" t="inlineStr">
        <is>
          <t>English</t>
        </is>
      </c>
      <c r="N1381" t="inlineStr">
        <is>
          <t>Article</t>
        </is>
      </c>
      <c r="T1381" t="inlineStr">
        <is>
          <t>Residential Racial Composition and Black-White Obesity Risks: Differential Effects of Neighborhood Social and Built Environment</t>
        </is>
      </c>
      <c r="U1381" t="inlineStr">
        <is>
          <t>obesity; neighborhood; racial segregation; social cohesion; built environment</t>
        </is>
      </c>
      <c r="V1381" t="inlineStr">
        <is>
          <t>BODY-MASS INDEX; MULTILEVEL ANALYSIS; UNITED-STATES; SEGREGATION; DISPARITIES; RACE; PREVALENCE; IMPACT; DISADVANTAGE; ASSOCIATION</t>
        </is>
      </c>
      <c r="W1381" t="inlineStr">
        <is>
          <t>This study investigates the association between neighborhood racial composition and adult obesity risks by race and gender, and explores whether neighborhood social and built environment mediates the observed protective or detrimental effects of racial composition on obesity risks. Cross-sectional data from the 2006 and 2008 Southeastern Pennsylvania Household Health Survey are merged with census-tract profiles from 2005-2009 American Community Survey and Geographic Information System-based built-environment data. The analytical sample includes 12,730 whites and 4,290 blacks residing in 953 census tracts. Results from multilevel analysis suggest that black concentration is associated with higher obesity risks only for white women, and this association is mediated by lower neighborhood social cohesion and socioeconomic status (SES) in black-concentrated neighborhoods. After controlling for neighborhood SES, black concentration and street connectivity are associated with lower obesity risks for white men. No association between black concentration and obesity is found for blacks. The findings point to the intersections of race and gender in neighborhood effects on obesity risks, and highlight the importance of various aspects of neighborhood social and built environment and their complex roles in obesity prevention by socio-demographic groups.</t>
        </is>
      </c>
      <c r="X1381" t="inlineStr">
        <is>
          <t>[Li, Kelin; Wen, Ming] Univ Utah, Dept Sociol, Salt Lake City, UT 84112 USA; [Henry, Kevin A.] Rutgers Sch Publ Hlth, Dept Epidemiol, Piscataway, NJ 08854 USA; [Henry, Kevin A.] Rutgers Canc Inst New Jersey, Canc Prevent &amp; Control Program, New Brunswick, NJ 08903 USA</t>
        </is>
      </c>
      <c r="Y1381" t="inlineStr">
        <is>
          <t>Utah System of Higher Education; University of Utah; Rutgers State University New Brunswick; Rutgers State University Medical Center; Rutgers Cancer Institute of New Jersey</t>
        </is>
      </c>
      <c r="Z1381" t="inlineStr">
        <is>
          <t>Li, KL (corresponding author), Univ Utah, Dept Sociol, Salt Lake City, UT 84112 USA.</t>
        </is>
      </c>
      <c r="AA1381" t="inlineStr">
        <is>
          <t>kelin.li@soc.utah.edu; ming.wen@soc.utah.edu; henryk1@sph.rutgers.edu</t>
        </is>
      </c>
      <c r="AB1381" t="inlineStr">
        <is>
          <t>Li, Kelin/I-3554-2013</t>
        </is>
      </c>
      <c r="AC1381" t="inlineStr">
        <is>
          <t>Li, Kelin/0000-0002-2234-0159</t>
        </is>
      </c>
      <c r="AD1381" t="inlineStr">
        <is>
          <t>National Institute of General Medical Sciences of the National Institutes of Health [R01CA140319-01A1]</t>
        </is>
      </c>
      <c r="AE1381" t="inlineStr">
        <is>
          <t>National Institute of General Medical Sciences of the National Institutes of Health(United States Department of Health &amp; Human ServicesNational Institutes of Health (NIH) - USANIH National Institute of General Medical Sciences (NIGMS))</t>
        </is>
      </c>
      <c r="AF1381" t="inlineStr">
        <is>
          <t>This research was supported by the National Institute of General Medical Sciences of the National Institutes of Health under award number R01CA140319-01A1 (PI: Wen). The authors thank Xingyou Zhang and Fahui Wang for their data support. Kevin Henry was previously an adjunct professor in the Department of Geography at Temple University.</t>
        </is>
      </c>
      <c r="AH1381" t="n">
        <v>44</v>
      </c>
      <c r="AI1381" t="n">
        <v>24</v>
      </c>
      <c r="AJ1381" t="n">
        <v>25</v>
      </c>
      <c r="AK1381" t="n">
        <v>0</v>
      </c>
      <c r="AL1381" t="n">
        <v>28</v>
      </c>
      <c r="AM1381" t="inlineStr">
        <is>
          <t>MDPI</t>
        </is>
      </c>
      <c r="AN1381" t="inlineStr">
        <is>
          <t>BASEL</t>
        </is>
      </c>
      <c r="AO1381" t="inlineStr">
        <is>
          <t>ST ALBAN-ANLAGE 66, CH-4052 BASEL, SWITZERLAND</t>
        </is>
      </c>
      <c r="AP1381" t="inlineStr">
        <is>
          <t>1660-4601</t>
        </is>
      </c>
      <c r="AS1381" t="inlineStr">
        <is>
          <t>INT J ENV RES PUB HE</t>
        </is>
      </c>
      <c r="AT1381" t="inlineStr">
        <is>
          <t>Int. J. Environ. Res. Public Health</t>
        </is>
      </c>
      <c r="AU1381" t="inlineStr">
        <is>
          <t>JAN</t>
        </is>
      </c>
      <c r="AV1381" t="n">
        <v>2014</v>
      </c>
      <c r="AW1381" t="n">
        <v>11</v>
      </c>
      <c r="AX1381" t="n">
        <v>1</v>
      </c>
      <c r="BC1381" t="n">
        <v>626</v>
      </c>
      <c r="BD1381" t="n">
        <v>642</v>
      </c>
      <c r="BF1381" t="inlineStr">
        <is>
          <t>10.3390/ijerph110100626</t>
        </is>
      </c>
      <c r="BG1381">
        <f>HYPERLINK("http://dx.doi.org/10.3390/ijerph110100626","http://dx.doi.org/10.3390/ijerph110100626")</f>
        <v/>
      </c>
      <c r="BJ1381" t="n">
        <v>17</v>
      </c>
      <c r="BK1381" t="inlineStr">
        <is>
          <t>Environmental Sciences; Public, Environmental &amp; Occupational Health</t>
        </is>
      </c>
      <c r="BL1381" t="inlineStr">
        <is>
          <t>Science Citation Index Expanded (SCI-EXPANDED); Social Science Citation Index (SSCI)</t>
        </is>
      </c>
      <c r="BM1381" t="inlineStr">
        <is>
          <t>Environmental Sciences &amp; Ecology; Public, Environmental &amp; Occupational Health</t>
        </is>
      </c>
      <c r="BN1381" t="inlineStr">
        <is>
          <t>AB0BI</t>
        </is>
      </c>
      <c r="BO1381" t="n">
        <v>24452257</v>
      </c>
      <c r="BP1381" t="inlineStr">
        <is>
          <t>Green Published, gold, Green Submitted</t>
        </is>
      </c>
      <c r="BS1381" t="inlineStr">
        <is>
          <t>2023-10-26</t>
        </is>
      </c>
      <c r="BT1381" t="inlineStr">
        <is>
          <t>WOS:000331456400032</t>
        </is>
      </c>
      <c r="BU1381">
        <f>HYPERLINK("https%3A%2F%2Fwww.webofscience.com%2Fwos%2Fwoscc%2Ffull-record%2FWOS:000331456400032","View Full Record in Web of Science")</f>
        <v/>
      </c>
    </row>
    <row r="1382">
      <c r="A1382" t="inlineStr">
        <is>
          <t>J</t>
        </is>
      </c>
      <c r="B1382" t="inlineStr">
        <is>
          <t>Adeel, A; Notteboom, B; Yasar, A; Scheerlinck, K; Stevens, J</t>
        </is>
      </c>
      <c r="F1382" t="inlineStr">
        <is>
          <t>Adeel, Ahmad; Notteboom, Bruno; Yasar, Ansar; Scheerlinck, Kris; Stevens, Jeroen</t>
        </is>
      </c>
      <c r="J1382" t="inlineStr">
        <is>
          <t>SUSTAINABILITY</t>
        </is>
      </c>
      <c r="M1382" t="inlineStr">
        <is>
          <t>English</t>
        </is>
      </c>
      <c r="N1382" t="inlineStr">
        <is>
          <t>Article</t>
        </is>
      </c>
      <c r="T1382" t="inlineStr">
        <is>
          <t>Sustainable Streetscape and Built Environment Designs around BRT Stations: A Stated Choice Experiment Using 3D Visualizations</t>
        </is>
      </c>
      <c r="U1382" t="inlineStr">
        <is>
          <t>built environment; sustainable streetscapes; healthy urban design; walkable neighborhoods; sustainable transit-oriented development</t>
        </is>
      </c>
      <c r="V1382" t="inlineStr">
        <is>
          <t>TRANSIT-ORIENTED DEVELOPMENT; METRO STATIONS; URBAN DESIGN; WALKING ENVIRONMENTS; VIRTUAL-REALITY; PERCEPTIONS; CITY; WALKABILITY; RELIABILITY; FEATURES</t>
        </is>
      </c>
      <c r="W1382" t="inlineStr">
        <is>
          <t>The incompatibility between the microscale-built environment designs around mass transit stations and stakeholders' preferences causes dissatisfaction and inconvenience. The lack of a pedestrian-friendly environment, uncontrolled development patterns, traffic and parking issues make the street life vulnerable and unattractive for users, and affect the mass transit usage. How to design the streetscapes around mass transit stations to provide a user-friendly street environment is a crucial question to achieve sustainable transit-oriented development goals. To recognize the specific attributes of streetscape environment relevant in local context of BRT Lahore, this paper presents the results of a visual preference experiment in which nine attributes of built environment were systematically varied across choice sets. Multinomial logit models were set up to identify the preferences of three target groups: BRT users, commercial building users and residents at different locations. The research indicates that not only the road-related factors (bike lane and sidewalk widths, crossings facilities, street greenery) have a significant influence on people's preference but also that building heights, and the typology of buildings and housing projects around BRT corridor have shaped these preferences. When planning and designing urban design projects around mass transit projects, these significant attributes should be considered.</t>
        </is>
      </c>
      <c r="X1382" t="inlineStr">
        <is>
          <t>[Adeel, Ahmad; Notteboom, Bruno; Scheerlinck, Kris; Stevens, Jeroen] Katholieke Univ Leuven, Dept Architecture, B-3001 Leuven, Belgium; [Adeel, Ahmad; Yasar, Ansar] Univ Hasselt, Inst Mobiliteit, B-3590 Diepenbeek, Belgium</t>
        </is>
      </c>
      <c r="Y1382" t="inlineStr">
        <is>
          <t>KU Leuven; Hasselt University</t>
        </is>
      </c>
      <c r="Z1382" t="inlineStr">
        <is>
          <t>Adeel, A (corresponding author), Katholieke Univ Leuven, Dept Architecture, B-3001 Leuven, Belgium.;Adeel, A (corresponding author), Univ Hasselt, Inst Mobiliteit, B-3590 Diepenbeek, Belgium.</t>
        </is>
      </c>
      <c r="AA1382" t="inlineStr">
        <is>
          <t>ahmad.adeel@kuleuven.be; bruno.notteboom@kuleuven.be; ansar.yasar@uhasselt.be; Kris.scheerlinck@kuleuven.be; Jeroen.stevens@kuleuven.be</t>
        </is>
      </c>
      <c r="AB1382" t="inlineStr">
        <is>
          <t>Stevens, Jeroen/B-5271-2014</t>
        </is>
      </c>
      <c r="AC1382" t="inlineStr">
        <is>
          <t>Stevens, Jeroen/0000-0003-0451-1724; Adeel, Dr. Ahmad/0000-0002-4147-1509; Notteboom, Bruno/0000-0001-7765-7180; Scheerlinck, Kris/0000-0002-2645-3695</t>
        </is>
      </c>
      <c r="AD1382" t="inlineStr">
        <is>
          <t>HIGHER EDUCATION COMMISSION, Pakistan [ISLNEW-2299-031937]; KU LEUVEN, BELGIUM</t>
        </is>
      </c>
      <c r="AE1382" t="inlineStr">
        <is>
          <t>HIGHER EDUCATION COMMISSION, Pakistan(Higher Education Commission of Pakistan); KU LEUVEN, BELGIUM(KU Leuven)</t>
        </is>
      </c>
      <c r="AF1382" t="inlineStr">
        <is>
          <t>This research was funded by HIGHER EDUCATION COMMISSION, Pakistan, grant number ISLNEW-2299-031937 and The APC was funded by KU LEUVEN, BELGIUM.</t>
        </is>
      </c>
      <c r="AH1382" t="n">
        <v>73</v>
      </c>
      <c r="AI1382" t="n">
        <v>2</v>
      </c>
      <c r="AJ1382" t="n">
        <v>2</v>
      </c>
      <c r="AK1382" t="n">
        <v>6</v>
      </c>
      <c r="AL1382" t="n">
        <v>40</v>
      </c>
      <c r="AM1382" t="inlineStr">
        <is>
          <t>MDPI</t>
        </is>
      </c>
      <c r="AN1382" t="inlineStr">
        <is>
          <t>BASEL</t>
        </is>
      </c>
      <c r="AO1382" t="inlineStr">
        <is>
          <t>ST ALBAN-ANLAGE 66, CH-4052 BASEL, SWITZERLAND</t>
        </is>
      </c>
      <c r="AQ1382" t="inlineStr">
        <is>
          <t>2071-1050</t>
        </is>
      </c>
      <c r="AS1382" t="inlineStr">
        <is>
          <t>SUSTAINABILITY-BASEL</t>
        </is>
      </c>
      <c r="AT1382" t="inlineStr">
        <is>
          <t>Sustainability</t>
        </is>
      </c>
      <c r="AU1382" t="inlineStr">
        <is>
          <t>JUN</t>
        </is>
      </c>
      <c r="AV1382" t="n">
        <v>2021</v>
      </c>
      <c r="AW1382" t="n">
        <v>13</v>
      </c>
      <c r="AX1382" t="n">
        <v>12</v>
      </c>
      <c r="BE1382" t="n">
        <v>6594</v>
      </c>
      <c r="BF1382" t="inlineStr">
        <is>
          <t>10.3390/su13126594</t>
        </is>
      </c>
      <c r="BG1382">
        <f>HYPERLINK("http://dx.doi.org/10.3390/su13126594","http://dx.doi.org/10.3390/su13126594")</f>
        <v/>
      </c>
      <c r="BJ1382" t="n">
        <v>21</v>
      </c>
      <c r="BK1382" t="inlineStr">
        <is>
          <t>Green &amp; Sustainable Science &amp; Technology; Environmental Sciences; Environmental Studies</t>
        </is>
      </c>
      <c r="BL1382" t="inlineStr">
        <is>
          <t>Science Citation Index Expanded (SCI-EXPANDED); Social Science Citation Index (SSCI)</t>
        </is>
      </c>
      <c r="BM1382" t="inlineStr">
        <is>
          <t>Science &amp; Technology - Other Topics; Environmental Sciences &amp; Ecology</t>
        </is>
      </c>
      <c r="BN1382" t="inlineStr">
        <is>
          <t>SZ1RH</t>
        </is>
      </c>
      <c r="BP1382" t="inlineStr">
        <is>
          <t>gold, Green Accepted, Green Submitted</t>
        </is>
      </c>
      <c r="BS1382" t="inlineStr">
        <is>
          <t>2023-10-26</t>
        </is>
      </c>
      <c r="BT1382" t="inlineStr">
        <is>
          <t>WOS:000666350900001</t>
        </is>
      </c>
      <c r="BU1382">
        <f>HYPERLINK("https%3A%2F%2Fwww.webofscience.com%2Fwos%2Fwoscc%2Ffull-record%2FWOS:000666350900001","View Full Record in Web of Science")</f>
        <v/>
      </c>
    </row>
    <row r="1383">
      <c r="A1383" t="inlineStr">
        <is>
          <t>J</t>
        </is>
      </c>
      <c r="B1383" t="inlineStr">
        <is>
          <t>García-Mozo, H; López-Orozco, R; Canalejo, C; Oteros, J</t>
        </is>
      </c>
      <c r="F1383" t="inlineStr">
        <is>
          <t>Garcia-Mozo, Herminia; Lopez-Orozco, Rocio; Canalejo, Carolina; Oteros, Jose</t>
        </is>
      </c>
      <c r="J1383" t="inlineStr">
        <is>
          <t>AEROBIOLOGIA</t>
        </is>
      </c>
      <c r="M1383" t="inlineStr">
        <is>
          <t>English</t>
        </is>
      </c>
      <c r="N1383" t="inlineStr">
        <is>
          <t>Article</t>
        </is>
      </c>
      <c r="T1383" t="inlineStr">
        <is>
          <t>Indoor biological particles in a train: comparative analysis with outdoor atmosphere</t>
        </is>
      </c>
      <c r="U1383" t="inlineStr">
        <is>
          <t>Indoor; Indoor pollen; Indoor spores; Air quality; Public transport</t>
        </is>
      </c>
      <c r="V1383" t="inlineStr">
        <is>
          <t>FUNGAL SPORES; POLLEN CONCENTRATIONS; AIRBORNE FUNGI; URBAN; ALLERGENS; PROFILES; CORDOBA; CONIDIA; SEASON; SPAIN</t>
        </is>
      </c>
      <c r="W1383" t="inlineStr">
        <is>
          <t>Biological pollution directly affects our health and quality of life. In urban areas, people spend most time in indoor environments including means of transports where can be exposed to pollution sick building syndrome. Despite the importance of this issue, studies on the biological particles exposure in indoor transports are scarce and poorly documented. This study characterizes by using volumetric Hirst traps of the indoor pollen and fungal spore content of the indoor air of a daily crowed train connecting Cordoba city (South Spain) with the university campus. Results were compared with outdoor concentrations sampled at the same time. Twenty-three pollen types were identified indoor and 20 outdoor. Quercus, Olea, Platanus, Morus and Cupressus were the most abundant. Thirteen fungal spore types were identified by both indoor and outdoor samplings. Our results pointed out Cladosporium cladosporoides, Cladosporium herbarum, Coprinus, Alternaria and Torula as the most abundant ones. Outdoor levels of both particles were higher; nevertheless, occasionally indoor concentrations overcame indoor ones, overall pollen records at days after rainfall periods. Even pollen season of some taxa (i.e. Platanus, Urticaceae) extended inside lasting more days than outside. Results indicate as the closed transport can act as biological pollution reservoir which could have consequences on the incidence of passengers' health.</t>
        </is>
      </c>
      <c r="X1383" t="inlineStr">
        <is>
          <t>[Garcia-Mozo, Herminia; Lopez-Orozco, Rocio; Canalejo, Carolina; Oteros, Jose] Univ Cordoba, Dept Bot Ecol &amp; Plant Physiol, Cordoba 14071, Spain</t>
        </is>
      </c>
      <c r="Y1383" t="inlineStr">
        <is>
          <t>Universidad de Cordoba</t>
        </is>
      </c>
      <c r="Z1383" t="inlineStr">
        <is>
          <t>García-Mozo, H (corresponding author), Univ Cordoba, Dept Bot Ecol &amp; Plant Physiol, Cordoba 14071, Spain.</t>
        </is>
      </c>
      <c r="AA1383" t="inlineStr">
        <is>
          <t>bv2gamoh@uco.es</t>
        </is>
      </c>
      <c r="AB1383" t="inlineStr">
        <is>
          <t>López-Orozco, Rocío/AAD-6031-2021; Oteros, Jose/AAN-5515-2020; GARCIA MOZO, HERMINIA/G-3461-2017</t>
        </is>
      </c>
      <c r="AC1383" t="inlineStr">
        <is>
          <t>López-Orozco, Rocío/0000-0002-6862-5301; Oteros, Jose/0000-0002-9369-8633; GARCIA MOZO, HERMINIA/0000-0002-8422-2844</t>
        </is>
      </c>
      <c r="AD1383" t="inlineStr">
        <is>
          <t>University of Cordoba [1260464]; Council of Economy and Knowledge of the Andalusia Region Government trough the European Regional Development Funds (ERDF)</t>
        </is>
      </c>
      <c r="AE1383" t="inlineStr">
        <is>
          <t>University of Cordoba; Council of Economy and Knowledge of the Andalusia Region Government trough the European Regional Development Funds (ERDF)</t>
        </is>
      </c>
      <c r="AF1383" t="inlineStr">
        <is>
          <t>The authors thank gratefully the Project CLIMAQUER (Reference 1260464) granted by the University of Cordoba and supported by the Council of Economy and Knowledge of the Andalusia Region Government trough the European Regional Development Funds (ERDF) providing a PhD bursary and support for complete and redacting the present work.</t>
        </is>
      </c>
      <c r="AH1383" t="n">
        <v>49</v>
      </c>
      <c r="AI1383" t="n">
        <v>2</v>
      </c>
      <c r="AJ1383" t="n">
        <v>2</v>
      </c>
      <c r="AK1383" t="n">
        <v>0</v>
      </c>
      <c r="AL1383" t="n">
        <v>6</v>
      </c>
      <c r="AM1383" t="inlineStr">
        <is>
          <t>SPRINGER</t>
        </is>
      </c>
      <c r="AN1383" t="inlineStr">
        <is>
          <t>DORDRECHT</t>
        </is>
      </c>
      <c r="AO1383" t="inlineStr">
        <is>
          <t>VAN GODEWIJCKSTRAAT 30, 3311 GZ DORDRECHT, NETHERLANDS</t>
        </is>
      </c>
      <c r="AP1383" t="inlineStr">
        <is>
          <t>0393-5965</t>
        </is>
      </c>
      <c r="AQ1383" t="inlineStr">
        <is>
          <t>1573-3025</t>
        </is>
      </c>
      <c r="AS1383" t="inlineStr">
        <is>
          <t>AEROBIOLOGIA</t>
        </is>
      </c>
      <c r="AT1383" t="inlineStr">
        <is>
          <t>Aerobiologia</t>
        </is>
      </c>
      <c r="AU1383" t="inlineStr">
        <is>
          <t>SEP</t>
        </is>
      </c>
      <c r="AV1383" t="n">
        <v>2020</v>
      </c>
      <c r="AW1383" t="n">
        <v>36</v>
      </c>
      <c r="AX1383" t="n">
        <v>3</v>
      </c>
      <c r="BC1383" t="n">
        <v>481</v>
      </c>
      <c r="BD1383" t="n">
        <v>492</v>
      </c>
      <c r="BF1383" t="inlineStr">
        <is>
          <t>10.1007/s10453-020-09646-8</t>
        </is>
      </c>
      <c r="BG1383">
        <f>HYPERLINK("http://dx.doi.org/10.1007/s10453-020-09646-8","http://dx.doi.org/10.1007/s10453-020-09646-8")</f>
        <v/>
      </c>
      <c r="BI1383" t="inlineStr">
        <is>
          <t>JUN 2020</t>
        </is>
      </c>
      <c r="BJ1383" t="n">
        <v>12</v>
      </c>
      <c r="BK1383" t="inlineStr">
        <is>
          <t>Biology; Environmental Sciences</t>
        </is>
      </c>
      <c r="BL1383" t="inlineStr">
        <is>
          <t>Science Citation Index Expanded (SCI-EXPANDED)</t>
        </is>
      </c>
      <c r="BM1383" t="inlineStr">
        <is>
          <t>Life Sciences &amp; Biomedicine - Other Topics; Environmental Sciences &amp; Ecology</t>
        </is>
      </c>
      <c r="BN1383" t="inlineStr">
        <is>
          <t>NI8YK</t>
        </is>
      </c>
      <c r="BS1383" t="inlineStr">
        <is>
          <t>2023-10-26</t>
        </is>
      </c>
      <c r="BT1383" t="inlineStr">
        <is>
          <t>WOS:000539200600001</t>
        </is>
      </c>
      <c r="BU1383">
        <f>HYPERLINK("https%3A%2F%2Fwww.webofscience.com%2Fwos%2Fwoscc%2Ffull-record%2FWOS:000539200600001","View Full Record in Web of Science")</f>
        <v/>
      </c>
    </row>
    <row r="1384">
      <c r="A1384" t="inlineStr">
        <is>
          <t>J</t>
        </is>
      </c>
      <c r="B1384" t="inlineStr">
        <is>
          <t>Abdul-Wahab, SA; En, SCF; Elkamel, A; Ahmadi, L; Yetilmezsoy, K</t>
        </is>
      </c>
      <c r="F1384" t="inlineStr">
        <is>
          <t>Abdul-Wahab, Sabah Ahmed; En, Stephen Chin Fah; Elkamel, Ali; Ahmadi, Lena; Yetilmezsoy, Kaan</t>
        </is>
      </c>
      <c r="J1384" t="inlineStr">
        <is>
          <t>ATMOSPHERIC POLLUTION RESEARCH</t>
        </is>
      </c>
      <c r="M1384" t="inlineStr">
        <is>
          <t>English</t>
        </is>
      </c>
      <c r="N1384" t="inlineStr">
        <is>
          <t>Article</t>
        </is>
      </c>
      <c r="T1384" t="inlineStr">
        <is>
          <t>A review of standards and guidelines set by international bodies for the parameters of indoor air quality</t>
        </is>
      </c>
      <c r="U1384" t="inlineStr">
        <is>
          <t>Indoor air quality; standards; guidelines; pollutants; sick building syndrome</t>
        </is>
      </c>
      <c r="V1384" t="inlineStr">
        <is>
          <t>HONG-KONG; HEALTH</t>
        </is>
      </c>
      <c r="W1384" t="inlineStr">
        <is>
          <t>Standards and guidelines as defined by various international agencies are employed by the researchers to evaluate an acceptable quality of air in indoor as well as outdoor environments. The main objective of this paper is to establish a comprehensive review of Indoor Air Quality (IAQ) guidelines and other standard values that are implemented currently. For this purpose, the present study summarizes the main standards and guidelines related to key indoor air pollutants and levels of thermal comfort developed by different agencies around the world. These agencies and organizations include the American Society of Heating, Refrigerating and Air-Conditioning Engineers (ASHRAE), the Hong Kong Environmental Protection Department (HKEPD), the World Health Organization (WHO), and the National Health and Medical Research Council (NHMRC) of Australia. Common indoor air pollutants that are found to frequently affect indoor populations are, carbon dioxide (CO2), nitrogen dioxide (NO2), formaldehyde (HCHO), carbon monoxide (CO), sulfur dioxide (SO2), and particulate matter in sizes &lt;2.5 and 10 mu m (PM2.5 and PM10, respectively). Other factors that affect IAQ are the moisture content of the air (i.e., relative humidity), the temperature of the indoor air, and the air speed or movement. Sick building syndrome (SBS) describes the various interactions between these major pollutants and factors of IAQ that cause adverse health effects on humans. In addition, this paper reviews various stipulated guidelines that are implemented by the relevant regulatory institutions and agencies to prevent SBS.</t>
        </is>
      </c>
      <c r="X1384" t="inlineStr">
        <is>
          <t>[Abdul-Wahab, Sabah Ahmed] Sultan Qaboos Univ, Dept Mech &amp; Ind Engn, Muscat, Oman; [Abdul-Wahab, Sabah Ahmed; En, Stephen Chin Fah; Elkamel, Ali; Ahmadi, Lena] Univ Waterloo, Dept Chem Engn, Waterloo, ON N2L 3G1, Canada; [Yetilmezsoy, Kaan] Yildiz Tekn Univ, Dept Environm Engn, Fac Civil Engn, TR-34220 Istanbul, Turkey</t>
        </is>
      </c>
      <c r="Y1384" t="inlineStr">
        <is>
          <t>Sultan Qaboos University; University of Waterloo; Yildiz Technical University</t>
        </is>
      </c>
      <c r="Z1384" t="inlineStr">
        <is>
          <t>Abdul-Wahab, SA (corresponding author), Sultan Qaboos Univ, Dept Mech &amp; Ind Engn, POB 33,PC 123, Muscat, Oman.</t>
        </is>
      </c>
      <c r="AA1384" t="inlineStr">
        <is>
          <t>s2alsula@uwaterloo.ca</t>
        </is>
      </c>
      <c r="AB1384" t="inlineStr">
        <is>
          <t>Abdul-Wahab, Sabah/AAD-8070-2019; Yetilmezsoy, Kaan/Z-1680-2019; elkamel, ali/ABC-2963-2020; /U-5447-2017</t>
        </is>
      </c>
      <c r="AC1384" t="inlineStr">
        <is>
          <t>/0000-0002-6220-6288</t>
        </is>
      </c>
      <c r="AD1384" t="inlineStr">
        <is>
          <t>Sultan Qaboos University [IG/ENG/MIED/11/04]</t>
        </is>
      </c>
      <c r="AE1384" t="inlineStr">
        <is>
          <t>Sultan Qaboos University</t>
        </is>
      </c>
      <c r="AF1384" t="inlineStr">
        <is>
          <t>The funding provided by Sultan Qaboos University Project Number (IG/ENG/MIED/11/04) is gratefully acknowledged. There is no conflict of interest declared by the authors.</t>
        </is>
      </c>
      <c r="AH1384" t="n">
        <v>65</v>
      </c>
      <c r="AI1384" t="n">
        <v>121</v>
      </c>
      <c r="AJ1384" t="n">
        <v>123</v>
      </c>
      <c r="AK1384" t="n">
        <v>5</v>
      </c>
      <c r="AL1384" t="n">
        <v>99</v>
      </c>
      <c r="AM1384" t="inlineStr">
        <is>
          <t>TURKISH NATL COMMITTEE AIR POLLUTION RES &amp; CONTROL-TUNCAP</t>
        </is>
      </c>
      <c r="AN1384" t="inlineStr">
        <is>
          <t>BUCA</t>
        </is>
      </c>
      <c r="AO1384" t="inlineStr">
        <is>
          <t>DOKUZ EYLUL UNIV, DEPT ENVIRONMENTAL ENGINEERING, TINAZTEPE CAMPUS, BUCA, IZMIR 35160, TURKEY</t>
        </is>
      </c>
      <c r="AP1384" t="inlineStr">
        <is>
          <t>1309-1042</t>
        </is>
      </c>
      <c r="AS1384" t="inlineStr">
        <is>
          <t>ATMOS POLLUT RES</t>
        </is>
      </c>
      <c r="AT1384" t="inlineStr">
        <is>
          <t>Atmos. Pollut. Res.</t>
        </is>
      </c>
      <c r="AU1384" t="inlineStr">
        <is>
          <t>SEP</t>
        </is>
      </c>
      <c r="AV1384" t="n">
        <v>2015</v>
      </c>
      <c r="AW1384" t="n">
        <v>6</v>
      </c>
      <c r="AX1384" t="n">
        <v>5</v>
      </c>
      <c r="BC1384" t="n">
        <v>751</v>
      </c>
      <c r="BD1384" t="n">
        <v>767</v>
      </c>
      <c r="BF1384" t="inlineStr">
        <is>
          <t>10.5094/APR.2015.084</t>
        </is>
      </c>
      <c r="BG1384">
        <f>HYPERLINK("http://dx.doi.org/10.5094/APR.2015.084","http://dx.doi.org/10.5094/APR.2015.084")</f>
        <v/>
      </c>
      <c r="BJ1384" t="n">
        <v>17</v>
      </c>
      <c r="BK1384" t="inlineStr">
        <is>
          <t>Environmental Sciences</t>
        </is>
      </c>
      <c r="BL1384" t="inlineStr">
        <is>
          <t>Science Citation Index Expanded (SCI-EXPANDED)</t>
        </is>
      </c>
      <c r="BM1384" t="inlineStr">
        <is>
          <t>Environmental Sciences &amp; Ecology</t>
        </is>
      </c>
      <c r="BN1384" t="inlineStr">
        <is>
          <t>CX9RE</t>
        </is>
      </c>
      <c r="BS1384" t="inlineStr">
        <is>
          <t>2023-10-26</t>
        </is>
      </c>
      <c r="BT1384" t="inlineStr">
        <is>
          <t>WOS:000366042200004</t>
        </is>
      </c>
      <c r="BU1384">
        <f>HYPERLINK("https%3A%2F%2Fwww.webofscience.com%2Fwos%2Fwoscc%2Ffull-record%2FWOS:000366042200004","View Full Record in Web of Science")</f>
        <v/>
      </c>
    </row>
    <row r="1385">
      <c r="A1385" t="inlineStr">
        <is>
          <t>J</t>
        </is>
      </c>
      <c r="B1385" t="inlineStr">
        <is>
          <t>Wagdi, D; Tarabieh, K; Abou Zeid, MN</t>
        </is>
      </c>
      <c r="F1385" t="inlineStr">
        <is>
          <t>Wagdi, Dalia; Tarabieh, Khaled; Abou Zeid, Mohamed Nagib</t>
        </is>
      </c>
      <c r="J1385" t="inlineStr">
        <is>
          <t>AIR QUALITY ATMOSPHERE AND HEALTH</t>
        </is>
      </c>
      <c r="M1385" t="inlineStr">
        <is>
          <t>English</t>
        </is>
      </c>
      <c r="N1385" t="inlineStr">
        <is>
          <t>Article</t>
        </is>
      </c>
      <c r="T1385" t="inlineStr">
        <is>
          <t>Indoor air quality index for preoccupancy assessment</t>
        </is>
      </c>
      <c r="U1385" t="inlineStr">
        <is>
          <t>Indoor; Air pollution; IAQ; VOC; PM; Residential</t>
        </is>
      </c>
      <c r="V1385" t="inlineStr">
        <is>
          <t>VOLATILE ORGANIC-COMPOUNDS; RADON CONCENTRATION; PARTICULATE MATTER; BUILDING-MATERIALS; RESIDENTIAL AREAS; OFFICE BUILDINGS; ALEXANDRIA CITY; FORMALDEHYDE; EGYPT; POLLUTANTS</t>
        </is>
      </c>
      <c r="W1385" t="inlineStr">
        <is>
          <t>The purpose of this study is to document the potential impacts on indoor air quality associated with different types of building materials (wall and floor finishes) through the development of an Indoor Air Quality index. The study first identifies pollutant sources and their corresponding health impacts due to short-term and long-term exposures. The study also quantifies levels of certain pollutants within a steady-state controlled environment, comparing the results of this study with previous studies conducted in different regions. It also proposes an IAQ index as an assessment tool which can be utilized preoccupancy. The field studies were conducted in residential buildings during January and February in Cairo to monitor volatile organic compounds (VOCs), formaldehyde (HCHO), ammonia (NH3), radon gas, and particulate matter (PM). The indoor air was monitored in nine locations: four during the construction process and five following completion of construction. For this investigation, three rooms under construction within a Cairene building site were utilized to test the finishing materials. Chemical analysis and direct reading devices were used for air sampling and monitoring. The results revealed that the concentration of some pollutants decreased within the first year of construction, while others remained above target limits. The results of this study offer recommendations for engineers regarding the selection of appropriate materials through the implementation of source control strategies and an IAQ index which can be used as an assessment tool to ensure that the Indoor Air Quality meets recommended standards. Based on the conclusions and limitations of this study, recommendations for future work are documented such as the screening of materials and monitoring of Indoor Air Quality.</t>
        </is>
      </c>
      <c r="X1385" t="inlineStr">
        <is>
          <t>[Wagdi, Dalia] AESG, Dubai, U Arab Emirates; [Tarabieh, Khaled] Amer Univ Cairo, Dept Architecture, Cairo, Egypt; [Abou Zeid, Mohamed Nagib] Amer Univ Cairo, Cairo, Egypt</t>
        </is>
      </c>
      <c r="Y1385" t="inlineStr">
        <is>
          <t>Egyptian Knowledge Bank (EKB); American University Cairo; Egyptian Knowledge Bank (EKB); American University Cairo</t>
        </is>
      </c>
      <c r="Z1385" t="inlineStr">
        <is>
          <t>Wagdi, D (corresponding author), AESG, Dubai, U Arab Emirates.</t>
        </is>
      </c>
      <c r="AA1385" t="inlineStr">
        <is>
          <t>daliamohamed@aucegypt.edu</t>
        </is>
      </c>
      <c r="AB1385" t="inlineStr">
        <is>
          <t>Tarabieh, Khaled Aly/A-3864-2017</t>
        </is>
      </c>
      <c r="AC1385" t="inlineStr">
        <is>
          <t>Tarabieh, Khaled Aly/0000-0002-6873-2609</t>
        </is>
      </c>
      <c r="AH1385" t="n">
        <v>30</v>
      </c>
      <c r="AI1385" t="n">
        <v>9</v>
      </c>
      <c r="AJ1385" t="n">
        <v>9</v>
      </c>
      <c r="AK1385" t="n">
        <v>3</v>
      </c>
      <c r="AL1385" t="n">
        <v>46</v>
      </c>
      <c r="AM1385" t="inlineStr">
        <is>
          <t>SPRINGER INTERNATIONAL PUBLISHING AG</t>
        </is>
      </c>
      <c r="AN1385" t="inlineStr">
        <is>
          <t>CHAM</t>
        </is>
      </c>
      <c r="AO1385" t="inlineStr">
        <is>
          <t>GEWERBESTRASSE 11, CHAM, CH-6330, SWITZERLAND</t>
        </is>
      </c>
      <c r="AP1385" t="inlineStr">
        <is>
          <t>1873-9318</t>
        </is>
      </c>
      <c r="AQ1385" t="inlineStr">
        <is>
          <t>1873-9326</t>
        </is>
      </c>
      <c r="AS1385" t="inlineStr">
        <is>
          <t>AIR QUAL ATMOS HLTH</t>
        </is>
      </c>
      <c r="AT1385" t="inlineStr">
        <is>
          <t>Air Qual. Atmos. Health</t>
        </is>
      </c>
      <c r="AU1385" t="inlineStr">
        <is>
          <t>MAY</t>
        </is>
      </c>
      <c r="AV1385" t="n">
        <v>2018</v>
      </c>
      <c r="AW1385" t="n">
        <v>11</v>
      </c>
      <c r="AX1385" t="n">
        <v>4</v>
      </c>
      <c r="BC1385" t="n">
        <v>445</v>
      </c>
      <c r="BD1385" t="n">
        <v>458</v>
      </c>
      <c r="BF1385" t="inlineStr">
        <is>
          <t>10.1007/s11869-018-0551-y</t>
        </is>
      </c>
      <c r="BG1385">
        <f>HYPERLINK("http://dx.doi.org/10.1007/s11869-018-0551-y","http://dx.doi.org/10.1007/s11869-018-0551-y")</f>
        <v/>
      </c>
      <c r="BJ1385" t="n">
        <v>14</v>
      </c>
      <c r="BK1385" t="inlineStr">
        <is>
          <t>Environmental Sciences</t>
        </is>
      </c>
      <c r="BL1385" t="inlineStr">
        <is>
          <t>Science Citation Index Expanded (SCI-EXPANDED)</t>
        </is>
      </c>
      <c r="BM1385" t="inlineStr">
        <is>
          <t>Environmental Sciences &amp; Ecology</t>
        </is>
      </c>
      <c r="BN1385" t="inlineStr">
        <is>
          <t>GG0FL</t>
        </is>
      </c>
      <c r="BS1385" t="inlineStr">
        <is>
          <t>2023-10-26</t>
        </is>
      </c>
      <c r="BT1385" t="inlineStr">
        <is>
          <t>WOS:000432353800008</t>
        </is>
      </c>
      <c r="BU1385">
        <f>HYPERLINK("https%3A%2F%2Fwww.webofscience.com%2Fwos%2Fwoscc%2Ffull-record%2FWOS:000432353800008","View Full Record in Web of Science")</f>
        <v/>
      </c>
    </row>
    <row r="1386">
      <c r="A1386" t="inlineStr">
        <is>
          <t>J</t>
        </is>
      </c>
      <c r="B1386" t="inlineStr">
        <is>
          <t>Mocktar, FA; Razab, MKAA; Noor, AM</t>
        </is>
      </c>
      <c r="F1386" t="inlineStr">
        <is>
          <t>Mocktar, Farah Aini; Razab, Mohammad Khairul Azhar Abdul; Noor, An'amt Mohamed</t>
        </is>
      </c>
      <c r="J1386" t="inlineStr">
        <is>
          <t>RADIATION PROTECTION DOSIMETRY</t>
        </is>
      </c>
      <c r="M1386" t="inlineStr">
        <is>
          <t>English</t>
        </is>
      </c>
      <c r="N1386" t="inlineStr">
        <is>
          <t>Article</t>
        </is>
      </c>
      <c r="T1386" t="inlineStr">
        <is>
          <t>INCORPORATING KENAF AND OIL PALM NANOCELLULOSE IN BUILDING MATERIALS FOR INDOOR RADON GAS EMANATION REDUCTION</t>
        </is>
      </c>
      <c r="V1386" t="inlineStr">
        <is>
          <t>COMPOSITES; FIBER</t>
        </is>
      </c>
      <c r="W1386" t="inlineStr">
        <is>
          <t>This study aims to reduce radon gas emanations in the indoor environment by incorporating kenaf and oil palm nanocellulose that act as nano-fillers into building materials. Fabrication of composite brick was carried out according to the MS and ASTM standards. In this research, 40, 80, 120, 160 and 200 ml of nanocellulose were used to replace the usage of sand, stone and cement materials, respectively. Kenaf and oil palm nanocellulose were utilised to reduce the internal and surface porosity as well as to replace the radon resources (stone), which indirectly reduced radon gas emanation. Radon gas emanated from each composite brick was measured within 10 consecutive days in an airtight prototype Perspex room using Radon Monitor Sentinel 1030. A compression test was also carried out to investigate the physical strength of the fabricated composite bricks. The results showed that 40 ml of kenaf and oil palm nanocellulose was the optimum amount in reducing the radon concentration, where the radon readings were 1.4 and 0.93 pCi per l, respectively. Meanwhile, the brick with no nanocellulose exhibited the highest radon reading of 3.77 pCi per l. Moreover, the Young modulus for the composite brick of both kenaf and oil palm nanocellulose was 28.92 and 27.8 N per mm(2) compared to the control brick, which was 27 N per mm(2). The results proved that radon gas emanations were reduced by 62.86% for kenaf and 75.3% for oil palm by incorporating the organic nanocellulose, which has high potential towards a healthy indoor environment.</t>
        </is>
      </c>
      <c r="X1386" t="inlineStr">
        <is>
          <t>[Mocktar, Farah Aini; Razab, Mohammad Khairul Azhar Abdul] Univ Sains Malaysia, Sch Hlth Sci, Med Radiat Programme, Kubang Kerian 16150, Kelantan, Malaysia; [Noor, An'amt Mohamed] Univ Malaysia Kelantan, Fac Bioengn &amp; Technol, Adv Mat Res Cluster, Jeli 17600, Kelantan, Malaysia</t>
        </is>
      </c>
      <c r="Y1386" t="inlineStr">
        <is>
          <t>Universiti Sains Malaysia; Universiti Malaysia Kelantan</t>
        </is>
      </c>
      <c r="Z1386" t="inlineStr">
        <is>
          <t>Razab, MKAA (corresponding author), Univ Sains Malaysia, Sch Hlth Sci, Med Radiat Programme, Kubang Kerian 16150, Kelantan, Malaysia.</t>
        </is>
      </c>
      <c r="AA1386" t="inlineStr">
        <is>
          <t>khairul.azhar@usm.my</t>
        </is>
      </c>
      <c r="AB1386" t="inlineStr">
        <is>
          <t>Noor, An'amt Mohamed/AAE-8752-2021; Razab, Mohammad Khairul Azhar Abdul/C-5328-2015</t>
        </is>
      </c>
      <c r="AC1386" t="inlineStr">
        <is>
          <t>Noor, An'amt Mohamed/0000-0003-1918-5765; Razab, Mohammad Khairul Azhar Abdul/0000-0001-5788-8176</t>
        </is>
      </c>
      <c r="AD1386" t="inlineStr">
        <is>
          <t>Universiti Sains Malaysia [304/PPSK/6315174]</t>
        </is>
      </c>
      <c r="AE1386" t="inlineStr">
        <is>
          <t>Universiti Sains Malaysia(Universiti Sains Malaysia)</t>
        </is>
      </c>
      <c r="AF1386" t="inlineStr">
        <is>
          <t>This research was supported under the Short-Term Research Grant (grant number 304/PPSK/6315174) awarded by the Universiti Sains Malaysia.</t>
        </is>
      </c>
      <c r="AH1386" t="n">
        <v>24</v>
      </c>
      <c r="AI1386" t="n">
        <v>4</v>
      </c>
      <c r="AJ1386" t="n">
        <v>4</v>
      </c>
      <c r="AK1386" t="n">
        <v>0</v>
      </c>
      <c r="AL1386" t="n">
        <v>3</v>
      </c>
      <c r="AM1386" t="inlineStr">
        <is>
          <t>OXFORD UNIV PRESS</t>
        </is>
      </c>
      <c r="AN1386" t="inlineStr">
        <is>
          <t>OXFORD</t>
        </is>
      </c>
      <c r="AO1386" t="inlineStr">
        <is>
          <t>GREAT CLARENDON ST, OXFORD OX2 6DP, ENGLAND</t>
        </is>
      </c>
      <c r="AP1386" t="inlineStr">
        <is>
          <t>0144-8420</t>
        </is>
      </c>
      <c r="AQ1386" t="inlineStr">
        <is>
          <t>1742-3406</t>
        </is>
      </c>
      <c r="AS1386" t="inlineStr">
        <is>
          <t>RADIAT PROT DOSIM</t>
        </is>
      </c>
      <c r="AT1386" t="inlineStr">
        <is>
          <t>Radiat. Prot. Dosim.</t>
        </is>
      </c>
      <c r="AU1386" t="inlineStr">
        <is>
          <t>MAR</t>
        </is>
      </c>
      <c r="AV1386" t="n">
        <v>2020</v>
      </c>
      <c r="AW1386" t="n">
        <v>189</v>
      </c>
      <c r="AX1386" t="n">
        <v>1</v>
      </c>
      <c r="BC1386" t="n">
        <v>69</v>
      </c>
      <c r="BD1386" t="n">
        <v>75</v>
      </c>
      <c r="BF1386" t="inlineStr">
        <is>
          <t>10.1093/rpd/ncaa014</t>
        </is>
      </c>
      <c r="BG1386">
        <f>HYPERLINK("http://dx.doi.org/10.1093/rpd/ncaa014","http://dx.doi.org/10.1093/rpd/ncaa014")</f>
        <v/>
      </c>
      <c r="BJ1386" t="n">
        <v>7</v>
      </c>
      <c r="BK1386" t="inlineStr">
        <is>
          <t>Environmental Sciences; Public, Environmental &amp; Occupational Health; Nuclear Science &amp; Technology; Radiology, Nuclear Medicine &amp; Medical Imaging</t>
        </is>
      </c>
      <c r="BL1386" t="inlineStr">
        <is>
          <t>Science Citation Index Expanded (SCI-EXPANDED)</t>
        </is>
      </c>
      <c r="BM1386" t="inlineStr">
        <is>
          <t>Environmental Sciences &amp; Ecology; Public, Environmental &amp; Occupational Health; Nuclear Science &amp; Technology; Radiology, Nuclear Medicine &amp; Medical Imaging</t>
        </is>
      </c>
      <c r="BN1386" t="inlineStr">
        <is>
          <t>OD2GR</t>
        </is>
      </c>
      <c r="BO1386" t="n">
        <v>32090244</v>
      </c>
      <c r="BS1386" t="inlineStr">
        <is>
          <t>2023-10-26</t>
        </is>
      </c>
      <c r="BT1386" t="inlineStr">
        <is>
          <t>WOS:000579672200008</t>
        </is>
      </c>
      <c r="BU1386">
        <f>HYPERLINK("https%3A%2F%2Fwww.webofscience.com%2Fwos%2Fwoscc%2Ffull-record%2FWOS:000579672200008","View Full Record in Web of Science")</f>
        <v/>
      </c>
    </row>
    <row r="1387">
      <c r="A1387" t="inlineStr">
        <is>
          <t>J</t>
        </is>
      </c>
      <c r="B1387" t="inlineStr">
        <is>
          <t>Pereira, EL; Madacussengua, O; Baptista, P; Feliciano, M</t>
        </is>
      </c>
      <c r="F1387" t="inlineStr">
        <is>
          <t>Pereira, Ermelinda L.; Madacussengua, Obete; Baptista, Paula; Feliciano, Manuel</t>
        </is>
      </c>
      <c r="J1387" t="inlineStr">
        <is>
          <t>AEROBIOLOGIA</t>
        </is>
      </c>
      <c r="M1387" t="inlineStr">
        <is>
          <t>English</t>
        </is>
      </c>
      <c r="N1387" t="inlineStr">
        <is>
          <t>Article</t>
        </is>
      </c>
      <c r="T1387" t="inlineStr">
        <is>
          <t>Assessment of indoor air quality in geriatric environments of southwestern Europe</t>
        </is>
      </c>
      <c r="U1387" t="inlineStr">
        <is>
          <t>Nursing home; IAQ; Biocontaminant; Indoor; outdoor ratio; Carbon oxides; Shannon– Wiener index</t>
        </is>
      </c>
      <c r="V1387" t="inlineStr">
        <is>
          <t>RESPIRATORY HEALTH; MICROBIAL QUALITY; AIRBORNE BACTERIA; FUNGAL DIVERSITY; THERMAL COMFORT; NURSING-HOME; BUILDINGS; EXPOSURE; BIOAEROSOLS; HUMIDITY</t>
        </is>
      </c>
      <c r="W1387" t="inlineStr">
        <is>
          <t>The objective of this study was to evaluate physical-chemical and microbial indicators of indoor air quality in three nursing houses (NHs) located in rural areas of the northeast of Portugal. The parameters were measured during two campaigns (winter and summer), twice a day, and in four distinct spaces for spatial variability assessment: dining room, living room, double bedroom and outdoor of the NHs. Physical-chemical indicators were assessed by using a Graywolf IQ 610 probe. Airborne microbial levels were evaluated by direct impaction to the culture media, and subsequently, the microorganisms were identified molecularly. Mean concentrations of physical-chemical (with the exception of total volatile organic compounds, TVOCs) and microbial indicators did not exceed the legal limits. Overall, in all NHs, the indoor-to-outdoor (I/O) concentration ratios of chemical and biological pollutants were &lt;= 1 in the summer, while in the winter were &gt; 1. Bacillus, Micrococcus and Staphylococcus were the dominant bacterial genera, and Aspergillus, Cladosporium and Penicillium were the dominant fungal genera. The diversity of species was higher in summer. The main results suggest that a good air quality prevails in all studied spaces, although conditions less desirable have been identified in winter, indicating the need to deepen the study of air quality in these places, since these are occupied by elderly people who are more susceptible to infections.</t>
        </is>
      </c>
      <c r="X1387" t="inlineStr">
        <is>
          <t>[Pereira, Ermelinda L.; Madacussengua, Obete; Baptista, Paula; Feliciano, Manuel] Inst Politecn Braganca, Ctr Invest Montanha CIMO, Campus Santa Apolonia, P-5300253 Braganca, Portugal</t>
        </is>
      </c>
      <c r="Y1387" t="inlineStr">
        <is>
          <t>Instituto Politecnico de Braganca</t>
        </is>
      </c>
      <c r="Z1387" t="inlineStr">
        <is>
          <t>Pereira, EL (corresponding author), Inst Politecn Braganca, Ctr Invest Montanha CIMO, Campus Santa Apolonia, P-5300253 Braganca, Portugal.</t>
        </is>
      </c>
      <c r="AA1387" t="inlineStr">
        <is>
          <t>epereira@ipb.pt; omadacussengua@yahoo.com.br; pbaptista@ipb.pt; msabenca@ipb.pt</t>
        </is>
      </c>
      <c r="AB1387" t="inlineStr">
        <is>
          <t>Baptista, Paula/AAO-4888-2020; Feliciano, Manuel/AAV-1247-2020</t>
        </is>
      </c>
      <c r="AC1387" t="inlineStr">
        <is>
          <t>Feliciano, Manuel/0000-0002-3147-4511; Lopes Pereira, Ermelinda/0000-0002-9431-5059</t>
        </is>
      </c>
      <c r="AD1387" t="inlineStr">
        <is>
          <t>Foundation for Science and Technology (FCT, Portugal) by national funds FCT/MCTES [UIDB/00690/2020]</t>
        </is>
      </c>
      <c r="AE1387" t="inlineStr">
        <is>
          <t>Foundation for Science and Technology (FCT, Portugal) by national funds FCT/MCTES(Fundacao para a Ciencia e a Tecnologia (FCT))</t>
        </is>
      </c>
      <c r="AF1387" t="inlineStr">
        <is>
          <t>The authors are grateful to the Foundation for Science and Technology (FCT, Portugal) for financial support by national funds FCT/MCTES to CIMO [UIDB/00690/2020]. The authors would also like to acknowledge Leonardo Furst for the support provided in the elaboration of some figures, as well as all the members of each nursing home team for his unconditional support throughout the study.</t>
        </is>
      </c>
      <c r="AH1387" t="n">
        <v>55</v>
      </c>
      <c r="AI1387" t="n">
        <v>10</v>
      </c>
      <c r="AJ1387" t="n">
        <v>10</v>
      </c>
      <c r="AK1387" t="n">
        <v>3</v>
      </c>
      <c r="AL1387" t="n">
        <v>29</v>
      </c>
      <c r="AM1387" t="inlineStr">
        <is>
          <t>SPRINGER</t>
        </is>
      </c>
      <c r="AN1387" t="inlineStr">
        <is>
          <t>DORDRECHT</t>
        </is>
      </c>
      <c r="AO1387" t="inlineStr">
        <is>
          <t>VAN GODEWIJCKSTRAAT 30, 3311 GZ DORDRECHT, NETHERLANDS</t>
        </is>
      </c>
      <c r="AP1387" t="inlineStr">
        <is>
          <t>0393-5965</t>
        </is>
      </c>
      <c r="AQ1387" t="inlineStr">
        <is>
          <t>1573-3025</t>
        </is>
      </c>
      <c r="AS1387" t="inlineStr">
        <is>
          <t>AEROBIOLOGIA</t>
        </is>
      </c>
      <c r="AT1387" t="inlineStr">
        <is>
          <t>Aerobiologia</t>
        </is>
      </c>
      <c r="AU1387" t="inlineStr">
        <is>
          <t>MAR</t>
        </is>
      </c>
      <c r="AV1387" t="n">
        <v>2021</v>
      </c>
      <c r="AW1387" t="n">
        <v>37</v>
      </c>
      <c r="AX1387" t="n">
        <v>1</v>
      </c>
      <c r="BC1387" t="n">
        <v>139</v>
      </c>
      <c r="BD1387" t="n">
        <v>153</v>
      </c>
      <c r="BF1387" t="inlineStr">
        <is>
          <t>10.1007/s10453-020-09681-5</t>
        </is>
      </c>
      <c r="BG1387">
        <f>HYPERLINK("http://dx.doi.org/10.1007/s10453-020-09681-5","http://dx.doi.org/10.1007/s10453-020-09681-5")</f>
        <v/>
      </c>
      <c r="BI1387" t="inlineStr">
        <is>
          <t>JAN 2021</t>
        </is>
      </c>
      <c r="BJ1387" t="n">
        <v>15</v>
      </c>
      <c r="BK1387" t="inlineStr">
        <is>
          <t>Biology; Environmental Sciences</t>
        </is>
      </c>
      <c r="BL1387" t="inlineStr">
        <is>
          <t>Science Citation Index Expanded (SCI-EXPANDED)</t>
        </is>
      </c>
      <c r="BM1387" t="inlineStr">
        <is>
          <t>Life Sciences &amp; Biomedicine - Other Topics; Environmental Sciences &amp; Ecology</t>
        </is>
      </c>
      <c r="BN1387" t="inlineStr">
        <is>
          <t>QL3QZ</t>
        </is>
      </c>
      <c r="BP1387" t="inlineStr">
        <is>
          <t>Green Published</t>
        </is>
      </c>
      <c r="BS1387" t="inlineStr">
        <is>
          <t>2023-10-26</t>
        </is>
      </c>
      <c r="BT1387" t="inlineStr">
        <is>
          <t>WOS:000604093100001</t>
        </is>
      </c>
      <c r="BU1387">
        <f>HYPERLINK("https%3A%2F%2Fwww.webofscience.com%2Fwos%2Fwoscc%2Ffull-record%2FWOS:000604093100001","View Full Record in Web of Science")</f>
        <v/>
      </c>
    </row>
    <row r="1388">
      <c r="A1388" t="inlineStr">
        <is>
          <t>J</t>
        </is>
      </c>
      <c r="B1388" t="inlineStr">
        <is>
          <t>Wu, JW; Leong, SM; Che, SL; Van, IK; Chuang, YC</t>
        </is>
      </c>
      <c r="F1388" t="inlineStr">
        <is>
          <t>Wu, Jianwei; Leong, Sok-Man; Che, Sok-Leng; Van, Iat-Kio; Chuang, Yao-Chen</t>
        </is>
      </c>
      <c r="J1388" t="inlineStr">
        <is>
          <t>INTERNATIONAL JOURNAL OF ENVIRONMENTAL RESEARCH AND PUBLIC HEALTH</t>
        </is>
      </c>
      <c r="M1388" t="inlineStr">
        <is>
          <t>English</t>
        </is>
      </c>
      <c r="N1388" t="inlineStr">
        <is>
          <t>Article</t>
        </is>
      </c>
      <c r="T1388" t="inlineStr">
        <is>
          <t>Comparisons of Dementia Knowledge and Attitudes among the Youth and Older Adults: Insights from the Construal Level Theory Perspective</t>
        </is>
      </c>
      <c r="U1388" t="inlineStr">
        <is>
          <t>dementia; knowledge; attitudes; youth; older adults; Construal Level Theory</t>
        </is>
      </c>
      <c r="V1388" t="inlineStr">
        <is>
          <t>PSYCHOLOGICAL DISTANCE; ALZHEIMERS-DISEASE; CLIMATE-CHANGE; POPULATION; RISK; CARE; AGE</t>
        </is>
      </c>
      <c r="W1388" t="inlineStr">
        <is>
          <t>Based on Construal Level Theory (CLT), the youth and older adults have different psychological distances towards dementia that may lead to different dementia knowledge and attitudes. A cross-sectional survey among 239 youth and 62 older adults using a two-step sampling approach in Macao aimed to examine the hypothesis. Results showed older adults had a higher score of dementia knowledge (F-(1,F-299) = 45.692, p &lt;0.001) but a lower score of dementia attitudes (F-(1,F-299) = 161.887, p &lt;0.001) compared to the youth. Age group explained the majority of the variances in the hierarchical multiple regressions for dementia knowledge (R-2 = 0.178, F = 9.059, p &lt; 0.001) and for dementia attitudes (R-2 = 0.399, F = 24.233, p &lt; 0.001), which are beta = 0.47 and -0.56, respectively. Thus, the hypothesis was supported and revealed an interesting pattern of dementia knowledge and attitudes among the youth and older adults. From the CLT perspective, the study implies that reducing and bridging the psychological distance of dementia would probably be an effective strategy to increase dementia awareness among young people, and intergenerational programs may be a good option to increase community acceptance and support for people with dementia.</t>
        </is>
      </c>
      <c r="X1388" t="inlineStr">
        <is>
          <t>[Wu, Jianwei; Che, Sok-Leng; Van, Iat-Kio; Chuang, Yao-Chen] Kiang Wu Nursing Coll Macau, Nursing &amp; Hlth Educ Res Ctr, Macau 999078, Peoples R China; [Leong, Sok-Man] Kiang Wu Nursing Coll Macau, Res Management &amp; Dev Dept, Macau 999078, Peoples R China</t>
        </is>
      </c>
      <c r="Y1388" t="inlineStr">
        <is>
          <t>Kiang Wu Nursing College of Macau; Kiang Wu Nursing College of Macau</t>
        </is>
      </c>
      <c r="Z1388" t="inlineStr">
        <is>
          <t>Chuang, YC (corresponding author), Kiang Wu Nursing Coll Macau, Nursing &amp; Hlth Educ Res Ctr, Macau 999078, Peoples R China.</t>
        </is>
      </c>
      <c r="AA1388" t="inlineStr">
        <is>
          <t>davidwu@kwnc.edu.mo; lsm@kwnc.edu.mo; shirley@kwnc.edu.mo; van@kwnc.edu.mo; jasonchuang@kwnc.edu.mo</t>
        </is>
      </c>
      <c r="AB1388" t="inlineStr">
        <is>
          <t>wang, jing/GVT-8700-2022; Wu, Jian/AAU-5221-2020; Chuang, Yao-Chen/ITV-1120-2023</t>
        </is>
      </c>
      <c r="AC1388" t="inlineStr">
        <is>
          <t>Wu, Jian/0000-0001-9933-7364; Wu, Jianwei/0000-0003-3881-0925; LEONG, Sok Man/0000-0002-4674-5521; Chuang, Yao-Chen/0000-0002-4299-1194</t>
        </is>
      </c>
      <c r="AH1388" t="n">
        <v>41</v>
      </c>
      <c r="AI1388" t="n">
        <v>2</v>
      </c>
      <c r="AJ1388" t="n">
        <v>2</v>
      </c>
      <c r="AK1388" t="n">
        <v>7</v>
      </c>
      <c r="AL1388" t="n">
        <v>10</v>
      </c>
      <c r="AM1388" t="inlineStr">
        <is>
          <t>MDPI</t>
        </is>
      </c>
      <c r="AN1388" t="inlineStr">
        <is>
          <t>BASEL</t>
        </is>
      </c>
      <c r="AO1388" t="inlineStr">
        <is>
          <t>ST ALBAN-ANLAGE 66, CH-4052 BASEL, SWITZERLAND</t>
        </is>
      </c>
      <c r="AQ1388" t="inlineStr">
        <is>
          <t>1660-4601</t>
        </is>
      </c>
      <c r="AS1388" t="inlineStr">
        <is>
          <t>INT J ENV RES PUB HE</t>
        </is>
      </c>
      <c r="AT1388" t="inlineStr">
        <is>
          <t>Int. J. Environ. Res. Public Health</t>
        </is>
      </c>
      <c r="AU1388" t="inlineStr">
        <is>
          <t>FEB</t>
        </is>
      </c>
      <c r="AV1388" t="n">
        <v>2022</v>
      </c>
      <c r="AW1388" t="n">
        <v>19</v>
      </c>
      <c r="AX1388" t="n">
        <v>4</v>
      </c>
      <c r="BE1388" t="n">
        <v>1928</v>
      </c>
      <c r="BF1388" t="inlineStr">
        <is>
          <t>10.3390/ijerph19041928</t>
        </is>
      </c>
      <c r="BG1388">
        <f>HYPERLINK("http://dx.doi.org/10.3390/ijerph19041928","http://dx.doi.org/10.3390/ijerph19041928")</f>
        <v/>
      </c>
      <c r="BJ1388" t="n">
        <v>11</v>
      </c>
      <c r="BK1388" t="inlineStr">
        <is>
          <t>Environmental Sciences; Public, Environmental &amp; Occupational Health</t>
        </is>
      </c>
      <c r="BL1388" t="inlineStr">
        <is>
          <t>Science Citation Index Expanded (SCI-EXPANDED); Social Science Citation Index (SSCI)</t>
        </is>
      </c>
      <c r="BM1388" t="inlineStr">
        <is>
          <t>Environmental Sciences &amp; Ecology; Public, Environmental &amp; Occupational Health</t>
        </is>
      </c>
      <c r="BN1388" t="inlineStr">
        <is>
          <t>ZT3IV</t>
        </is>
      </c>
      <c r="BO1388" t="n">
        <v>35206122</v>
      </c>
      <c r="BP1388" t="inlineStr">
        <is>
          <t>Green Published, gold</t>
        </is>
      </c>
      <c r="BS1388" t="inlineStr">
        <is>
          <t>2023-10-26</t>
        </is>
      </c>
      <c r="BT1388" t="inlineStr">
        <is>
          <t>WOS:000769053100001</t>
        </is>
      </c>
      <c r="BU1388">
        <f>HYPERLINK("https%3A%2F%2Fwww.webofscience.com%2Fwos%2Fwoscc%2Ffull-record%2FWOS:000769053100001","View Full Record in Web of Science")</f>
        <v/>
      </c>
    </row>
    <row r="1389">
      <c r="A1389" t="inlineStr">
        <is>
          <t>J</t>
        </is>
      </c>
      <c r="B1389" t="inlineStr">
        <is>
          <t>Al Khafaji, IAM; Kamaran, R</t>
        </is>
      </c>
      <c r="F1389" t="inlineStr">
        <is>
          <t>Al Khafaji, Ibtisam Abdulelah Mohammed; Kamaran, Raz</t>
        </is>
      </c>
      <c r="J1389" t="inlineStr">
        <is>
          <t>EUROPEAN JOURNAL OF SUSTAINABLE DEVELOPMENT</t>
        </is>
      </c>
      <c r="M1389" t="inlineStr">
        <is>
          <t>English</t>
        </is>
      </c>
      <c r="N1389" t="inlineStr">
        <is>
          <t>Article</t>
        </is>
      </c>
      <c r="T1389" t="inlineStr">
        <is>
          <t>The Influence of Spatial Flexibility to improve Sustainability of Interior Design by Using Smart Technology (Case study -Future Smart home in Iraq)</t>
        </is>
      </c>
      <c r="U1389" t="inlineStr">
        <is>
          <t>Flexibility; Sustainability; Smart Technology; Smart Interior Design; Smart Homes</t>
        </is>
      </c>
      <c r="W1389" t="inlineStr">
        <is>
          <t>Technological progress is an endless accelerating phenomenon. It becomes a major aspect of our wellbeing and influences our everyday life as well as our use of architectural spaces. A professional career in Interior Design is more challenging today than ever. It combines the creative, the aesthetic, the innovative, and the practical to create the important stages upon which people live their lives. This pragmatic approach found a considerable positive impact on enhancing overall building flexibility and sustainability by using smart technology. Literatures displayed that both terms - flexibility and sustainability -are used almost to the same extent. In general, developing space flexibility is one of the main ways to achieve Sustainability to ensure efficient space utilization. The objectives of this research is to explain how smart interior design can improve spatial flexibility of inner spaces and to evaluate whether flexibility had a positive impacts toward sustainability (case study: Iraqi houses). A literature review in the disciplines of, smart home technology, spatial flexibility and Interior design sustainability have been done, then we used virtual reality methods and self -assessment practical tools to improve better understanding and to test hypothesis. Results explained that smart design improve spatial flexibility by and ensure efficient space utilization (sustainable inner spaces).</t>
        </is>
      </c>
      <c r="X1389" t="inlineStr">
        <is>
          <t>[Al Khafaji, Ibtisam Abdulelah Mohammed] Al ESRAA Univ Coll, Dept Architecture, Baghdad, Iraq; [Kamaran, Raz] Univ Sulaimani, Architecture Dept, Sulaimani, Iraq</t>
        </is>
      </c>
      <c r="Y1389" t="inlineStr">
        <is>
          <t>Al-Esraa University College; University of Sulimanyah</t>
        </is>
      </c>
      <c r="Z1389" t="inlineStr">
        <is>
          <t>Al Khafaji, IAM (corresponding author), Al ESRAA Univ Coll, Dept Architecture, Baghdad, Iraq.</t>
        </is>
      </c>
      <c r="AH1389" t="n">
        <v>19</v>
      </c>
      <c r="AI1389" t="n">
        <v>3</v>
      </c>
      <c r="AJ1389" t="n">
        <v>3</v>
      </c>
      <c r="AK1389" t="n">
        <v>1</v>
      </c>
      <c r="AL1389" t="n">
        <v>12</v>
      </c>
      <c r="AM1389" t="inlineStr">
        <is>
          <t>EUROPEAN CENTER SUSTAINABLE DEVELOPMENT</t>
        </is>
      </c>
      <c r="AN1389" t="inlineStr">
        <is>
          <t>ROME</t>
        </is>
      </c>
      <c r="AO1389" t="inlineStr">
        <is>
          <t>VIA DEI FIORI 34, ROME, 00172, ITALY</t>
        </is>
      </c>
      <c r="AP1389" t="inlineStr">
        <is>
          <t>2239-5938</t>
        </is>
      </c>
      <c r="AQ1389" t="inlineStr">
        <is>
          <t>2239-6101</t>
        </is>
      </c>
      <c r="AS1389" t="inlineStr">
        <is>
          <t>EUR J SUSTAIN DEV</t>
        </is>
      </c>
      <c r="AT1389" t="inlineStr">
        <is>
          <t>Eur. J. Sustain. Dev.</t>
        </is>
      </c>
      <c r="AV1389" t="n">
        <v>2019</v>
      </c>
      <c r="AW1389" t="n">
        <v>8</v>
      </c>
      <c r="AX1389" t="n">
        <v>4</v>
      </c>
      <c r="BA1389" t="inlineStr">
        <is>
          <t>SI</t>
        </is>
      </c>
      <c r="BC1389" t="n">
        <v>438</v>
      </c>
      <c r="BD1389" t="n">
        <v>451</v>
      </c>
      <c r="BF1389" t="inlineStr">
        <is>
          <t>10.14207/ejsd.2019.v8n4p438</t>
        </is>
      </c>
      <c r="BG1389">
        <f>HYPERLINK("http://dx.doi.org/10.14207/ejsd.2019.v8n4p438","http://dx.doi.org/10.14207/ejsd.2019.v8n4p438")</f>
        <v/>
      </c>
      <c r="BJ1389" t="n">
        <v>14</v>
      </c>
      <c r="BK1389" t="inlineStr">
        <is>
          <t>Environmental Sciences</t>
        </is>
      </c>
      <c r="BL1389" t="inlineStr">
        <is>
          <t>Emerging Sources Citation Index (ESCI)</t>
        </is>
      </c>
      <c r="BM1389" t="inlineStr">
        <is>
          <t>Environmental Sciences &amp; Ecology</t>
        </is>
      </c>
      <c r="BN1389" t="inlineStr">
        <is>
          <t>JB5SE</t>
        </is>
      </c>
      <c r="BP1389" t="inlineStr">
        <is>
          <t>gold</t>
        </is>
      </c>
      <c r="BS1389" t="inlineStr">
        <is>
          <t>2023-10-26</t>
        </is>
      </c>
      <c r="BT1389" t="inlineStr">
        <is>
          <t>WOS:000488625400042</t>
        </is>
      </c>
      <c r="BU1389">
        <f>HYPERLINK("https%3A%2F%2Fwww.webofscience.com%2Fwos%2Fwoscc%2Ffull-record%2FWOS:000488625400042","View Full Record in Web of Science")</f>
        <v/>
      </c>
    </row>
    <row r="1390">
      <c r="A1390" t="inlineStr">
        <is>
          <t>J</t>
        </is>
      </c>
      <c r="B1390" t="inlineStr">
        <is>
          <t>Zhang, Y; Yang, XG; Li, Y; Liu, QX; Li, CY</t>
        </is>
      </c>
      <c r="F1390" t="inlineStr">
        <is>
          <t>Zhang, Yi; Yang, Xiaoguang; Li, Yuan; Liu, Qixing; Li, Chaoyang</t>
        </is>
      </c>
      <c r="J1390" t="inlineStr">
        <is>
          <t>SUSTAINABILITY</t>
        </is>
      </c>
      <c r="M1390" t="inlineStr">
        <is>
          <t>English</t>
        </is>
      </c>
      <c r="N1390" t="inlineStr">
        <is>
          <t>Article</t>
        </is>
      </c>
      <c r="T1390" t="inlineStr">
        <is>
          <t>Household, Personal and Environmental Correlates of Rural Elderly's Cycling Activity: Evidence from Zhongshan Metropolitan Area, China</t>
        </is>
      </c>
      <c r="U1390" t="inlineStr">
        <is>
          <t>rural elderly; cycling activity; frequency and duration; negative binomial regression; social environment; built environment</t>
        </is>
      </c>
      <c r="V1390" t="inlineStr">
        <is>
          <t>BUILT ENVIRONMENT; PHYSICAL-ACTIVITY; WALKING ACTIVITY; OLDER-ADULTS; NEIGHBORHOOD ENVIRONMENT; RESIDENTIAL DENSITY; PUBLIC-HEALTH; ASSOCIATIONS; DEFINITION; PEOPLE</t>
        </is>
      </c>
      <c r="W1390" t="inlineStr">
        <is>
          <t>Cycling is an important form of active transport and physical activity to provide substantial health benefits to the elderly. Among voluminous physical activity-related literature, few studies have investigated the correlates of active transport of the rural elderly in China. This study was the first attempt to investigate the impact of the household, personal, and environmental attributes on rural elderly's cycling activity with data collected in 102 rural neighborhoods of Zhongshan Metropolitan Area, China. The negative binomial regression models suggest that, all else being equal, living in a neighborhood with low proportion of elderly population (over 60), abundant bike lanes, and a compact urban form related to high density and mixed development, are associated with the increase of frequency and duration of the rural elderly's cycling trips. The models also detect that attitude towards cycling and household bicycle and motorized vehicle ownership are strongly related to cycling trips of the rural elderly in Zhongshan. The findings provide insights for transportation and public health agencies, practitioners, and researchers into the effective design of interventions from the prospective of attitudes, social and built environment on health promotion of the rural elderly in China.</t>
        </is>
      </c>
      <c r="X1390" t="inlineStr">
        <is>
          <t>[Zhang, Yi; Li, Chaoyang] Shanghai Jiao Tong Univ, Sch Naval Architecture Ocean &amp; Civil Engn, Shanghai 200240, Peoples R China; [Yang, Xiaoguang] Tongji Univ, Minist Educ, Key Lab Rd &amp; Traff Engn, Shanghai 200092, Peoples R China; [Li, Yuan] Xiamen Univ, Sch Architecture &amp; Civil Engn, Xiamen 361005, Peoples R China; [Liu, Qixing] Erasmus Univ, Rotterdam Sch Management, NL-3062 PA Rotterdam, Netherlands</t>
        </is>
      </c>
      <c r="Y1390" t="inlineStr">
        <is>
          <t>Shanghai Jiao Tong University; Tongji University; Xiamen University; Erasmus University Rotterdam; Erasmus University Rotterdam - Excl Erasmus MC</t>
        </is>
      </c>
      <c r="Z1390" t="inlineStr">
        <is>
          <t>Li, CY (corresponding author), Shanghai Jiao Tong Univ, Sch Naval Architecture Ocean &amp; Civil Engn, 800 Dongchuan Rd, Shanghai 200240, Peoples R China.</t>
        </is>
      </c>
      <c r="AA1390" t="inlineStr">
        <is>
          <t>darrenzhy@sjtu.edu.cn; yangxg@tongji.edu.cn; liyuan79@xmu.edu.cn; qliu@mba15.rsm.nl; cyljjf@sjtu.edu.cn</t>
        </is>
      </c>
      <c r="AB1390" t="inlineStr">
        <is>
          <t>ZHANG, YI/L-7428-2019; Li, Chao/GSM-8117-2022; yang, xiao/HJI-7815-2023</t>
        </is>
      </c>
      <c r="AC1390" t="inlineStr">
        <is>
          <t>Li, Chao/0000-0001-6110-6210;</t>
        </is>
      </c>
      <c r="AD1390" t="inlineStr">
        <is>
          <t>National Social Science Foundation of China [12ZD203]; National Natural Science Foundation of China [51308336]; China Postdoctoral Science Foundation [2013M541522]; Social Science Foundation of Shanghai Jiao Tong University [12TS15]</t>
        </is>
      </c>
      <c r="AE1390" t="inlineStr">
        <is>
          <t>National Social Science Foundation of China(National Office of Philosophy and Social Sciences); National Natural Science Foundation of China(National Natural Science Foundation of China (NSFC)); China Postdoctoral Science Foundation(China Postdoctoral Science Foundation); Social Science Foundation of Shanghai Jiao Tong University</t>
        </is>
      </c>
      <c r="AF1390" t="inlineStr">
        <is>
          <t>The authors acknowledge the financial support of Project 12&amp;ZD203 by National Social Science Foundation of China, Project 51308336 by National Natural Science Foundation of China, Project 2013M541522 by China Postdoctoral Science Foundation, and Project 12TS15 by Social Science Foundation of Shanghai Jiao Tong University.</t>
        </is>
      </c>
      <c r="AH1390" t="n">
        <v>44</v>
      </c>
      <c r="AI1390" t="n">
        <v>18</v>
      </c>
      <c r="AJ1390" t="n">
        <v>18</v>
      </c>
      <c r="AK1390" t="n">
        <v>2</v>
      </c>
      <c r="AL1390" t="n">
        <v>41</v>
      </c>
      <c r="AM1390" t="inlineStr">
        <is>
          <t>MDPI</t>
        </is>
      </c>
      <c r="AN1390" t="inlineStr">
        <is>
          <t>BASEL</t>
        </is>
      </c>
      <c r="AO1390" t="inlineStr">
        <is>
          <t>ST ALBAN-ANLAGE 66, CH-4052 BASEL, SWITZERLAND</t>
        </is>
      </c>
      <c r="AQ1390" t="inlineStr">
        <is>
          <t>2071-1050</t>
        </is>
      </c>
      <c r="AS1390" t="inlineStr">
        <is>
          <t>SUSTAINABILITY-BASEL</t>
        </is>
      </c>
      <c r="AT1390" t="inlineStr">
        <is>
          <t>Sustainability</t>
        </is>
      </c>
      <c r="AU1390" t="inlineStr">
        <is>
          <t>JUN</t>
        </is>
      </c>
      <c r="AV1390" t="n">
        <v>2014</v>
      </c>
      <c r="AW1390" t="n">
        <v>6</v>
      </c>
      <c r="AX1390" t="n">
        <v>6</v>
      </c>
      <c r="BC1390" t="n">
        <v>3599</v>
      </c>
      <c r="BD1390" t="n">
        <v>3614</v>
      </c>
      <c r="BF1390" t="inlineStr">
        <is>
          <t>10.3390/su6063599</t>
        </is>
      </c>
      <c r="BG1390">
        <f>HYPERLINK("http://dx.doi.org/10.3390/su6063599","http://dx.doi.org/10.3390/su6063599")</f>
        <v/>
      </c>
      <c r="BJ1390" t="n">
        <v>16</v>
      </c>
      <c r="BK1390" t="inlineStr">
        <is>
          <t>Green &amp; Sustainable Science &amp; Technology; Environmental Sciences; Environmental Studies</t>
        </is>
      </c>
      <c r="BL1390" t="inlineStr">
        <is>
          <t>Science Citation Index Expanded (SCI-EXPANDED); Social Science Citation Index (SSCI)</t>
        </is>
      </c>
      <c r="BM1390" t="inlineStr">
        <is>
          <t>Science &amp; Technology - Other Topics; Environmental Sciences &amp; Ecology</t>
        </is>
      </c>
      <c r="BN1390" t="inlineStr">
        <is>
          <t>AK9LF</t>
        </is>
      </c>
      <c r="BP1390" t="inlineStr">
        <is>
          <t>Green Published, gold</t>
        </is>
      </c>
      <c r="BS1390" t="inlineStr">
        <is>
          <t>2023-10-26</t>
        </is>
      </c>
      <c r="BT1390" t="inlineStr">
        <is>
          <t>WOS:000338747900023</t>
        </is>
      </c>
      <c r="BU1390">
        <f>HYPERLINK("https%3A%2F%2Fwww.webofscience.com%2Fwos%2Fwoscc%2Ffull-record%2FWOS:000338747900023","View Full Record in Web of Science")</f>
        <v/>
      </c>
    </row>
    <row r="1391">
      <c r="A1391" t="inlineStr">
        <is>
          <t>J</t>
        </is>
      </c>
      <c r="B1391" t="inlineStr">
        <is>
          <t>Liu, KL; Chen, J; Li, R; Peng, T; Ji, KK; Gao, YY</t>
        </is>
      </c>
      <c r="F1391" t="inlineStr">
        <is>
          <t>Liu, Keliang; Chen, Jian; Li, Rui; Peng, Tao; Ji, Keke; Gao, Yuyue</t>
        </is>
      </c>
      <c r="J1391" t="inlineStr">
        <is>
          <t>SUSTAINABILITY</t>
        </is>
      </c>
      <c r="M1391" t="inlineStr">
        <is>
          <t>English</t>
        </is>
      </c>
      <c r="N1391" t="inlineStr">
        <is>
          <t>Article</t>
        </is>
      </c>
      <c r="T1391" t="inlineStr">
        <is>
          <t>Nonlinear Effects of Community Built Environment on Car Usage Behavior: A Machine Learning Approach</t>
        </is>
      </c>
      <c r="U1391" t="inlineStr">
        <is>
          <t>urban traffic; built environment; parking space utilization rate; gradient boosting decision tree; nonlinear relationship</t>
        </is>
      </c>
      <c r="V1391" t="inlineStr">
        <is>
          <t>BOOSTING DECISION TREES; TRAVEL BEHAVIOR; MODE CHOICE; TIME; ASSOCIATIONS; VARIABLES; DISTANCE; IMPACTS</t>
        </is>
      </c>
      <c r="W1391" t="inlineStr">
        <is>
          <t>This study aims to guide the community life circle to create a green, travel-supportive built environment. It quantitatively analyzes the variations in car usage behavior based on the level of the built environment of the community and objectively reflects the car usage behavior based on the parking space utilization rate (PSUR). Ordinary least squares (OLS) and gradient boosting decision tree (GBDT) models were developed to describe the impact of the built environment on this utilization rate. An empirical analysis of the model was also conducted using the multisource, heterogeneous parking data of commercial parking facilities in the main urban area of Chongqing, China; the data include records of parking survey, points of interest, and road networks. The results showed that the GBDT model had a better fitting degree than the OLS model considering nonlinear effects. In terms of the contribution of community-built environment variables, distance to business center (14.30%), population density (14.20%), and land use mix (12.60%) considerably affect the PSUR, indicating that these variables have an important influence on the use of private cars. All built environment variables have nonlinear relationships, and the threshold effects reflect a complex relationship between the built environment and car usage behavior. This study provides refined suggestions for the spatial design and transformation of the community life circle.</t>
        </is>
      </c>
      <c r="X1391" t="inlineStr">
        <is>
          <t>[Liu, Keliang; Chen, Jian; Peng, Tao; Gao, Yuyue] Chongqing Jiaotong Univ, Sch Traff &amp; Transportat, Chongqing 400074, Peoples R China; [Li, Rui] Chongqing Univ, Sch Management Sci &amp; Real Estate, Chongqing 400045, Peoples R China; [Ji, Keke] Tianjin Transportat Res Inst, Tianjin 300074, Peoples R China</t>
        </is>
      </c>
      <c r="Y1391" t="inlineStr">
        <is>
          <t>Chongqing Jiaotong University; Chongqing University</t>
        </is>
      </c>
      <c r="Z1391" t="inlineStr">
        <is>
          <t>Liu, KL; Chen, J (corresponding author), Chongqing Jiaotong Univ, Sch Traff &amp; Transportat, Chongqing 400074, Peoples R China.</t>
        </is>
      </c>
      <c r="AA1391" t="inlineStr">
        <is>
          <t>liukeliang93@163.com; chenjian525@126.com; lirui1066@cqu.edu.cn; 15023611196@163.com; jikk520@126.com; yuyue2727@mails.cqjtu.edu.cn</t>
        </is>
      </c>
      <c r="AB1391" t="inlineStr">
        <is>
          <t>Li, Rui/IUO-7633-2023</t>
        </is>
      </c>
      <c r="AC1391" t="inlineStr">
        <is>
          <t>Li, Rui/0000-0002-2631-218X; Peng, Tao/0000-0002-6086-5845</t>
        </is>
      </c>
      <c r="AD1391" t="inlineStr">
        <is>
          <t>Science and Technology Research Program of Chongqing Municipal Education Commission [KJQN202001611, KJZD-K202100706, KJCXZD2020029]; Key Projects of Chongqing Social Science Planning [2020ZDZX04]</t>
        </is>
      </c>
      <c r="AE1391" t="inlineStr">
        <is>
          <t>Science and Technology Research Program of Chongqing Municipal Education Commission; Key Projects of Chongqing Social Science Planning</t>
        </is>
      </c>
      <c r="AF1391" t="inlineStr">
        <is>
          <t>This research was funded by the Science and Technology Research Program of Chongqing Municipal Education Commission, grant number KJQN202001611, KJZD-K202100706 and KJCXZD2020029; Key Projects of Chongqing Social Science Planning, grant number 2020ZDZX04.</t>
        </is>
      </c>
      <c r="AH1391" t="n">
        <v>35</v>
      </c>
      <c r="AI1391" t="n">
        <v>3</v>
      </c>
      <c r="AJ1391" t="n">
        <v>3</v>
      </c>
      <c r="AK1391" t="n">
        <v>16</v>
      </c>
      <c r="AL1391" t="n">
        <v>40</v>
      </c>
      <c r="AM1391" t="inlineStr">
        <is>
          <t>MDPI</t>
        </is>
      </c>
      <c r="AN1391" t="inlineStr">
        <is>
          <t>BASEL</t>
        </is>
      </c>
      <c r="AO1391" t="inlineStr">
        <is>
          <t>ST ALBAN-ANLAGE 66, CH-4052 BASEL, SWITZERLAND</t>
        </is>
      </c>
      <c r="AQ1391" t="inlineStr">
        <is>
          <t>2071-1050</t>
        </is>
      </c>
      <c r="AS1391" t="inlineStr">
        <is>
          <t>SUSTAINABILITY-BASEL</t>
        </is>
      </c>
      <c r="AT1391" t="inlineStr">
        <is>
          <t>Sustainability</t>
        </is>
      </c>
      <c r="AU1391" t="inlineStr">
        <is>
          <t>JUN</t>
        </is>
      </c>
      <c r="AV1391" t="n">
        <v>2022</v>
      </c>
      <c r="AW1391" t="n">
        <v>14</v>
      </c>
      <c r="AX1391" t="n">
        <v>11</v>
      </c>
      <c r="BE1391" t="n">
        <v>6722</v>
      </c>
      <c r="BF1391" t="inlineStr">
        <is>
          <t>10.3390/su14116722</t>
        </is>
      </c>
      <c r="BG1391">
        <f>HYPERLINK("http://dx.doi.org/10.3390/su14116722","http://dx.doi.org/10.3390/su14116722")</f>
        <v/>
      </c>
      <c r="BJ1391" t="n">
        <v>17</v>
      </c>
      <c r="BK1391" t="inlineStr">
        <is>
          <t>Green &amp; Sustainable Science &amp; Technology; Environmental Sciences; Environmental Studies</t>
        </is>
      </c>
      <c r="BL1391" t="inlineStr">
        <is>
          <t>Science Citation Index Expanded (SCI-EXPANDED); Social Science Citation Index (SSCI)</t>
        </is>
      </c>
      <c r="BM1391" t="inlineStr">
        <is>
          <t>Science &amp; Technology - Other Topics; Environmental Sciences &amp; Ecology</t>
        </is>
      </c>
      <c r="BN1391" t="inlineStr">
        <is>
          <t>1Z8YO</t>
        </is>
      </c>
      <c r="BP1391" t="inlineStr">
        <is>
          <t>gold</t>
        </is>
      </c>
      <c r="BS1391" t="inlineStr">
        <is>
          <t>2023-10-26</t>
        </is>
      </c>
      <c r="BT1391" t="inlineStr">
        <is>
          <t>WOS:000809102800001</t>
        </is>
      </c>
      <c r="BU1391">
        <f>HYPERLINK("https%3A%2F%2Fwww.webofscience.com%2Fwos%2Fwoscc%2Ffull-record%2FWOS:000809102800001","View Full Record in Web of Science")</f>
        <v/>
      </c>
    </row>
    <row r="1392">
      <c r="A1392" t="inlineStr">
        <is>
          <t>J</t>
        </is>
      </c>
      <c r="B1392" t="inlineStr">
        <is>
          <t>Greaney, ML; Cohen, SA; Ward-Ritacco, CL; Riebe, D</t>
        </is>
      </c>
      <c r="F1392" t="inlineStr">
        <is>
          <t>Greaney, Mary L.; Cohen, Steven A.; Ward-Ritacco, Christie L.; Riebe, Deborah</t>
        </is>
      </c>
      <c r="J1392" t="inlineStr">
        <is>
          <t>INTERNATIONAL JOURNAL OF ENVIRONMENTAL RESEARCH AND PUBLIC HEALTH</t>
        </is>
      </c>
      <c r="M1392" t="inlineStr">
        <is>
          <t>English</t>
        </is>
      </c>
      <c r="N1392" t="inlineStr">
        <is>
          <t>Article</t>
        </is>
      </c>
      <c r="T1392" t="inlineStr">
        <is>
          <t>Rural-Urban Variation in Weight Loss Recommendations Among US Older Adults with Arthritis and Obesity</t>
        </is>
      </c>
      <c r="U1392" t="inlineStr">
        <is>
          <t>arthritis; older adults; obesity; rural-urban; weight loss recommendation</t>
        </is>
      </c>
      <c r="V1392" t="inlineStr">
        <is>
          <t>DOCTOR-DIAGNOSED ARTHRITIS; ATTRIBUTABLE ACTIVITY LIMITATION; BODY-MASS INDEX; UNITED-STATES; KNEE OSTEOARTHRITIS; CARE; PREVALENCE; OVERWEIGHT; ADVICE; DISPARITIES</t>
        </is>
      </c>
      <c r="W1392" t="inlineStr">
        <is>
          <t>Purpose: Weight loss is advantageous for individuals with obesity and arthritis. Therefore, this study was conducted to determine if there are differences by rural-urban status among older adults with these conditions who reported being advised by a health care provider to lose weight for arthritis or to ameliorate arthritis symptoms. Methods: A cross-sectional analysis of 2011 Behavioral Risk Factor Surveillance System (BRFSS) data. Respondents reported if they had been diagnosed with arthritis and if they received a provider weight loss recommendation (WLR). The analytic sample was limited to older adults aged 60-79 living in the five states that administered the examined BRFSS arthritis module who had body mass index 30 kg/m(2) and reported having arthritis (n = 2920). The respondent's county of residence was linked to the corresponding county-level population density from the US Decennial Census to determine rural-urban status. A generalized linear model examined the association between receipt of a WLR and population density, controlling for demographics. Results: The sample was 83.6% white, 57.8% female, and 63.2% received a WLR. Respondents from more urban counties were more likely to receive a WLR (p value for trend &lt;0.001). Additionally, older respondents, men, individuals with less than a high school education, and whites had a decreased likelihood of receiving a WLR. Conclusions: The analysis identified notable rural-urban differences with respondents in more urban counties being more likely to receive a WLR. Furthermore, there were differences in those who received a WLR by age, sex, and education. Reasons for these differences should be explored.</t>
        </is>
      </c>
      <c r="X1392" t="inlineStr">
        <is>
          <t>[Greaney, Mary L.; Cohen, Steven A.] Univ Rhode Isl, Hlth Studies, 25 West Independence Way, Kingston, RI 02881 USA; [Ward-Ritacco, Christie L.; Riebe, Deborah] Univ Rhode Isl, Dept Kinesiol, 25 West Independence Way, Kingston, RI 02881 USA</t>
        </is>
      </c>
      <c r="Y1392" t="inlineStr">
        <is>
          <t>University of Rhode Island; University of Rhode Island</t>
        </is>
      </c>
      <c r="Z1392" t="inlineStr">
        <is>
          <t>Greaney, ML (corresponding author), Univ Rhode Isl, Hlth Studies, 25 West Independence Way, Kingston, RI 02881 USA.</t>
        </is>
      </c>
      <c r="AA1392" t="inlineStr">
        <is>
          <t>mgreaney@uri.edu; steven_cohen@uri.edu; christieward@uri.edu; debriebe@uri.edu</t>
        </is>
      </c>
      <c r="AC1392" t="inlineStr">
        <is>
          <t>Greaney, Mary/0000-0002-5963-920X; Ward-Ritacco, Christie/0000-0002-7565-3490</t>
        </is>
      </c>
      <c r="AH1392" t="n">
        <v>42</v>
      </c>
      <c r="AI1392" t="n">
        <v>2</v>
      </c>
      <c r="AJ1392" t="n">
        <v>2</v>
      </c>
      <c r="AK1392" t="n">
        <v>0</v>
      </c>
      <c r="AL1392" t="n">
        <v>2</v>
      </c>
      <c r="AM1392" t="inlineStr">
        <is>
          <t>MDPI</t>
        </is>
      </c>
      <c r="AN1392" t="inlineStr">
        <is>
          <t>BASEL</t>
        </is>
      </c>
      <c r="AO1392" t="inlineStr">
        <is>
          <t>ST ALBAN-ANLAGE 66, CH-4052 BASEL, SWITZERLAND</t>
        </is>
      </c>
      <c r="AP1392" t="inlineStr">
        <is>
          <t>1661-7827</t>
        </is>
      </c>
      <c r="AQ1392" t="inlineStr">
        <is>
          <t>1660-4601</t>
        </is>
      </c>
      <c r="AS1392" t="inlineStr">
        <is>
          <t>INT J ENV RES PUB HE</t>
        </is>
      </c>
      <c r="AT1392" t="inlineStr">
        <is>
          <t>Int. J. Environ. Res. Public Health</t>
        </is>
      </c>
      <c r="AU1392" t="inlineStr">
        <is>
          <t>MAR 2</t>
        </is>
      </c>
      <c r="AV1392" t="n">
        <v>2019</v>
      </c>
      <c r="AW1392" t="n">
        <v>16</v>
      </c>
      <c r="AX1392" t="n">
        <v>6</v>
      </c>
      <c r="BE1392" t="n">
        <v>946</v>
      </c>
      <c r="BF1392" t="inlineStr">
        <is>
          <t>10.3390/ijerph16060946</t>
        </is>
      </c>
      <c r="BG1392">
        <f>HYPERLINK("http://dx.doi.org/10.3390/ijerph16060946","http://dx.doi.org/10.3390/ijerph16060946")</f>
        <v/>
      </c>
      <c r="BJ1392" t="n">
        <v>9</v>
      </c>
      <c r="BK1392" t="inlineStr">
        <is>
          <t>Environmental Sciences; Public, Environmental &amp; Occupational Health</t>
        </is>
      </c>
      <c r="BL1392" t="inlineStr">
        <is>
          <t>Science Citation Index Expanded (SCI-EXPANDED); Social Science Citation Index (SSCI)</t>
        </is>
      </c>
      <c r="BM1392" t="inlineStr">
        <is>
          <t>Environmental Sciences &amp; Ecology; Public, Environmental &amp; Occupational Health</t>
        </is>
      </c>
      <c r="BN1392" t="inlineStr">
        <is>
          <t>HU3GB</t>
        </is>
      </c>
      <c r="BO1392" t="n">
        <v>30884784</v>
      </c>
      <c r="BP1392" t="inlineStr">
        <is>
          <t>Green Published, Green Submitted, gold</t>
        </is>
      </c>
      <c r="BS1392" t="inlineStr">
        <is>
          <t>2023-10-26</t>
        </is>
      </c>
      <c r="BT1392" t="inlineStr">
        <is>
          <t>WOS:000465159500046</t>
        </is>
      </c>
      <c r="BU1392">
        <f>HYPERLINK("https%3A%2F%2Fwww.webofscience.com%2Fwos%2Fwoscc%2Ffull-record%2FWOS:000465159500046","View Full Record in Web of Science")</f>
        <v/>
      </c>
    </row>
    <row r="1393">
      <c r="A1393" t="inlineStr">
        <is>
          <t>J</t>
        </is>
      </c>
      <c r="B1393" t="inlineStr">
        <is>
          <t>Guilbert, D; Caluwaerts, S; Calle, K; Van Den Bossche, N; Cnudde, V; De Kock, T</t>
        </is>
      </c>
      <c r="F1393" t="inlineStr">
        <is>
          <t>Guilbert, Daphne; Caluwaerts, Steven; Calle, Klaas; Van Den Bossche, Nathan; Cnudde, Veerle; De Kock, Tim</t>
        </is>
      </c>
      <c r="J1393" t="inlineStr">
        <is>
          <t>SCIENCE OF THE TOTAL ENVIRONMENT</t>
        </is>
      </c>
      <c r="M1393" t="inlineStr">
        <is>
          <t>English</t>
        </is>
      </c>
      <c r="N1393" t="inlineStr">
        <is>
          <t>Article</t>
        </is>
      </c>
      <c r="T1393" t="inlineStr">
        <is>
          <t>Impact of the urban heat island on freeze-thaw risk of natural stone in the built environment, a case study in Ghent, Belgium</t>
        </is>
      </c>
      <c r="U1393" t="inlineStr">
        <is>
          <t>Urban climate; Heritage; Ice crystallization; Heat air moisture (HAM) transport; Zero curtain effect</t>
        </is>
      </c>
      <c r="V1393" t="inlineStr">
        <is>
          <t>CLIMATE-CHANGE; THERMAL-STRESS; CRYSTALLIZATION; MECHANISMS; LIMESTONE; ROCK; TEMPERATURE; BUILDINGS; RECESSION; HERITAGE</t>
        </is>
      </c>
      <c r="W1393" t="inlineStr">
        <is>
          <t>Freeze-thaw cycles are important in the weathering behaviour of natural building stones in humid, cold to temperate climates. It is expected that the elevated air temperatures in urban environments, the so-called urban heat island (UHI), will have an impact on freeze-thaw weathering. In this study, the impact of the urban heat island on the potential freeze-thaw risk is assessed by parameterization of climatic data of 1 year (07/2016-06/2017) from the MOCCA (Monitoring the City's Climate and Atmosphere) project, which studies the urban heat island in Ghent, Belgium. The dose-response of Savonnieres, a French limestone often used as building stone, is investigated in laboratory and by HAM simulations. Analysis of the MOCCA data demonstrates that the urban heat island phenomenon decreases the number and intensity of freeze-thaw cycles in an urban environment with 42% and 41% respectively for the studied year in Ghent. This decrease suggests a mitigation of frost risk in urban environments. Laboratory tests and computational simulations confirm that this leads indeed to a decreased freeze-thaw risk in urban landscapes compared to the surrounding rural environment. (C) 2019 Elsevier B.V. All rights reserved.</t>
        </is>
      </c>
      <c r="X1393" t="inlineStr">
        <is>
          <t>[Cnudde, Veerle; De Kock, Tim] Univ Ghent, PProGRess, Dept Geol, Krijgslaan 281 S8, B-9000 Ghent, Belgium; [Caluwaerts, Steven] Univ Ghent, Dept Phys &amp; Astron, Atmospher Phys, Krijgslaan 281 S9, B-9000 Ghent, Belgium; [Guilbert, Daphne; Calle, Klaas; Van Den Bossche, Nathan] Dept Engn &amp; Architecture, Architecture &amp; Urban Planning, Sint Pietersnieuwstr 41 84, B-9000 Ghent, Belgium</t>
        </is>
      </c>
      <c r="Y1393" t="inlineStr">
        <is>
          <t>Ghent University; Ghent University</t>
        </is>
      </c>
      <c r="Z1393" t="inlineStr">
        <is>
          <t>Guilbert, D (corresponding author), Univ Ghent, Pore Scale Proc Geomat Res Grp PProGRess, Krijgslaan 281 S8, B-9000 Ghent, Belgium.</t>
        </is>
      </c>
      <c r="AA1393" t="inlineStr">
        <is>
          <t>daphne.guilbert@ugent.be</t>
        </is>
      </c>
      <c r="AB1393" t="inlineStr">
        <is>
          <t>Cnudde, Veerle/K-2026-2016; De Kock, Tim/GOE-5013-2022</t>
        </is>
      </c>
      <c r="AC1393" t="inlineStr">
        <is>
          <t>Cnudde, Veerle/0000-0002-3269-5914; De Kock, Tim/0000-0001-5096-1473; Caluwaerts, Steven/0000-0001-7456-3891; Guilbert, Daphne/0000-0002-1144-8447; Van Den Bossche, Nathan/0000-0002-8738-7249</t>
        </is>
      </c>
      <c r="AD1393" t="inlineStr">
        <is>
          <t>[FWO18/KAN/018]</t>
        </is>
      </c>
      <c r="AF1393" t="inlineStr">
        <is>
          <t>Tim De Kock is a postdoctoral fellow of the Research Foundation Flanders (FWO) and acknowledges its support and its research grant FWO18/KAN/018. Bauklimatic-Dresden is acknowledged for providing a Delphin license for this research. The authors are grateful to Dr. Thibault Demoulin (ETH Zurich) for providing information on his iButtons setup and to Guy Wauters (UGent) for the assembly of the probe. Wolf Vanrafelghemand ROCAMAT are acknowledged for providing the test material of Savonnieres.</t>
        </is>
      </c>
      <c r="AH1393" t="n">
        <v>50</v>
      </c>
      <c r="AI1393" t="n">
        <v>16</v>
      </c>
      <c r="AJ1393" t="n">
        <v>16</v>
      </c>
      <c r="AK1393" t="n">
        <v>5</v>
      </c>
      <c r="AL1393" t="n">
        <v>82</v>
      </c>
      <c r="AM1393" t="inlineStr">
        <is>
          <t>ELSEVIER SCIENCE BV</t>
        </is>
      </c>
      <c r="AN1393" t="inlineStr">
        <is>
          <t>AMSTERDAM</t>
        </is>
      </c>
      <c r="AO1393" t="inlineStr">
        <is>
          <t>PO BOX 211, 1000 AE AMSTERDAM, NETHERLANDS</t>
        </is>
      </c>
      <c r="AP1393" t="inlineStr">
        <is>
          <t>0048-9697</t>
        </is>
      </c>
      <c r="AQ1393" t="inlineStr">
        <is>
          <t>1879-1026</t>
        </is>
      </c>
      <c r="AS1393" t="inlineStr">
        <is>
          <t>SCI TOTAL ENVIRON</t>
        </is>
      </c>
      <c r="AT1393" t="inlineStr">
        <is>
          <t>Sci. Total Environ.</t>
        </is>
      </c>
      <c r="AU1393" t="inlineStr">
        <is>
          <t>AUG 10</t>
        </is>
      </c>
      <c r="AV1393" t="n">
        <v>2019</v>
      </c>
      <c r="AW1393" t="n">
        <v>677</v>
      </c>
      <c r="BC1393" t="n">
        <v>9</v>
      </c>
      <c r="BD1393" t="n">
        <v>18</v>
      </c>
      <c r="BF1393" t="inlineStr">
        <is>
          <t>10.1016/j.scitotenv.2019.04.344</t>
        </is>
      </c>
      <c r="BG1393">
        <f>HYPERLINK("http://dx.doi.org/10.1016/j.scitotenv.2019.04.344","http://dx.doi.org/10.1016/j.scitotenv.2019.04.344")</f>
        <v/>
      </c>
      <c r="BJ1393" t="n">
        <v>10</v>
      </c>
      <c r="BK1393" t="inlineStr">
        <is>
          <t>Environmental Sciences</t>
        </is>
      </c>
      <c r="BL1393" t="inlineStr">
        <is>
          <t>Science Citation Index Expanded (SCI-EXPANDED)</t>
        </is>
      </c>
      <c r="BM1393" t="inlineStr">
        <is>
          <t>Environmental Sciences &amp; Ecology</t>
        </is>
      </c>
      <c r="BN1393" t="inlineStr">
        <is>
          <t>HY5TO</t>
        </is>
      </c>
      <c r="BO1393" t="n">
        <v>31051386</v>
      </c>
      <c r="BS1393" t="inlineStr">
        <is>
          <t>2023-10-26</t>
        </is>
      </c>
      <c r="BT1393" t="inlineStr">
        <is>
          <t>WOS:000468191200002</t>
        </is>
      </c>
      <c r="BU1393">
        <f>HYPERLINK("https%3A%2F%2Fwww.webofscience.com%2Fwos%2Fwoscc%2Ffull-record%2FWOS:000468191200002","View Full Record in Web of Science")</f>
        <v/>
      </c>
    </row>
    <row r="1394">
      <c r="A1394" t="inlineStr">
        <is>
          <t>J</t>
        </is>
      </c>
      <c r="B1394" t="inlineStr">
        <is>
          <t>Satorres, E; Meléndez, JC; Pitarque, A; Real, E; Abella, M; Escudero, J</t>
        </is>
      </c>
      <c r="F1394" t="inlineStr">
        <is>
          <t>Satorres, Encarnacion; Melendez, Juan C.; Pitarque, Alfonso; Real, Elena; Abella, Mireia; Escudero, Joaquin</t>
        </is>
      </c>
      <c r="J1394" t="inlineStr">
        <is>
          <t>INTERNATIONAL JOURNAL OF ENVIRONMENTAL RESEARCH AND PUBLIC HEALTH</t>
        </is>
      </c>
      <c r="M1394" t="inlineStr">
        <is>
          <t>English</t>
        </is>
      </c>
      <c r="N1394" t="inlineStr">
        <is>
          <t>Article</t>
        </is>
      </c>
      <c r="T1394" t="inlineStr">
        <is>
          <t>Enhancing Immediate Memory, Potential Learning, and Working Memory with Transcranial Direct Current Stimulation in Healthy Older Adults</t>
        </is>
      </c>
      <c r="U1394" t="inlineStr">
        <is>
          <t>tDCS; healthy older adults; immediate memory; working memory; learning potential</t>
        </is>
      </c>
      <c r="V1394" t="inlineStr">
        <is>
          <t>DORSOLATERAL PREFRONTAL CORTEX; NONINVASIVE BRAIN-STIMULATION; TDCS; METAANALYSIS; PLASTICITY; INSIGHTS; LIMITS</t>
        </is>
      </c>
      <c r="W1394" t="inlineStr">
        <is>
          <t>Background: Transcranial direct current stimulation (tDCS) has emerged as a prevention method or minimizer of the normal cognitive deterioration that occurs during the aging process. tDCS can be used to enhance cognitive functions such as immediate memory, learning, or working memory in healthy subjects. The objective of this study was to analyze the effect of two 20-min sessions of anodal transcranial direct stimulation on immediate memory, learning potential, and working memory in healthy older adults. Methods: A randomized, single-blind, repeated-measures, sham-controlled design was used. The sample is made up of 31 healthy older adults, of whom 16 were in the stimulation group and 15 were in the sham group. The anode was placed on position F7, coinciding with the left dorsolateral prefrontal cortex region, and the cathode was placed on Fp2, the right supraorbital area (rSO). Results: When comparing the results of the treatment group and the sham group, differences were observed in working memory and learning potential; however, no differences in immediate memory were found. Conclusion: The results showed that tDCS is a non-invasive and safe tool to enhance cognitive processes in healthy older adults interested in maintaining some cognitive function.</t>
        </is>
      </c>
      <c r="X1394" t="inlineStr">
        <is>
          <t>[Satorres, Encarnacion; Melendez, Juan C.; Real, Elena; Abella, Mireia] Univ Valencia, Fac Psychol, Dept Dev Psychol, Av Blasco Ibanez 21, Valencia 46010, Spain; [Pitarque, Alfonso] Univ Valencia, Fac Psychol, Dept Methodol, Av Blasco Ibanez 21, Valencia 46010, Spain; [Escudero, Joaquin] Hosp Gen Valencia, Av Tres Cruces 2, Valencia 46014, Spain</t>
        </is>
      </c>
      <c r="Y1394" t="inlineStr">
        <is>
          <t>University of Valencia; University of Valencia</t>
        </is>
      </c>
      <c r="Z1394" t="inlineStr">
        <is>
          <t>Satorres, E (corresponding author), Univ Valencia, Fac Psychol, Dept Dev Psychol, Av Blasco Ibanez 21, Valencia 46010, Spain.</t>
        </is>
      </c>
      <c r="AA1394" t="inlineStr">
        <is>
          <t>encarna.satorres@uv.es</t>
        </is>
      </c>
      <c r="AB1394" t="inlineStr">
        <is>
          <t>Melendez, Juan C/P-6328-2014; Pitarque, Alfonso/H-3233-2013; Satorres, Encarnacion/P-9513-2016</t>
        </is>
      </c>
      <c r="AC1394" t="inlineStr">
        <is>
          <t>Melendez, Juan C/0000-0002-6353-6035; Pitarque, Alfonso/0000-0003-3367-2607; Satorres, Encarnacion/0000-0001-8589-8697</t>
        </is>
      </c>
      <c r="AD1394" t="inlineStr">
        <is>
          <t>Conselleria de Innovacion, Universidades, Ciencia y Sociedad Digital of Generalitat Valenciana (Spain) [MCIN/AEI/10.13039/501100011033, PID2019-103956RBI00]; [GV/2021/174]</t>
        </is>
      </c>
      <c r="AE1394" t="inlineStr">
        <is>
          <t>Conselleria de Innovacion, Universidades, Ciencia y Sociedad Digital of Generalitat Valenciana (Spain);</t>
        </is>
      </c>
      <c r="AF1394" t="inlineStr">
        <is>
          <t>This work was supported by MCIN/AEI/10.13039/501100011033 [Grant PID2019-103956RBI00] and Conselleria de Innovacion, Universidades, Ciencia y Sociedad Digital of Generalitat Valenciana (Spain) [Grant GV/2021/174].</t>
        </is>
      </c>
      <c r="AH1394" t="n">
        <v>57</v>
      </c>
      <c r="AI1394" t="n">
        <v>0</v>
      </c>
      <c r="AJ1394" t="n">
        <v>0</v>
      </c>
      <c r="AK1394" t="n">
        <v>2</v>
      </c>
      <c r="AL1394" t="n">
        <v>10</v>
      </c>
      <c r="AM1394" t="inlineStr">
        <is>
          <t>MDPI</t>
        </is>
      </c>
      <c r="AN1394" t="inlineStr">
        <is>
          <t>BASEL</t>
        </is>
      </c>
      <c r="AO1394" t="inlineStr">
        <is>
          <t>ST ALBAN-ANLAGE 66, CH-4052 BASEL, SWITZERLAND</t>
        </is>
      </c>
      <c r="AQ1394" t="inlineStr">
        <is>
          <t>1660-4601</t>
        </is>
      </c>
      <c r="AS1394" t="inlineStr">
        <is>
          <t>INT J ENV RES PUB HE</t>
        </is>
      </c>
      <c r="AT1394" t="inlineStr">
        <is>
          <t>Int. J. Environ. Res. Public Health</t>
        </is>
      </c>
      <c r="AU1394" t="inlineStr">
        <is>
          <t>OCT</t>
        </is>
      </c>
      <c r="AV1394" t="n">
        <v>2022</v>
      </c>
      <c r="AW1394" t="n">
        <v>19</v>
      </c>
      <c r="AX1394" t="n">
        <v>19</v>
      </c>
      <c r="BE1394" t="n">
        <v>12716</v>
      </c>
      <c r="BF1394" t="inlineStr">
        <is>
          <t>10.3390/ijerph191912716</t>
        </is>
      </c>
      <c r="BG1394">
        <f>HYPERLINK("http://dx.doi.org/10.3390/ijerph191912716","http://dx.doi.org/10.3390/ijerph191912716")</f>
        <v/>
      </c>
      <c r="BJ1394" t="n">
        <v>10</v>
      </c>
      <c r="BK1394" t="inlineStr">
        <is>
          <t>Environmental Sciences; Public, Environmental &amp; Occupational Health</t>
        </is>
      </c>
      <c r="BL1394" t="inlineStr">
        <is>
          <t>Science Citation Index Expanded (SCI-EXPANDED); Social Science Citation Index (SSCI)</t>
        </is>
      </c>
      <c r="BM1394" t="inlineStr">
        <is>
          <t>Environmental Sciences &amp; Ecology; Public, Environmental &amp; Occupational Health</t>
        </is>
      </c>
      <c r="BN1394" t="inlineStr">
        <is>
          <t>5G2AN</t>
        </is>
      </c>
      <c r="BO1394" t="n">
        <v>36232016</v>
      </c>
      <c r="BP1394" t="inlineStr">
        <is>
          <t>Green Submitted, Green Published, gold</t>
        </is>
      </c>
      <c r="BS1394" t="inlineStr">
        <is>
          <t>2023-10-26</t>
        </is>
      </c>
      <c r="BT1394" t="inlineStr">
        <is>
          <t>WOS:000866806900001</t>
        </is>
      </c>
      <c r="BU1394">
        <f>HYPERLINK("https%3A%2F%2Fwww.webofscience.com%2Fwos%2Fwoscc%2Ffull-record%2FWOS:000866806900001","View Full Record in Web of Science")</f>
        <v/>
      </c>
    </row>
    <row r="1395">
      <c r="A1395" t="inlineStr">
        <is>
          <t>J</t>
        </is>
      </c>
      <c r="B1395" t="inlineStr">
        <is>
          <t>Lee, H; Zhao, X; Seo, J</t>
        </is>
      </c>
      <c r="F1395" t="inlineStr">
        <is>
          <t>Lee, Heangwoo; Zhao, Xiaolong; Seo, Janghoo</t>
        </is>
      </c>
      <c r="J1395" t="inlineStr">
        <is>
          <t>INTERNATIONAL JOURNAL OF ENVIRONMENTAL RESEARCH AND PUBLIC HEALTH</t>
        </is>
      </c>
      <c r="M1395" t="inlineStr">
        <is>
          <t>English</t>
        </is>
      </c>
      <c r="N1395" t="inlineStr">
        <is>
          <t>Article</t>
        </is>
      </c>
      <c r="T1395" t="inlineStr">
        <is>
          <t>A Study of Optimal Specifications for Light Shelves with Photovoltaic Modules to Improve Indoor Comfort and Save Building Energy</t>
        </is>
      </c>
      <c r="U1395" t="inlineStr">
        <is>
          <t>light shelf; PV module; thermal environment; visual comfort; performance evaluation</t>
        </is>
      </c>
      <c r="W1395" t="inlineStr">
        <is>
          <t>Recent studies on light shelves found that building energy efficiency could be maximized by applying photovoltaic (PV) modules to light shelf reflectors. Although PV modules generate a substantial amount of heat and change the consumption of indoor heating and cooling energy, performance evaluations carried out thus far have not considered these factors. This study validated the effectiveness of PV module light shelves and determined optimal specifications while considering heating and cooling energy savings. A full-scale testbed was built to evaluate performance according to light shelf variables. The uniformity ratio was found to improve according to the light shelf angle value and decreased as the PV module installation area increased. It was determined that PV modules should be considered in the design of light shelves as their daylighting and concentration efficiency change according to their angles. PV modules installed on light shelves were also found to change the indoor cooling and heating environment; the degree of such change increased as the area of the PV module increased. Lastly, light shelf specifications for reducing building energy, including heating and cooling energy, were not found to apply to PV modules since PV modules on light shelf reflectors increase building energy consumption.</t>
        </is>
      </c>
      <c r="X1395" t="inlineStr">
        <is>
          <t>[Lee, Heangwoo] Sangmyung Univ, Coll Design, Major Spatial Design, Cheonan Si 31066, Chungcheongnam, South Korea; [Zhao, Xiaolong] Sangmyung Univ, Coll Design, Dept Design, Cheonan Si 31066, Chungcheongnam, South Korea; [Seo, Janghoo] Kookmin Univ, Sch Architecture, 77 Jeongneung Ro, Seoul 02707, South Korea</t>
        </is>
      </c>
      <c r="Y1395" t="inlineStr">
        <is>
          <t>Sangmyung University; Sangmyung University; Kookmin University</t>
        </is>
      </c>
      <c r="Z1395" t="inlineStr">
        <is>
          <t>Seo, J (corresponding author), Kookmin Univ, Sch Architecture, 77 Jeongneung Ro, Seoul 02707, South Korea.</t>
        </is>
      </c>
      <c r="AA1395" t="inlineStr">
        <is>
          <t>2hw@smu.ac.kr; whgyfyd@naver.com; seojh@kookmin.ac.kr</t>
        </is>
      </c>
      <c r="AC1395" t="inlineStr">
        <is>
          <t>Lee, Heangwoo/0000-0002-9902-9203</t>
        </is>
      </c>
      <c r="AD1395" t="inlineStr">
        <is>
          <t>National Research Foundation of Korea (NRF) - Korea government (MSIT) [NRF-2020R1C1C1004704]</t>
        </is>
      </c>
      <c r="AE1395" t="inlineStr">
        <is>
          <t>National Research Foundation of Korea (NRF) - Korea government (MSIT)</t>
        </is>
      </c>
      <c r="AF1395" t="inlineStr">
        <is>
          <t>This work was supported by a National Research Foundation of Korea (NRF) grant funded by the Korea government (MSIT) (NRF-2020R1C1C1004704).</t>
        </is>
      </c>
      <c r="AH1395" t="n">
        <v>36</v>
      </c>
      <c r="AI1395" t="n">
        <v>12</v>
      </c>
      <c r="AJ1395" t="n">
        <v>12</v>
      </c>
      <c r="AK1395" t="n">
        <v>3</v>
      </c>
      <c r="AL1395" t="n">
        <v>7</v>
      </c>
      <c r="AM1395" t="inlineStr">
        <is>
          <t>MDPI</t>
        </is>
      </c>
      <c r="AN1395" t="inlineStr">
        <is>
          <t>BASEL</t>
        </is>
      </c>
      <c r="AO1395" t="inlineStr">
        <is>
          <t>ST ALBAN-ANLAGE 66, CH-4052 BASEL, SWITZERLAND</t>
        </is>
      </c>
      <c r="AQ1395" t="inlineStr">
        <is>
          <t>1660-4601</t>
        </is>
      </c>
      <c r="AS1395" t="inlineStr">
        <is>
          <t>INT J ENV RES PUB HE</t>
        </is>
      </c>
      <c r="AT1395" t="inlineStr">
        <is>
          <t>Int. J. Environ. Res. Public Health</t>
        </is>
      </c>
      <c r="AU1395" t="inlineStr">
        <is>
          <t>MAR</t>
        </is>
      </c>
      <c r="AV1395" t="n">
        <v>2021</v>
      </c>
      <c r="AW1395" t="n">
        <v>18</v>
      </c>
      <c r="AX1395" t="n">
        <v>5</v>
      </c>
      <c r="BE1395" t="n">
        <v>2574</v>
      </c>
      <c r="BF1395" t="inlineStr">
        <is>
          <t>10.3390/ijerph18052574</t>
        </is>
      </c>
      <c r="BG1395">
        <f>HYPERLINK("http://dx.doi.org/10.3390/ijerph18052574","http://dx.doi.org/10.3390/ijerph18052574")</f>
        <v/>
      </c>
      <c r="BJ1395" t="n">
        <v>24</v>
      </c>
      <c r="BK1395" t="inlineStr">
        <is>
          <t>Environmental Sciences; Public, Environmental &amp; Occupational Health</t>
        </is>
      </c>
      <c r="BL1395" t="inlineStr">
        <is>
          <t>Science Citation Index Expanded (SCI-EXPANDED); Social Science Citation Index (SSCI)</t>
        </is>
      </c>
      <c r="BM1395" t="inlineStr">
        <is>
          <t>Environmental Sciences &amp; Ecology; Public, Environmental &amp; Occupational Health</t>
        </is>
      </c>
      <c r="BN1395" t="inlineStr">
        <is>
          <t>QV7US</t>
        </is>
      </c>
      <c r="BO1395" t="n">
        <v>33806602</v>
      </c>
      <c r="BP1395" t="inlineStr">
        <is>
          <t>Green Published, gold</t>
        </is>
      </c>
      <c r="BS1395" t="inlineStr">
        <is>
          <t>2023-10-26</t>
        </is>
      </c>
      <c r="BT1395" t="inlineStr">
        <is>
          <t>WOS:000628172100001</t>
        </is>
      </c>
      <c r="BU1395">
        <f>HYPERLINK("https%3A%2F%2Fwww.webofscience.com%2Fwos%2Fwoscc%2Ffull-record%2FWOS:000628172100001","View Full Record in Web of Science")</f>
        <v/>
      </c>
    </row>
    <row r="1396">
      <c r="A1396" t="inlineStr">
        <is>
          <t>J</t>
        </is>
      </c>
      <c r="B1396" t="inlineStr">
        <is>
          <t>Yu, YC; Lai, TF; Lin, CY; Hsueh, MC; Liao, Y; Yang, LT; Chang, SH</t>
        </is>
      </c>
      <c r="F1396" t="inlineStr">
        <is>
          <t>Yu, Yi-Chien; Lai, Ting-Fu; Lin, Chien-Yu; Hsueh, Ming-Chun; Liao, Yung; Yang, Li-Ting; Chang, Shao-Hsi</t>
        </is>
      </c>
      <c r="J1396" t="inlineStr">
        <is>
          <t>INTERNATIONAL JOURNAL OF ENVIRONMENTAL HEALTH RESEARCH</t>
        </is>
      </c>
      <c r="M1396" t="inlineStr">
        <is>
          <t>English</t>
        </is>
      </c>
      <c r="N1396" t="inlineStr">
        <is>
          <t>Review</t>
        </is>
      </c>
      <c r="T1396" t="inlineStr">
        <is>
          <t>Associations of the audited residential neighborhood built-environment attributes with objectively-measured sedentary time among adults: a systematic review</t>
        </is>
      </c>
      <c r="U1396" t="inlineStr">
        <is>
          <t>Residential neighborhood; sedentary; geographic information system</t>
        </is>
      </c>
      <c r="V1396" t="inlineStr">
        <is>
          <t>PHYSICAL-ACTIVITY; WALKABILITY; BEHAVIORS; WALKING</t>
        </is>
      </c>
      <c r="W1396" t="inlineStr">
        <is>
          <t>This study systematically reviewed the relevant studies and summarized the associations of objective measures of residential neighborhood built-environment attributes with sedentary time among adults. Published studies were obtained from PubMed and Scopus, restricting to those published in English language peer-reviewed journals to Oct. 2021. There were nine studies and 48 instances of estimated associations. Most instances showed no statistical-significant associations; by contrast, few instances showed that adults living in a neighborhood characterized by a high density of local destinations and connected intersections were associated with less sedentary time. The findings suggest that a high density of destinations and street intersections around residence may provide opportunities to transfer and access to services, thus reducing the sedentary time. Future research strengthening the research design and measurements are needed to investigate the potential explanations of the associations between residential neighborhood built environments and sedentary time in adults.</t>
        </is>
      </c>
      <c r="X1396" t="inlineStr">
        <is>
          <t>[Yu, Yi-Chien; Chang, Shao-Hsi] Natl Taiwan Normal Univ, Dept Phys Educ &amp; Sport Sci, 162,Heping East Rd Sect 1, Taipei 106, Taiwan; [Lai, Ting-Fu] Natl Taiwan Normal Univ, Dept Hlth Promot &amp; Hlth Educ, Taipei, Taiwan; [Lin, Chien-Yu] Waseda Univ, Grad Sch Sport Sci, Tokorozawa, Saitama, Japan; [Lin, Chien-Yu] Natl Taiwan Univ, Coll Publ Hlth, Inst Hlth Behav &amp; Community Sci, Taipei, Taiwan; [Lin, Chien-Yu] Taipei Med Univ, Sch Med, Coll Med, Dept Psychiat, Taipei, Taiwan; [Hsueh, Ming-Chun] Natl Taiwan Normal Univ, Grad Inst Sport Leisure &amp; Hospitality Management, Taipei, Taiwan; [Liao, Yung] Univ Taipei, Grad Inst Sport Pedag, Taipei, Taiwan; [Yang, Li-Ting] Univ Nevada, Harrah Coll Hospitality, Las Vegas, NV 89154 USA</t>
        </is>
      </c>
      <c r="Y1396" t="inlineStr">
        <is>
          <t>National Taiwan Normal University; National Taiwan Normal University; Waseda University; National Taiwan University; Taipei Medical University; National Taiwan Normal University; University of Taipei; Nevada System of Higher Education (NSHE); University of Nevada Las Vegas</t>
        </is>
      </c>
      <c r="Z1396" t="inlineStr">
        <is>
          <t>Chang, SH (corresponding author), Natl Taiwan Normal Univ, Dept Phys Educ &amp; Sport Sci, 162,Heping East Rd Sect 1, Taipei 106, Taiwan.</t>
        </is>
      </c>
      <c r="AA1396" t="inlineStr">
        <is>
          <t>t08016@ntnu.edu.tw</t>
        </is>
      </c>
      <c r="AB1396" t="inlineStr">
        <is>
          <t>lai, ting/HGD-7592-2022</t>
        </is>
      </c>
      <c r="AC1396" t="inlineStr">
        <is>
          <t>Lin, Chien-Yu/0000-0002-5263-8730; Yu, Yi-Chien/0000-0002-5646-8732</t>
        </is>
      </c>
      <c r="AH1396" t="n">
        <v>52</v>
      </c>
      <c r="AI1396" t="n">
        <v>4</v>
      </c>
      <c r="AJ1396" t="n">
        <v>4</v>
      </c>
      <c r="AK1396" t="n">
        <v>2</v>
      </c>
      <c r="AL1396" t="n">
        <v>9</v>
      </c>
      <c r="AM1396" t="inlineStr">
        <is>
          <t>TAYLOR &amp; FRANCIS LTD</t>
        </is>
      </c>
      <c r="AN1396" t="inlineStr">
        <is>
          <t>ABINGDON</t>
        </is>
      </c>
      <c r="AO1396" t="inlineStr">
        <is>
          <t>2-4 PARK SQUARE, MILTON PARK, ABINGDON OR14 4RN, OXON, ENGLAND</t>
        </is>
      </c>
      <c r="AP1396" t="inlineStr">
        <is>
          <t>0960-3123</t>
        </is>
      </c>
      <c r="AQ1396" t="inlineStr">
        <is>
          <t>1369-1619</t>
        </is>
      </c>
      <c r="AS1396" t="inlineStr">
        <is>
          <t>INT J ENVIRON HEAL R</t>
        </is>
      </c>
      <c r="AT1396" t="inlineStr">
        <is>
          <t>Int. J. Environ. Health Res.</t>
        </is>
      </c>
      <c r="AU1396" t="inlineStr">
        <is>
          <t>AUG 3</t>
        </is>
      </c>
      <c r="AV1396" t="n">
        <v>2023</v>
      </c>
      <c r="AW1396" t="n">
        <v>33</v>
      </c>
      <c r="AX1396" t="n">
        <v>8</v>
      </c>
      <c r="BC1396" t="n">
        <v>768</v>
      </c>
      <c r="BD1396" t="n">
        <v>782</v>
      </c>
      <c r="BF1396" t="inlineStr">
        <is>
          <t>10.1080/09603123.2022.2048803</t>
        </is>
      </c>
      <c r="BG1396">
        <f>HYPERLINK("http://dx.doi.org/10.1080/09603123.2022.2048803","http://dx.doi.org/10.1080/09603123.2022.2048803")</f>
        <v/>
      </c>
      <c r="BI1396" t="inlineStr">
        <is>
          <t>MAR 2022</t>
        </is>
      </c>
      <c r="BJ1396" t="n">
        <v>15</v>
      </c>
      <c r="BK1396" t="inlineStr">
        <is>
          <t>Environmental Sciences; Public, Environmental &amp; Occupational Health</t>
        </is>
      </c>
      <c r="BL1396" t="inlineStr">
        <is>
          <t>Science Citation Index Expanded (SCI-EXPANDED)</t>
        </is>
      </c>
      <c r="BM1396" t="inlineStr">
        <is>
          <t>Environmental Sciences &amp; Ecology; Public, Environmental &amp; Occupational Health</t>
        </is>
      </c>
      <c r="BN1396" t="inlineStr">
        <is>
          <t>M0SS4</t>
        </is>
      </c>
      <c r="BO1396" t="n">
        <v>35255757</v>
      </c>
      <c r="BS1396" t="inlineStr">
        <is>
          <t>2023-10-26</t>
        </is>
      </c>
      <c r="BT1396" t="inlineStr">
        <is>
          <t>WOS:000766090600001</t>
        </is>
      </c>
      <c r="BU1396">
        <f>HYPERLINK("https%3A%2F%2Fwww.webofscience.com%2Fwos%2Fwoscc%2Ffull-record%2FWOS:000766090600001","View Full Record in Web of Science")</f>
        <v/>
      </c>
    </row>
    <row r="1397">
      <c r="A1397" t="inlineStr">
        <is>
          <t>J</t>
        </is>
      </c>
      <c r="B1397" t="inlineStr">
        <is>
          <t>Hassan, BH; Abd El Moniem, MM; Dawood, SS; Alsultan, AA; Abdelhafez, AI; Elsakhy, NM</t>
        </is>
      </c>
      <c r="F1397" t="inlineStr">
        <is>
          <t>Hassan, Bothaina Hussein; Abd El Moniem, Maha Mohammed; Dawood, Shaimaa Samir; Alsultan, Abdulrahman Abdulhadi; Abdelhafez, Amal Ismael; Elsakhy, Nancy Mahmoud</t>
        </is>
      </c>
      <c r="J1397" t="inlineStr">
        <is>
          <t>INTERNATIONAL JOURNAL OF ENVIRONMENTAL RESEARCH AND PUBLIC HEALTH</t>
        </is>
      </c>
      <c r="M1397" t="inlineStr">
        <is>
          <t>English</t>
        </is>
      </c>
      <c r="N1397" t="inlineStr">
        <is>
          <t>Article</t>
        </is>
      </c>
      <c r="T1397" t="inlineStr">
        <is>
          <t>Dental Anxiety and Oral-Health-Related Quality of Life among Rural Community-Dwelling Older Adults</t>
        </is>
      </c>
      <c r="U1397" t="inlineStr">
        <is>
          <t>dental anxiety; dental care; oral health; quality of life; older adults; rural; community-dwelling</t>
        </is>
      </c>
      <c r="V1397" t="inlineStr">
        <is>
          <t>ARABIC VERSION; IMPACT; SCALE; PREVALENCE; RELIABILITY; VALIDITY; PEOPLE</t>
        </is>
      </c>
      <c r="W1397" t="inlineStr">
        <is>
          <t>Aim: This study aimed to investigate the association between dental anxiety (DA) and oral-health-related quality of life (OHRQoL) among rural community-dwelling older adults. Methods: A cross-sectional descriptive study was conducted among 390 rural community-dwelling older adults attending outpatient clinics of the Damanhur National Medical Institute during the year 2021. Three instruments were used: a demographic and clinical data structured interview schedule, Modified Dental Anxiety Scale (MDAS), and the Oral Health Impact Profile (OHIP-5) questionnaire. All statistical analyses were considered significant at a p-value of &lt;= 0.001. Results: The main results showed that the prevalence of DA among participants was 90.5%, and 66.9% of the studied elderly population were either extremely (phobic) or very anxious. Moreover, a significant association was found between older adults' DA and their OHRQoL (p &lt; 0.001). Conclusions: It was concluded that DA represents a common problem among rural community-dwelling older adults and is a predictor for poor OHRQoL. Raising community awareness about the importance of oral health and implementing measures to avoid DA through specialized community campaigns is recommended, particularly in rural areas.</t>
        </is>
      </c>
      <c r="X1397" t="inlineStr">
        <is>
          <t>[Hassan, Bothaina Hussein; Abdelhafez, Amal Ismael] King Faisal Univ, Dept Nursing, Coll Appl Med Sci, Al Hasa 31982, Saudi Arabia; [Hassan, Bothaina Hussein; Abd El Moniem, Maha Mohammed; Dawood, Shaimaa Samir] Alexandria Univ, Dept Gerontol Nursing, Fac Nursing, Alexandria 21527, Egypt; [Alsultan, Abdulrahman Abdulhadi] King Faisal Univ, Coll Med, Al Hasa 31982, Saudi Arabia; [Abdelhafez, Amal Ismael] Assiut Univ, Fac Nursing, Dept Crit Care &amp; Emergency Nursing, Assiut 71717, Egypt; [Elsakhy, Nancy Mahmoud] Matrouh Univ, Dept Gerontol Nursing, Fac Nursing, Marsa Matrouh 51511, Egypt</t>
        </is>
      </c>
      <c r="Y1397" t="inlineStr">
        <is>
          <t>King Faisal University; Egyptian Knowledge Bank (EKB); Alexandria University; King Faisal University; Egyptian Knowledge Bank (EKB); Assiut University; Matrouh University</t>
        </is>
      </c>
      <c r="Z1397" t="inlineStr">
        <is>
          <t>Hassan, BH (corresponding author), King Faisal Univ, Dept Nursing, Coll Appl Med Sci, Al Hasa 31982, Saudi Arabia.;Hassan, BH (corresponding author), Alexandria Univ, Dept Gerontol Nursing, Fac Nursing, Alexandria 21527, Egypt.</t>
        </is>
      </c>
      <c r="AA1397" t="inlineStr">
        <is>
          <t>bhassan@kfu.edu.sa; maha.mohammed@alexu.edu.eg; shaimaa.dawoud@alexu.edu.eg; aalsultan@kfu.edu.sa; aabdelhameed@kfu.edu.sa; nancy_elsakhy@mau.edu.eg</t>
        </is>
      </c>
      <c r="AB1397" t="inlineStr">
        <is>
          <t>abdelhafez, amal/GXF-4857-2022; Abdelhafez, Amal Ismael/ACV-1837-2022; Abdelhafez, Amal Ismael/AAV-7450-2020; Dawood, Shaimaa/ADL-8498-2022; ALSULTAN, ABDULRAHMAN A/S-2300-2016</t>
        </is>
      </c>
      <c r="AC1397" t="inlineStr">
        <is>
          <t>abdelhafez, amal/0000-0002-2416-2843; Abdelhafez, Amal Ismael/0000-0002-2416-2843; Dawood, Shaimaa/0000-0002-0437-6166; ALSULTAN, ABDULRAHMAN A/0000-0001-7175-7842; Mohammed Abd El Moniem, maha/0000-0002-4308-326X; Hassan, Bothaina/0000-0002-1412-8027</t>
        </is>
      </c>
      <c r="AD1397" t="inlineStr">
        <is>
          <t>Deanship of Scientific Research, Vice Presidency for Graduate Studies and Scientific Research, King Faisal University, Saudi Arabia [GRANT208]</t>
        </is>
      </c>
      <c r="AE1397" t="inlineStr">
        <is>
          <t>Deanship of Scientific Research, Vice Presidency for Graduate Studies and Scientific Research, King Faisal University, Saudi Arabia</t>
        </is>
      </c>
      <c r="AF1397" t="inlineStr">
        <is>
          <t>This work was supported by the Deanship of Scientific Research, Vice Presidency for Graduate Studies and Scientific Research, King Faisal University, Saudi Arabia (Project No. GRANT208).</t>
        </is>
      </c>
      <c r="AH1397" t="n">
        <v>58</v>
      </c>
      <c r="AI1397" t="n">
        <v>3</v>
      </c>
      <c r="AJ1397" t="n">
        <v>3</v>
      </c>
      <c r="AK1397" t="n">
        <v>0</v>
      </c>
      <c r="AL1397" t="n">
        <v>2</v>
      </c>
      <c r="AM1397" t="inlineStr">
        <is>
          <t>MDPI</t>
        </is>
      </c>
      <c r="AN1397" t="inlineStr">
        <is>
          <t>BASEL</t>
        </is>
      </c>
      <c r="AO1397" t="inlineStr">
        <is>
          <t>ST ALBAN-ANLAGE 66, CH-4052 BASEL, SWITZERLAND</t>
        </is>
      </c>
      <c r="AQ1397" t="inlineStr">
        <is>
          <t>1660-4601</t>
        </is>
      </c>
      <c r="AS1397" t="inlineStr">
        <is>
          <t>INT J ENV RES PUB HE</t>
        </is>
      </c>
      <c r="AT1397" t="inlineStr">
        <is>
          <t>Int. J. Environ. Res. Public Health</t>
        </is>
      </c>
      <c r="AU1397" t="inlineStr">
        <is>
          <t>JUL</t>
        </is>
      </c>
      <c r="AV1397" t="n">
        <v>2022</v>
      </c>
      <c r="AW1397" t="n">
        <v>19</v>
      </c>
      <c r="AX1397" t="n">
        <v>13</v>
      </c>
      <c r="BE1397" t="n">
        <v>7643</v>
      </c>
      <c r="BF1397" t="inlineStr">
        <is>
          <t>10.3390/ijerph19137643</t>
        </is>
      </c>
      <c r="BG1397">
        <f>HYPERLINK("http://dx.doi.org/10.3390/ijerph19137643","http://dx.doi.org/10.3390/ijerph19137643")</f>
        <v/>
      </c>
      <c r="BJ1397" t="n">
        <v>13</v>
      </c>
      <c r="BK1397" t="inlineStr">
        <is>
          <t>Environmental Sciences; Public, Environmental &amp; Occupational Health</t>
        </is>
      </c>
      <c r="BL1397" t="inlineStr">
        <is>
          <t>Science Citation Index Expanded (SCI-EXPANDED); Social Science Citation Index (SSCI)</t>
        </is>
      </c>
      <c r="BM1397" t="inlineStr">
        <is>
          <t>Environmental Sciences &amp; Ecology; Public, Environmental &amp; Occupational Health</t>
        </is>
      </c>
      <c r="BN1397" t="inlineStr">
        <is>
          <t>2U9EC</t>
        </is>
      </c>
      <c r="BO1397" t="n">
        <v>35805302</v>
      </c>
      <c r="BP1397" t="inlineStr">
        <is>
          <t>Green Published, gold</t>
        </is>
      </c>
      <c r="BS1397" t="inlineStr">
        <is>
          <t>2023-10-26</t>
        </is>
      </c>
      <c r="BT1397" t="inlineStr">
        <is>
          <t>WOS:000823455300001</t>
        </is>
      </c>
      <c r="BU1397">
        <f>HYPERLINK("https%3A%2F%2Fwww.webofscience.com%2Fwos%2Fwoscc%2Ffull-record%2FWOS:000823455300001","View Full Record in Web of Science")</f>
        <v/>
      </c>
    </row>
    <row r="1398">
      <c r="A1398" t="inlineStr">
        <is>
          <t>J</t>
        </is>
      </c>
      <c r="B1398" t="inlineStr">
        <is>
          <t>Minich, JJ; Nowak, B; Elizur, A; Knight, R; Fielder, S; Allen, EE</t>
        </is>
      </c>
      <c r="F1398" t="inlineStr">
        <is>
          <t>Minich, Jeremiah J.; Nowak, Barbara; Elizur, Abigail; Knight, Rob; Fielder, Stewart; Allen, Eric E.</t>
        </is>
      </c>
      <c r="J1398" t="inlineStr">
        <is>
          <t>FRONTIERS IN MARINE SCIENCE</t>
        </is>
      </c>
      <c r="M1398" t="inlineStr">
        <is>
          <t>English</t>
        </is>
      </c>
      <c r="N1398" t="inlineStr">
        <is>
          <t>Article</t>
        </is>
      </c>
      <c r="T1398" t="inlineStr">
        <is>
          <t>Impacts of the Marine Hatchery Built Environment, Water and Feed on Across Ontogeny in Yellowtail Kingfish, Seriola lalandi</t>
        </is>
      </c>
      <c r="U1398" t="inlineStr">
        <is>
          <t>microbiome; built environment; yellowtail kingfish; Seriola lalandi; aquaculture; fisheries; ontogeny; mariculture</t>
        </is>
      </c>
      <c r="V1398" t="inlineStr">
        <is>
          <t>FISH LARVAE; BACTERIAL COMMUNITIES; MICROBIAL COMMUNITIES; GILLS; POPULATIONS; MICROFLORA; DIVERSITY; EXCRETION; GEOSMIN; AMMONIA</t>
        </is>
      </c>
      <c r="W1398" t="inlineStr">
        <is>
          <t>The fish gut microbiome is impacted by a number of biological and environmental factors including fish feed formulations. Unlike mammals, vertical microbiome transmission is largely absent in fish and thus little is known about how the gut microbiome is initially colonized during hatchery rearing nor the stability throughout growout stages. Here we investigate how various microbial-rich surfaces from the built environment BE and feed influence the development of the mucosal microbiome (gill, skin, and digesta) of an economically important marine fish, yellowtail kingfish, Seriola lalandi, over time. For the first experiment, we sampled gill and skin microbiomes from 36 fish reared in three tank conditions, and demonstrate that the gill is more influenced by the surrounding environment than the skin. In a second experiment, fish mucous (gill, skin, and digesta), the BE (tank side, water, inlet pipe, airstones, and air diffusers) and feed were sampled from indoor reared fish at three ages (43, 137, and 430 dph; n = 12 per age). At 430 dph, 20 additional fish were sampled from an outdoor ocean net pen. A total of 304 samples were processed for 16S rRNA gene sequencing. Gill and skin alpha diversity increased while gut diversity decreased with age. Diversity was much lower in fish from the ocean net pen compared to indoor fish. The gill and skin are most influenced by the BE early in development, with aeration equipment having more impact in later ages, while the gut allochthonous microbiome becomes increasingly differentiated from the environment over time. Feed had a relatively low impact on driving microbial communities. Our findings suggest that S. lalandi mucosal microbiomes are differentially influenced by the BE with a high turnover and rapidsuccession occurring in the gill and skin while the gut microbiome is more stable. We demonstrate how individual components of a hatchery system, especially aeration equipment, may contribute directly to microbiome development in a marine fish. In addition, results demonstrate how early life (larval) exposure to biofouling in the rearing environment may influence fish microbiome development which is important for animal health and aquaculture production.</t>
        </is>
      </c>
      <c r="X1398" t="inlineStr">
        <is>
          <t>[Minich, Jeremiah J.; Allen, Eric E.] Univ Calif San Diego, Scripps Inst Oceanog, Marine Biol Res Div, La Jolla, CA 92093 USA; [Nowak, Barbara] Univ Tasmania, Inst Marine &amp; Antarctic Studies, Hobart, Tas, Australia; [Elizur, Abigail] Univ Sunshine Coast, Sch Sci &amp; Engn, Genecol Res Ctr, Sippy Downs, Qld, Australia; [Knight, Rob] Univ Calif San Diego, Sch Med, Dept Pediat, La Jolla, CA 92093 USA; [Knight, Rob] Univ Calif San Diego, Dept Comp Sci &amp; Engn, La Jolla, CA 92093 USA; [Knight, Rob] Univ Calif San Diego, Dept Bioengn, La Jolla, CA 92093 USA; [Knight, Rob; Allen, Eric E.] Univ Calif San Diego, Ctr Microbiome Innovat, La Jolla, CA 92093 USA; [Fielder, Stewart] Port Stephens Fisheries Inst, New South Wales Dept Primary Ind, Nelson Bay, NSW, Australia; [Allen, Eric E.] Univ Calif San Diego, Div Biol Sci, La Jolla, CA 92093 USA</t>
        </is>
      </c>
      <c r="Y1398" t="inlineStr">
        <is>
          <t>University of California System; University of California San Diego; Scripps Institution of Oceanography; University of Tasmania; University of the Sunshine Coast; University of California System; University of California San Diego; University of California System; University of California San Diego; University of California System; University of California San Diego; University of California System; University of California San Diego; NSW Department of Primary Industries; University of California System; University of California San Diego</t>
        </is>
      </c>
      <c r="Z1398" t="inlineStr">
        <is>
          <t>Allen, EE (corresponding author), Univ Calif San Diego, Scripps Inst Oceanog, Marine Biol Res Div, La Jolla, CA 92093 USA.;Allen, EE (corresponding author), Univ Calif San Diego, Ctr Microbiome Innovat, La Jolla, CA 92093 USA.;Fielder, S (corresponding author), Port Stephens Fisheries Inst, New South Wales Dept Primary Ind, Nelson Bay, NSW, Australia.;Allen, EE (corresponding author), Univ Calif San Diego, Div Biol Sci, La Jolla, CA 92093 USA.</t>
        </is>
      </c>
      <c r="AA1398" t="inlineStr">
        <is>
          <t>stewart.fielder@dpi.nsw.gov.au; ealen@ucsd.edu</t>
        </is>
      </c>
      <c r="AB1398" t="inlineStr">
        <is>
          <t>Fielder, Donald Stewart/K-7911-2017; Knight, Rob/D-1299-2010; Nowak, Barbara/J-7261-2014</t>
        </is>
      </c>
      <c r="AC1398" t="inlineStr">
        <is>
          <t>Fielder, Donald Stewart/0000-0002-4519-2769; Nowak, Barbara/0000-0002-0347-643X; Knight, Rob/0000-0002-0975-9019</t>
        </is>
      </c>
      <c r="AD1398" t="inlineStr">
        <is>
          <t>Australia Academy of Sciences AustraliaAmerica Ph.D. Research Internship Program; National Science Foundation PRFB Award [2011004]; National Science Foundation [OCE-1837116]; National Institutes of Health NIEHS [R01-ES030316]; Australian Fisheries Research and Development Corporation project [2015/213]; Div Of Biological Infrastructure; Direct For Biological Sciences [2011004] Funding Source: National Science Foundation</t>
        </is>
      </c>
      <c r="AE1398" t="inlineStr">
        <is>
          <t>Australia Academy of Sciences AustraliaAmerica Ph.D. Research Internship Program; National Science Foundation PRFB Award(National Science Foundation (NSF)); National Science Foundation(National Science Foundation (NSF)); National Institutes of Health NIEHS(United States Department of Health &amp; Human ServicesNational Institutes of Health (NIH) - USANIH National Institute of Environmental Health Sciences (NIEHS)); Australian Fisheries Research and Development Corporation project; Div Of Biological Infrastructure; Direct For Biological Sciences(National Science Foundation (NSF)NSF - Directorate for Biological Sciences (BIO))</t>
        </is>
      </c>
      <c r="AF1398" t="inlineStr">
        <is>
          <t>This work was supported by an Australia Academy of Sciences Australia-America Ph.D. Research Internship Program award to JM and National Science Foundation PRFB Award: 2011004. National Science Foundation grant OCE-1837116 to EA, and National Institutes of Health NIEHS grant R01-ES030316 to EA. Aquarium work at NSW DPI was supported by the Australian Fisheries Research and Development Corporation project 2015/213 Enabling Landbased Production of Juvenile Yellowtail Kingfish in NSW.</t>
        </is>
      </c>
      <c r="AH1398" t="n">
        <v>82</v>
      </c>
      <c r="AI1398" t="n">
        <v>9</v>
      </c>
      <c r="AJ1398" t="n">
        <v>9</v>
      </c>
      <c r="AK1398" t="n">
        <v>1</v>
      </c>
      <c r="AL1398" t="n">
        <v>9</v>
      </c>
      <c r="AM1398" t="inlineStr">
        <is>
          <t>FRONTIERS MEDIA SA</t>
        </is>
      </c>
      <c r="AN1398" t="inlineStr">
        <is>
          <t>LAUSANNE</t>
        </is>
      </c>
      <c r="AO1398" t="inlineStr">
        <is>
          <t>AVENUE DU TRIBUNAL FEDERAL 34, LAUSANNE, CH-1015, SWITZERLAND</t>
        </is>
      </c>
      <c r="AQ1398" t="inlineStr">
        <is>
          <t>2296-7745</t>
        </is>
      </c>
      <c r="AS1398" t="inlineStr">
        <is>
          <t>FRONT MAR SCI</t>
        </is>
      </c>
      <c r="AT1398" t="inlineStr">
        <is>
          <t>Front. Mar. Sci.</t>
        </is>
      </c>
      <c r="AU1398" t="inlineStr">
        <is>
          <t>MAY 13</t>
        </is>
      </c>
      <c r="AV1398" t="n">
        <v>2021</v>
      </c>
      <c r="AW1398" t="n">
        <v>8</v>
      </c>
      <c r="BE1398" t="n">
        <v>676731</v>
      </c>
      <c r="BF1398" t="inlineStr">
        <is>
          <t>10.3389/fmars.2021.676731</t>
        </is>
      </c>
      <c r="BG1398">
        <f>HYPERLINK("http://dx.doi.org/10.3389/fmars.2021.676731","http://dx.doi.org/10.3389/fmars.2021.676731")</f>
        <v/>
      </c>
      <c r="BJ1398" t="n">
        <v>14</v>
      </c>
      <c r="BK1398" t="inlineStr">
        <is>
          <t>Environmental Sciences; Marine &amp; Freshwater Biology</t>
        </is>
      </c>
      <c r="BL1398" t="inlineStr">
        <is>
          <t>Science Citation Index Expanded (SCI-EXPANDED)</t>
        </is>
      </c>
      <c r="BM1398" t="inlineStr">
        <is>
          <t>Environmental Sciences &amp; Ecology; Marine &amp; Freshwater Biology</t>
        </is>
      </c>
      <c r="BN1398" t="inlineStr">
        <is>
          <t>SL7MZ</t>
        </is>
      </c>
      <c r="BO1398" t="n">
        <v>36248701</v>
      </c>
      <c r="BP1398" t="inlineStr">
        <is>
          <t>Green Published, Green Accepted, gold, Green Submitted</t>
        </is>
      </c>
      <c r="BS1398" t="inlineStr">
        <is>
          <t>2023-10-26</t>
        </is>
      </c>
      <c r="BT1398" t="inlineStr">
        <is>
          <t>WOS:000657099900001</t>
        </is>
      </c>
      <c r="BU1398">
        <f>HYPERLINK("https%3A%2F%2Fwww.webofscience.com%2Fwos%2Fwoscc%2Ffull-record%2FWOS:000657099900001","View Full Record in Web of Science")</f>
        <v/>
      </c>
    </row>
    <row r="1399">
      <c r="A1399" t="inlineStr">
        <is>
          <t>J</t>
        </is>
      </c>
      <c r="B1399" t="inlineStr">
        <is>
          <t>Takahashi, K; Amemiya, K; Nakatsuka, M; Nakamura, K; Kasai, M; Meguro, K</t>
        </is>
      </c>
      <c r="F1399" t="inlineStr">
        <is>
          <t>Takahashi, Kyoko; Amemiya, Katsuaki; Nakatsuka, Masahiro; Nakamura, Kei; Kasai, Mari; Meguro, Kenichi</t>
        </is>
      </c>
      <c r="J1399" t="inlineStr">
        <is>
          <t>INTERNATIONAL JOURNAL OF ENVIRONMENTAL RESEARCH AND PUBLIC HEALTH</t>
        </is>
      </c>
      <c r="M1399" t="inlineStr">
        <is>
          <t>English</t>
        </is>
      </c>
      <c r="N1399" t="inlineStr">
        <is>
          <t>Article</t>
        </is>
      </c>
      <c r="T1399" t="inlineStr">
        <is>
          <t>Impaired Eating and Swallowing Function in Older Adults in the Community: The Kurihara Project</t>
        </is>
      </c>
      <c r="U1399" t="inlineStr">
        <is>
          <t>eating; swallowing; older adults; dementia; community</t>
        </is>
      </c>
      <c r="V1399" t="inlineStr">
        <is>
          <t>OROPHARYNGEAL DYSPHAGIA; DEMENTING DISEASES; PREVALENCE; JAPAN</t>
        </is>
      </c>
      <c r="W1399" t="inlineStr">
        <is>
          <t>Introduction: Older adults with dementia often develop aspiration pneumonia as a complication due to deterioration of swallowing function. Herein, we report our findings of eating and swallowing-related functions in elderly local residents. Methods: The subjects were 229 elderly residents in Kurihara City, including 97 healthy (Clinical Dementia Rating (CDR): 0), 108 with mild cognitive impairment (MCI) (CDR: 0.5), and 24 with dementia (CDR: 1 or higher: CDR 1+). We analyzed the relationships between the findings, eating, and swallowing, based on the database of the Kurihara Project performed from 2008 to 2010. Results: In the CDR 0.5 group, some deterioration in oral condition, oral function and swallowing function was confirmed. In the CDR 0.5 group, tooth staining, decrease in oral diadochokinesis (oral motion velocity), increased number of points below the cut-off value in a repetitive saliva swallowing test and the questionnaire, and prolonged water swallowing time were confirmed. In the CDR 1+ group, bad breath, elimination of the pharyngeal reflex, increase in disturbed soft palate elevation, and prolonged jelly swallowing time were confirmed. Conclusions: Deterioration of swallowing function was confirmed, even in subjects with mild dementia, in addition to development of problems related to food intake.</t>
        </is>
      </c>
      <c r="X1399" t="inlineStr">
        <is>
          <t>[Takahashi, Kyoko; Amemiya, Katsuaki; Nakatsuka, Masahiro; Nakamura, Kei; Kasai, Mari; Meguro, Kenichi] Tohoku Univ, Geriatr Behav Neurol Project, New Ind Creat Hatchery Ctr NICHe, Sendai, Miyagi 9808575, Japan; [Meguro, Kenichi] Tohoku Univ, CYRIC, Div Nucl Med, Sendai, Miyagi 9808575, Japan</t>
        </is>
      </c>
      <c r="Y1399" t="inlineStr">
        <is>
          <t>Tohoku University; Tohoku University</t>
        </is>
      </c>
      <c r="Z1399" t="inlineStr">
        <is>
          <t>Meguro, K (corresponding author), Tohoku Univ, Geriatr Behav Neurol Project, New Ind Creat Hatchery Ctr NICHe, Sendai, Miyagi 9808575, Japan.;Meguro, K (corresponding author), Tohoku Univ, CYRIC, Div Nucl Med, Sendai, Miyagi 9808575, Japan.</t>
        </is>
      </c>
      <c r="AA1399" t="inlineStr">
        <is>
          <t>rdjjs639@ybb.ne.jp; amemy_junten@yahoo.co.jp; nakatsuka@med.tohoku.ac.jp; knkmr@med.tohoku.ac.jp; sato-mari@umin.ac.jp; k-meg@umin.ac.jp</t>
        </is>
      </c>
      <c r="AB1399" t="inlineStr">
        <is>
          <t>NAKAMURA, Kei/Q-5980-2017</t>
        </is>
      </c>
      <c r="AC1399" t="inlineStr">
        <is>
          <t>NAKAMURA, Kei/0000-0002-7030-1496</t>
        </is>
      </c>
      <c r="AH1399" t="n">
        <v>19</v>
      </c>
      <c r="AI1399" t="n">
        <v>8</v>
      </c>
      <c r="AJ1399" t="n">
        <v>8</v>
      </c>
      <c r="AK1399" t="n">
        <v>1</v>
      </c>
      <c r="AL1399" t="n">
        <v>6</v>
      </c>
      <c r="AM1399" t="inlineStr">
        <is>
          <t>MDPI</t>
        </is>
      </c>
      <c r="AN1399" t="inlineStr">
        <is>
          <t>BASEL</t>
        </is>
      </c>
      <c r="AO1399" t="inlineStr">
        <is>
          <t>ST ALBAN-ANLAGE 66, CH-4052 BASEL, SWITZERLAND</t>
        </is>
      </c>
      <c r="AQ1399" t="inlineStr">
        <is>
          <t>1660-4601</t>
        </is>
      </c>
      <c r="AS1399" t="inlineStr">
        <is>
          <t>INT J ENV RES PUB HE</t>
        </is>
      </c>
      <c r="AT1399" t="inlineStr">
        <is>
          <t>Int. J. Environ. Res. Public Health</t>
        </is>
      </c>
      <c r="AU1399" t="inlineStr">
        <is>
          <t>OCT</t>
        </is>
      </c>
      <c r="AV1399" t="n">
        <v>2019</v>
      </c>
      <c r="AW1399" t="n">
        <v>16</v>
      </c>
      <c r="AX1399" t="n">
        <v>20</v>
      </c>
      <c r="BE1399" t="n">
        <v>4040</v>
      </c>
      <c r="BF1399" t="inlineStr">
        <is>
          <t>10.3390/ijerph16204040</t>
        </is>
      </c>
      <c r="BG1399">
        <f>HYPERLINK("http://dx.doi.org/10.3390/ijerph16204040","http://dx.doi.org/10.3390/ijerph16204040")</f>
        <v/>
      </c>
      <c r="BJ1399" t="n">
        <v>8</v>
      </c>
      <c r="BK1399" t="inlineStr">
        <is>
          <t>Environmental Sciences; Public, Environmental &amp; Occupational Health</t>
        </is>
      </c>
      <c r="BL1399" t="inlineStr">
        <is>
          <t>Science Citation Index Expanded (SCI-EXPANDED); Social Science Citation Index (SSCI)</t>
        </is>
      </c>
      <c r="BM1399" t="inlineStr">
        <is>
          <t>Environmental Sciences &amp; Ecology; Public, Environmental &amp; Occupational Health</t>
        </is>
      </c>
      <c r="BN1399" t="inlineStr">
        <is>
          <t>JK3XV</t>
        </is>
      </c>
      <c r="BO1399" t="n">
        <v>31652511</v>
      </c>
      <c r="BP1399" t="inlineStr">
        <is>
          <t>Green Published, gold</t>
        </is>
      </c>
      <c r="BS1399" t="inlineStr">
        <is>
          <t>2023-10-26</t>
        </is>
      </c>
      <c r="BT1399" t="inlineStr">
        <is>
          <t>WOS:000494779100254</t>
        </is>
      </c>
      <c r="BU1399">
        <f>HYPERLINK("https%3A%2F%2Fwww.webofscience.com%2Fwos%2Fwoscc%2Ffull-record%2FWOS:000494779100254","View Full Record in Web of Science")</f>
        <v/>
      </c>
    </row>
    <row r="1400">
      <c r="A1400" t="inlineStr">
        <is>
          <t>J</t>
        </is>
      </c>
      <c r="B1400" t="inlineStr">
        <is>
          <t>Lundgren, R; Kyrö, R; Jylhä, T</t>
        </is>
      </c>
      <c r="F1400" t="inlineStr">
        <is>
          <t>Lundgren, Rebecka; Kyro, Riikka; Jylha, Tuuli</t>
        </is>
      </c>
      <c r="J1400" t="inlineStr">
        <is>
          <t>SUSTAINABILITY</t>
        </is>
      </c>
      <c r="M1400" t="inlineStr">
        <is>
          <t>English</t>
        </is>
      </c>
      <c r="N1400" t="inlineStr">
        <is>
          <t>Article</t>
        </is>
      </c>
      <c r="T1400" t="inlineStr">
        <is>
          <t>Access-Based Consumption in the Built Environment: Sharing Spaces</t>
        </is>
      </c>
      <c r="U1400" t="inlineStr">
        <is>
          <t>access-based consumption; circular economy; collaborative consumption; collaborative spaces; co-location; co-working; hybrid spaces; serviced spaces; shared spaces; sharing economy</t>
        </is>
      </c>
      <c r="V1400" t="inlineStr">
        <is>
          <t>CO-WORKING SPACES; ECONOMY; INNOVATION; OWNERSHIP; COWORKING; COLLABORATION; EXPERIENCE; STEPS</t>
        </is>
      </c>
      <c r="W1400" t="inlineStr">
        <is>
          <t>The pressing need to implement a more circular economy has led to advancements in the research field. In the spatial context, sharing spaces and access-over-ownership models have the potential to mitigate the detrimental environmental impacts of space use. This study aims to adapt an existing theoretical framework on access-based consumption to the spatial context. We utilise a qualitative case study approach exploring a variety of shared spaces from Northern Europe. Our findings suggest that shared spaces and their organisation are inherently fluid. The study further reveals that the physical object of sharing, even in the case of shared spaces, is being partially replaced with virtual and hybrid solutions. In fact, a hybrid solution seems to enable organisations delivering shared spaces to be more dynamic. Finally, we find that in the spatial context, two types of political consumerism prevail: decommercialization of spaces on the one hand and promoting environmental sustainability on the other. This study is the first to suggest a holistic framework for access-based consumption in the spatial context. The findings will be useful to scholars and practitioners engaged in developing, owning and providing services for shared spaces.</t>
        </is>
      </c>
      <c r="X1400" t="inlineStr">
        <is>
          <t>[Lundgren, Rebecka; Kyro, Riikka] Lund Univ, Fac Engn, S-22100 Lund, Sweden; [Jylha, Tuuli] Delft Univ Technol, Dept Management Built Environm, NL-2600 GA Delft, Netherlands</t>
        </is>
      </c>
      <c r="Y1400" t="inlineStr">
        <is>
          <t>Lund University; Delft University of Technology</t>
        </is>
      </c>
      <c r="Z1400" t="inlineStr">
        <is>
          <t>Lundgren, R (corresponding author), Lund Univ, Fac Engn, S-22100 Lund, Sweden.</t>
        </is>
      </c>
      <c r="AA1400" t="inlineStr">
        <is>
          <t>rebecka.lundgren@lth.lu.se; riikka.kyro@lth.lu.se; t.e.jylha@tudelft.nl</t>
        </is>
      </c>
      <c r="AC1400" t="inlineStr">
        <is>
          <t>Lundgren, Rebecka/0000-0003-0217-2095</t>
        </is>
      </c>
      <c r="AD1400" t="inlineStr">
        <is>
          <t>Swedish Research Council for Sustainable Development Formas [2020-00664]; Lund University; Formas [2020-00664] Funding Source: Formas; Swedish Research Council [2020-00664] Funding Source: Swedish Research Council</t>
        </is>
      </c>
      <c r="AE1400" t="inlineStr">
        <is>
          <t>Swedish Research Council for Sustainable Development Formas(Swedish Research Council Formas); Lund University; Formas(Swedish Research Council Formas); Swedish Research Council(Swedish Research CouncilSwedish Research Council for Health Working Life &amp; Welfare (Forte)Swedish Research Council Formas)</t>
        </is>
      </c>
      <c r="AF1400" t="inlineStr">
        <is>
          <t>This research was funded by the Swedish Research Council for Sustainable Development Formas, grant number 2020-00664. The APC was partially funded by Lund University.</t>
        </is>
      </c>
      <c r="AH1400" t="n">
        <v>55</v>
      </c>
      <c r="AI1400" t="n">
        <v>0</v>
      </c>
      <c r="AJ1400" t="n">
        <v>0</v>
      </c>
      <c r="AK1400" t="n">
        <v>7</v>
      </c>
      <c r="AL1400" t="n">
        <v>18</v>
      </c>
      <c r="AM1400" t="inlineStr">
        <is>
          <t>MDPI</t>
        </is>
      </c>
      <c r="AN1400" t="inlineStr">
        <is>
          <t>BASEL</t>
        </is>
      </c>
      <c r="AO1400" t="inlineStr">
        <is>
          <t>ST ALBAN-ANLAGE 66, CH-4052 BASEL, SWITZERLAND</t>
        </is>
      </c>
      <c r="AQ1400" t="inlineStr">
        <is>
          <t>2071-1050</t>
        </is>
      </c>
      <c r="AS1400" t="inlineStr">
        <is>
          <t>SUSTAINABILITY-BASEL</t>
        </is>
      </c>
      <c r="AT1400" t="inlineStr">
        <is>
          <t>Sustainability</t>
        </is>
      </c>
      <c r="AU1400" t="inlineStr">
        <is>
          <t>MAY</t>
        </is>
      </c>
      <c r="AV1400" t="n">
        <v>2022</v>
      </c>
      <c r="AW1400" t="n">
        <v>14</v>
      </c>
      <c r="AX1400" t="n">
        <v>9</v>
      </c>
      <c r="BE1400" t="n">
        <v>5550</v>
      </c>
      <c r="BF1400" t="inlineStr">
        <is>
          <t>10.3390/su14095550</t>
        </is>
      </c>
      <c r="BG1400">
        <f>HYPERLINK("http://dx.doi.org/10.3390/su14095550","http://dx.doi.org/10.3390/su14095550")</f>
        <v/>
      </c>
      <c r="BJ1400" t="n">
        <v>26</v>
      </c>
      <c r="BK1400" t="inlineStr">
        <is>
          <t>Green &amp; Sustainable Science &amp; Technology; Environmental Sciences; Environmental Studies</t>
        </is>
      </c>
      <c r="BL1400" t="inlineStr">
        <is>
          <t>Science Citation Index Expanded (SCI-EXPANDED); Social Science Citation Index (SSCI)</t>
        </is>
      </c>
      <c r="BM1400" t="inlineStr">
        <is>
          <t>Science &amp; Technology - Other Topics; Environmental Sciences &amp; Ecology</t>
        </is>
      </c>
      <c r="BN1400" t="inlineStr">
        <is>
          <t>1F5ZT</t>
        </is>
      </c>
      <c r="BP1400" t="inlineStr">
        <is>
          <t>gold</t>
        </is>
      </c>
      <c r="BS1400" t="inlineStr">
        <is>
          <t>2023-10-26</t>
        </is>
      </c>
      <c r="BT1400" t="inlineStr">
        <is>
          <t>WOS:000795247700001</t>
        </is>
      </c>
      <c r="BU1400">
        <f>HYPERLINK("https%3A%2F%2Fwww.webofscience.com%2Fwos%2Fwoscc%2Ffull-record%2FWOS:000795247700001","View Full Record in Web of Science")</f>
        <v/>
      </c>
    </row>
    <row r="1401">
      <c r="A1401" t="inlineStr">
        <is>
          <t>J</t>
        </is>
      </c>
      <c r="B1401" t="inlineStr">
        <is>
          <t>Hwang, EJ</t>
        </is>
      </c>
      <c r="F1401" t="inlineStr">
        <is>
          <t>Hwang, Eun Jeong</t>
        </is>
      </c>
      <c r="J1401" t="inlineStr">
        <is>
          <t>INTERNATIONAL JOURNAL OF ENVIRONMENTAL RESEARCH AND PUBLIC HEALTH</t>
        </is>
      </c>
      <c r="M1401" t="inlineStr">
        <is>
          <t>English</t>
        </is>
      </c>
      <c r="N1401" t="inlineStr">
        <is>
          <t>Article</t>
        </is>
      </c>
      <c r="T1401" t="inlineStr">
        <is>
          <t>Analysis of Factors Associated with Subjective Mild Cognitive Impairment (MCI) among Older Adults Resident in the Community</t>
        </is>
      </c>
      <c r="U1401" t="inlineStr">
        <is>
          <t>mild cognitive impairment; older adult; personal characteristics; health promotion activities; quality of life</t>
        </is>
      </c>
      <c r="V1401" t="inlineStr">
        <is>
          <t>LIFE</t>
        </is>
      </c>
      <c r="W1401" t="inlineStr">
        <is>
          <t>This study explored the associated factors of mild cognitive impairment (MCI) in older adults, focusing on personal characteristics and health promotion activities. The research design of this study was a non-experimental, cross-sectional design. This study used secondary data from the 2019 community health survey conducted by the Korea Disease Control and Prevention Agency (KDCA). In this study, 20,041 older adults with subjective MCI and 52,587 healthy older adults-a total of 72,628 subjects-were analyzed as the final subjects in this study. The data were analyzed by using descriptive statistics, a chi-square test, an independent t-test, and logistic regression. The results indicate that the probability of experiencing subjective MCI significantly decreased with an increase in monthly income (odds ratio (OR) = 1.71, 95% confidence interval (CI) = 1.19-2.46); increased with an increase in depressive symptoms (odds ratio (OR) = 1.09, 95% confidence interval (CI) = 1.04-1.15); and decreased with an increase in the quality of life level (OR = 0.90, 95% CI = 0.82-0.99). Through the results of this study, several factors related to MCI in older adults were identified. If these related factors are properly managed, the possibility of MCI in older adults may be reduced. Therefore, MCI in older adults should be addressed as a preventable disease rather than a natural aging process.</t>
        </is>
      </c>
      <c r="X1401" t="inlineStr">
        <is>
          <t>[Hwang, Eun Jeong] Sehan Univ, Dept Nursing, 1113 Samho eup, Yeongam gun 58447, South Korea</t>
        </is>
      </c>
      <c r="Y1401" t="inlineStr">
        <is>
          <t>Sehan University</t>
        </is>
      </c>
      <c r="Z1401" t="inlineStr">
        <is>
          <t>Hwang, EJ (corresponding author), Sehan Univ, Dept Nursing, 1113 Samho eup, Yeongam gun 58447, South Korea.</t>
        </is>
      </c>
      <c r="AA1401" t="inlineStr">
        <is>
          <t>ejhwang@sehan.ac.kr</t>
        </is>
      </c>
      <c r="AD1401" t="inlineStr">
        <is>
          <t>Sehan University</t>
        </is>
      </c>
      <c r="AE1401" t="inlineStr">
        <is>
          <t>Sehan University</t>
        </is>
      </c>
      <c r="AF1401" t="inlineStr">
        <is>
          <t>This research was funded by the Sehan University Research Fund in 2022.</t>
        </is>
      </c>
      <c r="AH1401" t="n">
        <v>36</v>
      </c>
      <c r="AI1401" t="n">
        <v>1</v>
      </c>
      <c r="AJ1401" t="n">
        <v>1</v>
      </c>
      <c r="AK1401" t="n">
        <v>0</v>
      </c>
      <c r="AL1401" t="n">
        <v>2</v>
      </c>
      <c r="AM1401" t="inlineStr">
        <is>
          <t>MDPI</t>
        </is>
      </c>
      <c r="AN1401" t="inlineStr">
        <is>
          <t>BASEL</t>
        </is>
      </c>
      <c r="AO1401" t="inlineStr">
        <is>
          <t>ST ALBAN-ANLAGE 66, CH-4052 BASEL, SWITZERLAND</t>
        </is>
      </c>
      <c r="AQ1401" t="inlineStr">
        <is>
          <t>1660-4601</t>
        </is>
      </c>
      <c r="AS1401" t="inlineStr">
        <is>
          <t>INT J ENV RES PUB HE</t>
        </is>
      </c>
      <c r="AT1401" t="inlineStr">
        <is>
          <t>Int. J. Environ. Res. Public Health</t>
        </is>
      </c>
      <c r="AU1401" t="inlineStr">
        <is>
          <t>AUG</t>
        </is>
      </c>
      <c r="AV1401" t="n">
        <v>2022</v>
      </c>
      <c r="AW1401" t="n">
        <v>19</v>
      </c>
      <c r="AX1401" t="n">
        <v>16</v>
      </c>
      <c r="BE1401" t="n">
        <v>10387</v>
      </c>
      <c r="BF1401" t="inlineStr">
        <is>
          <t>10.3390/ijerph191610387</t>
        </is>
      </c>
      <c r="BG1401">
        <f>HYPERLINK("http://dx.doi.org/10.3390/ijerph191610387","http://dx.doi.org/10.3390/ijerph191610387")</f>
        <v/>
      </c>
      <c r="BJ1401" t="n">
        <v>11</v>
      </c>
      <c r="BK1401" t="inlineStr">
        <is>
          <t>Environmental Sciences; Public, Environmental &amp; Occupational Health</t>
        </is>
      </c>
      <c r="BL1401" t="inlineStr">
        <is>
          <t>Science Citation Index Expanded (SCI-EXPANDED); Social Science Citation Index (SSCI)</t>
        </is>
      </c>
      <c r="BM1401" t="inlineStr">
        <is>
          <t>Environmental Sciences &amp; Ecology; Public, Environmental &amp; Occupational Health</t>
        </is>
      </c>
      <c r="BN1401" t="inlineStr">
        <is>
          <t>4C5UL</t>
        </is>
      </c>
      <c r="BO1401" t="n">
        <v>36012018</v>
      </c>
      <c r="BP1401" t="inlineStr">
        <is>
          <t>gold, Green Published</t>
        </is>
      </c>
      <c r="BS1401" t="inlineStr">
        <is>
          <t>2023-10-26</t>
        </is>
      </c>
      <c r="BT1401" t="inlineStr">
        <is>
          <t>WOS:000846518000001</t>
        </is>
      </c>
      <c r="BU1401">
        <f>HYPERLINK("https%3A%2F%2Fwww.webofscience.com%2Fwos%2Fwoscc%2Ffull-record%2FWOS:000846518000001","View Full Record in Web of Science")</f>
        <v/>
      </c>
    </row>
    <row r="1402">
      <c r="A1402" t="inlineStr">
        <is>
          <t>J</t>
        </is>
      </c>
      <c r="B1402" t="inlineStr">
        <is>
          <t>Puhakka, S; Pyky, R; Lankila, T; Kangas, M; Rusanen, J; Ikäheimo, TM; Koivumaa-Honkanen, H; Korpelainen, R</t>
        </is>
      </c>
      <c r="F1402" t="inlineStr">
        <is>
          <t>Puhakka, Soile; Pyky, Riitta; Lankila, Tiina; Kangas, Maarit; Rusanen, Jarmo; Ikaheimo, Tiina M.; Koivumaa-Honkanen, Heli; Korpelainen, Raija</t>
        </is>
      </c>
      <c r="J1402" t="inlineStr">
        <is>
          <t>INTERNATIONAL JOURNAL OF ENVIRONMENTAL RESEARCH AND PUBLIC HEALTH</t>
        </is>
      </c>
      <c r="M1402" t="inlineStr">
        <is>
          <t>English</t>
        </is>
      </c>
      <c r="N1402" t="inlineStr">
        <is>
          <t>Article</t>
        </is>
      </c>
      <c r="T1402" t="inlineStr">
        <is>
          <t>Physical Activity, Residential Environment, and Nature Relatedness in Young Men-A Population-Based MOPO Study</t>
        </is>
      </c>
      <c r="U1402" t="inlineStr">
        <is>
          <t>nature relatedness; physical activity; physical activity with parents; residential environment; GIS</t>
        </is>
      </c>
      <c r="V1402" t="inlineStr">
        <is>
          <t>GREEN SPACE; HEALTH-BENEFITS; STRESS; ASSOCIATION; EXPERIENCES; EXPOSURE; WALKING</t>
        </is>
      </c>
      <c r="W1402" t="inlineStr">
        <is>
          <t>Background: In general, nature relatedness is positively associated with physical activity, health, and subjective well-being. However, increased residence in urban areas, and the decrease in natural spaces, may affect the younger generation most adversely. The associated environmental changes can increase youths' risk of spending most of their time indoors, and weaken their nature relatedness, making them less likely to enjoy nature's health benefits. This is a serious public health issue, since inadequate physical activity, combined with minimum time spent in green space, can affect health across the whole lifespan. Thus, to develop effective interventions for physical activation and promote health and well-being among young men, further knowledge of the determinants of their nature relatedness is necessary. Aims: To explore factors related to nature relatedness, including physical activity, physical activity with parents, and residential environment. Methods: The study population consisted of all 914 young men (mean-17.8 years; SD-0.5) who participated in mandatory call-ups for military service and completed the study questionnaire in 2013. The questionnaire inquired about their nature relatedness, demographic characteristics, socioeconomic status, physical activity, health, and subjective well-being. A geographic information system (GIS) was used to assess the features of their residential environments. Multivariable linear regression was used to analyze the data. Results: Physical activity (p = 0.021) and physical activity with parents at primary school age (p = 0.007), and currently (p = 0.001) as well as good self-rated health (p = 0.001), and father's higher socioeconomic status (p = 0.041), were positively connected to nature relatedness. Conclusions: Physical activity in general, physical activity with parents, and nature relatedness were positively related. This knowledge can be utilized in promoting physical activity and health among young men.</t>
        </is>
      </c>
      <c r="X1402" t="inlineStr">
        <is>
          <t>[Puhakka, Soile; Pyky, Riitta; Korpelainen, Raija] Oulu Deaconess Inst, Dept Sports &amp; Exercise Med, POB 365, Oulu 90100, Finland; [Puhakka, Soile; Pyky, Riitta; Lankila, Tiina; Korpelainen, Raija] Univ Oulu, Fac Med, Ctr Life Course Hlth Res, POB 5000, Oulu 90014, Finland; [Puhakka, Soile; Lankila, Tiina; Rusanen, Jarmo] Univ Oulu, Fac Sci, Geog Res Unit, POB 3000, Oulu 90014, Finland; [Pyky, Riitta; Kangas, Maarit; Ikaheimo, Tiina M.; Korpelainen, Raija] Oulu Univ Hosp, Med Res Ctr, POB 5000, Oulu 90014, Finland; [Pyky, Riitta; Kangas, Maarit; Ikaheimo, Tiina M.; Korpelainen, Raija] Univ Oulu, POB 5000, Oulu 90014, Finland; [Pyky, Riitta; Kangas, Maarit] Univ Oulu, Fac Med, Res Unit Med Imaging Phys &amp; Technol, POB 5000, Oulu 90014, Finland; [Ikaheimo, Tiina M.] Univ Oulu, Ctr Environm &amp; Resp Hlth Res, POB 5000, Oulu 90014, Finland; [Koivumaa-Honkanen, Heli] KUH, Dept Psychiat, POB 100, Kuopio 70029, Finland; [Koivumaa-Honkanen, Heli] Lapland Hosp Dist, Dept Psychiat, POB 8041, Rovaniemi 96101, Finland; [Koivumaa-Honkanen, Heli] Univ Eastern Finland, Inst Clin Med, Dept Psychiat, POB 1627, Kuopio 70211, Finland</t>
        </is>
      </c>
      <c r="Y1402" t="inlineStr">
        <is>
          <t>University of Oulu; University of Oulu; University of Oulu; University of Oulu; University of Oulu; University of Oulu; Kuopio University Hospital; University of Eastern Finland</t>
        </is>
      </c>
      <c r="Z1402" t="inlineStr">
        <is>
          <t>Puhakka, S (corresponding author), Oulu Deaconess Inst, Dept Sports &amp; Exercise Med, POB 365, Oulu 90100, Finland.;Puhakka, S (corresponding author), Univ Oulu, Fac Med, Ctr Life Course Hlth Res, POB 5000, Oulu 90014, Finland.;Puhakka, S (corresponding author), Univ Oulu, Fac Sci, Geog Res Unit, POB 3000, Oulu 90014, Finland.</t>
        </is>
      </c>
      <c r="AA1402" t="inlineStr">
        <is>
          <t>soile.puhakka@oulu.fi; riitta.pyky@odl.fi; tiina.lankila@oulu.fi; maarit.kangas@oulu.fi; jarmo.rusanen@oulu.fi; tiina.ikaheimo@oulu.fi; heli.koivumaa@kuh.fi; raija.korpelainen@odl.fi</t>
        </is>
      </c>
      <c r="AB1402" t="inlineStr">
        <is>
          <t>Koivumaa-Honkanen, Heli TJ/L-1274-2015</t>
        </is>
      </c>
      <c r="AC1402" t="inlineStr">
        <is>
          <t>Lankila, Tiina/0000-0002-2448-9643; Ikaheimo, Tiina Maria/0000-0002-2763-6004; Korpelainen, Raija/0000-0002-3627-0542</t>
        </is>
      </c>
      <c r="AD1402" t="inlineStr">
        <is>
          <t>Finnish Ministry of Education and Culture [DNRO 125/627/2009, 98/627/2010, 97/627/2011]; Juho Vainio Foundation; Centre for Military Medicine, Northern Ostrobothnia Hospital Disctrict; Finnish Funding Agency for Technology and Innovation (European Regional Development Fund) [70037/2010, 70035/2011]; Centre for Economic Development, Transport and the Environment of North Ostrobothnia (European Social Fund) [S11580]; Sports Institute Foundation, Finland; City of Oulu; Virpiniemi Sport Institute; Finnish Defence Forces</t>
        </is>
      </c>
      <c r="AE1402" t="inlineStr">
        <is>
          <t>Finnish Ministry of Education and Culture; Juho Vainio Foundation; Centre for Military Medicine, Northern Ostrobothnia Hospital Disctrict; Finnish Funding Agency for Technology and Innovation (European Regional Development Fund); Centre for Economic Development, Transport and the Environment of North Ostrobothnia (European Social Fund); Sports Institute Foundation, Finland; City of Oulu; Virpiniemi Sport Institute; Finnish Defence Forces</t>
        </is>
      </c>
      <c r="AF1402" t="inlineStr">
        <is>
          <t>This study was supported by the Finnish Ministry of Education and Culture (DNRO 125/627/2009, 98/627/2010, 97/627/2011), Juho Vainio Foundation, Centre for Military Medicine, Northern Ostrobothnia Hospital Disctrict, the Finnish Funding Agency for Technology and Innovation (European Regional Development Fund, 70037/2010 and 70035/2011), and Centre for Economic Development, Transport and the Environment of North Ostrobothnia (European Social Fund, project number S11580) and Sports Institute Foundation, Finland. The financers had no role in the study design, collection, analysis, or interpretation of the data, writing the manuscript, or the decision to submit the paper for publication. The authors acknowledge City of Oulu, Virpiniemi Sport Institute, and the Finnish Defence Forces for their support.</t>
        </is>
      </c>
      <c r="AH1402" t="n">
        <v>60</v>
      </c>
      <c r="AI1402" t="n">
        <v>15</v>
      </c>
      <c r="AJ1402" t="n">
        <v>15</v>
      </c>
      <c r="AK1402" t="n">
        <v>2</v>
      </c>
      <c r="AL1402" t="n">
        <v>27</v>
      </c>
      <c r="AM1402" t="inlineStr">
        <is>
          <t>MDPI</t>
        </is>
      </c>
      <c r="AN1402" t="inlineStr">
        <is>
          <t>BASEL</t>
        </is>
      </c>
      <c r="AO1402" t="inlineStr">
        <is>
          <t>ST ALBAN-ANLAGE 66, CH-4052 BASEL, SWITZERLAND</t>
        </is>
      </c>
      <c r="AQ1402" t="inlineStr">
        <is>
          <t>1660-4601</t>
        </is>
      </c>
      <c r="AS1402" t="inlineStr">
        <is>
          <t>INT J ENV RES PUB HE</t>
        </is>
      </c>
      <c r="AT1402" t="inlineStr">
        <is>
          <t>Int. J. Environ. Res. Public Health</t>
        </is>
      </c>
      <c r="AU1402" t="inlineStr">
        <is>
          <t>OCT</t>
        </is>
      </c>
      <c r="AV1402" t="n">
        <v>2018</v>
      </c>
      <c r="AW1402" t="n">
        <v>15</v>
      </c>
      <c r="AX1402" t="n">
        <v>10</v>
      </c>
      <c r="BE1402" t="n">
        <v>2322</v>
      </c>
      <c r="BF1402" t="inlineStr">
        <is>
          <t>10.3390/ijerph15102322</t>
        </is>
      </c>
      <c r="BG1402">
        <f>HYPERLINK("http://dx.doi.org/10.3390/ijerph15102322","http://dx.doi.org/10.3390/ijerph15102322")</f>
        <v/>
      </c>
      <c r="BJ1402" t="n">
        <v>12</v>
      </c>
      <c r="BK1402" t="inlineStr">
        <is>
          <t>Environmental Sciences; Public, Environmental &amp; Occupational Health</t>
        </is>
      </c>
      <c r="BL1402" t="inlineStr">
        <is>
          <t>Science Citation Index Expanded (SCI-EXPANDED); Social Science Citation Index (SSCI)</t>
        </is>
      </c>
      <c r="BM1402" t="inlineStr">
        <is>
          <t>Environmental Sciences &amp; Ecology; Public, Environmental &amp; Occupational Health</t>
        </is>
      </c>
      <c r="BN1402" t="inlineStr">
        <is>
          <t>GY7TQ</t>
        </is>
      </c>
      <c r="BO1402" t="n">
        <v>30360438</v>
      </c>
      <c r="BP1402" t="inlineStr">
        <is>
          <t>Green Published, Green Submitted, gold</t>
        </is>
      </c>
      <c r="BS1402" t="inlineStr">
        <is>
          <t>2023-10-26</t>
        </is>
      </c>
      <c r="BT1402" t="inlineStr">
        <is>
          <t>WOS:000448818100264</t>
        </is>
      </c>
      <c r="BU1402">
        <f>HYPERLINK("https%3A%2F%2Fwww.webofscience.com%2Fwos%2Fwoscc%2Ffull-record%2FWOS:000448818100264","View Full Record in Web of Science")</f>
        <v/>
      </c>
    </row>
    <row r="1403">
      <c r="A1403" t="inlineStr">
        <is>
          <t>J</t>
        </is>
      </c>
      <c r="B1403" t="inlineStr">
        <is>
          <t>Yang, HJ; Yoon, H</t>
        </is>
      </c>
      <c r="F1403" t="inlineStr">
        <is>
          <t>Yang, Hee Jin; Yoon, Heeyeun</t>
        </is>
      </c>
      <c r="J1403" t="inlineStr">
        <is>
          <t>SUSTAINABILITY</t>
        </is>
      </c>
      <c r="M1403" t="inlineStr">
        <is>
          <t>English</t>
        </is>
      </c>
      <c r="N1403" t="inlineStr">
        <is>
          <t>Article</t>
        </is>
      </c>
      <c r="T1403" t="inlineStr">
        <is>
          <t>Revealing an Integrative Mechanism of Cognition, Emotion, and Heat-Protective Action of Older Adults</t>
        </is>
      </c>
      <c r="U1403" t="inlineStr">
        <is>
          <t>heat wave; climate change; older adults; adaptive behaviors; structural equation models</t>
        </is>
      </c>
      <c r="V1403" t="inlineStr">
        <is>
          <t>HEALTH BELIEF MODEL; CLIMATE-CHANGE; ADAPTIVE BEHAVIORS; RISK PERCEPTION; EXTREME HEAT; MORTALITY; MORBIDITY; WAVES; COMMUNITY; AWARENESS</t>
        </is>
      </c>
      <c r="W1403" t="inlineStr">
        <is>
          <t>This study aims to provide an in-depth understanding of what motivates older adults to take their adaptive behaviors during extreme heat events. Elaborating the mediating role of emotion in human behaviors, we empirically explore an interrelationship between individuals' cognition, emotion, and heat-protective action in response to heat warning system alarms. Through face-to-face surveys and structural equation modeling, this study reveals that an increased level of cognition about climate change, heat waves, and local policy measures leads to emotional responses such as concern and worry, and consequently encourages people to comply with heat-related public guidelines. Furthermore, we also consider individuals' pre-existing health conditions and their previous experiences of heat-related illnesses together with the emotional factors. The role of emotion in mediating between cognition and heat-protective action is much greater than in mediating between pre-existing health conditions and heat-protective action. We conclude that policy interventions to educate older adults can effectively increase the likelihood of individual compliance with the relevant preventive measures beyond their individual health and experiences.</t>
        </is>
      </c>
      <c r="X1403" t="inlineStr">
        <is>
          <t>[Yang, Hee Jin] Incheon Natl Univ, Incheon Studies Inst, Incheon 22012, South Korea; [Yoon, Heeyeun] Seoul Natl Univ, Dept Landscape Architecture &amp; Rural Syst Engn, Coll Agr &amp; Life Sci, Seoul 08826, South Korea</t>
        </is>
      </c>
      <c r="Y1403" t="inlineStr">
        <is>
          <t>Incheon National University; Seoul National University (SNU)</t>
        </is>
      </c>
      <c r="Z1403" t="inlineStr">
        <is>
          <t>Yoon, H (corresponding author), Seoul Natl Univ, Dept Landscape Architecture &amp; Rural Syst Engn, Coll Agr &amp; Life Sci, Seoul 08826, South Korea.</t>
        </is>
      </c>
      <c r="AA1403" t="inlineStr">
        <is>
          <t>hjyang@inu.ac.kr; hyyoon@snu.ac.kr</t>
        </is>
      </c>
      <c r="AC1403" t="inlineStr">
        <is>
          <t>Yang, Hee Jin/0000-0002-5406-8081</t>
        </is>
      </c>
      <c r="AD1403" t="inlineStr">
        <is>
          <t>Korea Environmental Industry and Technology Institute through the Urban Ecological Health Promotion Technology Development Project - Korea Ministry of Environment [2020002770003]; Creative-Pioneering Researchers Program through Seoul National University; Incheon National University Research Concentration Professor Grant in 2020</t>
        </is>
      </c>
      <c r="AE1403" t="inlineStr">
        <is>
          <t>Korea Environmental Industry and Technology Institute through the Urban Ecological Health Promotion Technology Development Project - Korea Ministry of Environment; Creative-Pioneering Researchers Program through Seoul National University; Incheon National University Research Concentration Professor Grant in 2020</t>
        </is>
      </c>
      <c r="AF1403" t="inlineStr">
        <is>
          <t>This work was supported by the Korea Environmental Industry and Technology Institute through the Urban Ecological Health Promotion Technology Development Project, funded by the Korea Ministry of Environment under grant number 2020002770003, and the Creative-Pioneering Researchers Program through Seoul National University. This work was also supported by Incheon National University Research Concentration Professor Grant in 2020.</t>
        </is>
      </c>
      <c r="AH1403" t="n">
        <v>41</v>
      </c>
      <c r="AI1403" t="n">
        <v>1</v>
      </c>
      <c r="AJ1403" t="n">
        <v>1</v>
      </c>
      <c r="AK1403" t="n">
        <v>1</v>
      </c>
      <c r="AL1403" t="n">
        <v>20</v>
      </c>
      <c r="AM1403" t="inlineStr">
        <is>
          <t>MDPI</t>
        </is>
      </c>
      <c r="AN1403" t="inlineStr">
        <is>
          <t>BASEL</t>
        </is>
      </c>
      <c r="AO1403" t="inlineStr">
        <is>
          <t>ST ALBAN-ANLAGE 66, CH-4052 BASEL, SWITZERLAND</t>
        </is>
      </c>
      <c r="AQ1403" t="inlineStr">
        <is>
          <t>2071-1050</t>
        </is>
      </c>
      <c r="AS1403" t="inlineStr">
        <is>
          <t>SUSTAINABILITY-BASEL</t>
        </is>
      </c>
      <c r="AT1403" t="inlineStr">
        <is>
          <t>Sustainability</t>
        </is>
      </c>
      <c r="AU1403" t="inlineStr">
        <is>
          <t>MAR</t>
        </is>
      </c>
      <c r="AV1403" t="n">
        <v>2021</v>
      </c>
      <c r="AW1403" t="n">
        <v>13</v>
      </c>
      <c r="AX1403" t="n">
        <v>6</v>
      </c>
      <c r="BE1403" t="n">
        <v>3534</v>
      </c>
      <c r="BF1403" t="inlineStr">
        <is>
          <t>10.3390/su13063534</t>
        </is>
      </c>
      <c r="BG1403">
        <f>HYPERLINK("http://dx.doi.org/10.3390/su13063534","http://dx.doi.org/10.3390/su13063534")</f>
        <v/>
      </c>
      <c r="BJ1403" t="n">
        <v>12</v>
      </c>
      <c r="BK1403" t="inlineStr">
        <is>
          <t>Green &amp; Sustainable Science &amp; Technology; Environmental Sciences; Environmental Studies</t>
        </is>
      </c>
      <c r="BL1403" t="inlineStr">
        <is>
          <t>Science Citation Index Expanded (SCI-EXPANDED); Social Science Citation Index (SSCI)</t>
        </is>
      </c>
      <c r="BM1403" t="inlineStr">
        <is>
          <t>Science &amp; Technology - Other Topics; Environmental Sciences &amp; Ecology</t>
        </is>
      </c>
      <c r="BN1403" t="inlineStr">
        <is>
          <t>RV4FD</t>
        </is>
      </c>
      <c r="BP1403" t="inlineStr">
        <is>
          <t>gold, Green Published</t>
        </is>
      </c>
      <c r="BS1403" t="inlineStr">
        <is>
          <t>2023-10-26</t>
        </is>
      </c>
      <c r="BT1403" t="inlineStr">
        <is>
          <t>WOS:000645789800001</t>
        </is>
      </c>
      <c r="BU1403">
        <f>HYPERLINK("https%3A%2F%2Fwww.webofscience.com%2Fwos%2Fwoscc%2Ffull-record%2FWOS:000645789800001","View Full Record in Web of Science")</f>
        <v/>
      </c>
    </row>
    <row r="1404">
      <c r="A1404" t="inlineStr">
        <is>
          <t>J</t>
        </is>
      </c>
      <c r="B1404" t="inlineStr">
        <is>
          <t>Pérez-Urrestarazu, L; Fernández-Cañero, R; Franco, A; Egea, G</t>
        </is>
      </c>
      <c r="F1404" t="inlineStr">
        <is>
          <t>Perez-Urrestarazu, L.; Fernandez-Canero, R.; Franco, A.; Egea, G.</t>
        </is>
      </c>
      <c r="J1404" t="inlineStr">
        <is>
          <t>ECOLOGICAL ENGINEERING</t>
        </is>
      </c>
      <c r="M1404" t="inlineStr">
        <is>
          <t>English</t>
        </is>
      </c>
      <c r="N1404" t="inlineStr">
        <is>
          <t>Article</t>
        </is>
      </c>
      <c r="T1404" t="inlineStr">
        <is>
          <t>Influence of an active living wall on indoor temperature and humidity conditions</t>
        </is>
      </c>
      <c r="U1404" t="inlineStr">
        <is>
          <t>Living walls; Evaporative cooling; Indoor environment; Vertical gardena</t>
        </is>
      </c>
      <c r="V1404" t="inlineStr">
        <is>
          <t>AIR; BIOFILTRATION</t>
        </is>
      </c>
      <c r="W1404" t="inlineStr">
        <is>
          <t>Living walls are systems that allow the development of vegetation in a vertical surface attached to building facades or indoor walls. Traditionally, they have behaved as 'passive' bio-filters, but new approaches and technologies are moving towards their integration within the building's air conditioning and ventilation systems. In an Active Living Wall (ALW), air is forced to pass through the vegetated wall to take advantage of their evaporative cooling potential as well as the capacity of these biological systems to purify air. In the case of indoor ALWs, air is cooled, bio-filtered and humidified thus potentially reducing ventilation requirements. This work describes a prototypic indoor ALWs installed at the University of Seville (Spain). Preliminary results of its performance on indoor air conditions (temperature and humidity) are presented and discussed. Drops in temperature between 0.8 and 4.8 degrees C have been observed at different distances from the ALW. The cooling process was more efficient when the initial conditions of the room were drier and warmer. (C) 2016 Elsevier B.V. All rights reserved.</t>
        </is>
      </c>
      <c r="X1404" t="inlineStr">
        <is>
          <t>[Perez-Urrestarazu, L.; Fernandez-Canero, R.; Franco, A.; Egea, G.] Univ Seville, ETSIA, Urban Greening &amp; Biosyst Engn Res Grp, Ctra Utrera Km 1, Seville 41013, Spain</t>
        </is>
      </c>
      <c r="Y1404" t="inlineStr">
        <is>
          <t>University of Sevilla</t>
        </is>
      </c>
      <c r="Z1404" t="inlineStr">
        <is>
          <t>Egea, G (corresponding author), Univ Seville, ETSIA, Urban Greening &amp; Biosyst Engn Res Grp, Ctra Utrera Km 1, Seville 41013, Spain.</t>
        </is>
      </c>
      <c r="AA1404" t="inlineStr">
        <is>
          <t>lperez@us.es; rafafc@us.es; afranco@us.es; gegea@us.es</t>
        </is>
      </c>
      <c r="AB1404" t="inlineStr">
        <is>
          <t>Cañero, Rafael Fernández/N-1380-2014; Salas, Antonio Franco/L-1282-2014; Pérez-Urrestarazu, Luis/E-7719-2010; Egea, Gregorio/M-8706-2014</t>
        </is>
      </c>
      <c r="AC1404" t="inlineStr">
        <is>
          <t>Salas, Antonio Franco/0000-0001-6842-8685; Pérez-Urrestarazu, Luis/0000-0002-3378-9285; Egea, Gregorio/0000-0001-6285-0981; Fernandez Canero, Rafael/0000-0002-3407-9445</t>
        </is>
      </c>
      <c r="AD1404" t="inlineStr">
        <is>
          <t>spin-off company Terapia Urbana (Seville, Spain)</t>
        </is>
      </c>
      <c r="AE1404" t="inlineStr">
        <is>
          <t>spin-off company Terapia Urbana (Seville, Spain)</t>
        </is>
      </c>
      <c r="AF1404" t="inlineStr">
        <is>
          <t>We thank the spin-off company Terapia Urbana (Seville, Spain) for providing the materials to build the active living wall prototype and partially funding the research project.</t>
        </is>
      </c>
      <c r="AH1404" t="n">
        <v>15</v>
      </c>
      <c r="AI1404" t="n">
        <v>55</v>
      </c>
      <c r="AJ1404" t="n">
        <v>56</v>
      </c>
      <c r="AK1404" t="n">
        <v>3</v>
      </c>
      <c r="AL1404" t="n">
        <v>45</v>
      </c>
      <c r="AM1404" t="inlineStr">
        <is>
          <t>ELSEVIER</t>
        </is>
      </c>
      <c r="AN1404" t="inlineStr">
        <is>
          <t>AMSTERDAM</t>
        </is>
      </c>
      <c r="AO1404" t="inlineStr">
        <is>
          <t>RADARWEG 29, 1043 NX AMSTERDAM, NETHERLANDS</t>
        </is>
      </c>
      <c r="AP1404" t="inlineStr">
        <is>
          <t>0925-8574</t>
        </is>
      </c>
      <c r="AQ1404" t="inlineStr">
        <is>
          <t>1872-6992</t>
        </is>
      </c>
      <c r="AS1404" t="inlineStr">
        <is>
          <t>ECOL ENG</t>
        </is>
      </c>
      <c r="AT1404" t="inlineStr">
        <is>
          <t>Ecol. Eng.</t>
        </is>
      </c>
      <c r="AU1404" t="inlineStr">
        <is>
          <t>MAY</t>
        </is>
      </c>
      <c r="AV1404" t="n">
        <v>2016</v>
      </c>
      <c r="AW1404" t="n">
        <v>90</v>
      </c>
      <c r="BC1404" t="n">
        <v>120</v>
      </c>
      <c r="BD1404" t="n">
        <v>124</v>
      </c>
      <c r="BF1404" t="inlineStr">
        <is>
          <t>10.1016/j.ecoleng.2016.01.050</t>
        </is>
      </c>
      <c r="BG1404">
        <f>HYPERLINK("http://dx.doi.org/10.1016/j.ecoleng.2016.01.050","http://dx.doi.org/10.1016/j.ecoleng.2016.01.050")</f>
        <v/>
      </c>
      <c r="BJ1404" t="n">
        <v>5</v>
      </c>
      <c r="BK1404" t="inlineStr">
        <is>
          <t>Ecology; Engineering, Environmental; Environmental Sciences</t>
        </is>
      </c>
      <c r="BL1404" t="inlineStr">
        <is>
          <t>Science Citation Index Expanded (SCI-EXPANDED)</t>
        </is>
      </c>
      <c r="BM1404" t="inlineStr">
        <is>
          <t>Environmental Sciences &amp; Ecology; Engineering</t>
        </is>
      </c>
      <c r="BN1404" t="inlineStr">
        <is>
          <t>DI3CV</t>
        </is>
      </c>
      <c r="BP1404" t="inlineStr">
        <is>
          <t>Green Published</t>
        </is>
      </c>
      <c r="BS1404" t="inlineStr">
        <is>
          <t>2023-10-26</t>
        </is>
      </c>
      <c r="BT1404" t="inlineStr">
        <is>
          <t>WOS:000373376700017</t>
        </is>
      </c>
      <c r="BU1404">
        <f>HYPERLINK("https%3A%2F%2Fwww.webofscience.com%2Fwos%2Fwoscc%2Ffull-record%2FWOS:000373376700017","View Full Record in Web of Science")</f>
        <v/>
      </c>
    </row>
    <row r="1405">
      <c r="A1405" t="inlineStr">
        <is>
          <t>J</t>
        </is>
      </c>
      <c r="B1405" t="inlineStr">
        <is>
          <t>Szakos, D; Ozsvári, L; Kasza, G</t>
        </is>
      </c>
      <c r="F1405" t="inlineStr">
        <is>
          <t>Szakos, David; Ozsvari, Laszlo; Kasza, Gyula</t>
        </is>
      </c>
      <c r="J1405" t="inlineStr">
        <is>
          <t>SUSTAINABILITY</t>
        </is>
      </c>
      <c r="M1405" t="inlineStr">
        <is>
          <t>English</t>
        </is>
      </c>
      <c r="N1405" t="inlineStr">
        <is>
          <t>Article</t>
        </is>
      </c>
      <c r="T1405" t="inlineStr">
        <is>
          <t>Perception of Older Adults about Health-Related Functionality of Foods Compared with Other Age Groups</t>
        </is>
      </c>
      <c r="U1405" t="inlineStr">
        <is>
          <t>functional food; consumer survey; nutrition claims; health claims; older adults; healthy diet; healthy ageing</t>
        </is>
      </c>
      <c r="V1405" t="inlineStr">
        <is>
          <t>PRODUCT COMPATIBILITY; PERCEIVED HEALTHINESS; CONSUMER PREFERENCES; ELDERLY CONSUMERS; AGING POPULATION; NUTRITION; CLAIMS; ACCEPTANCE; ATTITUDES; HETEROGENEITY</t>
        </is>
      </c>
      <c r="W1405" t="inlineStr">
        <is>
          <t>The proportion of older adults in the population is significantly growing in the EU, therefore, wellbeing of the older population has become a social challenge. Functional foodstuffs are food products with nutritional composition that may reduce the risk of diet-related diseases or enhance physiological functions. Therefore, they could play an important role in prevention and mitigation of health-related problems, and in promotion of healthy ageing. The aim of this study is to present the impact of age on consumer preferences about functionality of foods, covering attitude aspects, nutrition claims, possible carriers, some particular health problems and expectations about sustainable production. The results are based on a representative quantitative survey. Findings highlight statistically significant (p &lt; 0.05) differences in preferences of older adults compared to other age segments. They generally accept functional foods, especially when functionality is attached to increased vitamin, protein, and fiber content. Older adults also prefer products with lower salt and sugar content, which were less relevant for other age groups. Products of fruit and vegetable origin are distinguished as carriers of functional traits. Compared to other segments, older adults accept products of animal origin (especially milk products) and even breakfast products on a higher level. The paper provides details about particular health issues that could be addressed by functional foods based on actual consumer concerns.</t>
        </is>
      </c>
      <c r="X1405" t="inlineStr">
        <is>
          <t>[Szakos, David; Ozsvari, Laszlo; Kasza, Gyula] Univ Vet Med Budapest, Dept Vet Forens Econ, Budapest 1078, Hungary</t>
        </is>
      </c>
      <c r="Y1405" t="inlineStr">
        <is>
          <t>University of Veterinary Medicine Budapest</t>
        </is>
      </c>
      <c r="Z1405" t="inlineStr">
        <is>
          <t>Szakos, D (corresponding author), Univ Vet Med Budapest, Dept Vet Forens Econ, Budapest 1078, Hungary.</t>
        </is>
      </c>
      <c r="AA1405" t="inlineStr">
        <is>
          <t>szakos.david@univet.hu; ozsvari.laszlo@univet.hu; kasza.gyula@univet.hu</t>
        </is>
      </c>
      <c r="AC1405" t="inlineStr">
        <is>
          <t>Szakos, David/0000-0002-0280-0090; Ozsvari, Laszlo/0000-0002-5568-7319</t>
        </is>
      </c>
      <c r="AD1405" t="inlineStr">
        <is>
          <t>European Union; European Social Fund [EFOP-3.6.1-16-2016-00024, EFOP-3.6.2-16-2017-00012, EFOP-3.6.3-VEKOP-16-2017-00005]</t>
        </is>
      </c>
      <c r="AE1405" t="inlineStr">
        <is>
          <t>European Union(European Union (EU)); European Social Fund(European Social Fund (ESF))</t>
        </is>
      </c>
      <c r="AF1405" t="inlineStr">
        <is>
          <t>The Project was supported by the European Union and co-financed by the European Social Fund: (1) EFOP-3.6.1-16-2016-00024 'Innovations for Intelligent Specialization on the University of Veterinary Science and the Faculty of Agricultural and Food Sciences of the Szechenyi Istvan University Cooperation'; (2) EFOP-3.6.2-16-2017-00012 `Development of a product chain model for functional, healthy and safe foods from farm to fork based on a thematic research network'; and (3) EFOP-3.6.3-VEKOP-16-2017-00005 `Strengthening the scientific replacement by supporting the academic workshops and programs of students, developing a mentoring process'.</t>
        </is>
      </c>
      <c r="AH1405" t="n">
        <v>57</v>
      </c>
      <c r="AI1405" t="n">
        <v>8</v>
      </c>
      <c r="AJ1405" t="n">
        <v>9</v>
      </c>
      <c r="AK1405" t="n">
        <v>3</v>
      </c>
      <c r="AL1405" t="n">
        <v>16</v>
      </c>
      <c r="AM1405" t="inlineStr">
        <is>
          <t>MDPI</t>
        </is>
      </c>
      <c r="AN1405" t="inlineStr">
        <is>
          <t>BASEL</t>
        </is>
      </c>
      <c r="AO1405" t="inlineStr">
        <is>
          <t>ST ALBAN-ANLAGE 66, CH-4052 BASEL, SWITZERLAND</t>
        </is>
      </c>
      <c r="AQ1405" t="inlineStr">
        <is>
          <t>2071-1050</t>
        </is>
      </c>
      <c r="AS1405" t="inlineStr">
        <is>
          <t>SUSTAINABILITY-BASEL</t>
        </is>
      </c>
      <c r="AT1405" t="inlineStr">
        <is>
          <t>Sustainability</t>
        </is>
      </c>
      <c r="AU1405" t="inlineStr">
        <is>
          <t>APR</t>
        </is>
      </c>
      <c r="AV1405" t="n">
        <v>2020</v>
      </c>
      <c r="AW1405" t="n">
        <v>12</v>
      </c>
      <c r="AX1405" t="n">
        <v>7</v>
      </c>
      <c r="BE1405" t="n">
        <v>2748</v>
      </c>
      <c r="BF1405" t="inlineStr">
        <is>
          <t>10.3390/su12072748</t>
        </is>
      </c>
      <c r="BG1405">
        <f>HYPERLINK("http://dx.doi.org/10.3390/su12072748","http://dx.doi.org/10.3390/su12072748")</f>
        <v/>
      </c>
      <c r="BJ1405" t="n">
        <v>18</v>
      </c>
      <c r="BK1405" t="inlineStr">
        <is>
          <t>Green &amp; Sustainable Science &amp; Technology; Environmental Sciences; Environmental Studies</t>
        </is>
      </c>
      <c r="BL1405" t="inlineStr">
        <is>
          <t>Science Citation Index Expanded (SCI-EXPANDED); Social Science Citation Index (SSCI)</t>
        </is>
      </c>
      <c r="BM1405" t="inlineStr">
        <is>
          <t>Science &amp; Technology - Other Topics; Environmental Sciences &amp; Ecology</t>
        </is>
      </c>
      <c r="BN1405" t="inlineStr">
        <is>
          <t>LL4WR</t>
        </is>
      </c>
      <c r="BP1405" t="inlineStr">
        <is>
          <t>gold, Green Published</t>
        </is>
      </c>
      <c r="BS1405" t="inlineStr">
        <is>
          <t>2023-10-26</t>
        </is>
      </c>
      <c r="BT1405" t="inlineStr">
        <is>
          <t>WOS:000531558100173</t>
        </is>
      </c>
      <c r="BU1405">
        <f>HYPERLINK("https%3A%2F%2Fwww.webofscience.com%2Fwos%2Fwoscc%2Ffull-record%2FWOS:000531558100173","View Full Record in Web of Science")</f>
        <v/>
      </c>
    </row>
    <row r="1406">
      <c r="A1406" t="inlineStr">
        <is>
          <t>S</t>
        </is>
      </c>
      <c r="B1406" t="inlineStr">
        <is>
          <t>Gaudiano, P</t>
        </is>
      </c>
      <c r="E1406" t="inlineStr">
        <is>
          <t>NYAS</t>
        </is>
      </c>
      <c r="F1406" t="inlineStr">
        <is>
          <t>Gaudiano, Paolo</t>
        </is>
      </c>
      <c r="J1406" t="inlineStr">
        <is>
          <t>IMPLICATIONS OF A DATA DRIVEN-BUILT ENVIRONMENT</t>
        </is>
      </c>
      <c r="K1406" t="inlineStr">
        <is>
          <t>Annals of the New York Academy of Sciences</t>
        </is>
      </c>
      <c r="M1406" t="inlineStr">
        <is>
          <t>English</t>
        </is>
      </c>
      <c r="N1406" t="inlineStr">
        <is>
          <t>Article; Proceedings Paper</t>
        </is>
      </c>
      <c r="O1406" t="inlineStr">
        <is>
          <t>Conference on Implications of a Data-Driven Built Environment</t>
        </is>
      </c>
      <c r="P1406" t="inlineStr">
        <is>
          <t>MAY 30, 2012</t>
        </is>
      </c>
      <c r="Q1406" t="inlineStr">
        <is>
          <t>New York Acad Sci, New York, NY</t>
        </is>
      </c>
      <c r="S1406" t="inlineStr">
        <is>
          <t>New York Acad Sci</t>
        </is>
      </c>
      <c r="T1406" t="inlineStr">
        <is>
          <t>Agent-based simulation as a tool for the built environment</t>
        </is>
      </c>
      <c r="W1406" t="inlineStr">
        <is>
          <t>There is a growing need to increase the performance of the built environment through a combination of improved design, retrofitting of existing structures, and behavioral and policy change. Increased performance includes decreasing construction and operational costs, improving efficiency, reducing energy consumption and overall carbon footprint, and increasing the health, safety, and comfort of building occupants. Data collection and analysis are central to ongoing efforts in performance improvement. The growth of sensor and monitoring technologies, coupled with the proliferation of building automation systems, is quickly leading to an explosion in the amount, quality, and format of building performance data. What is needed are methodologies for extracting viable information from these data and using the results to effect meaningful change. Furthermore, occupant behavior and attitudes must be taken into account. This paper summarizes agent-based simulation and describes its potential as an approach to support analysis, design, and performance improvements in the built environment.</t>
        </is>
      </c>
      <c r="X1406" t="inlineStr">
        <is>
          <t>Icosystem Corp, Cambridge, MA 02138 USA</t>
        </is>
      </c>
      <c r="Z1406" t="inlineStr">
        <is>
          <t>Gaudiano, P (corresponding author), Icosystem Corp, 10 Fawcett St, Cambridge, MA 02138 USA.</t>
        </is>
      </c>
      <c r="AA1406" t="inlineStr">
        <is>
          <t>paolo@icosystem.com</t>
        </is>
      </c>
      <c r="AH1406" t="n">
        <v>14</v>
      </c>
      <c r="AI1406" t="n">
        <v>6</v>
      </c>
      <c r="AJ1406" t="n">
        <v>6</v>
      </c>
      <c r="AK1406" t="n">
        <v>2</v>
      </c>
      <c r="AL1406" t="n">
        <v>20</v>
      </c>
      <c r="AM1406" t="inlineStr">
        <is>
          <t>BLACKWELL SCIENCE PUBL</t>
        </is>
      </c>
      <c r="AN1406" t="inlineStr">
        <is>
          <t>OXFORD</t>
        </is>
      </c>
      <c r="AO1406" t="inlineStr">
        <is>
          <t>OSNEY MEAD, OXFORD OX2 0EL, ENGLAND</t>
        </is>
      </c>
      <c r="AP1406" t="inlineStr">
        <is>
          <t>0077-8923</t>
        </is>
      </c>
      <c r="AS1406" t="inlineStr">
        <is>
          <t>ANN NY ACAD SCI</t>
        </is>
      </c>
      <c r="AT1406" t="inlineStr">
        <is>
          <t>Ann.NY Acad.Sci.</t>
        </is>
      </c>
      <c r="AV1406" t="n">
        <v>2013</v>
      </c>
      <c r="AW1406" t="n">
        <v>1295</v>
      </c>
      <c r="BC1406" t="n">
        <v>26</v>
      </c>
      <c r="BD1406" t="n">
        <v>33</v>
      </c>
      <c r="BF1406" t="inlineStr">
        <is>
          <t>10.1111/nyas.12162</t>
        </is>
      </c>
      <c r="BG1406">
        <f>HYPERLINK("http://dx.doi.org/10.1111/nyas.12162","http://dx.doi.org/10.1111/nyas.12162")</f>
        <v/>
      </c>
      <c r="BJ1406" t="n">
        <v>8</v>
      </c>
      <c r="BK1406" t="inlineStr">
        <is>
          <t>Construction &amp; Building Technology; Environmental Sciences</t>
        </is>
      </c>
      <c r="BL1406" t="inlineStr">
        <is>
          <t>Conference Proceedings Citation Index - Science (CPCI-S); Science Citation Index Expanded (SCI-EXPANDED)</t>
        </is>
      </c>
      <c r="BM1406" t="inlineStr">
        <is>
          <t>Construction &amp; Building Technology; Environmental Sciences &amp; Ecology</t>
        </is>
      </c>
      <c r="BN1406" t="inlineStr">
        <is>
          <t>BHJ98</t>
        </is>
      </c>
      <c r="BO1406" t="n">
        <v>23773227</v>
      </c>
      <c r="BS1406" t="inlineStr">
        <is>
          <t>2023-10-26</t>
        </is>
      </c>
      <c r="BT1406" t="inlineStr">
        <is>
          <t>WOS:000325684000004</t>
        </is>
      </c>
      <c r="BU1406">
        <f>HYPERLINK("https%3A%2F%2Fwww.webofscience.com%2Fwos%2Fwoscc%2Ffull-record%2FWOS:000325684000004","View Full Record in Web of Science")</f>
        <v/>
      </c>
    </row>
    <row r="1407">
      <c r="A1407" t="inlineStr">
        <is>
          <t>J</t>
        </is>
      </c>
      <c r="B1407" t="inlineStr">
        <is>
          <t>Gardner, B; Betson, M; Rosel, AC; Caniça, M; Chambers, MA; Contadini, FM; Villeta, LCG; Hassan, MM; La Ragione, RM; de Menezes, A; Messina, D; Nichols, G; Olivenca, DV; Phalkey, R; Prada, JM; Ruppitsch, W; Santorelli, LA; Selemetas, N; Tharmakulasingam, M; van Vliet, AHM; Woegerbauer, M; Deza-Cruz, I; Lo Iacono, G</t>
        </is>
      </c>
      <c r="F1407" t="inlineStr">
        <is>
          <t>Gardner, Brian; Betson, Martha; Rosel, Adriana Cabal; Canica, Manuela; Chambers, Mark A.; Contadini, Francesca M.; Villeta, Laura C. Gonzalez; Hassan, Marwa M.; La Ragione, Roberto M.; de Menezes, Alexandre; Messina, Davide; Nichols, Gordon; Olivenca, Daniel, V; Phalkey, Revati; Prada, Joaquin M.; Ruppitsch, Werner; Santorelli, Lorenzo A.; Selemetas, Nick; Tharmakulasingam, Mukunthan; van Vliet, Arnoud H. M.; Woegerbauer, Markus; Deza-Cruz, Inaki; Lo Iacono, Giovanni</t>
        </is>
      </c>
      <c r="J1407" t="inlineStr">
        <is>
          <t>ENVIRONMENT INTERNATIONAL</t>
        </is>
      </c>
      <c r="M1407" t="inlineStr">
        <is>
          <t>English</t>
        </is>
      </c>
      <c r="N1407" t="inlineStr">
        <is>
          <t>Article</t>
        </is>
      </c>
      <c r="T1407" t="inlineStr">
        <is>
          <t>Mapping the evidence of the effects of environmental factors on the prevalence of antibiotic resistance in the non-built environment: Protocol for a systematic evidence map</t>
        </is>
      </c>
      <c r="U1407" t="inlineStr">
        <is>
          <t>Antibiotic resistant bacteria; Antibiotic resistance gene; Environment; One Health; Systematic evidence mapping; ARB; ARG; SEM</t>
        </is>
      </c>
      <c r="W1407" t="inlineStr">
        <is>
          <t>Background: Human, animal, and environmental health are increasingly threatened by the emergence and spread of antibiotic resistance. Inappropriate use of antibiotic treatments commonly contributes to this threat, but it is also becoming apparent that multiple, interconnected environmental factors can play a significant role. Thus, a One Health approach is required for a comprehensive understanding of the environmental dimensions of anti-biotic resistance and inform science-based decisions and actions. The broad and multidisciplinary nature of the problem poses several open questions drawing upon a wide heterogeneous range of studies.Objective: This study seeks to collect and catalogue the evidence of the potential effects of environmental factors on the abundance or detection of antibiotic resistance determinants in the outdoor environment, i.e., antibiotic resistant bacteria and mobile genetic elements carrying antibiotic resistance genes, and the effect on those caused by local environmental conditions of either natural or anthropogenic origin.Methods: Here, we describe the protocol for a systematic evidence map to address this, which will be performed in adherence to best practice guidelines. We will search the literature from 1990 to present, using the following electronic databases: MEDLINE, Embase, and the Web of Science Core Collection as well as the grey literature. We shall include full-text, scientific articles published in English. Reviewers will work in pairs to screen title, abstract and keywords first and then full-text documents. Data extraction will adhere to a code book purposely designed. Risk of bias assessment will not be conducted as part of this SEM.We will combine tables, graphs, and other suitable visualisation techniques to compile a database i) of studies investigating the factors associated with the prevalence of antibiotic resistance in the environment and ii) map the distribution, network, cross-disciplinarity, impact and trends in the literature.</t>
        </is>
      </c>
      <c r="X1407" t="inlineStr">
        <is>
          <t>[Gardner, Brian; Betson, Martha; Chambers, Mark A.; Contadini, Francesca M.; Villeta, Laura C. Gonzalez; Hassan, Marwa M.; La Ragione, Roberto M.; Prada, Joaquin M.; van Vliet, Arnoud H. M.; Deza-Cruz, Inaki; Lo Iacono, Giovanni] Univ Surrey, Fac Hlth &amp; Med Sci, Sch Vet Med, Guildford GU2 7AL, Surrey, England; [Rosel, Adriana Cabal; Ruppitsch, Werner; Woegerbauer, Markus] Austrian Agcy Hlth &amp; Food Safety, Vienna, Austria; [Canica, Manuela; Olivenca, Daniel, V] Natl Inst Hlth Dr Ricardo Jorge, Lisbon, Portugal; [Chambers, Mark A.; La Ragione, Roberto M.; Santorelli, Lorenzo A.; Selemetas, Nick] Univ Surrey, Fac Hlth &amp; Med Sci, Sch Biosci &amp; Med, Guildford GU2 7XH, England; [de Menezes, Alexandre] Natl Univ Ireland, Galway, Ireland; [Messina, Davide] Univ Nottingham, Sch Vet Med &amp; Sci, Loughborough, Leics, England; [Nichols, Gordon; Phalkey, Revati] UK Hlth Secur Agcy, Edgware, Middx, England; [Tharmakulasingam, Mukunthan] Univ Surrey, Fac Elect &amp; Phys Sci, Ctr Vis Speech &amp; Signal Proc, Guildford GU2 7XH, Surrey, England; [Lo Iacono, Giovanni] Surrey Inst People Centred Artificial Intelligenc, Guildford, Surrey, England</t>
        </is>
      </c>
      <c r="Y1407" t="inlineStr">
        <is>
          <t>University of Surrey; Instituto Nacional de Saude Dr. Ricardo Jorge; University of Surrey; Ollscoil na Gaillimhe-University of Galway; University of Nottingham; UK Health Security Agency (UKHSA); University of Surrey</t>
        </is>
      </c>
      <c r="Z1407" t="inlineStr">
        <is>
          <t>Lo Iacono, G (corresponding author), Univ Surrey, Fac Hlth &amp; Med Sci, Sch Vet Med, Guildford GU2 7AL, Surrey, England.</t>
        </is>
      </c>
      <c r="AA1407" t="inlineStr">
        <is>
          <t>g.loiacono@surrey.ac.uk</t>
        </is>
      </c>
      <c r="AB1407" t="inlineStr">
        <is>
          <t>Woegerbauer, Markus/IAR-0890-2023; de Menezes, Alexandre B./H-5834-2019; Caniça, Manuela/H-3759-2016; Chambers, Mark/M-6189-2019; Messina, Davide/ADK-1661-2022; Betson, Martha/D-3818-2014; Lo Iacono, Giovanni/H-9855-2012; de Menezes, Alexandre/J-6733-2013; La Ragione, Roberto/Q-9916-2017</t>
        </is>
      </c>
      <c r="AC1407" t="inlineStr">
        <is>
          <t>Woegerbauer, Markus/0000-0002-5913-7453; Caniça, Manuela/0000-0002-2077-6231; Chambers, Mark/0000-0002-8073-8069; Messina, Davide/0000-0003-3813-5501; Betson, Martha/0000-0002-4220-3290; Lo Iacono, Giovanni/0000-0002-6150-2843; Tharmakulasingam, Mukunthan/0000-0002-2081-7865; Cabal Rosel, Adriana/0000-0001-9346-1612; de Menezes, Alexandre/0000-0001-5244-3354; La Ragione, Roberto/0000-0001-5861-613X; Deza-Cruz, Inaki/0000-0002-3754-1084</t>
        </is>
      </c>
      <c r="AD1407" t="inlineStr">
        <is>
          <t>European Union's Horizon 2020 Research and Innovation programme [773830]</t>
        </is>
      </c>
      <c r="AE1407" t="inlineStr">
        <is>
          <t>European Union's Horizon 2020 Research and Innovation programme(Horizon 2020)</t>
        </is>
      </c>
      <c r="AF1407" t="inlineStr">
        <is>
          <t>This work was supported by funding from the European Union's Horizon 2020 Research and Innovation programme under grant agreement No 773830: One Health European Joint Programme. The funder had no role in the development of this protocol.</t>
        </is>
      </c>
      <c r="AH1407" t="n">
        <v>38</v>
      </c>
      <c r="AI1407" t="n">
        <v>3</v>
      </c>
      <c r="AJ1407" t="n">
        <v>3</v>
      </c>
      <c r="AK1407" t="n">
        <v>2</v>
      </c>
      <c r="AL1407" t="n">
        <v>4</v>
      </c>
      <c r="AM1407" t="inlineStr">
        <is>
          <t>PERGAMON-ELSEVIER SCIENCE LTD</t>
        </is>
      </c>
      <c r="AN1407" t="inlineStr">
        <is>
          <t>OXFORD</t>
        </is>
      </c>
      <c r="AO1407" t="inlineStr">
        <is>
          <t>THE BOULEVARD, LANGFORD LANE, KIDLINGTON, OXFORD OX5 1GB, ENGLAND</t>
        </is>
      </c>
      <c r="AP1407" t="inlineStr">
        <is>
          <t>0160-4120</t>
        </is>
      </c>
      <c r="AQ1407" t="inlineStr">
        <is>
          <t>1873-6750</t>
        </is>
      </c>
      <c r="AS1407" t="inlineStr">
        <is>
          <t>ENVIRON INT</t>
        </is>
      </c>
      <c r="AT1407" t="inlineStr">
        <is>
          <t>Environ. Int.</t>
        </is>
      </c>
      <c r="AU1407" t="inlineStr">
        <is>
          <t>JAN</t>
        </is>
      </c>
      <c r="AV1407" t="n">
        <v>2023</v>
      </c>
      <c r="AW1407" t="n">
        <v>171</v>
      </c>
      <c r="BE1407" t="n">
        <v>107707</v>
      </c>
      <c r="BF1407" t="inlineStr">
        <is>
          <t>10.1016/j.envint.2022.107707</t>
        </is>
      </c>
      <c r="BG1407">
        <f>HYPERLINK("http://dx.doi.org/10.1016/j.envint.2022.107707","http://dx.doi.org/10.1016/j.envint.2022.107707")</f>
        <v/>
      </c>
      <c r="BI1407" t="inlineStr">
        <is>
          <t>DEC 2022</t>
        </is>
      </c>
      <c r="BJ1407" t="n">
        <v>10</v>
      </c>
      <c r="BK1407" t="inlineStr">
        <is>
          <t>Environmental Sciences</t>
        </is>
      </c>
      <c r="BL1407" t="inlineStr">
        <is>
          <t>Science Citation Index Expanded (SCI-EXPANDED)</t>
        </is>
      </c>
      <c r="BM1407" t="inlineStr">
        <is>
          <t>Environmental Sciences &amp; Ecology</t>
        </is>
      </c>
      <c r="BN1407" t="inlineStr">
        <is>
          <t>7U7UV</t>
        </is>
      </c>
      <c r="BO1407" t="n">
        <v>36566718</v>
      </c>
      <c r="BP1407" t="inlineStr">
        <is>
          <t>Green Published, gold, Green Accepted</t>
        </is>
      </c>
      <c r="BS1407" t="inlineStr">
        <is>
          <t>2023-10-26</t>
        </is>
      </c>
      <c r="BT1407" t="inlineStr">
        <is>
          <t>WOS:000912335100001</t>
        </is>
      </c>
      <c r="BU1407">
        <f>HYPERLINK("https%3A%2F%2Fwww.webofscience.com%2Fwos%2Fwoscc%2Ffull-record%2FWOS:000912335100001","View Full Record in Web of Science")</f>
        <v/>
      </c>
    </row>
    <row r="1408">
      <c r="A1408" t="inlineStr">
        <is>
          <t>J</t>
        </is>
      </c>
      <c r="B1408" t="inlineStr">
        <is>
          <t>Peters, M; Ratz, T; Wichmann, F; Lippke, S; Voelcker-Rehage, C; Pischke, CR</t>
        </is>
      </c>
      <c r="F1408" t="inlineStr">
        <is>
          <t>Peters, Manuela; Ratz, Tiara; Wichmann, Frauke; Lippke, Sonia; Voelcker-Rehage, Claudia; Pischke, Claudia R.</t>
        </is>
      </c>
      <c r="J1408" t="inlineStr">
        <is>
          <t>INTERNATIONAL JOURNAL OF ENVIRONMENTAL RESEARCH AND PUBLIC HEALTH</t>
        </is>
      </c>
      <c r="M1408" t="inlineStr">
        <is>
          <t>English</t>
        </is>
      </c>
      <c r="N1408" t="inlineStr">
        <is>
          <t>Article</t>
        </is>
      </c>
      <c r="T1408" t="inlineStr">
        <is>
          <t>Ecological Predictors of Older Adults' Participation and Retention in a Physical Activity Intervention</t>
        </is>
      </c>
      <c r="U1408" t="inlineStr">
        <is>
          <t>response; dropout; older adults; physical activity interventions; OSM; GIS</t>
        </is>
      </c>
      <c r="V1408" t="inlineStr">
        <is>
          <t>EXERCISE ADHERENCE; HEALTH; ATTRITION; BARRIERS; MOBILITY; WEATHER; PEOPLE; IMPACT; AGE; DETERMINANTS</t>
        </is>
      </c>
      <c r="W1408" t="inlineStr">
        <is>
          <t>Research is still lacking regarding the question as to how programs to promote healthy ageing should be organized in order to increase acceptance and thus effectiveness. For older adults, ecological factors, such as the physical distance to program sites, might predict participation and retention. Thus, the key aim of this analysis was to examine these factors in a physical activity intervention trial. Adults (N = 8299) aged 65 to 75 years were invited to participate and n = 589 participants were randomly assigned to one of two intervention groups with 10 weeks of physical activity home practice and exercise classes or a wait-list control group. Response, participation, and dropout data were compared regarding ecological, individual, and study-related variables. Kaplan-Meier curves and Cox regression models were used to determine predictors of dropout. In total, 405 participants completed the study. Weekly class attendance rates were examined regarding significant weather conditions and holiday periods. The highest rates of nonresponse were observed in districts with very high neighborhood levels of socioeconomic status. In this study, ecological factors did not appear to be significant predictors of dropout, whereas certain individual and study-related variables were predictive. Future studies should consider these factors during program planning to mobilize and keep subjects in the program.</t>
        </is>
      </c>
      <c r="X1408" t="inlineStr">
        <is>
          <t>[Peters, Manuela; Wichmann, Frauke] Leibniz Inst Prevent Res &amp; Epidemiol BIPS, D-28359 Bremen, Germany; [Ratz, Tiara; Lippke, Sonia] Jacobs Univ Bremen, Dept Psychol &amp; Methods, D-28759 Bremen, Germany; [Voelcker-Rehage, Claudia] Univ Munster, Inst Sport &amp; Exercise Sci, Dept Neuromotor Behav &amp; Exercise, D-48149 Munster, Germany; [Pischke, Claudia R.] Heinrich Heine Univ Duesseldorf, Med Fac, Ctr Hlth &amp; Soc, Inst Med Sociol, D-40225 Dusseldorf, Germany</t>
        </is>
      </c>
      <c r="Y1408" t="inlineStr">
        <is>
          <t>Leibniz Institute for Prevention Research &amp; Epidemiology (BIPS); Jacobs University; University of Munster; Heinrich Heine University Dusseldorf</t>
        </is>
      </c>
      <c r="Z1408" t="inlineStr">
        <is>
          <t>Peters, M (corresponding author), Leibniz Inst Prevent Res &amp; Epidemiol BIPS, D-28359 Bremen, Germany.</t>
        </is>
      </c>
      <c r="AA1408" t="inlineStr">
        <is>
          <t>mpeters@leibniz-bips.de; t.ratz@jacobs-university.de; wichmann@leibniz-bips.de; s.lippke@jacobs-university.de; daudia.voelcker-rehage@uni-muenster.de; claudiaruth.pischke@med.uni-duesseldorf.de</t>
        </is>
      </c>
      <c r="AB1408" t="inlineStr">
        <is>
          <t>Peters, Manuela/GPW-6521-2022; Peters, Manuela/V-7220-2018; Lippke, Sonia/B-7564-2014</t>
        </is>
      </c>
      <c r="AC1408" t="inlineStr">
        <is>
          <t>Peters, Manuela/0000-0001-6012-1654; Lippke, Sonia/0000-0002-8272-0399; Ratz, Tiara/0000-0002-7985-7386</t>
        </is>
      </c>
      <c r="AD1408" t="inlineStr">
        <is>
          <t>German Federal Ministry of Education and Research [01EL1422A, 01EL1822C, 01EL1822F, 01EL1822I]</t>
        </is>
      </c>
      <c r="AE1408" t="inlineStr">
        <is>
          <t>German Federal Ministry of Education and Research(Federal Ministry of Education &amp; Research (BMBF))</t>
        </is>
      </c>
      <c r="AF1408" t="inlineStr">
        <is>
          <t>The study is conducted as part of the AEQUIPA-Physical activity and health equity: primary prevention for healthy ageing project, a regional prevention research project and network funded by the German Federal Ministry of Education and Research (grant number: 01EL1422A, 01EL1822C, 01EL1822F, 01EL1822I). The funder was not involved in the design of the study, in the collection, analysis, and interpretation of data, or in writing the manuscript. The content of this article reflects only the authors' views and the funder is not liable for any use that may be made of the information contained therein.</t>
        </is>
      </c>
      <c r="AH1408" t="n">
        <v>107</v>
      </c>
      <c r="AI1408" t="n">
        <v>1</v>
      </c>
      <c r="AJ1408" t="n">
        <v>1</v>
      </c>
      <c r="AK1408" t="n">
        <v>1</v>
      </c>
      <c r="AL1408" t="n">
        <v>5</v>
      </c>
      <c r="AM1408" t="inlineStr">
        <is>
          <t>MDPI</t>
        </is>
      </c>
      <c r="AN1408" t="inlineStr">
        <is>
          <t>BASEL</t>
        </is>
      </c>
      <c r="AO1408" t="inlineStr">
        <is>
          <t>ST ALBAN-ANLAGE 66, CH-4052 BASEL, SWITZERLAND</t>
        </is>
      </c>
      <c r="AQ1408" t="inlineStr">
        <is>
          <t>1660-4601</t>
        </is>
      </c>
      <c r="AS1408" t="inlineStr">
        <is>
          <t>INT J ENV RES PUB HE</t>
        </is>
      </c>
      <c r="AT1408" t="inlineStr">
        <is>
          <t>Int. J. Environ. Res. Public Health</t>
        </is>
      </c>
      <c r="AU1408" t="inlineStr">
        <is>
          <t>MAR</t>
        </is>
      </c>
      <c r="AV1408" t="n">
        <v>2022</v>
      </c>
      <c r="AW1408" t="n">
        <v>19</v>
      </c>
      <c r="AX1408" t="n">
        <v>6</v>
      </c>
      <c r="BE1408" t="n">
        <v>3190</v>
      </c>
      <c r="BF1408" t="inlineStr">
        <is>
          <t>10.3390/ijerph19063190</t>
        </is>
      </c>
      <c r="BG1408">
        <f>HYPERLINK("http://dx.doi.org/10.3390/ijerph19063190","http://dx.doi.org/10.3390/ijerph19063190")</f>
        <v/>
      </c>
      <c r="BJ1408" t="n">
        <v>25</v>
      </c>
      <c r="BK1408" t="inlineStr">
        <is>
          <t>Environmental Sciences; Public, Environmental &amp; Occupational Health</t>
        </is>
      </c>
      <c r="BL1408" t="inlineStr">
        <is>
          <t>Science Citation Index Expanded (SCI-EXPANDED); Social Science Citation Index (SSCI)</t>
        </is>
      </c>
      <c r="BM1408" t="inlineStr">
        <is>
          <t>Environmental Sciences &amp; Ecology; Public, Environmental &amp; Occupational Health</t>
        </is>
      </c>
      <c r="BN1408" t="inlineStr">
        <is>
          <t>0C7KR</t>
        </is>
      </c>
      <c r="BO1408" t="n">
        <v>35328876</v>
      </c>
      <c r="BP1408" t="inlineStr">
        <is>
          <t>Green Published, gold</t>
        </is>
      </c>
      <c r="BS1408" t="inlineStr">
        <is>
          <t>2023-10-26</t>
        </is>
      </c>
      <c r="BT1408" t="inlineStr">
        <is>
          <t>WOS:000775488400001</t>
        </is>
      </c>
      <c r="BU1408">
        <f>HYPERLINK("https%3A%2F%2Fwww.webofscience.com%2Fwos%2Fwoscc%2Ffull-record%2FWOS:000775488400001","View Full Record in Web of Science")</f>
        <v/>
      </c>
    </row>
    <row r="1409">
      <c r="A1409" t="inlineStr">
        <is>
          <t>J</t>
        </is>
      </c>
      <c r="B1409" t="inlineStr">
        <is>
          <t>Hart, J; Pomponi, F</t>
        </is>
      </c>
      <c r="F1409" t="inlineStr">
        <is>
          <t>Hart, Jim; Pomponi, Francesco</t>
        </is>
      </c>
      <c r="J1409" t="inlineStr">
        <is>
          <t>SUSTAINABILITY</t>
        </is>
      </c>
      <c r="M1409" t="inlineStr">
        <is>
          <t>English</t>
        </is>
      </c>
      <c r="N1409" t="inlineStr">
        <is>
          <t>Article</t>
        </is>
      </c>
      <c r="T1409" t="inlineStr">
        <is>
          <t>More Timber in Construction: Unanswered Questions and Future Challenges</t>
        </is>
      </c>
      <c r="U1409" t="inlineStr">
        <is>
          <t>structural and engineered timber; life cycle assessment; harvested wood products; carbon storage; built environment; climate change mitigation</t>
        </is>
      </c>
      <c r="V1409" t="inlineStr">
        <is>
          <t>LIFE-CYCLE ASSESSMENT; CLIMATE-CHANGE; CARBON MITIGATION; BUILT ENVIRONMENT; EMBODIED CARBON; BIOGENIC CARBON; COMPARATIVE LCA; WOOD PRODUCTS; LAND-USE; IMPACT</t>
        </is>
      </c>
      <c r="W1409" t="inlineStr">
        <is>
          <t>The built environment is one of the greatest contributors to carbon emissions, climate change, and to the unsustainable pressure on the natural environment and its ecosystems. The use of more timber in construction is one possible response, and an authoritative contribution to this growing movement comes from the UK's Committee on Climate Change, which identifies a substantial increase in the use of wood in the construction of buildings as a top priority. However, a global encouragement of such a strategy raises some difficult questions. Given the urgency of effective solutions for low-carbon built environments, and the likely continued growth in demand for timber in construction, this article reviews its sustainability and identifies future challenges and unanswered questions. Existing evidence points indeed towards timber as the lower carbon option when modelled through life cycle assessment without having to draw on arguments around carbon storage. Issues however remain on the timing of carbon emissions, land allocation, and the environmental loads and benefits associated with the end-of-life options: analysis of environmental product declarations for engineered timber suggests that landfill might either be the best or the worst option from a climate change perspective, depending on assumptions.</t>
        </is>
      </c>
      <c r="X1409" t="inlineStr">
        <is>
          <t>[Hart, Jim; Pomponi, Francesco] Edinburgh Napier Univ, Sch Engn &amp; Built Environm, REBEL Resource Efficient Built Environm Lab, 10 Colinton Rd, Edinburgh EH10 5DT, Midlothian, Scotland</t>
        </is>
      </c>
      <c r="Y1409" t="inlineStr">
        <is>
          <t>Edinburgh Napier University</t>
        </is>
      </c>
      <c r="Z1409" t="inlineStr">
        <is>
          <t>Pomponi, F (corresponding author), Edinburgh Napier Univ, Sch Engn &amp; Built Environm, REBEL Resource Efficient Built Environm Lab, 10 Colinton Rd, Edinburgh EH10 5DT, Midlothian, Scotland.</t>
        </is>
      </c>
      <c r="AA1409" t="inlineStr">
        <is>
          <t>j.hart@napier.ac.uk; f.pomponi@napier.ac.uk</t>
        </is>
      </c>
      <c r="AB1409" t="inlineStr">
        <is>
          <t>Pomponi, Francesco/J-6106-2019; Mokhtara, Charafeddine/ACV-5174-2022</t>
        </is>
      </c>
      <c r="AC1409" t="inlineStr">
        <is>
          <t>Pomponi, Francesco/0000-0003-3132-2523; Hart, Jim/0000-0003-0946-5181</t>
        </is>
      </c>
      <c r="AD1409" t="inlineStr">
        <is>
          <t>UK's Engineering and Physical Sciences Research Council (EPSRC) [EP/R01468X/1]; EPSRC [EP/R01468X/1] Funding Source: UKRI</t>
        </is>
      </c>
      <c r="AE1409" t="inlineStr">
        <is>
          <t>UK's Engineering and Physical Sciences Research Council (EPSRC)(UK Research &amp; Innovation (UKRI)Engineering &amp; Physical Sciences Research Council (EPSRC)); EPSRC(UK Research &amp; Innovation (UKRI)Engineering &amp; Physical Sciences Research Council (EPSRC))</t>
        </is>
      </c>
      <c r="AF1409" t="inlineStr">
        <is>
          <t>The research presented in this article has been funded by the UK's Engineering and Physical Sciences Research Council (EPSRC)-Grant Agreement No. EP/R01468X/1.</t>
        </is>
      </c>
      <c r="AH1409" t="n">
        <v>73</v>
      </c>
      <c r="AI1409" t="n">
        <v>22</v>
      </c>
      <c r="AJ1409" t="n">
        <v>22</v>
      </c>
      <c r="AK1409" t="n">
        <v>5</v>
      </c>
      <c r="AL1409" t="n">
        <v>25</v>
      </c>
      <c r="AM1409" t="inlineStr">
        <is>
          <t>MDPI</t>
        </is>
      </c>
      <c r="AN1409" t="inlineStr">
        <is>
          <t>BASEL</t>
        </is>
      </c>
      <c r="AO1409" t="inlineStr">
        <is>
          <t>ST ALBAN-ANLAGE 66, CH-4052 BASEL, SWITZERLAND</t>
        </is>
      </c>
      <c r="AQ1409" t="inlineStr">
        <is>
          <t>2071-1050</t>
        </is>
      </c>
      <c r="AS1409" t="inlineStr">
        <is>
          <t>SUSTAINABILITY-BASEL</t>
        </is>
      </c>
      <c r="AT1409" t="inlineStr">
        <is>
          <t>Sustainability</t>
        </is>
      </c>
      <c r="AU1409" t="inlineStr">
        <is>
          <t>APR</t>
        </is>
      </c>
      <c r="AV1409" t="n">
        <v>2020</v>
      </c>
      <c r="AW1409" t="n">
        <v>12</v>
      </c>
      <c r="AX1409" t="n">
        <v>8</v>
      </c>
      <c r="BE1409" t="n">
        <v>3473</v>
      </c>
      <c r="BF1409" t="inlineStr">
        <is>
          <t>10.3390/su12083473</t>
        </is>
      </c>
      <c r="BG1409">
        <f>HYPERLINK("http://dx.doi.org/10.3390/su12083473","http://dx.doi.org/10.3390/su12083473")</f>
        <v/>
      </c>
      <c r="BJ1409" t="n">
        <v>17</v>
      </c>
      <c r="BK1409" t="inlineStr">
        <is>
          <t>Green &amp; Sustainable Science &amp; Technology; Environmental Sciences; Environmental Studies</t>
        </is>
      </c>
      <c r="BL1409" t="inlineStr">
        <is>
          <t>Science Citation Index Expanded (SCI-EXPANDED); Social Science Citation Index (SSCI)</t>
        </is>
      </c>
      <c r="BM1409" t="inlineStr">
        <is>
          <t>Science &amp; Technology - Other Topics; Environmental Sciences &amp; Ecology</t>
        </is>
      </c>
      <c r="BN1409" t="inlineStr">
        <is>
          <t>LR3MY</t>
        </is>
      </c>
      <c r="BP1409" t="inlineStr">
        <is>
          <t>Green Published, gold</t>
        </is>
      </c>
      <c r="BS1409" t="inlineStr">
        <is>
          <t>2023-10-26</t>
        </is>
      </c>
      <c r="BT1409" t="inlineStr">
        <is>
          <t>WOS:000535598700406</t>
        </is>
      </c>
      <c r="BU1409">
        <f>HYPERLINK("https%3A%2F%2Fwww.webofscience.com%2Fwos%2Fwoscc%2Ffull-record%2FWOS:000535598700406","View Full Record in Web of Science")</f>
        <v/>
      </c>
    </row>
    <row r="1410">
      <c r="A1410" t="inlineStr">
        <is>
          <t>J</t>
        </is>
      </c>
      <c r="B1410" t="inlineStr">
        <is>
          <t>Martínez-Moreno, A; Ibáñez-Pérez, RJ; Cavas-García, FF; Cano-Noguera, F</t>
        </is>
      </c>
      <c r="F1410" t="inlineStr">
        <is>
          <t>Martinez-Moreno, Alfonso; Ibanez-Perez, Ricardo Jose; Cavas-Garcia, Francisco F.; Cano-Noguera, Francisco</t>
        </is>
      </c>
      <c r="J1410" t="inlineStr">
        <is>
          <t>INTERNATIONAL JOURNAL OF ENVIRONMENTAL RESEARCH AND PUBLIC HEALTH</t>
        </is>
      </c>
      <c r="M1410" t="inlineStr">
        <is>
          <t>English</t>
        </is>
      </c>
      <c r="N1410" t="inlineStr">
        <is>
          <t>Article</t>
        </is>
      </c>
      <c r="T1410" t="inlineStr">
        <is>
          <t>The Influence of Physical Activity, Anxiety, Resilience and Engagement on the Optimism of Older Adults</t>
        </is>
      </c>
      <c r="U1410" t="inlineStr">
        <is>
          <t>older adults; aging; positivism; quality of life</t>
        </is>
      </c>
      <c r="V1410" t="inlineStr">
        <is>
          <t>DISPOSITIONAL OPTIMISM; TRAIT RESILIENCE; POSITIVE AFFECT; SELF-ESTEEM; LIFE; EXERCISE; EFFICACY; HEALTH; DEPRESSION; CHILDREN</t>
        </is>
      </c>
      <c r="W1410" t="inlineStr">
        <is>
          <t>The purpose of this study was to learn how physical activity, anxiety, resilience and engagement can influence optimism in older adults. An observational, quantitative, descriptive and transversal design was used with non-probabilistic sampling. A descriptive statistical analysis of the sample, Cronbach's alpha test of internal consistency and linear correlation using Pearson's correlation coefficient (r) were performed. In addition, a t-Student test, analysis of variance (ANOVA), Kolmogorov-Smirnov test of normality and Levene test of homogeneity, as well as a multivariate linear regression model, were conducted. Participants who had not engaged in physical activity showed an increased total anxiety and significantly greater decrease in concentration compared to those who had engaged in physical activity. The Revised Life Orientation Test (LOT-R), Utrecht Work Engagement Scale (UWES) and resilience of participants who had not engaged in physical activity were significantly lower than those of the participants who had engaged in physical activity. Those with a partner showed significantly lower decreases in concentration compared to single women. Regarding UWES, the current scores and dedication of couples were significantly higher than singles, as for resilience. In addition, the levels of pessimism in participants living on the coast were significantly higher compared to those living inland; in addition, a greater number of days with less anxiety is seen in those who performed physical activity. A multivariate linear regression model, F(7, 349) = 30.6, p &lt; 0.001, explained 38% of the variance of LOT-R; those attending a public center had a lower LOT-R than those who did not, and high values of anxiety were associated with low levels of LOT-R, while high values of resilience were associated with high values of LOT-R. The results from the study provide support for future programs for older adults, in order to be able to determine in a much more precise way the objectives of programs intended for users of this age group.</t>
        </is>
      </c>
      <c r="X1410" t="inlineStr">
        <is>
          <t>[Martinez-Moreno, Alfonso; Ibanez-Perez, Ricardo Jose; Cavas-Garcia, Francisco F.; Cano-Noguera, Francisco] Univ Murcia, Dept Phys Act &amp; Sports, Santiago De La Ribera Sa 30720, Spain</t>
        </is>
      </c>
      <c r="Y1410" t="inlineStr">
        <is>
          <t>University of Murcia</t>
        </is>
      </c>
      <c r="Z1410" t="inlineStr">
        <is>
          <t>Martínez-Moreno, A (corresponding author), Univ Murcia, Dept Phys Act &amp; Sports, Santiago De La Ribera Sa 30720, Spain.</t>
        </is>
      </c>
      <c r="AA1410" t="inlineStr">
        <is>
          <t>almamo@um.es; ricardojose.ibanez@um.es; francisco.cavas@um.es; francisco.cano@um.es</t>
        </is>
      </c>
      <c r="AB1410" t="inlineStr">
        <is>
          <t>ALFONSO, MARTINEZ MORENO/AAD-2982-2021; IBANEZ, RICARDO JOSE/AAB-9069-2019</t>
        </is>
      </c>
      <c r="AC1410" t="inlineStr">
        <is>
          <t>IBANEZ, RICARDO JOSE/0000-0003-0030-0620; Martinez-Moreno, Alfonso/0000-0001-6010-626X; CANO NOGUERA, FRANCISCO/0000-0002-0391-9915</t>
        </is>
      </c>
      <c r="AH1410" t="n">
        <v>87</v>
      </c>
      <c r="AI1410" t="n">
        <v>4</v>
      </c>
      <c r="AJ1410" t="n">
        <v>4</v>
      </c>
      <c r="AK1410" t="n">
        <v>1</v>
      </c>
      <c r="AL1410" t="n">
        <v>13</v>
      </c>
      <c r="AM1410" t="inlineStr">
        <is>
          <t>MDPI</t>
        </is>
      </c>
      <c r="AN1410" t="inlineStr">
        <is>
          <t>BASEL</t>
        </is>
      </c>
      <c r="AO1410" t="inlineStr">
        <is>
          <t>ST ALBAN-ANLAGE 66, CH-4052 BASEL, SWITZERLAND</t>
        </is>
      </c>
      <c r="AQ1410" t="inlineStr">
        <is>
          <t>1660-4601</t>
        </is>
      </c>
      <c r="AS1410" t="inlineStr">
        <is>
          <t>INT J ENV RES PUB HE</t>
        </is>
      </c>
      <c r="AT1410" t="inlineStr">
        <is>
          <t>Int. J. Environ. Res. Public Health</t>
        </is>
      </c>
      <c r="AU1410" t="inlineStr">
        <is>
          <t>NOV</t>
        </is>
      </c>
      <c r="AV1410" t="n">
        <v>2020</v>
      </c>
      <c r="AW1410" t="n">
        <v>17</v>
      </c>
      <c r="AX1410" t="n">
        <v>21</v>
      </c>
      <c r="BE1410" t="n">
        <v>8284</v>
      </c>
      <c r="BF1410" t="inlineStr">
        <is>
          <t>10.3390/ijerph17218284</t>
        </is>
      </c>
      <c r="BG1410">
        <f>HYPERLINK("http://dx.doi.org/10.3390/ijerph17218284","http://dx.doi.org/10.3390/ijerph17218284")</f>
        <v/>
      </c>
      <c r="BJ1410" t="n">
        <v>15</v>
      </c>
      <c r="BK1410" t="inlineStr">
        <is>
          <t>Environmental Sciences; Public, Environmental &amp; Occupational Health</t>
        </is>
      </c>
      <c r="BL1410" t="inlineStr">
        <is>
          <t>Science Citation Index Expanded (SCI-EXPANDED); Social Science Citation Index (SSCI)</t>
        </is>
      </c>
      <c r="BM1410" t="inlineStr">
        <is>
          <t>Environmental Sciences &amp; Ecology; Public, Environmental &amp; Occupational Health</t>
        </is>
      </c>
      <c r="BN1410" t="inlineStr">
        <is>
          <t>OQ6SD</t>
        </is>
      </c>
      <c r="BO1410" t="n">
        <v>33182468</v>
      </c>
      <c r="BP1410" t="inlineStr">
        <is>
          <t>Green Published, gold</t>
        </is>
      </c>
      <c r="BS1410" t="inlineStr">
        <is>
          <t>2023-10-26</t>
        </is>
      </c>
      <c r="BT1410" t="inlineStr">
        <is>
          <t>WOS:000588909700001</t>
        </is>
      </c>
      <c r="BU1410">
        <f>HYPERLINK("https%3A%2F%2Fwww.webofscience.com%2Fwos%2Fwoscc%2Ffull-record%2FWOS:000588909700001","View Full Record in Web of Science")</f>
        <v/>
      </c>
    </row>
    <row r="1411">
      <c r="A1411" t="inlineStr">
        <is>
          <t>J</t>
        </is>
      </c>
      <c r="B1411" t="inlineStr">
        <is>
          <t>Pomponi, F; Moncaster, A</t>
        </is>
      </c>
      <c r="F1411" t="inlineStr">
        <is>
          <t>Pomponi, Francesco; Moncaster, Alice</t>
        </is>
      </c>
      <c r="J1411" t="inlineStr">
        <is>
          <t>JOURNAL OF ENVIRONMENTAL MANAGEMENT</t>
        </is>
      </c>
      <c r="M1411" t="inlineStr">
        <is>
          <t>English</t>
        </is>
      </c>
      <c r="N1411" t="inlineStr">
        <is>
          <t>Review</t>
        </is>
      </c>
      <c r="T1411" t="inlineStr">
        <is>
          <t>Embodied carbon mitigation and reduction in the built environment What does the evidence say?</t>
        </is>
      </c>
      <c r="U1411" t="inlineStr">
        <is>
          <t>Embodied carbon reduction; Embodied carbon mitigation; Low carbon built environment; LCA buildings</t>
        </is>
      </c>
      <c r="V1411" t="inlineStr">
        <is>
          <t>LIFE-CYCLE ASSESSMENT; GREENHOUSE-GAS EMISSIONS; DOUBLE-SKIN FACADES; RESIDENTIAL BUILDINGS; CONSTRUCTION METHODS; ENERGY PERFORMANCE; OPERATIONAL ENERGY; STRUCTURAL DESIGN; CO2 EMISSIONS; LCA</t>
        </is>
      </c>
      <c r="W1411" t="inlineStr">
        <is>
          <t>Of all industrial sectors, the built environment puts the most pressure on the natural environment, and in spite of significant efforts the International Energy Agency suggests that buildings-related emissions are on track to double by 2050. Whilst operational energy efficiency continues to receive significant attention by researchers, a less well-researched area is the assessment of embodied carbon in the built environment in order to understand where the greatest opportunities for its mitigation and reduction lie. This article approaches the body of academic knowledge on strategies to tackle embodied carbon (EC) and uses a systematic review of the available evidence to answer the following research question: how should we mitigate and reduce EC in the built environment? 102 journal articles have been reviewed systematically in the fields of embodied carbon mitigation and reduction, and life cycle assessment. In total, 17 mitigation strategies have been identified from within the existing literature which have been discussed through a meta-analysis on available data. Results reveal that no single mitigation strategy alone seems able to tackle the problem; rather, a pluralistic approach is necessary. The use of materials with lower EC, better design, an increased reuse of EC-intensive materials, and stronger policy drivers all emerged as key elements for a quicker transition to a low carbon built environment. The meta-analysis on 77 LCAs also shows an extremely incomplete and short-sighted approach to life cycle studies. Most studies only assess the manufacturing stages, often completely overlooking impacts occurring during the occupancy stage and at the end of life of the building. The LCA research community have the responsibility to address such shortcomings and work towards more complete and meaningful assessments. Crown Copyright (C) 2016 Published by Elsevier Ltd. All rights reserved.</t>
        </is>
      </c>
      <c r="X1411" t="inlineStr">
        <is>
          <t>[Pomponi, Francesco; Moncaster, Alice] Univ Cambridge, Dept Engn, Trumpington St, Cambridge CB2 1PZ, England</t>
        </is>
      </c>
      <c r="Y1411" t="inlineStr">
        <is>
          <t>University of Cambridge</t>
        </is>
      </c>
      <c r="Z1411" t="inlineStr">
        <is>
          <t>Pomponi, F (corresponding author), Univ Cambridge, Dept Engn, Trumpington St, Cambridge CB2 1PZ, England.</t>
        </is>
      </c>
      <c r="AA1411" t="inlineStr">
        <is>
          <t>fp327@cam.ac.uk</t>
        </is>
      </c>
      <c r="AB1411" t="inlineStr">
        <is>
          <t>Moncaster, Alice/AAL-7615-2020; Pomponi, Francesco/J-6106-2019</t>
        </is>
      </c>
      <c r="AC1411" t="inlineStr">
        <is>
          <t>Moncaster, Alice/0000-0002-6092-2686; Pomponi, Francesco/0000-0003-3132-2523</t>
        </is>
      </c>
      <c r="AD1411" t="inlineStr">
        <is>
          <t>Isaac Newton Trust</t>
        </is>
      </c>
      <c r="AE1411" t="inlineStr">
        <is>
          <t>Isaac Newton Trust</t>
        </is>
      </c>
      <c r="AF1411" t="inlineStr">
        <is>
          <t>The authors wish to acknowledge the Isaac Newton Trust for funding this research. Grateful thanks also to the editor and reviewers for their constructive comments which helped improved both quality and clarity of the article.</t>
        </is>
      </c>
      <c r="AH1411" t="n">
        <v>126</v>
      </c>
      <c r="AI1411" t="n">
        <v>154</v>
      </c>
      <c r="AJ1411" t="n">
        <v>154</v>
      </c>
      <c r="AK1411" t="n">
        <v>15</v>
      </c>
      <c r="AL1411" t="n">
        <v>107</v>
      </c>
      <c r="AM1411" t="inlineStr">
        <is>
          <t>ACADEMIC PRESS LTD- ELSEVIER SCIENCE LTD</t>
        </is>
      </c>
      <c r="AN1411" t="inlineStr">
        <is>
          <t>LONDON</t>
        </is>
      </c>
      <c r="AO1411" t="inlineStr">
        <is>
          <t>24-28 OVAL RD, LONDON NW1 7DX, ENGLAND</t>
        </is>
      </c>
      <c r="AP1411" t="inlineStr">
        <is>
          <t>0301-4797</t>
        </is>
      </c>
      <c r="AQ1411" t="inlineStr">
        <is>
          <t>1095-8630</t>
        </is>
      </c>
      <c r="AS1411" t="inlineStr">
        <is>
          <t>J ENVIRON MANAGE</t>
        </is>
      </c>
      <c r="AT1411" t="inlineStr">
        <is>
          <t>J. Environ. Manage.</t>
        </is>
      </c>
      <c r="AU1411" t="inlineStr">
        <is>
          <t>OCT 1</t>
        </is>
      </c>
      <c r="AV1411" t="n">
        <v>2016</v>
      </c>
      <c r="AW1411" t="n">
        <v>181</v>
      </c>
      <c r="BC1411" t="n">
        <v>687</v>
      </c>
      <c r="BD1411" t="n">
        <v>700</v>
      </c>
      <c r="BF1411" t="inlineStr">
        <is>
          <t>10.1016/j.jenvman.2016.08.036</t>
        </is>
      </c>
      <c r="BG1411">
        <f>HYPERLINK("http://dx.doi.org/10.1016/j.jenvman.2016.08.036","http://dx.doi.org/10.1016/j.jenvman.2016.08.036")</f>
        <v/>
      </c>
      <c r="BJ1411" t="n">
        <v>14</v>
      </c>
      <c r="BK1411" t="inlineStr">
        <is>
          <t>Environmental Sciences</t>
        </is>
      </c>
      <c r="BL1411" t="inlineStr">
        <is>
          <t>Science Citation Index Expanded (SCI-EXPANDED)</t>
        </is>
      </c>
      <c r="BM1411" t="inlineStr">
        <is>
          <t>Environmental Sciences &amp; Ecology</t>
        </is>
      </c>
      <c r="BN1411" t="inlineStr">
        <is>
          <t>DV9WA</t>
        </is>
      </c>
      <c r="BO1411" t="n">
        <v>27558830</v>
      </c>
      <c r="BP1411" t="inlineStr">
        <is>
          <t>Green Accepted, Green Published</t>
        </is>
      </c>
      <c r="BS1411" t="inlineStr">
        <is>
          <t>2023-10-26</t>
        </is>
      </c>
      <c r="BT1411" t="inlineStr">
        <is>
          <t>WOS:000383291700072</t>
        </is>
      </c>
      <c r="BU1411">
        <f>HYPERLINK("https%3A%2F%2Fwww.webofscience.com%2Fwos%2Fwoscc%2Ffull-record%2FWOS:000383291700072","View Full Record in Web of Science")</f>
        <v/>
      </c>
    </row>
    <row r="1412">
      <c r="A1412" t="inlineStr">
        <is>
          <t>J</t>
        </is>
      </c>
      <c r="B1412" t="inlineStr">
        <is>
          <t>Childers, DL; Bois, P; Hartnett, HE; McPhearson, T; Metson, GS; Sanchez, CA</t>
        </is>
      </c>
      <c r="F1412" t="inlineStr">
        <is>
          <t>Childers, Daniel L.; Bois, Paul; Hartnett, Hilairy E.; McPhearson, Timon; Metson, Genevieve S.; Sanchez, Christopher A.</t>
        </is>
      </c>
      <c r="J1412" t="inlineStr">
        <is>
          <t>ELEMENTA-SCIENCE OF THE ANTHROPOCENE</t>
        </is>
      </c>
      <c r="M1412" t="inlineStr">
        <is>
          <t>English</t>
        </is>
      </c>
      <c r="N1412" t="inlineStr">
        <is>
          <t>Review</t>
        </is>
      </c>
      <c r="T1412" t="inlineStr">
        <is>
          <t>Urban Ecological Infrastructure: An inclusive concept for the non-built urban environment</t>
        </is>
      </c>
      <c r="U1412" t="inlineStr">
        <is>
          <t>Urban Ecological Infrastructure; Ecosystem services; Hybrid infrastructure; Urban sustainability; Urban resilience</t>
        </is>
      </c>
      <c r="V1412" t="inlineStr">
        <is>
          <t>ECOSYSTEM SERVICES; GREEN INFRASTRUCTURE; NITROGEN; CITIES; WETLANDS; AREAS; BLUE; PERSPECTIVES; RESTORATION; MANAGEMENT</t>
        </is>
      </c>
      <c r="W1412" t="inlineStr">
        <is>
          <t>It is likely that half of the urban areas that will exist in 2050 have not yet been designed and built. This provides tremendous opportunities for enhancing urban sustainability, and using nature in cities is critical to more resilient solutions to urban challenges. Terms for urban nature include Green Infrastructure (GI), Green-Blue Infrastructure (GBI), Urban Green Space (UGS), and Nature-Based Solutions (NBS). These terms, and the concepts they represent, are incomplete because they tend to reduce the importance of non-terrestrial ecological features in cities. We argue that the concept of Urban Ecological Infrastructure (UEI), which came from a 2013 forum held in Beijing and from several subsequent 2017 publications, is a more inclusive alternative. In this paper we refine the 2013 definition of UEI and link the concept more directly to urban ecosystem services. In our refined definition, UEI comprises all parts of a city that support ecological structures and functions, as well as the ecosystem services provided by UEI that directly affect human outcomes and wellbeing. UEI often includes aspects of the built environment, and we discuss examples of this hybrid infrastructure. We distinguish terrestrial, aquatic, and wetland UEI because each type provides different ecosystem services. We present several examples of both accidental UEI and UEI that was explicitly designed and managed, with an emphasis on wetland UEI because these ecotonal ecosystems are uniquely both terrestrial and aquatic. We show how both accidental and planned UEI produces unexpected ecosystem services, which justifies recognizing and maintaining both purposeful and serendipitous types of UEI in cities. Finally, we posit that by incorporating both ecological and infrastructure, UEI also helps to bridge urban scientists and urban practitioners in a more transdisciplinary partnership to build more resilient and sustainable cities.</t>
        </is>
      </c>
      <c r="X1412" t="inlineStr">
        <is>
          <t>[Childers, Daniel L.] Arizona State Univ, Sch Sustainabil, Tempe, AZ 85287 USA; [Bois, Paul] Unistra, UMR 7357, ENGEES, ICube,CNRS, Strasbourg, France; [Hartnett, Hilairy E.] Arizona State Univ, Sch Earth &amp; Space Explorat, Tempe, AZ USA; [Hartnett, Hilairy E.] Arizona State Univ, Sch Mol Sci, Tempe, AZ USA; [McPhearson, Timon] New Sch, Urban Syst Lab, New York, NY USA; [McPhearson, Timon] Cary Inst Ecosyst Studies, Millbrook, NY USA; [McPhearson, Timon] Stockholm Resilience Ctr, Stockholm, Sweden; [Metson, Genevieve S.] Linkoping Univ, Theoret Biol, Dept Phys Chem &amp; Biol IFM, Linkoping, Sweden; [Metson, Genevieve S.] Linkoping Univ, Ctr Climate Sci &amp; Policy Res CSPR, Linkoping, Sweden; [Sanchez, Christopher A.] Arizona State Univ, Global Inst Sustainabil, Tempe, AZ USA</t>
        </is>
      </c>
      <c r="Y1412" t="inlineStr">
        <is>
          <t>Arizona State University; Arizona State University-Tempe; Centre National de la Recherche Scientifique (CNRS); CNRS - Institute for Engineering &amp; Systems Sciences (INSIS); UDICE-French Research Universities; Universites de Strasbourg Etablissements Associes; Universite de Strasbourg; Arizona State University; Arizona State University-Tempe; Arizona State University; Arizona State University-Tempe; The New School; Cary Institute of Ecosystem Studies; Stockholm University; Linkoping University; Linkoping University; Arizona State University; Arizona State University-Tempe</t>
        </is>
      </c>
      <c r="Z1412" t="inlineStr">
        <is>
          <t>Childers, DL (corresponding author), Arizona State Univ, Sch Sustainabil, Tempe, AZ 85287 USA.</t>
        </is>
      </c>
      <c r="AA1412" t="inlineStr">
        <is>
          <t>dan.childers@asu.edu</t>
        </is>
      </c>
      <c r="AB1412" t="inlineStr">
        <is>
          <t>Metson, Genevieve/J-7791-2019</t>
        </is>
      </c>
      <c r="AC1412" t="inlineStr">
        <is>
          <t>Metson, Genevieve/0000-0002-8081-2126; Hartnett, Hilairy/0000-0003-0736-7844</t>
        </is>
      </c>
      <c r="AD1412" t="inlineStr">
        <is>
          <t>U.S. National Science Foundation [DEB-1026865, DEB-1637590, DEB-1832016]; FORMAS, the Swedish research council for sustainable development [942-2016-69 992023]; RhinMeuse Water Agency; French Biodiversity Agency; ZAEU (French LTSER network); Urban Resilience to Extreme Weather-Related Events Sustainability Research Network (UREx SRN; NSF) [SES-1444755]; SETS Resilience project (NSF) [GCR-1934933]; NATURA network (NSF) [Accel-Net 1927167]</t>
        </is>
      </c>
      <c r="AE1412" t="inlineStr">
        <is>
          <t>U.S. National Science Foundation(National Science Foundation (NSF)); FORMAS, the Swedish research council for sustainable development; RhinMeuse Water Agency; French Biodiversity Agency; ZAEU (French LTSER network); Urban Resilience to Extreme Weather-Related Events Sustainability Research Network (UREx SRN; NSF); SETS Resilience project (NSF); NATURA network (NSF)</t>
        </is>
      </c>
      <c r="AF1412" t="inlineStr">
        <is>
          <t>The U.S. National Science Foundation supported this work through the Central Arizona-Phoenix Long-Term Ecological Research Program (Grant Nos. DEB-1026865, DEB-1637590, and DEB-1832016). G.S.M was supported by FORMAS, the Swedish research council for sustainable development (Grant #942-2016-69 992023). The RhinMeuse Water Agency and the French Biodiversity Agency supported the Ostwaldergraben work through the LumiEau-Stra Research Project. Additional research support was provided to P.B. by the ZAEU (French LTSER network). TM was supported by the Urban Resilience to Extreme Weather-Related Events Sustainability Research Network (UREx SRN; NSF Grant No. SES-1444755), SETS Resilience project (NSF Grant No. GCR-1934933) and NATURA network (NSF Grant No. Accel-Net 1927167).</t>
        </is>
      </c>
      <c r="AH1412" t="n">
        <v>64</v>
      </c>
      <c r="AI1412" t="n">
        <v>44</v>
      </c>
      <c r="AJ1412" t="n">
        <v>46</v>
      </c>
      <c r="AK1412" t="n">
        <v>22</v>
      </c>
      <c r="AL1412" t="n">
        <v>134</v>
      </c>
      <c r="AM1412" t="inlineStr">
        <is>
          <t>UNIV CALIFORNIA PRESS</t>
        </is>
      </c>
      <c r="AN1412" t="inlineStr">
        <is>
          <t>OAKLAND</t>
        </is>
      </c>
      <c r="AO1412" t="inlineStr">
        <is>
          <t>155 GRAND AVE, SUITE 400, OAKLAND, CA 94612-3758 USA</t>
        </is>
      </c>
      <c r="AP1412" t="inlineStr">
        <is>
          <t>2325-1026</t>
        </is>
      </c>
      <c r="AS1412" t="inlineStr">
        <is>
          <t>ELEMENTA-SCI ANTHROP</t>
        </is>
      </c>
      <c r="AT1412" t="inlineStr">
        <is>
          <t>Elementa-Sci. Anthrop.</t>
        </is>
      </c>
      <c r="AU1412" t="inlineStr">
        <is>
          <t>NOV 18</t>
        </is>
      </c>
      <c r="AV1412" t="n">
        <v>2019</v>
      </c>
      <c r="AW1412" t="n">
        <v>7</v>
      </c>
      <c r="BE1412" t="n">
        <v>46</v>
      </c>
      <c r="BF1412" t="inlineStr">
        <is>
          <t>10.1525/elementa.385</t>
        </is>
      </c>
      <c r="BG1412">
        <f>HYPERLINK("http://dx.doi.org/10.1525/elementa.385","http://dx.doi.org/10.1525/elementa.385")</f>
        <v/>
      </c>
      <c r="BJ1412" t="n">
        <v>14</v>
      </c>
      <c r="BK1412" t="inlineStr">
        <is>
          <t>Environmental Sciences; Meteorology &amp; Atmospheric Sciences</t>
        </is>
      </c>
      <c r="BL1412" t="inlineStr">
        <is>
          <t>Science Citation Index Expanded (SCI-EXPANDED); Social Science Citation Index (SSCI)</t>
        </is>
      </c>
      <c r="BM1412" t="inlineStr">
        <is>
          <t>Environmental Sciences &amp; Ecology; Meteorology &amp; Atmospheric Sciences</t>
        </is>
      </c>
      <c r="BN1412" t="inlineStr">
        <is>
          <t>JZ5OP</t>
        </is>
      </c>
      <c r="BP1412" t="inlineStr">
        <is>
          <t>gold, Green Published</t>
        </is>
      </c>
      <c r="BS1412" t="inlineStr">
        <is>
          <t>2023-10-26</t>
        </is>
      </c>
      <c r="BT1412" t="inlineStr">
        <is>
          <t>WOS:000505151500001</t>
        </is>
      </c>
      <c r="BU1412">
        <f>HYPERLINK("https%3A%2F%2Fwww.webofscience.com%2Fwos%2Fwoscc%2Ffull-record%2FWOS:000505151500001","View Full Record in Web of Science")</f>
        <v/>
      </c>
    </row>
    <row r="1413">
      <c r="A1413" t="inlineStr">
        <is>
          <t>J</t>
        </is>
      </c>
      <c r="B1413" t="inlineStr">
        <is>
          <t>Vasquez, G; Salinas, J; Molokwu, J; Shokar, G; Flores-Luevano, S; Alomari, A; Shokar, NK</t>
        </is>
      </c>
      <c r="F1413" t="inlineStr">
        <is>
          <t>Vasquez, Gerardo; Salinas, Jennifer; Molokwu, Jennifer; Shokar, Gurjeet; Flores-Luevano, Silvia; Alomari, Adam; Shokar, Navkiran K.</t>
        </is>
      </c>
      <c r="J1413" t="inlineStr">
        <is>
          <t>INTERNATIONAL JOURNAL OF ENVIRONMENTAL RESEARCH AND PUBLIC HEALTH</t>
        </is>
      </c>
      <c r="M1413" t="inlineStr">
        <is>
          <t>English</t>
        </is>
      </c>
      <c r="N1413" t="inlineStr">
        <is>
          <t>Article</t>
        </is>
      </c>
      <c r="T1413" t="inlineStr">
        <is>
          <t>Physical Activity in Older Mexican Americans Living in Two Cities on the US-Mexico Border</t>
        </is>
      </c>
      <c r="U1413" t="inlineStr">
        <is>
          <t>physical activity; Hispanics; context</t>
        </is>
      </c>
      <c r="V1413" t="inlineStr">
        <is>
          <t>HISPANIC COMMUNITY; GENDER-DIFFERENCES; BUILT-ENVIRONMENT; LATINOS HCHS/SOL; ADULTS; HEALTH; ACCULTURATION; WOMEN; TIME; MORTALITY</t>
        </is>
      </c>
      <c r="W1413" t="inlineStr">
        <is>
          <t>Background: There is limited information on physical activity in marginalized older populations like that on the U.S.-Mexico border. This study aims to understand physical activity engagement among older Hispanics residing in two U.S.-Mexico Border counties. Methods: The International Physical Activity Questionnaire (IPAQ) was used to measure physical activity in El Paso and Cameron County, Texas. Physical activity levels were reported for vigorous, moderate, and walking met/mins. Adjusted and unadjusted modeling was conducted to determine county differences and sociodemographic covariates. Results: There were 784 participants and 92.9% were less than 65 years of age. El Paso participants reported a significantly greater natural log met/mins of vigorous ( = 1.34, p = 0.000) and walking ( = 0.331, p = 0.006). Significant sociodemographic covariates in El Paso for vigorous met/mins were gender (females = -1.20, p = 0.003), having a regular doctor ( = -0.779, p = 0.029), and acculturation ( = 0.513, p = 0.019). Significant associations in Cameron County were having a regular doctor ( = -1.03, p = 0.000) and fair/poor health status ( = -0.475, p = 0.001). Conclusion: Level of physical activity may differ in older Hispanics by urban context on the U.S.-Mexico border. Future physical activity programs to promote physical activity should take context into consideration.</t>
        </is>
      </c>
      <c r="X1413" t="inlineStr">
        <is>
          <t>[Vasquez, Gerardo; Salinas, Jennifer; Molokwu, Jennifer; Shokar, Gurjeet; Alomari, Adam; Shokar, Navkiran K.] Texas Tech Univ, Hlth Sci Ctr El Paso, Paul L Foster Sch Med, Dept Family Med, El Paso, TX 79905 USA; [Flores-Luevano, Silvia] Inst Mexicano Seguro Social, Mexico City 06600, DF, Mexico</t>
        </is>
      </c>
      <c r="Y1413" t="inlineStr">
        <is>
          <t>Texas Tech University System; Texas Tech University; Instituto Mexicano del Seguro Social</t>
        </is>
      </c>
      <c r="Z1413" t="inlineStr">
        <is>
          <t>Salinas, J (corresponding author), Texas Tech Univ, Hlth Sci Ctr El Paso, Paul L Foster Sch Med, Dept Family Med, El Paso, TX 79905 USA.</t>
        </is>
      </c>
      <c r="AA1413" t="inlineStr">
        <is>
          <t>Gerardo.Vasquez@ttuhsc.edu; jennifer.salinas@ttuhsc.edu; jennifer.molokwu@ttuhsc.edu; gurjeet.shokar@ttuhsc.edu; silflor33@gmail.com; adam.alomari@ttuhsc.edu; Navkiran.Shokar@ttuhsc.edu</t>
        </is>
      </c>
      <c r="AB1413" t="inlineStr">
        <is>
          <t>Molokwu, Jennifer/J-1317-2019</t>
        </is>
      </c>
      <c r="AC1413" t="inlineStr">
        <is>
          <t>Molokwu, Jennifer/0000-0001-7846-8189; Shokar, Navkiran/0000-0002-8514-9132</t>
        </is>
      </c>
      <c r="AD1413" t="inlineStr">
        <is>
          <t>Cancer Prevention and Research Institute of Texas (CPRIT) [PP140164]</t>
        </is>
      </c>
      <c r="AE1413" t="inlineStr">
        <is>
          <t>Cancer Prevention and Research Institute of Texas (CPRIT)</t>
        </is>
      </c>
      <c r="AF1413" t="inlineStr">
        <is>
          <t>This research was funded by a grant from the Cancer Prevention and Research Institute of Texas (CPRIT) (grant # PP140164).</t>
        </is>
      </c>
      <c r="AH1413" t="n">
        <v>57</v>
      </c>
      <c r="AI1413" t="n">
        <v>3</v>
      </c>
      <c r="AJ1413" t="n">
        <v>3</v>
      </c>
      <c r="AK1413" t="n">
        <v>0</v>
      </c>
      <c r="AL1413" t="n">
        <v>6</v>
      </c>
      <c r="AM1413" t="inlineStr">
        <is>
          <t>MDPI</t>
        </is>
      </c>
      <c r="AN1413" t="inlineStr">
        <is>
          <t>BASEL</t>
        </is>
      </c>
      <c r="AO1413" t="inlineStr">
        <is>
          <t>ST ALBAN-ANLAGE 66, CH-4052 BASEL, SWITZERLAND</t>
        </is>
      </c>
      <c r="AQ1413" t="inlineStr">
        <is>
          <t>1660-4601</t>
        </is>
      </c>
      <c r="AS1413" t="inlineStr">
        <is>
          <t>INT J ENV RES PUB HE</t>
        </is>
      </c>
      <c r="AT1413" t="inlineStr">
        <is>
          <t>Int. J. Environ. Res. Public Health</t>
        </is>
      </c>
      <c r="AU1413" t="inlineStr">
        <is>
          <t>SEP</t>
        </is>
      </c>
      <c r="AV1413" t="n">
        <v>2018</v>
      </c>
      <c r="AW1413" t="n">
        <v>15</v>
      </c>
      <c r="AX1413" t="n">
        <v>9</v>
      </c>
      <c r="BE1413" t="n">
        <v>1820</v>
      </c>
      <c r="BF1413" t="inlineStr">
        <is>
          <t>10.3390/ijerph15091820</t>
        </is>
      </c>
      <c r="BG1413">
        <f>HYPERLINK("http://dx.doi.org/10.3390/ijerph15091820","http://dx.doi.org/10.3390/ijerph15091820")</f>
        <v/>
      </c>
      <c r="BJ1413" t="n">
        <v>11</v>
      </c>
      <c r="BK1413" t="inlineStr">
        <is>
          <t>Environmental Sciences; Public, Environmental &amp; Occupational Health</t>
        </is>
      </c>
      <c r="BL1413" t="inlineStr">
        <is>
          <t>Science Citation Index Expanded (SCI-EXPANDED); Social Science Citation Index (SSCI)</t>
        </is>
      </c>
      <c r="BM1413" t="inlineStr">
        <is>
          <t>Environmental Sciences &amp; Ecology; Public, Environmental &amp; Occupational Health</t>
        </is>
      </c>
      <c r="BN1413" t="inlineStr">
        <is>
          <t>GV0PX</t>
        </is>
      </c>
      <c r="BO1413" t="n">
        <v>30142906</v>
      </c>
      <c r="BP1413" t="inlineStr">
        <is>
          <t>Green Published, gold, Green Submitted</t>
        </is>
      </c>
      <c r="BS1413" t="inlineStr">
        <is>
          <t>2023-10-26</t>
        </is>
      </c>
      <c r="BT1413" t="inlineStr">
        <is>
          <t>WOS:000445765600029</t>
        </is>
      </c>
      <c r="BU1413">
        <f>HYPERLINK("https%3A%2F%2Fwww.webofscience.com%2Fwos%2Fwoscc%2Ffull-record%2FWOS:000445765600029","View Full Record in Web of Science")</f>
        <v/>
      </c>
    </row>
    <row r="1414">
      <c r="A1414" t="inlineStr">
        <is>
          <t>J</t>
        </is>
      </c>
      <c r="B1414" t="inlineStr">
        <is>
          <t>Larriva, MTB; Higueras, E</t>
        </is>
      </c>
      <c r="F1414" t="inlineStr">
        <is>
          <t>Baquero Larriva, Maria Teresa; Higueras, Ester</t>
        </is>
      </c>
      <c r="J1414" t="inlineStr">
        <is>
          <t>URBAN CLIMATE</t>
        </is>
      </c>
      <c r="M1414" t="inlineStr">
        <is>
          <t>English</t>
        </is>
      </c>
      <c r="N1414" t="inlineStr">
        <is>
          <t>Article</t>
        </is>
      </c>
      <c r="T1414" t="inlineStr">
        <is>
          <t>Health risk for older adults in Madrid, by outdoor thermal and acoustic comfort</t>
        </is>
      </c>
      <c r="U1414" t="inlineStr">
        <is>
          <t>Health risk; Outdoor thermal comfort; Acoustic comfort; Older adults; Urban public space; Environmental perception</t>
        </is>
      </c>
      <c r="V1414" t="inlineStr">
        <is>
          <t>GREEN SPACE; SOUNDSCAPE; MICROCLIMATE; SENSITIVITY; ENVIRONMENT; ADAPTATION; PERCEPTION; LANDSCAPE; ANNOYANCE; QUALITY</t>
        </is>
      </c>
      <c r="W1414" t="inlineStr">
        <is>
          <t>Cities must adapt to aging populations and mitigate the effects of climate change and urbanization on health. This study analyses the outdoor thermal and acoustic comfort of older adults in public spaces in Madrid. We compared the subjective perception with real environmental conditions measured in-situ and two thermal comfort indices Physiological Equivalent Temperature (PET) and Universal Thermal Index (UTCI). Additionally, use and stay of older people in those public spaces was assessed. Results showed that older adults represent 26.35% of the users, environmental variables such as mean radiant temperature, air temperature, and noise levels are the most relevant variables for them to decide to stay in these places. Although most of the 413 interviewees perceived the environment as comfortable, this research shows that in dense urban areas there is a significant health risk due to noise pollution and extreme temperatures. Average noise levels measured exceed the maximum threshold recommended by the World Health Organization and according to PET and UTCI indices around 73% of the interviewees would be in risk of thermal stress in winter and 98.2% in summer. The need for further research to find strategies to mitigate the environmental risks of older people in public spaces is evident.</t>
        </is>
      </c>
      <c r="X1414" t="inlineStr">
        <is>
          <t>[Baquero Larriva, Maria Teresa; Higueras, Ester] Univ Politecn Madrid, Escuela Tecn Super Arquitectura, Av Juan de Herrera 2, Madrid 28040, Spain</t>
        </is>
      </c>
      <c r="Y1414" t="inlineStr">
        <is>
          <t>Universidad Politecnica de Madrid; ETS de Arquitectura</t>
        </is>
      </c>
      <c r="Z1414" t="inlineStr">
        <is>
          <t>Larriva, MTB (corresponding author), Univ Politecn Madrid, Escuela Tecn Super Arquitectura, Av Juan de Herrera 2, Madrid 28040, Spain.</t>
        </is>
      </c>
      <c r="AA1414" t="inlineStr">
        <is>
          <t>maitebaquero7@gmail.com</t>
        </is>
      </c>
      <c r="AB1414" t="inlineStr">
        <is>
          <t>BAQUERO LARRIVA, MARIA TERESA/AAP-6705-2020</t>
        </is>
      </c>
      <c r="AC1414" t="inlineStr">
        <is>
          <t>BAQUERO LARRIVA, MARIA TERESA/0000-0001-5127-5440</t>
        </is>
      </c>
      <c r="AD1414" t="inlineStr">
        <is>
          <t>Secretaria de Educacion Superior, Ciencia, Tecnologia e Innovaci 'on SENESCYT [109-2017 (SENESCYT-SDFC-DSEFC-2017-4040-O)]</t>
        </is>
      </c>
      <c r="AE1414" t="inlineStr">
        <is>
          <t>Secretaria de Educacion Superior, Ciencia, Tecnologia e Innovaci 'on SENESCYT</t>
        </is>
      </c>
      <c r="AF1414" t="inlineStr">
        <is>
          <t>This work was supported by Secretaria de Educacion Superior, Ciencia, Tecnologia e Innovaci ' on SENESCYT under Grant [109-2017 (SENESCYT-SDFC-DSEFC-2017-4040-O)].</t>
        </is>
      </c>
      <c r="AH1414" t="n">
        <v>88</v>
      </c>
      <c r="AI1414" t="n">
        <v>31</v>
      </c>
      <c r="AJ1414" t="n">
        <v>32</v>
      </c>
      <c r="AK1414" t="n">
        <v>13</v>
      </c>
      <c r="AL1414" t="n">
        <v>70</v>
      </c>
      <c r="AM1414" t="inlineStr">
        <is>
          <t>ELSEVIER</t>
        </is>
      </c>
      <c r="AN1414" t="inlineStr">
        <is>
          <t>AMSTERDAM</t>
        </is>
      </c>
      <c r="AO1414" t="inlineStr">
        <is>
          <t>RADARWEG 29, 1043 NX AMSTERDAM, NETHERLANDS</t>
        </is>
      </c>
      <c r="AP1414" t="inlineStr">
        <is>
          <t>2212-0955</t>
        </is>
      </c>
      <c r="AS1414" t="inlineStr">
        <is>
          <t>URBAN CLIM</t>
        </is>
      </c>
      <c r="AT1414" t="inlineStr">
        <is>
          <t>Urban CLim.</t>
        </is>
      </c>
      <c r="AU1414" t="inlineStr">
        <is>
          <t>DEC</t>
        </is>
      </c>
      <c r="AV1414" t="n">
        <v>2020</v>
      </c>
      <c r="AW1414" t="n">
        <v>34</v>
      </c>
      <c r="BE1414" t="n">
        <v>100724</v>
      </c>
      <c r="BF1414" t="inlineStr">
        <is>
          <t>10.1016/j.uclim.2020.100724</t>
        </is>
      </c>
      <c r="BG1414">
        <f>HYPERLINK("http://dx.doi.org/10.1016/j.uclim.2020.100724","http://dx.doi.org/10.1016/j.uclim.2020.100724")</f>
        <v/>
      </c>
      <c r="BJ1414" t="n">
        <v>23</v>
      </c>
      <c r="BK1414" t="inlineStr">
        <is>
          <t>Environmental Sciences; Meteorology &amp; Atmospheric Sciences</t>
        </is>
      </c>
      <c r="BL1414" t="inlineStr">
        <is>
          <t>Science Citation Index Expanded (SCI-EXPANDED); Social Science Citation Index (SSCI)</t>
        </is>
      </c>
      <c r="BM1414" t="inlineStr">
        <is>
          <t>Environmental Sciences &amp; Ecology; Meteorology &amp; Atmospheric Sciences</t>
        </is>
      </c>
      <c r="BN1414" t="inlineStr">
        <is>
          <t>OY6VS</t>
        </is>
      </c>
      <c r="BS1414" t="inlineStr">
        <is>
          <t>2023-10-26</t>
        </is>
      </c>
      <c r="BT1414" t="inlineStr">
        <is>
          <t>WOS:000594383200001</t>
        </is>
      </c>
      <c r="BU1414">
        <f>HYPERLINK("https%3A%2F%2Fwww.webofscience.com%2Fwos%2Fwoscc%2Ffull-record%2FWOS:000594383200001","View Full Record in Web of Science")</f>
        <v/>
      </c>
    </row>
    <row r="1415">
      <c r="A1415" t="inlineStr">
        <is>
          <t>J</t>
        </is>
      </c>
      <c r="B1415" t="inlineStr">
        <is>
          <t>Huerto-Cardenas, HE; Aste, N; Del Pero, C; Della Torre, S; Leonforte, F; Blavier, CLS</t>
        </is>
      </c>
      <c r="F1415" t="inlineStr">
        <is>
          <t>Huerto-Cardenas, Harold Enrique; Aste, Niccolo; Del Pero, Claudio; Della Torre, Stefano; Leonforte, Fabrizio; Blavier, Camille Luna Stella</t>
        </is>
      </c>
      <c r="J1415" t="inlineStr">
        <is>
          <t>ATMOSPHERE</t>
        </is>
      </c>
      <c r="M1415" t="inlineStr">
        <is>
          <t>English</t>
        </is>
      </c>
      <c r="N1415" t="inlineStr">
        <is>
          <t>Article</t>
        </is>
      </c>
      <c r="T1415" t="inlineStr">
        <is>
          <t>Effects of Visitor Influx on the Indoor Climate of the Milan Cathedral</t>
        </is>
      </c>
      <c r="U1415" t="inlineStr">
        <is>
          <t>historic buildings; indoor climate; induced climate risks; conservation; visitor impact; lockdown</t>
        </is>
      </c>
      <c r="V1415" t="inlineStr">
        <is>
          <t>PREVENTIVE CONSERVATION; MICROCLIMATE; BUILDINGS; CHURCH; ENVIRONMENT; MUSEUMS; QUALITY; PEOPLE</t>
        </is>
      </c>
      <c r="W1415" t="inlineStr">
        <is>
          <t>The indoor climate of non-climatized churches is usually subject to cyclical fluctuations of temperature and relative humidity induced by external climate conditions which might be dampened by the high thermal capacity of their envelope. However, several phenomena affect their indoor climate (e.g., internal gains due to people and artificial lighting, air infiltration, etc.), which lead to environmental variations that might jeopardize the artworks contained within. In particular, one of the most influential parameters that may affect non-climatized churches is the massive and intermittent presence of people who constantly visit their spaces. In such regard, long-term monitoring allows the collection of environmental data with different building operation conditions and visitor fluxes. This paper analyses the indoor climate of the Milan Cathedral (Duomo di Milano) in Italy for three continuous years (including the lockdown period that occurred in 2020 caused by the COVID-19 pandemic), with a focus on visitors' effects on the indoor environment and the conservation of the main artworks contained within. The results of the analysis have shown that spaces with huge volume are most influenced by the opening of the doors rather than the hygrothermal contribution of the intermittent presence of massive crowds. Moreover, the absence of visitors for a prolonged period correlates with an improvement in the indoor conservation conditions for artworks, especially those made of hygroscopic materials, due to the reduction in short, rapid climate fluctuations.</t>
        </is>
      </c>
      <c r="X1415" t="inlineStr">
        <is>
          <t>[Huerto-Cardenas, Harold Enrique; Aste, Niccolo; Del Pero, Claudio; Della Torre, Stefano; Leonforte, Fabrizio; Blavier, Camille Luna Stella] Politecn Milan, Architecture Built Environm &amp; Construct Engn Dept, I-20133 Milan, Italy</t>
        </is>
      </c>
      <c r="Y1415" t="inlineStr">
        <is>
          <t>Polytechnic University of Milan</t>
        </is>
      </c>
      <c r="Z1415" t="inlineStr">
        <is>
          <t>Huerto-Cardenas, HE (corresponding author), Politecn Milan, Architecture Built Environm &amp; Construct Engn Dept, I-20133 Milan, Italy.</t>
        </is>
      </c>
      <c r="AA1415" t="inlineStr">
        <is>
          <t>haroldenrique.huerto@polimi.it</t>
        </is>
      </c>
      <c r="AC1415" t="inlineStr">
        <is>
          <t>Huerto Cardenas, Harold Enrique/0000-0001-7169-9873; Leonforte, Fabrizio/0000-0001-9996-8596; Del Pero, Claudio/0000-0003-4205-2805; Blavier, Camille Luna Stella/0000-0001-8429-8171; Della Torre, Stefano/0000-0002-7760-9530</t>
        </is>
      </c>
      <c r="AH1415" t="n">
        <v>54</v>
      </c>
      <c r="AI1415" t="n">
        <v>1</v>
      </c>
      <c r="AJ1415" t="n">
        <v>1</v>
      </c>
      <c r="AK1415" t="n">
        <v>2</v>
      </c>
      <c r="AL1415" t="n">
        <v>2</v>
      </c>
      <c r="AM1415" t="inlineStr">
        <is>
          <t>MDPI</t>
        </is>
      </c>
      <c r="AN1415" t="inlineStr">
        <is>
          <t>BASEL</t>
        </is>
      </c>
      <c r="AO1415" t="inlineStr">
        <is>
          <t>ST ALBAN-ANLAGE 66, CH-4052 BASEL, SWITZERLAND</t>
        </is>
      </c>
      <c r="AQ1415" t="inlineStr">
        <is>
          <t>2073-4433</t>
        </is>
      </c>
      <c r="AS1415" t="inlineStr">
        <is>
          <t>ATMOSPHERE-BASEL</t>
        </is>
      </c>
      <c r="AT1415" t="inlineStr">
        <is>
          <t>Atmosphere</t>
        </is>
      </c>
      <c r="AU1415" t="inlineStr">
        <is>
          <t>APR</t>
        </is>
      </c>
      <c r="AV1415" t="n">
        <v>2023</v>
      </c>
      <c r="AW1415" t="n">
        <v>14</v>
      </c>
      <c r="AX1415" t="n">
        <v>4</v>
      </c>
      <c r="BE1415" t="n">
        <v>743</v>
      </c>
      <c r="BF1415" t="inlineStr">
        <is>
          <t>10.3390/atmos14040743</t>
        </is>
      </c>
      <c r="BG1415">
        <f>HYPERLINK("http://dx.doi.org/10.3390/atmos14040743","http://dx.doi.org/10.3390/atmos14040743")</f>
        <v/>
      </c>
      <c r="BJ1415" t="n">
        <v>21</v>
      </c>
      <c r="BK1415" t="inlineStr">
        <is>
          <t>Environmental Sciences; Meteorology &amp; Atmospheric Sciences</t>
        </is>
      </c>
      <c r="BL1415" t="inlineStr">
        <is>
          <t>Science Citation Index Expanded (SCI-EXPANDED)</t>
        </is>
      </c>
      <c r="BM1415" t="inlineStr">
        <is>
          <t>Environmental Sciences &amp; Ecology; Meteorology &amp; Atmospheric Sciences</t>
        </is>
      </c>
      <c r="BN1415" t="inlineStr">
        <is>
          <t>E8EK3</t>
        </is>
      </c>
      <c r="BP1415" t="inlineStr">
        <is>
          <t>gold</t>
        </is>
      </c>
      <c r="BS1415" t="inlineStr">
        <is>
          <t>2023-10-26</t>
        </is>
      </c>
      <c r="BT1415" t="inlineStr">
        <is>
          <t>WOS:000977808200001</t>
        </is>
      </c>
      <c r="BU1415">
        <f>HYPERLINK("https%3A%2F%2Fwww.webofscience.com%2Fwos%2Fwoscc%2Ffull-record%2FWOS:000977808200001","View Full Record in Web of Science")</f>
        <v/>
      </c>
    </row>
    <row r="1416">
      <c r="A1416" t="inlineStr">
        <is>
          <t>J</t>
        </is>
      </c>
      <c r="B1416" t="inlineStr">
        <is>
          <t>Kineber, AF; Massoud, MM; Hamed, MM; Qaralleh, TJO</t>
        </is>
      </c>
      <c r="F1416" t="inlineStr">
        <is>
          <t>Kineber, Ahmed Farouk; Massoud, Mostafa Mo.; Hamed, Mohammed Magdy; Qaralleh, Thikryat Jibril Obied</t>
        </is>
      </c>
      <c r="J1416" t="inlineStr">
        <is>
          <t>SUSTAINABILITY</t>
        </is>
      </c>
      <c r="M1416" t="inlineStr">
        <is>
          <t>English</t>
        </is>
      </c>
      <c r="N1416" t="inlineStr">
        <is>
          <t>Article</t>
        </is>
      </c>
      <c r="T1416" t="inlineStr">
        <is>
          <t>Exploring Sustainable Interior Design Implementation Barriers: A Partial Least Structural Equation Modeling Approach</t>
        </is>
      </c>
      <c r="U1416" t="inlineStr">
        <is>
          <t>PLS-SEM; structural equation modeling; sustainable success</t>
        </is>
      </c>
      <c r="V1416" t="inlineStr">
        <is>
          <t>PLS-SEM; TECHNOLOGIES ADOPTION; ENERGY EFFICIENCY; GREEN BUILDINGS; CONSTRUCTION; POLICY; VARIANCE</t>
        </is>
      </c>
      <c r="W1416" t="inlineStr">
        <is>
          <t>Although sustainability has been an issue in the built environment for some time, it has not yet been fully addressed in sustainable interior architecture and design. This research aimed to identify and analyze obstacles preventing sustainable interior architecture and design implementation. As a result, the partial least structural equation modeling approach (PLS-SEM) has been requested to evaluate these obstructions. Therefore, after identifying 30 possible barriers through a literature search, a survey questionnaire was issued to 100 interior designers to evaluate their significance. According to the findings, governmental obstacles are the most pressing, followed by those related to information, knowledge, awareness, technology, training, attitudes, the market, and economics. This study's conclusions may benefit professional interior architects, designers, academics, statutory authorities, administrations, and politicians. The current study addresses the lack of prior literature by compiling a thorough inventory of obstacles to environmentally friendly interior architecture and design, lays the framework for more in-depth future studies, and uses a unique PLS-SEM that has not been used previously.</t>
        </is>
      </c>
      <c r="X1416" t="inlineStr">
        <is>
          <t>[Kineber, Ahmed Farouk] Prince Sattam bin Abdulaziz Univ, Coll Engn Al Kharj, Dept Civil Engn, Al Kharj 11942, Saudi Arabia; [Kineber, Ahmed Farouk] Canadian Int Coll CIC, Dept Civil Engn, Zayed Campus, Giza 12577, Egypt; [Massoud, Mostafa Mo.] Arab Acad Sci Technol &amp; Maritime Transport AASTMT, Coll Engn &amp; Technol, Mech Engn Dept, B 2401 Smart Village, Giza 12577, Egypt; [Hamed, Mohammed Magdy] Arab Acad Sci Technol &amp; Maritime Transport AASTMT, Coll Engn &amp; Technol, Construct &amp; Bldg Engn Dept, B 2401 Smart Village, Giza 12577, Egypt; [Qaralleh, Thikryat Jibril Obied] Prince Sattam bin Abdulaziz Univ, Coll Educ, Al Kharj Dept Educ Sci, Al Kharj 11942, Saudi Arabia</t>
        </is>
      </c>
      <c r="Y1416" t="inlineStr">
        <is>
          <t>Prince Sattam Bin Abdulaziz University; Canadian International College (CIC); Egyptian Knowledge Bank (EKB); Arab Academy for Science, Technology &amp; Maritime Transport; Egyptian Knowledge Bank (EKB); Arab Academy for Science, Technology &amp; Maritime Transport; Prince Sattam Bin Abdulaziz University</t>
        </is>
      </c>
      <c r="Z1416" t="inlineStr">
        <is>
          <t>Kineber, AF (corresponding author), Prince Sattam bin Abdulaziz Univ, Coll Engn Al Kharj, Dept Civil Engn, Al Kharj 11942, Saudi Arabia.;Kineber, AF (corresponding author), Canadian Int Coll CIC, Dept Civil Engn, Zayed Campus, Giza 12577, Egypt.</t>
        </is>
      </c>
      <c r="AA1416" t="inlineStr">
        <is>
          <t>a.kineber@psau.edu.sa</t>
        </is>
      </c>
      <c r="AB1416" t="inlineStr">
        <is>
          <t>Hamed, Mohammed Magdy/AAW-7463-2021; Massoud, Mostafa Mohammed/HJA-4420-2022; Farouk Kineber, Ahmed/ABI-2659-2020</t>
        </is>
      </c>
      <c r="AC1416" t="inlineStr">
        <is>
          <t>Hamed, Mohammed Magdy/0000-0002-2939-5443; Massoud, Mostafa Mohammed/0000-0001-8321-1230; Farouk Kineber, Ahmed/0000-0002-7347-4712</t>
        </is>
      </c>
      <c r="AD1416" t="inlineStr">
        <is>
          <t>Prince Sattam bin Abdulaziz University [PSAU/2023/R/1444]</t>
        </is>
      </c>
      <c r="AE1416" t="inlineStr">
        <is>
          <t>Prince Sattam bin Abdulaziz University</t>
        </is>
      </c>
      <c r="AF1416" t="inlineStr">
        <is>
          <t>This study is supported via funding from Prince Sattam bin Abdulaziz University project number (PSAU/2023/R/1444).</t>
        </is>
      </c>
      <c r="AH1416" t="n">
        <v>116</v>
      </c>
      <c r="AI1416" t="n">
        <v>0</v>
      </c>
      <c r="AJ1416" t="n">
        <v>0</v>
      </c>
      <c r="AK1416" t="n">
        <v>11</v>
      </c>
      <c r="AL1416" t="n">
        <v>13</v>
      </c>
      <c r="AM1416" t="inlineStr">
        <is>
          <t>MDPI</t>
        </is>
      </c>
      <c r="AN1416" t="inlineStr">
        <is>
          <t>BASEL</t>
        </is>
      </c>
      <c r="AO1416" t="inlineStr">
        <is>
          <t>ST ALBAN-ANLAGE 66, CH-4052 BASEL, SWITZERLAND</t>
        </is>
      </c>
      <c r="AQ1416" t="inlineStr">
        <is>
          <t>2071-1050</t>
        </is>
      </c>
      <c r="AS1416" t="inlineStr">
        <is>
          <t>SUSTAINABILITY-BASEL</t>
        </is>
      </c>
      <c r="AT1416" t="inlineStr">
        <is>
          <t>Sustainability</t>
        </is>
      </c>
      <c r="AU1416" t="inlineStr">
        <is>
          <t>MAR</t>
        </is>
      </c>
      <c r="AV1416" t="n">
        <v>2023</v>
      </c>
      <c r="AW1416" t="n">
        <v>15</v>
      </c>
      <c r="AX1416" t="n">
        <v>5</v>
      </c>
      <c r="BE1416" t="n">
        <v>4663</v>
      </c>
      <c r="BF1416" t="inlineStr">
        <is>
          <t>10.3390/su15054663</t>
        </is>
      </c>
      <c r="BG1416">
        <f>HYPERLINK("http://dx.doi.org/10.3390/su15054663","http://dx.doi.org/10.3390/su15054663")</f>
        <v/>
      </c>
      <c r="BJ1416" t="n">
        <v>20</v>
      </c>
      <c r="BK1416" t="inlineStr">
        <is>
          <t>Green &amp; Sustainable Science &amp; Technology; Environmental Sciences; Environmental Studies</t>
        </is>
      </c>
      <c r="BL1416" t="inlineStr">
        <is>
          <t>Science Citation Index Expanded (SCI-EXPANDED); Social Science Citation Index (SSCI)</t>
        </is>
      </c>
      <c r="BM1416" t="inlineStr">
        <is>
          <t>Science &amp; Technology - Other Topics; Environmental Sciences &amp; Ecology</t>
        </is>
      </c>
      <c r="BN1416" t="inlineStr">
        <is>
          <t>9T5RH</t>
        </is>
      </c>
      <c r="BP1416" t="inlineStr">
        <is>
          <t>gold</t>
        </is>
      </c>
      <c r="BS1416" t="inlineStr">
        <is>
          <t>2023-10-26</t>
        </is>
      </c>
      <c r="BT1416" t="inlineStr">
        <is>
          <t>WOS:000947083100001</t>
        </is>
      </c>
      <c r="BU1416">
        <f>HYPERLINK("https%3A%2F%2Fwww.webofscience.com%2Fwos%2Fwoscc%2Ffull-record%2FWOS:000947083100001","View Full Record in Web of Science")</f>
        <v/>
      </c>
    </row>
    <row r="1417">
      <c r="A1417" t="inlineStr">
        <is>
          <t>J</t>
        </is>
      </c>
      <c r="B1417" t="inlineStr">
        <is>
          <t>Song, CY; Lin, PS; Hung, PL</t>
        </is>
      </c>
      <c r="F1417" t="inlineStr">
        <is>
          <t>Song, Chen-Yi; Lin, Pay-Shin; Hung, Pei-Lun</t>
        </is>
      </c>
      <c r="H1417" t="inlineStr">
        <is>
          <t>ADLers Occupational Therapy Clini</t>
        </is>
      </c>
      <c r="J1417" t="inlineStr">
        <is>
          <t>INTERNATIONAL JOURNAL OF ENVIRONMENTAL RESEARCH AND PUBLIC HEALTH</t>
        </is>
      </c>
      <c r="M1417" t="inlineStr">
        <is>
          <t>English</t>
        </is>
      </c>
      <c r="N1417" t="inlineStr">
        <is>
          <t>Article</t>
        </is>
      </c>
      <c r="T1417" t="inlineStr">
        <is>
          <t>Effects of Community-Based Physical-Cognitive Training, Health Education, and Reablement among Rural Community-Dwelling Older Adults with Mobility Deficits</t>
        </is>
      </c>
      <c r="U1417" t="inlineStr">
        <is>
          <t>restorative care; reablement; function; elderly; long-term care</t>
        </is>
      </c>
      <c r="V1417" t="inlineStr">
        <is>
          <t>HOME-CARE; PERFORMANCE; INTERVENTIONS; IMPAIRMENT; EXERCISE; PREVALENCE; SARCOPENIA; DEMENTIA; PROGRAM; PEOPLE</t>
        </is>
      </c>
      <c r="W1417" t="inlineStr">
        <is>
          <t>Reablement services are approaches for maintaining and improving the functional independence of older adults. Previous reablement studies were conducted in a home environment. Due to the limited evidence on the effects of multicomponent interventions and reablement in a community-based context, this study aimed to develop and evaluate the effect of community-based physical-cognitive training, health education, and reablement (PCHER) among rural community-dwelling older adults with mobility deficits. The trial was conducted in rural areas of New Taipei City, Taiwan. Older adults with mild to moderate mobility deficits were recruited from six adult daycare centers, and a cluster assignment was applied in a counterbalanced order. The experimental group (n = 16) received a PCHER intervention, comprising 1.5 h of group courses and 1 h of individualized reablement training, while the control group (n = 12) underwent PCHE intervention, comprising 1.5 h of group courses and 1 h of placebo treatment. A 2.5-h training session was completed weekly for 10 weeks. The outcome measures contained the de Morton Mobility Index (DEMMI), the Saint Louis University Mental Status (SLUMS) Examination, the Barthel Index (BI), the Short Physical Performance Battery (SPPB), and the Canadian Occupational Performance Measure (COPM). The PCHER significantly improved the DEMMI, SLUMS, BI, SPPB, and COPM (all p &lt; 0.05), with medium-to-large effect sizes. PCHER also showed an advantage over PCHE in terms of the SPPB (p = 0.02). This study verified that combining individualized reablement with group-based multicomponent training was superior to group courses alone in enhancing the functional abilities of community-dwelling older adults with mobility deficits.</t>
        </is>
      </c>
      <c r="X1417" t="inlineStr">
        <is>
          <t>[Song, Chen-Yi; Hung, Pei-Lun] Natl Taipei Univ Nursing &amp; Hlth Sci, Dept Long Term Care, Taipei 112303, Taiwan; [Lin, Pay-Shin] Chang Gung Univ, Coll Med, Grad Inst Rehabil Sci, Dept Phys Therapy, Taoyuan 33302, Taiwan; [Lin, Pay-Shin] Chang Gung Univ, Coll Med, Master Degree Program Healthcare Ind, Taoyuan 33302, Taiwan; [Lin, Pay-Shin] Chang Gung Univ, Chang Gung Mem Hosp, Hlth Aging Res Ctr, Taoyuan 33302, Taiwan; [ADLers Occupational Therapy Clini] ADLers Occupat Therapy Clin, Taipei 10491, Taiwan</t>
        </is>
      </c>
      <c r="Y1417" t="inlineStr">
        <is>
          <t>National Taipei University of Nursing &amp; Health Science (NTUNHS); Chang Gung University; Chang Gung University; Chang Gung University; Chang Gung Memorial Hospital</t>
        </is>
      </c>
      <c r="Z1417" t="inlineStr">
        <is>
          <t>Song, CY (corresponding author), Natl Taipei Univ Nursing &amp; Hlth Sci, Dept Long Term Care, Taipei 112303, Taiwan.</t>
        </is>
      </c>
      <c r="AA1417" t="inlineStr">
        <is>
          <t>cysong@ntunhs.edu.tw; pslin@mail.cgu.edu.tw; ax911142@gmail.com</t>
        </is>
      </c>
      <c r="AC1417" t="inlineStr">
        <is>
          <t>Song, Chen-Yi/0000-0001-9962-0506</t>
        </is>
      </c>
      <c r="AD1417" t="inlineStr">
        <is>
          <t>Department of Health, New Taipei City Government [S108013]</t>
        </is>
      </c>
      <c r="AE1417" t="inlineStr">
        <is>
          <t>Department of Health, New Taipei City Government</t>
        </is>
      </c>
      <c r="AF1417" t="inlineStr">
        <is>
          <t>This study was supported by a grant (Number: S108013) to the ADLers Occupational Therapy Clinic from the Department of Health, New Taipei City Government.</t>
        </is>
      </c>
      <c r="AH1417" t="n">
        <v>45</v>
      </c>
      <c r="AI1417" t="n">
        <v>2</v>
      </c>
      <c r="AJ1417" t="n">
        <v>2</v>
      </c>
      <c r="AK1417" t="n">
        <v>6</v>
      </c>
      <c r="AL1417" t="n">
        <v>23</v>
      </c>
      <c r="AM1417" t="inlineStr">
        <is>
          <t>MDPI</t>
        </is>
      </c>
      <c r="AN1417" t="inlineStr">
        <is>
          <t>BASEL</t>
        </is>
      </c>
      <c r="AO1417" t="inlineStr">
        <is>
          <t>ST ALBAN-ANLAGE 66, CH-4052 BASEL, SWITZERLAND</t>
        </is>
      </c>
      <c r="AQ1417" t="inlineStr">
        <is>
          <t>1660-4601</t>
        </is>
      </c>
      <c r="AS1417" t="inlineStr">
        <is>
          <t>INT J ENV RES PUB HE</t>
        </is>
      </c>
      <c r="AT1417" t="inlineStr">
        <is>
          <t>Int. J. Environ. Res. Public Health</t>
        </is>
      </c>
      <c r="AU1417" t="inlineStr">
        <is>
          <t>SEP</t>
        </is>
      </c>
      <c r="AV1417" t="n">
        <v>2021</v>
      </c>
      <c r="AW1417" t="n">
        <v>18</v>
      </c>
      <c r="AX1417" t="n">
        <v>17</v>
      </c>
      <c r="BE1417" t="n">
        <v>9374</v>
      </c>
      <c r="BF1417" t="inlineStr">
        <is>
          <t>10.3390/ijerph18179374</t>
        </is>
      </c>
      <c r="BG1417">
        <f>HYPERLINK("http://dx.doi.org/10.3390/ijerph18179374","http://dx.doi.org/10.3390/ijerph18179374")</f>
        <v/>
      </c>
      <c r="BJ1417" t="n">
        <v>9</v>
      </c>
      <c r="BK1417" t="inlineStr">
        <is>
          <t>Environmental Sciences; Public, Environmental &amp; Occupational Health</t>
        </is>
      </c>
      <c r="BL1417" t="inlineStr">
        <is>
          <t>Science Citation Index Expanded (SCI-EXPANDED); Social Science Citation Index (SSCI)</t>
        </is>
      </c>
      <c r="BM1417" t="inlineStr">
        <is>
          <t>Environmental Sciences &amp; Ecology; Public, Environmental &amp; Occupational Health</t>
        </is>
      </c>
      <c r="BN1417" t="inlineStr">
        <is>
          <t>UN6JL</t>
        </is>
      </c>
      <c r="BO1417" t="n">
        <v>34501963</v>
      </c>
      <c r="BP1417" t="inlineStr">
        <is>
          <t>Green Published, gold</t>
        </is>
      </c>
      <c r="BS1417" t="inlineStr">
        <is>
          <t>2023-10-26</t>
        </is>
      </c>
      <c r="BT1417" t="inlineStr">
        <is>
          <t>WOS:000694120300001</t>
        </is>
      </c>
      <c r="BU1417">
        <f>HYPERLINK("https%3A%2F%2Fwww.webofscience.com%2Fwos%2Fwoscc%2Ffull-record%2FWOS:000694120300001","View Full Record in Web of Science")</f>
        <v/>
      </c>
    </row>
    <row r="1418">
      <c r="A1418" t="inlineStr">
        <is>
          <t>J</t>
        </is>
      </c>
      <c r="B1418" t="inlineStr">
        <is>
          <t>Lee, S; Yoo, C; Seo, KW</t>
        </is>
      </c>
      <c r="F1418" t="inlineStr">
        <is>
          <t>Lee, Sugie; Yoo, Chisun; Seo, Kyung Wook</t>
        </is>
      </c>
      <c r="J1418" t="inlineStr">
        <is>
          <t>SUSTAINABILITY</t>
        </is>
      </c>
      <c r="M1418" t="inlineStr">
        <is>
          <t>English</t>
        </is>
      </c>
      <c r="N1418" t="inlineStr">
        <is>
          <t>Article</t>
        </is>
      </c>
      <c r="T1418" t="inlineStr">
        <is>
          <t>Determinant Factors of Pedestrian Volume in Different Land-Use Zones: Combining Space Syntax Metrics with GIS-Based Built-Environment Measures</t>
        </is>
      </c>
      <c r="U1418" t="inlineStr">
        <is>
          <t>built environment; pedestrian volume; walking activity; space syntax; land use</t>
        </is>
      </c>
      <c r="V1418" t="inlineStr">
        <is>
          <t>STREET NETWORKS; WALKING; MOVEMENT; SEOUL; CONNECTIVITY; TRAVEL</t>
        </is>
      </c>
      <c r="W1418" t="inlineStr">
        <is>
          <t>This study combined space syntax metrics and geographic information systems (GIS)-based built-environment measures to analyze pedestrian volume in different land-use zones, as recorded in unique public data from a pedestrian volume survey of 10,000 locations in Seoul, Korea. The results indicate that most of the built-environment variables, such as density, land use, accessibility, and street design measures, showed statistically significant associations with pedestrian volume. Among the syntactic variables, global integration showed a statistically significant association with the average pedestrian volume in residential and commercial zones. In contrast, local integration turned out to be an important factor in the commercial zone. Therefore, this study concludes that the syntactic variables of global and local integration, as well as some built-environment variables, should be considered as determinant factors of pedestrian volume, though the effects of those variables varied by land-use zone. Therefore, planning and public policies should use tailored approaches to promote urban vitality through pedestrian volume in accordance with each land-use zone's characteristics.</t>
        </is>
      </c>
      <c r="X1418" t="inlineStr">
        <is>
          <t>[Lee, Sugie] Hanyang Univ, Dept Urban Planning &amp; Engn, 222 Wangsimni Ro, Seoul 04763, South Korea; [Yoo, Chisun] Georgia Inst Technol, Sch City Reg Planning, Atlanta, GA 30332 USA; [Seo, Kyung Wook] Northumbria Univ, Dept Architecture &amp; Built Environm, Newcastle Upon Tyne NE1 8ST, Tyne &amp; Wear, England</t>
        </is>
      </c>
      <c r="Y1418" t="inlineStr">
        <is>
          <t>Hanyang University; University System of Georgia; Georgia Institute of Technology; Northumbria University</t>
        </is>
      </c>
      <c r="Z1418" t="inlineStr">
        <is>
          <t>Lee, S (corresponding author), Hanyang Univ, Dept Urban Planning &amp; Engn, 222 Wangsimni Ro, Seoul 04763, South Korea.</t>
        </is>
      </c>
      <c r="AA1418" t="inlineStr">
        <is>
          <t>sugielee@hanyang.ac.kr; csyoo@gatech.edu; kyung.seo@northumbria.ac.uk</t>
        </is>
      </c>
      <c r="AC1418" t="inlineStr">
        <is>
          <t>Seo, Kyung Wook/0000-0002-8652-6104; Yoo, Chisun/0000-0003-0219-2651; Lee, Sugie/0000-0002-0940-4488</t>
        </is>
      </c>
      <c r="AH1418" t="n">
        <v>35</v>
      </c>
      <c r="AI1418" t="n">
        <v>19</v>
      </c>
      <c r="AJ1418" t="n">
        <v>20</v>
      </c>
      <c r="AK1418" t="n">
        <v>9</v>
      </c>
      <c r="AL1418" t="n">
        <v>40</v>
      </c>
      <c r="AM1418" t="inlineStr">
        <is>
          <t>MDPI</t>
        </is>
      </c>
      <c r="AN1418" t="inlineStr">
        <is>
          <t>BASEL</t>
        </is>
      </c>
      <c r="AO1418" t="inlineStr">
        <is>
          <t>ST ALBAN-ANLAGE 66, CH-4052 BASEL, SWITZERLAND</t>
        </is>
      </c>
      <c r="AQ1418" t="inlineStr">
        <is>
          <t>2071-1050</t>
        </is>
      </c>
      <c r="AS1418" t="inlineStr">
        <is>
          <t>SUSTAINABILITY-BASEL</t>
        </is>
      </c>
      <c r="AT1418" t="inlineStr">
        <is>
          <t>Sustainability</t>
        </is>
      </c>
      <c r="AU1418" t="inlineStr">
        <is>
          <t>OCT</t>
        </is>
      </c>
      <c r="AV1418" t="n">
        <v>2020</v>
      </c>
      <c r="AW1418" t="n">
        <v>12</v>
      </c>
      <c r="AX1418" t="n">
        <v>20</v>
      </c>
      <c r="BE1418" t="n">
        <v>8647</v>
      </c>
      <c r="BF1418" t="inlineStr">
        <is>
          <t>10.3390/su12208647</t>
        </is>
      </c>
      <c r="BG1418">
        <f>HYPERLINK("http://dx.doi.org/10.3390/su12208647","http://dx.doi.org/10.3390/su12208647")</f>
        <v/>
      </c>
      <c r="BJ1418" t="n">
        <v>15</v>
      </c>
      <c r="BK1418" t="inlineStr">
        <is>
          <t>Green &amp; Sustainable Science &amp; Technology; Environmental Sciences; Environmental Studies</t>
        </is>
      </c>
      <c r="BL1418" t="inlineStr">
        <is>
          <t>Science Citation Index Expanded (SCI-EXPANDED); Social Science Citation Index (SSCI)</t>
        </is>
      </c>
      <c r="BM1418" t="inlineStr">
        <is>
          <t>Science &amp; Technology - Other Topics; Environmental Sciences &amp; Ecology</t>
        </is>
      </c>
      <c r="BN1418" t="inlineStr">
        <is>
          <t>OI2YS</t>
        </is>
      </c>
      <c r="BP1418" t="inlineStr">
        <is>
          <t>gold, Green Published, Green Accepted</t>
        </is>
      </c>
      <c r="BS1418" t="inlineStr">
        <is>
          <t>2023-10-26</t>
        </is>
      </c>
      <c r="BT1418" t="inlineStr">
        <is>
          <t>WOS:000583151200001</t>
        </is>
      </c>
      <c r="BU1418">
        <f>HYPERLINK("https%3A%2F%2Fwww.webofscience.com%2Fwos%2Fwoscc%2Ffull-record%2FWOS:000583151200001","View Full Record in Web of Science")</f>
        <v/>
      </c>
    </row>
    <row r="1419">
      <c r="A1419" t="inlineStr">
        <is>
          <t>J</t>
        </is>
      </c>
      <c r="B1419" t="inlineStr">
        <is>
          <t>Ma, T; Aghaabbasi, M; Ali, M; Zainol, R; Jan, A; Mohamed, AM; Mohamed, A</t>
        </is>
      </c>
      <c r="F1419" t="inlineStr">
        <is>
          <t>Ma, Te; Aghaabbasi, Mahdi; Ali, Mujahid; Zainol, Rosilawati; Jan, Amin; Mohamed, Abdeliazim Mustafa; Mohamed, Abdullah</t>
        </is>
      </c>
      <c r="J1419" t="inlineStr">
        <is>
          <t>SUSTAINABILITY</t>
        </is>
      </c>
      <c r="M1419" t="inlineStr">
        <is>
          <t>English</t>
        </is>
      </c>
      <c r="N1419" t="inlineStr">
        <is>
          <t>Article</t>
        </is>
      </c>
      <c r="T1419" t="inlineStr">
        <is>
          <t>Nonlinear Relationships between Vehicle Ownership and Household Travel Characteristics and Built Environment Attributes in the US Using the XGBT Algorithm</t>
        </is>
      </c>
      <c r="U1419" t="inlineStr">
        <is>
          <t>sustainable vehicle ownership; nonlinear relationships; built environment; XGBT</t>
        </is>
      </c>
      <c r="V1419" t="inlineStr">
        <is>
          <t>CAR OWNERSHIP; SIGNALIZED INTERSECTIONS; AUTOMOBILE OWNERSHIP; SOCIO-DEMOGRAPHICS; FLOW-RATE; URBAN; IMPACT; NEIGHBORHOOD; INEQUALITIES; MOBILITY</t>
        </is>
      </c>
      <c r="W1419" t="inlineStr">
        <is>
          <t>In the United States, several studies have looked at the association between automobile ownership and sociodemographic factors and built environment qualities, but few have looked at household travel characteristics. Their interactions and nonlinear linkages are frequently overlooked in existing studies. Utilizing the 2017 US National Household Travel Survey, the authors employed an extreme gradient boosting tree model to evaluate the nonlinear and interaction impacts of household travel characteristics and built environment factors on vehicle ownership in three states of the United States (California, Missouri, and Kansas) that are different in population size. To develop these models, three main XGBT parameters, including the number of trees, maximal depth, and minimum rows, were optimized using a grid search technique. In California, the predictability of vehicle ownership was driven by household travel characteristics (cumulative importance: 0.62). Predictions for vehicle ownership in Missouri and Kansas were dominantly influenced by sociodemographic factors (cumulative importance: 0.53 and 0.55, respectively). In all states, the authors found that the number of drivers in a household plays a vital role in the vehicle ownership decisions of households. Regarding the built environment attributes, deficiencies in cycling infrastructure were the most prominent attribute in predicting household vehicle ownership in California. This variable, however, has threshold connections with vehicle ownership, but the magnitude of these relationships is small. The outcomes imply that improving the condition of cycling infrastructure will help reduce the number of vehicles. In addition, incentives that encourage the households' drivers not to buy new vehicles are helpful. The outcomes of this study might aid policymakers in developing policies that encourage sustainable vehicle ownership in the United States.</t>
        </is>
      </c>
      <c r="X1419" t="inlineStr">
        <is>
          <t>[Ma, Te] Dalian Univ, Sch Tourism, Dalian 116000, Peoples R China; [Aghaabbasi, Mahdi; Zainol, Rosilawati] Univ Malaya, Fac Built Environm, Dept Urban &amp; Reg Planning, Ctr Sustainable Urban Planning &amp; Real Estate SUPR, Kuala Lumpur 50603, Malaysia; [Ali, Mujahid] Univ Teknol Petronas, Dept Civil &amp; Environm Engn, Seri Iskandar 32610, Perak, Malaysia; [Jan, Amin] Univ Malaysia Kelantan, Fac Hospitality Tourism &amp; Wellness, City Campus, Pengkalan Chepa 16100, Malaysia; [Mohamed, Abdeliazim Mustafa] Prince Sattam Bin Abdulaziz Univ, Coll Engn, Dept Civil Engn, Alkharj 16273, Saudi Arabia; [Mohamed, Abdeliazim Mustafa] Bayan Coll Sci &amp; Technol, Bldg &amp; Construct Technol Dept, Khartoum 210, Sudan; [Mohamed, Abdullah] Future Univ Egypt, Res Ctr, New Cairo 11745, Egypt</t>
        </is>
      </c>
      <c r="Y1419" t="inlineStr">
        <is>
          <t>Dalian University; Universiti Malaya; Universiti Teknologi Petronas; Universiti Malaysia Kelantan; Prince Sattam Bin Abdulaziz University; Egyptian Knowledge Bank (EKB); Future University in Egypt</t>
        </is>
      </c>
      <c r="Z1419" t="inlineStr">
        <is>
          <t>Ma, T (corresponding author), Dalian Univ, Sch Tourism, Dalian 116000, Peoples R China.;Aghaabbasi, M (corresponding author), Univ Malaya, Fac Built Environm, Dept Urban &amp; Reg Planning, Ctr Sustainable Urban Planning &amp; Real Estate SUPR, Kuala Lumpur 50603, Malaysia.;Ali, M (corresponding author), Univ Teknol Petronas, Dept Civil &amp; Environm Engn, Seri Iskandar 32610, Perak, Malaysia.;Jan, A (corresponding author), Univ Malaysia Kelantan, Fac Hospitality Tourism &amp; Wellness, City Campus, Pengkalan Chepa 16100, Malaysia.</t>
        </is>
      </c>
      <c r="AA1419" t="inlineStr">
        <is>
          <t>mate987654321@163.com; mandi@um.edu.my; mujahid_19001704@utp.edu.my; rosilawatizai@um.edu.my; aminjan@umk.edu.my; a.bilal@psau.edu.sa; mohamed.a@fue.edu.eg</t>
        </is>
      </c>
      <c r="AB1419" t="inlineStr">
        <is>
          <t>Mehreen, Mehreen/AED-4052-2022; Ahmed, Abdeliazim/GPC-7287-2022; Zainol, Rosilawati/B-9603-2010; Ahmed, Ahmed/JHS-7565-2023; Ali, Mujahid/AEP-6014-2022</t>
        </is>
      </c>
      <c r="AC1419" t="inlineStr">
        <is>
          <t>Ahmed, Abdeliazim/0000-0002-7141-5057; Zainol, Rosilawati/0000-0003-1132-8506; Ali, Mujahid/0000-0003-4376-0459; Aghaabbasi, Mahdi/0000-0003-2874-5429</t>
        </is>
      </c>
      <c r="AD1419" t="inlineStr">
        <is>
          <t>Social Science Planning Fund of Liaoning Province [L20AXW001]</t>
        </is>
      </c>
      <c r="AE1419" t="inlineStr">
        <is>
          <t>Social Science Planning Fund of Liaoning Province</t>
        </is>
      </c>
      <c r="AF1419" t="inlineStr">
        <is>
          <t>Social Science Planning Fund of Liaoning Province (L20AXW001).</t>
        </is>
      </c>
      <c r="AH1419" t="n">
        <v>74</v>
      </c>
      <c r="AI1419" t="n">
        <v>4</v>
      </c>
      <c r="AJ1419" t="n">
        <v>4</v>
      </c>
      <c r="AK1419" t="n">
        <v>3</v>
      </c>
      <c r="AL1419" t="n">
        <v>17</v>
      </c>
      <c r="AM1419" t="inlineStr">
        <is>
          <t>MDPI</t>
        </is>
      </c>
      <c r="AN1419" t="inlineStr">
        <is>
          <t>BASEL</t>
        </is>
      </c>
      <c r="AO1419" t="inlineStr">
        <is>
          <t>ST ALBAN-ANLAGE 66, CH-4052 BASEL, SWITZERLAND</t>
        </is>
      </c>
      <c r="AQ1419" t="inlineStr">
        <is>
          <t>2071-1050</t>
        </is>
      </c>
      <c r="AS1419" t="inlineStr">
        <is>
          <t>SUSTAINABILITY-BASEL</t>
        </is>
      </c>
      <c r="AT1419" t="inlineStr">
        <is>
          <t>Sustainability</t>
        </is>
      </c>
      <c r="AU1419" t="inlineStr">
        <is>
          <t>MAR</t>
        </is>
      </c>
      <c r="AV1419" t="n">
        <v>2022</v>
      </c>
      <c r="AW1419" t="n">
        <v>14</v>
      </c>
      <c r="AX1419" t="n">
        <v>6</v>
      </c>
      <c r="BE1419" t="n">
        <v>3395</v>
      </c>
      <c r="BF1419" t="inlineStr">
        <is>
          <t>10.3390/su14063395</t>
        </is>
      </c>
      <c r="BG1419">
        <f>HYPERLINK("http://dx.doi.org/10.3390/su14063395","http://dx.doi.org/10.3390/su14063395")</f>
        <v/>
      </c>
      <c r="BJ1419" t="n">
        <v>18</v>
      </c>
      <c r="BK1419" t="inlineStr">
        <is>
          <t>Green &amp; Sustainable Science &amp; Technology; Environmental Sciences; Environmental Studies</t>
        </is>
      </c>
      <c r="BL1419" t="inlineStr">
        <is>
          <t>Science Citation Index Expanded (SCI-EXPANDED); Social Science Citation Index (SSCI)</t>
        </is>
      </c>
      <c r="BM1419" t="inlineStr">
        <is>
          <t>Science &amp; Technology - Other Topics; Environmental Sciences &amp; Ecology</t>
        </is>
      </c>
      <c r="BN1419" t="inlineStr">
        <is>
          <t>0B2UG</t>
        </is>
      </c>
      <c r="BP1419" t="inlineStr">
        <is>
          <t>gold</t>
        </is>
      </c>
      <c r="BS1419" t="inlineStr">
        <is>
          <t>2023-10-26</t>
        </is>
      </c>
      <c r="BT1419" t="inlineStr">
        <is>
          <t>WOS:000774495200001</t>
        </is>
      </c>
      <c r="BU1419">
        <f>HYPERLINK("https%3A%2F%2Fwww.webofscience.com%2Fwos%2Fwoscc%2Ffull-record%2FWOS:000774495200001","View Full Record in Web of Science")</f>
        <v/>
      </c>
    </row>
    <row r="1420">
      <c r="A1420" t="inlineStr">
        <is>
          <t>J</t>
        </is>
      </c>
      <c r="B1420" t="inlineStr">
        <is>
          <t>Lee, S; Hong, SH; Song, HY</t>
        </is>
      </c>
      <c r="F1420" t="inlineStr">
        <is>
          <t>Lee, Shinae; Hong, So Hyoung; Song, Hye Young</t>
        </is>
      </c>
      <c r="J1420" t="inlineStr">
        <is>
          <t>INTERNATIONAL JOURNAL OF ENVIRONMENTAL RESEARCH AND PUBLIC HEALTH</t>
        </is>
      </c>
      <c r="M1420" t="inlineStr">
        <is>
          <t>English</t>
        </is>
      </c>
      <c r="N1420" t="inlineStr">
        <is>
          <t>Article</t>
        </is>
      </c>
      <c r="T1420" t="inlineStr">
        <is>
          <t>Factors Associated with Health-Related Quality of Life among Older Adults in Rural South Korea Based on Ecological Model</t>
        </is>
      </c>
      <c r="U1420" t="inlineStr">
        <is>
          <t>older adults; health related quality of life; rural population; ecological model</t>
        </is>
      </c>
      <c r="V1420" t="inlineStr">
        <is>
          <t>SLEEP; URBAN</t>
        </is>
      </c>
      <c r="W1420" t="inlineStr">
        <is>
          <t>As the portion of older adults in the population in rural areas of South Korea exceeds 20%, the importance of health-related quality of life is increasing. The aim of the study was to examine the health-related quality of life through the ecological model and its basic determining factors for older adults. The study was conducted on 184 respondents aged 65 and over living in rural areas of South Korea. The measurements were health-related quality of life, health care service needs, sleep quality, social support, and personal characteristics. The collected data were tested using descriptive, t-test, ANOVA, and hierarchical multiple regression. The results showed that older adults in rural areas experienced a low quality of life. Religion, having a helper, and social support were significantly related to health-related quality of life in older adults. This directly shows that the government should make efforts to build a social support system to improve the gap between urban and rural areas. To improve the health-related quality of life of older adults in rural areas, it would be helpful to increase physical activity and to form a community, leading to a social network.</t>
        </is>
      </c>
      <c r="X1420" t="inlineStr">
        <is>
          <t>[Lee, Shinae] Daegu Hlth Coll, Dept Nursing, Daegu 41453, South Korea; [Hong, So Hyoung] Gunjang Univ, Dept Nursing, Gunsan 54045, South Korea; [Song, Hye Young] Woosuk Univ, Dept Nursing, Wonju 55338, South Korea</t>
        </is>
      </c>
      <c r="Y1420" t="inlineStr">
        <is>
          <t>Woosuk University</t>
        </is>
      </c>
      <c r="Z1420" t="inlineStr">
        <is>
          <t>Hong, SH (corresponding author), Gunjang Univ, Dept Nursing, Gunsan 54045, South Korea.</t>
        </is>
      </c>
      <c r="AA1420" t="inlineStr">
        <is>
          <t>shinaelee@dhc.ac.kr; hsh7021@naver.com; lemonbam84@woosuk.ac.kr</t>
        </is>
      </c>
      <c r="AC1420" t="inlineStr">
        <is>
          <t>Lee, Shinae/0000-0001-5594-6977; /0000-0002-7880-1348</t>
        </is>
      </c>
      <c r="AH1420" t="n">
        <v>52</v>
      </c>
      <c r="AI1420" t="n">
        <v>0</v>
      </c>
      <c r="AJ1420" t="n">
        <v>0</v>
      </c>
      <c r="AK1420" t="n">
        <v>7</v>
      </c>
      <c r="AL1420" t="n">
        <v>14</v>
      </c>
      <c r="AM1420" t="inlineStr">
        <is>
          <t>MDPI</t>
        </is>
      </c>
      <c r="AN1420" t="inlineStr">
        <is>
          <t>BASEL</t>
        </is>
      </c>
      <c r="AO1420" t="inlineStr">
        <is>
          <t>ST ALBAN-ANLAGE 66, CH-4052 BASEL, SWITZERLAND</t>
        </is>
      </c>
      <c r="AQ1420" t="inlineStr">
        <is>
          <t>1660-4601</t>
        </is>
      </c>
      <c r="AS1420" t="inlineStr">
        <is>
          <t>INT J ENV RES PUB HE</t>
        </is>
      </c>
      <c r="AT1420" t="inlineStr">
        <is>
          <t>Int. J. Environ. Res. Public Health</t>
        </is>
      </c>
      <c r="AU1420" t="inlineStr">
        <is>
          <t>JUN</t>
        </is>
      </c>
      <c r="AV1420" t="n">
        <v>2022</v>
      </c>
      <c r="AW1420" t="n">
        <v>19</v>
      </c>
      <c r="AX1420" t="n">
        <v>12</v>
      </c>
      <c r="BE1420" t="n">
        <v>7021</v>
      </c>
      <c r="BF1420" t="inlineStr">
        <is>
          <t>10.3390/ijerph19127021</t>
        </is>
      </c>
      <c r="BG1420">
        <f>HYPERLINK("http://dx.doi.org/10.3390/ijerph19127021","http://dx.doi.org/10.3390/ijerph19127021")</f>
        <v/>
      </c>
      <c r="BJ1420" t="n">
        <v>10</v>
      </c>
      <c r="BK1420" t="inlineStr">
        <is>
          <t>Environmental Sciences; Public, Environmental &amp; Occupational Health</t>
        </is>
      </c>
      <c r="BL1420" t="inlineStr">
        <is>
          <t>Science Citation Index Expanded (SCI-EXPANDED); Social Science Citation Index (SSCI)</t>
        </is>
      </c>
      <c r="BM1420" t="inlineStr">
        <is>
          <t>Environmental Sciences &amp; Ecology; Public, Environmental &amp; Occupational Health</t>
        </is>
      </c>
      <c r="BN1420" t="inlineStr">
        <is>
          <t>2M1VK</t>
        </is>
      </c>
      <c r="BO1420" t="n">
        <v>35742266</v>
      </c>
      <c r="BP1420" t="inlineStr">
        <is>
          <t>Green Published, gold</t>
        </is>
      </c>
      <c r="BS1420" t="inlineStr">
        <is>
          <t>2023-10-26</t>
        </is>
      </c>
      <c r="BT1420" t="inlineStr">
        <is>
          <t>WOS:000817495900001</t>
        </is>
      </c>
      <c r="BU1420">
        <f>HYPERLINK("https%3A%2F%2Fwww.webofscience.com%2Fwos%2Fwoscc%2Ffull-record%2FWOS:000817495900001","View Full Record in Web of Science")</f>
        <v/>
      </c>
    </row>
    <row r="1421">
      <c r="A1421" t="inlineStr">
        <is>
          <t>J</t>
        </is>
      </c>
      <c r="B1421" t="inlineStr">
        <is>
          <t>Torresin, S; Aletta, F; Babich, F; Bourdeau, E; Harvie-Clark, J; Kang, J; Lavia, L; Radicchi, A; Albatici, R</t>
        </is>
      </c>
      <c r="F1421" t="inlineStr">
        <is>
          <t>Torresin, Simone; Aletta, Francesco; Babich, Francesco; Bourdeau, Ethan; Harvie-Clark, Jack; Kang, Jian; Lavia, Lisa; Radicchi, Antonella; Albatici, Rossano</t>
        </is>
      </c>
      <c r="J1421" t="inlineStr">
        <is>
          <t>SUSTAINABILITY</t>
        </is>
      </c>
      <c r="M1421" t="inlineStr">
        <is>
          <t>English</t>
        </is>
      </c>
      <c r="N1421" t="inlineStr">
        <is>
          <t>Article</t>
        </is>
      </c>
      <c r="T1421" t="inlineStr">
        <is>
          <t>Acoustics for Supportive and Healthy Buildings: Emerging Themes on Indoor Soundscape Research</t>
        </is>
      </c>
      <c r="U1421" t="inlineStr">
        <is>
          <t>indoor soundscape; indoor environmental quality; acoustic design; salutogenesis; well-being; health; experience; people; environmental justice</t>
        </is>
      </c>
      <c r="V1421" t="inlineStr">
        <is>
          <t>ENVIRONMENTAL-QUALITY IEQ; ROAD TRAFFIC NOISE; RESIDENTIAL EXPOSURE; SOCIAL INEQUALITIES; URBAN SOUNDSCAPE; 10 QUESTIONS; PERCEPTION; MODEL; ACCEPTANCE; FRAMEWORK</t>
        </is>
      </c>
      <c r="W1421" t="inlineStr">
        <is>
          <t>The focus of the building industry and research is shifting from delivering satisfactory spaces to going beyond what is merely acceptable with a wave of new research and practice dedicated to exploring how the built environment can support task performance and enhance people's health and well-being. The present study addresses the role of acoustics in this paradigm shift. Indoor soundscape research has recently emerged as an approach that brings a perceptual perspective on building and room acoustics in order to shape built environments that sound good according to building occupants' preference and needs. This paper establishes an initial discussion over some of the open questions in this field of research that is still in an embryonic stage. A thematic analysis of structured interviews with a panel of experts offered a range of perspectives on the characterization, management, and design of indoor soundscapes and health-related outcomes. The discussion pointed out the importance of both perceptual and multisensory research and integrated participatory design practices to enable a holistic view regarding the complex building-user interrelations and the design of just cities. Soundscape methodologies tailored to the peculiarities of indoor soundscapes can help to measure and predict the human perceptual response to the acoustic stimuli in context, thus reducing the risk of mismatches between expected and real building experiences. This perceptual perspective is expected to widen the scientific evidence for the negative and positive impacts of the acoustic environment on human health, well-being, and quality of life. This will support prioritizing the role of acoustics in building design and challenge many current design practices that are based on a noise control approach.</t>
        </is>
      </c>
      <c r="X1421" t="inlineStr">
        <is>
          <t>[Torresin, Simone; Albatici, Rossano] Univ Trento, Dept Civil Environm &amp; Mech Engn, Via Mesiano 77, I-38123 Trento, Italy; [Torresin, Simone; Babich, Francesco] Eurac Res, Inst Renewable Energy, A Volta Str Via A Volta 13-A, I-39100 Bolzano, Italy; [Aletta, Francesco; Kang, Jian] Univ Coll London UCL, UCL Inst Environm Design &amp; Engn, The Bartlett, Cent House,14 Upper Woburn Pl, London WC1H 0NN, England; [Bourdeau, Ethan] Int WELL Bldg Inst, 220 5th Ave, New York, NY 10001 USA; [Harvie-Clark, Jack] Apex Acoust Ltd, Design Works, William St, Gateshead NE10 0JP, England; [Lavia, Lisa] UK Heriot Watt Univ, Noise Abatement Soc, 8 Nizells Ave, Hove BN3 1PL, England; [Lavia, Lisa] Heriot Watt Univ, Urban Inst, Edinburgh EH14 4AS, Midlothian, Scotland; [Radicchi, Antonella] Tech Univ Berlin, Inst Urban &amp; Reg Planning, Hardenbergstr 40a Sekr B 4, D-10623 Berlin, Germany</t>
        </is>
      </c>
      <c r="Y1421" t="inlineStr">
        <is>
          <t>University of Trento; European Academy of Bozen-Bolzano; University of London; University College London; Heriot Watt University; Technical University of Berlin</t>
        </is>
      </c>
      <c r="Z1421" t="inlineStr">
        <is>
          <t>Torresin, S (corresponding author), Univ Trento, Dept Civil Environm &amp; Mech Engn, Via Mesiano 77, I-38123 Trento, Italy.;Torresin, S (corresponding author), Eurac Res, Inst Renewable Energy, A Volta Str Via A Volta 13-A, I-39100 Bolzano, Italy.</t>
        </is>
      </c>
      <c r="AA1421" t="inlineStr">
        <is>
          <t>simone.torresin@eurac.edu; f.aletta@ucl.ac.uk; francesco.babich@eurac.edu; ethan.bourdeau@wellcertified.com; jack.harvie-clark@apexacoustics.co.uk; j.kang@ucl.ac.uk; ll77@hw.ac.uk; antonella.radicchi@tu-berlin.de; rossano.albatici@unitn.it</t>
        </is>
      </c>
      <c r="AB1421" t="inlineStr">
        <is>
          <t>Santana, Elaine/GNP-2710-2022; Aletta, Francesco/U-4821-2017; Albatici, Rossano/ABF-7995-2021; Torresin, Simone/L-8706-2019; Lavia, Lisa/HNQ-4654-2023; Babich, Francesco/AAX-2047-2021; Lavia, Lisa/HNQ-4711-2023</t>
        </is>
      </c>
      <c r="AC1421" t="inlineStr">
        <is>
          <t>Aletta, Francesco/0000-0003-0351-3189; Torresin, Simone/0000-0002-2935-0288; Babich, Francesco/0000-0002-2674-2163; Harvie-Clark, Jack/0000-0002-4438-6078; Kang, Jian/0000-0001-8995-5636; Albatici, Rossano/0000-0002-5571-0259</t>
        </is>
      </c>
      <c r="AD1421" t="inlineStr">
        <is>
          <t>COST Action [CA16114]; Programma di cooperazione Interreg V-A Italia-Svizzera 2014-2020, project QAES [613474]; European Research Council (ERC) under the European Union's Horizon 2020 research and innovation programme [740696]</t>
        </is>
      </c>
      <c r="AE1421" t="inlineStr">
        <is>
          <t>COST Action(European Cooperation in Science and Technology (COST)); Programma di cooperazione Interreg V-A Italia-Svizzera 2014-2020, project QAES; European Research Council (ERC) under the European Union's Horizon 2020 research and innovation programme(European Research Council (ERC))</t>
        </is>
      </c>
      <c r="AF1421" t="inlineStr">
        <is>
          <t>This research was funded by the COST Action CA16114 'RESTORE: Rethinking Sustainability towards a Regenerative Economy' and by the Programma di cooperazione Interreg V-A Italia-Svizzera 2014-2020, project QAES ID no. 613474. F.A., and J.K. received funding from the European Research Council (ERC) under the European Union's Horizon 2020 research and innovation programme (grant agreement No. 740696).</t>
        </is>
      </c>
      <c r="AH1421" t="n">
        <v>110</v>
      </c>
      <c r="AI1421" t="n">
        <v>33</v>
      </c>
      <c r="AJ1421" t="n">
        <v>34</v>
      </c>
      <c r="AK1421" t="n">
        <v>17</v>
      </c>
      <c r="AL1421" t="n">
        <v>71</v>
      </c>
      <c r="AM1421" t="inlineStr">
        <is>
          <t>MDPI</t>
        </is>
      </c>
      <c r="AN1421" t="inlineStr">
        <is>
          <t>BASEL</t>
        </is>
      </c>
      <c r="AO1421" t="inlineStr">
        <is>
          <t>ST ALBAN-ANLAGE 66, CH-4052 BASEL, SWITZERLAND</t>
        </is>
      </c>
      <c r="AQ1421" t="inlineStr">
        <is>
          <t>2071-1050</t>
        </is>
      </c>
      <c r="AS1421" t="inlineStr">
        <is>
          <t>SUSTAINABILITY-BASEL</t>
        </is>
      </c>
      <c r="AT1421" t="inlineStr">
        <is>
          <t>Sustainability</t>
        </is>
      </c>
      <c r="AU1421" t="inlineStr">
        <is>
          <t>AUG</t>
        </is>
      </c>
      <c r="AV1421" t="n">
        <v>2020</v>
      </c>
      <c r="AW1421" t="n">
        <v>12</v>
      </c>
      <c r="AX1421" t="n">
        <v>15</v>
      </c>
      <c r="BE1421" t="n">
        <v>6054</v>
      </c>
      <c r="BF1421" t="inlineStr">
        <is>
          <t>10.3390/su12156054</t>
        </is>
      </c>
      <c r="BG1421">
        <f>HYPERLINK("http://dx.doi.org/10.3390/su12156054","http://dx.doi.org/10.3390/su12156054")</f>
        <v/>
      </c>
      <c r="BJ1421" t="n">
        <v>27</v>
      </c>
      <c r="BK1421" t="inlineStr">
        <is>
          <t>Green &amp; Sustainable Science &amp; Technology; Environmental Sciences; Environmental Studies</t>
        </is>
      </c>
      <c r="BL1421" t="inlineStr">
        <is>
          <t>Science Citation Index Expanded (SCI-EXPANDED); Social Science Citation Index (SSCI)</t>
        </is>
      </c>
      <c r="BM1421" t="inlineStr">
        <is>
          <t>Science &amp; Technology - Other Topics; Environmental Sciences &amp; Ecology</t>
        </is>
      </c>
      <c r="BN1421" t="inlineStr">
        <is>
          <t>NL3JE</t>
        </is>
      </c>
      <c r="BP1421" t="inlineStr">
        <is>
          <t>gold, Green Published, Green Submitted</t>
        </is>
      </c>
      <c r="BS1421" t="inlineStr">
        <is>
          <t>2023-10-26</t>
        </is>
      </c>
      <c r="BT1421" t="inlineStr">
        <is>
          <t>WOS:000567315600001</t>
        </is>
      </c>
      <c r="BU1421">
        <f>HYPERLINK("https%3A%2F%2Fwww.webofscience.com%2Fwos%2Fwoscc%2Ffull-record%2FWOS:000567315600001","View Full Record in Web of Science")</f>
        <v/>
      </c>
    </row>
    <row r="1422">
      <c r="A1422" t="inlineStr">
        <is>
          <t>J</t>
        </is>
      </c>
      <c r="B1422" t="inlineStr">
        <is>
          <t>Moon, S; Park, K</t>
        </is>
      </c>
      <c r="F1422" t="inlineStr">
        <is>
          <t>Moon, SeolHwa; Park, Kyongok</t>
        </is>
      </c>
      <c r="J1422" t="inlineStr">
        <is>
          <t>INTERNATIONAL JOURNAL OF ENVIRONMENTAL RESEARCH AND PUBLIC HEALTH</t>
        </is>
      </c>
      <c r="M1422" t="inlineStr">
        <is>
          <t>English</t>
        </is>
      </c>
      <c r="N1422" t="inlineStr">
        <is>
          <t>Article</t>
        </is>
      </c>
      <c r="T1422" t="inlineStr">
        <is>
          <t>The Predictors of Driving Cessation among Older Drivers in Korea</t>
        </is>
      </c>
      <c r="U1422" t="inlineStr">
        <is>
          <t>driving cessation; environment; mobility limitation; older drivers; quality of life; traffic accident</t>
        </is>
      </c>
      <c r="V1422" t="inlineStr">
        <is>
          <t>ADULTS; MOBILITY; ASSOCIATION; ENVIRONMENT; REDUCTION; SAFETY</t>
        </is>
      </c>
      <c r="W1422" t="inlineStr">
        <is>
          <t>Background: As the elderly population and the number of older drivers grow, public safety concerns about traffic accidents involving older drivers are increasing. Approaches to reduce traffic accidents involving older drivers without limiting their mobility are needed. This study aimed to investigate the driving cessation (DC) rate among older Korean adults and predictors of DC based on the comprehensive mobility framework. Method: In this cross-sectional study, data from 2970 to 10,062 older adults over 65 years old from the 2017 National Survey of Elderly People were analyzed in April 2020. Multivariate logistic regression analyses were conducted to identify the predictors of DC. Results: Residential area, an environmental factor, was a strong predictor of DC (Odds Ratio (OR) 2.21, 95% Confidential Interval (CI) 1.86-2.62). Older drivers living in an area with a metro system were 2.21 more likely to stop driving than those living in an area without a metro system. Other demographic, financial, psychosocial, physical, and cognitive variables also predicted DC. Conclusion: Environmental factors were strong predictors of older adults' DC. Therefore, political and environmental support, such as the provision of accessible public transportation, is essential to increase the DC rate among older adults to increase public safety without decreasing their mobility.</t>
        </is>
      </c>
      <c r="X1422" t="inlineStr">
        <is>
          <t>[Moon, SeolHwa] Hanyang Univ, Coll Nursing, 222 Wangsimni Ro, Seoul 04763, South Korea; [Park, Kyongok] Gangneung Wonju Natl Univ, Dept Nursing, 150 Namwon Ro, Wonju 26403, Gangwon Do, South Korea</t>
        </is>
      </c>
      <c r="Y1422" t="inlineStr">
        <is>
          <t>Hanyang University; Kangnung Wonju National University</t>
        </is>
      </c>
      <c r="Z1422" t="inlineStr">
        <is>
          <t>Park, K (corresponding author), Gangneung Wonju Natl Univ, Dept Nursing, 150 Namwon Ro, Wonju 26403, Gangwon Do, South Korea.</t>
        </is>
      </c>
      <c r="AA1422" t="inlineStr">
        <is>
          <t>seora@hanyang.ac.kr; kopark@gwnu.ac.kr</t>
        </is>
      </c>
      <c r="AC1422" t="inlineStr">
        <is>
          <t>Moon, SeolHwa/0000-0002-8270-4524</t>
        </is>
      </c>
      <c r="AD1422" t="inlineStr">
        <is>
          <t>Academic Research Support Program in Gangneung Wonju National University</t>
        </is>
      </c>
      <c r="AE1422" t="inlineStr">
        <is>
          <t>Academic Research Support Program in Gangneung Wonju National University</t>
        </is>
      </c>
      <c r="AF1422" t="inlineStr">
        <is>
          <t>This study was supported by 2019 Academic Research Support Program in Gangneung Wonju National University.</t>
        </is>
      </c>
      <c r="AH1422" t="n">
        <v>47</v>
      </c>
      <c r="AI1422" t="n">
        <v>6</v>
      </c>
      <c r="AJ1422" t="n">
        <v>6</v>
      </c>
      <c r="AK1422" t="n">
        <v>1</v>
      </c>
      <c r="AL1422" t="n">
        <v>3</v>
      </c>
      <c r="AM1422" t="inlineStr">
        <is>
          <t>MDPI</t>
        </is>
      </c>
      <c r="AN1422" t="inlineStr">
        <is>
          <t>BASEL</t>
        </is>
      </c>
      <c r="AO1422" t="inlineStr">
        <is>
          <t>ST ALBAN-ANLAGE 66, CH-4052 BASEL, SWITZERLAND</t>
        </is>
      </c>
      <c r="AQ1422" t="inlineStr">
        <is>
          <t>1660-4601</t>
        </is>
      </c>
      <c r="AS1422" t="inlineStr">
        <is>
          <t>INT J ENV RES PUB HE</t>
        </is>
      </c>
      <c r="AT1422" t="inlineStr">
        <is>
          <t>Int. J. Environ. Res. Public Health</t>
        </is>
      </c>
      <c r="AU1422" t="inlineStr">
        <is>
          <t>OCT</t>
        </is>
      </c>
      <c r="AV1422" t="n">
        <v>2020</v>
      </c>
      <c r="AW1422" t="n">
        <v>17</v>
      </c>
      <c r="AX1422" t="n">
        <v>19</v>
      </c>
      <c r="BE1422" t="n">
        <v>7206</v>
      </c>
      <c r="BF1422" t="inlineStr">
        <is>
          <t>10.3390/ijerph17197206</t>
        </is>
      </c>
      <c r="BG1422">
        <f>HYPERLINK("http://dx.doi.org/10.3390/ijerph17197206","http://dx.doi.org/10.3390/ijerph17197206")</f>
        <v/>
      </c>
      <c r="BJ1422" t="n">
        <v>12</v>
      </c>
      <c r="BK1422" t="inlineStr">
        <is>
          <t>Environmental Sciences; Public, Environmental &amp; Occupational Health</t>
        </is>
      </c>
      <c r="BL1422" t="inlineStr">
        <is>
          <t>Science Citation Index Expanded (SCI-EXPANDED); Social Science Citation Index (SSCI)</t>
        </is>
      </c>
      <c r="BM1422" t="inlineStr">
        <is>
          <t>Environmental Sciences &amp; Ecology; Public, Environmental &amp; Occupational Health</t>
        </is>
      </c>
      <c r="BN1422" t="inlineStr">
        <is>
          <t>ON4WE</t>
        </is>
      </c>
      <c r="BO1422" t="n">
        <v>33019748</v>
      </c>
      <c r="BP1422" t="inlineStr">
        <is>
          <t>gold, Green Published</t>
        </is>
      </c>
      <c r="BS1422" t="inlineStr">
        <is>
          <t>2023-10-26</t>
        </is>
      </c>
      <c r="BT1422" t="inlineStr">
        <is>
          <t>WOS:000586702300001</t>
        </is>
      </c>
      <c r="BU1422">
        <f>HYPERLINK("https%3A%2F%2Fwww.webofscience.com%2Fwos%2Fwoscc%2Ffull-record%2FWOS:000586702300001","View Full Record in Web of Science")</f>
        <v/>
      </c>
    </row>
    <row r="1423">
      <c r="A1423" t="inlineStr">
        <is>
          <t>J</t>
        </is>
      </c>
      <c r="B1423" t="inlineStr">
        <is>
          <t>O'Connell, ML; Coppinger, T; Lacey, S; Arsenic, T; McCarthy, AL</t>
        </is>
      </c>
      <c r="F1423" t="inlineStr">
        <is>
          <t>O'Connell, Maeve Lorraine; Coppinger, Tara; Lacey, Sean; Arsenic, Tijana; McCarthy, Aoife Louise</t>
        </is>
      </c>
      <c r="J1423" t="inlineStr">
        <is>
          <t>INTERNATIONAL JOURNAL OF ENVIRONMENTAL RESEARCH AND PUBLIC HEALTH</t>
        </is>
      </c>
      <c r="M1423" t="inlineStr">
        <is>
          <t>English</t>
        </is>
      </c>
      <c r="N1423" t="inlineStr">
        <is>
          <t>Article</t>
        </is>
      </c>
      <c r="T1423" t="inlineStr">
        <is>
          <t>The Gender-Specific Relationship between Nutritional Status, Physical Activity and Functional Mobility in Irish Community-Dwelling Older Adults</t>
        </is>
      </c>
      <c r="U1423" t="inlineStr">
        <is>
          <t>older adults; functional mobility; nutritional status; physical activity level</t>
        </is>
      </c>
      <c r="V1423" t="inlineStr">
        <is>
          <t>ACTIVITY SCALE; ELDERLY PASE; GO; MUSCLE; STRENGTH; AGE</t>
        </is>
      </c>
      <c r="W1423" t="inlineStr">
        <is>
          <t>Research suggests that both nutrition and physical activity can protect mobility in older adults, but it is yet to be determined whether these relationships are affected by gender. Thus, we investigated the gender-specific relationship between nutritional status, physical activity level and functional mobility in Irish older adults. A cross-sectional study was undertaken in 176 community-dwelling older adults (73.6 +/- 6.61 years) living in Cork, Ireland. Nutritional status was measured using the Mini Nutritional Assessment-Short Form (MNA-SF) and physical activity was assessed via the Physical Activity Scale for the Elderly (PASE). Functional mobility was measured using the Timed Up and Go (TUG) test. The gender-stratified relationship between variables was assessed using Pearson's correlations and multiple linear regression. Partial correlations (p &lt; 0.05) were observed for TUG with PASE score in both genders, and with MNA-SF score in females, only. Multiple regression showed that physical activity was a predictor of TUG in both genders (beta = 0.257 for males, beta = 0.209 for females, p &lt; 0.05), while nutritional status was a predictor of TUG in females, only (beta = -0.168, p = 0.030). Our results suggest that physical activity is associated with functional mobility in both genders, while the relationship between nutritional status and mobility may be specific to older females. These findings may be of interest for the design of functional preservation strategies.</t>
        </is>
      </c>
      <c r="X1423" t="inlineStr">
        <is>
          <t>[O'Connell, Maeve Lorraine; Arsenic, Tijana; McCarthy, Aoife Louise] Munster Technol Univ, Dept Biol Sci, Rossa Ave, Cork T12 P928, Ireland; [Coppinger, Tara] Munster Technol Univ, Dept Sport Leisure &amp; Childhood Studies, Rossa Ave, Cork T12 P928, Ireland; [Lacey, Sean] Munster Technol Univ, Dept Math, Rossa Ave, Cork T12 P928, Ireland</t>
        </is>
      </c>
      <c r="Z1423" t="inlineStr">
        <is>
          <t>O'Connell, ML (corresponding author), Munster Technol Univ, Dept Biol Sci, Rossa Ave, Cork T12 P928, Ireland.</t>
        </is>
      </c>
      <c r="AA1423" t="inlineStr">
        <is>
          <t>maeve.oconnell1@mycit.ie; tara.coppinger@cit.ie; sean.lacey@cit.ie; tijana.arsenic@mycit.ie; aoife.mccarthy@cit.ie</t>
        </is>
      </c>
      <c r="AB1423" t="inlineStr">
        <is>
          <t>Lacey, Seán/AAA-3355-2022</t>
        </is>
      </c>
      <c r="AC1423" t="inlineStr">
        <is>
          <t>Lacey, Seán/0000-0003-3005-6294; O'Connell, Maeve/0000-0002-2411-2782; Coppinger, Tara/0000-0002-7251-4516; McCarthy, Aoife/0000-0002-1926-4394</t>
        </is>
      </c>
      <c r="AD1423" t="inlineStr">
        <is>
          <t>Munster Technological University through a Risam Scholarship</t>
        </is>
      </c>
      <c r="AE1423" t="inlineStr">
        <is>
          <t>Munster Technological University through a Risam Scholarship</t>
        </is>
      </c>
      <c r="AF1423" t="inlineStr">
        <is>
          <t>This research was funded by the Munster Technological University through a Risam Scholarship.</t>
        </is>
      </c>
      <c r="AH1423" t="n">
        <v>52</v>
      </c>
      <c r="AI1423" t="n">
        <v>1</v>
      </c>
      <c r="AJ1423" t="n">
        <v>1</v>
      </c>
      <c r="AK1423" t="n">
        <v>1</v>
      </c>
      <c r="AL1423" t="n">
        <v>5</v>
      </c>
      <c r="AM1423" t="inlineStr">
        <is>
          <t>MDPI</t>
        </is>
      </c>
      <c r="AN1423" t="inlineStr">
        <is>
          <t>BASEL</t>
        </is>
      </c>
      <c r="AO1423" t="inlineStr">
        <is>
          <t>ST ALBAN-ANLAGE 66, CH-4052 BASEL, SWITZERLAND</t>
        </is>
      </c>
      <c r="AQ1423" t="inlineStr">
        <is>
          <t>1660-4601</t>
        </is>
      </c>
      <c r="AS1423" t="inlineStr">
        <is>
          <t>INT J ENV RES PUB HE</t>
        </is>
      </c>
      <c r="AT1423" t="inlineStr">
        <is>
          <t>Int. J. Environ. Res. Public Health</t>
        </is>
      </c>
      <c r="AU1423" t="inlineStr">
        <is>
          <t>AUG</t>
        </is>
      </c>
      <c r="AV1423" t="n">
        <v>2021</v>
      </c>
      <c r="AW1423" t="n">
        <v>18</v>
      </c>
      <c r="AX1423" t="n">
        <v>16</v>
      </c>
      <c r="BE1423" t="n">
        <v>8427</v>
      </c>
      <c r="BF1423" t="inlineStr">
        <is>
          <t>10.3390/ijerph18168427</t>
        </is>
      </c>
      <c r="BG1423">
        <f>HYPERLINK("http://dx.doi.org/10.3390/ijerph18168427","http://dx.doi.org/10.3390/ijerph18168427")</f>
        <v/>
      </c>
      <c r="BJ1423" t="n">
        <v>10</v>
      </c>
      <c r="BK1423" t="inlineStr">
        <is>
          <t>Environmental Sciences; Public, Environmental &amp; Occupational Health</t>
        </is>
      </c>
      <c r="BL1423" t="inlineStr">
        <is>
          <t>Science Citation Index Expanded (SCI-EXPANDED); Social Science Citation Index (SSCI)</t>
        </is>
      </c>
      <c r="BM1423" t="inlineStr">
        <is>
          <t>Environmental Sciences &amp; Ecology; Public, Environmental &amp; Occupational Health</t>
        </is>
      </c>
      <c r="BN1423" t="inlineStr">
        <is>
          <t>UI2LR</t>
        </is>
      </c>
      <c r="BO1423" t="n">
        <v>34444176</v>
      </c>
      <c r="BP1423" t="inlineStr">
        <is>
          <t>Green Published, gold</t>
        </is>
      </c>
      <c r="BS1423" t="inlineStr">
        <is>
          <t>2023-10-26</t>
        </is>
      </c>
      <c r="BT1423" t="inlineStr">
        <is>
          <t>WOS:000690446000001</t>
        </is>
      </c>
      <c r="BU1423">
        <f>HYPERLINK("https%3A%2F%2Fwww.webofscience.com%2Fwos%2Fwoscc%2Ffull-record%2FWOS:000690446000001","View Full Record in Web of Science")</f>
        <v/>
      </c>
    </row>
    <row r="1424">
      <c r="A1424" t="inlineStr">
        <is>
          <t>J</t>
        </is>
      </c>
      <c r="B1424" t="inlineStr">
        <is>
          <t>Shang, XY; Li, JS; Zhan, BJ</t>
        </is>
      </c>
      <c r="F1424" t="inlineStr">
        <is>
          <t>Shang, Xiaoyu; Li, Jiangshan; Zhan, Baojian</t>
        </is>
      </c>
      <c r="J1424" t="inlineStr">
        <is>
          <t>JOURNAL OF CLEANER PRODUCTION</t>
        </is>
      </c>
      <c r="M1424" t="inlineStr">
        <is>
          <t>English</t>
        </is>
      </c>
      <c r="N1424" t="inlineStr">
        <is>
          <t>Article</t>
        </is>
      </c>
      <c r="T1424" t="inlineStr">
        <is>
          <t>Properties of sustainable cellular concrete prepared with environment -friendly capsule aggregates</t>
        </is>
      </c>
      <c r="U1424" t="inlineStr">
        <is>
          <t>Sustainable cellular concrete; Environment-friendly capsule aggregates; Fly ash shell-alginate core; Physical and mechanical properties; Microstructure and evolution mechanism</t>
        </is>
      </c>
      <c r="V1424" t="inlineStr">
        <is>
          <t>FOAMED CONCRETE; LIGHTWEIGHT AGGREGATE; COMPRESSIVE STRENGTH; FIRE-RESISTANCE; BEHAVIOR; PERFORMANCE; MANUFACTURE; FABRICATION; COMPOSITE; SYSTEM</t>
        </is>
      </c>
      <c r="W1424" t="inlineStr">
        <is>
          <t>This study introduced novel environment-friendly capsule aggregates (CAs) with core-shell structures by encapsulating sodium alginate beads (SABs) with a fly ash shell. Two types of CAs with different particle sizes were synthesized by adjusting the SAB size. Cellular concretes with different densities were further fabricated by these lightweight aggregates. The effects of CAs on the density, flow value, setting time, compressive strength, and modulus of elasticity of the concrete were studied. The microstructure and evolution mechanism of CAs in the cementitious matrix were also discussed. The results demonstrated that the CAs shell has the capacity to protect the SAB in the core from damage during the mixing process. The alginate core can achieve a density reduction of 25% for cellular concrete from fresh to dry condition. The function of CAs not only effectively lightens the weight of concrete with the alginate dehydration, but also provides internal curing for the cementitious matrix to reduce its autogenous shrinkage. The results indicated that it is feasible to use CAs for the production of the lightweight concrete to achieve goal densities of 1200, 1400 and 1600 kg/m(3), with corresponding compressive strengths and modulus of elastic ranging from 11.5 to 28.3 MPa and 9.5-18.3 GPa, respectively.</t>
        </is>
      </c>
      <c r="X1424" t="inlineStr">
        <is>
          <t>[Shang, Xiaoyu] Northeast Elect Power Univ, Sch Civil Engn &amp; Architecture, Jilin 132012, Jilin, Peoples R China; [Shang, Xiaoyu] UCL, Fac Built Environm, The Bartlett, London, England; [Li, Jiangshan] Chinese Acad Sci, Inst Rock &amp; Soil Mech, State Key Lab Geomech &amp; Geotech Engn, Wuhan 430071, Peoples R China; [Zhan, Baojian] Hong Kong Polytech Univ, Dept Civil &amp; Environm Engn, Hong Kong, Peoples R China</t>
        </is>
      </c>
      <c r="Y1424" t="inlineStr">
        <is>
          <t>Northeast Electric Power University; University of London; University College London; Chinese Academy of Sciences; Wuhan Institute of Rock &amp; Soil Mechanics, CAS; Hong Kong Polytechnic University</t>
        </is>
      </c>
      <c r="Z1424" t="inlineStr">
        <is>
          <t>Shang, XY (corresponding author), Northeast Elect Power Univ, Sch Civil Engn &amp; Architecture, Jilin 132012, Jilin, Peoples R China.</t>
        </is>
      </c>
      <c r="AA1424" t="inlineStr">
        <is>
          <t>shangxiaoyu@neepu.edu.cn; jsli@whrsm.ac.cn; zhan.bj@connect.polyu.hk</t>
        </is>
      </c>
      <c r="AD1424" t="inlineStr">
        <is>
          <t>National Natural Science Foundation of China [51708091]</t>
        </is>
      </c>
      <c r="AE1424" t="inlineStr">
        <is>
          <t>National Natural Science Foundation of China(National Natural Science Foundation of China (NSFC))</t>
        </is>
      </c>
      <c r="AF1424" t="inlineStr">
        <is>
          <t>This research was financially supported by the National Natural Science Foundation of China, Grant No. 51708091.</t>
        </is>
      </c>
      <c r="AH1424" t="n">
        <v>53</v>
      </c>
      <c r="AI1424" t="n">
        <v>10</v>
      </c>
      <c r="AJ1424" t="n">
        <v>10</v>
      </c>
      <c r="AK1424" t="n">
        <v>3</v>
      </c>
      <c r="AL1424" t="n">
        <v>28</v>
      </c>
      <c r="AM1424" t="inlineStr">
        <is>
          <t>ELSEVIER SCI LTD</t>
        </is>
      </c>
      <c r="AN1424" t="inlineStr">
        <is>
          <t>OXFORD</t>
        </is>
      </c>
      <c r="AO1424" t="inlineStr">
        <is>
          <t>THE BOULEVARD, LANGFORD LANE, KIDLINGTON, OXFORD OX5 1GB, OXON, ENGLAND</t>
        </is>
      </c>
      <c r="AP1424" t="inlineStr">
        <is>
          <t>0959-6526</t>
        </is>
      </c>
      <c r="AQ1424" t="inlineStr">
        <is>
          <t>1879-1786</t>
        </is>
      </c>
      <c r="AS1424" t="inlineStr">
        <is>
          <t>J CLEAN PROD</t>
        </is>
      </c>
      <c r="AT1424" t="inlineStr">
        <is>
          <t>J. Clean Prod.</t>
        </is>
      </c>
      <c r="AU1424" t="inlineStr">
        <is>
          <t>SEP 10</t>
        </is>
      </c>
      <c r="AV1424" t="n">
        <v>2020</v>
      </c>
      <c r="AW1424" t="n">
        <v>267</v>
      </c>
      <c r="BE1424" t="n">
        <v>122018</v>
      </c>
      <c r="BF1424" t="inlineStr">
        <is>
          <t>10.1016/j.jclepro.2020.122018</t>
        </is>
      </c>
      <c r="BG1424">
        <f>HYPERLINK("http://dx.doi.org/10.1016/j.jclepro.2020.122018","http://dx.doi.org/10.1016/j.jclepro.2020.122018")</f>
        <v/>
      </c>
      <c r="BJ1424" t="n">
        <v>10</v>
      </c>
      <c r="BK1424" t="inlineStr">
        <is>
          <t>Green &amp; Sustainable Science &amp; Technology; Engineering, Environmental; Environmental Sciences</t>
        </is>
      </c>
      <c r="BL1424" t="inlineStr">
        <is>
          <t>Science Citation Index Expanded (SCI-EXPANDED)</t>
        </is>
      </c>
      <c r="BM1424" t="inlineStr">
        <is>
          <t>Science &amp; Technology - Other Topics; Engineering; Environmental Sciences &amp; Ecology</t>
        </is>
      </c>
      <c r="BN1424" t="inlineStr">
        <is>
          <t>MB6HN</t>
        </is>
      </c>
      <c r="BS1424" t="inlineStr">
        <is>
          <t>2023-10-26</t>
        </is>
      </c>
      <c r="BT1424" t="inlineStr">
        <is>
          <t>WOS:000542702700014</t>
        </is>
      </c>
      <c r="BU1424">
        <f>HYPERLINK("https%3A%2F%2Fwww.webofscience.com%2Fwos%2Fwoscc%2Ffull-record%2FWOS:000542702700014","View Full Record in Web of Science")</f>
        <v/>
      </c>
    </row>
    <row r="1425">
      <c r="A1425" t="inlineStr">
        <is>
          <t>J</t>
        </is>
      </c>
      <c r="B1425" t="inlineStr">
        <is>
          <t>Zhou, Y; Wang, M; Lin, SM; Qian, CY</t>
        </is>
      </c>
      <c r="F1425" t="inlineStr">
        <is>
          <t>Zhou, Yang; Wang, Meng; Lin, Siming; Qian, Caiyun</t>
        </is>
      </c>
      <c r="J1425" t="inlineStr">
        <is>
          <t>INTERNATIONAL JOURNAL OF ENVIRONMENTAL RESEARCH AND PUBLIC HEALTH</t>
        </is>
      </c>
      <c r="M1425" t="inlineStr">
        <is>
          <t>English</t>
        </is>
      </c>
      <c r="N1425" t="inlineStr">
        <is>
          <t>Article</t>
        </is>
      </c>
      <c r="T1425" t="inlineStr">
        <is>
          <t>Relationship between Children's Independent Activities and the Built Environment of Outdoor Activity Space in Residential Neighborhoods: A Case Study of Nanjing</t>
        </is>
      </c>
      <c r="U1425" t="inlineStr">
        <is>
          <t>residential neighborhood; children; children's independent activity; outdoor space</t>
        </is>
      </c>
      <c r="V1425" t="inlineStr">
        <is>
          <t>PHYSICAL-ACTIVITY; SOCIAL-ENVIRONMENT; MOBILITY; ASSOCIATIONS; PERCEPTIONS; SCHOOL; TRAVEL; SPORT; PLAY; TRANSPORT</t>
        </is>
      </c>
      <c r="W1425" t="inlineStr">
        <is>
          <t>Children are a vulnerable population that is frequently overlooked in urban planning. The spatial demands of children are garnering broader consideration in the development of public spaces in cities as efforts to promote child-friendly cities. Children's independent activities (CIAs) during childhood are undeniably beneficial to their physical and mental health. Residential areas are the main places for children's daily activities. Building a suitable outdoor activity space in the community for children's recreation is an essential foundation for improving CIAs and promoting the development of child-friendly neighborhoods. A sample of 15 typical children's outdoor activity spaces in residential neighborhoods of Nanjing, China, was selected for the study to observe and record CIAs. The built environment indicators of residential outdoor spaces were extracted, and correlation analysis was employed to investigate the residential outdoor space elements relevant to CIAs. The results indicated that at the site level, higher percentages of tree coverage and soft paving enhanced CIAs, while high functional mix inhibited them. Additionally, gated communities, top-notch sanitation, secure facilities, neighborhoods with higher residential densities, and a diversity of activity facilities all stimulated children to engage in independent activities. Furthermore, questionnaires for the guardian indicated that they placed a high priority on site safety, and that waterfront areas and activity sites where incidents had occurred decreased parents' willingness to allow participation in CIAs, whereas safety education or the use of positioning devices may promote CIAs. Based on the above results, we proposed appropriate adaptations for places in residential neighborhoods. The study expects to create a higher quality environment in residential neighborhoods for children to play in public spaces and provide beneficial help to improve the child-friendly neighborhood.</t>
        </is>
      </c>
      <c r="X1425" t="inlineStr">
        <is>
          <t>[Zhou, Yang; Wang, Meng; Lin, Siming; Qian, Caiyun] Nanjing Tech Univ, Sch Architecture, Nanjing 211800, Peoples R China</t>
        </is>
      </c>
      <c r="Y1425" t="inlineStr">
        <is>
          <t>Nanjing Tech University</t>
        </is>
      </c>
      <c r="Z1425" t="inlineStr">
        <is>
          <t>Zhou, Y (corresponding author), Nanjing Tech Univ, Sch Architecture, Nanjing 211800, Peoples R China.</t>
        </is>
      </c>
      <c r="AA1425" t="inlineStr">
        <is>
          <t>zhouyang0206@njtech.edu.cn</t>
        </is>
      </c>
      <c r="AB1425" t="inlineStr">
        <is>
          <t>jMfXGz, jMfXGz/AAD-7886-2019</t>
        </is>
      </c>
      <c r="AD1425" t="inlineStr">
        <is>
          <t>Youth Fund of Humanities and social sciences research project of Ministry of Education of China [21YJCZH248]; Natural Science Foundation of Jiangsu Province [BK20221316]; Postgraduate Research &amp; Practice Innovation Program of Jiangsu Province [KYCX22_1265]; general Project of Philosophy and Social Science Research in Colleges and Universities in Jiangsu Province [2021SJA0223]</t>
        </is>
      </c>
      <c r="AE1425" t="inlineStr">
        <is>
          <t>Youth Fund of Humanities and social sciences research project of Ministry of Education of China; Natural Science Foundation of Jiangsu Province(Natural Science Foundation of Jiangsu Province); Postgraduate Research &amp; Practice Innovation Program of Jiangsu Province; general Project of Philosophy and Social Science Research in Colleges and Universities in Jiangsu Province</t>
        </is>
      </c>
      <c r="AF1425" t="inlineStr">
        <is>
          <t>This research was funded by Youth Fund of Humanities and social sciences research project of Ministry of Education of China (Grant No. 21YJCZH248), Natural Science Foundation of Jiangsu Province (Grant No. BK20221316), Postgraduate Research &amp; Practice Innovation Program of Jiangsu Province (Grant No. KYCX22_1265), and the general Project of Philosophy and Social Science Research in Colleges and Universities in Jiangsu Province (Grant No. 2021SJA0223).</t>
        </is>
      </c>
      <c r="AH1425" t="n">
        <v>84</v>
      </c>
      <c r="AI1425" t="n">
        <v>2</v>
      </c>
      <c r="AJ1425" t="n">
        <v>2</v>
      </c>
      <c r="AK1425" t="n">
        <v>46</v>
      </c>
      <c r="AL1425" t="n">
        <v>103</v>
      </c>
      <c r="AM1425" t="inlineStr">
        <is>
          <t>MDPI</t>
        </is>
      </c>
      <c r="AN1425" t="inlineStr">
        <is>
          <t>BASEL</t>
        </is>
      </c>
      <c r="AO1425" t="inlineStr">
        <is>
          <t>ST ALBAN-ANLAGE 66, CH-4052 BASEL, SWITZERLAND</t>
        </is>
      </c>
      <c r="AQ1425" t="inlineStr">
        <is>
          <t>1660-4601</t>
        </is>
      </c>
      <c r="AS1425" t="inlineStr">
        <is>
          <t>INT J ENV RES PUB HE</t>
        </is>
      </c>
      <c r="AT1425" t="inlineStr">
        <is>
          <t>Int. J. Environ. Res. Public Health</t>
        </is>
      </c>
      <c r="AU1425" t="inlineStr">
        <is>
          <t>AUG</t>
        </is>
      </c>
      <c r="AV1425" t="n">
        <v>2022</v>
      </c>
      <c r="AW1425" t="n">
        <v>19</v>
      </c>
      <c r="AX1425" t="n">
        <v>16</v>
      </c>
      <c r="BE1425" t="n">
        <v>9860</v>
      </c>
      <c r="BF1425" t="inlineStr">
        <is>
          <t>10.3390/ijerph19169860</t>
        </is>
      </c>
      <c r="BG1425">
        <f>HYPERLINK("http://dx.doi.org/10.3390/ijerph19169860","http://dx.doi.org/10.3390/ijerph19169860")</f>
        <v/>
      </c>
      <c r="BJ1425" t="n">
        <v>24</v>
      </c>
      <c r="BK1425" t="inlineStr">
        <is>
          <t>Environmental Sciences; Public, Environmental &amp; Occupational Health</t>
        </is>
      </c>
      <c r="BL1425" t="inlineStr">
        <is>
          <t>Science Citation Index Expanded (SCI-EXPANDED); Social Science Citation Index (SSCI)</t>
        </is>
      </c>
      <c r="BM1425" t="inlineStr">
        <is>
          <t>Environmental Sciences &amp; Ecology; Public, Environmental &amp; Occupational Health</t>
        </is>
      </c>
      <c r="BN1425" t="inlineStr">
        <is>
          <t>4B5UC</t>
        </is>
      </c>
      <c r="BO1425" t="n">
        <v>36011494</v>
      </c>
      <c r="BP1425" t="inlineStr">
        <is>
          <t>Green Published, gold</t>
        </is>
      </c>
      <c r="BS1425" t="inlineStr">
        <is>
          <t>2023-10-26</t>
        </is>
      </c>
      <c r="BT1425" t="inlineStr">
        <is>
          <t>WOS:000845841100001</t>
        </is>
      </c>
      <c r="BU1425">
        <f>HYPERLINK("https%3A%2F%2Fwww.webofscience.com%2Fwos%2Fwoscc%2Ffull-record%2FWOS:000845841100001","View Full Record in Web of Science")</f>
        <v/>
      </c>
    </row>
    <row r="1426">
      <c r="A1426" t="inlineStr">
        <is>
          <t>J</t>
        </is>
      </c>
      <c r="B1426" t="inlineStr">
        <is>
          <t>Ahlawat, A; Wiedensohler, A; Mishra, SK</t>
        </is>
      </c>
      <c r="F1426" t="inlineStr">
        <is>
          <t>Ahlawat, Ajit; Wiedensohler, Alfred; Mishra, Sumit Kumar</t>
        </is>
      </c>
      <c r="J1426" t="inlineStr">
        <is>
          <t>AEROSOL AND AIR QUALITY RESEARCH</t>
        </is>
      </c>
      <c r="M1426" t="inlineStr">
        <is>
          <t>English</t>
        </is>
      </c>
      <c r="N1426" t="inlineStr">
        <is>
          <t>Article</t>
        </is>
      </c>
      <c r="T1426" t="inlineStr">
        <is>
          <t>An Overview on the Role of Relative Humidity in Airborne Transmission of SARS-CoV-2 in Indoor Environments</t>
        </is>
      </c>
      <c r="U1426" t="inlineStr">
        <is>
          <t>Aerosol; COVID-19; SARS-CoV-2; Indoor; Humidity</t>
        </is>
      </c>
      <c r="V1426" t="inlineStr">
        <is>
          <t>METEOROLOGICAL FACTORS; AEROSOLS; COVID-19; OUTBREAK</t>
        </is>
      </c>
      <c r="W1426" t="inlineStr">
        <is>
          <t>COVID-19 disease is caused by severe acute respiratory syndrome coronavirus 2 (SARS-CoV-2), which originated in Wuhan, China and spread with an astonishing rate across the world. The transmission routes of SARS-CoV-2 are still debated, but recent evidence strongly suggests that COVID-19 could be transmitted via air in poorly ventilated places. Some studies also suggest the higher surface stability of SARS-CoV-2 as compared to SARS-CoV-1. It is also possible that small viral particles may enter into indoor environments from the various emission sources aided by environmental factors such as relative humidity, wind speed, temperature, thus representing a type of an aerosol transmission. Here, we explore the role of relative humidity in airborne transmission of SARS-CoV-2 virus in indoor environments based on recent studies around the world. Humidity affects both the evaporation kinematics and particle growth. In dry indoor places i.e., less humidity (&lt; 40% RH), the chances of airborne transmission of SARS-CoV-2 are higher than that of humid places (i.e., &gt; 90% RH). Based on earlier studies, a relative humidity of 40-60% was found to be optimal for human health in indoor places. Thus, it is extremely important to set a minimum relative humidity standard for indoor environments such as hospitals, offices and public transports for minimization of airborne spread of SARS-CoV-2.</t>
        </is>
      </c>
      <c r="X1426" t="inlineStr">
        <is>
          <t>[Ahlawat, Ajit; Wiedensohler, Alfred] Leibniz Inst Tropospher Res TROPOS, Permoserstr 15, Leipzig, Germany; [Mishra, Sumit Kumar] CSIR, Natl Phys Lab, New Delhi, India</t>
        </is>
      </c>
      <c r="Y1426" t="inlineStr">
        <is>
          <t>Leibniz Institut fur Tropospharenforschung (TROPOS); Council of Scientific &amp; Industrial Research (CSIR) - India; CSIR - National Physical Laboratory (NPL)</t>
        </is>
      </c>
      <c r="Z1426" t="inlineStr">
        <is>
          <t>Ahlawat, A (corresponding author), Leibniz Inst Tropospher Res TROPOS, Permoserstr 15, Leipzig, Germany.</t>
        </is>
      </c>
      <c r="AA1426" t="inlineStr">
        <is>
          <t>ahlawat@tropos.de</t>
        </is>
      </c>
      <c r="AB1426" t="inlineStr">
        <is>
          <t>AHLAWAT, AJIT SINGH/ABF-1253-2020</t>
        </is>
      </c>
      <c r="AH1426" t="n">
        <v>46</v>
      </c>
      <c r="AI1426" t="n">
        <v>101</v>
      </c>
      <c r="AJ1426" t="n">
        <v>102</v>
      </c>
      <c r="AK1426" t="n">
        <v>0</v>
      </c>
      <c r="AL1426" t="n">
        <v>36</v>
      </c>
      <c r="AM1426" t="inlineStr">
        <is>
          <t>TAIWAN ASSOC AEROSOL RES-TAAR</t>
        </is>
      </c>
      <c r="AN1426" t="inlineStr">
        <is>
          <t>TAICHUNG COUNTY</t>
        </is>
      </c>
      <c r="AO1426" t="inlineStr">
        <is>
          <t>CHAOYANG UNIV TECH, DEPT ENV ENG &amp; MGMT, PROD CTR AAQR, NO 168, JIFONG E RD, WUFONG TOWNSHIP, TAICHUNG COUNTY, 41349, TAIWAN</t>
        </is>
      </c>
      <c r="AP1426" t="inlineStr">
        <is>
          <t>1680-8584</t>
        </is>
      </c>
      <c r="AQ1426" t="inlineStr">
        <is>
          <t>2071-1409</t>
        </is>
      </c>
      <c r="AS1426" t="inlineStr">
        <is>
          <t>AEROSOL AIR QUAL RES</t>
        </is>
      </c>
      <c r="AT1426" t="inlineStr">
        <is>
          <t>Aerosol Air Qual. Res.</t>
        </is>
      </c>
      <c r="AU1426" t="inlineStr">
        <is>
          <t>SEP</t>
        </is>
      </c>
      <c r="AV1426" t="n">
        <v>2020</v>
      </c>
      <c r="AW1426" t="n">
        <v>20</v>
      </c>
      <c r="AX1426" t="n">
        <v>9</v>
      </c>
      <c r="BC1426" t="n">
        <v>1856</v>
      </c>
      <c r="BD1426" t="n">
        <v>1861</v>
      </c>
      <c r="BF1426" t="inlineStr">
        <is>
          <t>10.4209/aaqr.2020.06.0302</t>
        </is>
      </c>
      <c r="BG1426">
        <f>HYPERLINK("http://dx.doi.org/10.4209/aaqr.2020.06.0302","http://dx.doi.org/10.4209/aaqr.2020.06.0302")</f>
        <v/>
      </c>
      <c r="BJ1426" t="n">
        <v>6</v>
      </c>
      <c r="BK1426" t="inlineStr">
        <is>
          <t>Environmental Sciences</t>
        </is>
      </c>
      <c r="BL1426" t="inlineStr">
        <is>
          <t>Science Citation Index Expanded (SCI-EXPANDED)</t>
        </is>
      </c>
      <c r="BM1426" t="inlineStr">
        <is>
          <t>Environmental Sciences &amp; Ecology</t>
        </is>
      </c>
      <c r="BN1426" t="inlineStr">
        <is>
          <t>OD0AP</t>
        </is>
      </c>
      <c r="BP1426" t="inlineStr">
        <is>
          <t>gold</t>
        </is>
      </c>
      <c r="BS1426" t="inlineStr">
        <is>
          <t>2023-10-26</t>
        </is>
      </c>
      <c r="BT1426" t="inlineStr">
        <is>
          <t>WOS:000579517600002</t>
        </is>
      </c>
      <c r="BU1426">
        <f>HYPERLINK("https%3A%2F%2Fwww.webofscience.com%2Fwos%2Fwoscc%2Ffull-record%2FWOS:000579517600002","View Full Record in Web of Science")</f>
        <v/>
      </c>
    </row>
    <row r="1427">
      <c r="A1427" t="inlineStr">
        <is>
          <t>J</t>
        </is>
      </c>
      <c r="B1427" t="inlineStr">
        <is>
          <t>Vornanen-Winqvist, C; Järvi, K; Andersson, MA; Duchaine, C; Létourneau, V; Kedves, O; Kredics, L; Mikkola, R; Kurnitski, J; Salonen, H</t>
        </is>
      </c>
      <c r="F1427" t="inlineStr">
        <is>
          <t>Vornanen-Winqvist, Camilla; Jarvi, Kati; Andersson, Maria A.; Duchaine, Caroline; Letourneau, Valerie; Kedves, Orsolya; Kredics, Laszlo; Mikkola, Raimo; Kurnitski, Jarek; Salonen, Heidi</t>
        </is>
      </c>
      <c r="J1427" t="inlineStr">
        <is>
          <t>ENVIRONMENT INTERNATIONAL</t>
        </is>
      </c>
      <c r="M1427" t="inlineStr">
        <is>
          <t>English</t>
        </is>
      </c>
      <c r="N1427" t="inlineStr">
        <is>
          <t>Article</t>
        </is>
      </c>
      <c r="T1427" t="inlineStr">
        <is>
          <t>Exposure to indoor air contaminants in school buildings with and without reported indoor air quality problems</t>
        </is>
      </c>
      <c r="U1427" t="inlineStr">
        <is>
          <t>Indoor air quality; School; Trichoderma; Microbes; Online questionnaire</t>
        </is>
      </c>
      <c r="V1427" t="inlineStr">
        <is>
          <t>ENDOTOXIN EXPOSURE; RELATIVE-HUMIDITY; MOISTURE-DAMAGE; SYMPTOMS; HEALTH; OFFICE; DUST; ENVIRONMENTS; FUNGAL; IMPACT</t>
        </is>
      </c>
      <c r="W1427" t="inlineStr">
        <is>
          <t>Reported indoor air quality (IAQ) complaints are common even in relatively new or renovated school buildings in Finland. However, detecting the causes for complaints with commonly used indoor air measurements is difficult. This study presents data on perceived and measured IAQ in six comprehensive school buildings in Finland. The aim of this study was to discover the possible differences of perceived and measured IAQ between schools with reported IAQ complaints and schools without reported IAQ complaints. The initial categorisation of schools with ('problematic schools') and without ('comparison schools') complaints was ensured via a validated indoor climate survey and a recently developed online questionnaire, which were completed by 186 teachers and 1268 students from the six schools. IAQ measurements of physical parameters, gaseous pollutants, particulate matter and bioaerosols were conducted in four problematic school buildings (26 classrooms) and two com- parison school buildings (12 classrooms). Using air sampling as well as exhaust air filters and classroom settled dust to detect the presence of elevated concentrations of airborne cultivable microbes and pathogenic, toxigenic and mycoparasitic Trichoderma strains were the most indicative methods in distinguishing problematic schools from comparison schools. Other IAQ-related measurements did not detect clear differences between problematic and comparison schools, as the concentration levels were very low. The results indicate that the complaints reported by occupants could have been related to excess moisture or mould problems that had not been found or repaired. Ventilation pressure condition investigations and simultaneous exhaust and supply air filter dust culture should be addressed precisely in future studies.</t>
        </is>
      </c>
      <c r="X1427" t="inlineStr">
        <is>
          <t>[Vornanen-Winqvist, Camilla; Jarvi, Kati; Andersson, Maria A.; Mikkola, Raimo; Kurnitski, Jarek; Salonen, Heidi] Aalto Univ, Dept Civil Engn, POB 12100, FI-00076 Aalto, Finland; [Duchaine, Caroline] Univ Laval, Dept Biochim Microbiol &amp; Bioinformat, 2325 Rue Univ, Quebec City, PQ G1V 0A6, Canada; [Duchaine, Caroline; Letourneau, Valerie] Inst Univ Cardiol &amp; Pneumol Quebec, Ctr Rech, 2725 Chemin, Ste Foy, PQ G1V 4G5, Canada; [Kedves, Orsolya; Kredics, Laszlo] Univ Szeged, Fac Sci &amp; Informat, Dept Microbiol, Kozep Fasor 52, H-6726 Szeged, Hungary; [Kurnitski, Jarek] Tallinn Univ Technol, Dept Civil Engn &amp; Architecture, Ehitajate Tee 5, EE-19086 Tallinn, Estonia</t>
        </is>
      </c>
      <c r="Y1427" t="inlineStr">
        <is>
          <t>Aalto University; Laval University; Szeged University; Tallinn University of Technology</t>
        </is>
      </c>
      <c r="Z1427" t="inlineStr">
        <is>
          <t>Vornanen-Winqvist, C (corresponding author), Aalto Univ, Dept Civil Engn, POB 12100, FI-00076 Aalto, Finland.</t>
        </is>
      </c>
      <c r="AA1427" t="inlineStr">
        <is>
          <t>camilla.vornanen@aalto.fi</t>
        </is>
      </c>
      <c r="AB1427" t="inlineStr">
        <is>
          <t>Salonen, Heidi/G-4685-2016; Kredics, Laszlo/L-8204-2018; Mikkola, Raimo/E-3546-2013</t>
        </is>
      </c>
      <c r="AC1427" t="inlineStr">
        <is>
          <t>Kredics, Laszlo/0000-0002-8837-3973; Mikkola, Raimo/0000-0002-6193-5286; Kurnitski, Jarek/0000-0003-3254-0637</t>
        </is>
      </c>
      <c r="AD1427" t="inlineStr">
        <is>
          <t>Finnish Work Environment Fund [115376]; Business Finland [4098/31/2015]; Academy of Finland [289161]; Academy of Finland (AKA) [289161, 289161] Funding Source: Academy of Finland (AKA)</t>
        </is>
      </c>
      <c r="AE1427" t="inlineStr">
        <is>
          <t>Finnish Work Environment Fund; Business Finland; Academy of Finland(Research Council of Finland); Academy of Finland (AKA)(Research Council of Finland)</t>
        </is>
      </c>
      <c r="AF1427" t="inlineStr">
        <is>
          <t>This work was supported by the Finnish Work Environment Fund [grant number 115376]; Business Finland [grant number 4098/31/2015]; and the Academy of Finland [grant number 289161].</t>
        </is>
      </c>
      <c r="AH1427" t="n">
        <v>87</v>
      </c>
      <c r="AI1427" t="n">
        <v>23</v>
      </c>
      <c r="AJ1427" t="n">
        <v>24</v>
      </c>
      <c r="AK1427" t="n">
        <v>5</v>
      </c>
      <c r="AL1427" t="n">
        <v>29</v>
      </c>
      <c r="AM1427" t="inlineStr">
        <is>
          <t>PERGAMON-ELSEVIER SCIENCE LTD</t>
        </is>
      </c>
      <c r="AN1427" t="inlineStr">
        <is>
          <t>OXFORD</t>
        </is>
      </c>
      <c r="AO1427" t="inlineStr">
        <is>
          <t>THE BOULEVARD, LANGFORD LANE, KIDLINGTON, OXFORD OX5 1GB, ENGLAND</t>
        </is>
      </c>
      <c r="AP1427" t="inlineStr">
        <is>
          <t>0160-4120</t>
        </is>
      </c>
      <c r="AQ1427" t="inlineStr">
        <is>
          <t>1873-6750</t>
        </is>
      </c>
      <c r="AS1427" t="inlineStr">
        <is>
          <t>ENVIRON INT</t>
        </is>
      </c>
      <c r="AT1427" t="inlineStr">
        <is>
          <t>Environ. Int.</t>
        </is>
      </c>
      <c r="AU1427" t="inlineStr">
        <is>
          <t>AUG</t>
        </is>
      </c>
      <c r="AV1427" t="n">
        <v>2020</v>
      </c>
      <c r="AW1427" t="n">
        <v>141</v>
      </c>
      <c r="BE1427" t="n">
        <v>105781</v>
      </c>
      <c r="BF1427" t="inlineStr">
        <is>
          <t>10.1016/j.envint.2020.105781</t>
        </is>
      </c>
      <c r="BG1427">
        <f>HYPERLINK("http://dx.doi.org/10.1016/j.envint.2020.105781","http://dx.doi.org/10.1016/j.envint.2020.105781")</f>
        <v/>
      </c>
      <c r="BJ1427" t="n">
        <v>14</v>
      </c>
      <c r="BK1427" t="inlineStr">
        <is>
          <t>Environmental Sciences</t>
        </is>
      </c>
      <c r="BL1427" t="inlineStr">
        <is>
          <t>Science Citation Index Expanded (SCI-EXPANDED)</t>
        </is>
      </c>
      <c r="BM1427" t="inlineStr">
        <is>
          <t>Environmental Sciences &amp; Ecology</t>
        </is>
      </c>
      <c r="BN1427" t="inlineStr">
        <is>
          <t>ME8FI</t>
        </is>
      </c>
      <c r="BO1427" t="n">
        <v>32417615</v>
      </c>
      <c r="BP1427" t="inlineStr">
        <is>
          <t>Green Published, Green Accepted, gold</t>
        </is>
      </c>
      <c r="BS1427" t="inlineStr">
        <is>
          <t>2023-10-26</t>
        </is>
      </c>
      <c r="BT1427" t="inlineStr">
        <is>
          <t>WOS:000544888300016</t>
        </is>
      </c>
      <c r="BU1427">
        <f>HYPERLINK("https%3A%2F%2Fwww.webofscience.com%2Fwos%2Fwoscc%2Ffull-record%2FWOS:000544888300016","View Full Record in Web of Science")</f>
        <v/>
      </c>
    </row>
    <row r="1428">
      <c r="A1428" t="inlineStr">
        <is>
          <t>J</t>
        </is>
      </c>
      <c r="B1428" t="inlineStr">
        <is>
          <t>Azuma, K; Ikeda, K; Kagi, N; Yanagi, U; Osawa, H</t>
        </is>
      </c>
      <c r="F1428" t="inlineStr">
        <is>
          <t>Azuma, Kenichi; Ikeda, Koichi; Kagi, Naoki; Yanagi, U.; Osawa, Haruki</t>
        </is>
      </c>
      <c r="J1428" t="inlineStr">
        <is>
          <t>SCIENCE OF THE TOTAL ENVIRONMENT</t>
        </is>
      </c>
      <c r="M1428" t="inlineStr">
        <is>
          <t>English</t>
        </is>
      </c>
      <c r="N1428" t="inlineStr">
        <is>
          <t>Article</t>
        </is>
      </c>
      <c r="T1428" t="inlineStr">
        <is>
          <t>Physicochemical risk factors for building-related symptoms in air-conditioned office buildings: Ambient particles and combined exposure to indoor air pollutants</t>
        </is>
      </c>
      <c r="U1428" t="inlineStr">
        <is>
          <t>Airborne particles; Building-related symptoms; Combined exposures; Temperature and humidity; Volatile organic compounds</t>
        </is>
      </c>
      <c r="V1428" t="inlineStr">
        <is>
          <t>ORGANIC-COMPOUNDS; HEALTH; EYE; TEMPERATURE; ENVIRONMENT; CHEMISTRY; RESPONSES; STRESS; WORK</t>
        </is>
      </c>
      <c r="W1428" t="inlineStr">
        <is>
          <t>We conducted a cross-sectional epidemiological study to examine the correlation between indoor air quality (IAQ) and building-related symptoms (BRSs) of office workers in air-conditioned office buildings. We investigated 11 offices during winter and 13 offices during summer in 17 buildings with air-conditioning systems in Tokyo, Osaka, and Fukuoka, and we included 107 office workers during winter and 207 office workers during summer. We conducted environmental sampling for evaluating IAQ and concurrently administered self-reported questionnaires to collect information regarding work-related symptoms. Multivariate analyses revealed that upper respiratory symptoms showed a significant correlation with increased indoor temperature [odds ratio (OR), 1.55; 95% confidence interval (CI), 1.11-2.18] and increased indoor concentration of suspended particles released from the ambient air pollution via air-conditioning systems (OR, 1.31; 95% CI, 1.08-1.59) during winter. In particular, smaller particles (particle size &gt; 0.3 mu m), which possibly penetrated through the filter media in air-conditioning systems from ambient air, were correlated with upper respiratory symptoms. The use of high-efficiency particulate air filters in air-conditioning systems and their adequate maintenance may be an urgent solution for reducing the indoor air concentration of submicron particles. Several irritating volatile organic compounds (VOCs) (e.g., formaldehyde, acetaldehyde, ethylbenzene, toluene, and xylenes) that were positively correlated with the indoor air concentration among their VOCs, were associated with upper respiratory symptoms, although their indoor air concentrations were lower than those specified by the indoor air quality guideline. A new approach and strategy for decreasing the potential combined health risks (i.e., additive effect of risks) associated with multiple low-level indoor pollutants that have similar hazardous properties are required. (c) 2017 Elsevier B.V. All rights reserved.</t>
        </is>
      </c>
      <c r="X1428" t="inlineStr">
        <is>
          <t>[Azuma, Kenichi] Kindai Univ, Fac Med, Dept Environm Med &amp; Behav Sci, 377-2 Ohnohigashi, Osaka 5898511, Japan; [Ikeda, Koichi] Nihon Univ, Coll Sci &amp; Technol, Dept Architecture, Chiyoda Ku, 8-14 Kanda Surugadai 1 Chome, Tokyo 1018308, Japan; [Kagi, Naoki] Tokyo Inst Technol, Dept Mech &amp; Environm Informat, Grad Sch Informat Sci &amp; Engn, Meguro Ku, 2-12-1 Ookayama, Tokyo 1528550, Japan; [Yanagi, U.] Kogakuin Univ, Sch Architecture, Dept Architecture, Shinjuku Ku, 1-24-2 Nishi Shinjuku, Tokyo 1638677, Japan; [Osawa, Haruki] Natl Inst Publ Hlth, Dept Environm Hlth, 2-3-6 Minami, Wako, Saitama 3510197, Japan</t>
        </is>
      </c>
      <c r="Y1428" t="inlineStr">
        <is>
          <t>Kindai University (Kinki University); Nihon University; Tokyo Institute of Technology; Kogakuin University; National Institute of Public Health - Japan</t>
        </is>
      </c>
      <c r="Z1428" t="inlineStr">
        <is>
          <t>Azuma, K (corresponding author), Kindai Univ, Fac Med, Dept Environm Med &amp; Behav Sci, 377-2 Ohnohigashi, Osaka 5898511, Japan.</t>
        </is>
      </c>
      <c r="AA1428" t="inlineStr">
        <is>
          <t>kenazuma@med.kindai.ac.jp; ikedako1@aol.com; kagi.n.aa@m.titech.ac.jp; yanagi@cc.kogakuin.ac.jp; osawa.h.aa@niph.go.jp</t>
        </is>
      </c>
      <c r="AB1428" t="inlineStr">
        <is>
          <t>Kagi, Naoki/AAA-2154-2021</t>
        </is>
      </c>
      <c r="AC1428" t="inlineStr">
        <is>
          <t>Azuma, Kenichi/0000-0002-6382-9807; Kagi, Naoki/0000-0002-1466-8410</t>
        </is>
      </c>
      <c r="AD1428" t="inlineStr">
        <is>
          <t>Japanese Ministry of Health, Labour and Welfare [H23-health/crisis-009]; Grants-in-Aid for Scientific Research [17H03352] Funding Source: KAKEN</t>
        </is>
      </c>
      <c r="AE1428" t="inlineStr">
        <is>
          <t>Japanese Ministry of Health, Labour and Welfare(Ministry of Health, Labour and Welfare, Japan); Grants-in-Aid for Scientific Research(Ministry of Education, Culture, Sports, Science and Technology, Japan (MEXT)Japan Society for the Promotion of ScienceGrants-in-Aid for Scientific Research (KAKENHI))</t>
        </is>
      </c>
      <c r="AF1428" t="inlineStr">
        <is>
          <t>This study was financially supported by a Grant-in-Aid for Health and Labour Sciences Research Grant (H23-health/crisis-009) provided by the Japanese Ministry of Health, Labour and Welfare. We would like to express our deepest gratitude to the Japan Building Maintenance Association and Mr. Daichi Takano for providing their helpful cooperation. We also thank all participants for their collaboration.</t>
        </is>
      </c>
      <c r="AH1428" t="n">
        <v>33</v>
      </c>
      <c r="AI1428" t="n">
        <v>34</v>
      </c>
      <c r="AJ1428" t="n">
        <v>34</v>
      </c>
      <c r="AK1428" t="n">
        <v>0</v>
      </c>
      <c r="AL1428" t="n">
        <v>37</v>
      </c>
      <c r="AM1428" t="inlineStr">
        <is>
          <t>ELSEVIER</t>
        </is>
      </c>
      <c r="AN1428" t="inlineStr">
        <is>
          <t>AMSTERDAM</t>
        </is>
      </c>
      <c r="AO1428" t="inlineStr">
        <is>
          <t>RADARWEG 29, 1043 NX AMSTERDAM, NETHERLANDS</t>
        </is>
      </c>
      <c r="AP1428" t="inlineStr">
        <is>
          <t>0048-9697</t>
        </is>
      </c>
      <c r="AQ1428" t="inlineStr">
        <is>
          <t>1879-1026</t>
        </is>
      </c>
      <c r="AS1428" t="inlineStr">
        <is>
          <t>SCI TOTAL ENVIRON</t>
        </is>
      </c>
      <c r="AT1428" t="inlineStr">
        <is>
          <t>Sci. Total Environ.</t>
        </is>
      </c>
      <c r="AU1428" t="inlineStr">
        <is>
          <t>MAR</t>
        </is>
      </c>
      <c r="AV1428" t="n">
        <v>2018</v>
      </c>
      <c r="AW1428" t="n">
        <v>616</v>
      </c>
      <c r="BC1428" t="n">
        <v>1649</v>
      </c>
      <c r="BD1428" t="n">
        <v>1655</v>
      </c>
      <c r="BF1428" t="inlineStr">
        <is>
          <t>10.1016/j.scitotenv.2017.10.147</t>
        </is>
      </c>
      <c r="BG1428">
        <f>HYPERLINK("http://dx.doi.org/10.1016/j.scitotenv.2017.10.147","http://dx.doi.org/10.1016/j.scitotenv.2017.10.147")</f>
        <v/>
      </c>
      <c r="BJ1428" t="n">
        <v>7</v>
      </c>
      <c r="BK1428" t="inlineStr">
        <is>
          <t>Environmental Sciences</t>
        </is>
      </c>
      <c r="BL1428" t="inlineStr">
        <is>
          <t>Science Citation Index Expanded (SCI-EXPANDED)</t>
        </is>
      </c>
      <c r="BM1428" t="inlineStr">
        <is>
          <t>Environmental Sciences &amp; Ecology</t>
        </is>
      </c>
      <c r="BN1428" t="inlineStr">
        <is>
          <t>FU8RF</t>
        </is>
      </c>
      <c r="BO1428" t="n">
        <v>29070452</v>
      </c>
      <c r="BS1428" t="inlineStr">
        <is>
          <t>2023-10-26</t>
        </is>
      </c>
      <c r="BT1428" t="inlineStr">
        <is>
          <t>WOS:000424121800165</t>
        </is>
      </c>
      <c r="BU1428">
        <f>HYPERLINK("https%3A%2F%2Fwww.webofscience.com%2Fwos%2Fwoscc%2Ffull-record%2FWOS:000424121800165","View Full Record in Web of Science")</f>
        <v/>
      </c>
    </row>
    <row r="1429">
      <c r="A1429" t="inlineStr">
        <is>
          <t>J</t>
        </is>
      </c>
      <c r="B1429" t="inlineStr">
        <is>
          <t>Cunningham, C; O'Sullivan, R</t>
        </is>
      </c>
      <c r="F1429" t="inlineStr">
        <is>
          <t>Cunningham, Conor; O'Sullivan, Roger</t>
        </is>
      </c>
      <c r="J1429" t="inlineStr">
        <is>
          <t>INTERNATIONAL JOURNAL OF ENVIRONMENTAL RESEARCH AND PUBLIC HEALTH</t>
        </is>
      </c>
      <c r="M1429" t="inlineStr">
        <is>
          <t>English</t>
        </is>
      </c>
      <c r="N1429" t="inlineStr">
        <is>
          <t>Article</t>
        </is>
      </c>
      <c r="T1429" t="inlineStr">
        <is>
          <t>Healthcare Professionals Promotion of Physical Activity with Older Adults: A Survey of Knowledge and Routine Practice</t>
        </is>
      </c>
      <c r="U1429" t="inlineStr">
        <is>
          <t>physical activity; healthcare professionals; older adults; theoretical domains framework; policy; behaviour change</t>
        </is>
      </c>
      <c r="V1429" t="inlineStr">
        <is>
          <t>PRESCRIPTION; EXERCISE</t>
        </is>
      </c>
      <c r="W1429" t="inlineStr">
        <is>
          <t>Healthcare professionals have a key role in promoting physical activity, particularly among populations at greatest risk of poor health due to physical inactivity. This research aimed to develop our understanding of healthcare professionals knowledge, decision making and routine practice of physical activity promotion with older adults. A cross-sectional survey was conducted with practicing healthcare professionals in general practice, physiotherapy, occupational therapy and nursing in Ireland and Northern Ireland. We received 347 eligible responses, with 70.3% of all respondents agreeing that discussing physical activity is their job and 30.0% agreeing that they have received suitable training to initiate conversations with patients about physical activity. Awareness of the content and objectives of national guidelines for physical activity varied considerably across the health professions surveyed. Less than a third of respondents had a clear plan on how to initiate discussions about physical activity in routine practice with older adults. Assessment of physical activity was not routine, neither was signposting to physical activity supports. Considering the COVID-19 pandemic and its implications, 81.6% of all respondents agreed that healthcare professionals can play an increased role in promoting physical activity to older adults as part of routine practice. Appropriate education, training and access to resources are essential for supporting healthcare professionals promotion of physical activity in routine practice. Effective physical activity promotion in healthcare settings has the potential for health benefits at a population level, particularly in older adult populations.</t>
        </is>
      </c>
      <c r="X1429" t="inlineStr">
        <is>
          <t>[Cunningham, Conor; O'Sullivan, Roger] Inst Publ Hlth, Belfast BT1 4JH, Antrim, North Ireland; [O'Sullivan, Roger] Ulster Univ, Bamford Ctr Mental Hlth &amp; Wellbeing, Belfast BT37 0QB, Antrim, North Ireland</t>
        </is>
      </c>
      <c r="Y1429" t="inlineStr">
        <is>
          <t>Ulster University</t>
        </is>
      </c>
      <c r="Z1429" t="inlineStr">
        <is>
          <t>Cunningham, C (corresponding author), Inst Publ Hlth, Belfast BT1 4JH, Antrim, North Ireland.</t>
        </is>
      </c>
      <c r="AA1429" t="inlineStr">
        <is>
          <t>conor.cunningham@publichealth.ie</t>
        </is>
      </c>
      <c r="AH1429" t="n">
        <v>34</v>
      </c>
      <c r="AI1429" t="n">
        <v>8</v>
      </c>
      <c r="AJ1429" t="n">
        <v>8</v>
      </c>
      <c r="AK1429" t="n">
        <v>1</v>
      </c>
      <c r="AL1429" t="n">
        <v>10</v>
      </c>
      <c r="AM1429" t="inlineStr">
        <is>
          <t>MDPI</t>
        </is>
      </c>
      <c r="AN1429" t="inlineStr">
        <is>
          <t>BASEL</t>
        </is>
      </c>
      <c r="AO1429" t="inlineStr">
        <is>
          <t>ST ALBAN-ANLAGE 66, CH-4052 BASEL, SWITZERLAND</t>
        </is>
      </c>
      <c r="AQ1429" t="inlineStr">
        <is>
          <t>1660-4601</t>
        </is>
      </c>
      <c r="AS1429" t="inlineStr">
        <is>
          <t>INT J ENV RES PUB HE</t>
        </is>
      </c>
      <c r="AT1429" t="inlineStr">
        <is>
          <t>Int. J. Environ. Res. Public Health</t>
        </is>
      </c>
      <c r="AU1429" t="inlineStr">
        <is>
          <t>JUN</t>
        </is>
      </c>
      <c r="AV1429" t="n">
        <v>2021</v>
      </c>
      <c r="AW1429" t="n">
        <v>18</v>
      </c>
      <c r="AX1429" t="n">
        <v>11</v>
      </c>
      <c r="BE1429" t="n">
        <v>6064</v>
      </c>
      <c r="BF1429" t="inlineStr">
        <is>
          <t>10.3390/ijerph18116064</t>
        </is>
      </c>
      <c r="BG1429">
        <f>HYPERLINK("http://dx.doi.org/10.3390/ijerph18116064","http://dx.doi.org/10.3390/ijerph18116064")</f>
        <v/>
      </c>
      <c r="BJ1429" t="n">
        <v>13</v>
      </c>
      <c r="BK1429" t="inlineStr">
        <is>
          <t>Environmental Sciences; Public, Environmental &amp; Occupational Health</t>
        </is>
      </c>
      <c r="BL1429" t="inlineStr">
        <is>
          <t>Science Citation Index Expanded (SCI-EXPANDED); Social Science Citation Index (SSCI)</t>
        </is>
      </c>
      <c r="BM1429" t="inlineStr">
        <is>
          <t>Environmental Sciences &amp; Ecology; Public, Environmental &amp; Occupational Health</t>
        </is>
      </c>
      <c r="BN1429" t="inlineStr">
        <is>
          <t>SP8MP</t>
        </is>
      </c>
      <c r="BO1429" t="n">
        <v>34199893</v>
      </c>
      <c r="BP1429" t="inlineStr">
        <is>
          <t>Green Published, gold</t>
        </is>
      </c>
      <c r="BS1429" t="inlineStr">
        <is>
          <t>2023-10-26</t>
        </is>
      </c>
      <c r="BT1429" t="inlineStr">
        <is>
          <t>WOS:000659917700001</t>
        </is>
      </c>
      <c r="BU1429">
        <f>HYPERLINK("https%3A%2F%2Fwww.webofscience.com%2Fwos%2Fwoscc%2Ffull-record%2FWOS:000659917700001","View Full Record in Web of Science")</f>
        <v/>
      </c>
    </row>
    <row r="1430">
      <c r="A1430" t="inlineStr">
        <is>
          <t>J</t>
        </is>
      </c>
      <c r="B1430" t="inlineStr">
        <is>
          <t>Abe, T; Okuyama, K; Hamano, T; Takeda, M; Yamasaki, M; Isomura, M; Nakano, K; Sundquist, K; Nabika, T</t>
        </is>
      </c>
      <c r="F1430" t="inlineStr">
        <is>
          <t>Abe, Takafumi; Okuyama, Kenta; Hamano, Tsuyoshi; Takeda, Miwako; Yamasaki, Masayuki; Isomura, Minoru; Nakano, Kunihiko; Sundquist, Kristina; Nabika, Toru</t>
        </is>
      </c>
      <c r="J1430" t="inlineStr">
        <is>
          <t>INTERNATIONAL JOURNAL OF ENVIRONMENTAL RESEARCH AND PUBLIC HEALTH</t>
        </is>
      </c>
      <c r="M1430" t="inlineStr">
        <is>
          <t>English</t>
        </is>
      </c>
      <c r="N1430" t="inlineStr">
        <is>
          <t>Article</t>
        </is>
      </c>
      <c r="T1430" t="inlineStr">
        <is>
          <t>Assessing the Impact of a Hilly Environment on Depressive Symptoms among Community-Dwelling Older Adults in Japan: A Cross-Sectional Study</t>
        </is>
      </c>
      <c r="U1430" t="inlineStr">
        <is>
          <t>land slope; rural area; depression; public health</t>
        </is>
      </c>
      <c r="V1430" t="inlineStr">
        <is>
          <t>LOW-BACK-PAIN; PHYSICAL-ACTIVITY; NEIGHBORHOOD ENVIRONMENT; SEDENTARY BEHAVIOR; RISK-FACTORS; ASSOCIATION; PEOPLE; SCALE; METAANALYSIS; MORTALITY</t>
        </is>
      </c>
      <c r="W1430" t="inlineStr">
        <is>
          <t>Although some neighborhood environmental factors have been found to affect depressive symptoms, few studies have focused on the impact of living in a hilly environment, i.e., land slope, on depressive symptoms among rural older adults. This cross-sectional study aimed to investigate whether a land slope is associated with depressive symptoms among older adults living in rural areas. Data were collected from 935 participants, aged 65 years and older, who lived in Shimane prefecture, Japan. Depressive symptoms were assessed using the Zung Self-Rating Depression Scale (SDS) and defined on the basis of an SDS score &gt;= 40. Land slopes within a 400 m network buffer were assessed using geographic information systems. Odds ratios (ORs) with 95% confidence intervals (CIs) of depressive symptoms were estimated using logistic regression. A total of 215 (23.0%) participants reported depressive symptoms. The land slope was positively associated with depressive symptoms (OR = 1.04; 95% CI = 1.01-1.08) after adjusting for all confounders. In a rural setting, living in a hillier environment was associated with depressive symptoms among community-dwelling older adults in Japan.</t>
        </is>
      </c>
      <c r="X1430" t="inlineStr">
        <is>
          <t>[Abe, Takafumi; Okuyama, Kenta; Hamano, Tsuyoshi; Takeda, Miwako; Yamasaki, Masayuki; Isomura, Minoru; Nakano, Kunihiko; Sundquist, Kristina] Shimane Univ, Ctr Community Based Healthcare Res &amp; Educ CoHRE, Head Off Res &amp; Acad Informat, Izumo, Shimane 6938501, Japan; [Okuyama, Kenta; Sundquist, Kristina] Lund Univ, Dept Clin Sci Malmo, Ctr Primary Hlth Care Res, S-20502 Malmo, Sweden; [Hamano, Tsuyoshi] Kyoto Sangyo Univ, Fac Sociol, Dept Sports Sociol &amp; Hlth Sci, Kyoto 6038555, Japan; [Yamasaki, Masayuki; Isomura, Minoru] Shimane Univ, Fac Human Sci, Matsue, Shimane 6908504, Japan; [Sundquist, Kristina] Icahn Sch Med Mt Sinai, Dept Family Med &amp; Community Hlth, Dept Populat Hlth Sci &amp; Policy, New York, NY 10029 USA; [Nabika, Toru] Shimane Univ, Dept Funct Pathol, Fac Med, Izumo, Shimane 6938501, Japan</t>
        </is>
      </c>
      <c r="Y1430" t="inlineStr">
        <is>
          <t>Shimane University; Lund University; Kyoto Sangyo University; Shimane University; Icahn School of Medicine at Mount Sinai; Shimane University</t>
        </is>
      </c>
      <c r="Z1430" t="inlineStr">
        <is>
          <t>Abe, T (corresponding author), Shimane Univ, Ctr Community Based Healthcare Res &amp; Educ CoHRE, Head Off Res &amp; Acad Informat, Izumo, Shimane 6938501, Japan.</t>
        </is>
      </c>
      <c r="AA1430" t="inlineStr">
        <is>
          <t>t-abe@med.shimane-u.ac.jp; kenta.okuyama@med.lu.se; thamano@cc.kyoto-su.ac.jp; cohre1@med.shimane-u.ac.jp; myamasak@hmn.shimane-u.ac.jp; isomura@hmn.shimane-u.ac.jp; k-nakano@riko.shimane-u.ac.jp; kristina.sundquist@med.lu.se; nabika@med.shimane-u.ac.jp</t>
        </is>
      </c>
      <c r="AC1430" t="inlineStr">
        <is>
          <t>Abe, Takafumi/0000-0001-8657-4707; Hamano, Tsuyoshi/0000-0002-6755-9138</t>
        </is>
      </c>
      <c r="AD1430" t="inlineStr">
        <is>
          <t>Japan Society for the Promotion of Science, KAKENHI [18K11143, 19H03996]; Grants-in-Aid for Scientific Research [19H03996, 18K11143] Funding Source: KAKEN</t>
        </is>
      </c>
      <c r="AE1430" t="inlineStr">
        <is>
          <t>Japan Society for the Promotion of Science,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is>
      </c>
      <c r="AF1430" t="inlineStr">
        <is>
          <t>This study was supported by the Japan Society for the Promotion of Science, KAKENHI Grant Numbers 18K11143 and 19H03996.</t>
        </is>
      </c>
      <c r="AH1430" t="n">
        <v>46</v>
      </c>
      <c r="AI1430" t="n">
        <v>2</v>
      </c>
      <c r="AJ1430" t="n">
        <v>2</v>
      </c>
      <c r="AK1430" t="n">
        <v>1</v>
      </c>
      <c r="AL1430" t="n">
        <v>3</v>
      </c>
      <c r="AM1430" t="inlineStr">
        <is>
          <t>MDPI</t>
        </is>
      </c>
      <c r="AN1430" t="inlineStr">
        <is>
          <t>BASEL</t>
        </is>
      </c>
      <c r="AO1430" t="inlineStr">
        <is>
          <t>ST ALBAN-ANLAGE 66, CH-4052 BASEL, SWITZERLAND</t>
        </is>
      </c>
      <c r="AQ1430" t="inlineStr">
        <is>
          <t>1660-4601</t>
        </is>
      </c>
      <c r="AS1430" t="inlineStr">
        <is>
          <t>INT J ENV RES PUB HE</t>
        </is>
      </c>
      <c r="AT1430" t="inlineStr">
        <is>
          <t>Int. J. Environ. Res. Public Health</t>
        </is>
      </c>
      <c r="AU1430" t="inlineStr">
        <is>
          <t>MAY</t>
        </is>
      </c>
      <c r="AV1430" t="n">
        <v>2021</v>
      </c>
      <c r="AW1430" t="n">
        <v>18</v>
      </c>
      <c r="AX1430" t="n">
        <v>9</v>
      </c>
      <c r="BE1430" t="n">
        <v>4520</v>
      </c>
      <c r="BF1430" t="inlineStr">
        <is>
          <t>10.3390/ijerph18094520</t>
        </is>
      </c>
      <c r="BG1430">
        <f>HYPERLINK("http://dx.doi.org/10.3390/ijerph18094520","http://dx.doi.org/10.3390/ijerph18094520")</f>
        <v/>
      </c>
      <c r="BJ1430" t="n">
        <v>11</v>
      </c>
      <c r="BK1430" t="inlineStr">
        <is>
          <t>Environmental Sciences; Public, Environmental &amp; Occupational Health</t>
        </is>
      </c>
      <c r="BL1430" t="inlineStr">
        <is>
          <t>Science Citation Index Expanded (SCI-EXPANDED); Social Science Citation Index (SSCI)</t>
        </is>
      </c>
      <c r="BM1430" t="inlineStr">
        <is>
          <t>Environmental Sciences &amp; Ecology; Public, Environmental &amp; Occupational Health</t>
        </is>
      </c>
      <c r="BN1430" t="inlineStr">
        <is>
          <t>SB8QG</t>
        </is>
      </c>
      <c r="BO1430" t="n">
        <v>33923194</v>
      </c>
      <c r="BP1430" t="inlineStr">
        <is>
          <t>gold, Green Published</t>
        </is>
      </c>
      <c r="BS1430" t="inlineStr">
        <is>
          <t>2023-10-26</t>
        </is>
      </c>
      <c r="BT1430" t="inlineStr">
        <is>
          <t>WOS:000650251000001</t>
        </is>
      </c>
      <c r="BU1430">
        <f>HYPERLINK("https%3A%2F%2Fwww.webofscience.com%2Fwos%2Fwoscc%2Ffull-record%2FWOS:000650251000001","View Full Record in Web of Science")</f>
        <v/>
      </c>
    </row>
    <row r="1431">
      <c r="A1431" t="inlineStr">
        <is>
          <t>J</t>
        </is>
      </c>
      <c r="B1431" t="inlineStr">
        <is>
          <t>Vojta, S; Melymuk, L; Klánová, J</t>
        </is>
      </c>
      <c r="F1431" t="inlineStr">
        <is>
          <t>Vojta, Simon; Melymuk, Lisa; Klanova, Jana</t>
        </is>
      </c>
      <c r="J1431" t="inlineStr">
        <is>
          <t>ENVIRONMENTAL SCIENCE &amp; TECHNOLOGY</t>
        </is>
      </c>
      <c r="M1431" t="inlineStr">
        <is>
          <t>English</t>
        </is>
      </c>
      <c r="N1431" t="inlineStr">
        <is>
          <t>Article</t>
        </is>
      </c>
      <c r="T1431" t="inlineStr">
        <is>
          <t>Changes in Flame Retardant and Legacy Contaminant Concentrations in Indoor Air during Building Construction, Furnishing, and Use</t>
        </is>
      </c>
      <c r="V1431" t="inlineStr">
        <is>
          <t>POLYBROMINATED DIPHENYL ETHERS; SEMIVOLATILE ORGANIC-COMPOUNDS; PHYSICAL-CHEMICAL PROPERTIES; DECHLORANE PLUS; COMPOUNDS SVOCS; SETTLED DUST; OUTDOOR AIR; ORGANOPHOSPHATE; PBDES; ENVIRONMENT</t>
        </is>
      </c>
      <c r="W1431" t="inlineStr">
        <is>
          <t>A newly constructed university building was selected for targeted assessment of changes in the levels of flame retardants and legacy contaminants during the installation of building equipment, furniture, electronics, and first year of building use. Indoor air samples were collected during several periods of intensive equipment installation to determine a relationship between newly introduced equipment and changes in the concentrations and profiles of contaminants in indoor air. Samples were analyzed for polybrominated diphenyl ethers (PBDEs), hexabromocyclododecanes (HBCDDs), and new types of flame retardants: brominated (BFRs) and organophosphate esters (OPEs). Additionally, typical outdoor contaminants such as polychlorinated biphenyls (PCBs) and organochlorine pesticides (OCPs) were also analyzed for comparison. From the set of 90 compounds analyzed here, hexabromobenzene (HBB) and tris(2-chloroisopropyl)phosphate (TCIPP) showed a significant concentration increase in indoor air concentrations during computer installation and operation, suggesting emission by operating computers, while an order of magnitude concentration increase in tris(1,3-dichloro-2-propyl)phosphate (TDCIPP) and tri-m-cresyl phosphate (TMTP) was observed after the furniture and carpet was introduced to the computer room, suggesting furniture or carpet as a source. However, the majority of compounds had no systematic change in concentrations during equipment installation, indicating that no sources of target compounds were introduced or, that source introduction was not reflected in indoor air concentrations. Generally, low levels of legacy flame retardants compared to their novel alternatives were observed.</t>
        </is>
      </c>
      <c r="X1431" t="inlineStr">
        <is>
          <t>[Vojta, Simon; Melymuk, Lisa; Klanova, Jana] Res Ctr Tox Cpds Environm RECETOX, Kamenice 753-5, Brno 62500, Czech Republic</t>
        </is>
      </c>
      <c r="Y1431" t="inlineStr">
        <is>
          <t>Masaryk University Brno</t>
        </is>
      </c>
      <c r="Z1431" t="inlineStr">
        <is>
          <t>Melymuk, L (corresponding author), Res Ctr Tox Cpds Environm RECETOX, Kamenice 753-5, Brno 62500, Czech Republic.</t>
        </is>
      </c>
      <c r="AA1431" t="inlineStr">
        <is>
          <t>melymuk@recetox.muni.cz</t>
        </is>
      </c>
      <c r="AB1431" t="inlineStr">
        <is>
          <t>Melymuk, Lisa/H-1061-2017; Klanova, Jana/H-1207-2012; Melymuk, Lisa/AAF-2526-2021</t>
        </is>
      </c>
      <c r="AC1431" t="inlineStr">
        <is>
          <t>Melymuk, Lisa/0000-0001-6042-7688; Klanova, Jana/0000-0002-8818-5307; Melymuk, Lisa/0000-0001-6042-7688; Vojta, Simon/0000-0003-4528-8346</t>
        </is>
      </c>
      <c r="AD1431" t="inlineStr">
        <is>
          <t>National Sustainability Programme of the Czech Ministry of Education, Youth and Sports [LO1214]; RECETOX research infrastructure (Ministry of Education, Youth and Sports of the Czech Republic) [LM2015051]</t>
        </is>
      </c>
      <c r="AE1431" t="inlineStr">
        <is>
          <t>National Sustainability Programme of the Czech Ministry of Education, Youth and Sports; RECETOX research infrastructure (Ministry of Education, Youth and Sports of the Czech Republic)</t>
        </is>
      </c>
      <c r="AF1431" t="inlineStr">
        <is>
          <t>This work was supported by the National Sustainability Programme of the Czech Ministry of Education, Youth and Sports (LO1214) and the RECETOX research infrastructure (Ministry of Education, Youth and Sports of the Czech Republic, LM2015051). We thank Petra Pribylova, Jiri Kohoutek, and Ondrej Audy for instrumental analysis of legacy POPs, Roman Prokes for sample collection and Jiri Kalina for statistics consultations.</t>
        </is>
      </c>
      <c r="AH1431" t="n">
        <v>78</v>
      </c>
      <c r="AI1431" t="n">
        <v>29</v>
      </c>
      <c r="AJ1431" t="n">
        <v>31</v>
      </c>
      <c r="AK1431" t="n">
        <v>14</v>
      </c>
      <c r="AL1431" t="n">
        <v>176</v>
      </c>
      <c r="AM1431" t="inlineStr">
        <is>
          <t>AMER CHEMICAL SOC</t>
        </is>
      </c>
      <c r="AN1431" t="inlineStr">
        <is>
          <t>WASHINGTON</t>
        </is>
      </c>
      <c r="AO1431" t="inlineStr">
        <is>
          <t>1155 16TH ST, NW, WASHINGTON, DC 20036 USA</t>
        </is>
      </c>
      <c r="AP1431" t="inlineStr">
        <is>
          <t>0013-936X</t>
        </is>
      </c>
      <c r="AQ1431" t="inlineStr">
        <is>
          <t>1520-5851</t>
        </is>
      </c>
      <c r="AS1431" t="inlineStr">
        <is>
          <t>ENVIRON SCI TECHNOL</t>
        </is>
      </c>
      <c r="AT1431" t="inlineStr">
        <is>
          <t>Environ. Sci. Technol.</t>
        </is>
      </c>
      <c r="AU1431" t="inlineStr">
        <is>
          <t>OCT 17</t>
        </is>
      </c>
      <c r="AV1431" t="n">
        <v>2017</v>
      </c>
      <c r="AW1431" t="n">
        <v>51</v>
      </c>
      <c r="AX1431" t="n">
        <v>20</v>
      </c>
      <c r="BC1431" t="n">
        <v>11891</v>
      </c>
      <c r="BD1431" t="n">
        <v>11899</v>
      </c>
      <c r="BF1431" t="inlineStr">
        <is>
          <t>10.1021/acs.est.7b03245</t>
        </is>
      </c>
      <c r="BG1431">
        <f>HYPERLINK("http://dx.doi.org/10.1021/acs.est.7b03245","http://dx.doi.org/10.1021/acs.est.7b03245")</f>
        <v/>
      </c>
      <c r="BJ1431" t="n">
        <v>9</v>
      </c>
      <c r="BK1431" t="inlineStr">
        <is>
          <t>Engineering, Environmental; Environmental Sciences</t>
        </is>
      </c>
      <c r="BL1431" t="inlineStr">
        <is>
          <t>Science Citation Index Expanded (SCI-EXPANDED)</t>
        </is>
      </c>
      <c r="BM1431" t="inlineStr">
        <is>
          <t>Engineering; Environmental Sciences &amp; Ecology</t>
        </is>
      </c>
      <c r="BN1431" t="inlineStr">
        <is>
          <t>FK3NM</t>
        </is>
      </c>
      <c r="BO1431" t="n">
        <v>28910084</v>
      </c>
      <c r="BS1431" t="inlineStr">
        <is>
          <t>2023-10-26</t>
        </is>
      </c>
      <c r="BT1431" t="inlineStr">
        <is>
          <t>WOS:000413391800045</t>
        </is>
      </c>
      <c r="BU1431">
        <f>HYPERLINK("https%3A%2F%2Fwww.webofscience.com%2Fwos%2Fwoscc%2Ffull-record%2FWOS:000413391800045","View Full Record in Web of Science")</f>
        <v/>
      </c>
    </row>
    <row r="1432">
      <c r="A1432" t="inlineStr">
        <is>
          <t>J</t>
        </is>
      </c>
      <c r="B1432" t="inlineStr">
        <is>
          <t>Leal, M; Reis, E; Pereira, S; Santos, PP</t>
        </is>
      </c>
      <c r="F1432" t="inlineStr">
        <is>
          <t>Leal, Miguel; Reis, Eusebio; Pereira, Susana; Santos, Pedro Pinto</t>
        </is>
      </c>
      <c r="J1432" t="inlineStr">
        <is>
          <t>JOURNAL OF FLOOD RISK MANAGEMENT</t>
        </is>
      </c>
      <c r="M1432" t="inlineStr">
        <is>
          <t>English</t>
        </is>
      </c>
      <c r="N1432" t="inlineStr">
        <is>
          <t>Article</t>
        </is>
      </c>
      <c r="T1432" t="inlineStr">
        <is>
          <t>Physical vulnerability assessment to flash floods using an indicator-based methodology based on building properties and flow parameters</t>
        </is>
      </c>
      <c r="U1432" t="inlineStr">
        <is>
          <t>building properties; flash floods; flow parameters; indicator-based methodology; physical vulnerability</t>
        </is>
      </c>
      <c r="V1432" t="inlineStr">
        <is>
          <t>RISK-ASSESSMENT; HISTORIC BUILDINGS; DAMAGE ESTIMATION; HAZARDS; SCALE; CURVES; SUSCEPTIBILITY; UNCERTAINTY; ENVIRONMENT; INSIGHTS</t>
        </is>
      </c>
      <c r="W1432" t="inlineStr">
        <is>
          <t>This study focuses on the physical vulnerability of buildings to flash floods using an indicator-based methodology. A physical vulnerability index (PhVI) that combines intrinsic vulnerability (IV) of buildings and flash flood intensity (FFI) is proposed. IV evaluates the propensity to suffer damage, resulting from indicators related to building properties. FFI estimates the potential to cause damage, resulting from indicators related to flow parameters. PhVI was applied to a critical section of a small drainage basin in Portugal where flash floods are frequent. Evaluating IV and the intensity of natural hazards is essential in physical vulnerability assessments. This study addresses two problems found in the literature: the lack of flash flood-dedicated physical vulnerability assessments and the difficulties in assembling building properties and the intensity of natural hazards in a vulnerability index defined from indicator-based methodologies. PhVI is a useful tool where damage records are rare or non-existent, allowing the prioritisation of resources and application of local protection measures. This index can be adapted to other study areas and natural hazards, although more research is needed to improve the knowledge on the indicators and weights of IV and FFI.</t>
        </is>
      </c>
      <c r="X1432" t="inlineStr">
        <is>
          <t>[Leal, Miguel; Reis, Eusebio; Pereira, Susana; Santos, Pedro Pinto] Univ Lisbon, Ctr Geog Studies, Inst Geog &amp; Spatial Planning, Edificio IGOT,Rua Branca Edmee Marques, P-1600276 Lisbon, Portugal; [Leal, Miguel] Univ Lisbon, Forest Res Ctr, Sch Agr, Lisbon, Portugal</t>
        </is>
      </c>
      <c r="Y1432" t="inlineStr">
        <is>
          <t>Universidade de Lisboa; Universidade de Lisboa; Forest Research Centre</t>
        </is>
      </c>
      <c r="Z1432" t="inlineStr">
        <is>
          <t>Leal, M (corresponding author), Univ Lisbon, Ctr Geog Studies, Inst Geog &amp; Spatial Planning, Edificio IGOT,Rua Branca Edmee Marques, P-1600276 Lisbon, Portugal.</t>
        </is>
      </c>
      <c r="AA1432" t="inlineStr">
        <is>
          <t>mleal@campus.ul.pt</t>
        </is>
      </c>
      <c r="AB1432" t="inlineStr">
        <is>
          <t>Santos, Pedro Pinto/D-7076-2014; Leal, Miguel/Y-5653-2019; Reis, Eusebio/M-8740-2016; Pereira, Susana/M-7705-2014</t>
        </is>
      </c>
      <c r="AC1432" t="inlineStr">
        <is>
          <t>Santos, Pedro Pinto/0000-0001-9785-0180; Leal, Miguel/0000-0002-7361-0542; Reis, Eusebio/0000-0001-8367-1835; Pereira, Susana/0000-0002-9674-0964</t>
        </is>
      </c>
      <c r="AD1432" t="inlineStr">
        <is>
          <t>Research Unit: Centre of Geographical Studies, Universidade de Lisboa, Portugal; FCT -Portuguese Foundation for Science and Tecnhnology, I.P.</t>
        </is>
      </c>
      <c r="AE1432" t="inlineStr">
        <is>
          <t>Research Unit: Centre of Geographical Studies, Universidade de Lisboa, Portugal; FCT -Portuguese Foundation for Science and Tecnhnology, I.P.</t>
        </is>
      </c>
      <c r="AF1432" t="inlineStr">
        <is>
          <t>Research Unit: Centre of Geographical Studies, Universidade de Lisboa, Portugal; Funder: FCT -Portuguese Foundation for Science and Tecnhnology, I.P.</t>
        </is>
      </c>
      <c r="AH1432" t="n">
        <v>72</v>
      </c>
      <c r="AI1432" t="n">
        <v>7</v>
      </c>
      <c r="AJ1432" t="n">
        <v>8</v>
      </c>
      <c r="AK1432" t="n">
        <v>10</v>
      </c>
      <c r="AL1432" t="n">
        <v>23</v>
      </c>
      <c r="AM1432" t="inlineStr">
        <is>
          <t>WILEY</t>
        </is>
      </c>
      <c r="AN1432" t="inlineStr">
        <is>
          <t>HOBOKEN</t>
        </is>
      </c>
      <c r="AO1432" t="inlineStr">
        <is>
          <t>111 RIVER ST, HOBOKEN 07030-5774, NJ USA</t>
        </is>
      </c>
      <c r="AP1432" t="inlineStr">
        <is>
          <t>1753-318X</t>
        </is>
      </c>
      <c r="AS1432" t="inlineStr">
        <is>
          <t>J FLOOD RISK MANAG</t>
        </is>
      </c>
      <c r="AT1432" t="inlineStr">
        <is>
          <t>J. Flood Risk Manag.</t>
        </is>
      </c>
      <c r="AU1432" t="inlineStr">
        <is>
          <t>SEP</t>
        </is>
      </c>
      <c r="AV1432" t="n">
        <v>2021</v>
      </c>
      <c r="AW1432" t="n">
        <v>14</v>
      </c>
      <c r="AX1432" t="n">
        <v>3</v>
      </c>
      <c r="BE1432" t="inlineStr">
        <is>
          <t>e12712</t>
        </is>
      </c>
      <c r="BF1432" t="inlineStr">
        <is>
          <t>10.1111/jfr3.12712</t>
        </is>
      </c>
      <c r="BG1432">
        <f>HYPERLINK("http://dx.doi.org/10.1111/jfr3.12712","http://dx.doi.org/10.1111/jfr3.12712")</f>
        <v/>
      </c>
      <c r="BI1432" t="inlineStr">
        <is>
          <t>APR 2021</t>
        </is>
      </c>
      <c r="BJ1432" t="n">
        <v>19</v>
      </c>
      <c r="BK1432" t="inlineStr">
        <is>
          <t>Environmental Sciences; Water Resources</t>
        </is>
      </c>
      <c r="BL1432" t="inlineStr">
        <is>
          <t>Science Citation Index Expanded (SCI-EXPANDED); Social Science Citation Index (SSCI)</t>
        </is>
      </c>
      <c r="BM1432" t="inlineStr">
        <is>
          <t>Environmental Sciences &amp; Ecology; Water Resources</t>
        </is>
      </c>
      <c r="BN1432" t="inlineStr">
        <is>
          <t>TX8PS</t>
        </is>
      </c>
      <c r="BP1432" t="inlineStr">
        <is>
          <t>gold, Green Published</t>
        </is>
      </c>
      <c r="BS1432" t="inlineStr">
        <is>
          <t>2023-10-26</t>
        </is>
      </c>
      <c r="BT1432" t="inlineStr">
        <is>
          <t>WOS:000637788500001</t>
        </is>
      </c>
      <c r="BU1432">
        <f>HYPERLINK("https%3A%2F%2Fwww.webofscience.com%2Fwos%2Fwoscc%2Ffull-record%2FWOS:000637788500001","View Full Record in Web of Science")</f>
        <v/>
      </c>
    </row>
    <row r="1433">
      <c r="A1433" t="inlineStr">
        <is>
          <t>J</t>
        </is>
      </c>
      <c r="B1433" t="inlineStr">
        <is>
          <t>Okoro, CS</t>
        </is>
      </c>
      <c r="F1433" t="inlineStr">
        <is>
          <t>Okoro, Chioma Sylvia</t>
        </is>
      </c>
      <c r="J1433" t="inlineStr">
        <is>
          <t>SUSTAINABILITY</t>
        </is>
      </c>
      <c r="M1433" t="inlineStr">
        <is>
          <t>English</t>
        </is>
      </c>
      <c r="N1433" t="inlineStr">
        <is>
          <t>Review</t>
        </is>
      </c>
      <c r="T1433" t="inlineStr">
        <is>
          <t>Sustainable Facilities Management in the Built Environment: A Mixed-Method Review</t>
        </is>
      </c>
      <c r="U1433" t="inlineStr">
        <is>
          <t>built environment; community; smart and innovative management; energy management; environmental and corporate management; facilities management; sustainability; sustainable development</t>
        </is>
      </c>
      <c r="V1433" t="inlineStr">
        <is>
          <t>FM; TECHNOLOGIES; BUILDINGS; CITATION</t>
        </is>
      </c>
      <c r="W1433" t="inlineStr">
        <is>
          <t>The significance of facilities management practices in the built environment and the changing focus to include sustainability principles have been acknowledged. However, there is no consensus on the sustainability principles needed to ensure maximal benefits in the built environment. Few studies have systematically analysed and visualised the trends in facilities management sustainability research. This study thus explored facilities management research and its evolving focus over the past decade regarding sustainability. With a focus on the built environment, an exploratory study using scientometrics and content analysis was undertaken based on the extant literature from 2012 to 2022 published in the Scopus database. Keywords including sustainable facilities management and built environment were used to identify journal articles and conference papers. Interlinks were mapped and visualised using VOSviewer and complemented with findings from the content analysis. Findings showed that current research pathways centred around four clusters, including planning and implementation, community-oriented smart facilities management, innovativeness, and environmental and corporate energy management. These core research focus areas were mostly concentrated in the United Kingdom. The core researchers, institutions, funders, and sources were established. Future research gaps and directions based on knowledge areas and methodological and collaborative endeavours were highlighted. The study offers insights to facilities managers, researchers, analysts, and policymakers on the trajectory of sustainable facilities management research and the extent to which the sustainable development agenda has been embraced. The relations between SFM research and opportunities or areas of stronger focus given contemporary occurrences were identified.</t>
        </is>
      </c>
      <c r="X1433" t="inlineStr">
        <is>
          <t>[Okoro, Chioma Sylvia] Univ Johannesburg, Coll Business &amp; Econ, Finance &amp; Investment Management, Univ &amp; Auckland Rd, ZA-2006 Johannesburg, South Africa</t>
        </is>
      </c>
      <c r="Y1433" t="inlineStr">
        <is>
          <t>University of Johannesburg</t>
        </is>
      </c>
      <c r="Z1433" t="inlineStr">
        <is>
          <t>Okoro, CS (corresponding author), Univ Johannesburg, Coll Business &amp; Econ, Finance &amp; Investment Management, Univ &amp; Auckland Rd, ZA-2006 Johannesburg, South Africa.</t>
        </is>
      </c>
      <c r="AA1433" t="inlineStr">
        <is>
          <t>hiomao@uj.ac.za</t>
        </is>
      </c>
      <c r="AC1433" t="inlineStr">
        <is>
          <t>Okoro, Chioma/0000-0001-5377-6054</t>
        </is>
      </c>
      <c r="AH1433" t="n">
        <v>72</v>
      </c>
      <c r="AI1433" t="n">
        <v>3</v>
      </c>
      <c r="AJ1433" t="n">
        <v>3</v>
      </c>
      <c r="AK1433" t="n">
        <v>6</v>
      </c>
      <c r="AL1433" t="n">
        <v>6</v>
      </c>
      <c r="AM1433" t="inlineStr">
        <is>
          <t>MDPI</t>
        </is>
      </c>
      <c r="AN1433" t="inlineStr">
        <is>
          <t>BASEL</t>
        </is>
      </c>
      <c r="AO1433" t="inlineStr">
        <is>
          <t>ST ALBAN-ANLAGE 66, CH-4052 BASEL, SWITZERLAND</t>
        </is>
      </c>
      <c r="AQ1433" t="inlineStr">
        <is>
          <t>2071-1050</t>
        </is>
      </c>
      <c r="AS1433" t="inlineStr">
        <is>
          <t>SUSTAINABILITY-BASEL</t>
        </is>
      </c>
      <c r="AT1433" t="inlineStr">
        <is>
          <t>Sustainability</t>
        </is>
      </c>
      <c r="AU1433" t="inlineStr">
        <is>
          <t>FEB</t>
        </is>
      </c>
      <c r="AV1433" t="n">
        <v>2023</v>
      </c>
      <c r="AW1433" t="n">
        <v>15</v>
      </c>
      <c r="AX1433" t="n">
        <v>4</v>
      </c>
      <c r="BE1433" t="n">
        <v>3174</v>
      </c>
      <c r="BF1433" t="inlineStr">
        <is>
          <t>10.3390/su15043174</t>
        </is>
      </c>
      <c r="BG1433">
        <f>HYPERLINK("http://dx.doi.org/10.3390/su15043174","http://dx.doi.org/10.3390/su15043174")</f>
        <v/>
      </c>
      <c r="BJ1433" t="n">
        <v>26</v>
      </c>
      <c r="BK1433" t="inlineStr">
        <is>
          <t>Green &amp; Sustainable Science &amp; Technology; Environmental Sciences; Environmental Studies</t>
        </is>
      </c>
      <c r="BL1433" t="inlineStr">
        <is>
          <t>Science Citation Index Expanded (SCI-EXPANDED); Social Science Citation Index (SSCI)</t>
        </is>
      </c>
      <c r="BM1433" t="inlineStr">
        <is>
          <t>Science &amp; Technology - Other Topics; Environmental Sciences &amp; Ecology</t>
        </is>
      </c>
      <c r="BN1433" t="inlineStr">
        <is>
          <t>9L3RM</t>
        </is>
      </c>
      <c r="BP1433" t="inlineStr">
        <is>
          <t>Green Published, gold</t>
        </is>
      </c>
      <c r="BS1433" t="inlineStr">
        <is>
          <t>2023-10-26</t>
        </is>
      </c>
      <c r="BT1433" t="inlineStr">
        <is>
          <t>WOS:000941469500001</t>
        </is>
      </c>
      <c r="BU1433">
        <f>HYPERLINK("https%3A%2F%2Fwww.webofscience.com%2Fwos%2Fwoscc%2Ffull-record%2FWOS:000941469500001","View Full Record in Web of Science")</f>
        <v/>
      </c>
    </row>
    <row r="1434">
      <c r="A1434" t="inlineStr">
        <is>
          <t>J</t>
        </is>
      </c>
      <c r="B1434" t="inlineStr">
        <is>
          <t>Stillwell, AS; Cominola, A; Beal, CD</t>
        </is>
      </c>
      <c r="F1434" t="inlineStr">
        <is>
          <t>Stillwell, Ashlynn S.; Cominola, Andrea; Beal, C. D.</t>
        </is>
      </c>
      <c r="J1434" t="inlineStr">
        <is>
          <t>ENVIRONMENTAL RESEARCH: INFRASTRUCTURE AND SUSTAINABILITY</t>
        </is>
      </c>
      <c r="M1434" t="inlineStr">
        <is>
          <t>English</t>
        </is>
      </c>
      <c r="N1434" t="inlineStr">
        <is>
          <t>Editorial Material</t>
        </is>
      </c>
      <c r="T1434" t="inlineStr">
        <is>
          <t>Understanding resource consumption and sustainability in the built environment</t>
        </is>
      </c>
      <c r="W1434" t="inlineStr">
        <is>
          <t>The built environment and the communities that contribute to its infrastructure, services, and systems are important aspects of human life. As urbanization increases, time spent indoors also increases, with urban residents spending most of their time indoors. This indoor lifestyle concentrates the effects of water, energy, and food consumption in the built environment, with local, regional, and global implications for interconnected resources and their supply chains. As such, resource consumption in the built environment has sustainability implications, especially with increasing populations and living standards.This focus issue, 'Resource Consumption and Sustainability in the Built Environment', examines infrastructure and sustainability from many perspectives. The articles investigate water, energy, and/or food consumption across various scales, ranging from a single household to nationwide supply chains to global climate models. Each paper in this issue considers essential elements of context, since water, energy, and food have local and global sustainability considerations, along with multi-sector dependencies within urban metabolism. Digital technologies, data, and modeling approaches are opening new opportunities for better monitoring and understanding of the built environment. In an uncertain future, understanding resource consumption in the built environment and its implications for the environment and society is a critical aspect of overall human health and well-being. In-depth knowledge of the dynamics shaping the built environment is paramount to supporting adaptive infrastructure planning and management, including supply and demand interventions to help cities and communities become climate neutral while increasing equity in access and affordability of resources and services.</t>
        </is>
      </c>
      <c r="X1434" t="inlineStr">
        <is>
          <t>[Stillwell, Ashlynn S.] Univ Illinois, Civil &amp; Environm Engn, Urbana, IL 61801 USA; [Cominola, Andrea] Tech Univ Berlin, Chair Smart Water Networks, Berlin, Germany; [Cominola, Andrea] Einstein Ctr Digital Future, Berlin, Germany; [Beal, C. D.] Griffith Univ, Cities Res Inst, Brisbane, Australia</t>
        </is>
      </c>
      <c r="Y1434" t="inlineStr">
        <is>
          <t>University of Illinois System; University of Illinois Urbana-Champaign; Technical University of Berlin; Griffith University</t>
        </is>
      </c>
      <c r="Z1434" t="inlineStr">
        <is>
          <t>Stillwell, AS (corresponding author), Univ Illinois, Civil &amp; Environm Engn, Urbana, IL 61801 USA.</t>
        </is>
      </c>
      <c r="AA1434" t="inlineStr">
        <is>
          <t>ashlynn@illinois.edu</t>
        </is>
      </c>
      <c r="AB1434" t="inlineStr">
        <is>
          <t>Cominola, Andrea/AAU-7028-2020; Beal, Cara/D-1138-2016</t>
        </is>
      </c>
      <c r="AC1434" t="inlineStr">
        <is>
          <t>Cominola, Andrea/0000-0002-4031-4704; Beal, Cara/0000-0002-9219-2120; Stillwell, Ashlynn/0000-0002-6781-6480</t>
        </is>
      </c>
      <c r="AH1434" t="n">
        <v>22</v>
      </c>
      <c r="AI1434" t="n">
        <v>0</v>
      </c>
      <c r="AJ1434" t="n">
        <v>0</v>
      </c>
      <c r="AK1434" t="n">
        <v>1</v>
      </c>
      <c r="AL1434" t="n">
        <v>1</v>
      </c>
      <c r="AM1434" t="inlineStr">
        <is>
          <t>IOP Publishing Ltd</t>
        </is>
      </c>
      <c r="AN1434" t="inlineStr">
        <is>
          <t>BRISTOL</t>
        </is>
      </c>
      <c r="AO1434" t="inlineStr">
        <is>
          <t>TEMPLE CIRCUS, TEMPLE WAY, BRISTOL BS1 6BE, ENGLAND</t>
        </is>
      </c>
      <c r="AQ1434" t="inlineStr">
        <is>
          <t>2634-4505</t>
        </is>
      </c>
      <c r="AS1434" t="inlineStr">
        <is>
          <t>ENVIRON RES-INFRASTR</t>
        </is>
      </c>
      <c r="AT1434" t="inlineStr">
        <is>
          <t>Environ. Res.-Infrastruct. Sustain.</t>
        </is>
      </c>
      <c r="AU1434" t="inlineStr">
        <is>
          <t>SEP 1</t>
        </is>
      </c>
      <c r="AV1434" t="n">
        <v>2023</v>
      </c>
      <c r="AW1434" t="n">
        <v>3</v>
      </c>
      <c r="AX1434" t="n">
        <v>3</v>
      </c>
      <c r="BE1434" t="n">
        <v>30201</v>
      </c>
      <c r="BF1434" t="inlineStr">
        <is>
          <t>10.1088/2634-4505/ace738</t>
        </is>
      </c>
      <c r="BG1434">
        <f>HYPERLINK("http://dx.doi.org/10.1088/2634-4505/ace738","http://dx.doi.org/10.1088/2634-4505/ace738")</f>
        <v/>
      </c>
      <c r="BJ1434" t="n">
        <v>4</v>
      </c>
      <c r="BK1434" t="inlineStr">
        <is>
          <t>Green &amp; Sustainable Science &amp; Technology; Environmental Sciences; Environmental Studies</t>
        </is>
      </c>
      <c r="BL1434" t="inlineStr">
        <is>
          <t>Emerging Sources Citation Index (ESCI)</t>
        </is>
      </c>
      <c r="BM1434" t="inlineStr">
        <is>
          <t>Science &amp; Technology - Other Topics; Environmental Sciences &amp; Ecology</t>
        </is>
      </c>
      <c r="BN1434" t="inlineStr">
        <is>
          <t>R2UM8</t>
        </is>
      </c>
      <c r="BS1434" t="inlineStr">
        <is>
          <t>2023-10-26</t>
        </is>
      </c>
      <c r="BT1434" t="inlineStr">
        <is>
          <t>WOS:001062952800001</t>
        </is>
      </c>
      <c r="BU1434">
        <f>HYPERLINK("https%3A%2F%2Fwww.webofscience.com%2Fwos%2Fwoscc%2Ffull-record%2FWOS:001062952800001","View Full Record in Web of Science")</f>
        <v/>
      </c>
    </row>
    <row r="1435">
      <c r="A1435" t="inlineStr">
        <is>
          <t>J</t>
        </is>
      </c>
      <c r="B1435" t="inlineStr">
        <is>
          <t>Wieland, H; Lenzen, M; Geschke, A; Fry, J; Wiedenhofer, D; Eisenmenger, N; Schenk, J; Giljum, S</t>
        </is>
      </c>
      <c r="F1435" t="inlineStr">
        <is>
          <t>Wieland, Hanspeter; Lenzen, Manfred; Geschke, Arne; Fry, Jacob; Wiedenhofer, Dominik; Eisenmenger, Nina; Schenk, Johannes; Giljum, Stefan</t>
        </is>
      </c>
      <c r="J1435" t="inlineStr">
        <is>
          <t>JOURNAL OF INDUSTRIAL ECOLOGY</t>
        </is>
      </c>
      <c r="M1435" t="inlineStr">
        <is>
          <t>English</t>
        </is>
      </c>
      <c r="N1435" t="inlineStr">
        <is>
          <t>Article</t>
        </is>
      </c>
      <c r="T1435" t="inlineStr">
        <is>
          <t>The PIOLab: Building global physical input-output tables in a virtual laboratory</t>
        </is>
      </c>
      <c r="U1435" t="inlineStr">
        <is>
          <t>circular economy; environmental input-output analysis; material flow analysis (MFA); physical input-output tables (PIOT); steel; virtual laboratories</t>
        </is>
      </c>
      <c r="V1435" t="inlineStr">
        <is>
          <t>MATERIAL FLOW-ANALYSIS; IN-USE STOCKS; INDUSTRIAL ECOLOGY; SOCIOECONOMIC METABOLISM; INTERNATIONAL-TRADE; SUPPLY CHAIN; STEEL; ECONOMY; FOOTPRINT; FRAMEWORK</t>
        </is>
      </c>
      <c r="W1435" t="inlineStr">
        <is>
          <t>Informed environmental-economic policy decisions require a solid understanding of the economy's biophysical basis. Global physical input-output tables (gPIOTs) collate a vast array of information on the world economy's physical structure and its interdependence with the environment, which can help to monitor progress toward a sustainable circular economy. However, building gPIOTs requires dealing with mismatched and incomplete primary data with high uncertainties, which makes it a time-consuming and labor-intensive endeavor. We address this challenge by introducing the PIOLab: A virtual laboratory for building gPIOTs. This represents the newest branch of the industrial ecology virtual laboratory (IELab) concept, a cloud-computing platform and collaborative research environment through which participants can pool resources to assemble individual input-output tables that target specific research questions. To overcome the lack of primary data, the PIOLab builds extensively upon secondary data derived from a variety of models commonly used in industrial ecology. We use the case of global iron-steel supply chains to describe the architecture of the PIOLab and highlight its analytical capabilities. A major strength of the gPIOT is its ability to provide mass-balanced indicators on both apparent/direct and embodied/indirect flows, for regions and disaggregated economic sectors. We present the first gPIOTs for 10 years (2008-2017), covering 32 regions, 30 processes, and 39 types of iron/steel flows. Diagnostic tests of the data reconciliation show a good level of adherence between raw data and the values realized in the gPIOT. We conclude with elaborating on how the PIOLab will be extended to cover other materials and energy flows.</t>
        </is>
      </c>
      <c r="X1435" t="inlineStr">
        <is>
          <t>[Wieland, Hanspeter; Giljum, Stefan] Vienna Univ Econ &amp; Business, Inst Ecol Econ, Vienna, Austria; [Lenzen, Manfred; Geschke, Arne; Fry, Jacob] Univ Sydney, Sch Phys A28, ISA, Sydney, NSW, Australia; [Wiedenhofer, Dominik; Eisenmenger, Nina] Univ Nat Resources &amp; Life Sci, Inst Social Ecol, Vienna, Austria; [Schenk, Johannes] Univ Leoben, Chair Ferrous Met, Leoben, Austria</t>
        </is>
      </c>
      <c r="Y1435" t="inlineStr">
        <is>
          <t>Vienna University of Economics &amp; Business; University of Sydney; University of Natural Resources &amp; Life Sciences, Vienna; University of Leoben</t>
        </is>
      </c>
      <c r="Z1435" t="inlineStr">
        <is>
          <t>Wieland, H (corresponding author), Vienna Univ Econ &amp; Business, Inst Ecol Econ, Vienna, Austria.</t>
        </is>
      </c>
      <c r="AA1435" t="inlineStr">
        <is>
          <t>hanspeter.wieland@wu.ac.at</t>
        </is>
      </c>
      <c r="AB1435" t="inlineStr">
        <is>
          <t>Wiedenhofer, Dominik/AAA-5678-2020; Lenzen, Manfred/D-3161-2013; Geschke, Arne/AAM-7434-2020; Giljum, Stefan/M-3162-2015</t>
        </is>
      </c>
      <c r="AC1435" t="inlineStr">
        <is>
          <t>Wiedenhofer, Dominik/0000-0001-7418-3477; Geschke, Arne/0000-0001-9193-5829; Wieland, Hanspeter/0000-0001-5944-7155; Giljum, Stefan/0000-0002-4719-5867; Fry, Jacob/0000-0002-2349-6745; Lenzen, Manfred/0000-0002-0828-5288; Schenk, Johannes/0000-0002-4401-1284</t>
        </is>
      </c>
      <c r="AD1435" t="inlineStr">
        <is>
          <t>European Research Council (ERC) under the European Union's Horizon 2020 research and innovation programme (FINEPRINT project) [725525]; Australian Research Council (ARC) [DP0985522, DP130101293, DP190102277, LE160100066]; National e Research Collaboration Tools and Resources project (NeCTAR) through its Industrial Ecology Virtual Laboratory infrastructure [VL 201]</t>
        </is>
      </c>
      <c r="AE1435" t="inlineStr">
        <is>
          <t>European Research Council (ERC) under the European Union's Horizon 2020 research and innovation programme (FINEPRINT project)(European Research Council (ERC)); Australian Research Council (ARC)(Australian Research Council); National e Research Collaboration Tools and Resources project (NeCTAR) through its Industrial Ecology Virtual Laboratory infrastructure</t>
        </is>
      </c>
      <c r="AF1435" t="inlineStr">
        <is>
          <t>European Research Council (ERC) under the European Union's Horizon 2020 research and innovation programme (FINEPRINT project, grant agreement No. 725525); Australian Research Council (ARC) through its Projects DP0985522, DP130101293, DP190102277, and LE160100066; National e Research Collaboration Tools and Resources project (NeCTAR) through its Industrial Ecology Virtual Laboratory infrastructure VL 201</t>
        </is>
      </c>
      <c r="AH1435" t="n">
        <v>124</v>
      </c>
      <c r="AI1435" t="n">
        <v>6</v>
      </c>
      <c r="AJ1435" t="n">
        <v>6</v>
      </c>
      <c r="AK1435" t="n">
        <v>6</v>
      </c>
      <c r="AL1435" t="n">
        <v>15</v>
      </c>
      <c r="AM1435" t="inlineStr">
        <is>
          <t>WILEY</t>
        </is>
      </c>
      <c r="AN1435" t="inlineStr">
        <is>
          <t>HOBOKEN</t>
        </is>
      </c>
      <c r="AO1435" t="inlineStr">
        <is>
          <t>111 RIVER ST, HOBOKEN 07030-5774, NJ USA</t>
        </is>
      </c>
      <c r="AP1435" t="inlineStr">
        <is>
          <t>1088-1980</t>
        </is>
      </c>
      <c r="AQ1435" t="inlineStr">
        <is>
          <t>1530-9290</t>
        </is>
      </c>
      <c r="AS1435" t="inlineStr">
        <is>
          <t>J IND ECOL</t>
        </is>
      </c>
      <c r="AT1435" t="inlineStr">
        <is>
          <t>J. Ind. Ecol.</t>
        </is>
      </c>
      <c r="AU1435" t="inlineStr">
        <is>
          <t>JUN</t>
        </is>
      </c>
      <c r="AV1435" t="n">
        <v>2022</v>
      </c>
      <c r="AW1435" t="n">
        <v>26</v>
      </c>
      <c r="AX1435" t="n">
        <v>3</v>
      </c>
      <c r="BC1435" t="n">
        <v>683</v>
      </c>
      <c r="BD1435" t="n">
        <v>703</v>
      </c>
      <c r="BF1435" t="inlineStr">
        <is>
          <t>10.1111/jiec.13215</t>
        </is>
      </c>
      <c r="BG1435">
        <f>HYPERLINK("http://dx.doi.org/10.1111/jiec.13215","http://dx.doi.org/10.1111/jiec.13215")</f>
        <v/>
      </c>
      <c r="BI1435" t="inlineStr">
        <is>
          <t>NOV 2021</t>
        </is>
      </c>
      <c r="BJ1435" t="n">
        <v>21</v>
      </c>
      <c r="BK1435" t="inlineStr">
        <is>
          <t>Green &amp; Sustainable Science &amp; Technology; Engineering, Environmental; Environmental Sciences</t>
        </is>
      </c>
      <c r="BL1435" t="inlineStr">
        <is>
          <t>Science Citation Index Expanded (SCI-EXPANDED)</t>
        </is>
      </c>
      <c r="BM1435" t="inlineStr">
        <is>
          <t>Science &amp; Technology - Other Topics; Engineering; Environmental Sciences &amp; Ecology</t>
        </is>
      </c>
      <c r="BN1435" t="inlineStr">
        <is>
          <t>2E5YC</t>
        </is>
      </c>
      <c r="BP1435" t="inlineStr">
        <is>
          <t>Green Submitted, hybrid</t>
        </is>
      </c>
      <c r="BS1435" t="inlineStr">
        <is>
          <t>2023-10-26</t>
        </is>
      </c>
      <c r="BT1435" t="inlineStr">
        <is>
          <t>WOS:000720255500001</t>
        </is>
      </c>
      <c r="BU1435">
        <f>HYPERLINK("https%3A%2F%2Fwww.webofscience.com%2Fwos%2Fwoscc%2Ffull-record%2FWOS:000720255500001","View Full Record in Web of Science")</f>
        <v/>
      </c>
    </row>
    <row r="1436">
      <c r="A1436" t="inlineStr">
        <is>
          <t>J</t>
        </is>
      </c>
      <c r="B1436" t="inlineStr">
        <is>
          <t>Guo, B; Zhang, XD; Zhang, R; Chen, G</t>
        </is>
      </c>
      <c r="F1436" t="inlineStr">
        <is>
          <t>Guo, Bin; Zhang, Xiaodong; Zhang, Rui; Chen, Gong</t>
        </is>
      </c>
      <c r="J1436" t="inlineStr">
        <is>
          <t>INTERNATIONAL JOURNAL OF ENVIRONMENTAL RESEARCH AND PUBLIC HEALTH</t>
        </is>
      </c>
      <c r="M1436" t="inlineStr">
        <is>
          <t>English</t>
        </is>
      </c>
      <c r="N1436" t="inlineStr">
        <is>
          <t>Article</t>
        </is>
      </c>
      <c r="T1436" t="inlineStr">
        <is>
          <t>The Association between Internet Use and Physical Exercise among Middle-Aged and Older Adults-Evidence from China</t>
        </is>
      </c>
      <c r="U1436" t="inlineStr">
        <is>
          <t>Internet use; physical exercise; population aging; middle-aged and older adults; China</t>
        </is>
      </c>
      <c r="V1436" t="inlineStr">
        <is>
          <t>MENTAL-HEALTH; BENEFITS; ACCESS</t>
        </is>
      </c>
      <c r="W1436" t="inlineStr">
        <is>
          <t>Background: In an aging and digital society, Internet use is significantly associated with residents' physical exercise. This study aimed to explore the association between Internet use and physical exercise among Chinese middle-aged and older adults in two respects: Internet use and the purpose of Internet use. Methods: The data used in this study were obtained from the 2018 China Health and Retirement Longitudinal Study (CHARLS) conducted by Peking University. The logit model and the ordered probit model were used to analyze the association between Internet use and physical exercise, and the substitution variable method was used to examine the robustness of the results. Results: (1) Internet use and the frequency of Internet use significantly increased the probability and frequency of middle-aged and older adults' participation in physical exercise (p &lt; 0.001). (2) Watching news, chatting and watching videos via the Internet were positively associated with physical exercise, while playing games had no impact. (3) Internet use had a greater impact on physical exercise participation among middle-aged adults and those living in urban areas than among older adults and those living in rural areas. Conclusions: This study suggests that Internet use among middle-aged and older adults is positively associated with their participation in physical exercise; the government should try to increase the popularity of Internet use to encourage their participation in physical exercise.</t>
        </is>
      </c>
      <c r="X1436" t="inlineStr">
        <is>
          <t>[Guo, Bin; Zhang, Xiaodong; Chen, Gong] Peking Univ, Inst Populat Res, Beijing 100871, Peoples R China; [Zhang, Rui] Peking Univ, Dept Phys Educ, Beijing 100871, Peoples R China</t>
        </is>
      </c>
      <c r="Y1436" t="inlineStr">
        <is>
          <t>Peking University; Peking University</t>
        </is>
      </c>
      <c r="Z1436" t="inlineStr">
        <is>
          <t>Chen, G (corresponding author), Peking Univ, Inst Populat Res, Beijing 100871, Peoples R China.;Zhang, R (corresponding author), Peking Univ, Dept Phys Educ, Beijing 100871, Peoples R China.</t>
        </is>
      </c>
      <c r="AA1436" t="inlineStr">
        <is>
          <t>zhrui@pku.edu.cn; chengong@pku.edu.cn</t>
        </is>
      </c>
      <c r="AC1436" t="inlineStr">
        <is>
          <t>Guo, Bin/0000-0002-6515-1913</t>
        </is>
      </c>
      <c r="AH1436" t="n">
        <v>45</v>
      </c>
      <c r="AI1436" t="n">
        <v>0</v>
      </c>
      <c r="AJ1436" t="n">
        <v>0</v>
      </c>
      <c r="AK1436" t="n">
        <v>33</v>
      </c>
      <c r="AL1436" t="n">
        <v>49</v>
      </c>
      <c r="AM1436" t="inlineStr">
        <is>
          <t>MDPI</t>
        </is>
      </c>
      <c r="AN1436" t="inlineStr">
        <is>
          <t>BASEL</t>
        </is>
      </c>
      <c r="AO1436" t="inlineStr">
        <is>
          <t>ST ALBAN-ANLAGE 66, CH-4052 BASEL, SWITZERLAND</t>
        </is>
      </c>
      <c r="AQ1436" t="inlineStr">
        <is>
          <t>1660-4601</t>
        </is>
      </c>
      <c r="AS1436" t="inlineStr">
        <is>
          <t>INT J ENV RES PUB HE</t>
        </is>
      </c>
      <c r="AT1436" t="inlineStr">
        <is>
          <t>Int. J. Environ. Res. Public Health</t>
        </is>
      </c>
      <c r="AU1436" t="inlineStr">
        <is>
          <t>DEC</t>
        </is>
      </c>
      <c r="AV1436" t="n">
        <v>2022</v>
      </c>
      <c r="AW1436" t="n">
        <v>19</v>
      </c>
      <c r="AX1436" t="n">
        <v>24</v>
      </c>
      <c r="BE1436" t="n">
        <v>16401</v>
      </c>
      <c r="BF1436" t="inlineStr">
        <is>
          <t>10.3390/ijerph192416401</t>
        </is>
      </c>
      <c r="BG1436">
        <f>HYPERLINK("http://dx.doi.org/10.3390/ijerph192416401","http://dx.doi.org/10.3390/ijerph192416401")</f>
        <v/>
      </c>
      <c r="BJ1436" t="n">
        <v>13</v>
      </c>
      <c r="BK1436" t="inlineStr">
        <is>
          <t>Environmental Sciences; Public, Environmental &amp; Occupational Health</t>
        </is>
      </c>
      <c r="BL1436" t="inlineStr">
        <is>
          <t>Science Citation Index Expanded (SCI-EXPANDED); Social Science Citation Index (SSCI)</t>
        </is>
      </c>
      <c r="BM1436" t="inlineStr">
        <is>
          <t>Environmental Sciences &amp; Ecology; Public, Environmental &amp; Occupational Health</t>
        </is>
      </c>
      <c r="BN1436" t="inlineStr">
        <is>
          <t>7E4GD</t>
        </is>
      </c>
      <c r="BO1436" t="n">
        <v>36554283</v>
      </c>
      <c r="BP1436" t="inlineStr">
        <is>
          <t>Green Published, gold</t>
        </is>
      </c>
      <c r="BS1436" t="inlineStr">
        <is>
          <t>2023-10-26</t>
        </is>
      </c>
      <c r="BT1436" t="inlineStr">
        <is>
          <t>WOS:000901127800001</t>
        </is>
      </c>
      <c r="BU1436">
        <f>HYPERLINK("https%3A%2F%2Fwww.webofscience.com%2Fwos%2Fwoscc%2Ffull-record%2FWOS:000901127800001","View Full Record in Web of Science")</f>
        <v/>
      </c>
    </row>
    <row r="1437">
      <c r="A1437" t="inlineStr">
        <is>
          <t>J</t>
        </is>
      </c>
      <c r="B1437" t="inlineStr">
        <is>
          <t>Hara, S; Miura, H; Hita, T; Sasaki, S; Ito, H; Kozaki, Y; Kawasaki, Y</t>
        </is>
      </c>
      <c r="F1437" t="inlineStr">
        <is>
          <t>Hara, Shuichi; Miura, Hiroko; Hita, Tsuyoshi; Sasaki, Sahara; Ito, Hidetoshi; Kozaki, Yumi; Kawasaki, Yoshiko</t>
        </is>
      </c>
      <c r="J1437" t="inlineStr">
        <is>
          <t>INTERNATIONAL JOURNAL OF ENVIRONMENTAL RESEARCH AND PUBLIC HEALTH</t>
        </is>
      </c>
      <c r="M1437" t="inlineStr">
        <is>
          <t>English</t>
        </is>
      </c>
      <c r="N1437" t="inlineStr">
        <is>
          <t>Article</t>
        </is>
      </c>
      <c r="T1437" t="inlineStr">
        <is>
          <t>Relationship between Psychological Status and Health Behaviors during the Coronavirus Disease Pandemic in Japanese Community-Dwelling Older Adults</t>
        </is>
      </c>
      <c r="U1437" t="inlineStr">
        <is>
          <t>COVID-19; older adults; health behavior; anxiety; mental stress</t>
        </is>
      </c>
      <c r="W1437" t="inlineStr">
        <is>
          <t>The coronavirus disease (COVID-19) continues to be a widespread pandemic. We investigated the relationship between anxiety/stress and health behaviors during the COVID-19 pandemic in homebound Japanese older adults during January and February 2021. We surveyed 1507 community-dwelling, older Japanese adults using a self-administered questionnaire on primary attributes, including family structure, evaluation of psychological anxiety/stress, and health behaviors. Participants were divided into four anxiety/stress groups based on the frequency of experiencing anxiety/stress, and their association with health behaviors was analyzed using bivariate and multivariate analyses. Responses were received from 469 (31.1%) respondents. In the bivariate analysis, age and family structure were significantly associated with anxiety/stress (p &lt; 0.01). The health behaviors significantly associated with anxiety/stress were walking, balanced eating habits, limited snacking, regular lifestyle, and dental visits. Logistic regression analysis was performed using the variables in the bivariate analysis that showed a significant association with anxiety/stress status as independent variables. Finally, age and dietary habits were significantly associated with anxiety/stress status. No significant associations were found between any other variables. Among older adults living in the rural areas of Japan during the COVID-19 pandemic, anxiety/stress status was significantly associated with age and dietary habits but not with other health behaviors.</t>
        </is>
      </c>
      <c r="X1437" t="inlineStr">
        <is>
          <t>[Hara, Shuichi] Kyushu Univ Hlth &amp; Welf, Sch Clin Psychol, 1714-1 Yoshino Machi, Nobeoka, Miyazaki 8828508, Japan; [Miura, Hiroko] Hlth Sci Univ Hokkaido, Sch Dent, Div Dis Control &amp; Epidemiol, 1757 Ishikari, Tobetsu, Hokkaido 0610293, Japan; [Hita, Tsuyoshi; Sasaki, Sahara; Ito, Hidetoshi; Kozaki, Yumi; Kawasaki, Yoshiko] Kyushu Univ Hlth &amp; Welf, Sch Social Welf, 1714-1 Yoshino Machi, Nobeoka, Miyazaki 8828508, Japan</t>
        </is>
      </c>
      <c r="Y1437" t="inlineStr">
        <is>
          <t>Health Sciences University of Hokkaido</t>
        </is>
      </c>
      <c r="Z1437" t="inlineStr">
        <is>
          <t>Hara, S (corresponding author), Kyushu Univ Hlth &amp; Welf, Sch Clin Psychol, 1714-1 Yoshino Machi, Nobeoka, Miyazaki 8828508, Japan.</t>
        </is>
      </c>
      <c r="AA1437" t="inlineStr">
        <is>
          <t>harashu@phoenix.ac.jp; hmiura@hoku-iryo-u.ac.jp; t.hita@phoenix.ac.jp; s-sasaki@phoenix.ac.jp; ito-hide@phoenix.ac.jp; yumipon-1Oth.100p@outlook.jp; kawasaki@phoenix.ac.jp</t>
        </is>
      </c>
      <c r="AD1437" t="inlineStr">
        <is>
          <t>Kyushu University of Health and Welfare and a Grant-in-Aid for Scientific Research [18K09933, 20K10308\]</t>
        </is>
      </c>
      <c r="AE1437" t="inlineStr">
        <is>
          <t>Kyushu University of Health and Welfare and a Grant-in-Aid for Scientific Research</t>
        </is>
      </c>
      <c r="AF1437" t="inlineStr">
        <is>
          <t>Funding This study was supported by the Kyushu University of Health and Welfare and a Grant-in-Aid for Scientific Research (Project No. 18K09933 and 20K10308).</t>
        </is>
      </c>
      <c r="AH1437" t="n">
        <v>20</v>
      </c>
      <c r="AI1437" t="n">
        <v>0</v>
      </c>
      <c r="AJ1437" t="n">
        <v>0</v>
      </c>
      <c r="AK1437" t="n">
        <v>0</v>
      </c>
      <c r="AL1437" t="n">
        <v>6</v>
      </c>
      <c r="AM1437" t="inlineStr">
        <is>
          <t>MDPI</t>
        </is>
      </c>
      <c r="AN1437" t="inlineStr">
        <is>
          <t>BASEL</t>
        </is>
      </c>
      <c r="AO1437" t="inlineStr">
        <is>
          <t>ST ALBAN-ANLAGE 66, CH-4052 BASEL, SWITZERLAND</t>
        </is>
      </c>
      <c r="AQ1437" t="inlineStr">
        <is>
          <t>1660-4601</t>
        </is>
      </c>
      <c r="AS1437" t="inlineStr">
        <is>
          <t>INT J ENV RES PUB HE</t>
        </is>
      </c>
      <c r="AT1437" t="inlineStr">
        <is>
          <t>Int. J. Environ. Res. Public Health</t>
        </is>
      </c>
      <c r="AU1437" t="inlineStr">
        <is>
          <t>NOV</t>
        </is>
      </c>
      <c r="AV1437" t="n">
        <v>2021</v>
      </c>
      <c r="AW1437" t="n">
        <v>18</v>
      </c>
      <c r="AX1437" t="n">
        <v>21</v>
      </c>
      <c r="BE1437" t="n">
        <v>11512</v>
      </c>
      <c r="BF1437" t="inlineStr">
        <is>
          <t>10.3390/ijerph182111512</t>
        </is>
      </c>
      <c r="BG1437">
        <f>HYPERLINK("http://dx.doi.org/10.3390/ijerph182111512","http://dx.doi.org/10.3390/ijerph182111512")</f>
        <v/>
      </c>
      <c r="BJ1437" t="n">
        <v>10</v>
      </c>
      <c r="BK1437" t="inlineStr">
        <is>
          <t>Environmental Sciences; Public, Environmental &amp; Occupational Health</t>
        </is>
      </c>
      <c r="BL1437" t="inlineStr">
        <is>
          <t>Science Citation Index Expanded (SCI-EXPANDED); Social Science Citation Index (SSCI)</t>
        </is>
      </c>
      <c r="BM1437" t="inlineStr">
        <is>
          <t>Environmental Sciences &amp; Ecology; Public, Environmental &amp; Occupational Health</t>
        </is>
      </c>
      <c r="BN1437" t="inlineStr">
        <is>
          <t>WY7FA</t>
        </is>
      </c>
      <c r="BO1437" t="n">
        <v>34770027</v>
      </c>
      <c r="BP1437" t="inlineStr">
        <is>
          <t>gold, Green Published</t>
        </is>
      </c>
      <c r="BS1437" t="inlineStr">
        <is>
          <t>2023-10-26</t>
        </is>
      </c>
      <c r="BT1437" t="inlineStr">
        <is>
          <t>WOS:000719443000001</t>
        </is>
      </c>
      <c r="BU1437">
        <f>HYPERLINK("https%3A%2F%2Fwww.webofscience.com%2Fwos%2Fwoscc%2Ffull-record%2FWOS:000719443000001","View Full Record in Web of Science")</f>
        <v/>
      </c>
    </row>
    <row r="1438">
      <c r="A1438" t="inlineStr">
        <is>
          <t>J</t>
        </is>
      </c>
      <c r="B1438" t="inlineStr">
        <is>
          <t>Fadzil, NHM; Shahar, S; Rajikan, R; Singh, DKA; Ludin, AFM; Subramaniam, P; Ibrahim, N; Vanoh, D; Ali, NM</t>
        </is>
      </c>
      <c r="F1438" t="inlineStr">
        <is>
          <t>Fadzil, Nurul Hidayah Md; Shahar, Suzana; Rajikan, Roslee; Singh, Devinder Kaur Ajit; Ludin, Arimi Fitri Mat; Subramaniam, Ponnusamy; Ibrahim, Norhayati; Vanoh, Divya; Ali, Nazlena Mohamad</t>
        </is>
      </c>
      <c r="J1438" t="inlineStr">
        <is>
          <t>INTERNATIONAL JOURNAL OF ENVIRONMENTAL RESEARCH AND PUBLIC HEALTH</t>
        </is>
      </c>
      <c r="M1438" t="inlineStr">
        <is>
          <t>English</t>
        </is>
      </c>
      <c r="N1438" t="inlineStr">
        <is>
          <t>Review</t>
        </is>
      </c>
      <c r="T1438" t="inlineStr">
        <is>
          <t>A Scoping Review for Usage of Telerehabilitation among Older Adults with Mild Cognitive Impairment or Cognitive Frailty</t>
        </is>
      </c>
      <c r="U1438" t="inlineStr">
        <is>
          <t>telerehabilitation; telehealth; telemedicine; older adults; elderly; cognitive impairment; mid cognitive impairment; cognitive frailty</t>
        </is>
      </c>
      <c r="V1438" t="inlineStr">
        <is>
          <t>BASE-LINE FINDINGS; QUALITY-OF-LIFE; INTERVENTION; PEOPLE; HEALTH; PREVALENCE; DEMENTIA; CARE; SUPPLEMENTATION; FEASIBILITY</t>
        </is>
      </c>
      <c r="W1438" t="inlineStr">
        <is>
          <t>Older adults are vulnerable towards cognitive frailty that can lead to adverse health outcomes and telerehabilitation appears to be a potential platform to reverse cognitive frailty among older adults. The aim of this coping review is to identify the usage of telerehabilitation and its common platform of delivery among older adults with mild cognitive impairment (MCI) or cognitive frailty (CF). Articles published from January 2015 until October 2020 were selected. Out of the 1738 articles retrieved, six studies were identified. Two articles were randomized controlled trials, one was a pilot study and three were qualitative studies. The outcome suggests that telerehabilitation may improve the quality of life among participants as well as it can be a useful and supportive digital platform for health care. Some types of technologies commonly used were smartphones or telephones with internet, television-based assistive integrated technology, mobile application and videoconference. Telerehabilitation utilization in managing cognitive frailty among older adults is still limited and more research is required to evaluate its feasibility and acceptability. Although telerehabilitation appears to be implemented among older adults with MCI and CF, some social support is still required to improve the adherence and effectiveness of telerehabilitation. Future research should focus on the evaluation of acceptance and participants' existing knowledge towards telerehabilitation to achieve its target.</t>
        </is>
      </c>
      <c r="X1438" t="inlineStr">
        <is>
          <t>[Fadzil, Nurul Hidayah Md; Shahar, Suzana; Rajikan, Roslee; Singh, Devinder Kaur Ajit; Ludin, Arimi Fitri Mat; Subramaniam, Ponnusamy; Ibrahim, Norhayati] Univ Kebangsaan Malaysia, Fac Hlth Sci, Ctr Hlth Ageing &amp; Wellness H Care, Kuala Lumpur 50300, Malaysia; [Vanoh, Divya] Univ Sains Malaysia, Sch Hlth Sci, Programme Nutr &amp; Dietet, Hlth Campus, Kubang Kerian 16150, Malaysia; [Ali, Nazlena Mohamad] Univ Kebangsaan Malaysia, Inst IR 4 0 IIR4 0, Bangi 43600, Malaysia</t>
        </is>
      </c>
      <c r="Y1438" t="inlineStr">
        <is>
          <t>Universiti Kebangsaan Malaysia; Universiti Sains Malaysia; Universiti Kebangsaan Malaysia</t>
        </is>
      </c>
      <c r="Z1438" t="inlineStr">
        <is>
          <t>Shahar, S (corresponding author), Univ Kebangsaan Malaysia, Fac Hlth Sci, Ctr Hlth Ageing &amp; Wellness H Care, Kuala Lumpur 50300, Malaysia.</t>
        </is>
      </c>
      <c r="AA1438" t="inlineStr">
        <is>
          <t>hidayahfadzil143@gmail.com; suzana.shahar@ukm.edu.my; roslee@ukm.edu.my; devinder@ukm.edu.my; arimifitri@ukm.edu.my; ponnusaami@ukm.edu.my; yatieibra@ukm.edu.my; divyavanoh@usm.my; nazlena.ali@ukm.edu.my</t>
        </is>
      </c>
      <c r="AB1438" t="inlineStr">
        <is>
          <t>MOHAMAD ALI, NAZLENA/O-2653-2014; Vanoh, Divya/GLV-2152-2022; Singh, Devinder Kaur Ajit/W-5552-2018; Mat Ludin, Arimi Fitri/E-1767-2017</t>
        </is>
      </c>
      <c r="AC1438" t="inlineStr">
        <is>
          <t>MOHAMAD ALI, NAZLENA/0000-0002-2267-8328; Singh, Devinder Kaur Ajit/0000-0002-6551-0437; Mat Ludin, Arimi Fitri/0000-0003-1517-2115; Rajikan, Roslee/0000-0003-0572-2654; Subramaniam, Ponnusamy/0000-0002-2361-4780; , Nurul Hidayah/0000-0001-9089-9731</t>
        </is>
      </c>
      <c r="AD1438" t="inlineStr">
        <is>
          <t>Ministry of Higher Education of Malaysia [LRGS/1/2019/UM-UKM/1/4]</t>
        </is>
      </c>
      <c r="AE1438" t="inlineStr">
        <is>
          <t>Ministry of Higher Education of Malaysia(Ministry of Education, Malaysia)</t>
        </is>
      </c>
      <c r="AF1438" t="inlineStr">
        <is>
          <t>This study is funded by Ministry of Higher Education of Malaysia under the Long Term Research Grant Scheme (LRGS/1/2019/UM-UKM/1/4) and approved by Jawatankuasa Etika Penyelidikan, Universiti Kebangsaan Malaysia (UKM/PPI/111/8/JEP-2020-34).</t>
        </is>
      </c>
      <c r="AH1438" t="n">
        <v>91</v>
      </c>
      <c r="AI1438" t="n">
        <v>12</v>
      </c>
      <c r="AJ1438" t="n">
        <v>12</v>
      </c>
      <c r="AK1438" t="n">
        <v>5</v>
      </c>
      <c r="AL1438" t="n">
        <v>35</v>
      </c>
      <c r="AM1438" t="inlineStr">
        <is>
          <t>MDPI</t>
        </is>
      </c>
      <c r="AN1438" t="inlineStr">
        <is>
          <t>BASEL</t>
        </is>
      </c>
      <c r="AO1438" t="inlineStr">
        <is>
          <t>ST ALBAN-ANLAGE 66, CH-4052 BASEL, SWITZERLAND</t>
        </is>
      </c>
      <c r="AQ1438" t="inlineStr">
        <is>
          <t>1660-4601</t>
        </is>
      </c>
      <c r="AS1438" t="inlineStr">
        <is>
          <t>INT J ENV RES PUB HE</t>
        </is>
      </c>
      <c r="AT1438" t="inlineStr">
        <is>
          <t>Int. J. Environ. Res. Public Health</t>
        </is>
      </c>
      <c r="AU1438" t="inlineStr">
        <is>
          <t>APR</t>
        </is>
      </c>
      <c r="AV1438" t="n">
        <v>2022</v>
      </c>
      <c r="AW1438" t="n">
        <v>19</v>
      </c>
      <c r="AX1438" t="n">
        <v>7</v>
      </c>
      <c r="BE1438" t="n">
        <v>4000</v>
      </c>
      <c r="BF1438" t="inlineStr">
        <is>
          <t>10.3390/ijerph19074000</t>
        </is>
      </c>
      <c r="BG1438">
        <f>HYPERLINK("http://dx.doi.org/10.3390/ijerph19074000","http://dx.doi.org/10.3390/ijerph19074000")</f>
        <v/>
      </c>
      <c r="BJ1438" t="n">
        <v>14</v>
      </c>
      <c r="BK1438" t="inlineStr">
        <is>
          <t>Environmental Sciences; Public, Environmental &amp; Occupational Health</t>
        </is>
      </c>
      <c r="BL1438" t="inlineStr">
        <is>
          <t>Science Citation Index Expanded (SCI-EXPANDED); Social Science Citation Index (SSCI)</t>
        </is>
      </c>
      <c r="BM1438" t="inlineStr">
        <is>
          <t>Environmental Sciences &amp; Ecology; Public, Environmental &amp; Occupational Health</t>
        </is>
      </c>
      <c r="BN1438" t="inlineStr">
        <is>
          <t>0K2PP</t>
        </is>
      </c>
      <c r="BO1438" t="n">
        <v>35409683</v>
      </c>
      <c r="BP1438" t="inlineStr">
        <is>
          <t>Green Published, gold</t>
        </is>
      </c>
      <c r="BS1438" t="inlineStr">
        <is>
          <t>2023-10-26</t>
        </is>
      </c>
      <c r="BT1438" t="inlineStr">
        <is>
          <t>WOS:000780635400001</t>
        </is>
      </c>
      <c r="BU1438">
        <f>HYPERLINK("https%3A%2F%2Fwww.webofscience.com%2Fwos%2Fwoscc%2Ffull-record%2FWOS:000780635400001","View Full Record in Web of Science")</f>
        <v/>
      </c>
    </row>
    <row r="1439">
      <c r="A1439" t="inlineStr">
        <is>
          <t>J</t>
        </is>
      </c>
      <c r="B1439" t="inlineStr">
        <is>
          <t>Assari, S; Smith, J; Mistry, R; Farokhnia, M; Bazargan, M</t>
        </is>
      </c>
      <c r="F1439" t="inlineStr">
        <is>
          <t>Assari, Shervin; Smith, James; Mistry, Ritesh; Farokhnia, Mehdi; Bazargan, Mohsen</t>
        </is>
      </c>
      <c r="J1439" t="inlineStr">
        <is>
          <t>INTERNATIONAL JOURNAL OF ENVIRONMENTAL RESEARCH AND PUBLIC HEALTH</t>
        </is>
      </c>
      <c r="M1439" t="inlineStr">
        <is>
          <t>English</t>
        </is>
      </c>
      <c r="N1439" t="inlineStr">
        <is>
          <t>Article</t>
        </is>
      </c>
      <c r="T1439" t="inlineStr">
        <is>
          <t>Substance Use among Economically Disadvantaged African American Older Adults; Objective and Subjective Socioeconomic Status</t>
        </is>
      </c>
      <c r="U1439" t="inlineStr">
        <is>
          <t>African Americans; Blacks; older adults; socioeconomic status; socioeconomic position; educational attainment; financial difficulty; smoking; drinking</t>
        </is>
      </c>
      <c r="V1439" t="inlineStr">
        <is>
          <t>MATTER DIFFERENTIAL MORTALITY; FINANCIAL STRESS; CIGARETTE-SMOKING; ALCOHOL-CONSUMPTION; HEALTH DISPARITIES; RACIAL COMPOSITION; COLORECTAL-CANCER; SOCIAL SUPPORT; WOMENS HEALTH; RISK</t>
        </is>
      </c>
      <c r="W1439" t="inlineStr">
        <is>
          <t>Purpose. This study investigated the effects of objective and subjective socioeconomic status (SES) indicators on two health behaviors, cigarette smoking and alcohol drinking, among African American older adults. Methods. This community-based study recruited 619 economically disadvantaged African American older adults (age 65 years) residing in South Los Angeles. Structured face-to-face interviews were conducted to collect data. Data on demographic factors (age and gender), subjective SES (financial difficulties), objective SES (educational attainment), living arrangement, marital status, healthcare access (insurance), and health (number of chronic medical conditions, self-rated health, sick days, depression, and chronic pain) and health behaviors (cigarette smoking and alcohol drinking) were collected from participants. Logistic regressions were used to analyze the data. Results. High financial difficulties were associated with higher odds of smoking cigarettes and drinking alcohol, independent of covariates. Educational attainment did not correlate with our outcomes. Similar patterns emerged for cigarette smoking and alcohol drinking. Conclusion. Subjective SES indicators such as financial difficulties may be more relevant than objective SES indicators such as educational attainment to health risk behaviors such as cigarette smoking and alcohol drinking among African American older adults in economically constrain urban environments. Smoking and drinking may serve as coping mechanisms with financial difficulty, especially among African American older adults. In line with the minorities' diminished returns (MDR) theory, and probably due to discrimination against racial minorities, educational attainment has a smaller protective effect among economically disadvantaged African American individuals against health risk behaviors.</t>
        </is>
      </c>
      <c r="X1439" t="inlineStr">
        <is>
          <t>[Assari, Shervin; Smith, James; Bazargan, Mohsen] Charles R Drew Univ Med &amp; Sci, Coll Med, Dept Family Med, 1621 E 120th St, Los Angeles, CA 90059 USA; [Mistry, Ritesh] Univ Michigan, Sch Publ Hlth, Dept Hlth Behav &amp; Hlth Educ, Ann Arbor, MI 48109 USA; [Farokhnia, Mehdi] NIAAA, Sect Clin Psychoneuroendocrinol &amp; Neuropsychophar, Bethesda, MD 20892 USA; [Farokhnia, Mehdi] NIDA, NIH, Bethesda, MD 20892 USA; [Bazargan, Mohsen] Univ Calif Los Angeles, Dept Family Med, Los Angeles, CA 90095 USA</t>
        </is>
      </c>
      <c r="Y1439" t="inlineStr">
        <is>
          <t>Charles R. Drew University of Medicine &amp; Science; University of Michigan System; University of Michigan; National Institutes of Health (NIH) - USA; NIH National Institute on Alcohol Abuse &amp; Alcoholism (NIAAA); National Institutes of Health (NIH) - USA; NIH National Institute on Drug Abuse (NIDA); University of California System; University of California Los Angeles</t>
        </is>
      </c>
      <c r="Z1439" t="inlineStr">
        <is>
          <t>Assari, S (corresponding author), Charles R Drew Univ Med &amp; Sci, Coll Med, Dept Family Med, 1621 E 120th St, Los Angeles, CA 90059 USA.</t>
        </is>
      </c>
      <c r="AA1439" t="inlineStr">
        <is>
          <t>assari@umich.edu; jamessmith@cdrewu.edu; riteshm@umich.edu; mehdi.farokhnia@nih.gov; mohsenbazargan@cdrewu.edu</t>
        </is>
      </c>
      <c r="AB1439" t="inlineStr">
        <is>
          <t>Assari, Shervin/B-3062-2011; Farokhnia, Mehdi/U-8051-2019</t>
        </is>
      </c>
      <c r="AC1439" t="inlineStr">
        <is>
          <t>Assari, Shervin/0000-0002-5054-6250; Farokhnia, Mehdi/0000-0003-0902-4212; Mistry, Ritesh/0000-0003-1514-1466</t>
        </is>
      </c>
      <c r="AD1439" t="inlineStr">
        <is>
          <t>Center for Medicare and Medicaid Services (CMS) Grant [1H0CMS331621]; NIH [54MD008149, R25 MD007610, 2U54MD007598, U54 TR001627]; CMC [1H0CMS331621]; National Institute on Minority Health and Health Disparities (NIMHD) [U54 MD007598]; National Institute on Drug Abuse (NIDA) [DA035811-05]; National Institute of Child Health and Human Development (NICHD) [D084526-03]; National Cancer Institute (NCI) [CA201415-02]; NIH intramural funding - NIAAA Division of Intramural Clinical and Biological Research [ZIA-AA000218]; NIDA Intramural Research Program; NATIONAL INSTITUTE ON ALCOHOL ABUSE AND ALCOHOLISM [ZIAAA000218] Funding Source: NIH RePORTER</t>
        </is>
      </c>
      <c r="AE1439" t="inlineStr">
        <is>
          <t>Center for Medicare and Medicaid Services (CMS) Grant; NIH(United States Department of Health &amp; Human ServicesNational Institutes of Health (NIH) - USA); CMC; National Institute on Minority Health and Health Disparities (NIMHD)(United States Department of Health &amp; Human ServicesNational Institutes of Health (NIH) - USANIH National Institute on Minority Health &amp; Health Disparities (NIMHD)); National Institute on Drug Abuse (NIDA)(United States Department of Health &amp; Human ServicesNational Institutes of Health (NIH) - USANIH National Institute on Drug Abuse (NIDA)); National Institute of Child Health and Human Development (NICHD)(United States Department of Health &amp; Human ServicesNational Institutes of Health (NIH) - USANIH Eunice Kennedy Shriver National Institute of Child Health &amp; Human Development (NICHD)); National Cancer Institute (NCI)(United States Department of Health &amp; Human ServicesNational Institutes of Health (NIH) - USANIH National Cancer Institute (NCI)); NIH intramural funding - NIAAA Division of Intramural Clinical and Biological Research; NIDA Intramural Research Program(United States Department of Health &amp; Human ServicesNational Institutes of Health (NIH) - USANIH National Institute on Drug Abuse (NIDA)); NATIONAL INSTITUTE ON ALCOHOL ABUSE AND ALCOHOLISM(United States Department of Health &amp; Human ServicesNational Institutes of Health (NIH) - USANIH National Institute on Alcohol Abuse &amp; Alcoholism (NIAAA))</t>
        </is>
      </c>
      <c r="AF1439" t="inlineStr">
        <is>
          <t>This study was supported by the Center for Medicare and Medicaid Services (CMS) Grant 1H0CMS331621 to Charles R. Drew University of Medicine and Science (PI: M. Bazargan). Additionally, Dr. Bazargan is supported by the NIH under Award # 54MD008149 and #R25 MD007610 (PI: M. Bazargan), 2U54MD007598 (PI: J. Vadgama), and U54 TR001627 (PIs: S. Dubinett, and R. Jenders). Shervin Assari is partly supported by the CMC grant 1H0CMS331621 (PI: M. Bazargan), National Institute on Minority Health and Health Disparities (NIMHD) grant U54 MD007598 (PI = M. Bazargan), National Institute on Drug Abuse (NIDA) grant DA035811-05 (PI = M. Zimmerman), the National Institute of Child Health and Human Development (NICHD) grant D084526-03, and the National Cancer Institute (NCI) grant CA201415-02 (Co-PI = R. Mistry). Mehdi Farokhnia is supported by the NIH intramural funding ZIA-AA000218 (Section on Clinical Psychoneuroendocrinology and Neuropsychopharmacology - PI: Lorenzo Leggio), jointly supported by the NIAAA Division of Intramural Clinical and Biological Research and the NIDA Intramural Research Program.</t>
        </is>
      </c>
      <c r="AH1439" t="n">
        <v>106</v>
      </c>
      <c r="AI1439" t="n">
        <v>24</v>
      </c>
      <c r="AJ1439" t="n">
        <v>24</v>
      </c>
      <c r="AK1439" t="n">
        <v>0</v>
      </c>
      <c r="AL1439" t="n">
        <v>9</v>
      </c>
      <c r="AM1439" t="inlineStr">
        <is>
          <t>MDPI</t>
        </is>
      </c>
      <c r="AN1439" t="inlineStr">
        <is>
          <t>BASEL</t>
        </is>
      </c>
      <c r="AO1439" t="inlineStr">
        <is>
          <t>ST ALBAN-ANLAGE 66, CH-4052 BASEL, SWITZERLAND</t>
        </is>
      </c>
      <c r="AQ1439" t="inlineStr">
        <is>
          <t>1660-4601</t>
        </is>
      </c>
      <c r="AS1439" t="inlineStr">
        <is>
          <t>INT J ENV RES PUB HE</t>
        </is>
      </c>
      <c r="AT1439" t="inlineStr">
        <is>
          <t>Int. J. Environ. Res. Public Health</t>
        </is>
      </c>
      <c r="AU1439" t="inlineStr">
        <is>
          <t>MAY 2</t>
        </is>
      </c>
      <c r="AV1439" t="n">
        <v>2019</v>
      </c>
      <c r="AW1439" t="n">
        <v>16</v>
      </c>
      <c r="AX1439" t="n">
        <v>10</v>
      </c>
      <c r="BE1439" t="n">
        <v>1826</v>
      </c>
      <c r="BF1439" t="inlineStr">
        <is>
          <t>10.3390/ijerph16101826</t>
        </is>
      </c>
      <c r="BG1439">
        <f>HYPERLINK("http://dx.doi.org/10.3390/ijerph16101826","http://dx.doi.org/10.3390/ijerph16101826")</f>
        <v/>
      </c>
      <c r="BJ1439" t="n">
        <v>16</v>
      </c>
      <c r="BK1439" t="inlineStr">
        <is>
          <t>Environmental Sciences; Public, Environmental &amp; Occupational Health</t>
        </is>
      </c>
      <c r="BL1439" t="inlineStr">
        <is>
          <t>Science Citation Index Expanded (SCI-EXPANDED); Social Science Citation Index (SSCI)</t>
        </is>
      </c>
      <c r="BM1439" t="inlineStr">
        <is>
          <t>Environmental Sciences &amp; Ecology; Public, Environmental &amp; Occupational Health</t>
        </is>
      </c>
      <c r="BN1439" t="inlineStr">
        <is>
          <t>IC4WF</t>
        </is>
      </c>
      <c r="BO1439" t="n">
        <v>31126049</v>
      </c>
      <c r="BP1439" t="inlineStr">
        <is>
          <t>Green Published, gold, Green Submitted</t>
        </is>
      </c>
      <c r="BS1439" t="inlineStr">
        <is>
          <t>2023-10-26</t>
        </is>
      </c>
      <c r="BT1439" t="inlineStr">
        <is>
          <t>WOS:000470967500160</t>
        </is>
      </c>
      <c r="BU1439">
        <f>HYPERLINK("https%3A%2F%2Fwww.webofscience.com%2Fwos%2Fwoscc%2Ffull-record%2FWOS:000470967500160","View Full Record in Web of Science")</f>
        <v/>
      </c>
    </row>
    <row r="1440">
      <c r="A1440" t="inlineStr">
        <is>
          <t>J</t>
        </is>
      </c>
      <c r="B1440" t="inlineStr">
        <is>
          <t>Liu, LC; Kuo, HW; Lin, CC</t>
        </is>
      </c>
      <c r="F1440" t="inlineStr">
        <is>
          <t>Liu, Li-Chuan; Kuo, Hsien-Wen; Lin, Chiu-Chu</t>
        </is>
      </c>
      <c r="J1440" t="inlineStr">
        <is>
          <t>INTERNATIONAL JOURNAL OF ENVIRONMENTAL RESEARCH AND PUBLIC HEALTH</t>
        </is>
      </c>
      <c r="M1440" t="inlineStr">
        <is>
          <t>English</t>
        </is>
      </c>
      <c r="N1440" t="inlineStr">
        <is>
          <t>Article</t>
        </is>
      </c>
      <c r="T1440" t="inlineStr">
        <is>
          <t>Current Status and Policy Planning for Promoting Age-Friendly Cities in Taitung County: Dialogue Between Older Adults and Service Providers</t>
        </is>
      </c>
      <c r="U1440" t="inlineStr">
        <is>
          <t>age-friendly city (AFC); Taitung County; older adults (demanders); service providers</t>
        </is>
      </c>
      <c r="V1440" t="inlineStr">
        <is>
          <t>HEALTH</t>
        </is>
      </c>
      <c r="W1440" t="inlineStr">
        <is>
          <t>The World Health Organization has promoted age-friendly city (AFC) projects in response to the aging population. Taiwan has also promoted AFC policies. This study was conducted in Taitung County, where 15.37% of the population is older adults in Taiwan. The aim was to understand the perceptions of older adults and service providers with regard to the current status of AFC policies to influence future policies. The participants of this study were older adults and service providers in various regions of Taitung. Quantitative questionnaires were completed by older adults and qualitative interviews were held with focus groups. The older adults were the most satisfied with the AFC domains of respect and social inclusion and community and health services, and the least satisfied with transportation and civic participation and employment. Homogeneity existed between the older adults' satisfaction levels in different regions and the service providers' opinions; however, there were notable differences between them. Both economic development and the ethnicity of groups in different regions are influential factors that determine the success of government policies. In promoting AFC policies, local governments should consider their applicability based on local conditions and resources to meet the needs of the aging population in rural areas.</t>
        </is>
      </c>
      <c r="X1440" t="inlineStr">
        <is>
          <t>[Liu, Li-Chuan] Natl Taitung Univ, Dept Publ &amp; Cultural Affairs, Taitung 95092, Taiwan; [Kuo, Hsien-Wen] Natl Yang Ming Univ, Inst Environm &amp; Occupat Hlth Sci, Taipei 11221, Taiwan; [Lin, Chiu-Chu] Publ Hlth Bur, Hlth Promot Sect, Taitung 95043, Taitung County, Taiwan</t>
        </is>
      </c>
      <c r="Y1440" t="inlineStr">
        <is>
          <t>National Yang Ming Chiao Tung University</t>
        </is>
      </c>
      <c r="Z1440" t="inlineStr">
        <is>
          <t>Liu, LC (corresponding author), Natl Taitung Univ, Dept Publ &amp; Cultural Affairs, Taitung 95092, Taiwan.</t>
        </is>
      </c>
      <c r="AA1440" t="inlineStr">
        <is>
          <t>tammyliu@nttu.edu.tw; hwkuo1106@gmail.com; jill480730@yahoo.com.tw</t>
        </is>
      </c>
      <c r="AB1440" t="inlineStr">
        <is>
          <t>Liu, Li-Chuan/AAD-3579-2019</t>
        </is>
      </c>
      <c r="AC1440" t="inlineStr">
        <is>
          <t>Liu, Li-Chuan/0000-0002-4013-2169</t>
        </is>
      </c>
      <c r="AD1440" t="inlineStr">
        <is>
          <t>Public Health Bureau in Taitung County, Taiwan</t>
        </is>
      </c>
      <c r="AE1440" t="inlineStr">
        <is>
          <t>Public Health Bureau in Taitung County, Taiwan</t>
        </is>
      </c>
      <c r="AF1440" t="inlineStr">
        <is>
          <t>The financial support for this research was provided by the Public Health Bureau in Taitung County, Taiwan.</t>
        </is>
      </c>
      <c r="AH1440" t="n">
        <v>25</v>
      </c>
      <c r="AI1440" t="n">
        <v>11</v>
      </c>
      <c r="AJ1440" t="n">
        <v>11</v>
      </c>
      <c r="AK1440" t="n">
        <v>1</v>
      </c>
      <c r="AL1440" t="n">
        <v>16</v>
      </c>
      <c r="AM1440" t="inlineStr">
        <is>
          <t>MDPI</t>
        </is>
      </c>
      <c r="AN1440" t="inlineStr">
        <is>
          <t>BASEL</t>
        </is>
      </c>
      <c r="AO1440" t="inlineStr">
        <is>
          <t>ST ALBAN-ANLAGE 66, CH-4052 BASEL, SWITZERLAND</t>
        </is>
      </c>
      <c r="AQ1440" t="inlineStr">
        <is>
          <t>1660-4601</t>
        </is>
      </c>
      <c r="AS1440" t="inlineStr">
        <is>
          <t>INT J ENV RES PUB HE</t>
        </is>
      </c>
      <c r="AT1440" t="inlineStr">
        <is>
          <t>Int. J. Environ. Res. Public Health</t>
        </is>
      </c>
      <c r="AU1440" t="inlineStr">
        <is>
          <t>OCT</t>
        </is>
      </c>
      <c r="AV1440" t="n">
        <v>2018</v>
      </c>
      <c r="AW1440" t="n">
        <v>15</v>
      </c>
      <c r="AX1440" t="n">
        <v>10</v>
      </c>
      <c r="BE1440" t="n">
        <v>2314</v>
      </c>
      <c r="BF1440" t="inlineStr">
        <is>
          <t>10.3390/ijerph15102314</t>
        </is>
      </c>
      <c r="BG1440">
        <f>HYPERLINK("http://dx.doi.org/10.3390/ijerph15102314","http://dx.doi.org/10.3390/ijerph15102314")</f>
        <v/>
      </c>
      <c r="BJ1440" t="n">
        <v>17</v>
      </c>
      <c r="BK1440" t="inlineStr">
        <is>
          <t>Environmental Sciences; Public, Environmental &amp; Occupational Health</t>
        </is>
      </c>
      <c r="BL1440" t="inlineStr">
        <is>
          <t>Science Citation Index Expanded (SCI-EXPANDED); Social Science Citation Index (SSCI)</t>
        </is>
      </c>
      <c r="BM1440" t="inlineStr">
        <is>
          <t>Environmental Sciences &amp; Ecology; Public, Environmental &amp; Occupational Health</t>
        </is>
      </c>
      <c r="BN1440" t="inlineStr">
        <is>
          <t>GY7TQ</t>
        </is>
      </c>
      <c r="BO1440" t="n">
        <v>30347884</v>
      </c>
      <c r="BP1440" t="inlineStr">
        <is>
          <t>Green Published, Green Submitted, gold</t>
        </is>
      </c>
      <c r="BS1440" t="inlineStr">
        <is>
          <t>2023-10-26</t>
        </is>
      </c>
      <c r="BT1440" t="inlineStr">
        <is>
          <t>WOS:000448818100256</t>
        </is>
      </c>
      <c r="BU1440">
        <f>HYPERLINK("https%3A%2F%2Fwww.webofscience.com%2Fwos%2Fwoscc%2Ffull-record%2FWOS:000448818100256","View Full Record in Web of Science")</f>
        <v/>
      </c>
    </row>
    <row r="1441">
      <c r="A1441" t="inlineStr">
        <is>
          <t>J</t>
        </is>
      </c>
      <c r="B1441" t="inlineStr">
        <is>
          <t>Dudzik, M</t>
        </is>
      </c>
      <c r="F1441" t="inlineStr">
        <is>
          <t>Dudzik, Marek</t>
        </is>
      </c>
      <c r="J1441" t="inlineStr">
        <is>
          <t>SUSTAINABILITY</t>
        </is>
      </c>
      <c r="M1441" t="inlineStr">
        <is>
          <t>English</t>
        </is>
      </c>
      <c r="N1441" t="inlineStr">
        <is>
          <t>Article</t>
        </is>
      </c>
      <c r="T1441" t="inlineStr">
        <is>
          <t>Towards Characterization of Indoor Environment in Smart Buildings: Modelling PMV Index Using Neural Network with One Hidden Layer</t>
        </is>
      </c>
      <c r="U1441" t="inlineStr">
        <is>
          <t>PMV index; feedforward neural network; intelligent construction; intelligent building; thermal comfort modelling</t>
        </is>
      </c>
      <c r="V1441" t="inlineStr">
        <is>
          <t>THERMAL COMFORT; ENERGY-CONSUMPTION; QUALITY MANAGEMENT; SIMULATION; PREDICTION; BEHAVIOR; STRESS</t>
        </is>
      </c>
      <c r="W1441" t="inlineStr">
        <is>
          <t>Modelling of comfort with the use of neural networks in modern times has become extremely popular. In recent years, scientists have been using these methods because of their satisfactory accuracy. The article proposes a method of modelling feedforward neural networks, thanks to which it is possible to obtain the most efficient network with one hidden layer in terms of a given quality criterion. The article also presents the methodology for modelling a PMV index, on the basis of which it can be demonstrated whether the network will work properly not only on paper but in reality as well. The objective of this work is to develop a performance model allowing the effective improvement of all electrical and mechanical devices affecting the energy efficiency and indoor environment in smart buildings. To achieve this, several attributes of indoor environment are included, namely: air leakage as a connection to the outdoor environment, but also as uncontrolled component of energy, ventilation as delivery and distribution of fresh air in the building space, individual ventilation on demand indoor air quality (IAQ) in the dwelling or as a personal IAQ control, source control of pollutants in the building, thermal comfort, temperature, air movement and humidity control (humidity modifiers, i.e., buffers different from the air conditioning radiation from cold and hot surfaces bringing forward a question about the strategy of the process control. One may either develop a series of control models to be synthesized later or one can use one over-arching characteristic and use its components for operating the control system. The paper addresses the second strategy and uses the concept of PMV for a criterion of broadly defined thermal comfort (including ventilation and air quality).</t>
        </is>
      </c>
      <c r="X1441" t="inlineStr">
        <is>
          <t>[Dudzik, Marek] Cracow Univ Technol, Fac Elect &amp; Comp Engn, Dept Tract &amp; Traff Control, PL-31155 Krakow, Poland</t>
        </is>
      </c>
      <c r="Y1441" t="inlineStr">
        <is>
          <t>Cracow University of Technology</t>
        </is>
      </c>
      <c r="Z1441" t="inlineStr">
        <is>
          <t>Dudzik, M (corresponding author), Cracow Univ Technol, Fac Elect &amp; Comp Engn, Dept Tract &amp; Traff Control, PL-31155 Krakow, Poland.</t>
        </is>
      </c>
      <c r="AA1441" t="inlineStr">
        <is>
          <t>marekdudzik@pk.edu.pl</t>
        </is>
      </c>
      <c r="AB1441" t="inlineStr">
        <is>
          <t>Dudzik, Marek/L-7526-2018</t>
        </is>
      </c>
      <c r="AC1441" t="inlineStr">
        <is>
          <t>Dudzik, Marek/0000-0002-2475-5489</t>
        </is>
      </c>
      <c r="AD1441" t="inlineStr">
        <is>
          <t>Cracow University of Technology (Krakow, Poland)</t>
        </is>
      </c>
      <c r="AE1441" t="inlineStr">
        <is>
          <t>Cracow University of Technology (Krakow, Poland)</t>
        </is>
      </c>
      <c r="AF1441" t="inlineStr">
        <is>
          <t>The funding for research and publication was received from the Cracow University of Technology (Krakow, Poland).</t>
        </is>
      </c>
      <c r="AH1441" t="n">
        <v>86</v>
      </c>
      <c r="AI1441" t="n">
        <v>14</v>
      </c>
      <c r="AJ1441" t="n">
        <v>15</v>
      </c>
      <c r="AK1441" t="n">
        <v>2</v>
      </c>
      <c r="AL1441" t="n">
        <v>7</v>
      </c>
      <c r="AM1441" t="inlineStr">
        <is>
          <t>MDPI</t>
        </is>
      </c>
      <c r="AN1441" t="inlineStr">
        <is>
          <t>BASEL</t>
        </is>
      </c>
      <c r="AO1441" t="inlineStr">
        <is>
          <t>ST ALBAN-ANLAGE 66, CH-4052 BASEL, SWITZERLAND</t>
        </is>
      </c>
      <c r="AQ1441" t="inlineStr">
        <is>
          <t>2071-1050</t>
        </is>
      </c>
      <c r="AS1441" t="inlineStr">
        <is>
          <t>SUSTAINABILITY-BASEL</t>
        </is>
      </c>
      <c r="AT1441" t="inlineStr">
        <is>
          <t>Sustainability</t>
        </is>
      </c>
      <c r="AU1441" t="inlineStr">
        <is>
          <t>SEP</t>
        </is>
      </c>
      <c r="AV1441" t="n">
        <v>2020</v>
      </c>
      <c r="AW1441" t="n">
        <v>12</v>
      </c>
      <c r="AX1441" t="n">
        <v>17</v>
      </c>
      <c r="BE1441" t="n">
        <v>6749</v>
      </c>
      <c r="BF1441" t="inlineStr">
        <is>
          <t>10.3390/su12176749</t>
        </is>
      </c>
      <c r="BG1441">
        <f>HYPERLINK("http://dx.doi.org/10.3390/su12176749","http://dx.doi.org/10.3390/su12176749")</f>
        <v/>
      </c>
      <c r="BJ1441" t="n">
        <v>38</v>
      </c>
      <c r="BK1441" t="inlineStr">
        <is>
          <t>Green &amp; Sustainable Science &amp; Technology; Environmental Sciences; Environmental Studies</t>
        </is>
      </c>
      <c r="BL1441" t="inlineStr">
        <is>
          <t>Science Citation Index Expanded (SCI-EXPANDED); Social Science Citation Index (SSCI)</t>
        </is>
      </c>
      <c r="BM1441" t="inlineStr">
        <is>
          <t>Science &amp; Technology - Other Topics; Environmental Sciences &amp; Ecology</t>
        </is>
      </c>
      <c r="BN1441" t="inlineStr">
        <is>
          <t>NP1XF</t>
        </is>
      </c>
      <c r="BP1441" t="inlineStr">
        <is>
          <t>Green Submitted, gold</t>
        </is>
      </c>
      <c r="BS1441" t="inlineStr">
        <is>
          <t>2023-10-26</t>
        </is>
      </c>
      <c r="BT1441" t="inlineStr">
        <is>
          <t>WOS:000569973300001</t>
        </is>
      </c>
      <c r="BU1441">
        <f>HYPERLINK("https%3A%2F%2Fwww.webofscience.com%2Fwos%2Fwoscc%2Ffull-record%2FWOS:000569973300001","View Full Record in Web of Science")</f>
        <v/>
      </c>
    </row>
    <row r="1442">
      <c r="A1442" t="inlineStr">
        <is>
          <t>J</t>
        </is>
      </c>
      <c r="B1442" t="inlineStr">
        <is>
          <t>Arifwidodo, SD; Chandrasiri, O; Rasri, N; Sirawarong, W; Rattanawichit, P; Sangyuan, N</t>
        </is>
      </c>
      <c r="F1442" t="inlineStr">
        <is>
          <t>Arifwidodo, Sigit D.; Chandrasiri, Orana; Rasri, Niramon; Sirawarong, Wipada; Rattanawichit, Panitat; Sangyuan, Natsiporn</t>
        </is>
      </c>
      <c r="J1442" t="inlineStr">
        <is>
          <t>SUSTAINABILITY</t>
        </is>
      </c>
      <c r="M1442" t="inlineStr">
        <is>
          <t>English</t>
        </is>
      </c>
      <c r="N1442" t="inlineStr">
        <is>
          <t>Article</t>
        </is>
      </c>
      <c r="T1442" t="inlineStr">
        <is>
          <t>Association between Park Visitation and Physical Activity among Adults in Bangkok, Thailand</t>
        </is>
      </c>
      <c r="U1442" t="inlineStr">
        <is>
          <t>public park; physical activity; urban planning; urban landscape; public health</t>
        </is>
      </c>
      <c r="V1442" t="inlineStr">
        <is>
          <t>NEIGHBORHOOD PARKS; OLDER-ADULTS; GREEN SPACE; HEALTH; WALKING; SENSE</t>
        </is>
      </c>
      <c r="W1442" t="inlineStr">
        <is>
          <t>Visiting parks regularly can provide multiple health benefits, including increased physical activity levels. However, empirical evidence connecting park visitation and physical activity in urban settings in Southeast Asia remains scarce. This study explores the association between park visitation and physical activity among adults. A cross-sectional study using a survey questionnaire of 585 respondents in Bangkok, Thailand was conducted. Two binomial logistic regressions (odds ratio = ORs, 95% confidence interval = CI) with park visitation and physical activity level as the dependent variables were employed. We found that park visitation was influenced by individual and neighborhood environment correlates. People with a healthy lifestyle and who lived near parks were more likely to visit parks. We also found that park visitation was a strong predictor of physical activity. People who visited parks were almost four times more likely to meet the 2020 WHO global recommendation for physical activity of 150 min of medium and vigorous physical activity per week. The findings suggested that parks and green spaces are important settings for physical activity. The results of this study can inform policymakers on how to plan and design active environments that are conducive to physical activity and health.</t>
        </is>
      </c>
      <c r="X1442" t="inlineStr">
        <is>
          <t>[Arifwidodo, Sigit D.; Rattanawichit, Panitat; Sangyuan, Natsiporn] Kasetsart Univ, Fac Architecture, Dept Landscape Architecture, Chatuchak 10900, Thailand; [Chandrasiri, Orana] Activethai Org Res Ctr, 81-1 Ramintra Rd, Bangkok 10200, Thailand; [Rasri, Niramon; Sirawarong, Wipada] Thai Hlth Promot, Bangkok 10120, Thailand</t>
        </is>
      </c>
      <c r="Y1442" t="inlineStr">
        <is>
          <t>Kasetsart University</t>
        </is>
      </c>
      <c r="Z1442" t="inlineStr">
        <is>
          <t>Arifwidodo, SD (corresponding author), Kasetsart Univ, Fac Architecture, Dept Landscape Architecture, Chatuchak 10900, Thailand.</t>
        </is>
      </c>
      <c r="AA1442" t="inlineStr">
        <is>
          <t>sigit.d@ku.ac.th</t>
        </is>
      </c>
      <c r="AC1442" t="inlineStr">
        <is>
          <t>Arifwidodo, Sigit/0000-0001-9517-2611</t>
        </is>
      </c>
      <c r="AD1442" t="inlineStr">
        <is>
          <t>Thai Health Promotion Foundation (ThaiHealth) [64-00-0212, 61-00-0130]</t>
        </is>
      </c>
      <c r="AE1442" t="inlineStr">
        <is>
          <t>Thai Health Promotion Foundation (ThaiHealth)</t>
        </is>
      </c>
      <c r="AF1442" t="inlineStr">
        <is>
          <t>This research was funded by Thai Health Promotion Foundation (ThaiHealth) grant number 61-00-0130 and The APC was funded by Thai Health Promotion Foundation (ThaiHealth) grant number 64-00-0212.</t>
        </is>
      </c>
      <c r="AH1442" t="n">
        <v>56</v>
      </c>
      <c r="AI1442" t="n">
        <v>3</v>
      </c>
      <c r="AJ1442" t="n">
        <v>3</v>
      </c>
      <c r="AK1442" t="n">
        <v>9</v>
      </c>
      <c r="AL1442" t="n">
        <v>25</v>
      </c>
      <c r="AM1442" t="inlineStr">
        <is>
          <t>MDPI</t>
        </is>
      </c>
      <c r="AN1442" t="inlineStr">
        <is>
          <t>BASEL</t>
        </is>
      </c>
      <c r="AO1442" t="inlineStr">
        <is>
          <t>ST ALBAN-ANLAGE 66, CH-4052 BASEL, SWITZERLAND</t>
        </is>
      </c>
      <c r="AQ1442" t="inlineStr">
        <is>
          <t>2071-1050</t>
        </is>
      </c>
      <c r="AS1442" t="inlineStr">
        <is>
          <t>SUSTAINABILITY-BASEL</t>
        </is>
      </c>
      <c r="AT1442" t="inlineStr">
        <is>
          <t>Sustainability</t>
        </is>
      </c>
      <c r="AU1442" t="inlineStr">
        <is>
          <t>OCT</t>
        </is>
      </c>
      <c r="AV1442" t="n">
        <v>2022</v>
      </c>
      <c r="AW1442" t="n">
        <v>14</v>
      </c>
      <c r="AX1442" t="n">
        <v>19</v>
      </c>
      <c r="BE1442" t="n">
        <v>12938</v>
      </c>
      <c r="BF1442" t="inlineStr">
        <is>
          <t>10.3390/su141912938</t>
        </is>
      </c>
      <c r="BG1442">
        <f>HYPERLINK("http://dx.doi.org/10.3390/su141912938","http://dx.doi.org/10.3390/su141912938")</f>
        <v/>
      </c>
      <c r="BJ1442" t="n">
        <v>11</v>
      </c>
      <c r="BK1442" t="inlineStr">
        <is>
          <t>Green &amp; Sustainable Science &amp; Technology; Environmental Sciences; Environmental Studies</t>
        </is>
      </c>
      <c r="BL1442" t="inlineStr">
        <is>
          <t>Science Citation Index Expanded (SCI-EXPANDED); Social Science Citation Index (SSCI)</t>
        </is>
      </c>
      <c r="BM1442" t="inlineStr">
        <is>
          <t>Science &amp; Technology - Other Topics; Environmental Sciences &amp; Ecology</t>
        </is>
      </c>
      <c r="BN1442" t="inlineStr">
        <is>
          <t>5G6XJ</t>
        </is>
      </c>
      <c r="BP1442" t="inlineStr">
        <is>
          <t>gold</t>
        </is>
      </c>
      <c r="BS1442" t="inlineStr">
        <is>
          <t>2023-10-26</t>
        </is>
      </c>
      <c r="BT1442" t="inlineStr">
        <is>
          <t>WOS:000867139200001</t>
        </is>
      </c>
      <c r="BU1442">
        <f>HYPERLINK("https%3A%2F%2Fwww.webofscience.com%2Fwos%2Fwoscc%2Ffull-record%2FWOS:000867139200001","View Full Record in Web of Science")</f>
        <v/>
      </c>
    </row>
    <row r="1443">
      <c r="A1443" t="inlineStr">
        <is>
          <t>J</t>
        </is>
      </c>
      <c r="B1443" t="inlineStr">
        <is>
          <t>Mowle, S; Eyre, E; Noon, M; Tallis, J; Duncan, MJ</t>
        </is>
      </c>
      <c r="F1443" t="inlineStr">
        <is>
          <t>Mowle, Sophie; Eyre, Emma; Noon, Mark; Tallis, Jason; Duncan, Michael J.</t>
        </is>
      </c>
      <c r="J1443" t="inlineStr">
        <is>
          <t>INTERNATIONAL JOURNAL OF ENVIRONMENTAL RESEARCH AND PUBLIC HEALTH</t>
        </is>
      </c>
      <c r="M1443" t="inlineStr">
        <is>
          <t>English</t>
        </is>
      </c>
      <c r="N1443" t="inlineStr">
        <is>
          <t>Article</t>
        </is>
      </c>
      <c r="T1443" t="inlineStr">
        <is>
          <t>Football- It's in Your Blood-Lived Experiences of Undertaking Recreational Football for Health in Older Adults</t>
        </is>
      </c>
      <c r="U1443" t="inlineStr">
        <is>
          <t>walking football; older adults; physical activity; health; behaviour change theory</t>
        </is>
      </c>
      <c r="V1443" t="inlineStr">
        <is>
          <t>BEHAVIOR-CHANGE TECHNIQUES; PHYSICAL-ACTIVITY; QUALITATIVE RESEARCH; WALKING FOOTBALL; EXERCISE; BARRIERS; PEOPLE; SPORT</t>
        </is>
      </c>
      <c r="W1443" t="inlineStr">
        <is>
          <t>Physical inactivity is prevalent in older adults and contributes to age-related decline in function, health, well-being, and quality of life. Recreational football for older adults has shown promise for promoting health benefits. This study explores the lived experiences of older adults engaging in a walking and recreational football intervention and identifies factors that affect behaviours and can encourage change in this population. A purposive sample (n = 14; aged 67 +/- 5 years) of the lived experiences of those participating in a recreational football intervention took part in two focus groups. The participants' responses were grouped into three-time reflecting specific points in their lives: what stopped them from playing football, what got them playing, and what is needed for them to continue playing in the future. Within each of these time points in their lives, themes were identified. The key findings and practical recommendations were that football needs to be adapted and local, that the priority to play football changes over time, and that football itself is a fundamentally intrinsic motivator; 'it's in your blood'. The findings can be used to inform future interventions, encourage participation, and advise on the best practices for key stakeholders in the physical activity domain.</t>
        </is>
      </c>
      <c r="X1443" t="inlineStr">
        <is>
          <t>[Mowle, Sophie; Eyre, Emma; Noon, Mark; Tallis, Jason; Duncan, Michael J.] Coventry Univ, Ctr Sport Exercise &amp; Life Sci, Coventry CV1 5FB, W Midlands, England</t>
        </is>
      </c>
      <c r="Y1443" t="inlineStr">
        <is>
          <t>Coventry University</t>
        </is>
      </c>
      <c r="Z1443" t="inlineStr">
        <is>
          <t>Mowle, S; Duncan, MJ (corresponding author), Coventry Univ, Ctr Sport Exercise &amp; Life Sci, Coventry CV1 5FB, W Midlands, England.</t>
        </is>
      </c>
      <c r="AA1443" t="inlineStr">
        <is>
          <t>mowles2@uni.coventry.ac.uk; aa8396@coventry.ac.uk</t>
        </is>
      </c>
      <c r="AC1443" t="inlineStr">
        <is>
          <t>Eyre, Emma/0000-0002-4040-5921; Mowle, Sophie/0000-0003-3759-8870; Tallis, Jason/0000-0001-8904-2693; Duncan, Michael/0000-0002-2016-6580</t>
        </is>
      </c>
      <c r="AD1443" t="inlineStr">
        <is>
          <t>Erasmus + Sport programme of the European Commission</t>
        </is>
      </c>
      <c r="AE1443" t="inlineStr">
        <is>
          <t>Erasmus + Sport programme of the European Commission</t>
        </is>
      </c>
      <c r="AF1443" t="inlineStr">
        <is>
          <t>This research was funded by the Erasmus + Sport programme of the European Commission (Eramus+ Sport project/603552-EPP-1-2018-1-FI-SPO-SCP).</t>
        </is>
      </c>
      <c r="AH1443" t="n">
        <v>48</v>
      </c>
      <c r="AI1443" t="n">
        <v>0</v>
      </c>
      <c r="AJ1443" t="n">
        <v>0</v>
      </c>
      <c r="AK1443" t="n">
        <v>0</v>
      </c>
      <c r="AL1443" t="n">
        <v>3</v>
      </c>
      <c r="AM1443" t="inlineStr">
        <is>
          <t>MDPI</t>
        </is>
      </c>
      <c r="AN1443" t="inlineStr">
        <is>
          <t>BASEL</t>
        </is>
      </c>
      <c r="AO1443" t="inlineStr">
        <is>
          <t>ST ALBAN-ANLAGE 66, CH-4052 BASEL, SWITZERLAND</t>
        </is>
      </c>
      <c r="AQ1443" t="inlineStr">
        <is>
          <t>1660-4601</t>
        </is>
      </c>
      <c r="AS1443" t="inlineStr">
        <is>
          <t>INT J ENV RES PUB HE</t>
        </is>
      </c>
      <c r="AT1443" t="inlineStr">
        <is>
          <t>Int. J. Environ. Res. Public Health</t>
        </is>
      </c>
      <c r="AU1443" t="inlineStr">
        <is>
          <t>NOV</t>
        </is>
      </c>
      <c r="AV1443" t="n">
        <v>2022</v>
      </c>
      <c r="AW1443" t="n">
        <v>19</v>
      </c>
      <c r="AX1443" t="n">
        <v>22</v>
      </c>
      <c r="BE1443" t="n">
        <v>14816</v>
      </c>
      <c r="BF1443" t="inlineStr">
        <is>
          <t>10.3390/ijerph192214816</t>
        </is>
      </c>
      <c r="BG1443">
        <f>HYPERLINK("http://dx.doi.org/10.3390/ijerph192214816","http://dx.doi.org/10.3390/ijerph192214816")</f>
        <v/>
      </c>
      <c r="BJ1443" t="n">
        <v>15</v>
      </c>
      <c r="BK1443" t="inlineStr">
        <is>
          <t>Environmental Sciences; Public, Environmental &amp; Occupational Health</t>
        </is>
      </c>
      <c r="BL1443" t="inlineStr">
        <is>
          <t>Science Citation Index Expanded (SCI-EXPANDED); Social Science Citation Index (SSCI)</t>
        </is>
      </c>
      <c r="BM1443" t="inlineStr">
        <is>
          <t>Environmental Sciences &amp; Ecology; Public, Environmental &amp; Occupational Health</t>
        </is>
      </c>
      <c r="BN1443" t="inlineStr">
        <is>
          <t>6K0DT</t>
        </is>
      </c>
      <c r="BO1443" t="n">
        <v>36429535</v>
      </c>
      <c r="BP1443" t="inlineStr">
        <is>
          <t>Green Published, gold</t>
        </is>
      </c>
      <c r="BS1443" t="inlineStr">
        <is>
          <t>2023-10-26</t>
        </is>
      </c>
      <c r="BT1443" t="inlineStr">
        <is>
          <t>WOS:000887185100001</t>
        </is>
      </c>
      <c r="BU1443">
        <f>HYPERLINK("https%3A%2F%2Fwww.webofscience.com%2Fwos%2Fwoscc%2Ffull-record%2FWOS:000887185100001","View Full Record in Web of Science")</f>
        <v/>
      </c>
    </row>
    <row r="1444">
      <c r="A1444" t="inlineStr">
        <is>
          <t>J</t>
        </is>
      </c>
      <c r="B1444" t="inlineStr">
        <is>
          <t>Nobels, A; Vandeviver, C; Beaulieu, M; Inescu, AC; Nisen, L; Van Den Noortgate, N; Vander Beken, T; Lemmens, G; Keygnaert, I</t>
        </is>
      </c>
      <c r="F1444" t="inlineStr">
        <is>
          <t>Nobels, Anne; Vandeviver, Christophe; Beaulieu, Marie; Inescu, Adina Cismaru; Nisen, Laurent; Van Den Noortgate, Nele; Vander Beken, Tom; Lemmens, Gilbert; Keygnaert, Ines</t>
        </is>
      </c>
      <c r="J1444" t="inlineStr">
        <is>
          <t>INTERNATIONAL JOURNAL OF ENVIRONMENTAL RESEARCH AND PUBLIC HEALTH</t>
        </is>
      </c>
      <c r="M1444" t="inlineStr">
        <is>
          <t>English</t>
        </is>
      </c>
      <c r="N1444" t="inlineStr">
        <is>
          <t>Review</t>
        </is>
      </c>
      <c r="T1444" t="inlineStr">
        <is>
          <t>Too Grey To Be True? Sexual Violence in Older Adults: A Critical Interpretive Synthesis of Evidence</t>
        </is>
      </c>
      <c r="U1444" t="inlineStr">
        <is>
          <t>sexual abuse; sexual assault; elder abuse and neglect; elder mistreatment; ageing</t>
        </is>
      </c>
      <c r="V1444" t="inlineStr">
        <is>
          <t>ELDER ABUSE; HEALTH-CARE; PREVALENCE; WOMEN; LIFE; VICTIMIZATION; EXPERIENCES; ATTITUDES; NEGLECT; MEN</t>
        </is>
      </c>
      <c r="W1444" t="inlineStr">
        <is>
          <t>Sexual violence (SV) is an important public health issue with a major impact on victims and their peers, offspring and community. However, SV in older adults is under-researched. This paper aims to establish the prevalence and nature of SV in older adults in Europe, link this with existing policies and health care workers' response to sexual health needs in older age, and critically revise the currently used frameworks in public health research. To fill this gap in the literature, we applied a Critical Interpretative Synthesis (CIS) approach. The CIS approach uses techniques from grounded theory and processes from systematic review. It allows to critically interpret key findings from both academic as well as grey literature, engendering theory refining. In the first phase of purposive sampling, we conducted a systematic review of academic sources and included 14 references. The cut-off age used to define old age varied between 60 and 70 years old among the included studies. Subsequently we added another 14 references in the second phase of theoretical sampling. We ultimately included 16 peer-reviewed articles and 12 documents from the grey literature. The CIS results demonstrate that knowledge of SV in older adults is still limited. The current research suggests that SV in older adults rarely occurs, however, prevalence rates are likely to be underestimated because of methodological shortcomings. The complexity of SV in older adults is not acknowledged in ongoing research due to the conflation of SV with other types of violence. Information on specific risk factors and about assailants committing SV in old age is absent. Policy documents dealing with sexual and reproductive health, rights and ageing make no mention of SV in older adults. In clinical practice, the sexual health needs of older adults often remain unmet. In conclusion, our findings suggest that older adults are forgotten in prevention and response to SV. Greater awareness about this topic could contribute to a revision of current policies and health care practices, leading to more tailored care for older victims of SV.</t>
        </is>
      </c>
      <c r="X1444" t="inlineStr">
        <is>
          <t>[Nobels, Anne; Keygnaert, Ines] Univ Ghent, Fac Med &amp; Hlth Sci, Int Ctr Reprod Hlth ICRH, Dept Publ Hlth &amp; Primary Care, C Heymanslaan 10, B-9000 Ghent, Belgium; [Vandeviver, Christophe; Vander Beken, Tom] Univ Ghent, Dept Criminol Criminal Law &amp; Social Law, Univ Str 4, B-9000 Ghent, Belgium; [Vandeviver, Christophe] Res Fdn Flanders FWO, B-1000 Brussels, Belgium; [Beaulieu, Marie] Univ Sherbooke, Sch Social Work, Sherbrooke, PQ J1H 5N4, Canada; [Beaulieu, Marie] Univ Sherbooke, Res Ctr Aging, Sherbrooke, PQ J1H 5N4, Canada; [Inescu, Adina Cismaru; Nisen, Laurent] Univ Liege, Etud &amp; Evaluat, ESPRIst, B-4000 Liege, Belgium; [Van Den Noortgate, Nele] Ghent Univ Hosp, Dept Geriatr, C Heymanslaan 10, B-9000 Ghent, Belgium; [Lemmens, Gilbert] Ghent Univ Hosp, Dept Psychiat &amp; Med Psychol, C Heymanslaan 10, B-9000 Ghent, Belgium</t>
        </is>
      </c>
      <c r="Y1444" t="inlineStr">
        <is>
          <t>Ghent University; Ghent University Hospital; Ghent University; University of Sherbrooke; University of Sherbrooke; University of Liege; Ghent University; Ghent University Hospital; Ghent University; Ghent University Hospital</t>
        </is>
      </c>
      <c r="Z1444" t="inlineStr">
        <is>
          <t>Nobels, A (corresponding author), Univ Ghent, Fac Med &amp; Hlth Sci, Int Ctr Reprod Hlth ICRH, Dept Publ Hlth &amp; Primary Care, C Heymanslaan 10, B-9000 Ghent, Belgium.</t>
        </is>
      </c>
      <c r="AA1444" t="inlineStr">
        <is>
          <t>anne.nobels@ugent.be; christophe.vandeviver@ugent.be; marie.beaulieu@usherbrooke.ca; a.inescu@uliege.be; l.nisen@uliege.be; nele.vandennoortgate@uzgent.be; tom.vanderbeken@ugent.be; gilbert.lemmens@uzgent.be; ines.keygnaert@ugent.be</t>
        </is>
      </c>
      <c r="AB1444" t="inlineStr">
        <is>
          <t>Keygnaert, Ines/HKW-6664-2023; Vandeviver, Christophe/F-6785-2017</t>
        </is>
      </c>
      <c r="AC1444" t="inlineStr">
        <is>
          <t>Vander Beken, Tom/0000-0002-1596-5070; Keygnaert, Ines/0000-0002-1707-0254; Lemmens, Gilbert/0000-0002-7532-6350; Vandeviver, Christophe/0000-0001-9714-7006; Van Den Noortgate, Nele/0000-0001-5546-5380; Nobels, Anne/0000-0003-0596-1225</t>
        </is>
      </c>
      <c r="AD1444" t="inlineStr">
        <is>
          <t>Belgian Federal Science Policy Belgian Research Action through the Interdisciplinary Networks funding scheme [BR/175/A5/UN-MENAMAIS]; Research Foundation-Flanders (FWO) [12C0616N, 12C0619N]</t>
        </is>
      </c>
      <c r="AE1444" t="inlineStr">
        <is>
          <t>Belgian Federal Science Policy Belgian Research Action through the Interdisciplinary Networks funding scheme; Research Foundation-Flanders (FWO)(FWO)</t>
        </is>
      </c>
      <c r="AF1444" t="inlineStr">
        <is>
          <t>This research was predominantly supported by the Belgian Federal Science Policy Belgian Research Action through the Interdisciplinary Networks funding scheme, grant number BR/175/A5/UN-MENAMAIS. CV's contribution was supported in part by the Research Foundation-Flanders (FWO) Postdoctoral Fellowship funding scheme, grant numbers 12C0616N, 12C0619N.</t>
        </is>
      </c>
      <c r="AH1444" t="n">
        <v>63</v>
      </c>
      <c r="AI1444" t="n">
        <v>8</v>
      </c>
      <c r="AJ1444" t="n">
        <v>8</v>
      </c>
      <c r="AK1444" t="n">
        <v>0</v>
      </c>
      <c r="AL1444" t="n">
        <v>10</v>
      </c>
      <c r="AM1444" t="inlineStr">
        <is>
          <t>MDPI</t>
        </is>
      </c>
      <c r="AN1444" t="inlineStr">
        <is>
          <t>BASEL</t>
        </is>
      </c>
      <c r="AO1444" t="inlineStr">
        <is>
          <t>ST ALBAN-ANLAGE 66, CH-4052 BASEL, SWITZERLAND</t>
        </is>
      </c>
      <c r="AQ1444" t="inlineStr">
        <is>
          <t>1660-4601</t>
        </is>
      </c>
      <c r="AS1444" t="inlineStr">
        <is>
          <t>INT J ENV RES PUB HE</t>
        </is>
      </c>
      <c r="AT1444" t="inlineStr">
        <is>
          <t>Int. J. Environ. Res. Public Health</t>
        </is>
      </c>
      <c r="AU1444" t="inlineStr">
        <is>
          <t>JUN</t>
        </is>
      </c>
      <c r="AV1444" t="n">
        <v>2020</v>
      </c>
      <c r="AW1444" t="n">
        <v>17</v>
      </c>
      <c r="AX1444" t="n">
        <v>11</v>
      </c>
      <c r="BE1444" t="n">
        <v>4117</v>
      </c>
      <c r="BF1444" t="inlineStr">
        <is>
          <t>10.3390/ijerph17114117</t>
        </is>
      </c>
      <c r="BG1444">
        <f>HYPERLINK("http://dx.doi.org/10.3390/ijerph17114117","http://dx.doi.org/10.3390/ijerph17114117")</f>
        <v/>
      </c>
      <c r="BJ1444" t="n">
        <v>12</v>
      </c>
      <c r="BK1444" t="inlineStr">
        <is>
          <t>Environmental Sciences; Public, Environmental &amp; Occupational Health</t>
        </is>
      </c>
      <c r="BL1444" t="inlineStr">
        <is>
          <t>Science Citation Index Expanded (SCI-EXPANDED); Social Science Citation Index (SSCI)</t>
        </is>
      </c>
      <c r="BM1444" t="inlineStr">
        <is>
          <t>Environmental Sciences &amp; Ecology; Public, Environmental &amp; Occupational Health</t>
        </is>
      </c>
      <c r="BN1444" t="inlineStr">
        <is>
          <t>MB5FY</t>
        </is>
      </c>
      <c r="BO1444" t="n">
        <v>32526986</v>
      </c>
      <c r="BP1444" t="inlineStr">
        <is>
          <t>Green Published, gold</t>
        </is>
      </c>
      <c r="BS1444" t="inlineStr">
        <is>
          <t>2023-10-26</t>
        </is>
      </c>
      <c r="BT1444" t="inlineStr">
        <is>
          <t>WOS:000542629600370</t>
        </is>
      </c>
      <c r="BU1444">
        <f>HYPERLINK("https%3A%2F%2Fwww.webofscience.com%2Fwos%2Fwoscc%2Ffull-record%2FWOS:000542629600370","View Full Record in Web of Science")</f>
        <v/>
      </c>
    </row>
    <row r="1445">
      <c r="A1445" t="inlineStr">
        <is>
          <t>J</t>
        </is>
      </c>
      <c r="B1445" t="inlineStr">
        <is>
          <t>Pierpaoli, M; Ruello, ML</t>
        </is>
      </c>
      <c r="F1445" t="inlineStr">
        <is>
          <t>Pierpaoli, Mattia; Ruello, Maria Letizia</t>
        </is>
      </c>
      <c r="J1445" t="inlineStr">
        <is>
          <t>SUSTAINABILITY</t>
        </is>
      </c>
      <c r="M1445" t="inlineStr">
        <is>
          <t>English</t>
        </is>
      </c>
      <c r="N1445" t="inlineStr">
        <is>
          <t>Article</t>
        </is>
      </c>
      <c r="T1445" t="inlineStr">
        <is>
          <t>Indoor Air Quality: A Bibliometric Study</t>
        </is>
      </c>
      <c r="U1445" t="inlineStr">
        <is>
          <t>Indoor Air Quality; IAQ; Bibliometric study; Indoor Environmental Quality; Sick Building Syndrome</t>
        </is>
      </c>
      <c r="V1445" t="inlineStr">
        <is>
          <t>VOLATILE ORGANIC-COMPOUNDS; EXPOSURE ASSESSMENT; PARTICULATE MATTER; ELEMENTARY-SCHOOLS; NASAL LAVAGE; OUTDOOR; BUILDINGS; HEALTH; POLLUTION; SYMPTOMS</t>
        </is>
      </c>
      <c r="W1445" t="inlineStr">
        <is>
          <t>What are the actual trends in Indoor Air Quality (IAQ), and in which direction is academic interest moving? Much progress has been made in identifying and mitigating indoor pollutants, due to both prevention campaigns (e.g., smoking bans) and greater control of product emissions. However, IAQ is still of interest and the future trends are unknown. In this study, a thorough bibliometric analysis was conducted on the scientific literature available on the Web of Science database with CiteSpace from 1990 until today. It was possible to identify past trends and current advances, both with the aim of introducing the IAQ topic to those encountering it for the first time and to examine the issues that are expected to be pertinent in the future.</t>
        </is>
      </c>
      <c r="X1445" t="inlineStr">
        <is>
          <t>[Pierpaoli, Mattia; Ruello, Maria Letizia] Univ Politecn Marche, Dept Mat Environm Sci &amp; Urban Planning SIMAU, I-60131 Ancona, Italy</t>
        </is>
      </c>
      <c r="Y1445" t="inlineStr">
        <is>
          <t>Marche Polytechnic University</t>
        </is>
      </c>
      <c r="Z1445" t="inlineStr">
        <is>
          <t>Pierpaoli, M (corresponding author), Univ Politecn Marche, Dept Mat Environm Sci &amp; Urban Planning SIMAU, I-60131 Ancona, Italy.</t>
        </is>
      </c>
      <c r="AA1445" t="inlineStr">
        <is>
          <t>m.pierpaoli@pm.univpm.it; m.l.ruello@univpm.it</t>
        </is>
      </c>
      <c r="AB1445" t="inlineStr">
        <is>
          <t>Pierpaoli, Mattia/GXV-5626-2022; Pierpaoli, Mattia/AAC-5763-2020</t>
        </is>
      </c>
      <c r="AC1445" t="inlineStr">
        <is>
          <t>Pierpaoli, Mattia/0000-0002-7508-1824; Pierpaoli, Mattia/0000-0002-7508-1824; Ruello, Maria Letizia/0000-0002-1143-0853</t>
        </is>
      </c>
      <c r="AH1445" t="n">
        <v>75</v>
      </c>
      <c r="AI1445" t="n">
        <v>29</v>
      </c>
      <c r="AJ1445" t="n">
        <v>29</v>
      </c>
      <c r="AK1445" t="n">
        <v>3</v>
      </c>
      <c r="AL1445" t="n">
        <v>54</v>
      </c>
      <c r="AM1445" t="inlineStr">
        <is>
          <t>MDPI</t>
        </is>
      </c>
      <c r="AN1445" t="inlineStr">
        <is>
          <t>BASEL</t>
        </is>
      </c>
      <c r="AO1445" t="inlineStr">
        <is>
          <t>ST ALBAN-ANLAGE 66, CH-4052 BASEL, SWITZERLAND</t>
        </is>
      </c>
      <c r="AP1445" t="inlineStr">
        <is>
          <t>2071-1050</t>
        </is>
      </c>
      <c r="AS1445" t="inlineStr">
        <is>
          <t>SUSTAINABILITY-BASEL</t>
        </is>
      </c>
      <c r="AT1445" t="inlineStr">
        <is>
          <t>Sustainability</t>
        </is>
      </c>
      <c r="AU1445" t="inlineStr">
        <is>
          <t>NOV</t>
        </is>
      </c>
      <c r="AV1445" t="n">
        <v>2018</v>
      </c>
      <c r="AW1445" t="n">
        <v>10</v>
      </c>
      <c r="AX1445" t="n">
        <v>11</v>
      </c>
      <c r="BE1445" t="n">
        <v>3830</v>
      </c>
      <c r="BF1445" t="inlineStr">
        <is>
          <t>10.3390/su10113830</t>
        </is>
      </c>
      <c r="BG1445">
        <f>HYPERLINK("http://dx.doi.org/10.3390/su10113830","http://dx.doi.org/10.3390/su10113830")</f>
        <v/>
      </c>
      <c r="BJ1445" t="n">
        <v>18</v>
      </c>
      <c r="BK1445" t="inlineStr">
        <is>
          <t>Green &amp; Sustainable Science &amp; Technology; Environmental Sciences; Environmental Studies</t>
        </is>
      </c>
      <c r="BL1445" t="inlineStr">
        <is>
          <t>Science Citation Index Expanded (SCI-EXPANDED); Social Science Citation Index (SSCI)</t>
        </is>
      </c>
      <c r="BM1445" t="inlineStr">
        <is>
          <t>Science &amp; Technology - Other Topics; Environmental Sciences &amp; Ecology</t>
        </is>
      </c>
      <c r="BN1445" t="inlineStr">
        <is>
          <t>HC1AQ</t>
        </is>
      </c>
      <c r="BP1445" t="inlineStr">
        <is>
          <t>Green Submitted, gold</t>
        </is>
      </c>
      <c r="BS1445" t="inlineStr">
        <is>
          <t>2023-10-26</t>
        </is>
      </c>
      <c r="BT1445" t="inlineStr">
        <is>
          <t>WOS:000451531700004</t>
        </is>
      </c>
      <c r="BU1445">
        <f>HYPERLINK("https%3A%2F%2Fwww.webofscience.com%2Fwos%2Fwoscc%2Ffull-record%2FWOS:000451531700004","View Full Record in Web of Science")</f>
        <v/>
      </c>
    </row>
    <row r="1446">
      <c r="A1446" t="inlineStr">
        <is>
          <t>J</t>
        </is>
      </c>
      <c r="B1446" t="inlineStr">
        <is>
          <t>Paneru, S; Jahromi, FF; Hatami, M; Roudebush, W; Jeelani, I</t>
        </is>
      </c>
      <c r="F1446" t="inlineStr">
        <is>
          <t>Paneru, Suman; Jahromi, Forough Foroutan; Hatami, Mohsen; Roudebush, Wilfred; Jeelani, Idris</t>
        </is>
      </c>
      <c r="J1446" t="inlineStr">
        <is>
          <t>SUSTAINABILITY</t>
        </is>
      </c>
      <c r="M1446" t="inlineStr">
        <is>
          <t>English</t>
        </is>
      </c>
      <c r="N1446" t="inlineStr">
        <is>
          <t>Article</t>
        </is>
      </c>
      <c r="T1446" t="inlineStr">
        <is>
          <t>Integration of Emergy Analysis with Building Information Modeling</t>
        </is>
      </c>
      <c r="U1446" t="inlineStr">
        <is>
          <t>emergy; sustainability; environment; building information model; energy</t>
        </is>
      </c>
      <c r="V1446" t="inlineStr">
        <is>
          <t>EMBODIED ENERGY MEASUREMENT; LIFE-CYCLE; SUSTAINABLE DEVELOPMENT; CLIMATE-CHANGE; BIM; ENVIRONMENT; LCA</t>
        </is>
      </c>
      <c r="W1446" t="inlineStr">
        <is>
          <t>Traditional energy analysis in Building Information Modeling (BIM) only accounts for the energy requirements of building operations during a portion of the occupancy phase of the building's life cycle and as such is unable to quantify the true impact of buildings on the environment. Specifically, the typical energy analysis in BIM does not account for the energy associated with resource formation, recycling, and demolition. Therefore, a comprehensive method is required to analyze the true environmental impact of buildings. Emergy analysis can offer a holistic approach to account for the environmental cost of activities involved in building construction and operation in all its life cycle phases from resource formation to demolition. As such, the integration of emergy analysis with BIM can result in the development of a holistic sustainability performance tool. Therefore, this study aimed at developing a comprehensive framework for the integration of emergy analysis with existing Building Information Modeling tools. The proposed framework was validated using a case study involving a test building element of 8' x 8' composite wall. The case study demonstrated the successful integration of emergy analysis with Revit(R)2021 using the inbuilt features of Revit and external tools such as MS Excel. The framework developed in this study will help in accurately determining the environmental cost of the buildings, which will help in selecting environment-friendly building materials and systems. In addition, the integration of emergy into BIM will allow a comparison of various built environment alternatives enabling designers to make sustainable decisions during the design phase.</t>
        </is>
      </c>
      <c r="X1446" t="inlineStr">
        <is>
          <t>[Paneru, Suman; Hatami, Mohsen; Jeelani, Idris] Univ Florida, ME Rinker Sr Sch Construct Management, POB 115703, Gainesville, FL 32611 USA; [Jahromi, Forough Foroutan] Univ Florida, Sch Architecture, Coll Design Construct &amp; Planning, POB 115702, Gainesville, FL 32611 USA; [Roudebush, Wilfred] Bowling Green State Univ, Sch Built Environm, Bowling Green, OH 43403 USA</t>
        </is>
      </c>
      <c r="Y1446" t="inlineStr">
        <is>
          <t>State University System of Florida; University of Florida; State University System of Florida; University of Florida; University System of Ohio; Bowling Green State University</t>
        </is>
      </c>
      <c r="Z1446" t="inlineStr">
        <is>
          <t>Paneru, S (corresponding author), Univ Florida, ME Rinker Sr Sch Construct Management, POB 115703, Gainesville, FL 32611 USA.</t>
        </is>
      </c>
      <c r="AA1446" t="inlineStr">
        <is>
          <t>spaneru@ufl.edu; forough.foroutan@ufl.edu; mohsen.hatami@ufl.edu; wroudeb@bgsu.edu; idris.jeelani@ufl.edu</t>
        </is>
      </c>
      <c r="AB1446" t="inlineStr">
        <is>
          <t>Hatami, Mohsen/Q-8359-2018</t>
        </is>
      </c>
      <c r="AC1446" t="inlineStr">
        <is>
          <t>Hatami, Mohsen/0000-0002-1788-8777; Paneru, Suman/0000-0002-7835-7320</t>
        </is>
      </c>
      <c r="AH1446" t="n">
        <v>40</v>
      </c>
      <c r="AI1446" t="n">
        <v>10</v>
      </c>
      <c r="AJ1446" t="n">
        <v>10</v>
      </c>
      <c r="AK1446" t="n">
        <v>3</v>
      </c>
      <c r="AL1446" t="n">
        <v>26</v>
      </c>
      <c r="AM1446" t="inlineStr">
        <is>
          <t>MDPI</t>
        </is>
      </c>
      <c r="AN1446" t="inlineStr">
        <is>
          <t>BASEL</t>
        </is>
      </c>
      <c r="AO1446" t="inlineStr">
        <is>
          <t>ST ALBAN-ANLAGE 66, CH-4052 BASEL, SWITZERLAND</t>
        </is>
      </c>
      <c r="AQ1446" t="inlineStr">
        <is>
          <t>2071-1050</t>
        </is>
      </c>
      <c r="AS1446" t="inlineStr">
        <is>
          <t>SUSTAINABILITY-BASEL</t>
        </is>
      </c>
      <c r="AT1446" t="inlineStr">
        <is>
          <t>Sustainability</t>
        </is>
      </c>
      <c r="AU1446" t="inlineStr">
        <is>
          <t>JUL</t>
        </is>
      </c>
      <c r="AV1446" t="n">
        <v>2021</v>
      </c>
      <c r="AW1446" t="n">
        <v>13</v>
      </c>
      <c r="AX1446" t="n">
        <v>14</v>
      </c>
      <c r="BE1446" t="n">
        <v>7990</v>
      </c>
      <c r="BF1446" t="inlineStr">
        <is>
          <t>10.3390/su13147990</t>
        </is>
      </c>
      <c r="BG1446">
        <f>HYPERLINK("http://dx.doi.org/10.3390/su13147990","http://dx.doi.org/10.3390/su13147990")</f>
        <v/>
      </c>
      <c r="BJ1446" t="n">
        <v>16</v>
      </c>
      <c r="BK1446" t="inlineStr">
        <is>
          <t>Green &amp; Sustainable Science &amp; Technology; Environmental Sciences; Environmental Studies</t>
        </is>
      </c>
      <c r="BL1446" t="inlineStr">
        <is>
          <t>Science Citation Index Expanded (SCI-EXPANDED); Social Science Citation Index (SSCI)</t>
        </is>
      </c>
      <c r="BM1446" t="inlineStr">
        <is>
          <t>Science &amp; Technology - Other Topics; Environmental Sciences &amp; Ecology</t>
        </is>
      </c>
      <c r="BN1446" t="inlineStr">
        <is>
          <t>TO5BJ</t>
        </is>
      </c>
      <c r="BP1446" t="inlineStr">
        <is>
          <t>gold</t>
        </is>
      </c>
      <c r="BS1446" t="inlineStr">
        <is>
          <t>2023-10-26</t>
        </is>
      </c>
      <c r="BT1446" t="inlineStr">
        <is>
          <t>WOS:000676926600001</t>
        </is>
      </c>
      <c r="BU1446">
        <f>HYPERLINK("https%3A%2F%2Fwww.webofscience.com%2Fwos%2Fwoscc%2Ffull-record%2FWOS:000676926600001","View Full Record in Web of Science")</f>
        <v/>
      </c>
    </row>
    <row r="1447">
      <c r="A1447" t="inlineStr">
        <is>
          <t>J</t>
        </is>
      </c>
      <c r="B1447" t="inlineStr">
        <is>
          <t>Zhao, YW; van den Berg, PEW; Ossokina, IV; Arentze, TA</t>
        </is>
      </c>
      <c r="F1447" t="inlineStr">
        <is>
          <t>Zhao, Yuwen; van den Berg, Pauline E. W.; Ossokina, Ioulia V.; Arentze, Theo A.</t>
        </is>
      </c>
      <c r="J1447" t="inlineStr">
        <is>
          <t>SUSTAINABILITY</t>
        </is>
      </c>
      <c r="M1447" t="inlineStr">
        <is>
          <t>English</t>
        </is>
      </c>
      <c r="N1447" t="inlineStr">
        <is>
          <t>Article</t>
        </is>
      </c>
      <c r="T1447" t="inlineStr">
        <is>
          <t>Individual Momentary Experiences of Neighborhood Public Spaces: Results of a Virtual Environment Based Stated Preference Experiment</t>
        </is>
      </c>
      <c r="U1447" t="inlineStr">
        <is>
          <t>public space; green space; momentary experience; emotion; satisfaction; stated preference experiment</t>
        </is>
      </c>
      <c r="V1447" t="inlineStr">
        <is>
          <t>URBAN PARK USERS; GREEN-SPACE; PHYSICAL-ACTIVITY; BUILT ENVIRONMENT; DESIGN; HEALTH; SATISFACTION; CHOICE; NOISE; ASSOCIATIONS</t>
        </is>
      </c>
      <c r="W1447" t="inlineStr">
        <is>
          <t>Although it has become increasingly recognized that the spatial design of public space plays an important role in the perceived quality of the built environment by users, there is still little known about the influences of specific attributes on individuals' experiences. Therefore, this study aims at (1) identifying the factors underlying momentary experiences in public space given both cognitive (satisfaction) and affective (emotion) responses and (2) understanding the experiences as a function of green and design attributes and analyzing the heterogeneity in preferences. To achieve the research goals, this study innovatively introduced an online video-based stated preference experiment. A national sample of 316 individuals from the Netherlands were invited to complete the experiment. The results of a factor analysis indicate that the momentary experiences of the environments presented can be reduced to a single preference dimension capturing the cognitive as well as affective elements of experiences. The results of a latent class regression analysis furthermore show that there is substantial heterogeneity on how attributes are experienced. Three classes emerge which differ in terms of satisfaction with life and satisfaction with availability of green in the current living environment on dwelling, neighborhood, and city level. Presence of trees, vertical green on facades, and grass surfaces were found to be most important for individuals' experiences generally. The paper provides a new understanding of how spatial attributes in neighborhood public spaces can influence individuals' momentary experiences. For cities pursuing both greenification and densification, this study offers quantitative evidence to support the selection of design attributes of neighborhood public spaces which can evoke positive experiences.</t>
        </is>
      </c>
      <c r="X1447" t="inlineStr">
        <is>
          <t>[Zhao, Yuwen; van den Berg, Pauline E. W.; Ossokina, Ioulia V.; Arentze, Theo A.] Eindhoven Univ Technol, Dept Built Environm, NL-5612 AZ Eindhoven, Netherlands</t>
        </is>
      </c>
      <c r="Y1447" t="inlineStr">
        <is>
          <t>Eindhoven University of Technology</t>
        </is>
      </c>
      <c r="Z1447" t="inlineStr">
        <is>
          <t>Zhao, YW (corresponding author), Eindhoven Univ Technol, Dept Built Environm, NL-5612 AZ Eindhoven, Netherlands.</t>
        </is>
      </c>
      <c r="AA1447" t="inlineStr">
        <is>
          <t>y.zhao4@tue.nl; p.e.w.v.d.berg@tue.nl; i.v.ossokina@tue.nl; t.a.arentze@tue.nl</t>
        </is>
      </c>
      <c r="AB1447" t="inlineStr">
        <is>
          <t>Van+Den+Berg, Pauline/ACY-3551-2022; ZHAO, Yuwen/GSN-2399-2022</t>
        </is>
      </c>
      <c r="AC1447" t="inlineStr">
        <is>
          <t>van den Berg, Pauline/0000-0003-1712-5873; ZHAO, Yuwen/0000-0003-3689-1063; Ossokina, Ioulia/0000-0002-2028-4499</t>
        </is>
      </c>
      <c r="AD1447" t="inlineStr">
        <is>
          <t>Chinese Scholarship Council (China) [CSC 201806250029]; Chinese Scholarship Council</t>
        </is>
      </c>
      <c r="AE1447" t="inlineStr">
        <is>
          <t>Chinese Scholarship Council (China)(China Scholarship Council); Chinese Scholarship Council(China Scholarship Council)</t>
        </is>
      </c>
      <c r="AF1447" t="inlineStr">
        <is>
          <t>This research was funded by the Chinese Scholarship Council (China), grant number CSC 201806250029. We would like to thank the Chinese Scholarship Council for providing the funding for the Ph.D. study.</t>
        </is>
      </c>
      <c r="AH1447" t="n">
        <v>102</v>
      </c>
      <c r="AI1447" t="n">
        <v>2</v>
      </c>
      <c r="AJ1447" t="n">
        <v>2</v>
      </c>
      <c r="AK1447" t="n">
        <v>12</v>
      </c>
      <c r="AL1447" t="n">
        <v>26</v>
      </c>
      <c r="AM1447" t="inlineStr">
        <is>
          <t>MDPI</t>
        </is>
      </c>
      <c r="AN1447" t="inlineStr">
        <is>
          <t>BASEL</t>
        </is>
      </c>
      <c r="AO1447" t="inlineStr">
        <is>
          <t>ST ALBAN-ANLAGE 66, CH-4052 BASEL, SWITZERLAND</t>
        </is>
      </c>
      <c r="AQ1447" t="inlineStr">
        <is>
          <t>2071-1050</t>
        </is>
      </c>
      <c r="AS1447" t="inlineStr">
        <is>
          <t>SUSTAINABILITY-BASEL</t>
        </is>
      </c>
      <c r="AT1447" t="inlineStr">
        <is>
          <t>Sustainability</t>
        </is>
      </c>
      <c r="AU1447" t="inlineStr">
        <is>
          <t>MAY</t>
        </is>
      </c>
      <c r="AV1447" t="n">
        <v>2022</v>
      </c>
      <c r="AW1447" t="n">
        <v>14</v>
      </c>
      <c r="AX1447" t="n">
        <v>9</v>
      </c>
      <c r="BE1447" t="n">
        <v>4938</v>
      </c>
      <c r="BF1447" t="inlineStr">
        <is>
          <t>10.3390/su14094938</t>
        </is>
      </c>
      <c r="BG1447">
        <f>HYPERLINK("http://dx.doi.org/10.3390/su14094938","http://dx.doi.org/10.3390/su14094938")</f>
        <v/>
      </c>
      <c r="BJ1447" t="n">
        <v>22</v>
      </c>
      <c r="BK1447" t="inlineStr">
        <is>
          <t>Green &amp; Sustainable Science &amp; Technology; Environmental Sciences; Environmental Studies</t>
        </is>
      </c>
      <c r="BL1447" t="inlineStr">
        <is>
          <t>Science Citation Index Expanded (SCI-EXPANDED); Social Science Citation Index (SSCI)</t>
        </is>
      </c>
      <c r="BM1447" t="inlineStr">
        <is>
          <t>Science &amp; Technology - Other Topics; Environmental Sciences &amp; Ecology</t>
        </is>
      </c>
      <c r="BN1447" t="inlineStr">
        <is>
          <t>1F7YK</t>
        </is>
      </c>
      <c r="BP1447" t="inlineStr">
        <is>
          <t>Green Published, gold</t>
        </is>
      </c>
      <c r="BS1447" t="inlineStr">
        <is>
          <t>2023-10-26</t>
        </is>
      </c>
      <c r="BT1447" t="inlineStr">
        <is>
          <t>WOS:000795379500001</t>
        </is>
      </c>
      <c r="BU1447">
        <f>HYPERLINK("https%3A%2F%2Fwww.webofscience.com%2Fwos%2Fwoscc%2Ffull-record%2FWOS:000795379500001","View Full Record in Web of Science")</f>
        <v/>
      </c>
    </row>
    <row r="1448">
      <c r="A1448" t="inlineStr">
        <is>
          <t>J</t>
        </is>
      </c>
      <c r="B1448" t="inlineStr">
        <is>
          <t>Choi, W; Ranasinghe, D; Bunavage, K; DeShazo, JR; Wu, LS; Seguel, R; Winer, AM; Paulson, SE</t>
        </is>
      </c>
      <c r="F1448" t="inlineStr">
        <is>
          <t>Choi, Wonsik; Ranasinghe, Dilhara; Bunavage, Karen; DeShazo, J. R.; Wu, Lisa; Seguel, Rodrigo; Winer, Arthur M.; Paulson, Suzanne E.</t>
        </is>
      </c>
      <c r="J1448" t="inlineStr">
        <is>
          <t>SCIENCE OF THE TOTAL ENVIRONMENT</t>
        </is>
      </c>
      <c r="M1448" t="inlineStr">
        <is>
          <t>English</t>
        </is>
      </c>
      <c r="N1448" t="inlineStr">
        <is>
          <t>Article</t>
        </is>
      </c>
      <c r="T1448" t="inlineStr">
        <is>
          <t>The effects of the built environment, traffic patterns, and micrometeorology on street level ultrafine particle concentrations at a block scale: Results from multiple urban sites</t>
        </is>
      </c>
      <c r="U1448" t="inlineStr">
        <is>
          <t>Ultrafine particles; Built-environment; Aspect ratio; Turbulence; Pedestrian exposure; Transit-oriented development</t>
        </is>
      </c>
      <c r="V1448" t="inlineStr">
        <is>
          <t>MOTOR-VEHICLE EMISSIONS; AIR-POLLUTION; LOS-ANGELES; IMPACTS; MICROENVIRONMENTS; NEIGHBORHOOD; ASSOCIATION; PROXIMITY; FREEWAYS; HEIGHT</t>
        </is>
      </c>
      <c r="W1448" t="inlineStr">
        <is>
          <t>This study attempts to explain explicitly the direct and quantitative effects of complicated urban built-environment on near-road dispersion and levels of vehicular emissions at the scale of several city blocks, based on ultrafine particle concentrations ([UFP]). On short timescales, ultrafine particles are an excellent proxy for other roadway emissions. Five measurement sites in the greater Los Angeles with different built environments but similar mesoscale meteorology were explored. After controlling for traffic, for most sampling days and sites, morning [UFP] were higher than those in the afternoon due to limited dispersion capacity combined with a relatively stable surface layer. [UFP] at the intersection corners were also higher than those over the sampling sites, implying that accelerating vehicles around the intersections contributed to [UFP] elevation. In the calm morning, the areal aspect ratio (Ar-area), developed in this study for real urban configurations, showed a strong relationship with block-scale [UFP]. Ar-area includes the building area-weighted building height, the amount of open space, and the building footprint. In the afternoon, however, when wind speeds were generally higher and turbulence was stronger, vertical turbulence intensity sigma(w) was the most effective factor controlling [UFP]. The surrounding built environment appears to play an indirect role in observed [UFP], by affecting surface level micrometeorology. The effects are substantial; controlling for traffic, differences in Ar-area and building heterogeneity were related to differences in [UFP] of factors of two to three among our five study sites. These results have significant implications for pedestrian exposure as well as transit-oriented urban planning. (C) 2016 Elsevier B.V. All rights reserved.</t>
        </is>
      </c>
      <c r="X1448" t="inlineStr">
        <is>
          <t>[Choi, Wonsik; Ranasinghe, Dilhara; Bunavage, Karen; Seguel, Rodrigo; Paulson, Suzanne E.] Univ Calif Los Angeles, Dept Atmospher &amp; Ocean Sci, 405 Hilgard Ave, Los Angeles, CA 90095 USA; [Choi, Wonsik; Paulson, Suzanne E.] Univ Calif Los Angeles, Inst Environm &amp; Sustainabil, La Kretz Hall,Suite 300, Los Angeles, CA 90095 USA; [DeShazo, J. R.; Wu, Lisa] Univ Calif Los Angeles, Luskin Ctr Innovat, Luskin Sch Publ Affairs, 3250 Publ Affairs Bldg, Los Angeles, CA 90095 USA; [Seguel, Rodrigo] Univ Chile, Fac Sci, Ctr Environm Sci, Palmeras 3425 Nunoa, Santiago, Chile; [Winer, Arthur M.] Univ Calif Los Angeles, Fielding Sch Publ Hlth, Dept Environm Hlth Sci, 650 Charles Young Dr, Los Angeles, CA 90095 USA</t>
        </is>
      </c>
      <c r="Y1448" t="inlineStr">
        <is>
          <t>University of California System; University of California Los Angeles; University of California System; University of California Los Angeles; University of California System; University of California Los Angeles; Universidad de Chile; University of California System; University of California Los Angeles</t>
        </is>
      </c>
      <c r="Z1448" t="inlineStr">
        <is>
          <t>Choi, W (corresponding author), Pukyong Natl Univ, Geosci Inst, 45 Yongso Ro, Busan, South Korea.</t>
        </is>
      </c>
      <c r="AA1448" t="inlineStr">
        <is>
          <t>wschoi@atmos.ucla.edu</t>
        </is>
      </c>
      <c r="AB1448" t="inlineStr">
        <is>
          <t>Seguel, Rodrigo J./AAB-9241-2020; Ranasinghe, Dilhara/HGC-5885-2022</t>
        </is>
      </c>
      <c r="AC1448" t="inlineStr">
        <is>
          <t>Seguel, Rodrigo J./0000-0003-4641-5618; Choi, Wonsik/0000-0003-2988-7242</t>
        </is>
      </c>
      <c r="AD1448" t="inlineStr">
        <is>
          <t>California Air Resources Board [12-308]; U.S. National Science Foundation [CNS-1111971001]; Korean Ministry of Environment through Climate Change Correspondence Program</t>
        </is>
      </c>
      <c r="AE1448" t="inlineStr">
        <is>
          <t>California Air Resources Board; U.S. National Science Foundation(National Science Foundation (NSF)); Korean Ministry of Environment through Climate Change Correspondence Program</t>
        </is>
      </c>
      <c r="AF1448" t="inlineStr">
        <is>
          <t>The authors gratefully acknowledge support for this study by the California Air Resources Board, Contract No. 12-308 and U.S. National Science Foundation, Contract No. CNS-1111971001. The first author was partially funded by Korean Ministry of Environment through Climate Change Correspondence Program. The mobile monitoring platform measurements were made possible with the generous assistance of our colleagues Kathleen Kozawa and Steve Mara. The authors also appreciate Prof. A. Venkatram, Mr. Schulte, and Dr. S. Tan at the University of California, Riverside for the sonic anemometer data. The views and opinions in this study are those of the authors and do not reflect the official views of the CARB.</t>
        </is>
      </c>
      <c r="AH1448" t="n">
        <v>33</v>
      </c>
      <c r="AI1448" t="n">
        <v>25</v>
      </c>
      <c r="AJ1448" t="n">
        <v>26</v>
      </c>
      <c r="AK1448" t="n">
        <v>3</v>
      </c>
      <c r="AL1448" t="n">
        <v>78</v>
      </c>
      <c r="AM1448" t="inlineStr">
        <is>
          <t>ELSEVIER</t>
        </is>
      </c>
      <c r="AN1448" t="inlineStr">
        <is>
          <t>AMSTERDAM</t>
        </is>
      </c>
      <c r="AO1448" t="inlineStr">
        <is>
          <t>RADARWEG 29, 1043 NX AMSTERDAM, NETHERLANDS</t>
        </is>
      </c>
      <c r="AP1448" t="inlineStr">
        <is>
          <t>0048-9697</t>
        </is>
      </c>
      <c r="AQ1448" t="inlineStr">
        <is>
          <t>1879-1026</t>
        </is>
      </c>
      <c r="AS1448" t="inlineStr">
        <is>
          <t>SCI TOTAL ENVIRON</t>
        </is>
      </c>
      <c r="AT1448" t="inlineStr">
        <is>
          <t>Sci. Total Environ.</t>
        </is>
      </c>
      <c r="AU1448" t="inlineStr">
        <is>
          <t>MAY 15</t>
        </is>
      </c>
      <c r="AV1448" t="n">
        <v>2016</v>
      </c>
      <c r="AW1448" t="n">
        <v>553</v>
      </c>
      <c r="BC1448" t="n">
        <v>474</v>
      </c>
      <c r="BD1448" t="n">
        <v>485</v>
      </c>
      <c r="BF1448" t="inlineStr">
        <is>
          <t>10.1016/j.scitotenv.2016.02.083</t>
        </is>
      </c>
      <c r="BG1448">
        <f>HYPERLINK("http://dx.doi.org/10.1016/j.scitotenv.2016.02.083","http://dx.doi.org/10.1016/j.scitotenv.2016.02.083")</f>
        <v/>
      </c>
      <c r="BJ1448" t="n">
        <v>12</v>
      </c>
      <c r="BK1448" t="inlineStr">
        <is>
          <t>Environmental Sciences</t>
        </is>
      </c>
      <c r="BL1448" t="inlineStr">
        <is>
          <t>Science Citation Index Expanded (SCI-EXPANDED)</t>
        </is>
      </c>
      <c r="BM1448" t="inlineStr">
        <is>
          <t>Environmental Sciences &amp; Ecology</t>
        </is>
      </c>
      <c r="BN1448" t="inlineStr">
        <is>
          <t>DI0XN</t>
        </is>
      </c>
      <c r="BO1448" t="n">
        <v>26938315</v>
      </c>
      <c r="BP1448" t="inlineStr">
        <is>
          <t>hybrid</t>
        </is>
      </c>
      <c r="BS1448" t="inlineStr">
        <is>
          <t>2023-10-26</t>
        </is>
      </c>
      <c r="BT1448" t="inlineStr">
        <is>
          <t>WOS:000373220700048</t>
        </is>
      </c>
      <c r="BU1448">
        <f>HYPERLINK("https%3A%2F%2Fwww.webofscience.com%2Fwos%2Fwoscc%2Ffull-record%2FWOS:000373220700048","View Full Record in Web of Science")</f>
        <v/>
      </c>
    </row>
    <row r="1449">
      <c r="A1449" t="inlineStr">
        <is>
          <t>J</t>
        </is>
      </c>
      <c r="B1449" t="inlineStr">
        <is>
          <t>Bao, Y; Huang, Z; Li, LN; Wang, H; Lin, JY; Liu, G</t>
        </is>
      </c>
      <c r="F1449" t="inlineStr">
        <is>
          <t>Bao, Yi; Huang, Zhou; Li, Linna; Wang, Han; Lin, Jiayuan; Liu, Gang</t>
        </is>
      </c>
      <c r="J1449" t="inlineStr">
        <is>
          <t>RESOURCES CONSERVATION AND RECYCLING</t>
        </is>
      </c>
      <c r="M1449" t="inlineStr">
        <is>
          <t>English</t>
        </is>
      </c>
      <c r="N1449" t="inlineStr">
        <is>
          <t>Article</t>
        </is>
      </c>
      <c r="T1449" t="inlineStr">
        <is>
          <t>Evaluating the human use efficiency of urban built environment and their coordinated development in a spatially refined manner</t>
        </is>
      </c>
      <c r="U1449" t="inlineStr">
        <is>
          <t>Coupling coordination degree; Urban sustainability; Built environment stocks; Human activity; Spatial autocorrelation</t>
        </is>
      </c>
      <c r="V1449" t="inlineStr">
        <is>
          <t>CARBON EMISSIONS; GHOST CITIES; CHINA; MOBILITY; URBANIZATION; WASTE; NEXUS</t>
        </is>
      </c>
      <c r="W1449" t="inlineStr">
        <is>
          <t>Urban sustainability requires a coordinated development between urban built environment and human activities in cities. The irrational allocation of built environment stocks such as buildings and roads has led to urban problems like urban villages and ghost cities. However, the human use efficiency of urban built environment within cities and their coordinated development at a high spatial resolution remain hitherto poorly understood. Here, we aim to address this knowledge gap by leveraging the coupling coordination degree (CCD) method and emerging geospatial big data. We develop a framework that considers intra-city heterogeneity to achieve high -resolution mapping of the CCD between built environment and human activity at a grid level of 250m*250m for a case of Beijing, China. Our results show that the CCD of urban built environment and human activity in Beijing has a significant spatial correlation with a global Morans I of 0.716 and the two subsystems are well coupled in most areas. While the built environment subsystem lags in some old urban areas and commercial districts in the city center, human activity lags slightly in areas such as factories at the edge of the city. We suggest such methods could be extended to other cities to inform urban spatial planning and infrastructure development and maximize the human use efficiency of urban built environment in different cities and at different stages of urban development.</t>
        </is>
      </c>
      <c r="X1449" t="inlineStr">
        <is>
          <t>[Bao, Yi; Huang, Zhou; Wang, Han] Peking Univ, Inst Remote Sensing &amp; Geog Informat Syst, Sch Earth &amp; Space Sci, Beijing, Peoples R China; [Lin, Jiayuan] Calif State Univ, Dept Geog, Long Beach, CA USA; [Liu, Gang] Southwest Univ, Sch Geog Sci, Chongqing Jinfo Mt Karst Ecosyst Natl Observat &amp; R, Chongqing, Peoples R China; [Liu, Gang] Peking Univ, Coll Urban &amp; Environm Sci, Beijing, Peoples R China</t>
        </is>
      </c>
      <c r="Y1449" t="inlineStr">
        <is>
          <t>Peking University; California State University System; California State University Long Beach; Southwest University - China; Peking University</t>
        </is>
      </c>
      <c r="Z1449" t="inlineStr">
        <is>
          <t>Huang, Z (corresponding author), Peking Univ, Inst Remote Sensing &amp; Geog Informat Syst, Sch Earth &amp; Space Sci, Beijing, Peoples R China.</t>
        </is>
      </c>
      <c r="AA1449" t="inlineStr">
        <is>
          <t>huangzhou@pku.edu.cn</t>
        </is>
      </c>
      <c r="AB1449" t="inlineStr">
        <is>
          <t>Wang, Han/GXV-5537-2022; yi, Bao/HCH-2605-2022</t>
        </is>
      </c>
      <c r="AC1449" t="inlineStr">
        <is>
          <t>Wang, Han/0000-0002-6970-9806; yi, Bao/0000-0002-2175-2688; Huang, Zhou/0000-0002-1255-1913</t>
        </is>
      </c>
      <c r="AD1449" t="inlineStr">
        <is>
          <t>National Natural Science Foundation of China; [42271471]; [41971331,41830645]</t>
        </is>
      </c>
      <c r="AE1449" t="inlineStr">
        <is>
          <t>National Natural Science Foundation of China(National Natural Science Foundation of China (NSFC)); ;</t>
        </is>
      </c>
      <c r="AF1449" t="inlineStr">
        <is>
          <t>acknowledgement We acknowledge the financial support from the National Natural Science Foundation of China (42271471, 41971331,41830645) . We also appreciate the detailed comments from the Editor and the anonymous reviewers.</t>
        </is>
      </c>
      <c r="AH1449" t="n">
        <v>72</v>
      </c>
      <c r="AI1449" t="n">
        <v>3</v>
      </c>
      <c r="AJ1449" t="n">
        <v>3</v>
      </c>
      <c r="AK1449" t="n">
        <v>11</v>
      </c>
      <c r="AL1449" t="n">
        <v>40</v>
      </c>
      <c r="AM1449" t="inlineStr">
        <is>
          <t>ELSEVIER</t>
        </is>
      </c>
      <c r="AN1449" t="inlineStr">
        <is>
          <t>AMSTERDAM</t>
        </is>
      </c>
      <c r="AO1449" t="inlineStr">
        <is>
          <t>RADARWEG 29, 1043 NX AMSTERDAM, NETHERLANDS</t>
        </is>
      </c>
      <c r="AP1449" t="inlineStr">
        <is>
          <t>0921-3449</t>
        </is>
      </c>
      <c r="AQ1449" t="inlineStr">
        <is>
          <t>1879-0658</t>
        </is>
      </c>
      <c r="AS1449" t="inlineStr">
        <is>
          <t>RESOUR CONSERV RECY</t>
        </is>
      </c>
      <c r="AT1449" t="inlineStr">
        <is>
          <t>Resour. Conserv. Recycl.</t>
        </is>
      </c>
      <c r="AU1449" t="inlineStr">
        <is>
          <t>FEB</t>
        </is>
      </c>
      <c r="AV1449" t="n">
        <v>2023</v>
      </c>
      <c r="AW1449" t="n">
        <v>189</v>
      </c>
      <c r="BE1449" t="n">
        <v>106723</v>
      </c>
      <c r="BF1449" t="inlineStr">
        <is>
          <t>10.1016/j.resconrec.2022.106723</t>
        </is>
      </c>
      <c r="BG1449">
        <f>HYPERLINK("http://dx.doi.org/10.1016/j.resconrec.2022.106723","http://dx.doi.org/10.1016/j.resconrec.2022.106723")</f>
        <v/>
      </c>
      <c r="BI1449" t="inlineStr">
        <is>
          <t>OCT 2022</t>
        </is>
      </c>
      <c r="BJ1449" t="n">
        <v>10</v>
      </c>
      <c r="BK1449" t="inlineStr">
        <is>
          <t>Engineering, Environmental; Environmental Sciences</t>
        </is>
      </c>
      <c r="BL1449" t="inlineStr">
        <is>
          <t>Science Citation Index Expanded (SCI-EXPANDED)</t>
        </is>
      </c>
      <c r="BM1449" t="inlineStr">
        <is>
          <t>Engineering; Environmental Sciences &amp; Ecology</t>
        </is>
      </c>
      <c r="BN1449" t="inlineStr">
        <is>
          <t>6H5CD</t>
        </is>
      </c>
      <c r="BS1449" t="inlineStr">
        <is>
          <t>2023-10-26</t>
        </is>
      </c>
      <c r="BT1449" t="inlineStr">
        <is>
          <t>WOS:000885456600001</t>
        </is>
      </c>
      <c r="BU1449">
        <f>HYPERLINK("https%3A%2F%2Fwww.webofscience.com%2Fwos%2Fwoscc%2Ffull-record%2FWOS:000885456600001","View Full Record in Web of Science")</f>
        <v/>
      </c>
    </row>
    <row r="1450">
      <c r="A1450" t="inlineStr">
        <is>
          <t>J</t>
        </is>
      </c>
      <c r="B1450" t="inlineStr">
        <is>
          <t>Zhang, MX; Gao, Y; Xiong, JY</t>
        </is>
      </c>
      <c r="F1450" t="inlineStr">
        <is>
          <t>Zhang, Meixia; Gao, Ying; Xiong, Jianyin</t>
        </is>
      </c>
      <c r="J1450" t="inlineStr">
        <is>
          <t>CHEMOSPHERE</t>
        </is>
      </c>
      <c r="M1450" t="inlineStr">
        <is>
          <t>English</t>
        </is>
      </c>
      <c r="N1450" t="inlineStr">
        <is>
          <t>Article</t>
        </is>
      </c>
      <c r="T1450" t="inlineStr">
        <is>
          <t>Characterization of the off-body squalene ozonolysis on indoor surfaces</t>
        </is>
      </c>
      <c r="U1450" t="inlineStr">
        <is>
          <t>Chemical reaction; Physical transport; Indoor surface; Ozone; Squalene</t>
        </is>
      </c>
      <c r="V1450" t="inlineStr">
        <is>
          <t>ORGANIC-COMPOUNDS; HETEROGENEOUS OXIDATION; SKIN LIPIDS; OZONE; DIFFUSION; CHEMISTRY; PRODUCTS; SORPTION; GASES; VOCS</t>
        </is>
      </c>
      <c r="W1450" t="inlineStr">
        <is>
          <t>Chemical reaction and physical transport characteristics of indoor surfaces play an important role in indoor air quality. This study presents a kinetic model to describe the reaction of ozone with squalene on indoor surfaces in a family house, by incorporating external and internal mass transfer, surface partitioning, and chemical reaction on indoor surfaces. Field experiments were performed in the family house. The first 3-days of data, collected when the house was unoccupied, are used to derive the key parameters in the model, which are then used for predicting the concentrations in other unoccupied days. Comparison of squalene oxidation products during the occupied and unoccupied periods shows that even if the house is unoccupied for several days, the indoor concentrations of 6-methyl-5-hepten-2-one (6-MHO) and 4-oxopentanal (4-OPA) remain substantial, demonstrating that surface reaction of ozone with off-body squalene can significantly impact the composition of indoor air. Model predictions of the three compounds (ozone, 6-MHO, and 4-OPA) agree well with the experimental observations for all test days. Furthermore, we make the first attempt to estimate the duration of typical polyunsaturated aldehydes (TOP, TOT, and TTT), which indicated that these compounds, as well as off-body squalene, can persist on indoor surfaces for a relatively long period in the examined residence.</t>
        </is>
      </c>
      <c r="X1450" t="inlineStr">
        <is>
          <t>[Zhang, Meixia; Gao, Ying; Xiong, Jianyin] Beijing Inst Technol, Sch Mech Engn, Beijing 100081, Peoples R China; [Xiong, Jianyin] Univ Calif Berkeley, Dept Environm Sci Policy &amp; Management, Berkeley, CA 94720 USA</t>
        </is>
      </c>
      <c r="Y1450" t="inlineStr">
        <is>
          <t>Beijing Institute of Technology; University of California System; University of California Berkeley</t>
        </is>
      </c>
      <c r="Z1450" t="inlineStr">
        <is>
          <t>Xiong, JY (corresponding author), Beijing Inst Technol, Sch Mech Engn, Beijing 100081, Peoples R China.</t>
        </is>
      </c>
      <c r="AA1450" t="inlineStr">
        <is>
          <t>xiongjy@bit.edu.cn</t>
        </is>
      </c>
      <c r="AB1450" t="inlineStr">
        <is>
          <t>Xiong, Jianyin/F-8562-2012</t>
        </is>
      </c>
      <c r="AD1450" t="inlineStr">
        <is>
          <t>National Natural Science Founda-tion of China [52178062, 51778053]; Alfred P. Sloan Foundation [G-2016-7050, G-2019-11412]</t>
        </is>
      </c>
      <c r="AE1450" t="inlineStr">
        <is>
          <t>National Natural Science Founda-tion of China(National Natural Science Foundation of China (NSFC)); Alfred P. Sloan Foundation(Alfred P. Sloan Foundation)</t>
        </is>
      </c>
      <c r="AF1450" t="inlineStr">
        <is>
          <t>This study was supported by the National Natural Science Founda-tion of China (No. 52178062, 51778053) , and the Alfred P. Sloan Foundation (No. G-2016-7050 and G-2019-11412) . We thank Allen H. Goldstein, William W. Nazaroff, and Yingjun Liu for the helpful com-ments and field campaign.</t>
        </is>
      </c>
      <c r="AH1450" t="n">
        <v>46</v>
      </c>
      <c r="AI1450" t="n">
        <v>5</v>
      </c>
      <c r="AJ1450" t="n">
        <v>5</v>
      </c>
      <c r="AK1450" t="n">
        <v>5</v>
      </c>
      <c r="AL1450" t="n">
        <v>19</v>
      </c>
      <c r="AM1450" t="inlineStr">
        <is>
          <t>PERGAMON-ELSEVIER SCIENCE LTD</t>
        </is>
      </c>
      <c r="AN1450" t="inlineStr">
        <is>
          <t>OXFORD</t>
        </is>
      </c>
      <c r="AO1450" t="inlineStr">
        <is>
          <t>THE BOULEVARD, LANGFORD LANE, KIDLINGTON, OXFORD OX5 1GB, ENGLAND</t>
        </is>
      </c>
      <c r="AP1450" t="inlineStr">
        <is>
          <t>0045-6535</t>
        </is>
      </c>
      <c r="AQ1450" t="inlineStr">
        <is>
          <t>1879-1298</t>
        </is>
      </c>
      <c r="AS1450" t="inlineStr">
        <is>
          <t>CHEMOSPHERE</t>
        </is>
      </c>
      <c r="AT1450" t="inlineStr">
        <is>
          <t>Chemosphere</t>
        </is>
      </c>
      <c r="AU1450" t="inlineStr">
        <is>
          <t>MAR</t>
        </is>
      </c>
      <c r="AV1450" t="n">
        <v>2022</v>
      </c>
      <c r="AW1450" t="n">
        <v>291</v>
      </c>
      <c r="AY1450" t="n">
        <v>1</v>
      </c>
      <c r="BE1450" t="n">
        <v>132772</v>
      </c>
      <c r="BF1450" t="inlineStr">
        <is>
          <t>10.1016/j.chemosphere.2021.132772</t>
        </is>
      </c>
      <c r="BG1450">
        <f>HYPERLINK("http://dx.doi.org/10.1016/j.chemosphere.2021.132772","http://dx.doi.org/10.1016/j.chemosphere.2021.132772")</f>
        <v/>
      </c>
      <c r="BI1450" t="inlineStr">
        <is>
          <t>JAN 2022</t>
        </is>
      </c>
      <c r="BJ1450" t="n">
        <v>8</v>
      </c>
      <c r="BK1450" t="inlineStr">
        <is>
          <t>Environmental Sciences</t>
        </is>
      </c>
      <c r="BL1450" t="inlineStr">
        <is>
          <t>Science Citation Index Expanded (SCI-EXPANDED)</t>
        </is>
      </c>
      <c r="BM1450" t="inlineStr">
        <is>
          <t>Environmental Sciences &amp; Ecology</t>
        </is>
      </c>
      <c r="BN1450" t="inlineStr">
        <is>
          <t>ZD0ET</t>
        </is>
      </c>
      <c r="BO1450" t="n">
        <v>34742760</v>
      </c>
      <c r="BS1450" t="inlineStr">
        <is>
          <t>2023-10-26</t>
        </is>
      </c>
      <c r="BT1450" t="inlineStr">
        <is>
          <t>WOS:000757882300002</t>
        </is>
      </c>
      <c r="BU1450">
        <f>HYPERLINK("https%3A%2F%2Fwww.webofscience.com%2Fwos%2Fwoscc%2Ffull-record%2FWOS:000757882300002","View Full Record in Web of Science")</f>
        <v/>
      </c>
    </row>
    <row r="1451">
      <c r="A1451" t="inlineStr">
        <is>
          <t>J</t>
        </is>
      </c>
      <c r="B1451" t="inlineStr">
        <is>
          <t>Cho, HY; MacLachlan, M; Clarke, M; Mannan, H</t>
        </is>
      </c>
      <c r="F1451" t="inlineStr">
        <is>
          <t>Cho, Hea Young; MacLachlan, Malcolm; Clarke, Michael; Mannan, Hasheem</t>
        </is>
      </c>
      <c r="J1451" t="inlineStr">
        <is>
          <t>INTERNATIONAL JOURNAL OF ENVIRONMENTAL RESEARCH AND PUBLIC HEALTH</t>
        </is>
      </c>
      <c r="M1451" t="inlineStr">
        <is>
          <t>English</t>
        </is>
      </c>
      <c r="N1451" t="inlineStr">
        <is>
          <t>Review</t>
        </is>
      </c>
      <c r="T1451" t="inlineStr">
        <is>
          <t>Accessible Home Environments for People with Functional Limitations: A Systematic Review</t>
        </is>
      </c>
      <c r="U1451" t="inlineStr">
        <is>
          <t>International Classification of Functioning; disability and health; architectural accessibility; activities of daily living</t>
        </is>
      </c>
      <c r="V1451" t="inlineStr">
        <is>
          <t>QUALITY-OF-LIFE; OLDER-ADULTS; MENTAL-HEALTH; EVERYDAY LIFE; INTERVENTION; FALLS; TRIAL; DIFFICULTIES; ADAPTATION; PREVENTION</t>
        </is>
      </c>
      <c r="W1451" t="inlineStr">
        <is>
          <t>The aim of this review is to evaluate the health and social effects of accessible home environments for people with functional limitations, in order to provide evidence to promote well-informed decision making for policy guideline development and choices about public health interventions. MEDLINE and nine other electronic databases were searched between December 2014 and January 2015, for articles published since 2004. All study types were included in this review. Two reviewers independently screened 12,544 record titles or titles and abstracts based on our pre-defined eligibility criteria. We identified 94 articles as potentially eligible; and assessed their full text. Included studies were critically appraised using the Mixed Method Appraisal Tool, version 2011. Fourteen studies were included in the review. We did not identify any meta-analysis or systematic review directly relevant to the question for this systematic review. A narrative approach was used to synthesise the findings of the included studies due to methodological and statistical heterogeneity. Results suggest that certain interventions to enhance the accessibility of homes can have positive health and social effects. Home environments that lack accessibility modifications appropriate to the needs of their users are likely to result in people with physical impairments becoming disabled at home.</t>
        </is>
      </c>
      <c r="X1451" t="inlineStr">
        <is>
          <t>[Cho, Hea Young; MacLachlan, Malcolm] Trinity Coll Dublin, Ctr Global Hlth, 7-9 Leinster St South, Dublin 2, Ireland; [Cho, Hea Young; MacLachlan, Malcolm] Trinity Coll Dublin, Sch Psychol, Coll Green, Dublin 2, Ireland; [MacLachlan, Malcolm] Univ Stellenbosch, Ctr Rehabil Studies, Private Bag X1, ZA-7602 Stellenbosch, South Africa; [MacLachlan, Malcolm] Palacky Univ Olomouc, Olomouc Univ Social Hlth Inst, Olomouc 77111, Czech Republic; [Clarke, Michael] Queens Univ Belfast, Ctr Publ Hlth, Northern Ireland Network Trials Methodol Res, Belfast BT12 6BA, Antrim, North Ireland; [Mannan, Hasheem] Univ Coll Dublin, Sch Nursing Midwifery &amp; Hlth Syst, Dublin 4, Ireland</t>
        </is>
      </c>
      <c r="Y1451" t="inlineStr">
        <is>
          <t>Trinity College Dublin; Trinity College Dublin; Stellenbosch University; Palacky University Olomouc; Queens University Belfast; University College Dublin</t>
        </is>
      </c>
      <c r="Z1451" t="inlineStr">
        <is>
          <t>MacLachlan, M (corresponding author), Trinity Coll Dublin, Ctr Global Hlth, 7-9 Leinster St South, Dublin 2, Ireland.;MacLachlan, M (corresponding author), Trinity Coll Dublin, Sch Psychol, Coll Green, Dublin 2, Ireland.;MacLachlan, M (corresponding author), Univ Stellenbosch, Ctr Rehabil Studies, Private Bag X1, ZA-7602 Stellenbosch, South Africa.;MacLachlan, M (corresponding author), Palacky Univ Olomouc, Olomouc Univ Social Hlth Inst, Olomouc 77111, Czech Republic.</t>
        </is>
      </c>
      <c r="AA1451" t="inlineStr">
        <is>
          <t>choh@tcd.ie; malcolm.maclachlan@tcd.ie; m.clarke@qub.ac.uk; Hasheem.Mannan@ucd.ie</t>
        </is>
      </c>
      <c r="AC1451" t="inlineStr">
        <is>
          <t>Clarke, Mike/0000-0002-2926-7257</t>
        </is>
      </c>
      <c r="AD1451" t="inlineStr">
        <is>
          <t>World Health Organization; Medical Research Council [MC_CF023241] Funding Source: researchfish</t>
        </is>
      </c>
      <c r="AE1451" t="inlineStr">
        <is>
          <t>World Health Organization(World Health Organization); Medical Research Council(UK Research &amp; Innovation (UKRI)Medical Research Council UK (MRC))</t>
        </is>
      </c>
      <c r="AF1451" t="inlineStr">
        <is>
          <t>We thank Kath Wright, expert searcher, from the Centre for Reviews &amp; Dissemination, University of York, UK, who designed and refined the search strategies. We also thank the World Health Organization for funding this research, Susan Stark from Washington University, USA for her advice; and reviewers of this paper for helpful comments.</t>
        </is>
      </c>
      <c r="AH1451" t="n">
        <v>41</v>
      </c>
      <c r="AI1451" t="n">
        <v>26</v>
      </c>
      <c r="AJ1451" t="n">
        <v>26</v>
      </c>
      <c r="AK1451" t="n">
        <v>2</v>
      </c>
      <c r="AL1451" t="n">
        <v>27</v>
      </c>
      <c r="AM1451" t="inlineStr">
        <is>
          <t>MDPI</t>
        </is>
      </c>
      <c r="AN1451" t="inlineStr">
        <is>
          <t>BASEL</t>
        </is>
      </c>
      <c r="AO1451" t="inlineStr">
        <is>
          <t>ST ALBAN-ANLAGE 66, CH-4052 BASEL, SWITZERLAND</t>
        </is>
      </c>
      <c r="AP1451" t="inlineStr">
        <is>
          <t>1660-4601</t>
        </is>
      </c>
      <c r="AS1451" t="inlineStr">
        <is>
          <t>INT J ENV RES PUB HE</t>
        </is>
      </c>
      <c r="AT1451" t="inlineStr">
        <is>
          <t>Int. J. Environ. Res. Public Health</t>
        </is>
      </c>
      <c r="AU1451" t="inlineStr">
        <is>
          <t>AUG</t>
        </is>
      </c>
      <c r="AV1451" t="n">
        <v>2016</v>
      </c>
      <c r="AW1451" t="n">
        <v>13</v>
      </c>
      <c r="AX1451" t="n">
        <v>8</v>
      </c>
      <c r="BE1451" t="n">
        <v>826</v>
      </c>
      <c r="BF1451" t="inlineStr">
        <is>
          <t>10.3390/ijerph13080826</t>
        </is>
      </c>
      <c r="BG1451">
        <f>HYPERLINK("http://dx.doi.org/10.3390/ijerph13080826","http://dx.doi.org/10.3390/ijerph13080826")</f>
        <v/>
      </c>
      <c r="BJ1451" t="n">
        <v>24</v>
      </c>
      <c r="BK1451" t="inlineStr">
        <is>
          <t>Environmental Sciences; Public, Environmental &amp; Occupational Health</t>
        </is>
      </c>
      <c r="BL1451" t="inlineStr">
        <is>
          <t>Science Citation Index Expanded (SCI-EXPANDED); Social Science Citation Index (SSCI)</t>
        </is>
      </c>
      <c r="BM1451" t="inlineStr">
        <is>
          <t>Environmental Sciences &amp; Ecology; Public, Environmental &amp; Occupational Health</t>
        </is>
      </c>
      <c r="BN1451" t="inlineStr">
        <is>
          <t>DU8KV</t>
        </is>
      </c>
      <c r="BO1451" t="n">
        <v>27548194</v>
      </c>
      <c r="BP1451" t="inlineStr">
        <is>
          <t>Green Submitted, Green Published, gold, Green Accepted</t>
        </is>
      </c>
      <c r="BS1451" t="inlineStr">
        <is>
          <t>2023-10-26</t>
        </is>
      </c>
      <c r="BT1451" t="inlineStr">
        <is>
          <t>WOS:000382462900081</t>
        </is>
      </c>
      <c r="BU1451">
        <f>HYPERLINK("https%3A%2F%2Fwww.webofscience.com%2Fwos%2Fwoscc%2Ffull-record%2FWOS:000382462900081","View Full Record in Web of Science")</f>
        <v/>
      </c>
    </row>
    <row r="1452">
      <c r="A1452" t="inlineStr">
        <is>
          <t>J</t>
        </is>
      </c>
      <c r="B1452" t="inlineStr">
        <is>
          <t>Shi, WH; Zhang, HY; Zhang, J; Lyu, YB; Brasher, MS; Yin, ZX; Luo, JS; Hu, DS; Fen, L; Shi, XM</t>
        </is>
      </c>
      <c r="F1452" t="inlineStr">
        <is>
          <t>Shi Wen Hui; Zhang Hong Yang; Zhang Juan; Lyu Yue Bin; Brasher, Melanie Sereny; Yin Zhao Xue; Luo Jie Si; Hu Dong Sheng; Fen Lei; Shi Xiao Ming</t>
        </is>
      </c>
      <c r="J1452" t="inlineStr">
        <is>
          <t>BIOMEDICAL AND ENVIRONMENTAL SCIENCES</t>
        </is>
      </c>
      <c r="M1452" t="inlineStr">
        <is>
          <t>English</t>
        </is>
      </c>
      <c r="N1452" t="inlineStr">
        <is>
          <t>Article</t>
        </is>
      </c>
      <c r="T1452" t="inlineStr">
        <is>
          <t>The Status and Associated Factors of Successful Aging among Older Adults Residing in Longevity Areas in China</t>
        </is>
      </c>
      <c r="U1452" t="inlineStr">
        <is>
          <t>Successful aging; Older adults; Evaluation; Associated factors</t>
        </is>
      </c>
      <c r="W1452" t="inlineStr">
        <is>
          <t>Objective This study aims to assess the status of successful aging (SA) in longevity areas in China and explore multiple factors associated with SA among the young-old and oldest-old. Methods A total of 2296 elderly people aged 65 and older were interviewed in the longevity areas sub-sample of the Chinese Longitudinal Healthy Longevity Survey (CLHLS) in 2012. Baseline assessments included a researcher-administered questionnaire, physical examination, and laboratory testing. A logistic regression model was used to identify factors associated with SA. Results The prevalence of SA was 38.81% in the CLHLS in 2012. There were significant differences between ages groups, with SA compromising 56.85% among &gt;= 65 years group and 20.31% among &gt;= 100 years group (chi(2)(trend)=126.73, P&lt;0.01). The prevalence of SA among females was 33.59%, which was significantly lower than that among males (45.58%) (chi(2)(gender)=33.65, P&lt;0.05). In the regression analysis, having anemia (OR=0.744, 95% CI: 0.609-0.910), poor lifestyle (OR=0.697, 95% CI: 0.568-0.854), poor sleep quality (OR=0.558, 95% CI: 0.456-0.682), and central obesity (OR=0.684, 95% CI: 0.556-0.841) were the main factors associated with SA. The promoting SA rate decreased as age increased, and the group of 65-79 years had higher odds than the other age group. Conclusion Preventing central obesity, improving sleep quality and promoting healthy lifestyle may contribute to achieve SA among the elderly.</t>
        </is>
      </c>
      <c r="X1452" t="inlineStr">
        <is>
          <t>[Shi Wen Hui; Zhang Juan; Lyu Yue Bin; Yin Zhao Xue; Luo Jie Si] Chinese Ctr Dis Control &amp; Prevent, Div NCD Control &amp; Community Hlth, Beijing 102206, Peoples R China; [Zhang Hong Yang] Zhengzhou Univ, Coll Publ Hlth, Dept Epidemiol &amp; Hlth Stat, Zhengzhou 450001, Henan, Peoples R China; [Brasher, Melanie Sereny] Univ Rhode Isl, Dept Human Dev &amp; Family Studies, Dept Sociol &amp; Anthropol, Kingston, RI 02881 USA; [Hu Dong Sheng] Shenzhen Univ, Sch Med, Dept Prevent Med, Guangzhou 518060, Guangdong, Peoples R China; [Fen Lei] Natl Univ Singapore, Yong Loo Lin Sch Med, Dept Psychol Med, Singapore 119077, Singapore; [Shi Xiao Ming] Chinese Ctr Dis Control &amp; Prevent, Inst Environm Hlth &amp; Related Prod Safety, Beijing 100020, Peoples R China</t>
        </is>
      </c>
      <c r="Y1452" t="inlineStr">
        <is>
          <t>Chinese Center for Disease Control &amp; Prevention; Zhengzhou University; University of Rhode Island; Shenzhen University; National University of Singapore; Chinese Center for Disease Control &amp; Prevention; National Institute of Environmental Health, Chinese Center for Disease Control &amp; Prevention</t>
        </is>
      </c>
      <c r="Z1452" t="inlineStr">
        <is>
          <t>Shi, XM (corresponding author), Chinese Ctr Dis Control &amp; Prevent, Inst Environm Hlth &amp; Related Prod Safety, Beijing 100020, Peoples R China.</t>
        </is>
      </c>
      <c r="AA1452" t="inlineStr">
        <is>
          <t>shixm@chinacdc.cn</t>
        </is>
      </c>
      <c r="AB1452" t="inlineStr">
        <is>
          <t>Shi, Xiaoming/V-2119-2018; SHI, Wen/GPW-9531-2022; Zhang, Hongyang/IAR-1565-2023; Shi, Z/ISB-4324-2023</t>
        </is>
      </c>
      <c r="AC1452" t="inlineStr">
        <is>
          <t>Shi, Xiaoming/0000-0002-7071-571X; SHI, Wen/0000-0002-5106-4923; Brasher, Melanie/0000-0002-3601-4047</t>
        </is>
      </c>
      <c r="AD1452" t="inlineStr">
        <is>
          <t>National Natural Science Foundation of China [81273160, 71233001, 71110107025]; United Nations Population Fund; United States National Institutes of Health [R01AG23627]</t>
        </is>
      </c>
      <c r="AE1452" t="inlineStr">
        <is>
          <t>National Natural Science Foundation of China(National Natural Science Foundation of China (NSFC)); United Nations Population Fund; United States National Institutes of Health(United States Department of Health &amp; Human ServicesNational Institutes of Health (NIH) - USA)</t>
        </is>
      </c>
      <c r="AF1452" t="inlineStr">
        <is>
          <t>This work was supported by National Natural Science Foundation of China [81273160, 71233001, 71110107025]; and United Nations Population Fund and the United States National Institutes of Health [R01AG23627].</t>
        </is>
      </c>
      <c r="AH1452" t="n">
        <v>46</v>
      </c>
      <c r="AI1452" t="n">
        <v>17</v>
      </c>
      <c r="AJ1452" t="n">
        <v>20</v>
      </c>
      <c r="AK1452" t="n">
        <v>5</v>
      </c>
      <c r="AL1452" t="n">
        <v>49</v>
      </c>
      <c r="AM1452" t="inlineStr">
        <is>
          <t>CHINESE CENTER DISEASE CONTROL &amp; PREVENTION</t>
        </is>
      </c>
      <c r="AN1452" t="inlineStr">
        <is>
          <t>BEIJING</t>
        </is>
      </c>
      <c r="AO1452" t="inlineStr">
        <is>
          <t>155 CHANGBAI RD, CHANGPING DISTRICT, BEIJING, 102206, PEOPLES R CHINA</t>
        </is>
      </c>
      <c r="AP1452" t="inlineStr">
        <is>
          <t>0895-3988</t>
        </is>
      </c>
      <c r="AS1452" t="inlineStr">
        <is>
          <t>BIOMED ENVIRON SCI</t>
        </is>
      </c>
      <c r="AT1452" t="inlineStr">
        <is>
          <t>Biomed. Environ. Sci.</t>
        </is>
      </c>
      <c r="AU1452" t="inlineStr">
        <is>
          <t>MAY</t>
        </is>
      </c>
      <c r="AV1452" t="n">
        <v>2016</v>
      </c>
      <c r="AW1452" t="n">
        <v>29</v>
      </c>
      <c r="AX1452" t="n">
        <v>5</v>
      </c>
      <c r="BC1452" t="n">
        <v>347</v>
      </c>
      <c r="BD1452" t="n">
        <v>355</v>
      </c>
      <c r="BF1452" t="inlineStr">
        <is>
          <t>10.3967/bes2016.045</t>
        </is>
      </c>
      <c r="BG1452">
        <f>HYPERLINK("http://dx.doi.org/10.3967/bes2016.045","http://dx.doi.org/10.3967/bes2016.045")</f>
        <v/>
      </c>
      <c r="BJ1452" t="n">
        <v>9</v>
      </c>
      <c r="BK1452" t="inlineStr">
        <is>
          <t>Environmental Sciences; Public, Environmental &amp; Occupational Health</t>
        </is>
      </c>
      <c r="BL1452" t="inlineStr">
        <is>
          <t>Science Citation Index Expanded (SCI-EXPANDED); Social Science Citation Index (SSCI)</t>
        </is>
      </c>
      <c r="BM1452" t="inlineStr">
        <is>
          <t>Environmental Sciences &amp; Ecology; Public, Environmental &amp; Occupational Health</t>
        </is>
      </c>
      <c r="BN1452" t="inlineStr">
        <is>
          <t>DV4OU</t>
        </is>
      </c>
      <c r="BO1452" t="n">
        <v>27353709</v>
      </c>
      <c r="BS1452" t="inlineStr">
        <is>
          <t>2023-10-26</t>
        </is>
      </c>
      <c r="BT1452" t="inlineStr">
        <is>
          <t>WOS:000382905700005</t>
        </is>
      </c>
      <c r="BU1452">
        <f>HYPERLINK("https%3A%2F%2Fwww.webofscience.com%2Fwos%2Fwoscc%2Ffull-record%2FWOS:000382905700005","View Full Record in Web of Science")</f>
        <v/>
      </c>
    </row>
    <row r="1453">
      <c r="A1453" t="inlineStr">
        <is>
          <t>J</t>
        </is>
      </c>
      <c r="B1453" t="inlineStr">
        <is>
          <t>Sarna, I; Ferdyn-Grygierek, J; Grygierek, K</t>
        </is>
      </c>
      <c r="F1453" t="inlineStr">
        <is>
          <t>Sarna, Izabela; Ferdyn-Grygierek, Joanna; Grygierek, Krzysztof</t>
        </is>
      </c>
      <c r="J1453" t="inlineStr">
        <is>
          <t>ATMOSPHERE</t>
        </is>
      </c>
      <c r="M1453" t="inlineStr">
        <is>
          <t>English</t>
        </is>
      </c>
      <c r="N1453" t="inlineStr">
        <is>
          <t>Article</t>
        </is>
      </c>
      <c r="T1453" t="inlineStr">
        <is>
          <t>Thermal Model Validation Process for Building Environment Simulation: A Case Study for Single-Family House</t>
        </is>
      </c>
      <c r="U1453" t="inlineStr">
        <is>
          <t>indoor air quality; thermal model; numerical simulations; co-simulation; validation; calibration; airflow; EnergyPlus; Contam; single-family house</t>
        </is>
      </c>
      <c r="V1453" t="inlineStr">
        <is>
          <t>ENERGY; CALIBRATION; UNCERTAINTY</t>
        </is>
      </c>
      <c r="W1453" t="inlineStr">
        <is>
          <t>Currently, more and more emphasis is being placed on reducing energy consumption in buildings to reduce greenhouse gases in the atmosphere. Building performance simulation is very useful to predict energy demand and indoor environment quality. An indispensable element of the simulation is the validation and calibration of the model, which is an arduous process. The aim of the study was to present a four-level validation (using measurement results) and calibration of a thermal model of a naturally ventilated single-family house. Numerical calculations using co-simulation between EnergyPlus and Contam were performed. The results of the one-year simulation measurements of the indoor temperature and ventilation airflows were compared. After the calibration was performed, a high convergence of the results was found. The normalized mean bias error for hourly and monthly values did not exceed 1% and the coefficient of variation of the root mean squared error was a maximum of 7% with a simultaneous high correlation of the results in the range from 0.85 to 0.89. It was found that the final results were significantly influenced by the appropriate modeling of air exchange in the building, including the opening of windows.</t>
        </is>
      </c>
      <c r="X1453" t="inlineStr">
        <is>
          <t>[Sarna, Izabela; Ferdyn-Grygierek, Joanna] Silesian Tech Univ, Fac Energy &amp; Environm Engn, Konarskiego 20, PL-44100 Gliwice, Poland; [Grygierek, Krzysztof] Silesian Tech Univ, Fac Civil Engn, Akad 5, PL-44100 Gliwice, Poland</t>
        </is>
      </c>
      <c r="Y1453" t="inlineStr">
        <is>
          <t>Silesian University of Technology; Silesian University of Technology</t>
        </is>
      </c>
      <c r="Z1453" t="inlineStr">
        <is>
          <t>Ferdyn-Grygierek, J (corresponding author), Silesian Tech Univ, Fac Energy &amp; Environm Engn, Konarskiego 20, PL-44100 Gliwice, Poland.</t>
        </is>
      </c>
      <c r="AA1453" t="inlineStr">
        <is>
          <t>joanna.ferdyn-grygierek@polsl.pl</t>
        </is>
      </c>
      <c r="AB1453" t="inlineStr">
        <is>
          <t>Grygierek, Krzysztof/S-2483-2018; Ferdyn-Grygierek, Joanna/S-2483-2018</t>
        </is>
      </c>
      <c r="AC1453" t="inlineStr">
        <is>
          <t>Grygierek, Krzysztof/0000-0002-7049-1939; Ferdyn-Grygierek, Joanna/0000-0002-4742-5263</t>
        </is>
      </c>
      <c r="AD1453" t="inlineStr">
        <is>
          <t>Polish Ministry of Science and Higher Education</t>
        </is>
      </c>
      <c r="AE1453" t="inlineStr">
        <is>
          <t>Polish Ministry of Science and Higher Education(Ministry of Science and Higher Education, Poland)</t>
        </is>
      </c>
      <c r="AF1453" t="inlineStr">
        <is>
          <t>The work was supported by the Polish Ministry of Science and Higher Education within the research subsidy.</t>
        </is>
      </c>
      <c r="AH1453" t="n">
        <v>45</v>
      </c>
      <c r="AI1453" t="n">
        <v>1</v>
      </c>
      <c r="AJ1453" t="n">
        <v>1</v>
      </c>
      <c r="AK1453" t="n">
        <v>2</v>
      </c>
      <c r="AL1453" t="n">
        <v>6</v>
      </c>
      <c r="AM1453" t="inlineStr">
        <is>
          <t>MDPI</t>
        </is>
      </c>
      <c r="AN1453" t="inlineStr">
        <is>
          <t>BASEL</t>
        </is>
      </c>
      <c r="AO1453" t="inlineStr">
        <is>
          <t>ST ALBAN-ANLAGE 66, CH-4052 BASEL, SWITZERLAND</t>
        </is>
      </c>
      <c r="AQ1453" t="inlineStr">
        <is>
          <t>2073-4433</t>
        </is>
      </c>
      <c r="AS1453" t="inlineStr">
        <is>
          <t>ATMOSPHERE-BASEL</t>
        </is>
      </c>
      <c r="AT1453" t="inlineStr">
        <is>
          <t>Atmosphere</t>
        </is>
      </c>
      <c r="AU1453" t="inlineStr">
        <is>
          <t>AUG</t>
        </is>
      </c>
      <c r="AV1453" t="n">
        <v>2022</v>
      </c>
      <c r="AW1453" t="n">
        <v>13</v>
      </c>
      <c r="AX1453" t="n">
        <v>8</v>
      </c>
      <c r="BE1453" t="n">
        <v>1295</v>
      </c>
      <c r="BF1453" t="inlineStr">
        <is>
          <t>10.3390/atmos13081295</t>
        </is>
      </c>
      <c r="BG1453">
        <f>HYPERLINK("http://dx.doi.org/10.3390/atmos13081295","http://dx.doi.org/10.3390/atmos13081295")</f>
        <v/>
      </c>
      <c r="BJ1453" t="n">
        <v>20</v>
      </c>
      <c r="BK1453" t="inlineStr">
        <is>
          <t>Environmental Sciences; Meteorology &amp; Atmospheric Sciences</t>
        </is>
      </c>
      <c r="BL1453" t="inlineStr">
        <is>
          <t>Science Citation Index Expanded (SCI-EXPANDED)</t>
        </is>
      </c>
      <c r="BM1453" t="inlineStr">
        <is>
          <t>Environmental Sciences &amp; Ecology; Meteorology &amp; Atmospheric Sciences</t>
        </is>
      </c>
      <c r="BN1453" t="inlineStr">
        <is>
          <t>4C2CY</t>
        </is>
      </c>
      <c r="BP1453" t="inlineStr">
        <is>
          <t>gold</t>
        </is>
      </c>
      <c r="BS1453" t="inlineStr">
        <is>
          <t>2023-10-26</t>
        </is>
      </c>
      <c r="BT1453" t="inlineStr">
        <is>
          <t>WOS:000846269700001</t>
        </is>
      </c>
      <c r="BU1453">
        <f>HYPERLINK("https%3A%2F%2Fwww.webofscience.com%2Fwos%2Fwoscc%2Ffull-record%2FWOS:000846269700001","View Full Record in Web of Science")</f>
        <v/>
      </c>
    </row>
    <row r="1454">
      <c r="A1454" t="inlineStr">
        <is>
          <t>J</t>
        </is>
      </c>
      <c r="B1454" t="inlineStr">
        <is>
          <t>Zhang, YQ; Yin, ZX; Li, SJ; Zhang, JF; Sun, HZ; Liu, KY; Shirai, K; Hu, KJ; Qiu, CX; Liu, XY; Li, YC; Zeng, Y; Yao, Y</t>
        </is>
      </c>
      <c r="F1454" t="inlineStr">
        <is>
          <t>Zhang, Yunquan; Yin, Zhouxin; Li, Shaojie; Zhang, Junfeng (Jim); Sun, Haitong Zhe; Liu, Keyang; Shirai, Kokoro; Hu, Kejia; Qiu, Chengxuan; Liu, Xiaoyun; Li, Yachen; Zeng, Yi; Yao, Yao</t>
        </is>
      </c>
      <c r="J1454" t="inlineStr">
        <is>
          <t>JOURNAL OF HAZARDOUS MATERIALS</t>
        </is>
      </c>
      <c r="M1454" t="inlineStr">
        <is>
          <t>English</t>
        </is>
      </c>
      <c r="N1454" t="inlineStr">
        <is>
          <t>Article</t>
        </is>
      </c>
      <c r="T1454" t="inlineStr">
        <is>
          <t>Ambient PM2.5, ozone and mortality in Chinese older adults: A nationwide cohort analysis (2005-2018)</t>
        </is>
      </c>
      <c r="U1454" t="inlineStr">
        <is>
          <t>Cohort; Ozone; Fine particulate matter; Mortality; Older adults; CLHLS</t>
        </is>
      </c>
      <c r="V1454" t="inlineStr">
        <is>
          <t>LONG-TERM EXPOSURE; CANADIAN CENSUS HEALTH; AIR-POLLUTION; FOLLOW-UP; TEMPERATURE; O-3; ASSOCIATIONS; PEOPLE; NO2</t>
        </is>
      </c>
      <c r="W1454" t="inlineStr">
        <is>
          <t>Background: Cohort evidence linking long-term survival with exposure to multiple air pollutants (e.g., fine particulate matter [PM2.5] and ozone) was extensively sparse in low-and middle-income countries, especially among older adults. This study aimed to investigate potential associations of long-term exposures to PM2.5 and ozone with all-cause mortality in Chinese older adults.Methods: A dynamic nationwide prospective cohort comprising 20,352 adults aged &gt;= 65 years were enrolled from the Chinese Longitudinal Healthy Longevity Study and followed up through 2005-2018. Participants' annual exposures to warm-season ozone and year-round PM2.5 were assigned using satellite-derived spatiotemporal estimates. A directed acyclic graph (DAG) was developed to identify confounding variables. Associations of annual mean exposures to PM2.5 and ozone with mortality were evaluated using single-and two-pollutant Cox proportional hazards models, adjusting for time-dependent individual risk factors and ambient temperature. Results: During 100 thousand person-years of follow-up (median: 3.6 years), a total of 14,313 death events occurred. The participants were averagely aged 87.1 years at baseline and exposed to a wide range of annual average concentrations of warm-season maximum 8-hour ozone (mean, 54.4 ppb; range, 23.3-81.6 ppb) and year-round PM2.5 (mean, 65.5 mu g/m3; range, 10.1-162.9 mu g/m3). Approximately linear concentration-response relationship was identified for ozone, whereas significant increases in PM2.5-associated mortality risks were observed only when concentrations were above 60 mu g/m3. Rises of 10 ppb in ozone and 10 mu g/m3 in PM2.5 above 60 mu g/m3 were associated with increases in all-cause mortality of 13.2% (95% confidence interval [CI]: 10.2-16.2%) and 6.2% (95% CI: 4.6-7.7%) in DAG-based single-pollutant model, and of 9.7% (95% CI: 6.6-13.0%) and 5.3% (95% CI: 3.7-6.9%) in DAG-based two-pollutant model, respectively. We detected sig-nificant effect modification by temperature in associations of mortality with ozone (P &lt;0.001 for interaction), suggesting greater ozone-related risks among participants in warmer locations. Conclusions: This study provided longitudinal evidence that long-term exposure to ambient PM2.5 and ozone significantly and independently contributed to elevated risks of all-cause mortality among older adults in China.</t>
        </is>
      </c>
      <c r="X1454" t="inlineStr">
        <is>
          <t>[Zhang, Yunquan; Yin, Zhouxin; Li, Yachen] Wuhan Univ Sci &amp; Technol, Inst Social Dev &amp; Hlth Management, Sch Publ Hlth, Hubei Prov Key Lab Occupat Hazard Identificat &amp; Co, Wuhan 430065, Peoples R China; [Yin, Zhouxin] Southern Univ Sci &amp; Technol, Sch Publ Hlth &amp; Emergency Management, Shenzhen 518055, Peoples R China; [Li, Shaojie; Liu, Xiaoyun; Yao, Yao] Peking Univ, China Ctr Hlth Dev Studies, Beijing, Peoples R China; [Zhang, Junfeng (Jim)] Duke Univ, Nicholas Sch Environm, Durham, NC USA; [Sun, Haitong Zhe] Univ Cambridge, Ctr Atmospher Sci, Yusuf Hamied Dept Chem, Cambridge CB2 1EW, England; [Sun, Haitong Zhe] Univ Cambridge, Dept Earth Sci, Cambridge CB2 3EQ, England; [Liu, Keyang; Shirai, Kokoro] Osaka Univ, Grad Sch Med, Dept Social Med, Publ Hlth, Suita, Osaka, Japan; [Hu, Kejia] Zhejiang Univ, Inst Big Data Hlth Sci, Sch Publ Hlth, Hangzhou 310058, Peoples R China; [Qiu, Chengxuan] Karolinska Inst, Aging Res Ctr, Widerstromska Huset, SE-17165 Solna, Sweden; [Zeng, Yi; Yao, Yao] Peking Univ, Ctr Hlth Aging &amp; Dev Studies, Natl Sch Dev, Beijing 100871, Peoples R China; [Zeng, Yi] Duke Univ, Ctr Study Aging &amp; Human Dev, Med Sch, Geriatr Div, Durham, NC USA</t>
        </is>
      </c>
      <c r="Y1454" t="inlineStr">
        <is>
          <t>Wuhan University of Science &amp; Technology; Southern University of Science &amp; Technology; Peking University; Duke University; University of Cambridge; University of Cambridge; Osaka University; Zhejiang University; Karolinska Institutet; Peking University; Duke University</t>
        </is>
      </c>
      <c r="Z1454" t="inlineStr">
        <is>
          <t>Yao, Y (corresponding author), Peking Univ, China Ctr Hlth Dev Studies, Beijing, Peoples R China.;Zeng, Y; Yao, Y (corresponding author), Peking Univ, Ctr Hlth Aging &amp; Dev Studies, Natl Sch Dev, Beijing 100871, Peoples R China.</t>
        </is>
      </c>
      <c r="AA1454" t="inlineStr">
        <is>
          <t>zengyi@nsd.pku.edu.cn; yao.yao@bjmu.edu.cn</t>
        </is>
      </c>
      <c r="AB1454" t="inlineStr">
        <is>
          <t>Zhang, Yunquan/M-9828-2017; zhang, junfeng/JHT-7871-2023; YI, J/JJE-7713-2023; Wang, Chao/JHT-6081-2023; Sun, Haitong Zhe/GWC-6016-2022</t>
        </is>
      </c>
      <c r="AC1454" t="inlineStr">
        <is>
          <t>Zhang, Yunquan/0000-0002-2618-5088; Sun, Haitong Zhe/0000-0002-8820-909X; Hu, Kejia/0000-0002-1175-3580; Zhang, Junfeng/0000-0003-3759-6672</t>
        </is>
      </c>
      <c r="AD1454" t="inlineStr">
        <is>
          <t>National Key R&amp;D Program of China [2018YFC2000400]; National Natural Sciences Foundation of China [72061137004]; U.S. National Institute on Aging, National Institutes of Health [P01AG031719]; Youth Fund Project of Humanities and Social Sciences Research of the Ministry of Education [21YJCZH229]; 14th Five Year Plan Hubei Provincial Advantaged Characteristic Disciplines (Groups) Project of Wuhan University of Science and Technology [2023C0102]; Hubei Provincial Natural Science Foundation of China [2021CFB032]</t>
        </is>
      </c>
      <c r="AE1454" t="inlineStr">
        <is>
          <t>National Key R&amp;D Program of China; National Natural Sciences Foundation of China(National Natural Science Foundation of China (NSFC)); U.S. National Institute on Aging, National Institutes of Health(United States Department of Health &amp; Human ServicesNational Institutes of Health (NIH) - USANIH National Institute on Aging (NIA)); Youth Fund Project of Humanities and Social Sciences Research of the Ministry of Education; 14th Five Year Plan Hubei Provincial Advantaged Characteristic Disciplines (Groups) Project of Wuhan University of Science and Technology; Hubei Provincial Natural Science Foundation of China(National Natural Science Foundation of China (NSFC))</t>
        </is>
      </c>
      <c r="AF1454" t="inlineStr">
        <is>
          <t>This study was partially supported by the National Key R&amp;D Program of China (2018YFC2000400) , National Natural Sciences Foundation of China (72061137004) , the U.S. National Institute on Aging, National Institutes of Health (P01AG031719) , the Youth Fund Project of Humanities and Social Sciences Research of the Ministry of Education (Grant No. 21YJCZH229) , The 14th Five Year Plan Hubei Provincial Advantaged Characteristic Disciplines (Groups) Project of Wuhan University of Science and Technology (Grant No. 2023C0102) , and Hubei Provincial Natural Science Foundation of China (Grant No. 2021CFB032) .</t>
        </is>
      </c>
      <c r="AH1454" t="n">
        <v>51</v>
      </c>
      <c r="AI1454" t="n">
        <v>2</v>
      </c>
      <c r="AJ1454" t="n">
        <v>2</v>
      </c>
      <c r="AK1454" t="n">
        <v>17</v>
      </c>
      <c r="AL1454" t="n">
        <v>17</v>
      </c>
      <c r="AM1454" t="inlineStr">
        <is>
          <t>ELSEVIER</t>
        </is>
      </c>
      <c r="AN1454" t="inlineStr">
        <is>
          <t>AMSTERDAM</t>
        </is>
      </c>
      <c r="AO1454" t="inlineStr">
        <is>
          <t>RADARWEG 29, 1043 NX AMSTERDAM, NETHERLANDS</t>
        </is>
      </c>
      <c r="AP1454" t="inlineStr">
        <is>
          <t>0304-3894</t>
        </is>
      </c>
      <c r="AQ1454" t="inlineStr">
        <is>
          <t>1873-3336</t>
        </is>
      </c>
      <c r="AS1454" t="inlineStr">
        <is>
          <t>J HAZARD MATER</t>
        </is>
      </c>
      <c r="AT1454" t="inlineStr">
        <is>
          <t>J. Hazard. Mater.</t>
        </is>
      </c>
      <c r="AU1454" t="inlineStr">
        <is>
          <t>JUL 15</t>
        </is>
      </c>
      <c r="AV1454" t="n">
        <v>2023</v>
      </c>
      <c r="AW1454" t="n">
        <v>454</v>
      </c>
      <c r="BE1454" t="n">
        <v>131539</v>
      </c>
      <c r="BF1454" t="inlineStr">
        <is>
          <t>10.1016/j.jhazmat.2023.131539</t>
        </is>
      </c>
      <c r="BG1454">
        <f>HYPERLINK("http://dx.doi.org/10.1016/j.jhazmat.2023.131539","http://dx.doi.org/10.1016/j.jhazmat.2023.131539")</f>
        <v/>
      </c>
      <c r="BI1454" t="inlineStr">
        <is>
          <t>MAY 2023</t>
        </is>
      </c>
      <c r="BJ1454" t="n">
        <v>10</v>
      </c>
      <c r="BK1454" t="inlineStr">
        <is>
          <t>Engineering, Environmental; Environmental Sciences</t>
        </is>
      </c>
      <c r="BL1454" t="inlineStr">
        <is>
          <t>Science Citation Index Expanded (SCI-EXPANDED)</t>
        </is>
      </c>
      <c r="BM1454" t="inlineStr">
        <is>
          <t>Engineering; Environmental Sciences &amp; Ecology</t>
        </is>
      </c>
      <c r="BN1454" t="inlineStr">
        <is>
          <t>H9KC9</t>
        </is>
      </c>
      <c r="BO1454" t="n">
        <v>37149946</v>
      </c>
      <c r="BS1454" t="inlineStr">
        <is>
          <t>2023-10-26</t>
        </is>
      </c>
      <c r="BT1454" t="inlineStr">
        <is>
          <t>WOS:000999055700001</t>
        </is>
      </c>
      <c r="BU1454">
        <f>HYPERLINK("https%3A%2F%2Fwww.webofscience.com%2Fwos%2Fwoscc%2Ffull-record%2FWOS:000999055700001","View Full Record in Web of Science")</f>
        <v/>
      </c>
    </row>
    <row r="1455">
      <c r="A1455" t="inlineStr">
        <is>
          <t>J</t>
        </is>
      </c>
      <c r="B1455" t="inlineStr">
        <is>
          <t>Zhu, D; Jing, YC; Huang, RN; Gao, Y; Liu, Y; Zou, Z; Liu, W</t>
        </is>
      </c>
      <c r="F1455" t="inlineStr">
        <is>
          <t>Zhu, Di; Jing, Yuchen; Huang, Ruonan; Gao, Yan; Liu, Yue; Zou, Zheng; Liu, Wei</t>
        </is>
      </c>
      <c r="J1455" t="inlineStr">
        <is>
          <t>SUSTAINABILITY</t>
        </is>
      </c>
      <c r="M1455" t="inlineStr">
        <is>
          <t>English</t>
        </is>
      </c>
      <c r="N1455" t="inlineStr">
        <is>
          <t>Article</t>
        </is>
      </c>
      <c r="T1455" t="inlineStr">
        <is>
          <t>Designing a Mobile Application for Working Memory Training through Understanding the Psychological and Physiological Characteristics of Older Adults</t>
        </is>
      </c>
      <c r="U1455" t="inlineStr">
        <is>
          <t>aging; older adults; working memory; cognitive training; mobile application design</t>
        </is>
      </c>
      <c r="V1455" t="inlineStr">
        <is>
          <t>ABILITIES; IMPACT</t>
        </is>
      </c>
      <c r="W1455" t="inlineStr">
        <is>
          <t>Cognitive function declines with age, and when cognitive deterioration reaches a critical value and pathological changes occur, the brain neurons are irreversible. The aging of working memory even has profound adverse effects on older adults. This study aims to understand the psychological and physiological characteristics of older adults and to achieve mobile application design solutions that train working memory. According to the user study, the factors influencing the design of mobile applications for working memory training for older adults were mainly focused on six dimensions: training content, motivation, emotion, interaction, current state, and experience. Design opportunities were transformed, and seven new design strategies were obtained. Nine product functions with the highest priority were selected: daily practice, challenge mode, level-by-level difficulty selection, novice teaching, practice mode, sharing function, two-player mode, ranking, and desktop components. Finally, an interactive prototype was designed for usability testing, and the product solution was iterated based on expert evaluation and user feedback. The results indicate that the interface design provides a good user experience when applied daily. The process and results will be applied to make more solutions for training cognitive functions to be used in different situations.</t>
        </is>
      </c>
      <c r="X1455" t="inlineStr">
        <is>
          <t>[Zhu, Di] Swinburne Univ Technol, Sch Design &amp; Architecture, Melbourne, Vic 3122, Australia; [Zhu, Di; Jing, Yuchen; Huang, Ruonan; Liu, Wei] Beijing Normal Univ, Fac Psychol, Beijing 100875, Peoples R China; [Jing, Yuchen; Gao, Yan] Microsoft, Software Technol Ctr Asia, Beijing 518057, Peoples R China; [Liu, Yue] ZCOOL Network Technol, Dept Community Prod Design, Beijing 100016, Peoples R China; [Zou, Zheng] Peking Univ, Stanford Ctr, Stanford Univ, Beijing 100871, Peoples R China</t>
        </is>
      </c>
      <c r="Y1455" t="inlineStr">
        <is>
          <t>Swinburne University of Technology; Beijing Normal University; Peking University</t>
        </is>
      </c>
      <c r="Z1455" t="inlineStr">
        <is>
          <t>Liu, W (corresponding author), Beijing Normal Univ, Fac Psychol, Beijing 100875, Peoples R China.;Zou, Z (corresponding author), Peking Univ, Stanford Ctr, Stanford Univ, Beijing 100871, Peoples R China.</t>
        </is>
      </c>
      <c r="AA1455" t="inlineStr">
        <is>
          <t>peggyzou@stanford.edu; wei.liu@bnu.edu.cn</t>
        </is>
      </c>
      <c r="AB1455" t="inlineStr">
        <is>
          <t>Jiang, Cheng/JHU-0179-2023; Zhang, Xiaoyue/JFS-9880-2023; Wang, Jinguo/JED-9233-2023; Liu, Yuxin/JCP-4002-2023; Liu, Wei/ABE-4971-2021; LU, Li/JFJ-9011-2023</t>
        </is>
      </c>
      <c r="AC1455" t="inlineStr">
        <is>
          <t>Liu, Wei/0000-0002-3315-5370; Zhu, Di/0000-0002-9533-2563</t>
        </is>
      </c>
      <c r="AH1455" t="n">
        <v>56</v>
      </c>
      <c r="AI1455" t="n">
        <v>1</v>
      </c>
      <c r="AJ1455" t="n">
        <v>1</v>
      </c>
      <c r="AK1455" t="n">
        <v>26</v>
      </c>
      <c r="AL1455" t="n">
        <v>47</v>
      </c>
      <c r="AM1455" t="inlineStr">
        <is>
          <t>MDPI</t>
        </is>
      </c>
      <c r="AN1455" t="inlineStr">
        <is>
          <t>BASEL</t>
        </is>
      </c>
      <c r="AO1455" t="inlineStr">
        <is>
          <t>ST ALBAN-ANLAGE 66, CH-4052 BASEL, SWITZERLAND</t>
        </is>
      </c>
      <c r="AQ1455" t="inlineStr">
        <is>
          <t>2071-1050</t>
        </is>
      </c>
      <c r="AS1455" t="inlineStr">
        <is>
          <t>SUSTAINABILITY-BASEL</t>
        </is>
      </c>
      <c r="AT1455" t="inlineStr">
        <is>
          <t>Sustainability</t>
        </is>
      </c>
      <c r="AU1455" t="inlineStr">
        <is>
          <t>NOV</t>
        </is>
      </c>
      <c r="AV1455" t="n">
        <v>2022</v>
      </c>
      <c r="AW1455" t="n">
        <v>14</v>
      </c>
      <c r="AX1455" t="n">
        <v>21</v>
      </c>
      <c r="BE1455" t="n">
        <v>14152</v>
      </c>
      <c r="BF1455" t="inlineStr">
        <is>
          <t>10.3390/su142114152</t>
        </is>
      </c>
      <c r="BG1455">
        <f>HYPERLINK("http://dx.doi.org/10.3390/su142114152","http://dx.doi.org/10.3390/su142114152")</f>
        <v/>
      </c>
      <c r="BJ1455" t="n">
        <v>18</v>
      </c>
      <c r="BK1455" t="inlineStr">
        <is>
          <t>Green &amp; Sustainable Science &amp; Technology; Environmental Sciences; Environmental Studies</t>
        </is>
      </c>
      <c r="BL1455" t="inlineStr">
        <is>
          <t>Science Citation Index Expanded (SCI-EXPANDED); Social Science Citation Index (SSCI)</t>
        </is>
      </c>
      <c r="BM1455" t="inlineStr">
        <is>
          <t>Science &amp; Technology - Other Topics; Environmental Sciences &amp; Ecology</t>
        </is>
      </c>
      <c r="BN1455" t="inlineStr">
        <is>
          <t>6B5HO</t>
        </is>
      </c>
      <c r="BP1455" t="inlineStr">
        <is>
          <t>gold</t>
        </is>
      </c>
      <c r="BS1455" t="inlineStr">
        <is>
          <t>2023-10-26</t>
        </is>
      </c>
      <c r="BT1455" t="inlineStr">
        <is>
          <t>WOS:000881363800001</t>
        </is>
      </c>
      <c r="BU1455">
        <f>HYPERLINK("https%3A%2F%2Fwww.webofscience.com%2Fwos%2Fwoscc%2Ffull-record%2FWOS:000881363800001","View Full Record in Web of Science")</f>
        <v/>
      </c>
    </row>
    <row r="1456">
      <c r="A1456" t="inlineStr">
        <is>
          <t>J</t>
        </is>
      </c>
      <c r="B1456" t="inlineStr">
        <is>
          <t>Shao, ZJ; Yin, XJ; Bi, J; Ma, ZW; Wang, JN</t>
        </is>
      </c>
      <c r="F1456" t="inlineStr">
        <is>
          <t>Shao, Zhijuan; Yin, Xiangjun; Bi, Jun; Ma, Zongwei; Wang, Jinnan</t>
        </is>
      </c>
      <c r="J1456" t="inlineStr">
        <is>
          <t>INTERNATIONAL JOURNAL OF ENVIRONMENTAL RESEARCH AND PUBLIC HEALTH</t>
        </is>
      </c>
      <c r="M1456" t="inlineStr">
        <is>
          <t>English</t>
        </is>
      </c>
      <c r="N1456" t="inlineStr">
        <is>
          <t>Article</t>
        </is>
      </c>
      <c r="T1456" t="inlineStr">
        <is>
          <t>Spatiotemporal Variations of Indoor PM2.5 Concentrations in Nanjing, China</t>
        </is>
      </c>
      <c r="U1456" t="inlineStr">
        <is>
          <t>indoor PM25; indoor; outdoor ratio; CONTAM; health impact</t>
        </is>
      </c>
      <c r="V1456" t="inlineStr">
        <is>
          <t>PARTICULATE MATTER CONCENTRATIONS; INFILTRATION-RATE DISTRIBUTIONS; OUTDOOR AIR-POLLUTION; YANGTZE-RIVER DELTA; LONG-TERM EXPOSURE; SOURCE APPORTIONMENT; POPULATION EXPOSURE; GLOBAL BURDEN; BLACK CARBON; AMBIENT</t>
        </is>
      </c>
      <c r="W1456" t="inlineStr">
        <is>
          <t>Indoor fine particulate matter (PM2.5) is important since people spend most of their time indoors. However, knowledge of the spatiotemporal variations of indoor PM2.5 concentrations within a city is limited. In this study, the spatiotemporal distributions of indoor PM2.5 levels in Nanjing, China were modeled by the multizone airflow and contaminant transport program (CONTAM), based on the geographically distributed residences, human activities, and outdoor PM2.5 concentrations. The accuracy of the CONTAM model was verified, with a good agreement between the model simulations and measurements (r = 0.940, N = 110). Two different scenarios were considered to examine the building performance and influence of occupant behaviors. Higher PM2.5 concentrations were observed under the scenario when indoor activities were considered. Seasonal variability was observed in indoor PM2.5 levels, with the highest concentrations occurring in the winter and the lowest occurring in the summer. Building characteristics have a significant effect on the spatial distribution of indoor PM2.5 concentrations, with multistory residences being more vulnerable to outdoor PM2.5 infiltration than high-rise residences. The overall population exposure to PM2.5 in Nanjing was estimated. It would be overestimated by 16.67% if indoor exposure was not taken into account, which would lead to a bias in the health impacts assessment.</t>
        </is>
      </c>
      <c r="X1456" t="inlineStr">
        <is>
          <t>[Shao, Zhijuan; Bi, Jun; Ma, Zongwei] Nanjing Univ, State Key Lab Pollut Control &amp; Resource Reuse, Sch Environm, Nanjing 210023, Jiangsu, Peoples R China; [Yin, Xiangjun] Nanjing Urban Planning &amp; Res Ctr, Nanjing 210029, Jiangsu, Peoples R China; [Bi, Jun; Ma, Zongwei] Nanjing Univ Informat Sci &amp; Technol, Jiangsu Collaborat Innovat Ctr Atmospher Environm, Nanjing 210044, Jiangsu, Peoples R China; [Wang, Jinnan] Chinese Acad Environm Planning, State Environm Protect Key Lab Environm Planning, Beijing 100012, Peoples R China</t>
        </is>
      </c>
      <c r="Y1456" t="inlineStr">
        <is>
          <t>Nanjing University; Nanjing University of Information Science &amp; Technology</t>
        </is>
      </c>
      <c r="Z1456" t="inlineStr">
        <is>
          <t>Ma, ZW (corresponding author), Nanjing Univ, State Key Lab Pollut Control &amp; Resource Reuse, Sch Environm, Nanjing 210023, Jiangsu, Peoples R China.;Ma, ZW (corresponding author), Nanjing Univ Informat Sci &amp; Technol, Jiangsu Collaborat Innovat Ctr Atmospher Environm, Nanjing 210044, Jiangsu, Peoples R China.</t>
        </is>
      </c>
      <c r="AA1456" t="inlineStr">
        <is>
          <t>shaozhijuan@126.com; yinxiangjun0602@163.com; jbi@nju.edu.cn; zma@nju.edu.cn; wangjn@caep.org.cn</t>
        </is>
      </c>
      <c r="AB1456" t="inlineStr">
        <is>
          <t>Ma, Zongwei/ABG-4851-2020</t>
        </is>
      </c>
      <c r="AC1456" t="inlineStr">
        <is>
          <t>Ma, Zongwei/0000-0003-0257-5695; Shao, Zhijuan/0000-0002-4843-7661</t>
        </is>
      </c>
      <c r="AD1456" t="inlineStr">
        <is>
          <t>National Key Research and Development Program of China [2016YFC0207603]; Natural Science Foundation of China [71433007, 41601546]</t>
        </is>
      </c>
      <c r="AE1456" t="inlineStr">
        <is>
          <t>National Key Research and Development Program of China; Natural Science Foundation of China(National Natural Science Foundation of China (NSFC))</t>
        </is>
      </c>
      <c r="AF1456" t="inlineStr">
        <is>
          <t>The National Key Research and Development Program of China, grant number 2016YFC0207603, and the Natural Science Foundation of China, grant number 71433007 and 41601546, funded this research.</t>
        </is>
      </c>
      <c r="AH1456" t="n">
        <v>62</v>
      </c>
      <c r="AI1456" t="n">
        <v>10</v>
      </c>
      <c r="AJ1456" t="n">
        <v>10</v>
      </c>
      <c r="AK1456" t="n">
        <v>2</v>
      </c>
      <c r="AL1456" t="n">
        <v>47</v>
      </c>
      <c r="AM1456" t="inlineStr">
        <is>
          <t>MDPI</t>
        </is>
      </c>
      <c r="AN1456" t="inlineStr">
        <is>
          <t>BASEL</t>
        </is>
      </c>
      <c r="AO1456" t="inlineStr">
        <is>
          <t>ST ALBAN-ANLAGE 66, CH-4052 BASEL, SWITZERLAND</t>
        </is>
      </c>
      <c r="AQ1456" t="inlineStr">
        <is>
          <t>1660-4601</t>
        </is>
      </c>
      <c r="AS1456" t="inlineStr">
        <is>
          <t>INT J ENV RES PUB HE</t>
        </is>
      </c>
      <c r="AT1456" t="inlineStr">
        <is>
          <t>Int. J. Environ. Res. Public Health</t>
        </is>
      </c>
      <c r="AU1456" t="inlineStr">
        <is>
          <t>JAN 1</t>
        </is>
      </c>
      <c r="AV1456" t="n">
        <v>2019</v>
      </c>
      <c r="AW1456" t="n">
        <v>16</v>
      </c>
      <c r="AX1456" t="n">
        <v>1</v>
      </c>
      <c r="BE1456" t="n">
        <v>144</v>
      </c>
      <c r="BF1456" t="inlineStr">
        <is>
          <t>10.3390/ijerph16010144</t>
        </is>
      </c>
      <c r="BG1456">
        <f>HYPERLINK("http://dx.doi.org/10.3390/ijerph16010144","http://dx.doi.org/10.3390/ijerph16010144")</f>
        <v/>
      </c>
      <c r="BJ1456" t="n">
        <v>17</v>
      </c>
      <c r="BK1456" t="inlineStr">
        <is>
          <t>Environmental Sciences; Public, Environmental &amp; Occupational Health</t>
        </is>
      </c>
      <c r="BL1456" t="inlineStr">
        <is>
          <t>Science Citation Index Expanded (SCI-EXPANDED); Social Science Citation Index (SSCI)</t>
        </is>
      </c>
      <c r="BM1456" t="inlineStr">
        <is>
          <t>Environmental Sciences &amp; Ecology; Public, Environmental &amp; Occupational Health</t>
        </is>
      </c>
      <c r="BN1456" t="inlineStr">
        <is>
          <t>HM0BZ</t>
        </is>
      </c>
      <c r="BO1456" t="n">
        <v>30621102</v>
      </c>
      <c r="BP1456" t="inlineStr">
        <is>
          <t>gold, Green Published, Green Submitted</t>
        </is>
      </c>
      <c r="BS1456" t="inlineStr">
        <is>
          <t>2023-10-26</t>
        </is>
      </c>
      <c r="BT1456" t="inlineStr">
        <is>
          <t>WOS:000459111400144</t>
        </is>
      </c>
      <c r="BU1456">
        <f>HYPERLINK("https%3A%2F%2Fwww.webofscience.com%2Fwos%2Fwoscc%2Ffull-record%2FWOS:000459111400144","View Full Record in Web of Science")</f>
        <v/>
      </c>
    </row>
    <row r="1457">
      <c r="A1457" t="inlineStr">
        <is>
          <t>J</t>
        </is>
      </c>
      <c r="B1457" t="inlineStr">
        <is>
          <t>Sheng, WJ</t>
        </is>
      </c>
      <c r="F1457" t="inlineStr">
        <is>
          <t>Sheng, Wang Ji</t>
        </is>
      </c>
      <c r="J1457" t="inlineStr">
        <is>
          <t>JOURNAL OF ENVIRONMENTAL PROTECTION AND ECOLOGY</t>
        </is>
      </c>
      <c r="M1457" t="inlineStr">
        <is>
          <t>English</t>
        </is>
      </c>
      <c r="N1457" t="inlineStr">
        <is>
          <t>Article</t>
        </is>
      </c>
      <c r="T1457" t="inlineStr">
        <is>
          <t>ECOLOGICAL CONSTRUCTION OF COMMUNITY PHYSICAL EXERCISE HUMAN SETTLEMENT ENVIRONMENT IN CENTRAL PLAINS URBAN AGGLOMERATION</t>
        </is>
      </c>
      <c r="U1457" t="inlineStr">
        <is>
          <t>physical exercise; ecological environment; ecological civilization; natural environment</t>
        </is>
      </c>
      <c r="V1457" t="inlineStr">
        <is>
          <t>VULNERABILITY; POLICY</t>
        </is>
      </c>
      <c r="W1457" t="inlineStr">
        <is>
          <t>The vigorous development of community physical exercise is inseparable from the promotion and nourishment of ecological civilization. The construction of ecological civilization is the highest level of leisure sports development, which provides the external environment and internal power for the development of urban leisure sports. Urban leisure sports through close to nature, green consumption, fitness and other practical actions, has played a role in promoting the improvement of human settlements and low-carbon economic growth. This can realise the extension of life value and promote the promotion of urban leisure function, which is the best practice means of ecological civilization construction. Based on the investigation of the number and management of community sports facilities in Zhengzhou City, the current situation of development, the residents' satisfaction with the environment of community fitness places, the average distance between supporting facilities and fitness places, and the investigation and utilisation of the community natural environment, this paper puts forward the optimisation measures for the ecological environment of sports exercise in Zhengzhou. The optimisation measures mainly focus on the formulation of sports planning for human settlement environment construction and strengthening the management of ecological environment. The research results have a certain reference value for the research on the ecological construction of community physical exercise and human settlements in Central Plains urban agglomeration.</t>
        </is>
      </c>
      <c r="X1457" t="inlineStr">
        <is>
          <t>[Sheng, Wang Ji] ZhengZhou Vocat Univ Informat &amp; Technol, Zhengzhou 450000, Peoples R China</t>
        </is>
      </c>
      <c r="Z1457" t="inlineStr">
        <is>
          <t>Sheng, WJ (corresponding author), ZhengZhou Vocat Univ Informat &amp; Technol, Zhengzhou 450000, Peoples R China.</t>
        </is>
      </c>
      <c r="AA1457" t="inlineStr">
        <is>
          <t>wjs_545487001@qq.com</t>
        </is>
      </c>
      <c r="AH1457" t="n">
        <v>10</v>
      </c>
      <c r="AI1457" t="n">
        <v>1</v>
      </c>
      <c r="AJ1457" t="n">
        <v>1</v>
      </c>
      <c r="AK1457" t="n">
        <v>2</v>
      </c>
      <c r="AL1457" t="n">
        <v>13</v>
      </c>
      <c r="AM1457" t="inlineStr">
        <is>
          <t>SCIBULCOM LTD</t>
        </is>
      </c>
      <c r="AN1457" t="inlineStr">
        <is>
          <t>SOFIA</t>
        </is>
      </c>
      <c r="AO1457" t="inlineStr">
        <is>
          <t>PO BOX 249, 1113 SOFIA, BULGARIA</t>
        </is>
      </c>
      <c r="AP1457" t="inlineStr">
        <is>
          <t>1311-5065</t>
        </is>
      </c>
      <c r="AS1457" t="inlineStr">
        <is>
          <t>J ENVIRON PROT ECOL</t>
        </is>
      </c>
      <c r="AT1457" t="inlineStr">
        <is>
          <t>J. Environ. Prot. Ecol.</t>
        </is>
      </c>
      <c r="AV1457" t="n">
        <v>2020</v>
      </c>
      <c r="AW1457" t="n">
        <v>21</v>
      </c>
      <c r="AX1457" t="n">
        <v>6</v>
      </c>
      <c r="BC1457" t="n">
        <v>2415</v>
      </c>
      <c r="BD1457" t="n">
        <v>2421</v>
      </c>
      <c r="BJ1457" t="n">
        <v>7</v>
      </c>
      <c r="BK1457" t="inlineStr">
        <is>
          <t>Environmental Sciences</t>
        </is>
      </c>
      <c r="BL1457" t="inlineStr">
        <is>
          <t>Science Citation Index Expanded (SCI-EXPANDED)</t>
        </is>
      </c>
      <c r="BM1457" t="inlineStr">
        <is>
          <t>Environmental Sciences &amp; Ecology</t>
        </is>
      </c>
      <c r="BN1457" t="inlineStr">
        <is>
          <t>QW9XR</t>
        </is>
      </c>
      <c r="BS1457" t="inlineStr">
        <is>
          <t>2023-10-26</t>
        </is>
      </c>
      <c r="BT1457" t="inlineStr">
        <is>
          <t>WOS:000629002300041</t>
        </is>
      </c>
      <c r="BU1457">
        <f>HYPERLINK("https%3A%2F%2Fwww.webofscience.com%2Fwos%2Fwoscc%2Ffull-record%2FWOS:000629002300041","View Full Record in Web of Science")</f>
        <v/>
      </c>
    </row>
    <row r="1458">
      <c r="A1458" t="inlineStr">
        <is>
          <t>J</t>
        </is>
      </c>
      <c r="B1458" t="inlineStr">
        <is>
          <t>Jin, Y; Kang, S; Kang, H</t>
        </is>
      </c>
      <c r="F1458" t="inlineStr">
        <is>
          <t>Jin, Youngyun; Kang, Seamon; Kang, Hyunsik</t>
        </is>
      </c>
      <c r="J1458" t="inlineStr">
        <is>
          <t>INTERNATIONAL JOURNAL OF ENVIRONMENTAL RESEARCH AND PUBLIC HEALTH</t>
        </is>
      </c>
      <c r="M1458" t="inlineStr">
        <is>
          <t>English</t>
        </is>
      </c>
      <c r="N1458" t="inlineStr">
        <is>
          <t>Article</t>
        </is>
      </c>
      <c r="T1458" t="inlineStr">
        <is>
          <t>Individual and Synergistic Relationships of Low Muscle Mass and Low Muscle Function with Depressive Symptoms in Korean Older Adults</t>
        </is>
      </c>
      <c r="U1458" t="inlineStr">
        <is>
          <t>sarcopenia; physical performance; depression; Korean older adults</t>
        </is>
      </c>
      <c r="V1458" t="inlineStr">
        <is>
          <t>ASIAN WORKING GROUP; HANDGRIP STRENGTH; PHYSICAL-ACTIVITY; SARCOPENIA; ASSOCIATION; IMPAIRMENT; VALIDATION; COMMUNITY; HEALTH; MEN</t>
        </is>
      </c>
      <c r="W1458" t="inlineStr">
        <is>
          <t>This study examined the relationship of low appendicular skeletal muscle mass and low muscle function with depressive symptoms in Korean older adults. Community-dwelling Korean older adults aged 65 years and older (n = 521) participated in this study. Appendicular muscle mass (ASM) and muscle function (MF) scores were assessed using dual-energy X-ray absorptiometry (DXA) scanning and sit-to-stand mean power based on a 30 s chair stand test, respectively. Depressive symptoms were evaluated using the Korean form of the Center for Epidemiologic Studies Depression Scale. Logistic regression was used to estimate the odds ratios (ORs) and 95% confidence intervals (CIs) of depressive symptoms according to ASM- and MF-based subgroups; normal ASM/normal MF, low ASM/normal MF, normal ASM/low MF, and low ASM/low MF. The prevalence of depressive symptoms was 21.3% in all patients: 20.7% in women and 21.5% in men. Compared to the normal ASM/normal MF participants (OR = 1), the risk of depressive symptoms rose incrementally in subjects with low ASM/normal MF (OR = 2.963, p = 0.019), normal AMS/low MF (OR = 3.843, p = 0.002), and low ASM/low MF (OR = 7.907, p &lt; 0.001), respectively. The current findings suggest that the coexistence of low ASM and low MF is significantly and independently associated with an increased risk for depressive symptoms, with dynapenia having a stronger relationship.</t>
        </is>
      </c>
      <c r="X1458" t="inlineStr">
        <is>
          <t>[Jin, Youngyun; Kang, Seamon; Kang, Hyunsik] Sungkyunkwan Univ, Coll Sport Sci, Suwon 16419, South Korea</t>
        </is>
      </c>
      <c r="Y1458" t="inlineStr">
        <is>
          <t>Sungkyunkwan University (SKKU)</t>
        </is>
      </c>
      <c r="Z1458" t="inlineStr">
        <is>
          <t>Kang, H (corresponding author), Sungkyunkwan Univ, Coll Sport Sci, Suwon 16419, South Korea.</t>
        </is>
      </c>
      <c r="AA1458" t="inlineStr">
        <is>
          <t>player53@skku.edu; abtkang2@gmail.com; hkang@skku.edu</t>
        </is>
      </c>
      <c r="AC1458" t="inlineStr">
        <is>
          <t>Jin, Youngyun/0000-0001-7470-6346; KANG, HYUNSIK/0000-0002-8611-1873</t>
        </is>
      </c>
      <c r="AD1458" t="inlineStr">
        <is>
          <t>National Research Foundation - Korean government [NRF-2018R1D1A1B07048210]</t>
        </is>
      </c>
      <c r="AE1458" t="inlineStr">
        <is>
          <t>National Research Foundation - Korean government(Korean Government)</t>
        </is>
      </c>
      <c r="AF1458" t="inlineStr">
        <is>
          <t>This study was supported by a National Research Foundation grant funded by the Korean government (NRF-2018R1D1A1B07048210).</t>
        </is>
      </c>
      <c r="AH1458" t="n">
        <v>45</v>
      </c>
      <c r="AI1458" t="n">
        <v>4</v>
      </c>
      <c r="AJ1458" t="n">
        <v>4</v>
      </c>
      <c r="AK1458" t="n">
        <v>1</v>
      </c>
      <c r="AL1458" t="n">
        <v>2</v>
      </c>
      <c r="AM1458" t="inlineStr">
        <is>
          <t>MDPI</t>
        </is>
      </c>
      <c r="AN1458" t="inlineStr">
        <is>
          <t>BASEL</t>
        </is>
      </c>
      <c r="AO1458" t="inlineStr">
        <is>
          <t>ST ALBAN-ANLAGE 66, CH-4052 BASEL, SWITZERLAND</t>
        </is>
      </c>
      <c r="AQ1458" t="inlineStr">
        <is>
          <t>1660-4601</t>
        </is>
      </c>
      <c r="AS1458" t="inlineStr">
        <is>
          <t>INT J ENV RES PUB HE</t>
        </is>
      </c>
      <c r="AT1458" t="inlineStr">
        <is>
          <t>Int. J. Environ. Res. Public Health</t>
        </is>
      </c>
      <c r="AU1458" t="inlineStr">
        <is>
          <t>OCT</t>
        </is>
      </c>
      <c r="AV1458" t="n">
        <v>2021</v>
      </c>
      <c r="AW1458" t="n">
        <v>18</v>
      </c>
      <c r="AX1458" t="n">
        <v>19</v>
      </c>
      <c r="BE1458" t="n">
        <v>10129</v>
      </c>
      <c r="BF1458" t="inlineStr">
        <is>
          <t>10.3390/ijerph181910129</t>
        </is>
      </c>
      <c r="BG1458">
        <f>HYPERLINK("http://dx.doi.org/10.3390/ijerph181910129","http://dx.doi.org/10.3390/ijerph181910129")</f>
        <v/>
      </c>
      <c r="BJ1458" t="n">
        <v>11</v>
      </c>
      <c r="BK1458" t="inlineStr">
        <is>
          <t>Environmental Sciences; Public, Environmental &amp; Occupational Health</t>
        </is>
      </c>
      <c r="BL1458" t="inlineStr">
        <is>
          <t>Science Citation Index Expanded (SCI-EXPANDED); Social Science Citation Index (SSCI)</t>
        </is>
      </c>
      <c r="BM1458" t="inlineStr">
        <is>
          <t>Environmental Sciences &amp; Ecology; Public, Environmental &amp; Occupational Health</t>
        </is>
      </c>
      <c r="BN1458" t="inlineStr">
        <is>
          <t>ZJ9YM</t>
        </is>
      </c>
      <c r="BO1458" t="n">
        <v>34639432</v>
      </c>
      <c r="BP1458" t="inlineStr">
        <is>
          <t>Green Published, gold</t>
        </is>
      </c>
      <c r="BS1458" t="inlineStr">
        <is>
          <t>2023-10-26</t>
        </is>
      </c>
      <c r="BT1458" t="inlineStr">
        <is>
          <t>WOS:000762654900001</t>
        </is>
      </c>
      <c r="BU1458">
        <f>HYPERLINK("https%3A%2F%2Fwww.webofscience.com%2Fwos%2Fwoscc%2Ffull-record%2FWOS:000762654900001","View Full Record in Web of Science")</f>
        <v/>
      </c>
    </row>
    <row r="1459">
      <c r="A1459" t="inlineStr">
        <is>
          <t>J</t>
        </is>
      </c>
      <c r="B1459" t="inlineStr">
        <is>
          <t>Wang, C; Lu, W; Ohno, R; Gu, ZC</t>
        </is>
      </c>
      <c r="F1459" t="inlineStr">
        <is>
          <t>Wang, Chong; Lu, Wei; Ohno, Ryuzo; Gu, Zongchao</t>
        </is>
      </c>
      <c r="J1459" t="inlineStr">
        <is>
          <t>INTERNATIONAL JOURNAL OF ENVIRONMENTAL RESEARCH AND PUBLIC HEALTH</t>
        </is>
      </c>
      <c r="M1459" t="inlineStr">
        <is>
          <t>English</t>
        </is>
      </c>
      <c r="N1459" t="inlineStr">
        <is>
          <t>Article</t>
        </is>
      </c>
      <c r="T1459" t="inlineStr">
        <is>
          <t>Effect of Wall Texture on Perceptual Spaciousness of Indoor Space</t>
        </is>
      </c>
      <c r="U1459" t="inlineStr">
        <is>
          <t>wall texture; perceptual spaciousness; indoor space; VR technology; ME (magnitude estimation) method</t>
        </is>
      </c>
      <c r="V1459" t="inlineStr">
        <is>
          <t>MODEL; CHINA</t>
        </is>
      </c>
      <c r="W1459" t="inlineStr">
        <is>
          <t>As the main place of people's daily activities, indoor space (its size, shape, colors, material and textures, and so on) has important physical, emotional and health-based implications on people's behavior and quality of life. Material texture is an integral part of architectural environment perception and quality evaluation, but the effect of material texture on perceptual spaciousness lacks the support of experimental data. This research examined the effects between different wall textures on the observer's perception of spaciousness in indoor space, the influence of wall texture changes in different room sizes, and how the associational meaning of texture affects the degree of influence of wall texture on the spaciousness of indoor space. By using VR technology and the magnitude estimation (ME) analysis method, the authors found that the effect of wall texture on perceptual spaciousness varies depending on the wall material, and the textural effect is affected by room size. The perception of spaciousness is influenced by the observer's associational meaning of material texture, and the influence of associational meaning of material texture varies contingent on the room size. In relatively small rooms, the objective aspect (such as hardness, surface reflectivity, texture direction and texture depth) of the wall texture has a significant impact on perceived space. In contrast, the effects of subjective aspects (such as affinity and ecology) become more pronounced in relatively larger rooms. This research makes up for the lack of material texture research in perceptual spaciousness, and provides a new way for the designer to choose materials for the design of a spatial scale.</t>
        </is>
      </c>
      <c r="X1459" t="inlineStr">
        <is>
          <t>[Wang, Chong; Lu, Wei; Gu, Zongchao] Dalian Univ Technol, Sch Architecture &amp; Art, Dalian 116024, Peoples R China; [Ohno, Ryuzo] Tokyo Inst Technol, Tokyo 1528550, Japan</t>
        </is>
      </c>
      <c r="Y1459" t="inlineStr">
        <is>
          <t>Dalian University of Technology; Tokyo Institute of Technology</t>
        </is>
      </c>
      <c r="Z1459" t="inlineStr">
        <is>
          <t>Lu, W (corresponding author), Dalian Univ Technol, Sch Architecture &amp; Art, Dalian 116024, Peoples R China.</t>
        </is>
      </c>
      <c r="AA1459" t="inlineStr">
        <is>
          <t>wchonel@mail.dlut.edu.cn; Luweieds@dlut.edu.cn; rohno@ohno-lab.jp; gzc1001@dlut.edu.cn</t>
        </is>
      </c>
      <c r="AC1459" t="inlineStr">
        <is>
          <t>Wang, Chong/0000-0002-8056-7589</t>
        </is>
      </c>
      <c r="AH1459" t="n">
        <v>41</v>
      </c>
      <c r="AI1459" t="n">
        <v>9</v>
      </c>
      <c r="AJ1459" t="n">
        <v>9</v>
      </c>
      <c r="AK1459" t="n">
        <v>4</v>
      </c>
      <c r="AL1459" t="n">
        <v>27</v>
      </c>
      <c r="AM1459" t="inlineStr">
        <is>
          <t>MDPI</t>
        </is>
      </c>
      <c r="AN1459" t="inlineStr">
        <is>
          <t>BASEL</t>
        </is>
      </c>
      <c r="AO1459" t="inlineStr">
        <is>
          <t>ST ALBAN-ANLAGE 66, CH-4052 BASEL, SWITZERLAND</t>
        </is>
      </c>
      <c r="AQ1459" t="inlineStr">
        <is>
          <t>1660-4601</t>
        </is>
      </c>
      <c r="AS1459" t="inlineStr">
        <is>
          <t>INT J ENV RES PUB HE</t>
        </is>
      </c>
      <c r="AT1459" t="inlineStr">
        <is>
          <t>Int. J. Environ. Res. Public Health</t>
        </is>
      </c>
      <c r="AU1459" t="inlineStr">
        <is>
          <t>JUN</t>
        </is>
      </c>
      <c r="AV1459" t="n">
        <v>2020</v>
      </c>
      <c r="AW1459" t="n">
        <v>17</v>
      </c>
      <c r="AX1459" t="n">
        <v>11</v>
      </c>
      <c r="BE1459" t="n">
        <v>4177</v>
      </c>
      <c r="BF1459" t="inlineStr">
        <is>
          <t>10.3390/ijerph17114177</t>
        </is>
      </c>
      <c r="BG1459">
        <f>HYPERLINK("http://dx.doi.org/10.3390/ijerph17114177","http://dx.doi.org/10.3390/ijerph17114177")</f>
        <v/>
      </c>
      <c r="BJ1459" t="n">
        <v>14</v>
      </c>
      <c r="BK1459" t="inlineStr">
        <is>
          <t>Environmental Sciences; Public, Environmental &amp; Occupational Health</t>
        </is>
      </c>
      <c r="BL1459" t="inlineStr">
        <is>
          <t>Science Citation Index Expanded (SCI-EXPANDED); Social Science Citation Index (SSCI)</t>
        </is>
      </c>
      <c r="BM1459" t="inlineStr">
        <is>
          <t>Environmental Sciences &amp; Ecology; Public, Environmental &amp; Occupational Health</t>
        </is>
      </c>
      <c r="BN1459" t="inlineStr">
        <is>
          <t>MB5FY</t>
        </is>
      </c>
      <c r="BO1459" t="n">
        <v>32545379</v>
      </c>
      <c r="BP1459" t="inlineStr">
        <is>
          <t>Green Published, gold</t>
        </is>
      </c>
      <c r="BS1459" t="inlineStr">
        <is>
          <t>2023-10-26</t>
        </is>
      </c>
      <c r="BT1459" t="inlineStr">
        <is>
          <t>WOS:000542629600430</t>
        </is>
      </c>
      <c r="BU1459">
        <f>HYPERLINK("https%3A%2F%2Fwww.webofscience.com%2Fwos%2Fwoscc%2Ffull-record%2FWOS:000542629600430","View Full Record in Web of Science")</f>
        <v/>
      </c>
    </row>
    <row r="1460">
      <c r="A1460" t="inlineStr">
        <is>
          <t>J</t>
        </is>
      </c>
      <c r="B1460" t="inlineStr">
        <is>
          <t>Ollár, A; Femenías, P; Rahe, U; Granath, K</t>
        </is>
      </c>
      <c r="F1460" t="inlineStr">
        <is>
          <t>Ollar, Anita; Femenias, Paula; Rahe, Ulrike; Granath, Kaj</t>
        </is>
      </c>
      <c r="J1460" t="inlineStr">
        <is>
          <t>SUSTAINABILITY</t>
        </is>
      </c>
      <c r="M1460" t="inlineStr">
        <is>
          <t>English</t>
        </is>
      </c>
      <c r="N1460" t="inlineStr">
        <is>
          <t>Article</t>
        </is>
      </c>
      <c r="T1460" t="inlineStr">
        <is>
          <t>Foresights from the Swedish Kitchen: Four Circular Value Opportunities for the Built Environment</t>
        </is>
      </c>
      <c r="U1460" t="inlineStr">
        <is>
          <t>circular economy; value chain; value proposition; kitchen design; spatial design; built environment</t>
        </is>
      </c>
      <c r="V1460" t="inlineStr">
        <is>
          <t>BUSINESS MODEL; ECONOMY; BARRIERS; SUSTAINABILITY; RENOVATIONS; FRAMEWORK</t>
        </is>
      </c>
      <c r="W1460" t="inlineStr">
        <is>
          <t>This paper examines the kitchen as one relevant part of the home that is highly affected by frequent replacements, renovations, and a short service life. The aim is to discern circular value opportunities for the built environment by examining stakeholder activities and the value proposition associated with Swedish kitchens. The paper answers the research question 'Which aspects in stakeholders' value proposition of kitchens might contribute to future circular housing design?'.The empirical material was collected through a workshop, interviews, and a focus group session. The data were analysed using qualitative content analysis while applying value mapping as an analytical framework. Four opportunities for circularity were identified: (1) aligning spatial and product design for a circular economy, (2) considering end-user perspectives and demands, (3) formulating regulations informed by research, and (4) developing circular products and services through collaboration. While some of these opportunities have already been emphasised in previous literature, the most distinct contribution of this paper is that it reveals the importance of spatial parameters when transitioning towards a circular housing design. The methods and results of this paper may be adapted to various building components to create a system-level circular economy in the built environment.</t>
        </is>
      </c>
      <c r="X1460" t="inlineStr">
        <is>
          <t>[Ollar, Anita; Femenias, Paula; Rahe, Ulrike; Granath, Kaj] Chalmers Univ Technol, Dept Architecture &amp; Civil Engn, SE-41296 Gothenburg, Sweden</t>
        </is>
      </c>
      <c r="Y1460" t="inlineStr">
        <is>
          <t>Chalmers University of Technology</t>
        </is>
      </c>
      <c r="Z1460" t="inlineStr">
        <is>
          <t>Ollár, A (corresponding author), Chalmers Univ Technol, Dept Architecture &amp; Civil Engn, SE-41296 Gothenburg, Sweden.</t>
        </is>
      </c>
      <c r="AA1460" t="inlineStr">
        <is>
          <t>ollar@chalmers.se; paula.femenias@chalmers.se; ulrike.rahe@chalmers.se; kaj.granath@chalmers.se</t>
        </is>
      </c>
      <c r="AB1460" t="inlineStr">
        <is>
          <t>; Femenias, Maria Paula/V-2406-2017</t>
        </is>
      </c>
      <c r="AC1460" t="inlineStr">
        <is>
          <t>Granath, Kaj/0000-0003-1009-0700; Femenias, Maria Paula/0000-0003-0508-3602; Rahe, Ulrike/0000-0003-0522-4321; Ollar, Anita/0000-0002-1801-9469</t>
        </is>
      </c>
      <c r="AD1460" t="inlineStr">
        <is>
          <t>EIT-Climate-KIC (EIT) [Circular Kitchen 2.4.6]; Centre for Housing Architecture at Chalmers University of Technology</t>
        </is>
      </c>
      <c r="AE1460" t="inlineStr">
        <is>
          <t>EIT-Climate-KIC (EIT); Centre for Housing Architecture at Chalmers University of Technology</t>
        </is>
      </c>
      <c r="AF1460" t="inlineStr">
        <is>
          <t>This research was funded by EIT-Climate-KIC (EIT reference KAVA number Circular Kitchen 2.4.6.) and the Centre for Housing Architecture at Chalmers University of Technology.</t>
        </is>
      </c>
      <c r="AH1460" t="n">
        <v>49</v>
      </c>
      <c r="AI1460" t="n">
        <v>7</v>
      </c>
      <c r="AJ1460" t="n">
        <v>7</v>
      </c>
      <c r="AK1460" t="n">
        <v>3</v>
      </c>
      <c r="AL1460" t="n">
        <v>16</v>
      </c>
      <c r="AM1460" t="inlineStr">
        <is>
          <t>MDPI</t>
        </is>
      </c>
      <c r="AN1460" t="inlineStr">
        <is>
          <t>BASEL</t>
        </is>
      </c>
      <c r="AO1460" t="inlineStr">
        <is>
          <t>ST ALBAN-ANLAGE 66, CH-4052 BASEL, SWITZERLAND</t>
        </is>
      </c>
      <c r="AQ1460" t="inlineStr">
        <is>
          <t>2071-1050</t>
        </is>
      </c>
      <c r="AS1460" t="inlineStr">
        <is>
          <t>SUSTAINABILITY-BASEL</t>
        </is>
      </c>
      <c r="AT1460" t="inlineStr">
        <is>
          <t>Sustainability</t>
        </is>
      </c>
      <c r="AU1460" t="inlineStr">
        <is>
          <t>AUG</t>
        </is>
      </c>
      <c r="AV1460" t="n">
        <v>2020</v>
      </c>
      <c r="AW1460" t="n">
        <v>12</v>
      </c>
      <c r="AX1460" t="n">
        <v>16</v>
      </c>
      <c r="BE1460" t="n">
        <v>6394</v>
      </c>
      <c r="BF1460" t="inlineStr">
        <is>
          <t>10.3390/su12166394</t>
        </is>
      </c>
      <c r="BG1460">
        <f>HYPERLINK("http://dx.doi.org/10.3390/su12166394","http://dx.doi.org/10.3390/su12166394")</f>
        <v/>
      </c>
      <c r="BJ1460" t="n">
        <v>21</v>
      </c>
      <c r="BK1460" t="inlineStr">
        <is>
          <t>Green &amp; Sustainable Science &amp; Technology; Environmental Sciences; Environmental Studies</t>
        </is>
      </c>
      <c r="BL1460" t="inlineStr">
        <is>
          <t>Science Citation Index Expanded (SCI-EXPANDED); Social Science Citation Index (SSCI)</t>
        </is>
      </c>
      <c r="BM1460" t="inlineStr">
        <is>
          <t>Science &amp; Technology - Other Topics; Environmental Sciences &amp; Ecology</t>
        </is>
      </c>
      <c r="BN1460" t="inlineStr">
        <is>
          <t>OC5YJ</t>
        </is>
      </c>
      <c r="BP1460" t="inlineStr">
        <is>
          <t>Green Published, gold</t>
        </is>
      </c>
      <c r="BS1460" t="inlineStr">
        <is>
          <t>2023-10-26</t>
        </is>
      </c>
      <c r="BT1460" t="inlineStr">
        <is>
          <t>WOS:000579231200001</t>
        </is>
      </c>
      <c r="BU1460">
        <f>HYPERLINK("https%3A%2F%2Fwww.webofscience.com%2Fwos%2Fwoscc%2Ffull-record%2FWOS:000579231200001","View Full Record in Web of Science")</f>
        <v/>
      </c>
    </row>
    <row r="1461">
      <c r="A1461" t="inlineStr">
        <is>
          <t>J</t>
        </is>
      </c>
      <c r="B1461" t="inlineStr">
        <is>
          <t>Asadi, E; da Silva, MCG; Costa, JJ</t>
        </is>
      </c>
      <c r="F1461" t="inlineStr">
        <is>
          <t>Asadi, Ehsan; Gameiro da Silva, Manuel C.; Costa, J. J.</t>
        </is>
      </c>
      <c r="J1461" t="inlineStr">
        <is>
          <t>ENVIRONMENTAL MONITORING AND ASSESSMENT</t>
        </is>
      </c>
      <c r="M1461" t="inlineStr">
        <is>
          <t>English</t>
        </is>
      </c>
      <c r="N1461" t="inlineStr">
        <is>
          <t>Article</t>
        </is>
      </c>
      <c r="T1461" t="inlineStr">
        <is>
          <t>A systematic indoor air quality audit approach for public buildings</t>
        </is>
      </c>
      <c r="U1461" t="inlineStr">
        <is>
          <t>Indoor air quality (IAQ); Air exchange rate (AER); Indoor air pollutants; Metabolic CO2</t>
        </is>
      </c>
      <c r="W1461" t="inlineStr">
        <is>
          <t>Good indoor air quality (IAQ) in buildings provides a comfortable and healthy environment for the occupants to work, learn, study, etc. Therefore, it is important to ascertain the IAQ status in the buildings. This study is aimed to establish and demonstrate the comprehensive IAQ audit approach for public buildings, based on Portugal national laws. Four public buildings in Portugal are used to demonstrate the IAQ audit application. The systematic approach involves the measurement of physical parameters (temperature, relative humidity, and concentration of the suspended particulate matter), monitoring of the concentrations of selected chemical indicators [carbon dioxide (CO2), carbon monoxide, formaldehyde, ozone, and total volatile organic compounds], and the measurements of biological indicators (bacteria and fungi). In addition, air exchange rates are measured by the concentration decay method using metabolic CO2 as the tracer gas. The comprehensive audits indicated some situations of common IAQ problems in buildings, namely: (1) insufficient ventilation rate, (2) too high particle concentration; and (3) poor filtration effectiveness and hygienic conditions in most of the air handling units. Accordingly, a set of recommendations for the improvement of IAQ conditions were advised to the building owner/managers.</t>
        </is>
      </c>
      <c r="X1461" t="inlineStr">
        <is>
          <t>[Asadi, Ehsan; Gameiro da Silva, Manuel C.; Costa, J. J.] Univ Coimbra, Dept Mech Engn, ADAI LAETA, Coimbra, Portugal; [Asadi, Ehsan] Univ Coimbra, Dept Mech Engn, MIT Portugal Program, Coimbra, Portugal</t>
        </is>
      </c>
      <c r="Y1461" t="inlineStr">
        <is>
          <t>Universidade de Coimbra; Universidade de Coimbra</t>
        </is>
      </c>
      <c r="Z1461" t="inlineStr">
        <is>
          <t>Asadi, E (corresponding author), Univ Coimbra, Dept Mech Engn, ADAI LAETA, Coimbra, Portugal.</t>
        </is>
      </c>
      <c r="AA1461" t="inlineStr">
        <is>
          <t>ehsan.asadi@dem.uc.pt; manuel.gameiro@dem.uc.pt; jose.costa@dem.uc.pt</t>
        </is>
      </c>
      <c r="AB1461" t="inlineStr">
        <is>
          <t>Costa, Jose/D-7278-2013; Gameiro da Silva, Manuel Carlos/H-8310-2012</t>
        </is>
      </c>
      <c r="AC1461" t="inlineStr">
        <is>
          <t>Costa, Jose/0000-0002-7015-6989; Asadi, Ehsan/0000-0002-0613-2659; Gameiro da Silva, Manuel Carlos/0000-0003-0739-9811</t>
        </is>
      </c>
      <c r="AD1461" t="inlineStr">
        <is>
          <t>Foundation for Science and Technology through the MIT-Portugal Program [SFRH/BD/68937/2010]; Fundação para a Ciência e a Tecnologia [SFRH/BD/68937/2010] Funding Source: FCT</t>
        </is>
      </c>
      <c r="AE1461" t="inlineStr">
        <is>
          <t>Foundation for Science and Technology through the MIT-Portugal Program; Fundação para a Ciência e a Tecnologia(Fundacao para a Ciencia e a Tecnologia (FCT))</t>
        </is>
      </c>
      <c r="AF1461" t="inlineStr">
        <is>
          <t>The presented work is framed under the Energy for Sustainability Initiative of the University of Coimbra and was supported by the Foundation for Science and Technology under grant SFRH/BD/68937/2010, through the MIT-Portugal Program.</t>
        </is>
      </c>
      <c r="AH1461" t="n">
        <v>14</v>
      </c>
      <c r="AI1461" t="n">
        <v>15</v>
      </c>
      <c r="AJ1461" t="n">
        <v>15</v>
      </c>
      <c r="AK1461" t="n">
        <v>2</v>
      </c>
      <c r="AL1461" t="n">
        <v>68</v>
      </c>
      <c r="AM1461" t="inlineStr">
        <is>
          <t>SPRINGER</t>
        </is>
      </c>
      <c r="AN1461" t="inlineStr">
        <is>
          <t>DORDRECHT</t>
        </is>
      </c>
      <c r="AO1461" t="inlineStr">
        <is>
          <t>VAN GODEWIJCKSTRAAT 30, 3311 GZ DORDRECHT, NETHERLANDS</t>
        </is>
      </c>
      <c r="AP1461" t="inlineStr">
        <is>
          <t>0167-6369</t>
        </is>
      </c>
      <c r="AQ1461" t="inlineStr">
        <is>
          <t>1573-2959</t>
        </is>
      </c>
      <c r="AS1461" t="inlineStr">
        <is>
          <t>ENVIRON MONIT ASSESS</t>
        </is>
      </c>
      <c r="AT1461" t="inlineStr">
        <is>
          <t>Environ. Monit. Assess.</t>
        </is>
      </c>
      <c r="AU1461" t="inlineStr">
        <is>
          <t>JAN</t>
        </is>
      </c>
      <c r="AV1461" t="n">
        <v>2013</v>
      </c>
      <c r="AW1461" t="n">
        <v>185</v>
      </c>
      <c r="AX1461" t="n">
        <v>1</v>
      </c>
      <c r="BC1461" t="n">
        <v>865</v>
      </c>
      <c r="BD1461" t="n">
        <v>875</v>
      </c>
      <c r="BF1461" t="inlineStr">
        <is>
          <t>10.1007/s10661-012-2597-x</t>
        </is>
      </c>
      <c r="BG1461">
        <f>HYPERLINK("http://dx.doi.org/10.1007/s10661-012-2597-x","http://dx.doi.org/10.1007/s10661-012-2597-x")</f>
        <v/>
      </c>
      <c r="BJ1461" t="n">
        <v>11</v>
      </c>
      <c r="BK1461" t="inlineStr">
        <is>
          <t>Environmental Sciences</t>
        </is>
      </c>
      <c r="BL1461" t="inlineStr">
        <is>
          <t>Science Citation Index Expanded (SCI-EXPANDED)</t>
        </is>
      </c>
      <c r="BM1461" t="inlineStr">
        <is>
          <t>Environmental Sciences &amp; Ecology</t>
        </is>
      </c>
      <c r="BN1461" t="inlineStr">
        <is>
          <t>061GB</t>
        </is>
      </c>
      <c r="BO1461" t="n">
        <v>22437322</v>
      </c>
      <c r="BS1461" t="inlineStr">
        <is>
          <t>2023-10-26</t>
        </is>
      </c>
      <c r="BT1461" t="inlineStr">
        <is>
          <t>WOS:000312835300069</t>
        </is>
      </c>
      <c r="BU1461">
        <f>HYPERLINK("https%3A%2F%2Fwww.webofscience.com%2Fwos%2Fwoscc%2Ffull-record%2FWOS:000312835300069","View Full Record in Web of Science")</f>
        <v/>
      </c>
    </row>
    <row r="1462">
      <c r="A1462" t="inlineStr">
        <is>
          <t>J</t>
        </is>
      </c>
      <c r="B1462" t="inlineStr">
        <is>
          <t>Isa, IIM; Abd Wahid, NB; Jamhari, AA; Isa, IIM; Latif, MT</t>
        </is>
      </c>
      <c r="F1462" t="inlineStr">
        <is>
          <t>Isa, Intan Idura Mohamad; Abd Wahid, Nurul Bahiyah; Jamhari, Anas Ahmad; Isa, Irma Izani Mohamad; Latif, Mohd Talib</t>
        </is>
      </c>
      <c r="J1462" t="inlineStr">
        <is>
          <t>ENVIRONMENTAL FORENSICS</t>
        </is>
      </c>
      <c r="M1462" t="inlineStr">
        <is>
          <t>English</t>
        </is>
      </c>
      <c r="N1462" t="inlineStr">
        <is>
          <t>Article; Early Access</t>
        </is>
      </c>
      <c r="T1462" t="inlineStr">
        <is>
          <t>Indoor particulate matter (PM2.5) in Malaysian academic building: Elemental characterization and source apportionment</t>
        </is>
      </c>
      <c r="U1462" t="inlineStr">
        <is>
          <t>PM2.5 aerosols; source apportionment; indoor air pollution; trace metals; water-soluble ionic species</t>
        </is>
      </c>
      <c r="V1462" t="inlineStr">
        <is>
          <t>HEALTH-RISK ASSESSMENT; HEAVY-METALS; KUALA-LUMPUR; ROAD DUST; URBAN; PM10; SURFACTANTS; AIR; SCHOOLS; CITY</t>
        </is>
      </c>
      <c r="W1462" t="inlineStr">
        <is>
          <t>This study aims to determine the elemental compositions of indoor particulate matter (PM2.5) in two selected academic buildings, with emphasis on source apportionment using a multivariate receptor model. PM2.5 samples were collected from lecture halls, laboratories and lecturer offices at the Ministry of Health Training Institute of Sungai Buloh (S1) and the Ministry of Health Training Institute of Sultan Azlan Shah (S2). Sampling took place over 8 h using a low volume sampler (LVS). In this study, various scientific methods such as standard methods for air quality analysis as well as Principal Component Analysis (PCA) and Multiple Linear Regression (MLR) were applied in order to investigate the elemental characterizations and source apportionment of PM2.5, respectively. The PM2.5 compositions for water-soluble ionic species (WSIS) and trace metals were analysed using ion chromatography (IC) and inductively coupled plasma-mass spectrometry (ICP-MS), respectively. Results showed that the mean PM2.5 concentration at S1 (108 +/- 39.5 mu g m(-3)) was higher than S2 (91.1 +/- 36.6 mu g m(-3)). PCA-MLR analysis revealed that biomass burning (48%) and building material/crustal origin (81%) were the major sources of indoor PM2.5 for S1 and S2, respectively. Modifications and improvements to ventilation systems could be implemented in order to maintain a good health of the building occupants as outside sources may contribute to the presence of pollutants in these buildings.</t>
        </is>
      </c>
      <c r="X1462" t="inlineStr">
        <is>
          <t>[Isa, Intan Idura Mohamad; Abd Wahid, Nurul Bahiyah] Univ Pendidikan Sultan Idris, Fac Sci &amp; Math, Dept Biol, Tanjung Malim 35900, Perak, Malaysia; [Jamhari, Anas Ahmad] Univ Sultan Zainal Abidin, Fac Hlth Sci, Sch Biomed Sci, Terengganu, Malaysia; [Isa, Irma Izani Mohamad] Univ Putra Malaysia, Fac Med &amp; Hlth Sci, Dept Biomed Sci, Serdang, Selangor, Malaysia; [Latif, Mohd Talib] Univ Kebangsaan Malaysia, Fac Sci &amp; Technol, Dept Earth Sci &amp; Environm, Bangi, Selangor, Malaysia</t>
        </is>
      </c>
      <c r="Y1462" t="inlineStr">
        <is>
          <t>Universiti Pendidikan Sultan Idris; Universiti Sultan Zainal Abidin; Universiti Putra Malaysia; Universiti Kebangsaan Malaysia</t>
        </is>
      </c>
      <c r="Z1462" t="inlineStr">
        <is>
          <t>Abd Wahid, NB (corresponding author), Univ Pendidikan Sultan Idris, Fac Sci &amp; Math, Dept Biol, Tanjung Malim 35900, Perak, Malaysia.</t>
        </is>
      </c>
      <c r="AA1462" t="inlineStr">
        <is>
          <t>nurul_bahiyah@fsmt.upsi.edu.my</t>
        </is>
      </c>
      <c r="AB1462" t="inlineStr">
        <is>
          <t>Latif, Mohd Talib/E-9560-2010; Mohamad Isa, Irma Izani/AHA-6014-2022; Abd Wahid, Nurul Bahiyah/ADX-6808-2022</t>
        </is>
      </c>
      <c r="AC1462" t="inlineStr">
        <is>
          <t>Latif, Mohd Talib/0000-0003-2339-3321; Abd Wahid, Nurul Bahiyah/0000-0003-3494-3560</t>
        </is>
      </c>
      <c r="AD1462" t="inlineStr">
        <is>
          <t>Ministry of Higher Education, Malaysia [FRGS/2020-0259-108-02]</t>
        </is>
      </c>
      <c r="AE1462" t="inlineStr">
        <is>
          <t>Ministry of Higher Education, Malaysia(Ministry of Education, Malaysia)</t>
        </is>
      </c>
      <c r="AF1462" t="inlineStr">
        <is>
          <t>This research has been carried out under Fundamental Research Grant Scheme (FRGS/2020-0259-108-02) provided by Ministry of Higher Education, Malaysia.</t>
        </is>
      </c>
      <c r="AH1462" t="n">
        <v>69</v>
      </c>
      <c r="AI1462" t="n">
        <v>0</v>
      </c>
      <c r="AJ1462" t="n">
        <v>0</v>
      </c>
      <c r="AK1462" t="n">
        <v>4</v>
      </c>
      <c r="AL1462" t="n">
        <v>12</v>
      </c>
      <c r="AM1462" t="inlineStr">
        <is>
          <t>TAYLOR &amp; FRANCIS LTD</t>
        </is>
      </c>
      <c r="AN1462" t="inlineStr">
        <is>
          <t>ABINGDON</t>
        </is>
      </c>
      <c r="AO1462" t="inlineStr">
        <is>
          <t>2-4 PARK SQUARE, MILTON PARK, ABINGDON OR14 4RN, OXON, ENGLAND</t>
        </is>
      </c>
      <c r="AP1462" t="inlineStr">
        <is>
          <t>1527-5922</t>
        </is>
      </c>
      <c r="AQ1462" t="inlineStr">
        <is>
          <t>1527-5930</t>
        </is>
      </c>
      <c r="AS1462" t="inlineStr">
        <is>
          <t>ENVIRON FORENSICS</t>
        </is>
      </c>
      <c r="AT1462" t="inlineStr">
        <is>
          <t>Environ. Forensics</t>
        </is>
      </c>
      <c r="AU1462" t="inlineStr">
        <is>
          <t>2022 SEP 14</t>
        </is>
      </c>
      <c r="AV1462" t="n">
        <v>2022</v>
      </c>
      <c r="BF1462" t="inlineStr">
        <is>
          <t>10.1080/15275922.2022.2125106</t>
        </is>
      </c>
      <c r="BG1462">
        <f>HYPERLINK("http://dx.doi.org/10.1080/15275922.2022.2125106","http://dx.doi.org/10.1080/15275922.2022.2125106")</f>
        <v/>
      </c>
      <c r="BI1462" t="inlineStr">
        <is>
          <t>SEP 2022</t>
        </is>
      </c>
      <c r="BJ1462" t="n">
        <v>14</v>
      </c>
      <c r="BK1462" t="inlineStr">
        <is>
          <t>Environmental Sciences</t>
        </is>
      </c>
      <c r="BL1462" t="inlineStr">
        <is>
          <t>Science Citation Index Expanded (SCI-EXPANDED)</t>
        </is>
      </c>
      <c r="BM1462" t="inlineStr">
        <is>
          <t>Environmental Sciences &amp; Ecology</t>
        </is>
      </c>
      <c r="BN1462" t="inlineStr">
        <is>
          <t>4T9UE</t>
        </is>
      </c>
      <c r="BS1462" t="inlineStr">
        <is>
          <t>2023-10-26</t>
        </is>
      </c>
      <c r="BT1462" t="inlineStr">
        <is>
          <t>WOS:000858451500001</t>
        </is>
      </c>
      <c r="BU1462">
        <f>HYPERLINK("https%3A%2F%2Fwww.webofscience.com%2Fwos%2Fwoscc%2Ffull-record%2FWOS:000858451500001","View Full Record in Web of Science")</f>
        <v/>
      </c>
    </row>
    <row r="1463">
      <c r="A1463" t="inlineStr">
        <is>
          <t>J</t>
        </is>
      </c>
      <c r="B1463" t="inlineStr">
        <is>
          <t>Nguyen, AT; Nguyen, LH; Nguyen, TX; Nguyen, TTH; Nguyen, HTT; Nguyen, TN; Pham, HQ; Tran, BX; Latkin, CA; Ho, CSH; Ho, RCM; Pham, T; Vu, HTT</t>
        </is>
      </c>
      <c r="F1463" t="inlineStr">
        <is>
          <t>Nguyen, Anh Trung; Nguyen, Long Hoang; Nguyen, Thanh Xuan; Nguyen, Thu Thi Hoai; Nguyen, Huong Thi Thu; Nguyen, Tam Ngoc; Pham, Hai Quang; Tran, Bach Xuan; Latkin, Carl A.; Ho, Cyrus S. H.; Ho, Roger C. M.; Pham, Thang; Vu, Huyen Thi Thanh</t>
        </is>
      </c>
      <c r="J1463" t="inlineStr">
        <is>
          <t>INTERNATIONAL JOURNAL OF ENVIRONMENTAL RESEARCH AND PUBLIC HEALTH</t>
        </is>
      </c>
      <c r="M1463" t="inlineStr">
        <is>
          <t>English</t>
        </is>
      </c>
      <c r="N1463" t="inlineStr">
        <is>
          <t>Article</t>
        </is>
      </c>
      <c r="T1463" t="inlineStr">
        <is>
          <t>Frailty Prevalence and Association with Health-Related Quality of Life Impairment among Rural Community-Dwelling Older Adults in Vietnam</t>
        </is>
      </c>
      <c r="U1463" t="inlineStr">
        <is>
          <t>frailty; health-related quality of life; older adult; Vietnam</t>
        </is>
      </c>
      <c r="V1463" t="inlineStr">
        <is>
          <t>PHENOTYPE; MORTALITY; PEOPLE; INDEX; METAANALYSIS; INSTRUMENTS; PREDICTOR; URBAN; RISK</t>
        </is>
      </c>
      <c r="W1463" t="inlineStr">
        <is>
          <t>Measuring health-related quality of life (HRQOL) is critical to evaluate the burden of frailty in the older population.This study explored the prevalence of frailty among Vietnamese older people in rural communities, determined the factors associated with frailty, and examined the differences in HRQOL between non-frail, pre-frail, and frail people. A cross-sectional study was conducted on older adults (&gt;= 60 years old) residing in Soc Son district, northern Vietnam. Non-frailty, pre-frailty, and frailty conditions were evaluated using Fried's frailty criteria. The EuroQol-5 Dimensions-5 Levels(EQ-5D-5L) instrument was employed to measure HRQOL. Socioeconomic, behavioral, health status, and healthcare utilization characteristics were collected as covariates. Among 523 older adults, 65.6% were pre-frail, and 21.7% were frail. The mean EQ-5D-5L indexes of the non-frailty, pre-frailty, and frailty groups were 0.70 (SD = 0.18), 0.70 (SD = 0.19), and 0.58 (SD = 0.20), respectively. The differences were found between non-frailty and frailty groups (p &lt; 0.01), as well as the pre-frailty and frailty groups (p&lt;0.01). After adjusting for covariates, the estimated mean difference in the HRQOL between the non-frailty and frailty groups was -0.10 (95%CI= -0.17; -0.02) (R-2 = 45.2%), showing a 10% reduction of the maximum EQ-5D-5L index.This study emphasized the high prevalence of frailty among older adults in the rural communities of Vietnam. Frailty was found to be associated with a small reduction of HRQOL in this population.</t>
        </is>
      </c>
      <c r="X1463" t="inlineStr">
        <is>
          <t>[Nguyen, Anh Trung; Nguyen, Thanh Xuan; Nguyen, Thu Thi Hoai; Nguyen, Huong Thi Thu; Nguyen, Tam Ngoc; Pham, Thang; Vu, Huyen Thi Thanh] Natl Geriatr Hosp, Sci Res Dept, Hanoi 100000, Vietnam; [Nguyen, Anh Trung; Nguyen, Thanh Xuan; Nguyen, Thu Thi Hoai; Nguyen, Huong Thi Thu; Nguyen, Tam Ngoc; Pham, Thang; Vu, Huyen Thi Thanh] Hanoi Med Univ, Dept Gerontol, Hanoi 100000, Vietnam; [Nguyen, Long Hoang; Ho, Roger C. M.] Nguyen Tat Thanh Univ, Ctr Excellence Behav Med, Ho Chi Minh City 700000, Vietnam; [Nguyen, Thanh Xuan] Dinh Tien Hoang Inst Med, Hanoi 100000, Vietnam; [Pham, Hai Quang] Duy Tan Univ, Inst Global Hlth Innovat, Da Nang 550000, Vietnam; [Tran, Bach Xuan] Hanoi Med Univ, Inst Prevent Med &amp; Publ Hlth, Hanoi 100000, Vietnam; [Tran, Bach Xuan; Latkin, Carl A.] Johns Hopkins Univ, Bloomberg Sch Publ Hlth, Baltimore, MD 21205 USA; [Ho, Cyrus S. H.] Natl Univ Singapore Hosp, Dept Psychol Med, Singapore 119074, Singapore; [Ho, Roger C. M.] Natl Univ Singapore, Inst Hlth Innovat &amp; Technol iHealthtech, Singapore 119077, Singapore; [Ho, Roger C. M.] Natl Univ Singapore, Yong Loo Lin Sch Med, Dept Psychol Med, Singapore 119228, Singapore</t>
        </is>
      </c>
      <c r="Y1463" t="inlineStr">
        <is>
          <t>Hanoi Medical University; Nguyen Tat Thanh University (NTTU); Duy Tan University; Hanoi Medical University; Johns Hopkins University; Johns Hopkins Bloomberg School of Public Health; National University of Singapore; National University of Singapore; National University of Singapore</t>
        </is>
      </c>
      <c r="Z1463" t="inlineStr">
        <is>
          <t>Nguyen, AT (corresponding author), Natl Geriatr Hosp, Sci Res Dept, Hanoi 100000, Vietnam.;Nguyen, AT (corresponding author), Hanoi Med Univ, Dept Gerontol, Hanoi 100000, Vietnam.</t>
        </is>
      </c>
      <c r="AA1463" t="inlineStr">
        <is>
          <t>trunganhvlk@gmail.com; longnh.ph@gmail.com; xuanthanh1901vlk@gmail.com; nththu.bvlk@gmail.com; thuhuonglk@hmu.edu.vn; ngoctamyhn@gmail.com; quanghai23hmu@gmail.com; bach.jhu@gmail.com; carl.latkin@jhu.edu; cyrushosh@gmail.com; pcmrhcm@nus.edu.sg; phamthang@hmu.edu.vn; vuthanhhuyen11@hmu.edu.vn</t>
        </is>
      </c>
      <c r="AB1463" t="inlineStr">
        <is>
          <t>Nguyễn, Cường/JDV-5253-2023; Nguyen, Tam/HSG-3007-2023; Ho, Cyrus SH/AAN-9344-2020; Ho, Roger C./ABD-9061-2021; Vu, Huyen Thi Thanh/ADO-5469-2022; Nguyen, Huy/AAF-9560-2019; Ho, Roger/ABD-8859-2021</t>
        </is>
      </c>
      <c r="AC1463" t="inlineStr">
        <is>
          <t>Ho, Cyrus SH/0000-0002-7092-9566; Ho, Roger C./0000-0001-9629-4493; Vu, Huyen Thi Thanh/0000-0002-3132-3801; Nguyen, Huy/0000-0002-5896-9661; Nguyen, Huong Thi Thu/0000-0002-6738-7663; Tran, Bach/0000-0002-2191-3947</t>
        </is>
      </c>
      <c r="AH1463" t="n">
        <v>55</v>
      </c>
      <c r="AI1463" t="n">
        <v>23</v>
      </c>
      <c r="AJ1463" t="n">
        <v>23</v>
      </c>
      <c r="AK1463" t="n">
        <v>0</v>
      </c>
      <c r="AL1463" t="n">
        <v>6</v>
      </c>
      <c r="AM1463" t="inlineStr">
        <is>
          <t>MDPI</t>
        </is>
      </c>
      <c r="AN1463" t="inlineStr">
        <is>
          <t>BASEL</t>
        </is>
      </c>
      <c r="AO1463" t="inlineStr">
        <is>
          <t>ST ALBAN-ANLAGE 66, CH-4052 BASEL, SWITZERLAND</t>
        </is>
      </c>
      <c r="AQ1463" t="inlineStr">
        <is>
          <t>1660-4601</t>
        </is>
      </c>
      <c r="AS1463" t="inlineStr">
        <is>
          <t>INT J ENV RES PUB HE</t>
        </is>
      </c>
      <c r="AT1463" t="inlineStr">
        <is>
          <t>Int. J. Environ. Res. Public Health</t>
        </is>
      </c>
      <c r="AU1463" t="inlineStr">
        <is>
          <t>OCT</t>
        </is>
      </c>
      <c r="AV1463" t="n">
        <v>2019</v>
      </c>
      <c r="AW1463" t="n">
        <v>16</v>
      </c>
      <c r="AX1463" t="n">
        <v>20</v>
      </c>
      <c r="BE1463" t="n">
        <v>3869</v>
      </c>
      <c r="BF1463" t="inlineStr">
        <is>
          <t>10.3390/ijerph16203869</t>
        </is>
      </c>
      <c r="BG1463">
        <f>HYPERLINK("http://dx.doi.org/10.3390/ijerph16203869","http://dx.doi.org/10.3390/ijerph16203869")</f>
        <v/>
      </c>
      <c r="BJ1463" t="n">
        <v>12</v>
      </c>
      <c r="BK1463" t="inlineStr">
        <is>
          <t>Environmental Sciences; Public, Environmental &amp; Occupational Health</t>
        </is>
      </c>
      <c r="BL1463" t="inlineStr">
        <is>
          <t>Science Citation Index Expanded (SCI-EXPANDED); Social Science Citation Index (SSCI)</t>
        </is>
      </c>
      <c r="BM1463" t="inlineStr">
        <is>
          <t>Environmental Sciences &amp; Ecology; Public, Environmental &amp; Occupational Health</t>
        </is>
      </c>
      <c r="BN1463" t="inlineStr">
        <is>
          <t>JK3XV</t>
        </is>
      </c>
      <c r="BO1463" t="n">
        <v>31614836</v>
      </c>
      <c r="BP1463" t="inlineStr">
        <is>
          <t>Green Published, gold</t>
        </is>
      </c>
      <c r="BS1463" t="inlineStr">
        <is>
          <t>2023-10-26</t>
        </is>
      </c>
      <c r="BT1463" t="inlineStr">
        <is>
          <t>WOS:000494779100083</t>
        </is>
      </c>
      <c r="BU1463">
        <f>HYPERLINK("https%3A%2F%2Fwww.webofscience.com%2Fwos%2Fwoscc%2Ffull-record%2FWOS:000494779100083","View Full Record in Web of Science")</f>
        <v/>
      </c>
    </row>
    <row r="1464">
      <c r="A1464" t="inlineStr">
        <is>
          <t>J</t>
        </is>
      </c>
      <c r="B1464" t="inlineStr">
        <is>
          <t>Rojo-Perez, F; Rodriguez-Rodriguez, V; Fernandez-Mayoralas, G; Sánchez-González, D; Escribano, CPD; Rojo-Abuin, JM; Forjaz, MJ; Molina-Martínez, MA; Rodriguez-Blazquez, C</t>
        </is>
      </c>
      <c r="F1464" t="inlineStr">
        <is>
          <t>Rojo-Perez, Fermina; Rodriguez-Rodriguez, Vicente; Fernandez-Mayoralas, Gloria; Sanchez-Gonzalez, Diego; de Arenaza Escribano, Carmen Perez; Rojo-Abuin, Jose-Manuel; Joao Forjaz, Maria; Molina-Martinez, Maria-Angeles; Rodriguez-Blazquez, Carmen</t>
        </is>
      </c>
      <c r="J1464" t="inlineStr">
        <is>
          <t>INTERNATIONAL JOURNAL OF ENVIRONMENTAL RESEARCH AND PUBLIC HEALTH</t>
        </is>
      </c>
      <c r="M1464" t="inlineStr">
        <is>
          <t>English</t>
        </is>
      </c>
      <c r="N1464" t="inlineStr">
        <is>
          <t>Article</t>
        </is>
      </c>
      <c r="T1464" t="inlineStr">
        <is>
          <t>Residential Environment Assessment by Older Adults in Nursing Homes during COVID-19 Outbreak</t>
        </is>
      </c>
      <c r="U1464" t="inlineStr">
        <is>
          <t>COVID-19; older adults; long-term care settings; residential assessment; Madrid region; Spain</t>
        </is>
      </c>
      <c r="V1464" t="inlineStr">
        <is>
          <t>TERM-CARE FACILITIES; QUALITY-OF-LIFE; NEIGHBORHOOD ATTACHMENT; LEISURE ACTIVITIES; COMMUNITY; IMPACT; TELEHEALTH; VALIDATION; INFECTION; SPAIN</t>
        </is>
      </c>
      <c r="W1464" t="inlineStr">
        <is>
          <t>The most vulnerable residential settings during the COVID-19 pandemic were older adult's nursing homes, which experienced high rates of incidence and death from this cause. This paper aims to ascertain how institutionalized older people assessed their residential environment during the pandemic and to examine the differences according to personal and contextual characteristics. The COVID-19 Nursing Homes Survey (Madrid region, Spain) was used. The residential environment assessment scale (EVAER) and personal and contextual characteristics were selected. Descriptive and multivariate statistical analysis were applied. The sample consisted of 447 people (mean age = 83.8, 63.1% = women, 50.8% = widowed, 40% = less than primary studies). Four residential assessment subscales (relationships, mobility, residential aspects, privacy space) and three clusters according to residential rating (medium-high with everything = 71.5% of cases, low with mobility = 15.4%, low with everything = 13.1%) were obtained. The logistic regression models for each cluster category showed to be statistically significant. Showing a positive affect (OR = 1.08), fear of COVID-19 (OR = 1.06), high quality of life (OR = 1.05), not having suspicion of depression (OR = 0.75) and performing volunteer activities (OR = 3.67) were associated with the largest cluster. It is concluded that a better residential evaluation was related to more favourable personal and contextual conditions. These results can help in the design of nursing homes for older adults in need of accommodation and care to facilitate an age-friendly environment.</t>
        </is>
      </c>
      <c r="X1464" t="inlineStr">
        <is>
          <t>[Rojo-Perez, Fermina; Rodriguez-Rodriguez, Vicente; Fernandez-Mayoralas, Gloria; de Arenaza Escribano, Carmen Perez] CSIC, IEGD, Grp Invest Envejecimiento GIE, Madrid 28037, Spain; [Sanchez-Gonzalez, Diego] Natl Distance Educ Univ UNED, Dept Geog, Madrid 28040, Spain; [Rojo-Abuin, Jose-Manuel] CSIC, CCHS, Unidad Anal Estadist UAE, Madrid 28037, Spain; [Joao Forjaz, Maria] Carlos III Inst Hlth, Natl Ctr Epidemiol &amp; Hlth Serv Res Network Chron, Madrid 28029, Spain; [Molina-Martinez, Maria-Angeles] Natl Distance Educ Univ UNED, Fac Psychol, Dept Personal Evaluat &amp; Psychol Treatment, Madrid 28040, Spain; [Rodriguez-Blazquez, Carmen] Carlos III Inst Hlth, Natl Ctr Epidemiol &amp; Network Ctr Biomed Res Neuro, Madrid 28029, Spain</t>
        </is>
      </c>
      <c r="Y1464" t="inlineStr">
        <is>
          <t>Consejo Superior de Investigaciones Cientificas (CSIC); CSIC - Instituto de Economia, Geografia y Demografia (IEGD); Universidad Nacional de Educacion a Distancia (UNED); Consejo Superior de Investigaciones Cientificas (CSIC); Instituto de Salud Carlos III; Universidad Nacional de Educacion a Distancia (UNED); Instituto de Salud Carlos III</t>
        </is>
      </c>
      <c r="Z1464" t="inlineStr">
        <is>
          <t>Rojo-Perez, F (corresponding author), CSIC, IEGD, Grp Invest Envejecimiento GIE, Madrid 28037, Spain.</t>
        </is>
      </c>
      <c r="AA1464" t="inlineStr">
        <is>
          <t>fermina.rojo@csic.es</t>
        </is>
      </c>
      <c r="AB1464" t="inlineStr">
        <is>
          <t>Forjaz, Maria João/AAI-3797-2020; Rodriguez-Blazquez, Carmen/K-6447-2012; Sanchez-Gonzalez, Diego/F-4384-2016; Rojo-Perez, Fermina/G-9446-2015; Fernandez-Mayoralas, Gloria/H-7940-2015; Rodriguez, Vicente/C-9389-2012</t>
        </is>
      </c>
      <c r="AC1464" t="inlineStr">
        <is>
          <t>Forjaz, Maria João/0000-0003-3935-962X; Rodriguez-Blazquez, Carmen/0000-0003-3829-0675; Sanchez-Gonzalez, Diego/0000-0002-4174-4546; Perez de Arenaza Escribano, Carmen/0000-0002-4632-4583; Rojo-Perez, Fermina/0000-0001-9935-2548; Fernandez-Mayoralas, Gloria/0000-0002-1075-0812; Rodriguez, Vicente/0000-0002-8812-6841; Molina/0000-0001-9354-6763</t>
        </is>
      </c>
      <c r="AH1464" t="n">
        <v>125</v>
      </c>
      <c r="AI1464" t="n">
        <v>1</v>
      </c>
      <c r="AJ1464" t="n">
        <v>1</v>
      </c>
      <c r="AK1464" t="n">
        <v>4</v>
      </c>
      <c r="AL1464" t="n">
        <v>12</v>
      </c>
      <c r="AM1464" t="inlineStr">
        <is>
          <t>MDPI</t>
        </is>
      </c>
      <c r="AN1464" t="inlineStr">
        <is>
          <t>BASEL</t>
        </is>
      </c>
      <c r="AO1464" t="inlineStr">
        <is>
          <t>ST ALBAN-ANLAGE 66, CH-4052 BASEL, SWITZERLAND</t>
        </is>
      </c>
      <c r="AQ1464" t="inlineStr">
        <is>
          <t>1660-4601</t>
        </is>
      </c>
      <c r="AS1464" t="inlineStr">
        <is>
          <t>INT J ENV RES PUB HE</t>
        </is>
      </c>
      <c r="AT1464" t="inlineStr">
        <is>
          <t>Int. J. Environ. Res. Public Health</t>
        </is>
      </c>
      <c r="AU1464" t="inlineStr">
        <is>
          <t>DEC</t>
        </is>
      </c>
      <c r="AV1464" t="n">
        <v>2022</v>
      </c>
      <c r="AW1464" t="n">
        <v>19</v>
      </c>
      <c r="AX1464" t="n">
        <v>23</v>
      </c>
      <c r="BE1464" t="n">
        <v>16354</v>
      </c>
      <c r="BF1464" t="inlineStr">
        <is>
          <t>10.3390/ijerph192316354</t>
        </is>
      </c>
      <c r="BG1464">
        <f>HYPERLINK("http://dx.doi.org/10.3390/ijerph192316354","http://dx.doi.org/10.3390/ijerph192316354")</f>
        <v/>
      </c>
      <c r="BJ1464" t="n">
        <v>19</v>
      </c>
      <c r="BK1464" t="inlineStr">
        <is>
          <t>Environmental Sciences; Public, Environmental &amp; Occupational Health</t>
        </is>
      </c>
      <c r="BL1464" t="inlineStr">
        <is>
          <t>Science Citation Index Expanded (SCI-EXPANDED); Social Science Citation Index (SSCI)</t>
        </is>
      </c>
      <c r="BM1464" t="inlineStr">
        <is>
          <t>Environmental Sciences &amp; Ecology; Public, Environmental &amp; Occupational Health</t>
        </is>
      </c>
      <c r="BN1464" t="inlineStr">
        <is>
          <t>6X0TJ</t>
        </is>
      </c>
      <c r="BO1464" t="n">
        <v>36498426</v>
      </c>
      <c r="BP1464" t="inlineStr">
        <is>
          <t>Green Published, gold</t>
        </is>
      </c>
      <c r="BS1464" t="inlineStr">
        <is>
          <t>2023-10-26</t>
        </is>
      </c>
      <c r="BT1464" t="inlineStr">
        <is>
          <t>WOS:000896135900001</t>
        </is>
      </c>
      <c r="BU1464">
        <f>HYPERLINK("https%3A%2F%2Fwww.webofscience.com%2Fwos%2Fwoscc%2Ffull-record%2FWOS:000896135900001","View Full Record in Web of Science")</f>
        <v/>
      </c>
    </row>
    <row r="1465">
      <c r="A1465" t="inlineStr">
        <is>
          <t>J</t>
        </is>
      </c>
      <c r="B1465" t="inlineStr">
        <is>
          <t>Losè, LT; Chiabrando, F; Tonolo, FG</t>
        </is>
      </c>
      <c r="F1465" t="inlineStr">
        <is>
          <t>Teppati Lose, Lorenzo; Chiabrando, Filiberto; Giulio Tonolo, Fabio</t>
        </is>
      </c>
      <c r="J1465" t="inlineStr">
        <is>
          <t>REMOTE SENSING</t>
        </is>
      </c>
      <c r="M1465" t="inlineStr">
        <is>
          <t>English</t>
        </is>
      </c>
      <c r="N1465" t="inlineStr">
        <is>
          <t>Article</t>
        </is>
      </c>
      <c r="T1465" t="inlineStr">
        <is>
          <t>Documentation of Complex Environments Using 360° Cameras. The Santa Marta Belltower in Montanaro</t>
        </is>
      </c>
      <c r="U1465" t="inlineStr">
        <is>
          <t>built heritage; spherical photogrammetry; 360 degrees cameras; SfM; SLAM</t>
        </is>
      </c>
      <c r="V1465" t="inlineStr">
        <is>
          <t>HERITAGE</t>
        </is>
      </c>
      <c r="W1465" t="inlineStr">
        <is>
          <t>Low-cost and fast surveying approaches are increasingly being deployed in several domains, including in the field of built heritage documentation. In parallel with mobile mapping systems, uncrewed aerial systems, and simultaneous location and mapping systems, 360 degrees cameras and spherical photogrammetry are research topics attracting significant interest for this kind of application. Although several instruments and techniques can be considered to be consolidated approaches in the documentation processes, the research presented in this manuscript is focused on a series of tests and analyses using 360 degrees cameras for the 3D metric documentation of a complex environment, applied to the case study of a XVIII century belltower in Piemonte region (north-west Italy). Both data acquisition and data processing phases were thoroughly investigated and several processing strategies were planned, carried out, and evaluated. Data derived from consolidated 3D mapping approaches were used as a ground reference to validate the results derived from the spherical photogrammetry approach. The outcomes of this research confirmed, under specific conditions and with a proper setup, the possibility of using 360 degrees images in a Structure from Motion pipeline to meet the expected accuracies of typical architectural large-scale drawings.</t>
        </is>
      </c>
      <c r="X1465" t="inlineStr">
        <is>
          <t>[Teppati Lose, Lorenzo; Chiabrando, Filiberto; Giulio Tonolo, Fabio] Politecn Torino, Dept Architecture &amp; Design DAD, LabG4CH, I-10125 Turin, Italy</t>
        </is>
      </c>
      <c r="Y1465" t="inlineStr">
        <is>
          <t>Polytechnic University of Turin</t>
        </is>
      </c>
      <c r="Z1465" t="inlineStr">
        <is>
          <t>Losè, LT (corresponding author), Politecn Torino, Dept Architecture &amp; Design DAD, LabG4CH, I-10125 Turin, Italy.</t>
        </is>
      </c>
      <c r="AA1465" t="inlineStr">
        <is>
          <t>lorenzo.teppati@polito.it; filiberto.chiabrando@polito.it; fabio.giuliotonolo@polito.it</t>
        </is>
      </c>
      <c r="AB1465" t="inlineStr">
        <is>
          <t>Losè, Lorenzo Teppati/ABA-6136-2021; chiabrando, filiberto/AAE-9359-2021; Giulio Tonolo, Fabio/H-4544-2019</t>
        </is>
      </c>
      <c r="AC1465" t="inlineStr">
        <is>
          <t>Losè, Lorenzo Teppati/0000-0002-6316-8842; chiabrando, filiberto/0000-0002-4982-5236; Giulio Tonolo, Fabio/0000-0001-5783-0951</t>
        </is>
      </c>
      <c r="AD1465" t="inlineStr">
        <is>
          <t>Politecnico di Torino-DAD; Comune di Montanaro; Politecnico di Torino</t>
        </is>
      </c>
      <c r="AE1465" t="inlineStr">
        <is>
          <t>Politecnico di Torino-DAD; Comune di Montanaro; Politecnico di Torino</t>
        </is>
      </c>
      <c r="AF1465" t="inlineStr">
        <is>
          <t>This research has been partially funded by a research contract between Politecnico di Torino-DAD and Comune di Montanaro (Scientific Coordinator: Prof. Francesco Novelli) and the funding for basic research of Politecnico di Torino.</t>
        </is>
      </c>
      <c r="AH1465" t="n">
        <v>53</v>
      </c>
      <c r="AI1465" t="n">
        <v>9</v>
      </c>
      <c r="AJ1465" t="n">
        <v>9</v>
      </c>
      <c r="AK1465" t="n">
        <v>2</v>
      </c>
      <c r="AL1465" t="n">
        <v>4</v>
      </c>
      <c r="AM1465" t="inlineStr">
        <is>
          <t>MDPI</t>
        </is>
      </c>
      <c r="AN1465" t="inlineStr">
        <is>
          <t>BASEL</t>
        </is>
      </c>
      <c r="AO1465" t="inlineStr">
        <is>
          <t>ST ALBAN-ANLAGE 66, CH-4052 BASEL, SWITZERLAND</t>
        </is>
      </c>
      <c r="AQ1465" t="inlineStr">
        <is>
          <t>2072-4292</t>
        </is>
      </c>
      <c r="AS1465" t="inlineStr">
        <is>
          <t>REMOTE SENS-BASEL</t>
        </is>
      </c>
      <c r="AT1465" t="inlineStr">
        <is>
          <t>Remote Sens.</t>
        </is>
      </c>
      <c r="AU1465" t="inlineStr">
        <is>
          <t>SEP</t>
        </is>
      </c>
      <c r="AV1465" t="n">
        <v>2021</v>
      </c>
      <c r="AW1465" t="n">
        <v>13</v>
      </c>
      <c r="AX1465" t="n">
        <v>18</v>
      </c>
      <c r="BE1465" t="n">
        <v>3633</v>
      </c>
      <c r="BF1465" t="inlineStr">
        <is>
          <t>10.3390/rs13183633</t>
        </is>
      </c>
      <c r="BG1465">
        <f>HYPERLINK("http://dx.doi.org/10.3390/rs13183633","http://dx.doi.org/10.3390/rs13183633")</f>
        <v/>
      </c>
      <c r="BJ1465" t="n">
        <v>27</v>
      </c>
      <c r="BK1465" t="inlineStr">
        <is>
          <t>Environmental Sciences; Geosciences, Multidisciplinary; Remote Sensing; Imaging Science &amp; Photographic Technology</t>
        </is>
      </c>
      <c r="BL1465" t="inlineStr">
        <is>
          <t>Science Citation Index Expanded (SCI-EXPANDED)</t>
        </is>
      </c>
      <c r="BM1465" t="inlineStr">
        <is>
          <t>Environmental Sciences &amp; Ecology; Geology; Remote Sensing; Imaging Science &amp; Photographic Technology</t>
        </is>
      </c>
      <c r="BN1465" t="inlineStr">
        <is>
          <t>UY3TD</t>
        </is>
      </c>
      <c r="BP1465" t="inlineStr">
        <is>
          <t>gold</t>
        </is>
      </c>
      <c r="BS1465" t="inlineStr">
        <is>
          <t>2023-10-26</t>
        </is>
      </c>
      <c r="BT1465" t="inlineStr">
        <is>
          <t>WOS:000701449300001</t>
        </is>
      </c>
      <c r="BU1465">
        <f>HYPERLINK("https%3A%2F%2Fwww.webofscience.com%2Fwos%2Fwoscc%2Ffull-record%2FWOS:000701449300001","View Full Record in Web of Science")</f>
        <v/>
      </c>
    </row>
    <row r="1466">
      <c r="A1466" t="inlineStr">
        <is>
          <t>J</t>
        </is>
      </c>
      <c r="B1466" t="inlineStr">
        <is>
          <t>Nanthamongkolchai, S; Tojeen, A; Yodmai, K; Suksatan, W</t>
        </is>
      </c>
      <c r="F1466" t="inlineStr">
        <is>
          <t>Nanthamongkolchai, Sutham; Tojeen, Athicha; Yodmai, Korravarn; Suksatan, Wanich</t>
        </is>
      </c>
      <c r="J1466" t="inlineStr">
        <is>
          <t>INTERNATIONAL JOURNAL OF ENVIRONMENTAL RESEARCH AND PUBLIC HEALTH</t>
        </is>
      </c>
      <c r="M1466" t="inlineStr">
        <is>
          <t>English</t>
        </is>
      </c>
      <c r="N1466" t="inlineStr">
        <is>
          <t>Article</t>
        </is>
      </c>
      <c r="T1466" t="inlineStr">
        <is>
          <t>Factors Influencing Access to Health Services among Chronically Ill Older Adults with Physical Disabilities in the Era of the COVID-19 Outbreak</t>
        </is>
      </c>
      <c r="U1466" t="inlineStr">
        <is>
          <t>accessibility; COVID-19; health services; older adults; social support</t>
        </is>
      </c>
      <c r="V1466" t="inlineStr">
        <is>
          <t>QUALITY-OF-LIFE; PEOPLE; SUPPORT; WAVE</t>
        </is>
      </c>
      <c r="W1466" t="inlineStr">
        <is>
          <t>Chronically ill older adults with physical disabilities frequently face difficulties in their daily lives and require essential health service access, especially in the COVID-19 context. This study aimed to examine the association between social support, perception of benefits due to disability and access to health services among chronically ill older adults with physical disabilities during this crisis in Thailand. A total of 276 chronically ill older adults with physical disabilities were included in this cross-sectional study. Self-reported questionnaires were assessed through multi-stage random sampling. Correlations between the independent variables and health service access were examined using multiple regression analysis. Of the respondents, 159 were female (59.6%). Most participants perceived benefits (58.8%) and access to health services (56.2%) at good levels, while social support was at a moderate level (47.9%). Stepwise multiple regression analysis showed that social support (beta = 0.351), perception of benefits (beta = 0.257) and age (beta = 0.167) were positively correlated with health service access. The findings are relevant for health care providers and multi-professional teams, who should enhance older adults' social support and perception of benefits to improve their access to health services, particularly among chronically ill older adults with physical disabilities, in the era of COVID-19.</t>
        </is>
      </c>
      <c r="X1466" t="inlineStr">
        <is>
          <t>[Nanthamongkolchai, Sutham; Tojeen, Athicha; Yodmai, Korravarn] Mahidol Univ, Fac Publ Hlth, Dept Family Hlth, Bangkok 10400, Thailand; [Suksatan, Wanich] Chulabhorn Royal Acad, HRH Princess Chulabhorn Coll Med Sci, Fac Nursing, Bangkok 10210, Thailand</t>
        </is>
      </c>
      <c r="Y1466" t="inlineStr">
        <is>
          <t>Mahidol University; Chulabhorn Royal Academy; HRH Princess Chulabhorn College of Medical Science</t>
        </is>
      </c>
      <c r="Z1466" t="inlineStr">
        <is>
          <t>Suksatan, W (corresponding author), Chulabhorn Royal Acad, HRH Princess Chulabhorn Coll Med Sci, Fac Nursing, Bangkok 10210, Thailand.</t>
        </is>
      </c>
      <c r="AA1466" t="inlineStr">
        <is>
          <t>wanich.suk@cra.ac.th</t>
        </is>
      </c>
      <c r="AC1466" t="inlineStr">
        <is>
          <t>Suksatan, Wanich/0000-0003-1797-1260</t>
        </is>
      </c>
      <c r="AD1466" t="inlineStr">
        <is>
          <t>Faculty of Public Health, Mahidol University, Bangkok, Thailand</t>
        </is>
      </c>
      <c r="AE1466" t="inlineStr">
        <is>
          <t>Faculty of Public Health, Mahidol University, Bangkok, Thailand</t>
        </is>
      </c>
      <c r="AF1466" t="inlineStr">
        <is>
          <t>The authors thank the participants of the study for their valuable contributions. This study was partially funded for publication by Faculty of Public Health, Mahidol University, Bangkok, Thailand.</t>
        </is>
      </c>
      <c r="AH1466" t="n">
        <v>36</v>
      </c>
      <c r="AI1466" t="n">
        <v>0</v>
      </c>
      <c r="AJ1466" t="n">
        <v>0</v>
      </c>
      <c r="AK1466" t="n">
        <v>0</v>
      </c>
      <c r="AL1466" t="n">
        <v>0</v>
      </c>
      <c r="AM1466" t="inlineStr">
        <is>
          <t>MDPI</t>
        </is>
      </c>
      <c r="AN1466" t="inlineStr">
        <is>
          <t>BASEL</t>
        </is>
      </c>
      <c r="AO1466" t="inlineStr">
        <is>
          <t>ST ALBAN-ANLAGE 66, CH-4052 BASEL, SWITZERLAND</t>
        </is>
      </c>
      <c r="AQ1466" t="inlineStr">
        <is>
          <t>1660-4601</t>
        </is>
      </c>
      <c r="AS1466" t="inlineStr">
        <is>
          <t>INT J ENV RES PUB HE</t>
        </is>
      </c>
      <c r="AT1466" t="inlineStr">
        <is>
          <t>Int. J. Environ. Res. Public Health</t>
        </is>
      </c>
      <c r="AU1466" t="inlineStr">
        <is>
          <t>JAN</t>
        </is>
      </c>
      <c r="AV1466" t="n">
        <v>2023</v>
      </c>
      <c r="AW1466" t="n">
        <v>20</v>
      </c>
      <c r="AX1466" t="n">
        <v>1</v>
      </c>
      <c r="BE1466" t="n">
        <v>398</v>
      </c>
      <c r="BF1466" t="inlineStr">
        <is>
          <t>10.3390/ijerph20010398</t>
        </is>
      </c>
      <c r="BG1466">
        <f>HYPERLINK("http://dx.doi.org/10.3390/ijerph20010398","http://dx.doi.org/10.3390/ijerph20010398")</f>
        <v/>
      </c>
      <c r="BJ1466" t="n">
        <v>9</v>
      </c>
      <c r="BK1466" t="inlineStr">
        <is>
          <t>Environmental Sciences; Public, Environmental &amp; Occupational Health</t>
        </is>
      </c>
      <c r="BL1466" t="inlineStr">
        <is>
          <t>Science Citation Index Expanded (SCI-EXPANDED); Social Science Citation Index (SSCI)</t>
        </is>
      </c>
      <c r="BM1466" t="inlineStr">
        <is>
          <t>Environmental Sciences &amp; Ecology; Public, Environmental &amp; Occupational Health</t>
        </is>
      </c>
      <c r="BN1466" t="inlineStr">
        <is>
          <t>7U8LU</t>
        </is>
      </c>
      <c r="BO1466" t="n">
        <v>36612720</v>
      </c>
      <c r="BP1466" t="inlineStr">
        <is>
          <t>Green Published, gold</t>
        </is>
      </c>
      <c r="BS1466" t="inlineStr">
        <is>
          <t>2023-10-26</t>
        </is>
      </c>
      <c r="BT1466" t="inlineStr">
        <is>
          <t>WOS:000912379200001</t>
        </is>
      </c>
      <c r="BU1466">
        <f>HYPERLINK("https%3A%2F%2Fwww.webofscience.com%2Fwos%2Fwoscc%2Ffull-record%2FWOS:000912379200001","View Full Record in Web of Science")</f>
        <v/>
      </c>
    </row>
    <row r="1467">
      <c r="A1467" t="inlineStr">
        <is>
          <t>J</t>
        </is>
      </c>
      <c r="B1467" t="inlineStr">
        <is>
          <t>Li, M; Chen, RZ; Liao, X; Guo, BX; Zhang, WL; Guo, G</t>
        </is>
      </c>
      <c r="F1467" t="inlineStr">
        <is>
          <t>Li, Ming; Chen, Ruizhi; Liao, Xuan; Guo, Bingxuan; Zhang, Weilong; Guo, Ge</t>
        </is>
      </c>
      <c r="J1467" t="inlineStr">
        <is>
          <t>REMOTE SENSING</t>
        </is>
      </c>
      <c r="M1467" t="inlineStr">
        <is>
          <t>English</t>
        </is>
      </c>
      <c r="N1467" t="inlineStr">
        <is>
          <t>Article</t>
        </is>
      </c>
      <c r="T1467" t="inlineStr">
        <is>
          <t>A Precise Indoor Visual Positioning Approach Using a Built Image Feature Database and Single User Image from Smartphone Cameras</t>
        </is>
      </c>
      <c r="U1467" t="inlineStr">
        <is>
          <t>indoor visual positioning; smartphone; feature matching; SURF; camera pose</t>
        </is>
      </c>
      <c r="V1467" t="inlineStr">
        <is>
          <t>LOCALIZATION; MODEL</t>
        </is>
      </c>
      <c r="W1467" t="inlineStr">
        <is>
          <t>Indoor visual positioning is a key technology in a variety of indoor location services and applications. The particular spatial structures and environments of indoor spaces is a challenging scene for visual positioning. To address the existing problems of low positioning accuracy and low robustness, this paper proposes a precision single-image-based indoor visual positioning method for a smartphone. The proposed method includes three procedures: First, color sequence images of the indoor environment are collected in an experimental room, from which an indoor precise-positioning-feature database is produced, using a classic speed-up robust features (SURF) point matching strategy and the multi-image spatial forward intersection. Then, the relationships between the smartphone positioning image SURF feature points and object 3D points are obtained by an efficient similarity feature description retrieval method, in which a more reliable and correct matching point pair set is obtained, using a novel matching error elimination technology based on Hough transform voting. Finally, efficient perspective-n-point (EPnP) and bundle adjustment (BA) methods are used to calculate the intrinsic and extrinsic parameters of the positioning image, and the location of the smartphone is obtained as a result. Compared with the ground truth, results of the experiments indicate that the proposed approach can be used for indoor positioning, with an accuracy of approximately 10 cm. In addition, experiments show that the proposed method is more robust and efficient than the baseline method in a real scene. In the case where sufficient indoor textures are present, it has the potential to become a low-cost, precise, and highly available indoor positioning technology.</t>
        </is>
      </c>
      <c r="X1467" t="inlineStr">
        <is>
          <t>[Li, Ming; Chen, Ruizhi; Liao, Xuan; Guo, Bingxuan; Guo, Ge] Wuhan Univ, State Key Lab Informat Engn Surveying Mapping &amp; R, Wuhan 430079, Peoples R China; [Li, Ming] Wuhan Univ, Sch Resource &amp; Environm Sci, Wuhan 430079, Peoples R China; [Liao, Xuan] Hong Kong Polytech Univ, Dept Land Surveying &amp; Geoinformat, Hong Kong, Peoples R China; [Zhang, Weilong] Three Gorges Geotech Engn Co Ltd, Wuhan 430074, Peoples R China</t>
        </is>
      </c>
      <c r="Y1467" t="inlineStr">
        <is>
          <t>Wuhan University; Wuhan University; Hong Kong Polytechnic University</t>
        </is>
      </c>
      <c r="Z1467" t="inlineStr">
        <is>
          <t>Chen, RZ (corresponding author), Wuhan Univ, State Key Lab Informat Engn Surveying Mapping &amp; R, Wuhan 430079, Peoples R China.</t>
        </is>
      </c>
      <c r="AA1467" t="inlineStr">
        <is>
          <t>lisouming@whu.edu.cn; ruizhi.chen@whu.edu.cn; liaoxuan@whu.edu.cn; 0020150@whu.edu.cn; zhangweilong@whu.edu.cn; 15872439113@163.com</t>
        </is>
      </c>
      <c r="AB1467" t="inlineStr">
        <is>
          <t>Li, Ming/AEC-8735-2022</t>
        </is>
      </c>
      <c r="AC1467" t="inlineStr">
        <is>
          <t>Chen, Ruizhi/0000-0001-6683-2342</t>
        </is>
      </c>
      <c r="AD1467" t="inlineStr">
        <is>
          <t>National Key R&amp;D Program of China [2016YFB0502200, 2018YFB0505400]; National Natural Science Foundation of China (NSFC) [41901407]; Fundamental Research Funds for the Central universities [2042018kf0012]; China Postdoctoral Science Foundation [2017M622520]</t>
        </is>
      </c>
      <c r="AE1467" t="inlineStr">
        <is>
          <t>National Key R&amp;D Program of China; National Natural Science Foundation of China (NSFC)(National Natural Science Foundation of China (NSFC)); Fundamental Research Funds for the Central universities(Fundamental Research Funds for the Central Universities); China Postdoctoral Science Foundation(China Postdoctoral Science Foundation)</t>
        </is>
      </c>
      <c r="AF1467" t="inlineStr">
        <is>
          <t>This research was funded by the National Key R&amp;D Program of China, grant numbers 2016YFB0502200 and 2018YFB0505400; the National Natural Science Foundation of China (NSFC), grant number 41901407; the Fundamental Research Funds for the Central universities, grant number 2042018kf0012; and the China Postdoctoral Science Foundation, grant number 2017M622520.</t>
        </is>
      </c>
      <c r="AH1467" t="n">
        <v>53</v>
      </c>
      <c r="AI1467" t="n">
        <v>14</v>
      </c>
      <c r="AJ1467" t="n">
        <v>15</v>
      </c>
      <c r="AK1467" t="n">
        <v>8</v>
      </c>
      <c r="AL1467" t="n">
        <v>37</v>
      </c>
      <c r="AM1467" t="inlineStr">
        <is>
          <t>MDPI</t>
        </is>
      </c>
      <c r="AN1467" t="inlineStr">
        <is>
          <t>BASEL</t>
        </is>
      </c>
      <c r="AO1467" t="inlineStr">
        <is>
          <t>ST ALBAN-ANLAGE 66, CH-4052 BASEL, SWITZERLAND</t>
        </is>
      </c>
      <c r="AQ1467" t="inlineStr">
        <is>
          <t>2072-4292</t>
        </is>
      </c>
      <c r="AS1467" t="inlineStr">
        <is>
          <t>REMOTE SENS-BASEL</t>
        </is>
      </c>
      <c r="AT1467" t="inlineStr">
        <is>
          <t>Remote Sens.</t>
        </is>
      </c>
      <c r="AU1467" t="inlineStr">
        <is>
          <t>MAR</t>
        </is>
      </c>
      <c r="AV1467" t="n">
        <v>2020</v>
      </c>
      <c r="AW1467" t="n">
        <v>12</v>
      </c>
      <c r="AX1467" t="n">
        <v>5</v>
      </c>
      <c r="BE1467" t="n">
        <v>869</v>
      </c>
      <c r="BF1467" t="inlineStr">
        <is>
          <t>10.3390/rs12050869</t>
        </is>
      </c>
      <c r="BG1467">
        <f>HYPERLINK("http://dx.doi.org/10.3390/rs12050869","http://dx.doi.org/10.3390/rs12050869")</f>
        <v/>
      </c>
      <c r="BJ1467" t="n">
        <v>26</v>
      </c>
      <c r="BK1467" t="inlineStr">
        <is>
          <t>Environmental Sciences; Geosciences, Multidisciplinary; Remote Sensing; Imaging Science &amp; Photographic Technology</t>
        </is>
      </c>
      <c r="BL1467" t="inlineStr">
        <is>
          <t>Science Citation Index Expanded (SCI-EXPANDED)</t>
        </is>
      </c>
      <c r="BM1467" t="inlineStr">
        <is>
          <t>Environmental Sciences &amp; Ecology; Geology; Remote Sensing; Imaging Science &amp; Photographic Technology</t>
        </is>
      </c>
      <c r="BN1467" t="inlineStr">
        <is>
          <t>LL4XB</t>
        </is>
      </c>
      <c r="BP1467" t="inlineStr">
        <is>
          <t>gold</t>
        </is>
      </c>
      <c r="BS1467" t="inlineStr">
        <is>
          <t>2023-10-26</t>
        </is>
      </c>
      <c r="BT1467" t="inlineStr">
        <is>
          <t>WOS:000531559300124</t>
        </is>
      </c>
      <c r="BU1467">
        <f>HYPERLINK("https%3A%2F%2Fwww.webofscience.com%2Fwos%2Fwoscc%2Ffull-record%2FWOS:000531559300124","View Full Record in Web of Science")</f>
        <v/>
      </c>
    </row>
    <row r="1468">
      <c r="A1468" t="inlineStr">
        <is>
          <t>J</t>
        </is>
      </c>
      <c r="B1468" t="inlineStr">
        <is>
          <t>Kashtanova, DA; Taraskina, AN; Erema, VV; Akopyan, AA; Ivanov, MV; Strazhesko, ID; Akinshina, AI; Yudin, VS; Makarov, VV; Kraevoy, SA; Korolev, DE; Tarasova, IV; Beloshevskaya, OA; Mkhitaryan, EA; Tkacheva, ON; Yudin, SM</t>
        </is>
      </c>
      <c r="F1468" t="inlineStr">
        <is>
          <t>Kashtanova, Daria A.; Taraskina, Anastasiia N.; Erema, Veronika V.; Akopyan, Anna A.; Ivanov, Mikhail, V; Strazhesko, Irina D.; Akinshina, Alexandra, I; Yudin, Vladimir S.; Makarov, Valentin V.; Kraevoy, Sergey A.; Korolev, Denis E.; Tarasova, Irina, V; Beloshevskaya, Olga A.; Mkhitaryan, Elen A.; Tkacheva, Olga N.; Yudin, Sergey M.</t>
        </is>
      </c>
      <c r="J1468" t="inlineStr">
        <is>
          <t>INTERNATIONAL JOURNAL OF ENVIRONMENTAL RESEARCH AND PUBLIC HEALTH</t>
        </is>
      </c>
      <c r="M1468" t="inlineStr">
        <is>
          <t>English</t>
        </is>
      </c>
      <c r="N1468" t="inlineStr">
        <is>
          <t>Article</t>
        </is>
      </c>
      <c r="T1468" t="inlineStr">
        <is>
          <t>Analyzing Successful Aging and Longevity: Risk Factors and Health Promoters in 2020 Older Adults</t>
        </is>
      </c>
      <c r="U1468" t="inlineStr">
        <is>
          <t>longevity; aging; dependence; older adults; dementia; long-lived individuals; geriatric syndromes</t>
        </is>
      </c>
      <c r="V1468" t="inlineStr">
        <is>
          <t>INFLAMMATION; AGE; ASSOCIATION; SARCOPENIA; THERAPY; FRAILTY; HISTORY</t>
        </is>
      </c>
      <c r="W1468" t="inlineStr">
        <is>
          <t>Geriatric syndromes (GSs) and aging-associated diseases (AADs) are common side effects of aging. They are affecting the lives of millions of older adults and placing immense pressure on healthcare systems and economies worldwide. It is imperative to study the factors causing these conditions and develop a holistic framework for their management. The so-called long-lived individuals-people over the age of 90 who managed to retain much of their health and functionality-could be holding the key to understanding these factors and their health implications. We analyzed the health status and lifestyle of the long-lived individuals and identified risk factors for GSs. Family history greatly contributes to the health and prevention of cognitive decline in older adults. Lifestyle and certain socioeconomic factors such as education, the age of starting to work and retiring, job type and income level, physical activity, and hobby were also associated with certain GSs. Moreover, the levels of total protein, albumin, alpha-1 globulins, high-density lipoprotein, free triiodothyronine, and 25-hydroxyvitamin D were direct indicators of the current health status. The proposed mathematical model allows the prediction of successful aging based on family history, social and economic factors, and life-long physical activity (f1 score = 0.72, AUC = 0.68, precision = 0.83 and recall = 0.64).</t>
        </is>
      </c>
      <c r="X1468" t="inlineStr">
        <is>
          <t>[Kashtanova, Daria A.; Taraskina, Anastasiia N.; Erema, Veronika V.; Ivanov, Mikhail, V; Akinshina, Alexandra, I; Yudin, Vladimir S.; Makarov, Valentin V.; Kraevoy, Sergey A.; Yudin, Sergey M.] Fed Med Biol Agcy, Fed State Budgetary Inst, Ctr Strateg Planning &amp; Management Biomed Hlth Ris, 10 Bld,1 Pogodinskaya Str, Moscow 119121, Russia; [Akopyan, Anna A.; Strazhesko, Irina D.; Korolev, Denis E.; Tarasova, Irina, V; Beloshevskaya, Olga A.; Mkhitaryan, Elen A.; Tkacheva, Olga N.] Pirogov Russian Natl Res Med Univ, Russian Clin Res Ctr Gerontol, Minist Healthcare Russian Federat, Bld 16,1st Leonova St, Moscow 129226, Russia</t>
        </is>
      </c>
      <c r="Y1468" t="inlineStr">
        <is>
          <t>Centre for Strategic Planning of FMBA of Russia; Pirogov Russian National Research Medical University</t>
        </is>
      </c>
      <c r="Z1468" t="inlineStr">
        <is>
          <t>Kashtanova, DA (corresponding author), Fed Med Biol Agcy, Fed State Budgetary Inst, Ctr Strateg Planning &amp; Management Biomed Hlth Ris, 10 Bld,1 Pogodinskaya Str, Moscow 119121, Russia.</t>
        </is>
      </c>
      <c r="AA1468" t="inlineStr">
        <is>
          <t>dr.kashtanova@gmail.com; senreiho@gmail.com; dveronika784@gmail.com; a.alexandroval8@gmail.com; mivanov@cspfmba.ru; istrazhesko@gmail.com; akinshina@cspfmba.ru; vyudin@cspfmba.ru; makarov@cspfmba.ru; skraevoy@cspmz.ru; dekorolev@gmail.com; irish.ff@mail.ru; olgabe118@mail.ru; melen99@mail.ru; tkacheva@rgnkc.ru; yudin@cspmz.ru</t>
        </is>
      </c>
      <c r="AC1468" t="inlineStr">
        <is>
          <t>Erema, Veronika/0000-0003-0547-3280; Taraskina, Anastasiia/0000-0003-1952-9783; Yudin, Vladimir/0000-0002-9199-6258; Kashtanova, Daria/0000-0001-8977-4384</t>
        </is>
      </c>
      <c r="AD1468" t="inlineStr">
        <is>
          <t>Centre for Strategic Planning and Management of Biomedical Health Risks</t>
        </is>
      </c>
      <c r="AE1468" t="inlineStr">
        <is>
          <t>Centre for Strategic Planning and Management of Biomedical Health Risks</t>
        </is>
      </c>
      <c r="AF1468" t="inlineStr">
        <is>
          <t>The study was funded by the own funds of Centre for Strategic Planning and Management of Biomedical Health Risks.</t>
        </is>
      </c>
      <c r="AH1468" t="n">
        <v>59</v>
      </c>
      <c r="AI1468" t="n">
        <v>2</v>
      </c>
      <c r="AJ1468" t="n">
        <v>2</v>
      </c>
      <c r="AK1468" t="n">
        <v>4</v>
      </c>
      <c r="AL1468" t="n">
        <v>6</v>
      </c>
      <c r="AM1468" t="inlineStr">
        <is>
          <t>MDPI</t>
        </is>
      </c>
      <c r="AN1468" t="inlineStr">
        <is>
          <t>BASEL</t>
        </is>
      </c>
      <c r="AO1468" t="inlineStr">
        <is>
          <t>ST ALBAN-ANLAGE 66, CH-4052 BASEL, SWITZERLAND</t>
        </is>
      </c>
      <c r="AQ1468" t="inlineStr">
        <is>
          <t>1660-4601</t>
        </is>
      </c>
      <c r="AS1468" t="inlineStr">
        <is>
          <t>INT J ENV RES PUB HE</t>
        </is>
      </c>
      <c r="AT1468" t="inlineStr">
        <is>
          <t>Int. J. Environ. Res. Public Health</t>
        </is>
      </c>
      <c r="AU1468" t="inlineStr">
        <is>
          <t>JUL</t>
        </is>
      </c>
      <c r="AV1468" t="n">
        <v>2022</v>
      </c>
      <c r="AW1468" t="n">
        <v>19</v>
      </c>
      <c r="AX1468" t="n">
        <v>13</v>
      </c>
      <c r="BE1468" t="n">
        <v>8178</v>
      </c>
      <c r="BF1468" t="inlineStr">
        <is>
          <t>10.3390/ijerph19138178</t>
        </is>
      </c>
      <c r="BG1468">
        <f>HYPERLINK("http://dx.doi.org/10.3390/ijerph19138178","http://dx.doi.org/10.3390/ijerph19138178")</f>
        <v/>
      </c>
      <c r="BJ1468" t="n">
        <v>22</v>
      </c>
      <c r="BK1468" t="inlineStr">
        <is>
          <t>Environmental Sciences; Public, Environmental &amp; Occupational Health</t>
        </is>
      </c>
      <c r="BL1468" t="inlineStr">
        <is>
          <t>Science Citation Index Expanded (SCI-EXPANDED); Social Science Citation Index (SSCI)</t>
        </is>
      </c>
      <c r="BM1468" t="inlineStr">
        <is>
          <t>Environmental Sciences &amp; Ecology; Public, Environmental &amp; Occupational Health</t>
        </is>
      </c>
      <c r="BN1468" t="inlineStr">
        <is>
          <t>2Y0LN</t>
        </is>
      </c>
      <c r="BO1468" t="n">
        <v>35805838</v>
      </c>
      <c r="BP1468" t="inlineStr">
        <is>
          <t>Green Published, gold</t>
        </is>
      </c>
      <c r="BS1468" t="inlineStr">
        <is>
          <t>2023-10-26</t>
        </is>
      </c>
      <c r="BT1468" t="inlineStr">
        <is>
          <t>WOS:000825586300001</t>
        </is>
      </c>
      <c r="BU1468">
        <f>HYPERLINK("https%3A%2F%2Fwww.webofscience.com%2Fwos%2Fwoscc%2Ffull-record%2FWOS:000825586300001","View Full Record in Web of Science")</f>
        <v/>
      </c>
    </row>
    <row r="1469">
      <c r="A1469" t="inlineStr">
        <is>
          <t>J</t>
        </is>
      </c>
      <c r="B1469" t="inlineStr">
        <is>
          <t>Dros, C; Sealy, MJ; Krijnen, WP; Weening-Verbree, LF; Hobbelen, H; Jager-Wittenaar, H</t>
        </is>
      </c>
      <c r="F1469" t="inlineStr">
        <is>
          <t>Dros, Coen; Sealy, Martine J.; Krijnen, Wim P.; Weening-Verbree, Lina F.; Hobbelen, Hans; Jager-Wittenaar, Harriet</t>
        </is>
      </c>
      <c r="J1469" t="inlineStr">
        <is>
          <t>INTERNATIONAL JOURNAL OF ENVIRONMENTAL RESEARCH AND PUBLIC HEALTH</t>
        </is>
      </c>
      <c r="M1469" t="inlineStr">
        <is>
          <t>English</t>
        </is>
      </c>
      <c r="N1469" t="inlineStr">
        <is>
          <t>Article</t>
        </is>
      </c>
      <c r="T1469" t="inlineStr">
        <is>
          <t>Oral Health and Frailty in Community-Dwelling Older Adults in the Northern Netherlands: A Cross-Sectional Study</t>
        </is>
      </c>
      <c r="U1469" t="inlineStr">
        <is>
          <t>oral health; frailty; GFI; older adults; OHIP; healthy ageing; ageing</t>
        </is>
      </c>
      <c r="V1469" t="inlineStr">
        <is>
          <t>QUALITY-OF-LIFE; REMAINING TEETH; GENERAL HEALTH; PEOPLE; AGE; INDICATOR; DISEASES</t>
        </is>
      </c>
      <c r="W1469" t="inlineStr">
        <is>
          <t>The aim of this study was to explore the association between oral health and frailty in community-dwelling Dutch adults aged 55 years and older. Included were 170 participants (n = 95 female [56%]; median age 64 years [IQR: 59-69 years]). Frailty was assessed by the Groningen Frailty Indicator. Oral health was assessed by the Oral Health Impact Profile-14-NL (OHIP-NL14). OHIP-NL14 item scores were analyzed for differences between frail and non-frail participants. Univariate and multivariate logistic regression analyses were performed to assess the association between oral health and presence of frailty. The multivariate analysis included age, gender, and depressive symptoms as co-variables. After adjustment, 1 point increase on the OHIP-NL14 scale was associated with 21% higher odds of being frail (p = 0.000). In addition, significantly more frail participants reported presence of problems on each OHIP-NL14 item, compared to non-frail participants (p &lt; 0.003). Contrast in prevalence of different oral health problems between frail and non-frail was most prominent in 'younger' older adults aged 55-64 years. In conclusion: decreased oral health was associated with frailty in older adults aged &gt;= 55 years. Since oral health problems are not included in most frailty assessments, tackling oral health problems may not be sufficiently emphasized in frailty policies.</t>
        </is>
      </c>
      <c r="X1469" t="inlineStr">
        <is>
          <t>[Dros, Coen; Sealy, Martine J.; Krijnen, Wim P.; Weening-Verbree, Lina F.; Hobbelen, Hans; Jager-Wittenaar, Harriet] Hanze Univ Appl Sci, Res Grp Hlth Ageing Allied Hlth Care &amp; Nursing, Petrus Driessenstr 3, NL-9714 CA Groningen, Netherlands; [Sealy, Martine J.; Krijnen, Wim P.; Hobbelen, Hans; Jager-Wittenaar, Harriet] FAITH Res, Petrus Driessenstr 3, NL-9714 CA Groningen, Netherlands; [Krijnen, Wim P.] Univ Groningen, Johan Bernoulli Inst Math &amp; Comp Sci, NL-9700 AK Groningen, Netherlands; [Weening-Verbree, Lina F.] Univ Med Ctr Groningen, Ctr Dent &amp; Oral Hyg, Antonius Deusinglaan 1,FB 21, NL-9713 AV Groningen, Netherlands; [Hobbelen, Hans] Univ Groningen, Univ Med Ctr Groningen, Dept Gen Practice &amp; Elderly Care Med, Hanzepl 1, NL-9713 GZ Groningen, Netherlands; [Jager-Wittenaar, Harriet] Univ Groningen, Univ Med Ctr Groningen, Dept Oral &amp; Maxillofacial Surg, Hanzepl 1, NL-9713 GZ Groningen, Netherlands</t>
        </is>
      </c>
      <c r="Y1469" t="inlineStr">
        <is>
          <t>University of Groningen; University of Groningen; University of Groningen; University of Groningen</t>
        </is>
      </c>
      <c r="Z1469" t="inlineStr">
        <is>
          <t>Sealy, MJ (corresponding author), Hanze Univ Appl Sci, Res Grp Hlth Ageing Allied Hlth Care &amp; Nursing, Petrus Driessenstr 3, NL-9714 CA Groningen, Netherlands.;Sealy, MJ (corresponding author), FAITH Res, Petrus Driessenstr 3, NL-9714 CA Groningen, Netherlands.</t>
        </is>
      </c>
      <c r="AA1469" t="inlineStr">
        <is>
          <t>coendros1992@hotmail.com; m.j.sealy@pl.hanze.nl; w.p.krijnen@pl.hanze.nl; l.f.weening-verbree@pl.hanze.nl; j.s.m.hobbelen@pl.hanze.nl; ha.jager@pl.hanze.nl</t>
        </is>
      </c>
      <c r="AB1469" t="inlineStr">
        <is>
          <t>Hobbelen, Johannes/AAH-1460-2019</t>
        </is>
      </c>
      <c r="AC1469" t="inlineStr">
        <is>
          <t>Hobbelen, Johannes/0000-0003-1852-0955; Weening, Linet/0000-0001-9777-6072; Jager-Wittenaar, Harriet/0000-0003-3928-8075</t>
        </is>
      </c>
      <c r="AH1469" t="n">
        <v>47</v>
      </c>
      <c r="AI1469" t="n">
        <v>2</v>
      </c>
      <c r="AJ1469" t="n">
        <v>2</v>
      </c>
      <c r="AK1469" t="n">
        <v>1</v>
      </c>
      <c r="AL1469" t="n">
        <v>7</v>
      </c>
      <c r="AM1469" t="inlineStr">
        <is>
          <t>MDPI</t>
        </is>
      </c>
      <c r="AN1469" t="inlineStr">
        <is>
          <t>BASEL</t>
        </is>
      </c>
      <c r="AO1469" t="inlineStr">
        <is>
          <t>ST ALBAN-ANLAGE 66, CH-4052 BASEL, SWITZERLAND</t>
        </is>
      </c>
      <c r="AQ1469" t="inlineStr">
        <is>
          <t>1660-4601</t>
        </is>
      </c>
      <c r="AS1469" t="inlineStr">
        <is>
          <t>INT J ENV RES PUB HE</t>
        </is>
      </c>
      <c r="AT1469" t="inlineStr">
        <is>
          <t>Int. J. Environ. Res. Public Health</t>
        </is>
      </c>
      <c r="AU1469" t="inlineStr">
        <is>
          <t>JUL</t>
        </is>
      </c>
      <c r="AV1469" t="n">
        <v>2022</v>
      </c>
      <c r="AW1469" t="n">
        <v>19</v>
      </c>
      <c r="AX1469" t="n">
        <v>13</v>
      </c>
      <c r="BE1469" t="n">
        <v>7654</v>
      </c>
      <c r="BF1469" t="inlineStr">
        <is>
          <t>10.3390/ijerph19137654</t>
        </is>
      </c>
      <c r="BG1469">
        <f>HYPERLINK("http://dx.doi.org/10.3390/ijerph19137654","http://dx.doi.org/10.3390/ijerph19137654")</f>
        <v/>
      </c>
      <c r="BJ1469" t="n">
        <v>12</v>
      </c>
      <c r="BK1469" t="inlineStr">
        <is>
          <t>Environmental Sciences; Public, Environmental &amp; Occupational Health</t>
        </is>
      </c>
      <c r="BL1469" t="inlineStr">
        <is>
          <t>Science Citation Index Expanded (SCI-EXPANDED); Social Science Citation Index (SSCI)</t>
        </is>
      </c>
      <c r="BM1469" t="inlineStr">
        <is>
          <t>Environmental Sciences &amp; Ecology; Public, Environmental &amp; Occupational Health</t>
        </is>
      </c>
      <c r="BN1469" t="inlineStr">
        <is>
          <t>2V9SF</t>
        </is>
      </c>
      <c r="BO1469" t="n">
        <v>35805314</v>
      </c>
      <c r="BP1469" t="inlineStr">
        <is>
          <t>Green Published, gold</t>
        </is>
      </c>
      <c r="BS1469" t="inlineStr">
        <is>
          <t>2023-10-26</t>
        </is>
      </c>
      <c r="BT1469" t="inlineStr">
        <is>
          <t>WOS:000824175700001</t>
        </is>
      </c>
      <c r="BU1469">
        <f>HYPERLINK("https%3A%2F%2Fwww.webofscience.com%2Fwos%2Fwoscc%2Ffull-record%2FWOS:000824175700001","View Full Record in Web of Science")</f>
        <v/>
      </c>
    </row>
    <row r="1470">
      <c r="A1470" t="inlineStr">
        <is>
          <t>J</t>
        </is>
      </c>
      <c r="B1470" t="inlineStr">
        <is>
          <t>Lin, MH; Lin, XY</t>
        </is>
      </c>
      <c r="F1470" t="inlineStr">
        <is>
          <t>Lin, Minhui; Lin, Xinyun</t>
        </is>
      </c>
      <c r="J1470" t="inlineStr">
        <is>
          <t>SUSTAINABILITY</t>
        </is>
      </c>
      <c r="M1470" t="inlineStr">
        <is>
          <t>English</t>
        </is>
      </c>
      <c r="N1470" t="inlineStr">
        <is>
          <t>Article</t>
        </is>
      </c>
      <c r="T1470" t="inlineStr">
        <is>
          <t>A Qualitative Study on Leisure Benefits, Constraints, and Negotiations in Urban Parks Based on Perception of Chinese Older Adults</t>
        </is>
      </c>
      <c r="U1470" t="inlineStr">
        <is>
          <t>older adults; urban parks; leisure benefits; leisure constraints and negotiation; Guangzhou; healthy aging</t>
        </is>
      </c>
      <c r="V1470" t="inlineStr">
        <is>
          <t>TIME PHYSICAL-ACTIVITY; SOCIAL SUPPORT; GREEN SPACES; HEALTH; PEOPLE; IMPACT; VISITATION; MODEL; NEEDS</t>
        </is>
      </c>
      <c r="W1470" t="inlineStr">
        <is>
          <t>Urban parks, one of the most significant outdoor leisure areas, are particularly important for the physical and mental health of older adults. In order to investigate the benefits and constraints of leisure activities that older adults perceived in urban parks, as well as their negotiation mechanisms, this study was conducted using a qualitative method, interviewing 102 retired older adults aged 55 or older in Guangzhou, China, and using Rost CM 6.0 for word frequency analysis. The study findings indicated that due to the lack of age-friendly public leisure facilities in Guangzhou, Chinese older adults expressed multiple expectations regarding the benefits of urban parks, mainly in terms of physical, psychological, and social interaction, with physical benefits being their primary drivers. Leisure constraints can be intrapersonal, interpersonal, or structural. Older adults who visited parks and those who did not were affected by different levels of limitations, with the oldest people experiencing the most pronounced constraints. Older adults were able to access leisure opportunities through a variety of constraint negotiation strategies, including cognitive adaptability, spatiotemporal adaptation, interpersonal coordination, skill acquisition, and alternative leisure activities. The results of this study might assist related management departments in building more age-friendly parks based on the framework of the benefits and constraints of park recreation for older adults, in terms such as institutional design and planning to enhance the role of urban parks in healthy aging.</t>
        </is>
      </c>
      <c r="X1470" t="inlineStr">
        <is>
          <t>[Lin, Minhui; Lin, Xinyun] South China Agr Univ, Coll Forestry &amp; Landscape Architecture, Guangzhou 510642, Peoples R China</t>
        </is>
      </c>
      <c r="Y1470" t="inlineStr">
        <is>
          <t>South China Agricultural University</t>
        </is>
      </c>
      <c r="Z1470" t="inlineStr">
        <is>
          <t>Lin, MH (corresponding author), South China Agr Univ, Coll Forestry &amp; Landscape Architecture, Guangzhou 510642, Peoples R China.</t>
        </is>
      </c>
      <c r="AA1470" t="inlineStr">
        <is>
          <t>linminhui@scau.edu.cn</t>
        </is>
      </c>
      <c r="AD1470" t="inlineStr">
        <is>
          <t>We acknowledge all the residents of the neighborhoods who participated in this study and also thank the interviewers for their excellent research assistance.</t>
        </is>
      </c>
      <c r="AE1470" t="inlineStr">
        <is>
          <t>We acknowledge all the residents of the neighborhoods who participated in this study and also thank the interviewers for their excellent research assistance.</t>
        </is>
      </c>
      <c r="AF1470" t="inlineStr">
        <is>
          <t>We acknowledge all the residents of the neighborhoods who participated in this study and also thank the interviewers for their excellent research assistance.</t>
        </is>
      </c>
      <c r="AH1470" t="n">
        <v>67</v>
      </c>
      <c r="AI1470" t="n">
        <v>0</v>
      </c>
      <c r="AJ1470" t="n">
        <v>0</v>
      </c>
      <c r="AK1470" t="n">
        <v>2</v>
      </c>
      <c r="AL1470" t="n">
        <v>2</v>
      </c>
      <c r="AM1470" t="inlineStr">
        <is>
          <t>MDPI</t>
        </is>
      </c>
      <c r="AN1470" t="inlineStr">
        <is>
          <t>BASEL</t>
        </is>
      </c>
      <c r="AO1470" t="inlineStr">
        <is>
          <t>ST ALBAN-ANLAGE 66, CH-4052 BASEL, SWITZERLAND</t>
        </is>
      </c>
      <c r="AQ1470" t="inlineStr">
        <is>
          <t>2071-1050</t>
        </is>
      </c>
      <c r="AS1470" t="inlineStr">
        <is>
          <t>SUSTAINABILITY-BASEL</t>
        </is>
      </c>
      <c r="AT1470" t="inlineStr">
        <is>
          <t>Sustainability</t>
        </is>
      </c>
      <c r="AU1470" t="inlineStr">
        <is>
          <t>SEP</t>
        </is>
      </c>
      <c r="AV1470" t="n">
        <v>2023</v>
      </c>
      <c r="AW1470" t="n">
        <v>15</v>
      </c>
      <c r="AX1470" t="n">
        <v>18</v>
      </c>
      <c r="BE1470" t="n">
        <v>13304</v>
      </c>
      <c r="BF1470" t="inlineStr">
        <is>
          <t>10.3390/su151813304</t>
        </is>
      </c>
      <c r="BG1470">
        <f>HYPERLINK("http://dx.doi.org/10.3390/su151813304","http://dx.doi.org/10.3390/su151813304")</f>
        <v/>
      </c>
      <c r="BJ1470" t="n">
        <v>17</v>
      </c>
      <c r="BK1470" t="inlineStr">
        <is>
          <t>Green &amp; Sustainable Science &amp; Technology; Environmental Sciences; Environmental Studies</t>
        </is>
      </c>
      <c r="BL1470" t="inlineStr">
        <is>
          <t>Science Citation Index Expanded (SCI-EXPANDED); Social Science Citation Index (SSCI)</t>
        </is>
      </c>
      <c r="BM1470" t="inlineStr">
        <is>
          <t>Science &amp; Technology - Other Topics; Environmental Sciences &amp; Ecology</t>
        </is>
      </c>
      <c r="BN1470" t="inlineStr">
        <is>
          <t>S6LW5</t>
        </is>
      </c>
      <c r="BP1470" t="inlineStr">
        <is>
          <t>gold</t>
        </is>
      </c>
      <c r="BS1470" t="inlineStr">
        <is>
          <t>2023-10-26</t>
        </is>
      </c>
      <c r="BT1470" t="inlineStr">
        <is>
          <t>WOS:001072267800001</t>
        </is>
      </c>
      <c r="BU1470">
        <f>HYPERLINK("https%3A%2F%2Fwww.webofscience.com%2Fwos%2Fwoscc%2Ffull-record%2FWOS:001072267800001","View Full Record in Web of Science")</f>
        <v/>
      </c>
    </row>
    <row r="1471">
      <c r="A1471" t="inlineStr">
        <is>
          <t>J</t>
        </is>
      </c>
      <c r="B1471" t="inlineStr">
        <is>
          <t>Cuesta-Vargas, A; Martín-Martín, J; Pérez-Cruzado, D; Cano-Herrera, CL; Rodríguez, JG; Merchán-Baeza, JA; González-Sánchez, M</t>
        </is>
      </c>
      <c r="F1471" t="inlineStr">
        <is>
          <t>Cuesta-Vargas, Antonio; Martin-Martin, Jaime; Perez-Cruzado, David; Cano-Herrera, Carlos L.; Gueita Rodriguez, Javier; Merchan-Baeza, Jose Antonio; Gonzalez-Sanchez, Manuel</t>
        </is>
      </c>
      <c r="J1471" t="inlineStr">
        <is>
          <t>INTERNATIONAL JOURNAL OF ENVIRONMENTAL RESEARCH AND PUBLIC HEALTH</t>
        </is>
      </c>
      <c r="M1471" t="inlineStr">
        <is>
          <t>English</t>
        </is>
      </c>
      <c r="N1471" t="inlineStr">
        <is>
          <t>Article</t>
        </is>
      </c>
      <c r="T1471" t="inlineStr">
        <is>
          <t>Muscle Activation and Distribution during Four Test/Functional Tasks: A Comparison between Dry-Land and Aquatic Environments for Healthy Older and Young Adults</t>
        </is>
      </c>
      <c r="U1471" t="inlineStr">
        <is>
          <t>water; electromyography; healthy aging; posture</t>
        </is>
      </c>
      <c r="V1471" t="inlineStr">
        <is>
          <t>SIT-TO-STAND; GAIT INITIATION; BIOMECHANICAL CHARACTERISTICS; NEUROMUSCULAR ACTIVITY; FUNCTIONAL TEST; SHALLOW-WATER; IN-WATER; WALKING; KINEMATICS; KNEE</t>
        </is>
      </c>
      <c r="W1471" t="inlineStr">
        <is>
          <t>Background: The use of rehabilitation protocols carried out in water has been progressively increasing due to the favorable physical properties of the water. Electromyography allows one to register muscle activity even under water. Aim: To compare muscle activity between two groups (healthy young adults (HYA) and healthy older adults (HOA)) in two different environments (dry land and aquatic) using surface electromyography during the execution of four different test/functional movements. Methods: Analytical cross-sectional study. HYA and HOA carried out four functional tasks (Step Up and Down, Sit TO Stand test, Gait Initiation and Turns During Gait) in two different environments (dry land and aquatic). Absolute and relative muscle activation was compared between each group and between each environment. In addition, the stability of the measured was calculated through a test-retest (ICC 2:1). Results: Within the same environment there were significant differences between young and older adults in three of the four functional tasks. In contrast, in the gait initiation, hardly any significant differences were found between the two groups analysed, except for the soleus and the anterior tibial. Measurement stability ranged from good to excellent. Conclusions: Level of the musculature involvement presents an entirely different distribution when the test/functional task is performed on dry land or in water. There are differences both in the relative activation of the musculature and in the distribution of the partition of the muscles comparing older and young adults within the same environment.</t>
        </is>
      </c>
      <c r="X1471" t="inlineStr">
        <is>
          <t>[Cuesta-Vargas, Antonio; Cano-Herrera, Carlos L.; Gonzalez-Sanchez, Manuel] Univ Malaga, Dept Physiotherapy, Biomed Reseach Inst Malaga, Malaga 29071, Spain; [Cuesta-Vargas, Antonio] Queensland Univ Technol, Sch Clin Sci, Fac Hlth, Brisbane, Qld 4000, Australia; [Martin-Martin, Jaime] Univ Malaga, Fac Med, Legal Med Area, Dept Human Anat Legal Med &amp; Hist Sci, Malaga 29071, Spain; [Perez-Cruzado, David] Catholic Univ Murcia, Dept Occupat Therapy, Murcia 30109, Spain; [Gueita Rodriguez, Javier] Rey Juan Carlos Univ, Dept Phys Therapy Occupat Therapy Rehabil &amp; Phys, Madrid 28922, Spain; [Gueita Rodriguez, Javier] Rey Juan Carlos Univ, Res Grp Humanities &amp; Qualitat Res Hlth Sci, Hum&amp;QRinHS, Madrid 28922, Spain; [Merchan-Baeza, Jose Antonio] Univ Vic Cent Univ Catalonia UVIC UCC, Res Grp Methodol Methods Models &amp; Outcomes Hlth &amp;, Fac Hlth Sci &amp; Welf, Vic 08500, Spain</t>
        </is>
      </c>
      <c r="Y1471" t="inlineStr">
        <is>
          <t>Universidad de Malaga; Queensland University of Technology (QUT); Universidad de Malaga; Universidad Catolica de Murcia; Universidad Rey Juan Carlos; Universidad Rey Juan Carlos; Universitat de Vic - Universitat Central de Catalunya (UVic-UCC)</t>
        </is>
      </c>
      <c r="Z1471" t="inlineStr">
        <is>
          <t>Cuesta-Vargas, A (corresponding author), Univ Malaga, Dept Physiotherapy, Biomed Reseach Inst Malaga, Malaga 29071, Spain.;Cuesta-Vargas, A (corresponding author), Queensland Univ Technol, Sch Clin Sci, Fac Hlth, Brisbane, Qld 4000, Australia.;Merchán-Baeza, JA (corresponding author), Univ Vic Cent Univ Catalonia UVIC UCC, Res Grp Methodol Methods Models &amp; Outcomes Hlth &amp;, Fac Hlth Sci &amp; Welf, Vic 08500, Spain.</t>
        </is>
      </c>
      <c r="AA1471" t="inlineStr">
        <is>
          <t>acuesta@uma.es; jaimemartinmartin@gmail.com; d_perez_cruzado@hotmail.com; carloscanoherrera@gmail.com; javier.gueita@urjc.es; josan.merchan@uvic.cat; mgsa23@uma.es</t>
        </is>
      </c>
      <c r="AB1471" t="inlineStr">
        <is>
          <t>Güeita-Rodriguez, Javier/AAD-9127-2021</t>
        </is>
      </c>
      <c r="AC1471" t="inlineStr">
        <is>
          <t>David, Perez-Cruzado/0000-0001-7952-0831; Martin-Martin, Jaime/0000-0001-6143-6703; Merchan-Baeza, Jose Antonio/0000-0002-6893-952X; Cuesta-Vargas, Antonio I/0000-0002-8880-4315; Gonzalez-Sanchez, Manuel/0000-0003-3993-5092; GUEITA, JAVIER/0000-0003-4824-5915</t>
        </is>
      </c>
      <c r="AH1471" t="n">
        <v>77</v>
      </c>
      <c r="AI1471" t="n">
        <v>2</v>
      </c>
      <c r="AJ1471" t="n">
        <v>2</v>
      </c>
      <c r="AK1471" t="n">
        <v>1</v>
      </c>
      <c r="AL1471" t="n">
        <v>9</v>
      </c>
      <c r="AM1471" t="inlineStr">
        <is>
          <t>MDPI</t>
        </is>
      </c>
      <c r="AN1471" t="inlineStr">
        <is>
          <t>BASEL</t>
        </is>
      </c>
      <c r="AO1471" t="inlineStr">
        <is>
          <t>ST ALBAN-ANLAGE 66, CH-4052 BASEL, SWITZERLAND</t>
        </is>
      </c>
      <c r="AQ1471" t="inlineStr">
        <is>
          <t>1660-4601</t>
        </is>
      </c>
      <c r="AS1471" t="inlineStr">
        <is>
          <t>INT J ENV RES PUB HE</t>
        </is>
      </c>
      <c r="AT1471" t="inlineStr">
        <is>
          <t>Int. J. Environ. Res. Public Health</t>
        </is>
      </c>
      <c r="AU1471" t="inlineStr">
        <is>
          <t>JUL</t>
        </is>
      </c>
      <c r="AV1471" t="n">
        <v>2020</v>
      </c>
      <c r="AW1471" t="n">
        <v>17</v>
      </c>
      <c r="AX1471" t="n">
        <v>13</v>
      </c>
      <c r="BE1471" t="n">
        <v>4696</v>
      </c>
      <c r="BF1471" t="inlineStr">
        <is>
          <t>10.3390/ijerph17134696</t>
        </is>
      </c>
      <c r="BG1471">
        <f>HYPERLINK("http://dx.doi.org/10.3390/ijerph17134696","http://dx.doi.org/10.3390/ijerph17134696")</f>
        <v/>
      </c>
      <c r="BJ1471" t="n">
        <v>21</v>
      </c>
      <c r="BK1471" t="inlineStr">
        <is>
          <t>Environmental Sciences; Public, Environmental &amp; Occupational Health</t>
        </is>
      </c>
      <c r="BL1471" t="inlineStr">
        <is>
          <t>Science Citation Index Expanded (SCI-EXPANDED); Social Science Citation Index (SSCI)</t>
        </is>
      </c>
      <c r="BM1471" t="inlineStr">
        <is>
          <t>Environmental Sciences &amp; Ecology; Public, Environmental &amp; Occupational Health</t>
        </is>
      </c>
      <c r="BN1471" t="inlineStr">
        <is>
          <t>MM7PF</t>
        </is>
      </c>
      <c r="BO1471" t="n">
        <v>32629839</v>
      </c>
      <c r="BP1471" t="inlineStr">
        <is>
          <t>Green Published, gold</t>
        </is>
      </c>
      <c r="BS1471" t="inlineStr">
        <is>
          <t>2023-10-26</t>
        </is>
      </c>
      <c r="BT1471" t="inlineStr">
        <is>
          <t>WOS:000550344600001</t>
        </is>
      </c>
      <c r="BU1471">
        <f>HYPERLINK("https%3A%2F%2Fwww.webofscience.com%2Fwos%2Fwoscc%2Ffull-record%2FWOS:000550344600001","View Full Record in Web of Science")</f>
        <v/>
      </c>
    </row>
    <row r="1472">
      <c r="A1472" t="inlineStr">
        <is>
          <t>J</t>
        </is>
      </c>
      <c r="B1472" t="inlineStr">
        <is>
          <t>Kwok, HHL; Cheng, JCP; Li, ATY; Tong, JCK; Lau, AKH</t>
        </is>
      </c>
      <c r="F1472" t="inlineStr">
        <is>
          <t>Kwok, Helen H. L.; Cheng, Jack C. P.; Li, Alison T. Y.; Tong, Jimmy C. K.; Lau, Alexis K. H.</t>
        </is>
      </c>
      <c r="J1472" t="inlineStr">
        <is>
          <t>JOURNAL OF CLEANER PRODUCTION</t>
        </is>
      </c>
      <c r="M1472" t="inlineStr">
        <is>
          <t>English</t>
        </is>
      </c>
      <c r="N1472" t="inlineStr">
        <is>
          <t>Article</t>
        </is>
      </c>
      <c r="T1472" t="inlineStr">
        <is>
          <t>Multi-zone indoor CFD under limited information: An approach coupling solar analysis and BIM for improved accuracy</t>
        </is>
      </c>
      <c r="U1472" t="inlineStr">
        <is>
          <t>Building information modeling; Computational fluid dynamics; Indoor air quality; Indoor partition; Solar analysis; Thermal comfort</t>
        </is>
      </c>
      <c r="V1472" t="inlineStr">
        <is>
          <t>DISPLACEMENT VENTILATION; PERFORMANCE; SIMULATION; FLOW; PREDICTION; BUILDINGS; EXPOSURE; QUALITY</t>
        </is>
      </c>
      <c r="W1472" t="inlineStr">
        <is>
          <t>It is important to monitor the indoor air quality and thermal comfort of an office environment for the wellbeing of its occupants, and, to do so, computational fluid dynamics simulation is more cost-effective than measuring an entire floor. Computational fluid dynamics simulation has been used by previous studies for single rooms and partitioned spaces, but not for office floors with multi-zone ventilation systems, and air infiltrations between different zones through closed doors have been neglected. Also, since it is often not possible to take measurements across an entire floor due to concerns of tenant privacy, few studies have used the limited obtainable field measurements to validate multi-zone computational fluid dynamics simulations. This study describes a methodology to conduct indoor multi-zone steady-state computational fluid dynamics simulation, with improved accuracy, on a typical office floor where there is limited information on carbon dioxide concentrations and temperatures. Heat and mass conservation equations were used to compensate for the lack of information. The mechanical ventilation and air conditioning layout was considered along with the sources of heat and carbon dioxide emissions. To improve the accuracy of the simulation on temperature, a solar analysis, based on building geometry, orientation, materials, location, and weather, was conducted to estimate any solar heat gain and distribution through curtain walls. Building information modeling supported the solar analysis and provided geometric information for the computational fluid dynamics simulation. The methodology was validated by a real case of a commercial building, where the accuracy of the temperature simulation improved by 9.9%. (C) 2019 Elsevier Ltd. All rights reserved.</t>
        </is>
      </c>
      <c r="X1472" t="inlineStr">
        <is>
          <t>[Kwok, Helen H. L.; Cheng, Jack C. P.] Hong Kong Univ Sci &amp; Technol, Dept Civil &amp; Environm Engn, Kowloon, Clear Water Bay, Hong Kong, Peoples R China; [Li, Alison T. Y.; Lau, Alexis K. H.] Hong Kong Univ Sci &amp; Technol, Div Environm &amp; Sustainabil, Kowloon, Clear Water Bay, Hong Kong, Peoples R China; [Tong, Jimmy C. K.] Ove Arup &amp; Partners Hong Kong Ltd, Kowloon Tong, Kowloon, Level 5 Festival Walk,80 Tat Chee Ave, Hong Kong, Peoples R China</t>
        </is>
      </c>
      <c r="Y1472" t="inlineStr">
        <is>
          <t>Hong Kong University of Science &amp; Technology; Hong Kong University of Science &amp; Technology</t>
        </is>
      </c>
      <c r="Z1472" t="inlineStr">
        <is>
          <t>Cheng, JCP (corresponding author), Hong Kong Univ Sci &amp; Technol, Dept Civil &amp; Environm Engn, Kowloon, Clear Water Bay, Hong Kong, Peoples R China.</t>
        </is>
      </c>
      <c r="AA1472" t="inlineStr">
        <is>
          <t>cejcheng@ust.hk</t>
        </is>
      </c>
      <c r="AB1472" t="inlineStr">
        <is>
          <t>Tong, Jimmy Chun Kuen/JBJ-9211-2023; Lau, Alexis K/D-7914-2013</t>
        </is>
      </c>
      <c r="AC1472" t="inlineStr">
        <is>
          <t>Tong, Jimmy Chun Kuen/0000-0003-2793-1123; Lau, Alexis K/0000-0003-3802-828X; Kwok, Helen Hoi Ling/0000-0002-7179-9281</t>
        </is>
      </c>
      <c r="AD1472" t="inlineStr">
        <is>
          <t>HSBC 150th Anniversary Charity Program through the PRAISE-HK project in Hong Kong</t>
        </is>
      </c>
      <c r="AE1472" t="inlineStr">
        <is>
          <t>HSBC 150th Anniversary Charity Program through the PRAISE-HK project in Hong Kong</t>
        </is>
      </c>
      <c r="AF1472" t="inlineStr">
        <is>
          <t>This research is partly supported by the HSBC 150th Anniversary Charity Program through the PRAISE-HK project in Hong Kong. The authors are grateful to Sino Estates Management Limited for providing access to the sample building and the design drawings of the sample office floor. The authors also thank the students Tommy Chan, Sam Lui, Chloe Tang for their efforts made in this study.</t>
        </is>
      </c>
      <c r="AH1472" t="n">
        <v>36</v>
      </c>
      <c r="AI1472" t="n">
        <v>12</v>
      </c>
      <c r="AJ1472" t="n">
        <v>12</v>
      </c>
      <c r="AK1472" t="n">
        <v>1</v>
      </c>
      <c r="AL1472" t="n">
        <v>49</v>
      </c>
      <c r="AM1472" t="inlineStr">
        <is>
          <t>ELSEVIER SCI LTD</t>
        </is>
      </c>
      <c r="AN1472" t="inlineStr">
        <is>
          <t>OXFORD</t>
        </is>
      </c>
      <c r="AO1472" t="inlineStr">
        <is>
          <t>THE BOULEVARD, LANGFORD LANE, KIDLINGTON, OXFORD OX5 1GB, OXON, ENGLAND</t>
        </is>
      </c>
      <c r="AP1472" t="inlineStr">
        <is>
          <t>0959-6526</t>
        </is>
      </c>
      <c r="AQ1472" t="inlineStr">
        <is>
          <t>1879-1786</t>
        </is>
      </c>
      <c r="AS1472" t="inlineStr">
        <is>
          <t>J CLEAN PROD</t>
        </is>
      </c>
      <c r="AT1472" t="inlineStr">
        <is>
          <t>J. Clean Prod.</t>
        </is>
      </c>
      <c r="AU1472" t="inlineStr">
        <is>
          <t>JAN 20</t>
        </is>
      </c>
      <c r="AV1472" t="n">
        <v>2020</v>
      </c>
      <c r="AW1472" t="n">
        <v>244</v>
      </c>
      <c r="BE1472" t="n">
        <v>118912</v>
      </c>
      <c r="BF1472" t="inlineStr">
        <is>
          <t>10.1016/j.jclepro.2019.118912</t>
        </is>
      </c>
      <c r="BG1472">
        <f>HYPERLINK("http://dx.doi.org/10.1016/j.jclepro.2019.118912","http://dx.doi.org/10.1016/j.jclepro.2019.118912")</f>
        <v/>
      </c>
      <c r="BJ1472" t="n">
        <v>14</v>
      </c>
      <c r="BK1472" t="inlineStr">
        <is>
          <t>Green &amp; Sustainable Science &amp; Technology; Engineering, Environmental; Environmental Sciences</t>
        </is>
      </c>
      <c r="BL1472" t="inlineStr">
        <is>
          <t>Science Citation Index Expanded (SCI-EXPANDED)</t>
        </is>
      </c>
      <c r="BM1472" t="inlineStr">
        <is>
          <t>Science &amp; Technology - Other Topics; Engineering; Environmental Sciences &amp; Ecology</t>
        </is>
      </c>
      <c r="BN1472" t="inlineStr">
        <is>
          <t>JW6PX</t>
        </is>
      </c>
      <c r="BS1472" t="inlineStr">
        <is>
          <t>2023-10-26</t>
        </is>
      </c>
      <c r="BT1472" t="inlineStr">
        <is>
          <t>WOS:000503172600126</t>
        </is>
      </c>
      <c r="BU1472">
        <f>HYPERLINK("https%3A%2F%2Fwww.webofscience.com%2Fwos%2Fwoscc%2Ffull-record%2FWOS:000503172600126","View Full Record in Web of Science")</f>
        <v/>
      </c>
    </row>
    <row r="1473">
      <c r="A1473" t="inlineStr">
        <is>
          <t>J</t>
        </is>
      </c>
      <c r="B1473" t="inlineStr">
        <is>
          <t>Caldera, S; Mohamed, S; Feng, YB</t>
        </is>
      </c>
      <c r="F1473" t="inlineStr">
        <is>
          <t>Caldera, Savindi; Mohamed, Sherif; Feng, Yingbin</t>
        </is>
      </c>
      <c r="J1473" t="inlineStr">
        <is>
          <t>SUSTAINABILITY</t>
        </is>
      </c>
      <c r="M1473" t="inlineStr">
        <is>
          <t>English</t>
        </is>
      </c>
      <c r="N1473" t="inlineStr">
        <is>
          <t>Article</t>
        </is>
      </c>
      <c r="T1473" t="inlineStr">
        <is>
          <t>Evaluating the COVID-19 Impacts on Sustainable Procurement: Experiences from the Australian Built Environment Sector</t>
        </is>
      </c>
      <c r="U1473" t="inlineStr">
        <is>
          <t>sustainable procurement; pandemic; supply chain; COVID-19 impacts</t>
        </is>
      </c>
      <c r="V1473" t="inlineStr">
        <is>
          <t>SUPPLY CHAIN RESILIENCE</t>
        </is>
      </c>
      <c r="W1473" t="inlineStr">
        <is>
          <t>The COVID-19 pandemic has brought global economies to a standstill and created challenges for a variety of sectors, including housing, building and infrastructure. Many business and government organisations have experienced some form of supply chain disruption-either through suppliers going offline, a sudden spike in demand or both. While embedding sustainability in procurement is a powerful tool for bringing about positive change in an organisation's supply chains, this global pandemic has had a myriad of impacts on these procurement processes. Through focus group discussions with industrial practitioners and government decision makers from the Australian built environment sector, this study presents their lived experiences related to COVID-19 impacts on sustainable procurement. The emergent themes are: (1) the effects of COVID-19 on sustainable procurement, (2) the rapid development of reactive procurement responses and (3) levers for post-COVID-19 sustainable procurement. In order to learn from the challenges related to COVID-19, both government and industry need to re-assess their supply chain risks and determine the supply chain design that will deliver the most resiliency in the event of another large-scale disruption. There are several key levers, including developing reliable, transparent and local supply chains, leveraging innovative tools and digital engineering approaches, creating a coalition between government and industry and assessing risks at multiple levels. This study is the first of its kind to evaluate the COVID-19 impacts on sustainable procurement in the Australian building and construction industries. Government and industry practitioners can immediately apply these actionable recommendations to overcome the impacts of the pandemic and other disruptions on sustainable procurement activities.</t>
        </is>
      </c>
      <c r="X1473" t="inlineStr">
        <is>
          <t>[Caldera, Savindi; Mohamed, Sherif] Griffith Univ, Cities Res Inst, Nathan, Qld 4111, Australia; [Feng, Yingbin] Univ Western Sydney, Sch Engn Design &amp; Built Environm, Penrith, NSW 2751, Australia</t>
        </is>
      </c>
      <c r="Y1473" t="inlineStr">
        <is>
          <t>Griffith University; Western Sydney University</t>
        </is>
      </c>
      <c r="Z1473" t="inlineStr">
        <is>
          <t>Feng, YB (corresponding author), Univ Western Sydney, Sch Engn Design &amp; Built Environm, Penrith, NSW 2751, Australia.</t>
        </is>
      </c>
      <c r="AA1473" t="inlineStr">
        <is>
          <t>s.caldera@griffith.edu.au; s.mohamed@griffith.edu.au; y.feng@westernsydney.edu.au</t>
        </is>
      </c>
      <c r="AC1473" t="inlineStr">
        <is>
          <t>Caldera, Helessage Tharanga Savindi/0000-0002-1263-2924; Feng, Yingbin/0000-0002-3832-0152; Mohamed, Sherif/0000-0002-8967-6212</t>
        </is>
      </c>
      <c r="AD1473" t="inlineStr">
        <is>
          <t>Sustainable Built Environment National Research Centre (SBEnrc), Australia [2.76]</t>
        </is>
      </c>
      <c r="AE1473" t="inlineStr">
        <is>
          <t>Sustainable Built Environment National Research Centre (SBEnrc), Australia</t>
        </is>
      </c>
      <c r="AF1473" t="inlineStr">
        <is>
          <t>This research was funded by the Sustainable Built Environment National Research Centre (SBEnrc), Australia grant number Project 2.76.</t>
        </is>
      </c>
      <c r="AH1473" t="n">
        <v>46</v>
      </c>
      <c r="AI1473" t="n">
        <v>9</v>
      </c>
      <c r="AJ1473" t="n">
        <v>9</v>
      </c>
      <c r="AK1473" t="n">
        <v>5</v>
      </c>
      <c r="AL1473" t="n">
        <v>25</v>
      </c>
      <c r="AM1473" t="inlineStr">
        <is>
          <t>MDPI</t>
        </is>
      </c>
      <c r="AN1473" t="inlineStr">
        <is>
          <t>BASEL</t>
        </is>
      </c>
      <c r="AO1473" t="inlineStr">
        <is>
          <t>ST ALBAN-ANLAGE 66, CH-4052 BASEL, SWITZERLAND</t>
        </is>
      </c>
      <c r="AQ1473" t="inlineStr">
        <is>
          <t>2071-1050</t>
        </is>
      </c>
      <c r="AS1473" t="inlineStr">
        <is>
          <t>SUSTAINABILITY-BASEL</t>
        </is>
      </c>
      <c r="AT1473" t="inlineStr">
        <is>
          <t>Sustainability</t>
        </is>
      </c>
      <c r="AU1473" t="inlineStr">
        <is>
          <t>APR</t>
        </is>
      </c>
      <c r="AV1473" t="n">
        <v>2022</v>
      </c>
      <c r="AW1473" t="n">
        <v>14</v>
      </c>
      <c r="AX1473" t="n">
        <v>7</v>
      </c>
      <c r="BE1473" t="n">
        <v>4163</v>
      </c>
      <c r="BF1473" t="inlineStr">
        <is>
          <t>10.3390/su14074163</t>
        </is>
      </c>
      <c r="BG1473">
        <f>HYPERLINK("http://dx.doi.org/10.3390/su14074163","http://dx.doi.org/10.3390/su14074163")</f>
        <v/>
      </c>
      <c r="BJ1473" t="n">
        <v>15</v>
      </c>
      <c r="BK1473" t="inlineStr">
        <is>
          <t>Green &amp; Sustainable Science &amp; Technology; Environmental Sciences; Environmental Studies</t>
        </is>
      </c>
      <c r="BL1473" t="inlineStr">
        <is>
          <t>Science Citation Index Expanded (SCI-EXPANDED); Social Science Citation Index (SSCI)</t>
        </is>
      </c>
      <c r="BM1473" t="inlineStr">
        <is>
          <t>Science &amp; Technology - Other Topics; Environmental Sciences &amp; Ecology</t>
        </is>
      </c>
      <c r="BN1473" t="inlineStr">
        <is>
          <t>0M0MM</t>
        </is>
      </c>
      <c r="BP1473" t="inlineStr">
        <is>
          <t>gold, Green Published</t>
        </is>
      </c>
      <c r="BS1473" t="inlineStr">
        <is>
          <t>2023-10-26</t>
        </is>
      </c>
      <c r="BT1473" t="inlineStr">
        <is>
          <t>WOS:000781858400001</t>
        </is>
      </c>
      <c r="BU1473">
        <f>HYPERLINK("https%3A%2F%2Fwww.webofscience.com%2Fwos%2Fwoscc%2Ffull-record%2FWOS:000781858400001","View Full Record in Web of Science")</f>
        <v/>
      </c>
    </row>
    <row r="1474">
      <c r="A1474" t="inlineStr">
        <is>
          <t>J</t>
        </is>
      </c>
      <c r="B1474" t="inlineStr">
        <is>
          <t>Lo, KY; Wu, MC; Tung, SC; Hsieh, CC; Yao, HH; Ho, CC</t>
        </is>
      </c>
      <c r="F1474" t="inlineStr">
        <is>
          <t>Lo, Kai-Yang; Wu, Min-Chen; Tung, Shu-Chin; Hsieh, City C.; Yao, Hsueh-Hua; Ho, Chien-Chang</t>
        </is>
      </c>
      <c r="J1474" t="inlineStr">
        <is>
          <t>INTERNATIONAL JOURNAL OF ENVIRONMENTAL RESEARCH AND PUBLIC HEALTH</t>
        </is>
      </c>
      <c r="M1474" t="inlineStr">
        <is>
          <t>English</t>
        </is>
      </c>
      <c r="N1474" t="inlineStr">
        <is>
          <t>Article</t>
        </is>
      </c>
      <c r="T1474" t="inlineStr">
        <is>
          <t>Association of School Environment and After-School Physical Activity with Health-Related Physical Fitness among Junior High School Students in Taiwan</t>
        </is>
      </c>
      <c r="U1474" t="inlineStr">
        <is>
          <t>school environment; after-school physical activity; health-related physical fitness; adolescent</t>
        </is>
      </c>
      <c r="V1474" t="inlineStr">
        <is>
          <t>CARDIOVASCULAR RISK; CHILDREN; ADOLESCENTS; OBESITY; YOUTH; URBAN</t>
        </is>
      </c>
      <c r="W1474" t="inlineStr">
        <is>
          <t>The relationship between students' school environment and exercise habits is complex, and is affected by numerous factors. However, the few studies that have been conducted on this relationship have reported inconsistent results, especially regarding Taiwanese students. We conducted this cross-sectional study to investigate the association of school environment and after -school physical activity with health-related physical fitness in Taiwanese adolescents. Data were drawn from a national survey conducted by the Ministry of Education in Taiwan in 2008 of health-related physical fitness measurements among junior high school students (649,442 total) in grades seven to nine. School environment (level of urbanization, school size, presence of sports field or gymnasium) and after -school physical activity were assessed for their association with adolescents' physical fitness measurements (body mass index (BMI), bent-leg sit-ups, 800 -/ 1600-m run, sit-and-reach, standing long jump). Urban boys and girls perform significantly better in muscle strength and endurance, cardiorespiratory endurance, flexibility, and explosive power; girls from rural areas exhibited significantly worse scores in body composition. Boys from large-size schools performed the worst in cardiorespiratory endurance, flexibility, and explosive power; whereas girls from large-size schools performed the worst in muscle strength, muscle endurance, and explosive power, but had the best score for body composition. However, the differences in body composition of boys from large -, medium -, and small- size schools did not reach a statistically significant level. Adolescents of both genders in schools with a sports field or gymnasium exhibited significantly better in muscle strength and endurance, cardiorespiratory endurance, and explosive power. Boys in schools with a sports field or gymnasium had significantly better body composition; girls in schools with sports field or gymnasium differed significantly in flexibility. Adolescents of both genders who participated in physical activity after school had significantly better body composition, cardiorespiratory endurance, and flexibility. Boys who participated in physical activity after school significantly differed in explosive power, whereas girls who participated in physical activity after school exhibited significantly better flexibility. Thus, the current study demonstrated that some factors, including urbanization (school location in rural or urban areas), school size, school facility provision (school with or without sports fields or gymnasiums), and after -school physical activity participation are more important than others in shaping adolescents' physical fitness in Taiwan; meanwhile, these association patterns differed by gender.</t>
        </is>
      </c>
      <c r="X1474" t="inlineStr">
        <is>
          <t>[Lo, Kai-Yang] Natl Sun Yat Sen Univ, Ctr Gen Educ, Kaohsiung 804, Taiwan; [Wu, Min-Chen] Chung Yuan Christian Univ, Off Phys Educ, Taoyuan 320, Taiwan; [Tung, Shu-Chin] Yuanpei Univ Med Technol, Dept Hlth &amp; Leisure Management, Hsinchu 300, Taiwan; [Hsieh, City C.] Natl Tsing Hua Univ, Dept Phys Educ, Hsinchu 300, Taiwan; [Yao, Hsueh-Hua] Yuanpei Univ Med Technol, Dept Radiol Technol, Hsinchu 300, Taiwan; [Ho, Chien-Chang] Fu Jen Catholic Univ, Dept Phys Educ, New Taipei 242, Taiwan</t>
        </is>
      </c>
      <c r="Y1474" t="inlineStr">
        <is>
          <t>National Sun Yat Sen University; Chung Yuan Christian University; National Tsing Hua University; Fu Jen Catholic University</t>
        </is>
      </c>
      <c r="Z1474" t="inlineStr">
        <is>
          <t>Ho, CC (corresponding author), Fu Jen Catholic Univ, Dept Phys Educ, New Taipei 242, Taiwan.</t>
        </is>
      </c>
      <c r="AA1474" t="inlineStr">
        <is>
          <t>luosun@ms25.hinet.net; minchenwu.cycu@gmail.com; sctun@mail.ypu.edu.tw; chsieh@mail.nhcue.edu.tw; yaohsuehhua@gmail.com; 093703@mail.fju.edu.tw</t>
        </is>
      </c>
      <c r="AC1474" t="inlineStr">
        <is>
          <t>Ho, Chien-Chang/0000-0002-1283-5203</t>
        </is>
      </c>
      <c r="AH1474" t="n">
        <v>34</v>
      </c>
      <c r="AI1474" t="n">
        <v>17</v>
      </c>
      <c r="AJ1474" t="n">
        <v>20</v>
      </c>
      <c r="AK1474" t="n">
        <v>10</v>
      </c>
      <c r="AL1474" t="n">
        <v>29</v>
      </c>
      <c r="AM1474" t="inlineStr">
        <is>
          <t>MDPI</t>
        </is>
      </c>
      <c r="AN1474" t="inlineStr">
        <is>
          <t>BASEL</t>
        </is>
      </c>
      <c r="AO1474" t="inlineStr">
        <is>
          <t>ST ALBAN-ANLAGE 66, CH-4052 BASEL, SWITZERLAND</t>
        </is>
      </c>
      <c r="AQ1474" t="inlineStr">
        <is>
          <t>1660-4601</t>
        </is>
      </c>
      <c r="AS1474" t="inlineStr">
        <is>
          <t>INT J ENV RES PUB HE</t>
        </is>
      </c>
      <c r="AT1474" t="inlineStr">
        <is>
          <t>Int. J. Environ. Res. Public Health</t>
        </is>
      </c>
      <c r="AU1474" t="inlineStr">
        <is>
          <t>JAN</t>
        </is>
      </c>
      <c r="AV1474" t="n">
        <v>2017</v>
      </c>
      <c r="AW1474" t="n">
        <v>14</v>
      </c>
      <c r="AX1474" t="n">
        <v>1</v>
      </c>
      <c r="BE1474" t="n">
        <v>83</v>
      </c>
      <c r="BF1474" t="inlineStr">
        <is>
          <t>10.3390/ijerph14010083</t>
        </is>
      </c>
      <c r="BG1474">
        <f>HYPERLINK("http://dx.doi.org/10.3390/ijerph14010083","http://dx.doi.org/10.3390/ijerph14010083")</f>
        <v/>
      </c>
      <c r="BJ1474" t="n">
        <v>10</v>
      </c>
      <c r="BK1474" t="inlineStr">
        <is>
          <t>Environmental Sciences; Public, Environmental &amp; Occupational Health</t>
        </is>
      </c>
      <c r="BL1474" t="inlineStr">
        <is>
          <t>Science Citation Index Expanded (SCI-EXPANDED); Social Science Citation Index (SSCI)</t>
        </is>
      </c>
      <c r="BM1474" t="inlineStr">
        <is>
          <t>Environmental Sciences &amp; Ecology; Public, Environmental &amp; Occupational Health</t>
        </is>
      </c>
      <c r="BN1474" t="inlineStr">
        <is>
          <t>EI6AU</t>
        </is>
      </c>
      <c r="BO1474" t="n">
        <v>28098836</v>
      </c>
      <c r="BP1474" t="inlineStr">
        <is>
          <t>Green Published, gold, Green Submitted</t>
        </is>
      </c>
      <c r="BS1474" t="inlineStr">
        <is>
          <t>2023-10-26</t>
        </is>
      </c>
      <c r="BT1474" t="inlineStr">
        <is>
          <t>WOS:000392578200082</t>
        </is>
      </c>
      <c r="BU1474">
        <f>HYPERLINK("https%3A%2F%2Fwww.webofscience.com%2Fwos%2Fwoscc%2Ffull-record%2FWOS:000392578200082","View Full Record in Web of Science")</f>
        <v/>
      </c>
    </row>
    <row r="1475">
      <c r="A1475" t="inlineStr">
        <is>
          <t>J</t>
        </is>
      </c>
      <c r="B1475" t="inlineStr">
        <is>
          <t>Iwasa, H; Yoshida, Y; Ishioka, Y; Suzukamo, Y</t>
        </is>
      </c>
      <c r="F1475" t="inlineStr">
        <is>
          <t>Iwasa, Hajime; Yoshida, Yuko; Ishioka, Yoshiko; Suzukamo, Yoshimi</t>
        </is>
      </c>
      <c r="J1475" t="inlineStr">
        <is>
          <t>INTERNATIONAL JOURNAL OF ENVIRONMENTAL RESEARCH AND PUBLIC HEALTH</t>
        </is>
      </c>
      <c r="M1475" t="inlineStr">
        <is>
          <t>English</t>
        </is>
      </c>
      <c r="N1475" t="inlineStr">
        <is>
          <t>Article</t>
        </is>
      </c>
      <c r="T1475" t="inlineStr">
        <is>
          <t>Association of Personality with Cognitive Failure among Japanese Middle-Aged and Older Adults</t>
        </is>
      </c>
      <c r="U1475" t="inlineStr">
        <is>
          <t>cognitive failure; conscientiousness; middle-aged and older adults; neuroticism; personality</t>
        </is>
      </c>
      <c r="V1475" t="inlineStr">
        <is>
          <t>RETROSPECTIVE MEMORY; INSOMNIA; EVERYDAY; SCALE</t>
        </is>
      </c>
      <c r="W1475" t="inlineStr">
        <is>
          <t>This study explored the associations between personality traits and cognitive failure (including minor lapses and prospective and retrospective memory failure) among middle-aged and older adults living in Japan. The participants were 373 adults, aged 40-84 (167 men and 206 women). The 15-item Japanese version of the Short Inventory of Minor Lapses was used to evaluate minor lapses, and the 16-item Japanese version of the Prospective and Retrospective Memory Questionnaire was used to assess prospective and retrospective memory failure. The participants' variables evaluated for their association with cognitive failure were gender, age, education, paid work, social network, chronic disease, sleep quality, and the Big Five personality traits (i.e., neuroticism, extraversion, openness, agreeableness, and conscientiousness). Multivariable regression analyses demonstrated that sleep quality (beta = -0.232), neuroticism (beta = 0.163), and conscientiousness (beta = -0.295) were related to minor lapses; age (beta = 0.152), sleep quality (beta = -0.168), and conscientiousness (beta = -0.290) were associated with prospective memory failure; and age (beta = 0.268), sleep quality (beta = -0.146), and conscientiousness (beta = -0.221) were associated with retrospective memory failure. These findings may facilitate the development of efficient strategies for the prevention of cognitive dysfunction and its adverse consequences for personal health.</t>
        </is>
      </c>
      <c r="X1475" t="inlineStr">
        <is>
          <t>[Iwasa, Hajime] Fukushima Med Univ, Dept Publ Hlth, Sch Med, Fukushima 9601295, Japan; [Iwasa, Hajime; Yoshida, Yuko] Tokyo Metropolitan Inst Gerontol, Tokyo 1730015, Japan; [Ishioka, Yoshiko] OP Jindal Global Univ, Jindal Sch Liberal Arts &amp; Humanities, Sonipat 131001, Haryana, India; [Suzukamo, Yoshimi] Tohoku Univ, Grad Sch Med, Sendai, Miyagi 9808575, Japan</t>
        </is>
      </c>
      <c r="Y1475" t="inlineStr">
        <is>
          <t>Fukushima Medical University; Tokyo Metropolitan Institute of Gerontology; O.P. Jindal Global University; Tohoku University</t>
        </is>
      </c>
      <c r="Z1475" t="inlineStr">
        <is>
          <t>Iwasa, H (corresponding author), Fukushima Med Univ, Dept Publ Hlth, Sch Med, Fukushima 9601295, Japan.;Iwasa, H (corresponding author), Tokyo Metropolitan Inst Gerontol, Tokyo 1730015, Japan.</t>
        </is>
      </c>
      <c r="AA1475" t="inlineStr">
        <is>
          <t>hajimei@fmu.ac.jp; yossy@tmig.or.jp; ymishioka@jgu.edu.in; suzukamo@med.tohoku.ac.jp</t>
        </is>
      </c>
      <c r="AB1475" t="inlineStr">
        <is>
          <t>Ishioka, Yoshiko/HDN-7251-2022; Iwasa, Hajime/AFQ-6399-2022</t>
        </is>
      </c>
      <c r="AC1475" t="inlineStr">
        <is>
          <t>Ishioka, Yoshiko/0000-0002-8453-5365; Iwasa, Hajime/0000-0003-2680-7366</t>
        </is>
      </c>
      <c r="AD1475" t="inlineStr">
        <is>
          <t>KAKENHI, Japan Society for the Promotion of Science (JSPS) [18K10069]; Grants-in-Aid for Scientific Research [18K10069] Funding Source: KAKEN</t>
        </is>
      </c>
      <c r="AE1475" t="inlineStr">
        <is>
          <t>KAKENHI, Japan Society for the Promotion of Science (JSPS)(Ministry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is>
      </c>
      <c r="AF1475" t="inlineStr">
        <is>
          <t>This study was supported by a grant from KAKENHI, Japan Society for the Promotion of Science (JSPS), as a Grant-in-Aid for Scientific Research (C) (JSPS KAKENHI Grant Number: 18K10069).</t>
        </is>
      </c>
      <c r="AH1475" t="n">
        <v>40</v>
      </c>
      <c r="AI1475" t="n">
        <v>0</v>
      </c>
      <c r="AJ1475" t="n">
        <v>0</v>
      </c>
      <c r="AK1475" t="n">
        <v>4</v>
      </c>
      <c r="AL1475" t="n">
        <v>8</v>
      </c>
      <c r="AM1475" t="inlineStr">
        <is>
          <t>MDPI</t>
        </is>
      </c>
      <c r="AN1475" t="inlineStr">
        <is>
          <t>BASEL</t>
        </is>
      </c>
      <c r="AO1475" t="inlineStr">
        <is>
          <t>ST ALBAN-ANLAGE 66, CH-4052 BASEL, SWITZERLAND</t>
        </is>
      </c>
      <c r="AQ1475" t="inlineStr">
        <is>
          <t>1660-4601</t>
        </is>
      </c>
      <c r="AS1475" t="inlineStr">
        <is>
          <t>INT J ENV RES PUB HE</t>
        </is>
      </c>
      <c r="AT1475" t="inlineStr">
        <is>
          <t>Int. J. Environ. Res. Public Health</t>
        </is>
      </c>
      <c r="AU1475" t="inlineStr">
        <is>
          <t>JUN</t>
        </is>
      </c>
      <c r="AV1475" t="n">
        <v>2022</v>
      </c>
      <c r="AW1475" t="n">
        <v>19</v>
      </c>
      <c r="AX1475" t="n">
        <v>12</v>
      </c>
      <c r="BE1475" t="n">
        <v>7215</v>
      </c>
      <c r="BF1475" t="inlineStr">
        <is>
          <t>10.3390/ijerph19127215</t>
        </is>
      </c>
      <c r="BG1475">
        <f>HYPERLINK("http://dx.doi.org/10.3390/ijerph19127215","http://dx.doi.org/10.3390/ijerph19127215")</f>
        <v/>
      </c>
      <c r="BJ1475" t="n">
        <v>9</v>
      </c>
      <c r="BK1475" t="inlineStr">
        <is>
          <t>Environmental Sciences; Public, Environmental &amp; Occupational Health</t>
        </is>
      </c>
      <c r="BL1475" t="inlineStr">
        <is>
          <t>Science Citation Index Expanded (SCI-EXPANDED); Social Science Citation Index (SSCI)</t>
        </is>
      </c>
      <c r="BM1475" t="inlineStr">
        <is>
          <t>Environmental Sciences &amp; Ecology; Public, Environmental &amp; Occupational Health</t>
        </is>
      </c>
      <c r="BN1475" t="inlineStr">
        <is>
          <t>2K3SE</t>
        </is>
      </c>
      <c r="BO1475" t="n">
        <v>35742464</v>
      </c>
      <c r="BP1475" t="inlineStr">
        <is>
          <t>gold, Green Published</t>
        </is>
      </c>
      <c r="BS1475" t="inlineStr">
        <is>
          <t>2023-10-26</t>
        </is>
      </c>
      <c r="BT1475" t="inlineStr">
        <is>
          <t>WOS:000816259300001</t>
        </is>
      </c>
      <c r="BU1475">
        <f>HYPERLINK("https%3A%2F%2Fwww.webofscience.com%2Fwos%2Fwoscc%2Ffull-record%2FWOS:000816259300001","View Full Record in Web of Science")</f>
        <v/>
      </c>
    </row>
    <row r="1476">
      <c r="A1476" t="inlineStr">
        <is>
          <t>J</t>
        </is>
      </c>
      <c r="B1476" t="inlineStr">
        <is>
          <t>Schwartz-Narbonne, H; Jones, SH; Donaldson, DJ</t>
        </is>
      </c>
      <c r="F1476" t="inlineStr">
        <is>
          <t>Schwartz-Narbonne, Heather; Jones, Stephanie H.; Donaldson, D. James</t>
        </is>
      </c>
      <c r="J1476" t="inlineStr">
        <is>
          <t>ENVIRONMENTAL SCIENCE &amp; TECHNOLOGY LETTERS</t>
        </is>
      </c>
      <c r="M1476" t="inlineStr">
        <is>
          <t>English</t>
        </is>
      </c>
      <c r="N1476" t="inlineStr">
        <is>
          <t>Article</t>
        </is>
      </c>
      <c r="T1476" t="inlineStr">
        <is>
          <t>Indoor Lighting Releases Gas Phase Nitrogen Oxides from Indoor Painted Surfaces</t>
        </is>
      </c>
      <c r="V1476" t="inlineStr">
        <is>
          <t>HETEROGENEOUS PHOTOCHEMISTRY; NITRATE PHOTOCHEMISTRY; NITRIC-ACID; NO2; HONO; PHOTOCATALYSIS; CHEMISTRY; WATER; MODEL; GRIME</t>
        </is>
      </c>
      <c r="W1476" t="inlineStr">
        <is>
          <t>The indoor environment provides unique surfaces and lighting conditions which affect the photochemistry taking place there. As indoor illumination sources typically output wavelengths too long to affect gas phase photochemistry, the potential for surface photochemistry induced by indoor light sources has been mostly unexplored. In this proof of concept study, we report the emission of gas phase nitrogen oxides as a product of the illumination of glass surfaces coated with nitrate-doped TiO2 and nitratedeposited on indoor paint, using a variety of common indoor light sources. Fluorescent, incandescent, halogen, and LED lights were studied, and a xenon lamp was used for baseline measurements. NOx was emitted from all samples, thus establishing that renoxification can occur in indoor environments. NO2 (g) was the predominant species emitted from samples coated with nitrate-doped TiO2, and NO (g) was the predominant species emitted from nitrate-deposited painted glass surfaces. It was also found that heating from the light sources had no effect on the production of NOx. This preliminary study establishes the potential for heterogeneous photochemistry to occur on real indoor surfaces way for further research to be conducted under realistic indoor conditions. and opens the way for further research to be conducted under realistic indoor conditions.</t>
        </is>
      </c>
      <c r="X1476" t="inlineStr">
        <is>
          <t>[Schwartz-Narbonne, Heather; Jones, Stephanie H.; Donaldson, D. James] Univ Toronto, Dept Chem, 80 St George St, Toronto, ON M5S 3H6, Canada; [Donaldson, D. James] Univ Toronto Scarborough, Dept Phys &amp; Environm Sci, 1265 Mil Trail, Toronto, ON M1C 1A4, Canada</t>
        </is>
      </c>
      <c r="Y1476" t="inlineStr">
        <is>
          <t>University of Toronto; University of Toronto; University Toronto Scarborough</t>
        </is>
      </c>
      <c r="Z1476" t="inlineStr">
        <is>
          <t>Donaldson, DJ (corresponding author), Univ Toronto, Dept Chem, 80 St George St, Toronto, ON M5S 3H6, Canada.;Donaldson, DJ (corresponding author), Univ Toronto Scarborough, Dept Phys &amp; Environm Sci, 1265 Mil Trail, Toronto, ON M1C 1A4, Canada.</t>
        </is>
      </c>
      <c r="AA1476" t="inlineStr">
        <is>
          <t>jdonalds@chem.utoronto.ca</t>
        </is>
      </c>
      <c r="AB1476" t="inlineStr">
        <is>
          <t>Jones, Stephanie H/G-1849-2016; Donaldson, James/G-7120-2012</t>
        </is>
      </c>
      <c r="AC1476" t="inlineStr">
        <is>
          <t>Donaldson, James/0000-0002-5090-3318; Schwartz-Narbonne, Heather/0000-0003-4776-0974</t>
        </is>
      </c>
      <c r="AD1476" t="inlineStr">
        <is>
          <t>Alfred P. Sloan Foundation under its Chemistry of Indoor Environments program</t>
        </is>
      </c>
      <c r="AE1476" t="inlineStr">
        <is>
          <t>Alfred P. Sloan Foundation under its Chemistry of Indoor Environments program(Alfred P. Sloan Foundation)</t>
        </is>
      </c>
      <c r="AF1476" t="inlineStr">
        <is>
          <t>This work was supported by the Alfred P. Sloan Foundation under its Chemistry of Indoor Environments program. We thank Professor H. Al- Abadleh and Dr. T. VandenBoer for useful discussions and the loan of equipment.</t>
        </is>
      </c>
      <c r="AH1476" t="n">
        <v>51</v>
      </c>
      <c r="AI1476" t="n">
        <v>26</v>
      </c>
      <c r="AJ1476" t="n">
        <v>27</v>
      </c>
      <c r="AK1476" t="n">
        <v>5</v>
      </c>
      <c r="AL1476" t="n">
        <v>53</v>
      </c>
      <c r="AM1476" t="inlineStr">
        <is>
          <t>AMER CHEMICAL SOC</t>
        </is>
      </c>
      <c r="AN1476" t="inlineStr">
        <is>
          <t>WASHINGTON</t>
        </is>
      </c>
      <c r="AO1476" t="inlineStr">
        <is>
          <t>1155 16TH ST, NW, WASHINGTON, DC 20036 USA</t>
        </is>
      </c>
      <c r="AP1476" t="inlineStr">
        <is>
          <t>2328-8930</t>
        </is>
      </c>
      <c r="AS1476" t="inlineStr">
        <is>
          <t>ENVIRON SCI TECH LET</t>
        </is>
      </c>
      <c r="AT1476" t="inlineStr">
        <is>
          <t>Environ. Sci. Technol. Lett.</t>
        </is>
      </c>
      <c r="AU1476" t="inlineStr">
        <is>
          <t>FEB</t>
        </is>
      </c>
      <c r="AV1476" t="n">
        <v>2019</v>
      </c>
      <c r="AW1476" t="n">
        <v>6</v>
      </c>
      <c r="AX1476" t="n">
        <v>2</v>
      </c>
      <c r="BC1476" t="n">
        <v>92</v>
      </c>
      <c r="BD1476" t="n">
        <v>97</v>
      </c>
      <c r="BF1476" t="inlineStr">
        <is>
          <t>10.1021/acs.estlett.8b00685</t>
        </is>
      </c>
      <c r="BG1476">
        <f>HYPERLINK("http://dx.doi.org/10.1021/acs.estlett.8b00685","http://dx.doi.org/10.1021/acs.estlett.8b00685")</f>
        <v/>
      </c>
      <c r="BJ1476" t="n">
        <v>11</v>
      </c>
      <c r="BK1476" t="inlineStr">
        <is>
          <t>Engineering, Environmental; Environmental Sciences</t>
        </is>
      </c>
      <c r="BL1476" t="inlineStr">
        <is>
          <t>Science Citation Index Expanded (SCI-EXPANDED)</t>
        </is>
      </c>
      <c r="BM1476" t="inlineStr">
        <is>
          <t>Engineering; Environmental Sciences &amp; Ecology</t>
        </is>
      </c>
      <c r="BN1476" t="inlineStr">
        <is>
          <t>HL7QY</t>
        </is>
      </c>
      <c r="BP1476" t="inlineStr">
        <is>
          <t>hybrid</t>
        </is>
      </c>
      <c r="BS1476" t="inlineStr">
        <is>
          <t>2023-10-26</t>
        </is>
      </c>
      <c r="BT1476" t="inlineStr">
        <is>
          <t>WOS:000458937300007</t>
        </is>
      </c>
      <c r="BU1476">
        <f>HYPERLINK("https%3A%2F%2Fwww.webofscience.com%2Fwos%2Fwoscc%2Ffull-record%2FWOS:000458937300007","View Full Record in Web of Science")</f>
        <v/>
      </c>
    </row>
    <row r="1477">
      <c r="A1477" t="inlineStr">
        <is>
          <t>J</t>
        </is>
      </c>
      <c r="B1477" t="inlineStr">
        <is>
          <t>Peng, T; Chen, J; Liu, KL; Qiu, ZX; Fu, ZY; Huang, Y</t>
        </is>
      </c>
      <c r="F1477" t="inlineStr">
        <is>
          <t>Peng, Tao; Chen, Jian; Liu, Keliang; Qiu, Zhixuan; Fu, Zhiyan; Huang, Yong</t>
        </is>
      </c>
      <c r="J1477" t="inlineStr">
        <is>
          <t>JOURNAL OF CLEANER PRODUCTION</t>
        </is>
      </c>
      <c r="M1477" t="inlineStr">
        <is>
          <t>English</t>
        </is>
      </c>
      <c r="N1477" t="inlineStr">
        <is>
          <t>Article</t>
        </is>
      </c>
      <c r="T1477" t="inlineStr">
        <is>
          <t>Examining the relationship between built environment and urban parking demand from the perspective of travelers</t>
        </is>
      </c>
      <c r="U1477" t="inlineStr">
        <is>
          <t>Urban traffic; Built environment; Parking demand; Gradient boosting decision tree; Nonlinear relationship</t>
        </is>
      </c>
      <c r="V1477" t="inlineStr">
        <is>
          <t>BEHAVIOR; CHOICE</t>
        </is>
      </c>
      <c r="W1477" t="inlineStr">
        <is>
          <t>In order to systematically measure the influencing factors of urban parking demand and their action rules, this paper considers the impact of the built environment at the origin and destination of a trip from the perspective of travelers. Using travelers' parking willingness under the stated preference(SP) survey to represent parking de-mand. Travel attributes are characterized by 8 factors, such as parking cost and parking time. 12 variables from 5 dimensions are used to characterize the built environment. Furthermore, the Gradient Boosting Decision Tree (GBDT) model is carried out, and the Logit model is used as a compare method to measure the relationship and degree of travel behavior and built environment on parking demand. Based on multi-source heterogeneous data in Baoding city, the empirical analysis of commuter and non-commuter travel was performed. The results show that: (1) parking cost is the most important factor affecting the parking demand of travelers(19.94%), location (14.88%) and road density(11.30%) have significant influence; (2) Some built environment factors have an obvious threshold effect on travelers' parking demand and there is nonlinear influence; (3) There is a great difference between commuters and non-commuters. Such an approach would lead to more precise policy rec-ommendations for urban parking planning.</t>
        </is>
      </c>
      <c r="X1477" t="inlineStr">
        <is>
          <t>[Peng, Tao] Southwest Jiaotong Univ, Sch Transportat &amp; Logist, Chengdu, Peoples R China; [Chen, Jian; Liu, Keliang; Qiu, Zhixuan; Fu, Zhiyan; Huang, Yong] Chongqing Jiaotong Univ, Sch Traff &amp; Transportat, Chongqing, Peoples R China; [Fu, Zhiyan] Chongqing Univ Educ, Sch Econ &amp; Business Adm, Chongqing, Peoples R China</t>
        </is>
      </c>
      <c r="Y1477" t="inlineStr">
        <is>
          <t>Southwest Jiaotong University; Chongqing Jiaotong University; Chongqing University of Education</t>
        </is>
      </c>
      <c r="Z1477" t="inlineStr">
        <is>
          <t>Chen, J (corresponding author), Chongqing Jiaotong Univ, Sch Traff &amp; Transportat, Chongqing, Peoples R China.</t>
        </is>
      </c>
      <c r="AA1477" t="inlineStr">
        <is>
          <t>chenjian@cqjtu.edu.cn</t>
        </is>
      </c>
      <c r="AC1477" t="inlineStr">
        <is>
          <t>Peng, Tao/0000-0002-6086-5845; Jian, Chen/0000-0003-1788-7042</t>
        </is>
      </c>
      <c r="AD1477" t="inlineStr">
        <is>
          <t>Science and Technology Research Program of Chongqing Municipal Education Commission [KJZD-K202100706]</t>
        </is>
      </c>
      <c r="AE1477" t="inlineStr">
        <is>
          <t>Science and Technology Research Program of Chongqing Municipal Education Commission</t>
        </is>
      </c>
      <c r="AF1477" t="inlineStr">
        <is>
          <t>* This work was supported by the Science and Technology Research Program of Chongqing Municipal Education Commission under Grant KJZD-K202100706.</t>
        </is>
      </c>
      <c r="AH1477" t="n">
        <v>44</v>
      </c>
      <c r="AI1477" t="n">
        <v>1</v>
      </c>
      <c r="AJ1477" t="n">
        <v>1</v>
      </c>
      <c r="AK1477" t="n">
        <v>6</v>
      </c>
      <c r="AL1477" t="n">
        <v>16</v>
      </c>
      <c r="AM1477" t="inlineStr">
        <is>
          <t>ELSEVIER SCI LTD</t>
        </is>
      </c>
      <c r="AN1477" t="inlineStr">
        <is>
          <t>OXFORD</t>
        </is>
      </c>
      <c r="AO1477" t="inlineStr">
        <is>
          <t>THE BOULEVARD, LANGFORD LANE, KIDLINGTON, OXFORD OX5 1GB, OXON, ENGLAND</t>
        </is>
      </c>
      <c r="AP1477" t="inlineStr">
        <is>
          <t>0959-6526</t>
        </is>
      </c>
      <c r="AQ1477" t="inlineStr">
        <is>
          <t>1879-1786</t>
        </is>
      </c>
      <c r="AS1477" t="inlineStr">
        <is>
          <t>J CLEAN PROD</t>
        </is>
      </c>
      <c r="AT1477" t="inlineStr">
        <is>
          <t>J. Clean Prod.</t>
        </is>
      </c>
      <c r="AU1477" t="inlineStr">
        <is>
          <t>JAN 20</t>
        </is>
      </c>
      <c r="AV1477" t="n">
        <v>2023</v>
      </c>
      <c r="AW1477" t="n">
        <v>385</v>
      </c>
      <c r="BE1477" t="n">
        <v>135766</v>
      </c>
      <c r="BF1477" t="inlineStr">
        <is>
          <t>10.1016/j.jclepro.2022.135766</t>
        </is>
      </c>
      <c r="BG1477">
        <f>HYPERLINK("http://dx.doi.org/10.1016/j.jclepro.2022.135766","http://dx.doi.org/10.1016/j.jclepro.2022.135766")</f>
        <v/>
      </c>
      <c r="BI1477" t="inlineStr">
        <is>
          <t>DEC 2022</t>
        </is>
      </c>
      <c r="BJ1477" t="n">
        <v>10</v>
      </c>
      <c r="BK1477" t="inlineStr">
        <is>
          <t>Green &amp; Sustainable Science &amp; Technology; Engineering, Environmental; Environmental Sciences</t>
        </is>
      </c>
      <c r="BL1477" t="inlineStr">
        <is>
          <t>Science Citation Index Expanded (SCI-EXPANDED)</t>
        </is>
      </c>
      <c r="BM1477" t="inlineStr">
        <is>
          <t>Science &amp; Technology - Other Topics; Engineering; Environmental Sciences &amp; Ecology</t>
        </is>
      </c>
      <c r="BN1477" t="inlineStr">
        <is>
          <t>7W1GN</t>
        </is>
      </c>
      <c r="BS1477" t="inlineStr">
        <is>
          <t>2023-10-26</t>
        </is>
      </c>
      <c r="BT1477" t="inlineStr">
        <is>
          <t>WOS:000913262700001</t>
        </is>
      </c>
      <c r="BU1477">
        <f>HYPERLINK("https%3A%2F%2Fwww.webofscience.com%2Fwos%2Fwoscc%2Ffull-record%2FWOS:000913262700001","View Full Record in Web of Science")</f>
        <v/>
      </c>
    </row>
    <row r="1478">
      <c r="A1478" t="inlineStr">
        <is>
          <t>J</t>
        </is>
      </c>
      <c r="B1478" t="inlineStr">
        <is>
          <t>Ho, HC; Guo, HG; Chan, TC; Shi, Y; Webster, C; Fong, KNK</t>
        </is>
      </c>
      <c r="F1478" t="inlineStr">
        <is>
          <t>Ho, Hung Chak; Guo, Huagui; Chan, Ta-Chien; Shi, Yuan; Webster, Chris; Fong, Kenneth N. K.</t>
        </is>
      </c>
      <c r="J1478" t="inlineStr">
        <is>
          <t>CHEMOSPHERE</t>
        </is>
      </c>
      <c r="M1478" t="inlineStr">
        <is>
          <t>English</t>
        </is>
      </c>
      <c r="N1478" t="inlineStr">
        <is>
          <t>Article</t>
        </is>
      </c>
      <c r="T1478" t="inlineStr">
        <is>
          <t>Community planning for a healthy built environment via a human-environment nexus? A multifactorial assessment of environmental characteristics and age-specific stroke mortality in Hong Kong</t>
        </is>
      </c>
      <c r="U1478" t="inlineStr">
        <is>
          <t>Stroke; Mortality; Urban characteristics; Age-specific; High-density; Asia</t>
        </is>
      </c>
      <c r="V1478" t="inlineStr">
        <is>
          <t>LAND-USE REGRESSION; HIGH-DENSITY CITIES; ACUTE MYOCARDIAL-INFARCTION; AIR-POLLUTION; RISK-FACTORS; LIFE-STYLE; RESIDENTIAL GREENNESS; PHYSICAL-ACTIVITY; ISCHEMIC-STROKE; TERM EXPOSURE</t>
        </is>
      </c>
      <c r="W1478" t="inlineStr">
        <is>
          <t>With the prevalence of stroke rising due to both aging societies and more people getting strokes at a younger age, a comprehensive investigation into the relationship between urban characteristics and age-specific stroke mortality for the development of a healthy built environment is necessary. Specifically, assessment of various dimensions of urban characteristics (e.g. short-term environmental change, long-term environmental conditions) is needed for healthy built environment designs and protocols. A multifactorial assessment was conducted to evaluate associations between environmental and sociodemographic characteristics with age-stroke mortality in Hong Kong. We found that short-term (and temporally varying) daily PM10, older age and being female were more strongly associated with all types of stroke deaths compared to all-cause deaths in general. Colder days, being employed and being married were more strongly associated with hemorrhagic stroke deaths in general. Long-term (and spatially varying) regional-level air pollution were more strongly associated with non-hemorrhagic stroke deaths in general. These associations varied by age. Employment (manual workers) and low education were risk factors for stroke mortality at younger ages (age &lt;65). Greenness and open space did not have a significant association with stroke mortality. Since a significant connection was expected, this leads to questions about the health-inducing efficacy of Hong Kong's compact open spaces (natural greenery being limited to steep slopes, and extensive impervious surfaces on public open spaces). In conclusion, urban plans and designs for stroke mortality prevention should implement age specific health care to neighborhoods with particular population segments.</t>
        </is>
      </c>
      <c r="X1478" t="inlineStr">
        <is>
          <t>[Ho, Hung Chak] Univ Hong Kong, Dept Urban Planning &amp; Design, Hong Kong, Peoples R China; [Chan, Ta-Chien] Acad Sinica, Res Ctr Humanities &amp; Social Sci, Taipei, Taiwan; [Shi, Yuan] Chinese Univ Hong Kong, Inst Future Cities, Hong Kong, Peoples R China; [Webster, Chris] Univ Hong Kong, Fac Architecture, Hong Kong, Peoples R China; [Fong, Kenneth N. K.] Hong Kong Polytech Univ, Dept Rehabil Sci, Hong Kong, Peoples R China; [Guo, Huagui] Fuzhou Univ, Sch Architecture &amp; Urban Rural Planning, Fuzhou, Peoples R China</t>
        </is>
      </c>
      <c r="Y1478" t="inlineStr">
        <is>
          <t>University of Hong Kong; Academia Sinica - Taiwan; Chinese University of Hong Kong; University of Hong Kong; Hong Kong Polytechnic University; Fuzhou University</t>
        </is>
      </c>
      <c r="Z1478" t="inlineStr">
        <is>
          <t>Ho, HC (corresponding author), Univ Hong Kong, Dept Urban Planning &amp; Design, Hong Kong, Peoples R China.;Fong, KNK (corresponding author), Hong Kong Polytech Univ, Dept Rehabil Sci, Hong Kong, Peoples R China.</t>
        </is>
      </c>
      <c r="AA1478" t="inlineStr">
        <is>
          <t>hcho21@hku.hk; kenneth.fong@polyu.edu.hk</t>
        </is>
      </c>
      <c r="AB1478" t="inlineStr">
        <is>
          <t>Shi, Yuan/AFK-2138-2022; Ho, Hung Chak/W-3320-2017; Webster, Christopher John/F-2039-2013; Shi, Yuan/AAF-9427-2022; Fong, Kenneth N. K./F-9608-2014</t>
        </is>
      </c>
      <c r="AC1478" t="inlineStr">
        <is>
          <t>Shi, Yuan/0000-0003-4011-8735; Ho, Hung Chak/0000-0002-6505-3504; Webster, Christopher John/0000-0002-2171-7495; Shi, Yuan/0000-0003-4011-8735; Chan, Ta-Chien/0000-0002-1685-783X; Fong, Kenneth N. K./0000-0001-5909-4847</t>
        </is>
      </c>
      <c r="AD1478" t="inlineStr">
        <is>
          <t>Seed Fund for Basic Research [201903159006, 201910159065]; University of Hong Kong, Guangdong Natural Science Fund [2021A1515012571]; Start-up Foundation of Fuzhou University [511034]; Hong Kong Polytechnic University [1-ZZHH]</t>
        </is>
      </c>
      <c r="AE1478" t="inlineStr">
        <is>
          <t>Seed Fund for Basic Research; University of Hong Kong, Guangdong Natural Science Fund; Start-up Foundation of Fuzhou University; Hong Kong Polytechnic University(Hong Kong Polytechnic University)</t>
        </is>
      </c>
      <c r="AF1478" t="inlineStr">
        <is>
          <t>This research is partially supported by the Seed Fund for Basic Research (Project code: 201903159006 and 201910159065) from the University of Hong Kong, Guangdong Natural Science Fund (Project code: 2021A1515012571), the Start-up Foundation of Fuzhou University (Project code: 511034) and an internal grant of the Hong Kong Polytechnic University (Ref. No.: 1-ZZHH).</t>
        </is>
      </c>
      <c r="AH1478" t="n">
        <v>72</v>
      </c>
      <c r="AI1478" t="n">
        <v>2</v>
      </c>
      <c r="AJ1478" t="n">
        <v>2</v>
      </c>
      <c r="AK1478" t="n">
        <v>4</v>
      </c>
      <c r="AL1478" t="n">
        <v>31</v>
      </c>
      <c r="AM1478" t="inlineStr">
        <is>
          <t>PERGAMON-ELSEVIER SCIENCE LTD</t>
        </is>
      </c>
      <c r="AN1478" t="inlineStr">
        <is>
          <t>OXFORD</t>
        </is>
      </c>
      <c r="AO1478" t="inlineStr">
        <is>
          <t>THE BOULEVARD, LANGFORD LANE, KIDLINGTON, OXFORD OX5 1GB, ENGLAND</t>
        </is>
      </c>
      <c r="AP1478" t="inlineStr">
        <is>
          <t>0045-6535</t>
        </is>
      </c>
      <c r="AQ1478" t="inlineStr">
        <is>
          <t>1879-1298</t>
        </is>
      </c>
      <c r="AS1478" t="inlineStr">
        <is>
          <t>CHEMOSPHERE</t>
        </is>
      </c>
      <c r="AT1478" t="inlineStr">
        <is>
          <t>Chemosphere</t>
        </is>
      </c>
      <c r="AU1478" t="inlineStr">
        <is>
          <t>JAN</t>
        </is>
      </c>
      <c r="AV1478" t="n">
        <v>2022</v>
      </c>
      <c r="AW1478" t="n">
        <v>287</v>
      </c>
      <c r="AY1478" t="n">
        <v>3</v>
      </c>
      <c r="BE1478" t="n">
        <v>132043</v>
      </c>
      <c r="BF1478" t="inlineStr">
        <is>
          <t>10.1016/j.chemosphere.2021.132043</t>
        </is>
      </c>
      <c r="BG1478">
        <f>HYPERLINK("http://dx.doi.org/10.1016/j.chemosphere.2021.132043","http://dx.doi.org/10.1016/j.chemosphere.2021.132043")</f>
        <v/>
      </c>
      <c r="BI1478" t="inlineStr">
        <is>
          <t>SEP 2021</t>
        </is>
      </c>
      <c r="BJ1478" t="n">
        <v>9</v>
      </c>
      <c r="BK1478" t="inlineStr">
        <is>
          <t>Environmental Sciences</t>
        </is>
      </c>
      <c r="BL1478" t="inlineStr">
        <is>
          <t>Science Citation Index Expanded (SCI-EXPANDED); Social Science Citation Index (SSCI)</t>
        </is>
      </c>
      <c r="BM1478" t="inlineStr">
        <is>
          <t>Environmental Sciences &amp; Ecology</t>
        </is>
      </c>
      <c r="BN1478" t="inlineStr">
        <is>
          <t>WD4XE</t>
        </is>
      </c>
      <c r="BO1478" t="n">
        <v>34543905</v>
      </c>
      <c r="BS1478" t="inlineStr">
        <is>
          <t>2023-10-26</t>
        </is>
      </c>
      <c r="BT1478" t="inlineStr">
        <is>
          <t>WOS:000704944700005</t>
        </is>
      </c>
      <c r="BU1478">
        <f>HYPERLINK("https%3A%2F%2Fwww.webofscience.com%2Fwos%2Fwoscc%2Ffull-record%2FWOS:000704944700005","View Full Record in Web of Science")</f>
        <v/>
      </c>
    </row>
    <row r="1479">
      <c r="A1479" t="inlineStr">
        <is>
          <t>J</t>
        </is>
      </c>
      <c r="B1479" t="inlineStr">
        <is>
          <t>Song, J; Wang, YL; Zhang, Q; Qin, W; Pan, RB; Yi, WZ; Xu, ZW; Cheng, J; Su, H</t>
        </is>
      </c>
      <c r="F1479" t="inlineStr">
        <is>
          <t>Song, Jian; Wang, Yuling; Zhang, Qin; Qin, Wei; Pan, Rubing; Yi, Weizhuo; Xu, Zhiwei; Cheng, Jian; Su, Hong</t>
        </is>
      </c>
      <c r="J1479" t="inlineStr">
        <is>
          <t>SCIENCE OF THE TOTAL ENVIRONMENT</t>
        </is>
      </c>
      <c r="M1479" t="inlineStr">
        <is>
          <t>English</t>
        </is>
      </c>
      <c r="N1479" t="inlineStr">
        <is>
          <t>Article</t>
        </is>
      </c>
      <c r="T1479" t="inlineStr">
        <is>
          <t>Premature mortality attributable to NO2 exposure in cities and the role of built environment: A global analysis</t>
        </is>
      </c>
      <c r="U1479" t="inlineStr">
        <is>
          <t>NO2; City; Built environment; Health impact assessment</t>
        </is>
      </c>
      <c r="V1479" t="inlineStr">
        <is>
          <t>AIR-POLLUTION; TRENDS; HEALTH</t>
        </is>
      </c>
      <c r="W1479" t="inlineStr">
        <is>
          <t>Background: Environmental risks accumulate in cities, including polluted air and health disparities, but these risks can be reduced through scientific city planning. The purpose of this study was to investigate the global burden of premature mor-tality attributable to NO2 exposure in urban areas and the role of the built environment in this regard.Methods: An approach based on health impact assessment was used to estimate the premature mortality burdens associated with NO2 exposure in 13,169 urban areas around the world using globally gridded NO2 and population estimates, baseline mortality, and epidemiologically derived exposure-response functions. We used the most recent WHO recommended value (i.e.,10 mu g/m3) as a counterfactual concentration. Finally, the relationship between the characteristics of the built environment at the city level and the burden of NO2-related mortality was evaluated.Results: Worldwide, 549,715(95%CI: 276204-815,023) cases of death attributable to NO2 exposure in urban areas could be prevented if compliance with the latest WHO guideline, accounting for 2.7 % (95%CI:1.4 %-4.0 %) of total mortalities in 2019. Across cities around the world, the age-standardized mortality rate (per 100,000 people) attributable to NO2 ex-posure ranged from 51.3 (95%CI:25.8-76.0) in Central Asia to 3.4(95%CI: 1.7-5.1) in Oceania. Although there was a sig-nificant decrease in premature mortality attributable to NO2 exposure globally, considerable regional heterogeneity exists, with cities in Central Asia and Andean Latin America in particular exhibiting an upward trend. Further, we discovered a positive association between population density and street connectivity with mortality attributable to NO2. While the in-crease in green and blue space were significantly associated with a lower NO2-associated mortality.</t>
        </is>
      </c>
      <c r="X1479" t="inlineStr">
        <is>
          <t>[Song, Jian; Zhang, Qin; Pan, Rubing; Yi, Weizhuo; Cheng, Jian; Su, Hong] Anhui Med Univ, Sch Publ Hlth, Dept Epidemiol &amp; Hlth Stat, 81 Meishan Rd, Hefei 230031, Anhui, Peoples R China; [Song, Jian; Zhang, Qin; Pan, Rubing; Yi, Weizhuo; Cheng, Jian; Su, Hong] Inflammat &amp; Immune Mediated Dis Lab Anhui Prov, Hefei, Peoples R China; [Wang, Yuling] Anhui Med Univ, Sch Basic Med Sci, Dept Pharmacol, 81 Meishan Rd, Hefei 230031, Anhui, Peoples R China; [Qin, Wei] Luan Municipal Ctr Dis Control &amp; Prevent, Luan, Anhui, Peoples R China; [Xu, Zhiwei] Univ Queensland, Fac Med, Sch Publ Hlth, 288 Herston Rd, Brisbane, Qld 4006, Australia</t>
        </is>
      </c>
      <c r="Y1479" t="inlineStr">
        <is>
          <t>Anhui Medical University; Anhui Medical University; University of Queensland</t>
        </is>
      </c>
      <c r="Z1479" t="inlineStr">
        <is>
          <t>Su, H (corresponding author), Anhui Med Univ, Sch Publ Hlth, Dept Epidemiol &amp; Hlth Stat, 81 Meishan Rd, Hefei 230031, Anhui, Peoples R China.</t>
        </is>
      </c>
      <c r="AA1479" t="inlineStr">
        <is>
          <t>suhong5151@sina.com</t>
        </is>
      </c>
      <c r="AB1479" t="inlineStr">
        <is>
          <t>wang, wenjuan/JGD-0428-2023; Pan, Rubing/JAC-2659-2023; Wang, Chao/JHT-6081-2023; zhang, xue/JJE-9257-2023</t>
        </is>
      </c>
      <c r="AC1479" t="inlineStr">
        <is>
          <t>Xu, Zhiwei/0000-0001-7903-2141</t>
        </is>
      </c>
      <c r="AD1479" t="inlineStr">
        <is>
          <t>National Natural Science Foundation of China [81773518]</t>
        </is>
      </c>
      <c r="AE1479" t="inlineStr">
        <is>
          <t>National Natural Science Foundation of China(National Natural Science Foundation of China (NSFC))</t>
        </is>
      </c>
      <c r="AF1479" t="inlineStr">
        <is>
          <t>Funding This study is supported by the National Natural Science Foundation of China (grant number: 81773518) .</t>
        </is>
      </c>
      <c r="AH1479" t="n">
        <v>46</v>
      </c>
      <c r="AI1479" t="n">
        <v>4</v>
      </c>
      <c r="AJ1479" t="n">
        <v>4</v>
      </c>
      <c r="AK1479" t="n">
        <v>11</v>
      </c>
      <c r="AL1479" t="n">
        <v>18</v>
      </c>
      <c r="AM1479" t="inlineStr">
        <is>
          <t>ELSEVIER</t>
        </is>
      </c>
      <c r="AN1479" t="inlineStr">
        <is>
          <t>AMSTERDAM</t>
        </is>
      </c>
      <c r="AO1479" t="inlineStr">
        <is>
          <t>RADARWEG 29, 1043 NX AMSTERDAM, NETHERLANDS</t>
        </is>
      </c>
      <c r="AP1479" t="inlineStr">
        <is>
          <t>0048-9697</t>
        </is>
      </c>
      <c r="AQ1479" t="inlineStr">
        <is>
          <t>1879-1026</t>
        </is>
      </c>
      <c r="AS1479" t="inlineStr">
        <is>
          <t>SCI TOTAL ENVIRON</t>
        </is>
      </c>
      <c r="AT1479" t="inlineStr">
        <is>
          <t>Sci. Total Environ.</t>
        </is>
      </c>
      <c r="AU1479" t="inlineStr">
        <is>
          <t>MAR 25</t>
        </is>
      </c>
      <c r="AV1479" t="n">
        <v>2023</v>
      </c>
      <c r="AW1479" t="n">
        <v>866</v>
      </c>
      <c r="BE1479" t="n">
        <v>161395</v>
      </c>
      <c r="BF1479" t="inlineStr">
        <is>
          <t>10.1016/j.scitotenv.2023.161395</t>
        </is>
      </c>
      <c r="BG1479">
        <f>HYPERLINK("http://dx.doi.org/10.1016/j.scitotenv.2023.161395","http://dx.doi.org/10.1016/j.scitotenv.2023.161395")</f>
        <v/>
      </c>
      <c r="BI1479" t="inlineStr">
        <is>
          <t>JAN 2023</t>
        </is>
      </c>
      <c r="BJ1479" t="n">
        <v>8</v>
      </c>
      <c r="BK1479" t="inlineStr">
        <is>
          <t>Environmental Sciences</t>
        </is>
      </c>
      <c r="BL1479" t="inlineStr">
        <is>
          <t>Science Citation Index Expanded (SCI-EXPANDED)</t>
        </is>
      </c>
      <c r="BM1479" t="inlineStr">
        <is>
          <t>Environmental Sciences &amp; Ecology</t>
        </is>
      </c>
      <c r="BN1479" t="inlineStr">
        <is>
          <t>8E7MN</t>
        </is>
      </c>
      <c r="BO1479" t="n">
        <v>36621501</v>
      </c>
      <c r="BS1479" t="inlineStr">
        <is>
          <t>2023-10-26</t>
        </is>
      </c>
      <c r="BT1479" t="inlineStr">
        <is>
          <t>WOS:000919152800001</t>
        </is>
      </c>
      <c r="BU1479">
        <f>HYPERLINK("https%3A%2F%2Fwww.webofscience.com%2Fwos%2Fwoscc%2Ffull-record%2FWOS:000919152800001","View Full Record in Web of Science")</f>
        <v/>
      </c>
    </row>
    <row r="1480">
      <c r="A1480" t="inlineStr">
        <is>
          <t>J</t>
        </is>
      </c>
      <c r="B1480" t="inlineStr">
        <is>
          <t>Zhen, M; Du, YZ; Hong, FH; Bian, GM</t>
        </is>
      </c>
      <c r="F1480" t="inlineStr">
        <is>
          <t>Zhen, Meng; Du, Yizhao; Hong, Fenghuan; Bian, Guangmeng</t>
        </is>
      </c>
      <c r="J1480" t="inlineStr">
        <is>
          <t>SCIENCE OF THE TOTAL ENVIRONMENT</t>
        </is>
      </c>
      <c r="M1480" t="inlineStr">
        <is>
          <t>English</t>
        </is>
      </c>
      <c r="N1480" t="inlineStr">
        <is>
          <t>Article</t>
        </is>
      </c>
      <c r="T1480" t="inlineStr">
        <is>
          <t>Simulation analysis of natural lighting of residential buildings in Xi'an, China</t>
        </is>
      </c>
      <c r="U1480" t="inlineStr">
        <is>
          <t>Illuminance; Illuminance uniformity; Window design; Energy savings; Natural lighting</t>
        </is>
      </c>
      <c r="V1480" t="inlineStr">
        <is>
          <t>ENERGY SAVINGS; PERFORMANCE</t>
        </is>
      </c>
      <c r="W1480" t="inlineStr">
        <is>
          <t>The optimized design of natural lighting for residential buildings can greatly reduce lighting energy consumption and improve indoor environmental quality as well as the physical and mental health of residents. Through the DIALux simulation analysis, this paper analyses the importance of natural lighting factors in the Xi'an residential area and analyses factors such as latitude, date, window position, building aspect ratio, building height and window area. The study found that the winter solstice (December 22) is the most unfavourable day for residential lighting in Van. Considering architectural beauty, building energy savings and natural lighting, the winter solstice is an effective time to calculate the window area of residential buildings in Xi'an. The higher the latitude is, the larger the window area required for the house. From April to August, the influence of latitude on window area is small; from January to April and from August to December, latitude has a greater influence on window area. This paper establishes a regression equation for residential window area in Xi'an and provides calculation tools for architects to use when designing residential windows that provides a reference for the design of residential windows at the same latitude (33 degrees north latitude). Intelligent control strategies are put forward on natural lighting in residential buildings for working class families in this paper. An APP on smart phones is developed to realize the intelligent control of curtains. In accordance with family daily routine, the opening width of curtains is controlled automatically based on room functions and exterior illuminance, through which interior illuminance can be adjusted, indoor environmental quality can be improved and energy consumption of HVAC system can be reduced. (C) 2019 Elsevier B.V. All rights reserved.</t>
        </is>
      </c>
      <c r="X1480" t="inlineStr">
        <is>
          <t>[Zhen, Meng] Xi An Jiao Tong Univ, Sch Human Settlements &amp; Civil Engn, Dept Architecture, Xian 710049, Shaanxi, Peoples R China; [Du, Yizhao] Delft Univ Technol, Fac Architecture &amp; Built Environm, NL-2628 BL Delft, Netherlands; [Hong, Fenghuan] China Aviat Int Construct &amp; Investment Co Ltd, Beijing 100120, Peoples R China; [Bian, Guangmeng] Hebei Univ Technol, Sch Architecture &amp; Art Design, Tianjin 300401, Peoples R China</t>
        </is>
      </c>
      <c r="Y1480" t="inlineStr">
        <is>
          <t>Xi'an Jiaotong University; Delft University of Technology; Hebei University of Technology</t>
        </is>
      </c>
      <c r="Z1480" t="inlineStr">
        <is>
          <t>Bian, GM (corresponding author), Hebei Univ Technol, Sch Architecture &amp; Art Design, Tianjin 300401, Peoples R China.</t>
        </is>
      </c>
      <c r="AA1480" t="inlineStr">
        <is>
          <t>bianguangmeng@hebut.edu.cn</t>
        </is>
      </c>
      <c r="AB1480" t="inlineStr">
        <is>
          <t>DU, YIZHAO/HDM-8789-2022</t>
        </is>
      </c>
      <c r="AC1480" t="inlineStr">
        <is>
          <t>Bian, Guangmeng/0000-0003-3983-2464; Zhen, Meng/0000-0003-2064-1801</t>
        </is>
      </c>
      <c r="AD1480" t="inlineStr">
        <is>
          <t>Fundamental Research Funds for the Central Universities [xjj2017191]; Scientific Research Support of New Teachers of Xi'an Jiaotong University [JZ1K004]; China Postdoctoral Science Foundation [2018M633514]; National Natural Science Foundation of China [51808440]</t>
        </is>
      </c>
      <c r="AE1480" t="inlineStr">
        <is>
          <t>Fundamental Research Funds for the Central Universities(Fundamental Research Funds for the Central Universities); Scientific Research Support of New Teachers of Xi'an Jiaotong University; China Postdoctoral Science Foundation(China Postdoctoral Science Foundation); National Natural Science Foundation of China(National Natural Science Foundation of China (NSFC))</t>
        </is>
      </c>
      <c r="AF1480" t="inlineStr">
        <is>
          <t>This paper was supported by the Fundamental Research Funds for the Central Universities (Grant number xjj2017191), the Scientific Research Support of New Teachers of Xi'an Jiaotong University (Grant number JZ1K004), the China Postdoctoral Science Foundation (Grant number 2018M633514), and the National Natural Science Foundation of China (Grant number 51808440).</t>
        </is>
      </c>
      <c r="AH1480" t="n">
        <v>17</v>
      </c>
      <c r="AI1480" t="n">
        <v>12</v>
      </c>
      <c r="AJ1480" t="n">
        <v>12</v>
      </c>
      <c r="AK1480" t="n">
        <v>4</v>
      </c>
      <c r="AL1480" t="n">
        <v>69</v>
      </c>
      <c r="AM1480" t="inlineStr">
        <is>
          <t>ELSEVIER</t>
        </is>
      </c>
      <c r="AN1480" t="inlineStr">
        <is>
          <t>AMSTERDAM</t>
        </is>
      </c>
      <c r="AO1480" t="inlineStr">
        <is>
          <t>RADARWEG 29, 1043 NX AMSTERDAM, NETHERLANDS</t>
        </is>
      </c>
      <c r="AP1480" t="inlineStr">
        <is>
          <t>0048-9697</t>
        </is>
      </c>
      <c r="AQ1480" t="inlineStr">
        <is>
          <t>1879-1026</t>
        </is>
      </c>
      <c r="AS1480" t="inlineStr">
        <is>
          <t>SCI TOTAL ENVIRON</t>
        </is>
      </c>
      <c r="AT1480" t="inlineStr">
        <is>
          <t>Sci. Total Environ.</t>
        </is>
      </c>
      <c r="AU1480" t="inlineStr">
        <is>
          <t>NOV 10</t>
        </is>
      </c>
      <c r="AV1480" t="n">
        <v>2019</v>
      </c>
      <c r="AW1480" t="n">
        <v>690</v>
      </c>
      <c r="BC1480" t="n">
        <v>197</v>
      </c>
      <c r="BD1480" t="n">
        <v>208</v>
      </c>
      <c r="BF1480" t="inlineStr">
        <is>
          <t>10.1016/j.scitotenv.2019.06.353</t>
        </is>
      </c>
      <c r="BG1480">
        <f>HYPERLINK("http://dx.doi.org/10.1016/j.scitotenv.2019.06.353","http://dx.doi.org/10.1016/j.scitotenv.2019.06.353")</f>
        <v/>
      </c>
      <c r="BJ1480" t="n">
        <v>12</v>
      </c>
      <c r="BK1480" t="inlineStr">
        <is>
          <t>Environmental Sciences</t>
        </is>
      </c>
      <c r="BL1480" t="inlineStr">
        <is>
          <t>Science Citation Index Expanded (SCI-EXPANDED)</t>
        </is>
      </c>
      <c r="BM1480" t="inlineStr">
        <is>
          <t>Environmental Sciences &amp; Ecology</t>
        </is>
      </c>
      <c r="BN1480" t="inlineStr">
        <is>
          <t>IT0QC</t>
        </is>
      </c>
      <c r="BO1480" t="n">
        <v>31288111</v>
      </c>
      <c r="BS1480" t="inlineStr">
        <is>
          <t>2023-10-26</t>
        </is>
      </c>
      <c r="BT1480" t="inlineStr">
        <is>
          <t>WOS:000482549900021</t>
        </is>
      </c>
      <c r="BU1480">
        <f>HYPERLINK("https%3A%2F%2Fwww.webofscience.com%2Fwos%2Fwoscc%2Ffull-record%2FWOS:000482549900021","View Full Record in Web of Science")</f>
        <v/>
      </c>
    </row>
    <row r="1481">
      <c r="A1481" t="inlineStr">
        <is>
          <t>J</t>
        </is>
      </c>
      <c r="B1481" t="inlineStr">
        <is>
          <t>An, RP; Li, XY; Jiang, N</t>
        </is>
      </c>
      <c r="F1481" t="inlineStr">
        <is>
          <t>An, Ruopeng; Li, Xinye; Jiang, Ning</t>
        </is>
      </c>
      <c r="J1481" t="inlineStr">
        <is>
          <t>INTERNATIONAL JOURNAL OF ENVIRONMENTAL RESEARCH AND PUBLIC HEALTH</t>
        </is>
      </c>
      <c r="M1481" t="inlineStr">
        <is>
          <t>English</t>
        </is>
      </c>
      <c r="N1481" t="inlineStr">
        <is>
          <t>Article</t>
        </is>
      </c>
      <c r="T1481" t="inlineStr">
        <is>
          <t>Geographical Variations in the Environmental Determinants of Physical Inactivity among US Adults</t>
        </is>
      </c>
      <c r="U1481" t="inlineStr">
        <is>
          <t>physical inactivity; environmental quality; geographical variation; geographically weighted regression</t>
        </is>
      </c>
      <c r="V1481" t="inlineStr">
        <is>
          <t>BUILT ENVIRONMENTS; OBESITY</t>
        </is>
      </c>
      <c r="W1481" t="inlineStr">
        <is>
          <t>Physical inactivity is a major modifiable risk factor for morbidity, disability and premature mortality worldwide. This study assessed the geographical variations in the impact of environmental quality on physical inactivity among U.S. adults. Data on county-level prevalence of leisure-time physical inactivity came from the Behavioral Risk Factor Surveillance System. County environment was measured by the Environmental Quality Index (EQI), a comprehensive index of environmental conditions that affect human health. The overall EQI consists of five subdomainsair, water, land, social, and built environment. Geographically weighted regressions (GWRs) were performed to estimate and map county-specific impact of overall EQI and its five subdomains on physical inactivity prevalence. The prevalence of leisure-time physical inactivity among U.S. counties was 25% in 2005. On average, one standard deviation decrease in the overall EQI was associated with an increase in county-level prevalence of leisure-time physical inactivity by nearly 1%. However, substantial geographical variations in the estimated environmental determinants of physical inactivity were present. The estimated changes of county-level prevalence of leisure-time physical inactivity resulted from one standard deviation decrease of the overall EQI ranged from an increase of over 3% to a decrease of nearly 2% across U.S. counties. Analogous, the estimated changes of county-level prevalence of leisure-time physical inactivity resulted from one standard deviation decrease of the EQI air, water, land, social, and built environment subdomains ranged from an increase of 2.6%, 1.5%, 2.9%, 3.3%, and 1.7% to a decrease of 2.9%, 1.4%, 2.4%, 2.4%, and 0.8% across U.S. counties, respectively. Given the substantial heterogeneities in the environmental determinants of physical inactivity, locally customized physical activity interventions are warranted to address the most concerning area-specific environmental issue.</t>
        </is>
      </c>
      <c r="X1481" t="inlineStr">
        <is>
          <t>[An, Ruopeng] Univ Illinois, Dept Kinesiol &amp; Community Hlth, Champaign, IL 61820 USA; [Li, Xinye] Johns Hopkins Univ, Bloomberg Sch Publ Hlth, Baltimore, MD 21205 USA; [Jiang, Ning] Beijing Normal Univ, Sch Econ &amp; Resource Management, Beijing 100875, Peoples R China</t>
        </is>
      </c>
      <c r="Y1481" t="inlineStr">
        <is>
          <t>University of Illinois System; University of Illinois Urbana-Champaign; Johns Hopkins University; Johns Hopkins Bloomberg School of Public Health; Beijing Normal University</t>
        </is>
      </c>
      <c r="Z1481" t="inlineStr">
        <is>
          <t>Jiang, N (corresponding author), Beijing Normal Univ, Sch Econ &amp; Resource Management, Beijing 100875, Peoples R China.</t>
        </is>
      </c>
      <c r="AA1481" t="inlineStr">
        <is>
          <t>ran5@illinois.edu; xli175@jhmi.edu; jiangning@bnu.edu.cn</t>
        </is>
      </c>
      <c r="AD1481" t="inlineStr">
        <is>
          <t>Social and Behavioral Sciences Research Initiative (SBSRI) Small Grants Program, University of Illinois at Urbana-Champaign; Institute for Social and Economic Innovation</t>
        </is>
      </c>
      <c r="AE1481" t="inlineStr">
        <is>
          <t>Social and Behavioral Sciences Research Initiative (SBSRI) Small Grants Program, University of Illinois at Urbana-Champaign; Institute for Social and Economic Innovation</t>
        </is>
      </c>
      <c r="AF1481" t="inlineStr">
        <is>
          <t>The study was partially funded by the Social and Behavioral Sciences Research Initiative (SBSRI) Small Grants Program, University of Illinois at Urbana-Champaign and the Institute for Social and Economic Innovation.</t>
        </is>
      </c>
      <c r="AH1481" t="n">
        <v>21</v>
      </c>
      <c r="AI1481" t="n">
        <v>7</v>
      </c>
      <c r="AJ1481" t="n">
        <v>7</v>
      </c>
      <c r="AK1481" t="n">
        <v>0</v>
      </c>
      <c r="AL1481" t="n">
        <v>4</v>
      </c>
      <c r="AM1481" t="inlineStr">
        <is>
          <t>MDPI AG</t>
        </is>
      </c>
      <c r="AN1481" t="inlineStr">
        <is>
          <t>BASEL</t>
        </is>
      </c>
      <c r="AO1481" t="inlineStr">
        <is>
          <t>ST ALBAN-ANLAGE 66, CH-4052 BASEL, SWITZERLAND</t>
        </is>
      </c>
      <c r="AP1481" t="inlineStr">
        <is>
          <t>1660-4601</t>
        </is>
      </c>
      <c r="AS1481" t="inlineStr">
        <is>
          <t>INT J ENV RES PUB HE</t>
        </is>
      </c>
      <c r="AT1481" t="inlineStr">
        <is>
          <t>Int. J. Environ. Res. Public Health</t>
        </is>
      </c>
      <c r="AU1481" t="inlineStr">
        <is>
          <t>NOV</t>
        </is>
      </c>
      <c r="AV1481" t="n">
        <v>2017</v>
      </c>
      <c r="AW1481" t="n">
        <v>14</v>
      </c>
      <c r="AX1481" t="n">
        <v>11</v>
      </c>
      <c r="BE1481" t="n">
        <v>1326</v>
      </c>
      <c r="BF1481" t="inlineStr">
        <is>
          <t>10.3390/ijerph14111326</t>
        </is>
      </c>
      <c r="BG1481">
        <f>HYPERLINK("http://dx.doi.org/10.3390/ijerph14111326","http://dx.doi.org/10.3390/ijerph14111326")</f>
        <v/>
      </c>
      <c r="BJ1481" t="n">
        <v>10</v>
      </c>
      <c r="BK1481" t="inlineStr">
        <is>
          <t>Environmental Sciences; Public, Environmental &amp; Occupational Health</t>
        </is>
      </c>
      <c r="BL1481" t="inlineStr">
        <is>
          <t>Science Citation Index Expanded (SCI-EXPANDED); Social Science Citation Index (SSCI)</t>
        </is>
      </c>
      <c r="BM1481" t="inlineStr">
        <is>
          <t>Environmental Sciences &amp; Ecology; Public, Environmental &amp; Occupational Health</t>
        </is>
      </c>
      <c r="BN1481" t="inlineStr">
        <is>
          <t>FO1SQ</t>
        </is>
      </c>
      <c r="BO1481" t="n">
        <v>29088093</v>
      </c>
      <c r="BP1481" t="inlineStr">
        <is>
          <t>Green Published, Green Submitted, gold</t>
        </is>
      </c>
      <c r="BS1481" t="inlineStr">
        <is>
          <t>2023-10-26</t>
        </is>
      </c>
      <c r="BT1481" t="inlineStr">
        <is>
          <t>WOS:000416545200042</t>
        </is>
      </c>
      <c r="BU1481">
        <f>HYPERLINK("https%3A%2F%2Fwww.webofscience.com%2Fwos%2Fwoscc%2Ffull-record%2FWOS:000416545200042","View Full Record in Web of Science")</f>
        <v/>
      </c>
    </row>
    <row r="1482">
      <c r="A1482" t="inlineStr">
        <is>
          <t>J</t>
        </is>
      </c>
      <c r="B1482" t="inlineStr">
        <is>
          <t>Lachowicz, JI; Milia, S; Jaremko, M; Oddone, E; Cannizzaro, E; Cirrincione, L; Malta, G; Campagna, M; Lecca, LI</t>
        </is>
      </c>
      <c r="F1482" t="inlineStr">
        <is>
          <t>Lachowicz, Joanna Izabela; Milia, Simone; Jaremko, Mariusz; Oddone, Enrico; Cannizzaro, Emanuele; Cirrincione, Luigi; Malta, Ginevra; Campagna, Marcello; Lecca, Luigi Isaia</t>
        </is>
      </c>
      <c r="J1482" t="inlineStr">
        <is>
          <t>ATMOSPHERE</t>
        </is>
      </c>
      <c r="M1482" t="inlineStr">
        <is>
          <t>English</t>
        </is>
      </c>
      <c r="N1482" t="inlineStr">
        <is>
          <t>Review</t>
        </is>
      </c>
      <c r="T1482" t="inlineStr">
        <is>
          <t>Cooking Particulate Matter: A Systematic Review on Nanoparticle Exposure in the Indoor Cooking Environment</t>
        </is>
      </c>
      <c r="U1482" t="inlineStr">
        <is>
          <t>indoor pollution; cooking; fumes; respirable suspended particulate matter; nanoparticles</t>
        </is>
      </c>
      <c r="V1482" t="inlineStr">
        <is>
          <t>AIR-POLLUTION; CHEMICAL CHARACTERISTICS; ULTRAFINE PARTICLES; PERSONAL EXPOSURE; RISK-ASSESSMENT; GAS COOKING; FINE; EMISSIONS; HEALTH; PM2.5</t>
        </is>
      </c>
      <c r="W1482" t="inlineStr">
        <is>
          <t>Background: Cooking and fuel combustion in the indoor environment are major sources of respirable suspended particulate matter (RSPM), which is an excellent carrier of potentially harmful absorbed inorganic and organic compounds. Chronic exposure to RSPM can lead to acute pulmonary illness, asthma, cardiovascular disease, and lung cancer in people involved in cooking. Despite this, questions remain about the harmfulness of different particulate matter (PM) sources generated during cooking, and the factors influencing PM physico-chemical properties. The most reliable methods for sampling and analyzing cooking emissions remain only partially understood. Objectives: This review aims to comprehensively assess the risks of PM generated during cooking, considering the main sources of PM, PM chemical composition, and strategies for PM physico-chemical analysis. We present the first systematic analysis of PM sources and chemical composition related to cooking. We highlight significant differences between studies using different experimental conditions, with a lack of a standard methodology. Methods: Following the Preferred Reporting Items for Systematic Reviews and Meta-Analyses (PRISMA) statement rules and the Patient, Intervention, Comparison, and Outcome (PICO) strategy for scientific research, three different scientific databases (PubMed, Scopus, and Web of Science) were screened to find scientific articles that measure, collect, and analyze the chemical composition of nanometer- and micrometer-sized PM generated during cooking activities under different conditions. Data are summarized to assess risk, evaluating the main sources and factors influencing PM generation, their chemical composition, and how they have been collected and analyzed in changing experimental conditions. Results: From 2474 search results, there were 55 studies that met our criteria. Overall, the main variable sources of PM in cooking activities relate to the stove and fuel type. The concentration and chemical-physical properties of PM are also strongly influenced by the food and food additive type, food processing type, cooking duration, temperature, and utensils. The most important factor influencing indoor PM concentration is ventilation. The PM generated during cooking activities is composed mainly of elemental carbon (EC) and its derivatives, and the porous structure of PM with high surface-to-volume ratio is a perfect carrier of inorganic and organic matter. Conclusions: This review reveals a growing interest in PM exposure during cooking activities and highlights significant variability in the chemical-physical properties of particles, and thus variable exposure risks. Precise risk characterization improves possible preventive strategies to reduce the risk of indoor pollutant exposure. However, comprehensive PM analysis needs proper sampling and analysis methods which consider all factors influencing the physico-chemical properties of PM in an additive and synergistic way. Our analysis highlights the need for method standardization in PM environmental analyses, to ensure accuracy and allow deeper comparisons between future studies.</t>
        </is>
      </c>
      <c r="X1482" t="inlineStr">
        <is>
          <t>[Lachowicz, Joanna Izabela; Milia, Simone; Campagna, Marcello; Lecca, Luigi Isaia] Univ Cagliari, Dept Med Sci &amp; Publ Hlth, Div Occupat Med, Cittadella Univ, I-09042 Monserrato, Italy; [Jaremko, Mariusz] King Abdullah Univ Sci &amp; Technol KAUST, Smart Hlth Initiat SHI &amp; Red Sea Res Ctr RSRC, Div Biol &amp; Environm Sci &amp; Engn BESE, Thuwal 239556900, Saudi Arabia; [Oddone, Enrico] Univ Pavia, Dept Publ Hlth Expt &amp; Forens Med, I-27100 Pavia, Italy; [Cannizzaro, Emanuele; Cirrincione, Luigi; Malta, Ginevra] Univ Palermo, Dept Sci Hlth Promot &amp; Mother &amp; Child Care Giusepp, I-90127 Palermo, Italy</t>
        </is>
      </c>
      <c r="Y1482" t="inlineStr">
        <is>
          <t>University of Cagliari; King Abdullah University of Science &amp; Technology; University of Pavia; University of Palermo</t>
        </is>
      </c>
      <c r="Z1482" t="inlineStr">
        <is>
          <t>Lachowicz, JI (corresponding author), Univ Cagliari, Dept Med Sci &amp; Publ Hlth, Div Occupat Med, Cittadella Univ, I-09042 Monserrato, Italy.</t>
        </is>
      </c>
      <c r="AA1482" t="inlineStr">
        <is>
          <t>lachowicz@unica.it</t>
        </is>
      </c>
      <c r="AB1482" t="inlineStr">
        <is>
          <t>oddone, enrico/H-1682-2013; Campagna, Marcello/L-1011-2016; Lachowicz, Joanna Izabela/A-8687-2013</t>
        </is>
      </c>
      <c r="AC1482" t="inlineStr">
        <is>
          <t>oddone, enrico/0000-0001-8503-6560; Campagna, Marcello/0000-0002-5277-8477; Malta, Ginevra/0000-0003-0917-7809; Lecca, Luigi Isaia/0000-0001-8310-411X; Lachowicz, Joanna Izabela/0000-0003-4644-761X; Jaremko, Mariusz/0000-0002-0787-702X</t>
        </is>
      </c>
      <c r="AH1482" t="n">
        <v>96</v>
      </c>
      <c r="AI1482" t="n">
        <v>2</v>
      </c>
      <c r="AJ1482" t="n">
        <v>2</v>
      </c>
      <c r="AK1482" t="n">
        <v>10</v>
      </c>
      <c r="AL1482" t="n">
        <v>22</v>
      </c>
      <c r="AM1482" t="inlineStr">
        <is>
          <t>MDPI</t>
        </is>
      </c>
      <c r="AN1482" t="inlineStr">
        <is>
          <t>BASEL</t>
        </is>
      </c>
      <c r="AO1482" t="inlineStr">
        <is>
          <t>ST ALBAN-ANLAGE 66, CH-4052 BASEL, SWITZERLAND</t>
        </is>
      </c>
      <c r="AQ1482" t="inlineStr">
        <is>
          <t>2073-4433</t>
        </is>
      </c>
      <c r="AS1482" t="inlineStr">
        <is>
          <t>ATMOSPHERE-BASEL</t>
        </is>
      </c>
      <c r="AT1482" t="inlineStr">
        <is>
          <t>Atmosphere</t>
        </is>
      </c>
      <c r="AU1482" t="inlineStr">
        <is>
          <t>JAN</t>
        </is>
      </c>
      <c r="AV1482" t="n">
        <v>2023</v>
      </c>
      <c r="AW1482" t="n">
        <v>14</v>
      </c>
      <c r="AX1482" t="n">
        <v>1</v>
      </c>
      <c r="BE1482" t="n">
        <v>12</v>
      </c>
      <c r="BF1482" t="inlineStr">
        <is>
          <t>10.3390/atmos14010012</t>
        </is>
      </c>
      <c r="BG1482">
        <f>HYPERLINK("http://dx.doi.org/10.3390/atmos14010012","http://dx.doi.org/10.3390/atmos14010012")</f>
        <v/>
      </c>
      <c r="BJ1482" t="n">
        <v>26</v>
      </c>
      <c r="BK1482" t="inlineStr">
        <is>
          <t>Environmental Sciences; Meteorology &amp; Atmospheric Sciences</t>
        </is>
      </c>
      <c r="BL1482" t="inlineStr">
        <is>
          <t>Science Citation Index Expanded (SCI-EXPANDED)</t>
        </is>
      </c>
      <c r="BM1482" t="inlineStr">
        <is>
          <t>Environmental Sciences &amp; Ecology; Meteorology &amp; Atmospheric Sciences</t>
        </is>
      </c>
      <c r="BN1482" t="inlineStr">
        <is>
          <t>7X7JL</t>
        </is>
      </c>
      <c r="BP1482" t="inlineStr">
        <is>
          <t>Green Published, gold</t>
        </is>
      </c>
      <c r="BS1482" t="inlineStr">
        <is>
          <t>2023-10-26</t>
        </is>
      </c>
      <c r="BT1482" t="inlineStr">
        <is>
          <t>WOS:000914373900001</t>
        </is>
      </c>
      <c r="BU1482">
        <f>HYPERLINK("https%3A%2F%2Fwww.webofscience.com%2Fwos%2Fwoscc%2Ffull-record%2FWOS:000914373900001","View Full Record in Web of Science")</f>
        <v/>
      </c>
    </row>
    <row r="1483">
      <c r="A1483" t="inlineStr">
        <is>
          <t>J</t>
        </is>
      </c>
      <c r="B1483" t="inlineStr">
        <is>
          <t>Schaffernicht, SK; Türk, A; Kogler, M; Berger, A; Scharf, B; Clementschitsch, L; Hammer, R; Holzer, P; Formayer, H; König, B; Haluza, D</t>
        </is>
      </c>
      <c r="F1483" t="inlineStr">
        <is>
          <t>Schaffernicht, Sophie Kathrin; Tuerk, Andreas; Kogler, Martha; Berger, Andreas; Scharf, Bernhard; Clementschitsch, Lukas; Hammer, Renate; Holzer, Peter; Formayer, Herbert; Koenig, Barbara; Haluza, Daniela</t>
        </is>
      </c>
      <c r="J1483" t="inlineStr">
        <is>
          <t>SUSTAINABILITY</t>
        </is>
      </c>
      <c r="M1483" t="inlineStr">
        <is>
          <t>English</t>
        </is>
      </c>
      <c r="N1483" t="inlineStr">
        <is>
          <t>Article</t>
        </is>
      </c>
      <c r="T1483" t="inlineStr">
        <is>
          <t>Heat vs. Health: Home Office under a Changing Climate</t>
        </is>
      </c>
      <c r="U1483" t="inlineStr">
        <is>
          <t>home work; climate simulations; Austria; built environment; urban heat island effect; health</t>
        </is>
      </c>
      <c r="V1483" t="inlineStr">
        <is>
          <t>SICK BUILDING SYNDROME; INDOOR AIR-QUALITY; EXCESS MORTALITY; TEMPERATURE; STRESS; MITIGATION; WINDOW; ISLAND; VIEW</t>
        </is>
      </c>
      <c r="W1483" t="inlineStr">
        <is>
          <t>Stressors are especially widespread in urban agglomerations. Common themes of built environment interventions that support health and well-being are blue and green infrastructure, indoor and outdoor air quality, thermal comfort, access to natural lighting, and acoustics. Given the current megatrends of increasing summer temperatures and the high popularity of home offices, we aimed at modeling thermal comfort changes of people working at home in three Austrian cities (Vienna, Innsbruck, and Graz) during the next decades until 2090. We present findings based on (I) an inter-disciplinary literature search and (II) indoor and outdoor climate simulations for actual and future climate scenarios. Based on the results, we discuss the potential impacts for work and human health and well-being, and we suggest a framework for the home office in post-COVID-19 Austria that integrates social, ecological, and economic aspects. The results of our study indicate that, in future climate scenarios, overheating of the interior can no longer be prevented without active cooling measures and nature-based solutions. Recommendations on the adjustment of behavior under climate change, including greening, adequate ventilation, and cooling techniques, are thus urgently needed for employees who are working from home in order to maintain physical and mental health and wellbeing.</t>
        </is>
      </c>
      <c r="X1483" t="inlineStr">
        <is>
          <t>[Schaffernicht, Sophie Kathrin; Haluza, Daniela] Med Univ Vienna, Ctr Publ Hlth, Dept Environm Hlth, A-1090 Vienna, Austria; [Tuerk, Andreas; Hammer, Renate; Holzer, Peter] Inst Bldg Res &amp; Innovat ZT GmbH, A-1010 Vienna, Austria; [Kogler, Martha; Scharf, Bernhard] Greenpass GmbH, A-1190 Vienna, Austria; [Berger, Andreas] Green4Cities GmbH, A-1070 Vienna, Austria; [Scharf, Bernhard; Formayer, Herbert; Koenig, Barbara] Univ Nat Resources &amp; Life Sci, Inst Meteorol &amp; Climatol, A-1180 Vienna, Austria; [Clementschitsch, Lukas] bauXund Forsch &amp; Beratung Gmbh, A-1220 Vienna, Austria</t>
        </is>
      </c>
      <c r="Y1483" t="inlineStr">
        <is>
          <t>Medical University of Vienna; University of Natural Resources &amp; Life Sciences, Vienna</t>
        </is>
      </c>
      <c r="Z1483" t="inlineStr">
        <is>
          <t>Haluza, D (corresponding author), Med Univ Vienna, Ctr Publ Hlth, Dept Environm Hlth, A-1090 Vienna, Austria.</t>
        </is>
      </c>
      <c r="AA1483" t="inlineStr">
        <is>
          <t>daniela.haluza@meduniwien.ac.at</t>
        </is>
      </c>
      <c r="AB1483" t="inlineStr">
        <is>
          <t>Santana, Elaine/GNP-2710-2022</t>
        </is>
      </c>
      <c r="AC1483" t="inlineStr">
        <is>
          <t>Formayer, Herbert/0000-0002-2126-9696</t>
        </is>
      </c>
      <c r="AD1483" t="inlineStr">
        <is>
          <t>Austrian Climate and Energy Fund (Klima- und Energiefonds) [KR19AC0K17544]; FWF (Austrian Science Fund) [I4411]; Austrian Science Fund (FWF) [I4411] Funding Source: Austrian Science Fund (FWF)</t>
        </is>
      </c>
      <c r="AE1483" t="inlineStr">
        <is>
          <t>Austrian Climate and Energy Fund (Klima- und Energiefonds); FWF (Austrian Science Fund)(Austrian Science Fund (FWF)); Austrian Science Fund (FWF)(Austrian Science Fund (FWF))</t>
        </is>
      </c>
      <c r="AF1483" t="inlineStr">
        <is>
          <t>This research was supported by the Austrian Climate and Energy Fund (Klima- und Energiefonds), grant number KR19AC0K17544, and the FWF (Austrian Science Fund), grant number I4411, through the 2018-2019 BiodivERsA joint call for research proposals, under the BiodivERsA3 ERA-Net COFUND program.</t>
        </is>
      </c>
      <c r="AH1483" t="n">
        <v>93</v>
      </c>
      <c r="AI1483" t="n">
        <v>0</v>
      </c>
      <c r="AJ1483" t="n">
        <v>0</v>
      </c>
      <c r="AK1483" t="n">
        <v>12</v>
      </c>
      <c r="AL1483" t="n">
        <v>12</v>
      </c>
      <c r="AM1483" t="inlineStr">
        <is>
          <t>MDPI</t>
        </is>
      </c>
      <c r="AN1483" t="inlineStr">
        <is>
          <t>BASEL</t>
        </is>
      </c>
      <c r="AO1483" t="inlineStr">
        <is>
          <t>ST ALBAN-ANLAGE 66, CH-4052 BASEL, SWITZERLAND</t>
        </is>
      </c>
      <c r="AQ1483" t="inlineStr">
        <is>
          <t>2071-1050</t>
        </is>
      </c>
      <c r="AS1483" t="inlineStr">
        <is>
          <t>SUSTAINABILITY-BASEL</t>
        </is>
      </c>
      <c r="AT1483" t="inlineStr">
        <is>
          <t>Sustainability</t>
        </is>
      </c>
      <c r="AU1483" t="inlineStr">
        <is>
          <t>APR 28</t>
        </is>
      </c>
      <c r="AV1483" t="n">
        <v>2023</v>
      </c>
      <c r="AW1483" t="n">
        <v>15</v>
      </c>
      <c r="AX1483" t="n">
        <v>9</v>
      </c>
      <c r="BE1483" t="n">
        <v>7333</v>
      </c>
      <c r="BF1483" t="inlineStr">
        <is>
          <t>10.3390/su15097333</t>
        </is>
      </c>
      <c r="BG1483">
        <f>HYPERLINK("http://dx.doi.org/10.3390/su15097333","http://dx.doi.org/10.3390/su15097333")</f>
        <v/>
      </c>
      <c r="BJ1483" t="n">
        <v>24</v>
      </c>
      <c r="BK1483" t="inlineStr">
        <is>
          <t>Green &amp; Sustainable Science &amp; Technology; Environmental Sciences; Environmental Studies</t>
        </is>
      </c>
      <c r="BL1483" t="inlineStr">
        <is>
          <t>Science Citation Index Expanded (SCI-EXPANDED); Social Science Citation Index (SSCI)</t>
        </is>
      </c>
      <c r="BM1483" t="inlineStr">
        <is>
          <t>Science &amp; Technology - Other Topics; Environmental Sciences &amp; Ecology</t>
        </is>
      </c>
      <c r="BN1483" t="inlineStr">
        <is>
          <t>G2VZ6</t>
        </is>
      </c>
      <c r="BP1483" t="inlineStr">
        <is>
          <t>gold</t>
        </is>
      </c>
      <c r="BS1483" t="inlineStr">
        <is>
          <t>2023-10-26</t>
        </is>
      </c>
      <c r="BT1483" t="inlineStr">
        <is>
          <t>WOS:000987808800001</t>
        </is>
      </c>
      <c r="BU1483">
        <f>HYPERLINK("https%3A%2F%2Fwww.webofscience.com%2Fwos%2Fwoscc%2Ffull-record%2FWOS:000987808800001","View Full Record in Web of Science")</f>
        <v/>
      </c>
    </row>
    <row r="1484">
      <c r="A1484" t="inlineStr">
        <is>
          <t>J</t>
        </is>
      </c>
      <c r="B1484" t="inlineStr">
        <is>
          <t>Soma, Y; Sato, A; Tsunoda, K; Kitano, N; Jindo, T; Abe, T; Okura, T</t>
        </is>
      </c>
      <c r="F1484" t="inlineStr">
        <is>
          <t>Soma, Yuki; Sato, Ayane; Tsunoda, Kenji; Kitano, Naruki; Jindo, Takashi; Abe, Takumi; Okura, Tomohiro</t>
        </is>
      </c>
      <c r="J1484" t="inlineStr">
        <is>
          <t>INTERNATIONAL JOURNAL OF ENVIRONMENTAL RESEARCH AND PUBLIC HEALTH</t>
        </is>
      </c>
      <c r="M1484" t="inlineStr">
        <is>
          <t>English</t>
        </is>
      </c>
      <c r="N1484" t="inlineStr">
        <is>
          <t>Article</t>
        </is>
      </c>
      <c r="T1484" t="inlineStr">
        <is>
          <t>Relationships between Participation in Volunteer-Managed Exercises, Distance to Exercise Facilities, and Interpersonal Social Networks in Older Adults: A Cross-Sectional Study in Japan</t>
        </is>
      </c>
      <c r="U1484" t="inlineStr">
        <is>
          <t>participation; interpersonal social networks; accessibility; volunteer-managed exercises; older adults</t>
        </is>
      </c>
      <c r="V1484" t="inlineStr">
        <is>
          <t>SQUARE-STEPPING EXERCISE; SELF-RATED HEALTH; PHYSICAL-ACTIVITY; BUILT ENVIRONMENT; COMMUNITY; URBAN; FALLS; LIFE</t>
        </is>
      </c>
      <c r="W1484" t="inlineStr">
        <is>
          <t>This study aimed to examine the factors related to participation in volunteer-managed preventive care exercises by focusing on the distance to exercise facilities and interpersonal social networks. A postal mail survey was conducted in 2013 in Kasama City in a rural region of Japan. Older adults (aged &gt;= 65 years) who were living independently (n = 16,870) were targeted. Potential participants who were aware of silver-rehabili taisou exercise (SRTE) and/or square-stepping exercise (SSE) were included in the analysis (n = 4005). A multiple logistic regression analysis revealed that social and environmental factors were associated with participation in SRTE and SSE. After adjusting for confounding variables, exercise participation was negatively associated with an extensive distance from an exercise facility in both sexes for SRTE and SSE. Among women, participation in SRTE was negatively associated with weak interpersonal social networks (odds ratio (OR) = 0.57), and participation in SRTE and SSE was negatively associated with being a car passenger (SRTE, OR = 0.76; SSE, OR = 0.60). However, there were no significant interactions between sex and social and environmental factors. Our findings suggest the importance of considering location and transportation to promote participation in preventive care exercise.</t>
        </is>
      </c>
      <c r="X1484" t="inlineStr">
        <is>
          <t>[Soma, Yuki] Hirosaki Univ, Fac Educ, 1 Bunkyo Cho, Aomori 0368560, Japan; [Sato, Ayane] Kochi Univ, Fac Reg Collaborat, 2-5-1 Akebono Cho, Kochi 7808520, Japan; [Tsunoda, Kenji] Yamaguchi Prefectural Univ, Fac Social Welf, 3-2-1 Sakurabatake, Yamaguchi 7538502, Japan; [Kitano, Naruki] Meiji Yasuda Life Fdn Hlth &amp; Welf, Phys Fitness Res Inst, 150 Tobuki, Tokyo 1920001, Japan; [Jindo, Takashi; Okura, Tomohiro] Univ Tsukuba, Fac Hlth &amp; Sport Sci, 1-1-1 Tennodai, Ibaraki 3058574, Japan; [Abe, Takumi] Tokyo Metropolitan Inst Gerontol, Integrated Res Initiat Living Well Dementia, 35-2 Sakae, Tokyo 1730015, Japan; [Abe, Takumi] Swinburne Univ Technol, Ctr Urban Transit, Hawthorn, Vic 3122, Australia</t>
        </is>
      </c>
      <c r="Y1484" t="inlineStr">
        <is>
          <t>Hirosaki University; Kochi University; University of Tsukuba; Tokyo Metropolitan Institute of Gerontology; Swinburne University of Technology</t>
        </is>
      </c>
      <c r="Z1484" t="inlineStr">
        <is>
          <t>Soma, Y (corresponding author), Hirosaki Univ, Fac Educ, 1 Bunkyo Cho, Aomori 0368560, Japan.</t>
        </is>
      </c>
      <c r="AA1484" t="inlineStr">
        <is>
          <t>yukis@hirosaki-u.ac.jp; sato.ayane@kochi-u.ac.jp; ktsunoda@yamaguchi-pu.ac.jp; na-kitano@my-zaidan.or.jp; jindo.takashi.ge@u.tsukuba.ac.jp; abe@tmig.or.jp; okura.tomohiro.gp@u.tsukuba.ac.jp</t>
        </is>
      </c>
      <c r="AB1484" t="inlineStr">
        <is>
          <t>Tsunoda, Kenji/AAP-1273-2020</t>
        </is>
      </c>
      <c r="AC1484" t="inlineStr">
        <is>
          <t>Tsunoda, Kenji/0000-0003-2807-4637; Kitano, Naruki/0000-0002-3479-2128; Jindo, Takashi/0000-0002-7315-433X</t>
        </is>
      </c>
      <c r="AD1484" t="inlineStr">
        <is>
          <t>Ministry of Education, Culture, Sports, Science, and Technology of Japan [26750348]; Grants-in-Aid for Scientific Research [26750348] Funding Source: KAKEN</t>
        </is>
      </c>
      <c r="AE1484" t="inlineStr">
        <is>
          <t>Ministry of Education, Culture, Sports, Science, and Technology of Japan(Ministry of Education, Culture, Sports, Science and Technology, Japan (MEXT)); Grants-in-Aid for Scientific Research(Ministry of Education, Culture, Sports, Science and Technology, Japan (MEXT)Japan Society for the Promotion of ScienceGrants-in-Aid for Scientific Research (KAKENHI))</t>
        </is>
      </c>
      <c r="AF1484" t="inlineStr">
        <is>
          <t>This work was supported by the Ministry of Education, Culture, Sports, Science, and Technology of Japan's Grant-in-Aid for Young Scientists (B), grant number 26750348, 2014-2017.</t>
        </is>
      </c>
      <c r="AH1484" t="n">
        <v>32</v>
      </c>
      <c r="AI1484" t="n">
        <v>0</v>
      </c>
      <c r="AJ1484" t="n">
        <v>0</v>
      </c>
      <c r="AK1484" t="n">
        <v>2</v>
      </c>
      <c r="AL1484" t="n">
        <v>4</v>
      </c>
      <c r="AM1484" t="inlineStr">
        <is>
          <t>MDPI</t>
        </is>
      </c>
      <c r="AN1484" t="inlineStr">
        <is>
          <t>BASEL</t>
        </is>
      </c>
      <c r="AO1484" t="inlineStr">
        <is>
          <t>ST ALBAN-ANLAGE 66, CH-4052 BASEL, SWITZERLAND</t>
        </is>
      </c>
      <c r="AQ1484" t="inlineStr">
        <is>
          <t>1660-4601</t>
        </is>
      </c>
      <c r="AS1484" t="inlineStr">
        <is>
          <t>INT J ENV RES PUB HE</t>
        </is>
      </c>
      <c r="AT1484" t="inlineStr">
        <is>
          <t>Int. J. Environ. Res. Public Health</t>
        </is>
      </c>
      <c r="AU1484" t="inlineStr">
        <is>
          <t>NOV</t>
        </is>
      </c>
      <c r="AV1484" t="n">
        <v>2021</v>
      </c>
      <c r="AW1484" t="n">
        <v>18</v>
      </c>
      <c r="AX1484" t="n">
        <v>22</v>
      </c>
      <c r="BE1484" t="n">
        <v>11944</v>
      </c>
      <c r="BF1484" t="inlineStr">
        <is>
          <t>10.3390/ijerph182211944</t>
        </is>
      </c>
      <c r="BG1484">
        <f>HYPERLINK("http://dx.doi.org/10.3390/ijerph182211944","http://dx.doi.org/10.3390/ijerph182211944")</f>
        <v/>
      </c>
      <c r="BJ1484" t="n">
        <v>11</v>
      </c>
      <c r="BK1484" t="inlineStr">
        <is>
          <t>Environmental Sciences; Public, Environmental &amp; Occupational Health</t>
        </is>
      </c>
      <c r="BL1484" t="inlineStr">
        <is>
          <t>Science Citation Index Expanded (SCI-EXPANDED); Social Science Citation Index (SSCI)</t>
        </is>
      </c>
      <c r="BM1484" t="inlineStr">
        <is>
          <t>Environmental Sciences &amp; Ecology; Public, Environmental &amp; Occupational Health</t>
        </is>
      </c>
      <c r="BN1484" t="inlineStr">
        <is>
          <t>1X0GX</t>
        </is>
      </c>
      <c r="BO1484" t="n">
        <v>34831701</v>
      </c>
      <c r="BP1484" t="inlineStr">
        <is>
          <t>gold, Green Published</t>
        </is>
      </c>
      <c r="BS1484" t="inlineStr">
        <is>
          <t>2023-10-26</t>
        </is>
      </c>
      <c r="BT1484" t="inlineStr">
        <is>
          <t>WOS:000807144000001</t>
        </is>
      </c>
      <c r="BU1484">
        <f>HYPERLINK("https%3A%2F%2Fwww.webofscience.com%2Fwos%2Fwoscc%2Ffull-record%2FWOS:000807144000001","View Full Record in Web of Science")</f>
        <v/>
      </c>
    </row>
    <row r="1485">
      <c r="A1485" t="inlineStr">
        <is>
          <t>J</t>
        </is>
      </c>
      <c r="B1485" t="inlineStr">
        <is>
          <t>Wangbao, L</t>
        </is>
      </c>
      <c r="F1485" t="inlineStr">
        <is>
          <t>Wangbao, Liu</t>
        </is>
      </c>
      <c r="J1485" t="inlineStr">
        <is>
          <t>FRONTIERS IN ENVIRONMENTAL SCIENCE</t>
        </is>
      </c>
      <c r="M1485" t="inlineStr">
        <is>
          <t>English</t>
        </is>
      </c>
      <c r="N1485" t="inlineStr">
        <is>
          <t>Article</t>
        </is>
      </c>
      <c r="T1485" t="inlineStr">
        <is>
          <t>Spatial impact of the built environment on street vitality: A case study of the Tianhe District, Guangzhou</t>
        </is>
      </c>
      <c r="U1485" t="inlineStr">
        <is>
          <t>street vitality; Tencent location service data; Jacobs; the built environment; Guangzhou</t>
        </is>
      </c>
      <c r="V1485" t="inlineStr">
        <is>
          <t>WALKING ACTIVITY; JANE JACOBS</t>
        </is>
      </c>
      <c r="W1485" t="inlineStr">
        <is>
          <t>Taking the Tianhe District in Guangzhou, China, as a case and the urban street (road) as the basic research unit, this study analyzes the relationship between the built environment and street vitality to analyze the influencing factors of street vitality. The Tencent location service data are used to characterize street vitality, and the OLS and GWR models are used to construct the statistical relationship between the built environment and street vitality after establishing the urban built environment index. The results show that spatial heterogeneity is considered in the GWR model based on local geographic weighting, and its fitting effect is better than that of the OLS model, which can reveal the micro-local characteristics of the built environment's effect on street vitality. Increasing the land-use mixing degree, new and old building mixing degrees, and land-use intensity (building density and volume ratio) can significantly increase street vitality, which proves to a certain extent that Jacobs's relevant discussion is still highly practical for the Tianhe District.</t>
        </is>
      </c>
      <c r="X1485" t="inlineStr">
        <is>
          <t>[Wangbao, Liu] South China Normal Univ, Coll Geog Sci, Guangzhou, Peoples R China</t>
        </is>
      </c>
      <c r="Y1485" t="inlineStr">
        <is>
          <t>South China Normal University</t>
        </is>
      </c>
      <c r="Z1485" t="inlineStr">
        <is>
          <t>Wangbao, L (corresponding author), South China Normal Univ, Coll Geog Sci, Guangzhou, Peoples R China.</t>
        </is>
      </c>
      <c r="AA1485" t="inlineStr">
        <is>
          <t>wbliu@scnu.edu.cn</t>
        </is>
      </c>
      <c r="AH1485" t="n">
        <v>25</v>
      </c>
      <c r="AI1485" t="n">
        <v>2</v>
      </c>
      <c r="AJ1485" t="n">
        <v>2</v>
      </c>
      <c r="AK1485" t="n">
        <v>25</v>
      </c>
      <c r="AL1485" t="n">
        <v>44</v>
      </c>
      <c r="AM1485" t="inlineStr">
        <is>
          <t>FRONTIERS MEDIA SA</t>
        </is>
      </c>
      <c r="AN1485" t="inlineStr">
        <is>
          <t>LAUSANNE</t>
        </is>
      </c>
      <c r="AO1485" t="inlineStr">
        <is>
          <t>AVENUE DU TRIBUNAL FEDERAL 34, LAUSANNE, CH-1015, SWITZERLAND</t>
        </is>
      </c>
      <c r="AQ1485" t="inlineStr">
        <is>
          <t>2296-665X</t>
        </is>
      </c>
      <c r="AS1485" t="inlineStr">
        <is>
          <t>FRONT ENV SCI-SWITZ</t>
        </is>
      </c>
      <c r="AT1485" t="inlineStr">
        <is>
          <t>Front. Environ. Sci.</t>
        </is>
      </c>
      <c r="AU1485" t="inlineStr">
        <is>
          <t>OCT 5</t>
        </is>
      </c>
      <c r="AV1485" t="n">
        <v>2022</v>
      </c>
      <c r="AW1485" t="n">
        <v>10</v>
      </c>
      <c r="BE1485" t="n">
        <v>966562</v>
      </c>
      <c r="BF1485" t="inlineStr">
        <is>
          <t>10.3389/fenvs.2022.966562</t>
        </is>
      </c>
      <c r="BG1485">
        <f>HYPERLINK("http://dx.doi.org/10.3389/fenvs.2022.966562","http://dx.doi.org/10.3389/fenvs.2022.966562")</f>
        <v/>
      </c>
      <c r="BJ1485" t="n">
        <v>11</v>
      </c>
      <c r="BK1485" t="inlineStr">
        <is>
          <t>Environmental Sciences</t>
        </is>
      </c>
      <c r="BL1485" t="inlineStr">
        <is>
          <t>Science Citation Index Expanded (SCI-EXPANDED)</t>
        </is>
      </c>
      <c r="BM1485" t="inlineStr">
        <is>
          <t>Environmental Sciences &amp; Ecology</t>
        </is>
      </c>
      <c r="BN1485" t="inlineStr">
        <is>
          <t>5Q7QM</t>
        </is>
      </c>
      <c r="BP1485" t="inlineStr">
        <is>
          <t>gold</t>
        </is>
      </c>
      <c r="BS1485" t="inlineStr">
        <is>
          <t>2023-10-26</t>
        </is>
      </c>
      <c r="BT1485" t="inlineStr">
        <is>
          <t>WOS:000874021300001</t>
        </is>
      </c>
      <c r="BU1485">
        <f>HYPERLINK("https%3A%2F%2Fwww.webofscience.com%2Fwos%2Fwoscc%2Ffull-record%2FWOS:000874021300001","View Full Record in Web of Science")</f>
        <v/>
      </c>
    </row>
    <row r="1486">
      <c r="A1486" t="inlineStr">
        <is>
          <t>J</t>
        </is>
      </c>
      <c r="B1486" t="inlineStr">
        <is>
          <t>Amoatey, P; Omidvarborna, H; Baawain, MS; Al-Mamun, A; Bari, A; Kindzierski, WB</t>
        </is>
      </c>
      <c r="F1486" t="inlineStr">
        <is>
          <t>Amoatey, Patrick; Omidvarborna, Hamid; Baawain, Mahad Said; Al-Mamun, Abdullah; Bari, Aynul; Kindzierski, Warren B.</t>
        </is>
      </c>
      <c r="J1486" t="inlineStr">
        <is>
          <t>REVIEWS ON ENVIRONMENTAL HEALTH</t>
        </is>
      </c>
      <c r="M1486" t="inlineStr">
        <is>
          <t>English</t>
        </is>
      </c>
      <c r="N1486" t="inlineStr">
        <is>
          <t>Review</t>
        </is>
      </c>
      <c r="T1486" t="inlineStr">
        <is>
          <t>Association between human health and indoor air pollution in the Gulf Cooperation Council (GCC) countries: a review</t>
        </is>
      </c>
      <c r="U1486" t="inlineStr">
        <is>
          <t>GCC countries; health assessment; indoor air pollution; respiratory symptons; ventilation</t>
        </is>
      </c>
      <c r="V1486" t="inlineStr">
        <is>
          <t>POLYCYCLIC AROMATIC-HYDROCARBONS; FLAME RETARDANTS; EXPOSURE ASSESSMENT; BISPHENOL-A; HOUSE-DUST; QUALITY; VENTILATION; HOMES; KUWAIT; RISK</t>
        </is>
      </c>
      <c r="W1486" t="inlineStr">
        <is>
          <t>Studies on the assessment of indoor air pollutants in terms of concentration and characterization in the Gulf Cooperation Council (GCC) countries have been recently carried out. This review assesses the health effects associated with indoor air pollution exposures in GCC, including other air pollutants (siloxanes, flame retardants, synthetic phenolic antioxidants) which were not explored in a previous study. In addition, the influence of ventilation conditions due to different indoor environments was also investigated. It was revealed that there is a lack of human health assessment studies on most indoor air pollutants in almost all GCC countries, except the United Arab Emirates, Kingdom of Saudi Arabia and Kuwait, where few attempts were made for some specific pollutants. Commonly reported plausible health effects potentially associated with indoor air pollution were related to respiratory symptoms and sick building syndrome (SBS). Many of the current health assessment studies in GCC countries were based on predictions and/or estimates of exposures rather than clinically based observational studies. Measured ventilation levels and indoor air velocities in most buildings failed to meet the American Society of Heating, Refrigerating and Air-conditioning Engineers (ASHRAE) threshold limits of 8 L/s/p and 0.18-0.25 m/s, respectively. Additionally, limited studies have investigated respiratory symptoms and SBS potentially attributable to poor ventilation in the region. It is highly recommended that future indoor air quality (IAQ) studies in GCC should focus more on epidemiologic and intervention studies.</t>
        </is>
      </c>
      <c r="X1486" t="inlineStr">
        <is>
          <t>[Amoatey, Patrick; Omidvarborna, Hamid; Baawain, Mahad Said; Al-Mamun, Abdullah] Sultan Qaboos Univ, Dept Civil &amp; Architectural Engn, Coll Engn, POB 33,PC 123, Muscat, Oman; [Bari, Aynul] SUNY Albany, Dept Environm &amp; Sustainable Engn, Albany, NY 12222 USA; [Kindzierski, Warren B.] Univ Alberta, Sch Publ Hlth, Edmonton, AB, Canada</t>
        </is>
      </c>
      <c r="Y1486" t="inlineStr">
        <is>
          <t>Sultan Qaboos University; State University of New York (SUNY) System; State University of New York (SUNY) Albany; University of Alberta</t>
        </is>
      </c>
      <c r="Z1486" t="inlineStr">
        <is>
          <t>Baawain, MS (corresponding author), Sultan Qaboos Univ, Dept Civil &amp; Architectural Engn, Coll Engn, POB 33,PC 123, Muscat, Oman.</t>
        </is>
      </c>
      <c r="AA1486" t="inlineStr">
        <is>
          <t>msab@squ.edu.om</t>
        </is>
      </c>
      <c r="AB1486" t="inlineStr">
        <is>
          <t>Baawain, Mahad/S-8010-2019; Al-Mamun, Abdullah/ABH-8121-2020; Amoatey, Patrick/G-1475-2016</t>
        </is>
      </c>
      <c r="AC1486" t="inlineStr">
        <is>
          <t>Baawain, Mahad/0000-0001-5239-4839; Al-Mamun, Abdullah/0000-0002-5642-2945; Amoatey, Patrick/0000-0003-2995-5399; Omidvarborna, Hamid/0000-0003-2865-5319</t>
        </is>
      </c>
      <c r="AH1486" t="n">
        <v>62</v>
      </c>
      <c r="AI1486" t="n">
        <v>12</v>
      </c>
      <c r="AJ1486" t="n">
        <v>13</v>
      </c>
      <c r="AK1486" t="n">
        <v>1</v>
      </c>
      <c r="AL1486" t="n">
        <v>25</v>
      </c>
      <c r="AM1486" t="inlineStr">
        <is>
          <t>WALTER DE GRUYTER GMBH</t>
        </is>
      </c>
      <c r="AN1486" t="inlineStr">
        <is>
          <t>BERLIN</t>
        </is>
      </c>
      <c r="AO1486" t="inlineStr">
        <is>
          <t>GENTHINER STRASSE 13, D-10785 BERLIN, GERMANY</t>
        </is>
      </c>
      <c r="AP1486" t="inlineStr">
        <is>
          <t>0048-7554</t>
        </is>
      </c>
      <c r="AQ1486" t="inlineStr">
        <is>
          <t>2191-0308</t>
        </is>
      </c>
      <c r="AS1486" t="inlineStr">
        <is>
          <t>REV ENVIRON HEALTH</t>
        </is>
      </c>
      <c r="AT1486" t="inlineStr">
        <is>
          <t>Rev. Environ. Health</t>
        </is>
      </c>
      <c r="AU1486" t="inlineStr">
        <is>
          <t>JUN</t>
        </is>
      </c>
      <c r="AV1486" t="n">
        <v>2020</v>
      </c>
      <c r="AW1486" t="n">
        <v>35</v>
      </c>
      <c r="AX1486" t="n">
        <v>2</v>
      </c>
      <c r="BC1486" t="n">
        <v>157</v>
      </c>
      <c r="BD1486" t="n">
        <v>171</v>
      </c>
      <c r="BF1486" t="inlineStr">
        <is>
          <t>10.1515/reveh-2019-0065</t>
        </is>
      </c>
      <c r="BG1486">
        <f>HYPERLINK("http://dx.doi.org/10.1515/reveh-2019-0065","http://dx.doi.org/10.1515/reveh-2019-0065")</f>
        <v/>
      </c>
      <c r="BJ1486" t="n">
        <v>15</v>
      </c>
      <c r="BK1486" t="inlineStr">
        <is>
          <t>Environmental Sciences; Public, Environmental &amp; Occupational Health</t>
        </is>
      </c>
      <c r="BL1486" t="inlineStr">
        <is>
          <t>Science Citation Index Expanded (SCI-EXPANDED)</t>
        </is>
      </c>
      <c r="BM1486" t="inlineStr">
        <is>
          <t>Environmental Sciences &amp; Ecology; Public, Environmental &amp; Occupational Health</t>
        </is>
      </c>
      <c r="BN1486" t="inlineStr">
        <is>
          <t>LW1WO</t>
        </is>
      </c>
      <c r="BO1486" t="n">
        <v>32049656</v>
      </c>
      <c r="BS1486" t="inlineStr">
        <is>
          <t>2023-10-26</t>
        </is>
      </c>
      <c r="BT1486" t="inlineStr">
        <is>
          <t>WOS:000538937100006</t>
        </is>
      </c>
      <c r="BU1486">
        <f>HYPERLINK("https%3A%2F%2Fwww.webofscience.com%2Fwos%2Fwoscc%2Ffull-record%2FWOS:000538937100006","View Full Record in Web of Science")</f>
        <v/>
      </c>
    </row>
    <row r="1487">
      <c r="A1487" t="inlineStr">
        <is>
          <t>J</t>
        </is>
      </c>
      <c r="B1487" t="inlineStr">
        <is>
          <t>Schulz, M; Romppel, M; Grande, G</t>
        </is>
      </c>
      <c r="F1487" t="inlineStr">
        <is>
          <t>Schulz, Maike; Romppel, Matthias; Grande, Gesine</t>
        </is>
      </c>
      <c r="J1487" t="inlineStr">
        <is>
          <t>INTERNATIONAL JOURNAL OF ENVIRONMENTAL HEALTH RESEARCH</t>
        </is>
      </c>
      <c r="M1487" t="inlineStr">
        <is>
          <t>English</t>
        </is>
      </c>
      <c r="N1487" t="inlineStr">
        <is>
          <t>Article</t>
        </is>
      </c>
      <c r="T1487" t="inlineStr">
        <is>
          <t>Is the built environment associated with morbidity and mortality? A systematic review of evidence from Germany</t>
        </is>
      </c>
      <c r="U1487" t="inlineStr">
        <is>
          <t>Built environment; chronic diseases; morbidity; mortality; systematic review</t>
        </is>
      </c>
      <c r="V1487" t="inlineStr">
        <is>
          <t>HEALTH IMPACT ASSESSMENT; NEIGHBORHOOD; OBESITY; WALKING; TRANSPORTATION; DETERMINANTS; BEHAVIORS; POLLUTION; PATHWAYS</t>
        </is>
      </c>
      <c r="W1487" t="inlineStr">
        <is>
          <t>The empirical evidence on this relationship mainly comes from Anglo-American countries whereas evidence from Germany is only emerging. Our objective is to provide a narrative overview and critical appraisal of the existing empirical evidence on the relationship between the built environment and morbidity/mortality in Germany.We conducted a systematic literature search where we included all empirical studies that linked the built environment aspects with morbidity or mortality outcomes. Findings were summarized and critically evaluated according to the Newcastle Ottawa Scale.Eighteen studies met the inclusion criteria and underwent in-depth analysis. Findings indicate that traffic exposure and green space tend to be associated with acute respiratory symptoms but not with chronic respiratory conditions. Evidence was inconsistent for the role of infrastructural aspects and urbanicity.Our review confirms the well-established association between traffic and respiratory health. Yet, the consistency between self-reported and objective measures of respiratory health should be investigated in more detail.</t>
        </is>
      </c>
      <c r="X1487" t="inlineStr">
        <is>
          <t>[Schulz, Maike; Romppel, Matthias] Univ Bremen, Inst Publ Hlth &amp; Nursing Res IPP, Bremen, Germany; [Schulz, Maike] Univ Bremen, SOCIUM Res Ctr Inequal &amp; Social Policy, Unicom Bldg,Mary Somerville Str 3, D-28359 Bremen, Germany; [Romppel, Matthias] NRW Ctr Hlth LZG NRW, Dept Hlth Data Anal &amp; Hlth Serv, Bochum, Germany; [Grande, Gesine] Leipzig Univ Appl Sci, Rectorate Management, Leipzig, Germany</t>
        </is>
      </c>
      <c r="Y1487" t="inlineStr">
        <is>
          <t>University of Bremen; University of Bremen</t>
        </is>
      </c>
      <c r="Z1487" t="inlineStr">
        <is>
          <t>Schulz, M (corresponding author), Univ Bremen, SOCIUM Res Ctr Inequal &amp; Social Policy, Unicom Bldg,Mary Somerville Str 3, D-28359 Bremen, Germany.</t>
        </is>
      </c>
      <c r="AA1487" t="inlineStr">
        <is>
          <t>maike.schulz@uni-bremen.de</t>
        </is>
      </c>
      <c r="AB1487" t="inlineStr">
        <is>
          <t>Romppel, Matthias/B-8977-2017; Grande, Gesine/AAT-5671-2020</t>
        </is>
      </c>
      <c r="AC1487" t="inlineStr">
        <is>
          <t>Romppel, Matthias/0000-0003-0420-7941; Grande, Gesine/0000-0003-1820-8347</t>
        </is>
      </c>
      <c r="AH1487" t="n">
        <v>48</v>
      </c>
      <c r="AI1487" t="n">
        <v>2</v>
      </c>
      <c r="AJ1487" t="n">
        <v>2</v>
      </c>
      <c r="AK1487" t="n">
        <v>1</v>
      </c>
      <c r="AL1487" t="n">
        <v>13</v>
      </c>
      <c r="AM1487" t="inlineStr">
        <is>
          <t>TAYLOR &amp; FRANCIS LTD</t>
        </is>
      </c>
      <c r="AN1487" t="inlineStr">
        <is>
          <t>ABINGDON</t>
        </is>
      </c>
      <c r="AO1487" t="inlineStr">
        <is>
          <t>2-4 PARK SQUARE, MILTON PARK, ABINGDON OR14 4RN, OXON, ENGLAND</t>
        </is>
      </c>
      <c r="AP1487" t="inlineStr">
        <is>
          <t>0960-3123</t>
        </is>
      </c>
      <c r="AQ1487" t="inlineStr">
        <is>
          <t>1369-1619</t>
        </is>
      </c>
      <c r="AS1487" t="inlineStr">
        <is>
          <t>INT J ENVIRON HEAL R</t>
        </is>
      </c>
      <c r="AT1487" t="inlineStr">
        <is>
          <t>Int. J. Environ. Health Res.</t>
        </is>
      </c>
      <c r="AV1487" t="n">
        <v>2018</v>
      </c>
      <c r="AW1487" t="n">
        <v>28</v>
      </c>
      <c r="AX1487" t="n">
        <v>6</v>
      </c>
      <c r="BC1487" t="n">
        <v>697</v>
      </c>
      <c r="BD1487" t="n">
        <v>706</v>
      </c>
      <c r="BF1487" t="inlineStr">
        <is>
          <t>10.1080/09603123.2018.1509950</t>
        </is>
      </c>
      <c r="BG1487">
        <f>HYPERLINK("http://dx.doi.org/10.1080/09603123.2018.1509950","http://dx.doi.org/10.1080/09603123.2018.1509950")</f>
        <v/>
      </c>
      <c r="BJ1487" t="n">
        <v>10</v>
      </c>
      <c r="BK1487" t="inlineStr">
        <is>
          <t>Environmental Sciences; Public, Environmental &amp; Occupational Health</t>
        </is>
      </c>
      <c r="BL1487" t="inlineStr">
        <is>
          <t>Science Citation Index Expanded (SCI-EXPANDED); Social Science Citation Index (SSCI)</t>
        </is>
      </c>
      <c r="BM1487" t="inlineStr">
        <is>
          <t>Environmental Sciences &amp; Ecology; Public, Environmental &amp; Occupational Health</t>
        </is>
      </c>
      <c r="BN1487" t="inlineStr">
        <is>
          <t>GU9FV</t>
        </is>
      </c>
      <c r="BO1487" t="n">
        <v>30132363</v>
      </c>
      <c r="BS1487" t="inlineStr">
        <is>
          <t>2023-10-26</t>
        </is>
      </c>
      <c r="BT1487" t="inlineStr">
        <is>
          <t>WOS:000445651200011</t>
        </is>
      </c>
      <c r="BU1487">
        <f>HYPERLINK("https%3A%2F%2Fwww.webofscience.com%2Fwos%2Fwoscc%2Ffull-record%2FWOS:000445651200011","View Full Record in Web of Science")</f>
        <v/>
      </c>
    </row>
    <row r="1488">
      <c r="A1488" t="inlineStr">
        <is>
          <t>J</t>
        </is>
      </c>
      <c r="B1488" t="inlineStr">
        <is>
          <t>Zhou, TT; Hu, B; Meng, XL; Sun, L; Li, HB; Xu, PR; Cheng, BJ; Sheng, J; Tao, FB; Yang, LS; Wu, QS</t>
        </is>
      </c>
      <c r="F1488" t="inlineStr">
        <is>
          <t>Zhou, Ting-ting; Hu, Bing; Meng, Xiang-long; Sun, Liang; Li, Huai-biao; Xu, Pei-ru; Cheng, Bei-jing; Sheng, Jie; Tao, Fang-biao; Yang, Lin-sheng; Wu, Qing-si</t>
        </is>
      </c>
      <c r="J1488" t="inlineStr">
        <is>
          <t>ECOTOXICOLOGY AND ENVIRONMENTAL SAFETY</t>
        </is>
      </c>
      <c r="M1488" t="inlineStr">
        <is>
          <t>English</t>
        </is>
      </c>
      <c r="N1488" t="inlineStr">
        <is>
          <t>Article</t>
        </is>
      </c>
      <c r="T1488" t="inlineStr">
        <is>
          <t>The associations between urinary metals and metal mixtures and kidney function in Chinese community-dwelling older adults with diabetes mellitus</t>
        </is>
      </c>
      <c r="U1488" t="inlineStr">
        <is>
          <t>Chronic kidney disease; Older adults; Diabetes mellitus; Metal mixtures; Bayesian kernel machine regression (BKMR)</t>
        </is>
      </c>
      <c r="V1488" t="inlineStr">
        <is>
          <t>OXIDATIVE STRESS; THALLIUM TOXICITY; DRINKING-WATER; RENAL-FUNCTION; CADMIUM; EXPOSURE; LEAD; DISEASE; VANADIUM; OUTCOMES</t>
        </is>
      </c>
      <c r="W1488" t="inlineStr">
        <is>
          <t>Background: Previous studies have found associations between single toxic metals, such as arsenic and cadmium, and kidney function in adults with diabetes. However, studies with regards to other metals and metal mixtures are still limited. Objective: Our study aimed to investigate the associations between urinary concentrations of 5 selected metals and metal mixtures and kidney function using a sample of older adults with diabetes mellitus in Chinese communities. Methods: In a sample of older adults (n = 5186), 592 eligible subjects were included in this study. Urinary concentrations of 5 metals, i.e., arsenic (As), cadmium (Cd), vanadium (V), cobalt (Co), and thallium (Tl), were measured by inductively coupled plasma mass spectrometer (ICP-MS). Estimated glomerular filtration rate (eGFR) was calculated and dichotomized into indicator of chronic kidney disease (CKD). Logistic analysis and Bayesian kernel machine regression (BKMR) were used to explore the associations between single metals and metal mixtures and CKD, respectively. Results: Urinary levels of As and V were positively correlated with CKD (OR=2.37, 95% CI: 1.31-4.30 for As; OR=2.24, 95% CI: 1.25-4.03 for V), when compared the 4th quartile with the 1st quartile. After adjustment for potential confounders, the significant association between As and CKD still existed (OR=2.73, 95% CI: 1.23-6.07). BKMR analyses showed strong linear positive associations between As and V and CKD. Higher urinary levels of the mixture were significantly associated with higher odds of CKD in a dose-response pattern. As and V showed the highest posterior inclusion probabilities. Conclusion: Urine As and V were positively associated with CKD in older adults with diabetes mellitus, separately and in a mixture. The metals mixture showed a linear dose-response association with the odds of CKD. The analyses of mixtures, rather than of single metals, may provide a real-world perspective on the relationship between metals and kidney function.</t>
        </is>
      </c>
      <c r="X1488" t="inlineStr">
        <is>
          <t>[Zhou, Ting-ting; Wu, Qing-si] Anhui Med Univ, Sch Publ Hlth, Dept Hyg Inspect &amp; Quarantine, Meishan Rd 81, Hefei 230032, Anhui, Peoples R China; [Hu, Bing; Sun, Liang; Li, Huai-biao] Fuyang Ctr Dis Control &amp; Prevent, Fuyang 236069, Anhui, Peoples R China; [Meng, Xiang-long; Xu, Pei-ru; Cheng, Bei-jing; Yang, Lin-sheng] Anhui Med Univ, Sch Publ Hlth, Dept Epidemiol &amp; Hlth Stat, Meishan Rd 81, Hefei 230032, Anhui, Peoples R China; [Sheng, Jie] Anhui Med Univ, Expt Ctr Publ Hlth, Sch Publ Hlth, Hefei 230032, Anhui, Peoples R China; [Tao, Fang-biao] Anhui Med Univ, Sch Hlth Serv Management, Hefei 230032, Anhui, Peoples R China; [Tao, Fang-biao] Anhui Prov Key Lab Populat Hlth &amp; Aristogen, Hefei 230032, Anhui, Peoples R China; [Wu, Qing-si] Second Peoples Hosp Hefei, Dept Clin Lab, Hefei 230011, Anhui, Peoples R China</t>
        </is>
      </c>
      <c r="Y1488" t="inlineStr">
        <is>
          <t>Anhui Medical University; Anhui Medical University; Anhui Medical University; Anhui Medical University</t>
        </is>
      </c>
      <c r="Z1488" t="inlineStr">
        <is>
          <t>Wu, QS (corresponding author), Anhui Med Univ, Sch Publ Hlth, Dept Hyg Inspect &amp; Quarantine, Meishan Rd 81, Hefei 230032, Anhui, Peoples R China.;Yang, LS (corresponding author), Anhui Med Univ, Sch Publ Hlth, Dept Epidemiol &amp; Hlth Stat, Meishan Rd 81, Hefei 230032, Anhui, Peoples R China.</t>
        </is>
      </c>
      <c r="AA1488" t="inlineStr">
        <is>
          <t>yanglinsheng@ahmu.edu.cn; wuqingsi@ahmu.edu.cn</t>
        </is>
      </c>
      <c r="AB1488" t="inlineStr">
        <is>
          <t>Meng, Xiang-Long/GXV-5867-2022</t>
        </is>
      </c>
      <c r="AD1488" t="inlineStr">
        <is>
          <t>PhD Research Projects Foundation of the Second People's Hospital of Hefei of China [2020bszx03]; Key Natural Science Foundation from Bengbu Medical College of China [2020byzd282]; Grants for Scientific Research of BSKY from Anhui Medical Uni-versity of China [Xj201525]</t>
        </is>
      </c>
      <c r="AE1488" t="inlineStr">
        <is>
          <t>PhD Research Projects Foundation of the Second People's Hospital of Hefei of China; Key Natural Science Foundation from Bengbu Medical College of China; Grants for Scientific Research of BSKY from Anhui Medical Uni-versity of China</t>
        </is>
      </c>
      <c r="AF1488" t="inlineStr">
        <is>
          <t>The authors are grateful to the research group of Older Adults Health and Modifiable Factors, the Fuyang Center for Disease Control and Prevention. The authors also thank Chi Zhang for her assistance in language editing and proofreading. This study was funded by PhD Research Projects Foundation of the Second People's Hospital of Hefei of China [grant number 2020bszx03] , the Key Natural Science Foundation from Bengbu Medical College of China [grant number 2020byzd282] , and Grants for Scientific Research of BSKY from Anhui Medical Uni-versity of China [grant number Xj201525] .</t>
        </is>
      </c>
      <c r="AH1488" t="n">
        <v>70</v>
      </c>
      <c r="AI1488" t="n">
        <v>20</v>
      </c>
      <c r="AJ1488" t="n">
        <v>20</v>
      </c>
      <c r="AK1488" t="n">
        <v>3</v>
      </c>
      <c r="AL1488" t="n">
        <v>37</v>
      </c>
      <c r="AM1488" t="inlineStr">
        <is>
          <t>ACADEMIC PRESS INC ELSEVIER SCIENCE</t>
        </is>
      </c>
      <c r="AN1488" t="inlineStr">
        <is>
          <t>SAN DIEGO</t>
        </is>
      </c>
      <c r="AO1488" t="inlineStr">
        <is>
          <t>525 B ST, STE 1900, SAN DIEGO, CA 92101-4495 USA</t>
        </is>
      </c>
      <c r="AP1488" t="inlineStr">
        <is>
          <t>0147-6513</t>
        </is>
      </c>
      <c r="AQ1488" t="inlineStr">
        <is>
          <t>1090-2414</t>
        </is>
      </c>
      <c r="AS1488" t="inlineStr">
        <is>
          <t>ECOTOX ENVIRON SAFE</t>
        </is>
      </c>
      <c r="AT1488" t="inlineStr">
        <is>
          <t>Ecotox. Environ. Safe.</t>
        </is>
      </c>
      <c r="AU1488" t="inlineStr">
        <is>
          <t>DEC 15</t>
        </is>
      </c>
      <c r="AV1488" t="n">
        <v>2021</v>
      </c>
      <c r="AW1488" t="n">
        <v>226</v>
      </c>
      <c r="BE1488" t="n">
        <v>112829</v>
      </c>
      <c r="BF1488" t="inlineStr">
        <is>
          <t>10.1016/j.ecoenv.2021.112829</t>
        </is>
      </c>
      <c r="BG1488">
        <f>HYPERLINK("http://dx.doi.org/10.1016/j.ecoenv.2021.112829","http://dx.doi.org/10.1016/j.ecoenv.2021.112829")</f>
        <v/>
      </c>
      <c r="BI1488" t="inlineStr">
        <is>
          <t>SEP 2021</t>
        </is>
      </c>
      <c r="BJ1488" t="n">
        <v>9</v>
      </c>
      <c r="BK1488" t="inlineStr">
        <is>
          <t>Environmental Sciences; Toxicology</t>
        </is>
      </c>
      <c r="BL1488" t="inlineStr">
        <is>
          <t>Science Citation Index Expanded (SCI-EXPANDED)</t>
        </is>
      </c>
      <c r="BM1488" t="inlineStr">
        <is>
          <t>Environmental Sciences &amp; Ecology; Toxicology</t>
        </is>
      </c>
      <c r="BN1488" t="inlineStr">
        <is>
          <t>WB7WE</t>
        </is>
      </c>
      <c r="BO1488" t="n">
        <v>34592520</v>
      </c>
      <c r="BP1488" t="inlineStr">
        <is>
          <t>gold</t>
        </is>
      </c>
      <c r="BS1488" t="inlineStr">
        <is>
          <t>2023-10-26</t>
        </is>
      </c>
      <c r="BT1488" t="inlineStr">
        <is>
          <t>WOS:000703778900003</t>
        </is>
      </c>
      <c r="BU1488">
        <f>HYPERLINK("https%3A%2F%2Fwww.webofscience.com%2Fwos%2Fwoscc%2Ffull-record%2FWOS:000703778900003","View Full Record in Web of Science")</f>
        <v/>
      </c>
    </row>
    <row r="1489">
      <c r="A1489" t="inlineStr">
        <is>
          <t>J</t>
        </is>
      </c>
      <c r="B1489" t="inlineStr">
        <is>
          <t>Wu, B; Lyu, YB; Cao, ZJ; Wei, Y; Shi, WY; Gao, X; Zhou, JH; Kraus, VB; Zhao, F; Chen, X; Lu, F; Zhang, MY; Liu, YC; Tan, QY; Song, SX; Qu, YL; Zheng, XL; Shen, C; Mao, C; Shi, XM</t>
        </is>
      </c>
      <c r="F1489" t="inlineStr">
        <is>
          <t>Wu Bing; Lyu Yue Bin; Cao Zhao Jin; Wei Yuan; Shi Wan Ying; Gao Xiang; Zhou Jin Hui; Kraus, Virginia Byers; Zhao Feng; Chen Xin; Lu Feng; Zhang Ming Yuan; Liu Ying Chun; Tan Qi Yue; Song Shi Xun; Qu Ying Li; Zheng Xu Lin; Shen Chong; Mao Chen; Shi Xiao Ming</t>
        </is>
      </c>
      <c r="J1489" t="inlineStr">
        <is>
          <t>BIOMEDICAL AND ENVIRONMENTAL SCIENCES</t>
        </is>
      </c>
      <c r="M1489" t="inlineStr">
        <is>
          <t>English</t>
        </is>
      </c>
      <c r="N1489" t="inlineStr">
        <is>
          <t>Article</t>
        </is>
      </c>
      <c r="T1489" t="inlineStr">
        <is>
          <t>Associations of Sarcopenia, Handgrip Strength and Calf Circumference with Cognitive Impairment among Chinese Older Adults</t>
        </is>
      </c>
      <c r="U1489" t="inlineStr">
        <is>
          <t>Sarcopenia; Cognitive impairment; Handgrip strength; Calf circumference; Older adults</t>
        </is>
      </c>
      <c r="V1489" t="inlineStr">
        <is>
          <t>MUSCLE MASS; INSULIN-RESISTANCE; MORTALITY RISK; GRIP STRENGTH; PERFORMANCE; PREVALENCE; DIAGNOSIS; COMMUNITY; DECLINE; DISEASE</t>
        </is>
      </c>
      <c r="W1489" t="inlineStr">
        <is>
          <t>Objective To evaluate the associations of sarcopenia, handgrip strength and calf circumference with cognitive impairment among Chinese older adults. Methods Totally 2,525 older adults were recruited from the Healthy Aging and Biomarkers Cohort Study. Cognitive impairment was assessed by the Chinese Mini-Mental State Examination. Handgrip strength was calculated from the means of the right and left hand values. Calf circumference was measured at the site of maximum circumference of the non-dominant leg. The formula developed by Ishii was used to define sarcopenia. Multiple logistic regression was performed to evaluate the associations of sarcopenia, handgrip strength, and calf circumference with cognitive impairment. Results The prevalence of cognitive impairment was 34.36%. The adjusted odds ratio (OR) for cognitive impairment in individuals with sarcopenia was 2.55 [95% confidence interval (95% CI): 1.86-3.50]. Compared with individuals in the first quartile (Q(1)) of calf circumference, the adjusted ORs in the second, third, and fourth quartiles (Q(2), Q(3), and Q(4)) were 0.75 (95% CI: 0.58-0.96), 0.59 (95% CI: 0.44-0.79), and 0.62 (95% CI: 0.45-0.8), respectively. Compared with individuals in Q(1) of handgrip strength, the adjusted ORs for Q(2), Q(3), and Q(4) were 0.49 (95% CI: 0.38-0.62), 0.31 (95% CI: 0.23-0.41), and 0.30 (95% CI: 0.21-0.44), respectively. Conclusion Sarcopenia, identified by low handgrip strength and low calf circumference, was positively associated with cognitive impairment.</t>
        </is>
      </c>
      <c r="X1489" t="inlineStr">
        <is>
          <t>[Wu Bing; Zheng Xu Lin; Shen Chong; Shi Xiao Ming] Nanjing Med Univ, Ctr Global Hlth, Sch Publ Hlth, Nanjing 211166, Jiangsu, Peoples R China; [Wu Bing; Lyu Yue Bin; Cao Zhao Jin; Wei Yuan; Gao Xiang; Kraus, Virginia Byers; Zhao Feng; Zhang Ming Yuan; Liu Ying Chun; Tan Qi Yue; Song Shi Xun; Qu Ying Li; Zheng Xu Lin; Shi Xiao Ming] Chinese Ctr Dis Control &amp; Prevent, Natl Inst Environm Hlth, China CDC Key Lab Environm &amp; Populat Hlth, Beijing 100021, Peoples R China; [Wei Yuan; Zhao Feng; Zhang Ming Yuan; Tan Qi Yue] Jilin Univ, Sch Publ Hlth, Changchun 130012, Jilin, Peoples R China; [Shi Wan Ying] Penn State Univ, Dept Nutr Sci, University Pk, PA 19019 USA; [Zhou Jin Hui] Duke Univ, Sch Med, Duke Mol Physiol Inst, Durham, NC 27701 USA; [Zhou Jin Hui] Duke Univ, Sch Med, Dept Med, Durham, NC 27701 USA; [Chen Xin; Lu Feng] Beijing Municipal Hlth Commiss Informat Ctr, Beijing 100034, Peoples R China; [Mao Chen] Southern Med Univ, Sch Publ Hlth, Div Epidemiol, Guangzhou 510515, Guangdong, Peoples R China</t>
        </is>
      </c>
      <c r="Y1489" t="inlineStr">
        <is>
          <t>Nanjing Medical University; Chinese Center for Disease Control &amp; Prevention; National Institute of Environmental Health, Chinese Center for Disease Control &amp; Prevention; Jilin University; Pennsylvania Commonwealth System of Higher Education (PCSHE); Pennsylvania State University; Pennsylvania State University - University Park; Duke University; Duke University; Southern Medical University - China</t>
        </is>
      </c>
      <c r="Z1489" t="inlineStr">
        <is>
          <t>Shi, XM (corresponding author), Nanjing Med Univ, Ctr Global Hlth, Sch Publ Hlth, Nanjing 211166, Jiangsu, Peoples R China.;Shi, XM (corresponding author), Chinese Ctr Dis Control &amp; Prevent, Natl Inst Environm Hlth, China CDC Key Lab Environm &amp; Populat Hlth, Beijing 100021, Peoples R China.;Mao, C (corresponding author), Southern Med Univ, Sch Publ Hlth, Div Epidemiol, Guangzhou 510515, Guangdong, Peoples R China.</t>
        </is>
      </c>
      <c r="AA1489" t="inlineStr">
        <is>
          <t>maochen9@smu.edu.cn; shixm@chinacdc.cn</t>
        </is>
      </c>
      <c r="AB1489" t="inlineStr">
        <is>
          <t>liu, ying/GXF-4294-2022; Wu, Bing/H-8245-2014; LIU, YING/GZL-7252-2022; Zhou, Jinhui/AGE-4389-2022; zhou, yang/JED-3951-2023</t>
        </is>
      </c>
      <c r="AC1489" t="inlineStr">
        <is>
          <t>Wu, Bing/0000-0001-7117-580X; Mao, Chen/0000-0002-6537-6215</t>
        </is>
      </c>
      <c r="AD1489" t="inlineStr">
        <is>
          <t>National Natural Science Foundation of China [82025030, 81941023, 81872707, 81273160, 81573247]; National Science and Technology Planning Project [2018YFC2000300]; NIH/NIA [P30 AG028716]</t>
        </is>
      </c>
      <c r="AE1489" t="inlineStr">
        <is>
          <t>National Natural Science Foundation of China(National Natural Science Foundation of China (NSFC)); National Science and Technology Planning Project; NIH/NIA(United States Department of Health &amp; Human ServicesNational Institutes of Health (NIH) - USANIH National Institute on Aging (NIA))</t>
        </is>
      </c>
      <c r="AF1489" t="inlineStr">
        <is>
          <t>This study was supported by National Natural Science Foundation of China [82025030, 81941023, 81872707, 81273160 and 81573247] ; National Science and Technology Planning Project [2018YFC2000300] ; and NIH/NIA P30 AG028716.</t>
        </is>
      </c>
      <c r="AH1489" t="n">
        <v>57</v>
      </c>
      <c r="AI1489" t="n">
        <v>6</v>
      </c>
      <c r="AJ1489" t="n">
        <v>6</v>
      </c>
      <c r="AK1489" t="n">
        <v>5</v>
      </c>
      <c r="AL1489" t="n">
        <v>27</v>
      </c>
      <c r="AM1489" t="inlineStr">
        <is>
          <t>CHINESE CENTER DISEASE CONTROL &amp; PREVENTION</t>
        </is>
      </c>
      <c r="AN1489" t="inlineStr">
        <is>
          <t>BEIJING</t>
        </is>
      </c>
      <c r="AO1489" t="inlineStr">
        <is>
          <t>155 CHANGBAI RD, CHANGPING DISTRICT, BEIJING, 102206, PEOPLES R CHINA</t>
        </is>
      </c>
      <c r="AP1489" t="inlineStr">
        <is>
          <t>0895-3988</t>
        </is>
      </c>
      <c r="AQ1489" t="inlineStr">
        <is>
          <t>2214-0190</t>
        </is>
      </c>
      <c r="AS1489" t="inlineStr">
        <is>
          <t>BIOMED ENVIRON SCI</t>
        </is>
      </c>
      <c r="AT1489" t="inlineStr">
        <is>
          <t>Biomed. Environ. Sci.</t>
        </is>
      </c>
      <c r="AU1489" t="inlineStr">
        <is>
          <t>NOV</t>
        </is>
      </c>
      <c r="AV1489" t="n">
        <v>2021</v>
      </c>
      <c r="AW1489" t="n">
        <v>34</v>
      </c>
      <c r="AX1489" t="n">
        <v>11</v>
      </c>
      <c r="BC1489" t="n">
        <v>859</v>
      </c>
      <c r="BD1489" t="inlineStr">
        <is>
          <t>+</t>
        </is>
      </c>
      <c r="BF1489" t="inlineStr">
        <is>
          <t>10.3967/bes2021.119</t>
        </is>
      </c>
      <c r="BG1489">
        <f>HYPERLINK("http://dx.doi.org/10.3967/bes2021.119","http://dx.doi.org/10.3967/bes2021.119")</f>
        <v/>
      </c>
      <c r="BJ1489" t="n">
        <v>17</v>
      </c>
      <c r="BK1489" t="inlineStr">
        <is>
          <t>Environmental Sciences; Public, Environmental &amp; Occupational Health</t>
        </is>
      </c>
      <c r="BL1489" t="inlineStr">
        <is>
          <t>Science Citation Index Expanded (SCI-EXPANDED)</t>
        </is>
      </c>
      <c r="BM1489" t="inlineStr">
        <is>
          <t>Environmental Sciences &amp; Ecology; Public, Environmental &amp; Occupational Health</t>
        </is>
      </c>
      <c r="BN1489" t="inlineStr">
        <is>
          <t>XR8EB</t>
        </is>
      </c>
      <c r="BO1489" t="n">
        <v>34955146</v>
      </c>
      <c r="BS1489" t="inlineStr">
        <is>
          <t>2023-10-26</t>
        </is>
      </c>
      <c r="BT1489" t="inlineStr">
        <is>
          <t>WOS:000732454100002</t>
        </is>
      </c>
      <c r="BU1489">
        <f>HYPERLINK("https%3A%2F%2Fwww.webofscience.com%2Fwos%2Fwoscc%2Ffull-record%2FWOS:000732454100002","View Full Record in Web of Science")</f>
        <v/>
      </c>
    </row>
    <row r="1490">
      <c r="A1490" t="inlineStr">
        <is>
          <t>J</t>
        </is>
      </c>
      <c r="B1490" t="inlineStr">
        <is>
          <t>Noh, Y; Boor, BE; Shannahan, JH; Troy, CD; Jafvert, CT; Whelton, AJ</t>
        </is>
      </c>
      <c r="F1490" t="inlineStr">
        <is>
          <t>Noh, Yoorae; Boor, Brandon E.; Shannahan, Jonathan H.; Troy, Cary D.; Jafvert, Chad T.; Whelton, Andrew J.</t>
        </is>
      </c>
      <c r="J1490" t="inlineStr">
        <is>
          <t>JOURNAL OF HAZARDOUS MATERIALS</t>
        </is>
      </c>
      <c r="M1490" t="inlineStr">
        <is>
          <t>English</t>
        </is>
      </c>
      <c r="N1490" t="inlineStr">
        <is>
          <t>Article</t>
        </is>
      </c>
      <c r="T1490" t="inlineStr">
        <is>
          <t>Emergency responder and public health considerations for plastic sewer lining chemical waste exposures in indoor environments</t>
        </is>
      </c>
      <c r="U1490" t="inlineStr">
        <is>
          <t>Sewer repair; Plumbing; Vapor intrusion; Styrene; Volatile chemical products; Building ventilation</t>
        </is>
      </c>
      <c r="V1490" t="inlineStr">
        <is>
          <t>VOLATILE ORGANIC-COMPOUNDS; AIR EXCHANGE-RATES; VAPOR INTRUSION; GAS; EMISSIONS; SORPTION; WATER; MODEL; FLOW; VOCS</t>
        </is>
      </c>
      <c r="W1490" t="inlineStr">
        <is>
          <t>The cured-in-place pipe (CIPP) manufacturing process is used to repair buried pipes, and it's waste commonly discharged into the air can enter nearby buildings. Exposure can prompt illness and need for medical care. A mass balance model was applied to estimate indoor styrene concentrations due to intrusion of CIPP emissions through plumbing under different bathroom ventilation conditions. To better understand building contamination and recommend emergency response actions, calculations to estimate chemical intrusion through plumbing were developed. Field reports and study calculations showed that contractor-applied external pressures during plastic manufacture have and can displace plumbing trap water seals. Modeled styrene vapor concentrations that entered the building (1, 300, 1000 ppm) were similar to those measured at CIPP worksites. Modeling revealed that in some cases, bathroom exhaust fan operation during a CIPP project may increase indoor styrene concentrations due to enhanced entrainment of styrene-laden air from the sink and toilet. However, styrene concentrations decreased with increasing air leakage across the bathroom door due to reduced suction from the plumbing system. CIPP waste discharges should be treated as hazardous material releases and can pose a threat to human health. Immediate building evacuation, respiratory protection, provision of medical assistance, source elimination, and building decontamination are recommended.</t>
        </is>
      </c>
      <c r="X1490" t="inlineStr">
        <is>
          <t>[Noh, Yoorae; Boor, Brandon E.; Troy, Cary D.; Jafvert, Chad T.; Whelton, Andrew J.] Purdue Univ, Lyles Sch Civil Engn, 550 Stadium Mall Dr, W Lafayette, IN 47907 USA; [Shannahan, Jonathan H.] Purdue Univ, Sch Hlth Sci, 550 Stadium Mall Dr, W Lafayette, IN 47907 USA; [Jafvert, Chad T.; Whelton, Andrew J.] Purdue Univ, Div Ecol &amp; Environm Engn, 550 Stadium Mall Dr, W Lafayette, IN 47907 USA</t>
        </is>
      </c>
      <c r="Y1490" t="inlineStr">
        <is>
          <t>Purdue University System; Purdue University West Lafayette Campus; Purdue University; Purdue University System; Purdue University West Lafayette Campus; Purdue University; Purdue University System; Purdue University; Purdue University West Lafayette Campus</t>
        </is>
      </c>
      <c r="Z1490" t="inlineStr">
        <is>
          <t>Boor, BE; Whelton, AJ (corresponding author), Purdue Univ, Lyles Sch Civil Engn, 550 Stadium Mall Dr, W Lafayette, IN 47907 USA.;Whelton, AJ (corresponding author), Purdue Univ, Div Ecol &amp; Environm Engn, 550 Stadium Mall Dr, W Lafayette, IN 47907 USA.</t>
        </is>
      </c>
      <c r="AA1490" t="inlineStr">
        <is>
          <t>bboor@purdue.edu; awhelton@purdue.edu</t>
        </is>
      </c>
      <c r="AC1490" t="inlineStr">
        <is>
          <t>Troy, Cary/0000-0001-9115-6323</t>
        </is>
      </c>
      <c r="AD1490" t="inlineStr">
        <is>
          <t>National Institute of Environmental Health Sciences (NIEHS) [R03/ES030783]; National Science Foundation [CBET-2129166]; Purdue University Ross Graduate Fellowship program</t>
        </is>
      </c>
      <c r="AE1490" t="inlineStr">
        <is>
          <t>National Institute of Environmental Health Sciences (NIEHS)(United States Department of Health &amp; Human ServicesNational Institutes of Health (NIH) - USANIH National Institute of Environmental Health Sciences (NIEHS)); National Science Foundation(National Science Foundation (NSF)); Purdue University Ross Graduate Fellowship program</t>
        </is>
      </c>
      <c r="AF1490" t="inlineStr">
        <is>
          <t>This work was supported by the National Institute of Environmental Health Sciences (NIEHS) R03/ES030783, National Science Foundation (CBET-2129166) , and the Purdue University Ross Graduate Fellowship program.</t>
        </is>
      </c>
      <c r="AH1490" t="n">
        <v>127</v>
      </c>
      <c r="AI1490" t="n">
        <v>8</v>
      </c>
      <c r="AJ1490" t="n">
        <v>8</v>
      </c>
      <c r="AK1490" t="n">
        <v>1</v>
      </c>
      <c r="AL1490" t="n">
        <v>21</v>
      </c>
      <c r="AM1490" t="inlineStr">
        <is>
          <t>ELSEVIER</t>
        </is>
      </c>
      <c r="AN1490" t="inlineStr">
        <is>
          <t>AMSTERDAM</t>
        </is>
      </c>
      <c r="AO1490" t="inlineStr">
        <is>
          <t>RADARWEG 29, 1043 NX AMSTERDAM, NETHERLANDS</t>
        </is>
      </c>
      <c r="AP1490" t="inlineStr">
        <is>
          <t>0304-3894</t>
        </is>
      </c>
      <c r="AQ1490" t="inlineStr">
        <is>
          <t>1873-3336</t>
        </is>
      </c>
      <c r="AS1490" t="inlineStr">
        <is>
          <t>J HAZARD MATER</t>
        </is>
      </c>
      <c r="AT1490" t="inlineStr">
        <is>
          <t>J. Hazard. Mater.</t>
        </is>
      </c>
      <c r="AU1490" t="inlineStr">
        <is>
          <t>JAN 15</t>
        </is>
      </c>
      <c r="AV1490" t="n">
        <v>2022</v>
      </c>
      <c r="AW1490" t="n">
        <v>422</v>
      </c>
      <c r="BE1490" t="n">
        <v>126832</v>
      </c>
      <c r="BF1490" t="inlineStr">
        <is>
          <t>10.1016/j.jhazmat.2021.126832</t>
        </is>
      </c>
      <c r="BG1490">
        <f>HYPERLINK("http://dx.doi.org/10.1016/j.jhazmat.2021.126832","http://dx.doi.org/10.1016/j.jhazmat.2021.126832")</f>
        <v/>
      </c>
      <c r="BI1490" t="inlineStr">
        <is>
          <t>AUG 2021</t>
        </is>
      </c>
      <c r="BJ1490" t="n">
        <v>14</v>
      </c>
      <c r="BK1490" t="inlineStr">
        <is>
          <t>Engineering, Environmental; Environmental Sciences</t>
        </is>
      </c>
      <c r="BL1490" t="inlineStr">
        <is>
          <t>Science Citation Index Expanded (SCI-EXPANDED)</t>
        </is>
      </c>
      <c r="BM1490" t="inlineStr">
        <is>
          <t>Engineering; Environmental Sciences &amp; Ecology</t>
        </is>
      </c>
      <c r="BN1490" t="inlineStr">
        <is>
          <t>UR7UN</t>
        </is>
      </c>
      <c r="BO1490" t="n">
        <v>34449354</v>
      </c>
      <c r="BP1490" t="inlineStr">
        <is>
          <t>hybrid, Green Accepted</t>
        </is>
      </c>
      <c r="BS1490" t="inlineStr">
        <is>
          <t>2023-10-26</t>
        </is>
      </c>
      <c r="BT1490" t="inlineStr">
        <is>
          <t>WOS:000696949600001</t>
        </is>
      </c>
      <c r="BU1490">
        <f>HYPERLINK("https%3A%2F%2Fwww.webofscience.com%2Fwos%2Fwoscc%2Ffull-record%2FWOS:000696949600001","View Full Record in Web of Science")</f>
        <v/>
      </c>
    </row>
    <row r="1491">
      <c r="A1491" t="inlineStr">
        <is>
          <t>J</t>
        </is>
      </c>
      <c r="B1491" t="inlineStr">
        <is>
          <t>Amoatey, P; Omidvarborna, H; Al-Jabri, K; Al-Harthy, I; Baawain, MS; Al-Mamun, A</t>
        </is>
      </c>
      <c r="F1491" t="inlineStr">
        <is>
          <t>Amoatey, Patrick; Omidvarborna, Hamid; Al-Jabri, Khalifa; Al-Harthy, Issa; Baawain, Mahad Said; Al-Mamun, Abdullah</t>
        </is>
      </c>
      <c r="J1491" t="inlineStr">
        <is>
          <t>AEROSOL SCIENCE AND ENGINEERING</t>
        </is>
      </c>
      <c r="M1491" t="inlineStr">
        <is>
          <t>English</t>
        </is>
      </c>
      <c r="N1491" t="inlineStr">
        <is>
          <t>Article</t>
        </is>
      </c>
      <c r="T1491" t="inlineStr">
        <is>
          <t>Deposition Modeling of Airborne Particulate Matter on Human Respiratory Tract During Winter Seasons in Arid-Urban Environment</t>
        </is>
      </c>
      <c r="U1491" t="inlineStr">
        <is>
          <t>Particulate matter; MPPD model; Particle deposition; Respiratory tract; Arid-urban environment</t>
        </is>
      </c>
      <c r="V1491" t="inlineStr">
        <is>
          <t>OBSTRUCTIVE PULMONARY-DISEASE; LONG-TERM EXPOSURE; AIR-POLLUTION; DIABETES-MELLITUS; ULTRAFINE PARTICLES; SULFUR-DIOXIDE; HEART-DISEASE; LUNG-FUNCTION; HEALTH; PM2.5</t>
        </is>
      </c>
      <c r="W1491" t="inlineStr">
        <is>
          <t>This study aimed to predict winter season street-level ambient particulate matter (PM) depositions within human airways using Multiple-Path Particle Dosimetry (MPPD) model. The PM exposure concentrations in the downtown street of As-Seeb, Oman were measured continuously over 20 days (31 October-9 December 2018) using a mobile ambient air quality monitoring instrument equipped with sensors. The MPPD model together with the associated default respiratory parameters was implemented to quantify the total, head, tracheobronchial (TB), and pulmonary (PL) regional PM depositions in airways among children (3, 8, and 14 years old) and adults (18 and 21 years old) groups. The street-level PM exposure concentration (mu g/m(3)) levels for PM10 (avg 69.64; IQR 15.1), PM2.5 (avg 13.76; IQR 1.36) and PM1 (avg 3.67; IQR 0.52) was obtained during the winter season. The average 24-H PM2.5 (14 mu g/m3) concentration was about 60, 50 and 44% lower when compared to US National Ambient Air Quality Standards (NAAQS), Canadian Ambient Air Quality Standard (CAAQS), and WHO daily ceilings of 35, 28 and 25 mu g/m(3), respectively. Across all the age groups, the total airways deposition was found to be very high in PM10 (92-99%), followed by PM2.5 (61-76%) and PM1 (33-49%) being the least. Similarly, the average deposition of PM10 in the head region (76%) was observed to be more than 4-15 times higher than TB (16%) and PL (4%) for all ages. Children recorded higher PM2.5 depositions in the TB (53-59%) region compared to adults (TB 47-51%). The PM10 lobar deposition of 8-year-old children is more than 7 times higher compared to 21-year-old adults due to their lower breathing heights and higher breathing rates. In general, PM clearance was very high in TB and poor in the alveolar region.</t>
        </is>
      </c>
      <c r="X1491" t="inlineStr">
        <is>
          <t>[Amoatey, Patrick; Al-Jabri, Khalifa; Al-Harthy, Issa; Al-Mamun, Abdullah] Sultan Qaboos Univ, Coll Engn, Dept Civil &amp; Architectural Engn, POB 33, Muscat 123, Oman; [Omidvarborna, Hamid] Univ Surrey, Fac Engn &amp; Phys Sci, Global Ctr Clean Air Res, Dept Civil &amp; Environm Engn, Guildford GU2 7XH, Surrey, England; [Baawain, Mahad Said] Minist Labor, POB 413, Muscat 100, Oman</t>
        </is>
      </c>
      <c r="Y1491" t="inlineStr">
        <is>
          <t>Sultan Qaboos University; University of Surrey</t>
        </is>
      </c>
      <c r="Z1491" t="inlineStr">
        <is>
          <t>Al-Jabri, K (corresponding author), Sultan Qaboos Univ, Coll Engn, Dept Civil &amp; Architectural Engn, POB 33, Muscat 123, Oman.</t>
        </is>
      </c>
      <c r="AA1491" t="inlineStr">
        <is>
          <t>aljabri@squ.edu.om</t>
        </is>
      </c>
      <c r="AB1491" t="inlineStr">
        <is>
          <t>Al-Mamun, Abdullah/ABH-8121-2020; Baawain, Mahad/S-8010-2019</t>
        </is>
      </c>
      <c r="AC1491" t="inlineStr">
        <is>
          <t>Al-Mamun, Abdullah/0000-0002-5642-2945; Baawain, Mahad/0000-0001-5239-4839; Amoatey (HDR Student, UQ), Patrick/0000-0003-2995-5399</t>
        </is>
      </c>
      <c r="AD1491" t="inlineStr">
        <is>
          <t>Sultan Qaboos University [CR/ENG/CAED/16/04]</t>
        </is>
      </c>
      <c r="AE1491" t="inlineStr">
        <is>
          <t>Sultan Qaboos University</t>
        </is>
      </c>
      <c r="AF1491" t="inlineStr">
        <is>
          <t>The authors wish to acknowledge the funding support provided by Sultan Qaboos University under Grant No. CR/ENG/CAED/16/04.</t>
        </is>
      </c>
      <c r="AH1491" t="n">
        <v>79</v>
      </c>
      <c r="AI1491" t="n">
        <v>4</v>
      </c>
      <c r="AJ1491" t="n">
        <v>4</v>
      </c>
      <c r="AK1491" t="n">
        <v>3</v>
      </c>
      <c r="AL1491" t="n">
        <v>17</v>
      </c>
      <c r="AM1491" t="inlineStr">
        <is>
          <t>SPRINGERNATURE</t>
        </is>
      </c>
      <c r="AN1491" t="inlineStr">
        <is>
          <t>LONDON</t>
        </is>
      </c>
      <c r="AO1491" t="inlineStr">
        <is>
          <t>CAMPUS, 4 CRINAN ST, LONDON, N1 9XW, ENGLAND</t>
        </is>
      </c>
      <c r="AP1491" t="inlineStr">
        <is>
          <t>2510-375X</t>
        </is>
      </c>
      <c r="AQ1491" t="inlineStr">
        <is>
          <t>2510-3768</t>
        </is>
      </c>
      <c r="AS1491" t="inlineStr">
        <is>
          <t>AEROSOL SCI ENG</t>
        </is>
      </c>
      <c r="AT1491" t="inlineStr">
        <is>
          <t>Aerosol Sci. Eng.</t>
        </is>
      </c>
      <c r="AU1491" t="inlineStr">
        <is>
          <t>MAR</t>
        </is>
      </c>
      <c r="AV1491" t="n">
        <v>2022</v>
      </c>
      <c r="AW1491" t="n">
        <v>6</v>
      </c>
      <c r="AX1491" t="n">
        <v>1</v>
      </c>
      <c r="BC1491" t="n">
        <v>71</v>
      </c>
      <c r="BD1491" t="n">
        <v>85</v>
      </c>
      <c r="BF1491" t="inlineStr">
        <is>
          <t>10.1007/s41810-021-00125-2</t>
        </is>
      </c>
      <c r="BG1491">
        <f>HYPERLINK("http://dx.doi.org/10.1007/s41810-021-00125-2","http://dx.doi.org/10.1007/s41810-021-00125-2")</f>
        <v/>
      </c>
      <c r="BI1491" t="inlineStr">
        <is>
          <t>JAN 2022</t>
        </is>
      </c>
      <c r="BJ1491" t="n">
        <v>15</v>
      </c>
      <c r="BK1491" t="inlineStr">
        <is>
          <t>Environmental Sciences</t>
        </is>
      </c>
      <c r="BL1491" t="inlineStr">
        <is>
          <t>Emerging Sources Citation Index (ESCI)</t>
        </is>
      </c>
      <c r="BM1491" t="inlineStr">
        <is>
          <t>Environmental Sciences &amp; Ecology</t>
        </is>
      </c>
      <c r="BN1491" t="inlineStr">
        <is>
          <t>YZ0CG</t>
        </is>
      </c>
      <c r="BS1491" t="inlineStr">
        <is>
          <t>2023-10-26</t>
        </is>
      </c>
      <c r="BT1491" t="inlineStr">
        <is>
          <t>WOS:000749047800001</t>
        </is>
      </c>
      <c r="BU1491">
        <f>HYPERLINK("https%3A%2F%2Fwww.webofscience.com%2Fwos%2Fwoscc%2Ffull-record%2FWOS:000749047800001","View Full Record in Web of Science")</f>
        <v/>
      </c>
    </row>
    <row r="1492">
      <c r="A1492" t="inlineStr">
        <is>
          <t>J</t>
        </is>
      </c>
      <c r="B1492" t="inlineStr">
        <is>
          <t>Zhang, JY; Lu, N; Wang, WX</t>
        </is>
      </c>
      <c r="F1492" t="inlineStr">
        <is>
          <t>Zhang, Jingyue; Lu, Nan; Wang, Wenxiu</t>
        </is>
      </c>
      <c r="J1492" t="inlineStr">
        <is>
          <t>INTERNATIONAL JOURNAL OF ENVIRONMENTAL RESEARCH AND PUBLIC HEALTH</t>
        </is>
      </c>
      <c r="M1492" t="inlineStr">
        <is>
          <t>English</t>
        </is>
      </c>
      <c r="N1492" t="inlineStr">
        <is>
          <t>Article</t>
        </is>
      </c>
      <c r="T1492" t="inlineStr">
        <is>
          <t>Does Education Moderate the Relationship between Social Capital and Cognitive Function among Older Adults? Evidence from Suzhou City, China</t>
        </is>
      </c>
      <c r="U1492" t="inlineStr">
        <is>
          <t>Social capital; cognitive function; older adults; urban China</t>
        </is>
      </c>
      <c r="V1492" t="inlineStr">
        <is>
          <t>METAANALYSIS; PEOPLE; HEALTH; RISK</t>
        </is>
      </c>
      <c r="W1492" t="inlineStr">
        <is>
          <t>While social capital is recognized as an important protective determinant of cognitive function in later life, there is a lack of research examining the potential moderators and mediators in the mechanisms linking social capital to cognitive function. This study investigated the moderating role of education on the relationship between social capital and cognitive function among older adults in urban Chinese communities. Data were derived from a community survey conducted in Suzhou, Jiangsu Province, China, in late 2015. A quota sampling method was applied to recruit respondents aged 60 years or older from 16 communities in the Gusu district. The final analytic sample size was 446. Multiple group analysis was applied to test the proposed model. The results show that cognitive social capital was significantly associated with cognitive function in the high education group only. Structural social capital was not significantly associated with cognitive function. The findings highlight the important role of social capital in influencing cognitive function in later life. Social capital interventions could be particularly useful as a preventive approach to help older adults sustain their cognitive function levels. Policy and intervention implications are discussed.</t>
        </is>
      </c>
      <c r="X1492" t="inlineStr">
        <is>
          <t>[Zhang, Jingyue] Changchun Normal Univ, Inst Gender &amp; Culture, Changchun 130032, Peoples R China; [Zhang, Jingyue] Jilin Univ, Sch Philosophy &amp; Sociol, Dept Sociol, Changchun 130012, Peoples R China; [Lu, Nan] Renmin Univ China, Sch Sociol &amp; Populat Studies, Dept Social Work &amp; Social Policy, Beijing 100872, Peoples R China; [Lu, Nan] Univ Hong Kong, Sau Po Ctr Ageing, Hong Kong, Peoples R China; [Wang, Wenxiu] Jilin Univ, Northeast Asian Studies Coll, Dept Populat Resources &amp; Environm, Changchun 130012, Peoples R China</t>
        </is>
      </c>
      <c r="Y1492" t="inlineStr">
        <is>
          <t>Changchun Normal University; Jilin University; Renmin University of China; University of Hong Kong; Jilin University</t>
        </is>
      </c>
      <c r="Z1492" t="inlineStr">
        <is>
          <t>Lu, N (corresponding author), Renmin Univ China, Sch Sociol &amp; Populat Studies, Dept Social Work &amp; Social Policy, Beijing 100872, Peoples R China.;Lu, N (corresponding author), Univ Hong Kong, Sau Po Ctr Ageing, Hong Kong, Peoples R China.</t>
        </is>
      </c>
      <c r="AA1492" t="inlineStr">
        <is>
          <t>zhangjingyue@ccsfu.edu.cn; nalv9728@ruc.edu.cn; zjyz13@mails.jlu.edu.cn</t>
        </is>
      </c>
      <c r="AB1492" t="inlineStr">
        <is>
          <t>Lu, Nan/R-7679-2019</t>
        </is>
      </c>
      <c r="AC1492" t="inlineStr">
        <is>
          <t>Lu, Nan/0000-0001-9006-6254; Zhang, Jingyue/0000-0002-7137-9148</t>
        </is>
      </c>
      <c r="AD1492" t="inlineStr">
        <is>
          <t>Fundamental Research Funds for the Central Universities; Research Funds of Renmin University of China [20XNA022]</t>
        </is>
      </c>
      <c r="AE1492" t="inlineStr">
        <is>
          <t>Fundamental Research Funds for the Central Universities(Fundamental Research Funds for the Central Universities); Research Funds of Renmin University of China</t>
        </is>
      </c>
      <c r="AF1492" t="inlineStr">
        <is>
          <t>This study was supported by the Fundamental Research Funds for the Central Universities and the Research Funds of Renmin University of China (20XNA022).</t>
        </is>
      </c>
      <c r="AH1492" t="n">
        <v>41</v>
      </c>
      <c r="AI1492" t="n">
        <v>3</v>
      </c>
      <c r="AJ1492" t="n">
        <v>3</v>
      </c>
      <c r="AK1492" t="n">
        <v>5</v>
      </c>
      <c r="AL1492" t="n">
        <v>18</v>
      </c>
      <c r="AM1492" t="inlineStr">
        <is>
          <t>MDPI</t>
        </is>
      </c>
      <c r="AN1492" t="inlineStr">
        <is>
          <t>BASEL</t>
        </is>
      </c>
      <c r="AO1492" t="inlineStr">
        <is>
          <t>ST ALBAN-ANLAGE 66, CH-4052 BASEL, SWITZERLAND</t>
        </is>
      </c>
      <c r="AQ1492" t="inlineStr">
        <is>
          <t>1660-4601</t>
        </is>
      </c>
      <c r="AS1492" t="inlineStr">
        <is>
          <t>INT J ENV RES PUB HE</t>
        </is>
      </c>
      <c r="AT1492" t="inlineStr">
        <is>
          <t>Int. J. Environ. Res. Public Health</t>
        </is>
      </c>
      <c r="AU1492" t="inlineStr">
        <is>
          <t>SEP</t>
        </is>
      </c>
      <c r="AV1492" t="n">
        <v>2020</v>
      </c>
      <c r="AW1492" t="n">
        <v>17</v>
      </c>
      <c r="AX1492" t="n">
        <v>18</v>
      </c>
      <c r="BE1492" t="n">
        <v>6560</v>
      </c>
      <c r="BF1492" t="inlineStr">
        <is>
          <t>10.3390/ijerph17186560</t>
        </is>
      </c>
      <c r="BG1492">
        <f>HYPERLINK("http://dx.doi.org/10.3390/ijerph17186560","http://dx.doi.org/10.3390/ijerph17186560")</f>
        <v/>
      </c>
      <c r="BJ1492" t="n">
        <v>11</v>
      </c>
      <c r="BK1492" t="inlineStr">
        <is>
          <t>Environmental Sciences; Public, Environmental &amp; Occupational Health</t>
        </is>
      </c>
      <c r="BL1492" t="inlineStr">
        <is>
          <t>Science Citation Index Expanded (SCI-EXPANDED); Social Science Citation Index (SSCI)</t>
        </is>
      </c>
      <c r="BM1492" t="inlineStr">
        <is>
          <t>Environmental Sciences &amp; Ecology; Public, Environmental &amp; Occupational Health</t>
        </is>
      </c>
      <c r="BN1492" t="inlineStr">
        <is>
          <t>OF5MA</t>
        </is>
      </c>
      <c r="BO1492" t="n">
        <v>32916917</v>
      </c>
      <c r="BP1492" t="inlineStr">
        <is>
          <t>gold, Green Published</t>
        </is>
      </c>
      <c r="BS1492" t="inlineStr">
        <is>
          <t>2023-10-26</t>
        </is>
      </c>
      <c r="BT1492" t="inlineStr">
        <is>
          <t>WOS:000581250400001</t>
        </is>
      </c>
      <c r="BU1492">
        <f>HYPERLINK("https%3A%2F%2Fwww.webofscience.com%2Fwos%2Fwoscc%2Ffull-record%2FWOS:000581250400001","View Full Record in Web of Science")</f>
        <v/>
      </c>
    </row>
    <row r="1493">
      <c r="A1493" t="inlineStr">
        <is>
          <t>J</t>
        </is>
      </c>
      <c r="B1493" t="inlineStr">
        <is>
          <t>Kang, S; Pai, CK; Kim, D</t>
        </is>
      </c>
      <c r="F1493" t="inlineStr">
        <is>
          <t>Kang, Sangguk; Pai, Chen-Kuo; Kim, Donghan</t>
        </is>
      </c>
      <c r="J1493" t="inlineStr">
        <is>
          <t>SUSTAINABILITY</t>
        </is>
      </c>
      <c r="M1493" t="inlineStr">
        <is>
          <t>English</t>
        </is>
      </c>
      <c r="N1493" t="inlineStr">
        <is>
          <t>Article</t>
        </is>
      </c>
      <c r="T1493" t="inlineStr">
        <is>
          <t>The Role of Chronological Age, Health, and Basic Psychological Needs for Older Adults' Travel Intention</t>
        </is>
      </c>
      <c r="U1493" t="inlineStr">
        <is>
          <t>chronological age; physical health; mental health; competence; autonomy; relatedness; older adults; travel</t>
        </is>
      </c>
      <c r="V1493" t="inlineStr">
        <is>
          <t>QUALITY-OF-LIFE; PHYSICAL-ACTIVITY; CONSTRAINTS; SATISFACTION; MOTIVATIONS; BEHAVIOR; SENIORS; PAIN</t>
        </is>
      </c>
      <c r="W1493" t="inlineStr">
        <is>
          <t>This study examined how demographic information, chronological age, older adults' physical and mental health, and basic psychological needs affected travel intention. The survey samples were collected from 577 adults, all over 60 years of age. A hierarchical multiple regression analysis was used to test the proposed hypotheses. First, demographic information with chronological age was used for primary analysis. The outcome indicated that chronological age was negatively associated with travel intention while all other demographic variables were not. Secondly, when physical and mental health condition variables were added, physical health positively affected travel intention while chronological age still negatively affected travel intention. Thirdly, psychological needs (autonomy, competence, relatedness) for travel were included in the final analysis. The outcome showed that all psychological needs variables had a significant impact on travel intention for those with a physical health condition. However, chronological age was not a significant factor in travel intention during this analysis. This study shows that chronological age is not always an important factor that affects older adults' travel intention when other health and psychological variables are considered. This study provides some practical implications and tips for travel industry managers who are targeting the aging population.</t>
        </is>
      </c>
      <c r="X1493" t="inlineStr">
        <is>
          <t>[Kang, Sangguk; Pai, Chen-Kuo] Macau Univ Sci &amp; Technol, Fac Hospitality &amp; Tourism Management, Taipa, Macao, Peoples R China; [Kim, Donghan] Kyung Hee Univ, Coll Hotel &amp; Tourism Management, Seoul 02447, South Korea</t>
        </is>
      </c>
      <c r="Y1493" t="inlineStr">
        <is>
          <t>Macau University of Science &amp; Technology; Kyung Hee University</t>
        </is>
      </c>
      <c r="Z1493" t="inlineStr">
        <is>
          <t>Kim, D (corresponding author), Kyung Hee Univ, Coll Hotel &amp; Tourism Management, Seoul 02447, South Korea.</t>
        </is>
      </c>
      <c r="AA1493" t="inlineStr">
        <is>
          <t>ksangguk@must.edu.mo; ckpai@must.edu.mo; kimdh@khu.ac.kr</t>
        </is>
      </c>
      <c r="AH1493" t="n">
        <v>36</v>
      </c>
      <c r="AI1493" t="n">
        <v>2</v>
      </c>
      <c r="AJ1493" t="n">
        <v>2</v>
      </c>
      <c r="AK1493" t="n">
        <v>7</v>
      </c>
      <c r="AL1493" t="n">
        <v>22</v>
      </c>
      <c r="AM1493" t="inlineStr">
        <is>
          <t>MDPI</t>
        </is>
      </c>
      <c r="AN1493" t="inlineStr">
        <is>
          <t>BASEL</t>
        </is>
      </c>
      <c r="AO1493" t="inlineStr">
        <is>
          <t>ST ALBAN-ANLAGE 66, CH-4052 BASEL, SWITZERLAND</t>
        </is>
      </c>
      <c r="AQ1493" t="inlineStr">
        <is>
          <t>2071-1050</t>
        </is>
      </c>
      <c r="AS1493" t="inlineStr">
        <is>
          <t>SUSTAINABILITY-BASEL</t>
        </is>
      </c>
      <c r="AT1493" t="inlineStr">
        <is>
          <t>Sustainability</t>
        </is>
      </c>
      <c r="AU1493" t="inlineStr">
        <is>
          <t>DEC</t>
        </is>
      </c>
      <c r="AV1493" t="n">
        <v>2019</v>
      </c>
      <c r="AW1493" t="n">
        <v>11</v>
      </c>
      <c r="AX1493" t="n">
        <v>23</v>
      </c>
      <c r="BE1493" t="n">
        <v>6864</v>
      </c>
      <c r="BF1493" t="inlineStr">
        <is>
          <t>10.3390/su11236864</t>
        </is>
      </c>
      <c r="BG1493">
        <f>HYPERLINK("http://dx.doi.org/10.3390/su11236864","http://dx.doi.org/10.3390/su11236864")</f>
        <v/>
      </c>
      <c r="BJ1493" t="n">
        <v>13</v>
      </c>
      <c r="BK1493" t="inlineStr">
        <is>
          <t>Green &amp; Sustainable Science &amp; Technology; Environmental Sciences; Environmental Studies</t>
        </is>
      </c>
      <c r="BL1493" t="inlineStr">
        <is>
          <t>Science Citation Index Expanded (SCI-EXPANDED); Social Science Citation Index (SSCI)</t>
        </is>
      </c>
      <c r="BM1493" t="inlineStr">
        <is>
          <t>Science &amp; Technology - Other Topics; Environmental Sciences &amp; Ecology</t>
        </is>
      </c>
      <c r="BN1493" t="inlineStr">
        <is>
          <t>KD9MV</t>
        </is>
      </c>
      <c r="BP1493" t="inlineStr">
        <is>
          <t>gold, Green Published</t>
        </is>
      </c>
      <c r="BS1493" t="inlineStr">
        <is>
          <t>2023-10-26</t>
        </is>
      </c>
      <c r="BT1493" t="inlineStr">
        <is>
          <t>WOS:000508186400336</t>
        </is>
      </c>
      <c r="BU1493">
        <f>HYPERLINK("https%3A%2F%2Fwww.webofscience.com%2Fwos%2Fwoscc%2Ffull-record%2FWOS:000508186400336","View Full Record in Web of Science")</f>
        <v/>
      </c>
    </row>
    <row r="1494">
      <c r="A1494" t="inlineStr">
        <is>
          <t>J</t>
        </is>
      </c>
      <c r="B1494" t="inlineStr">
        <is>
          <t>Qiu, YH; Wei, KG; Zhu, LJ; Wu, D; Jiao, C</t>
        </is>
      </c>
      <c r="F1494" t="inlineStr">
        <is>
          <t>Qiu, Yuehong; Wei, Kaigong; Zhu, Lijun; Wu, Dan; Jiao, Can</t>
        </is>
      </c>
      <c r="J1494" t="inlineStr">
        <is>
          <t>INTERNATIONAL JOURNAL OF ENVIRONMENTAL RESEARCH AND PUBLIC HEALTH</t>
        </is>
      </c>
      <c r="M1494" t="inlineStr">
        <is>
          <t>English</t>
        </is>
      </c>
      <c r="N1494" t="inlineStr">
        <is>
          <t>Article</t>
        </is>
      </c>
      <c r="T1494" t="inlineStr">
        <is>
          <t>The Association of Meteorological Factors with Cognitive Function in Older Adults</t>
        </is>
      </c>
      <c r="U1494" t="inlineStr">
        <is>
          <t>older age; cognitive function; meteorological variables; mixed effects model</t>
        </is>
      </c>
      <c r="V1494" t="inlineStr">
        <is>
          <t>AIR-POLLUTION; RELATIVE-HUMIDITY; CLIMATE-CHANGE; HEAT-STRESS; TEMPERATURE; PERFORMANCE; EXPOSURE; RESPONSES; IMPAIRMENT; DISEASE</t>
        </is>
      </c>
      <c r="W1494" t="inlineStr">
        <is>
          <t>Individual and meteorological factors are associated with cognitive function in older adults. However, how these two factors interact with each other to affect cognitive function in older adults is still unclear. We used mixed effects models to assess the association of individual and meteorological factors with cognitive function among older adults. Individual data in this study were from the database of China Family Panel Studies. A total of 3448 older adults from 25 provinces were included in our analysis. Cognitive functions were measured using a memory test and a logical sequence test. We used the meteorological data in the daily climate dataset of China's surface international exchange stations, and two meteorological factors (i.e., average temperature and relative humidity) were assessed. The empty model showed significant differences in the cognitive scores of the older adults across different provinces. The results showed a main impact of residence (i.e., urban or rural) and a significant humidity-residence interaction on memory performance in older adults. Specifically, the negative association between humidity and memory performance was more pronounced in urban areas. This study suggested that meteorological factors may, in concert with individual factors, be associated with differences in memory function in older adults.</t>
        </is>
      </c>
      <c r="X1494" t="inlineStr">
        <is>
          <t>[Qiu, Yuehong; Wei, Kaigong; Zhu, Lijun; Wu, Dan; Jiao, Can] Shenzhen Univ, Sch Psychol, Shenzhen 518052, Peoples R China; [Qiu, Yuehong; Wei, Kaigong; Zhu, Lijun; Jiao, Can] Shenzhen Univ, Inst Mental Hlth, Shenzhen 518052, Peoples R China</t>
        </is>
      </c>
      <c r="Y1494" t="inlineStr">
        <is>
          <t>Shenzhen University; Shenzhen University</t>
        </is>
      </c>
      <c r="Z1494" t="inlineStr">
        <is>
          <t>Jiao, C (corresponding author), Shenzhen Univ, Sch Psychol, Shenzhen 518052, Peoples R China.;Jiao, C (corresponding author), Shenzhen Univ, Inst Mental Hlth, Shenzhen 518052, Peoples R China.</t>
        </is>
      </c>
      <c r="AA1494" t="inlineStr">
        <is>
          <t>1950482005@email.szu.edu.cn; 2070481006@email.szu.edu.cn; zhulijunjxnu@163.com; wudan.tracy@szu.edu.cn; jiaocan@szu.edu.cn</t>
        </is>
      </c>
      <c r="AB1494" t="inlineStr">
        <is>
          <t>qiu, yue/IAN-7956-2023; Wu, Dan/AEQ-0432-2022</t>
        </is>
      </c>
      <c r="AC1494" t="inlineStr">
        <is>
          <t>Wu, Dan/0000-0003-0415-5467; Wu, Dan/0000-0003-0849-0297</t>
        </is>
      </c>
      <c r="AD1494" t="inlineStr">
        <is>
          <t>Key Research Projects of Colleges and Universities in Guangdong Province [2018WZXDM015]; Shenzhen Basic Research Grant [2019SHIBS0003]</t>
        </is>
      </c>
      <c r="AE1494" t="inlineStr">
        <is>
          <t>Key Research Projects of Colleges and Universities in Guangdong Province; Shenzhen Basic Research Grant</t>
        </is>
      </c>
      <c r="AF1494" t="inlineStr">
        <is>
          <t>This study was supported by Key Research Projects of Colleges and Universities in Guangdong Province (2018WZXDM015), and a Shenzhen Basic Research Grant (2019SHIBS0003).</t>
        </is>
      </c>
      <c r="AH1494" t="n">
        <v>54</v>
      </c>
      <c r="AI1494" t="n">
        <v>2</v>
      </c>
      <c r="AJ1494" t="n">
        <v>2</v>
      </c>
      <c r="AK1494" t="n">
        <v>2</v>
      </c>
      <c r="AL1494" t="n">
        <v>17</v>
      </c>
      <c r="AM1494" t="inlineStr">
        <is>
          <t>MDPI</t>
        </is>
      </c>
      <c r="AN1494" t="inlineStr">
        <is>
          <t>BASEL</t>
        </is>
      </c>
      <c r="AO1494" t="inlineStr">
        <is>
          <t>ST ALBAN-ANLAGE 66, CH-4052 BASEL, SWITZERLAND</t>
        </is>
      </c>
      <c r="AQ1494" t="inlineStr">
        <is>
          <t>1660-4601</t>
        </is>
      </c>
      <c r="AS1494" t="inlineStr">
        <is>
          <t>INT J ENV RES PUB HE</t>
        </is>
      </c>
      <c r="AT1494" t="inlineStr">
        <is>
          <t>Int. J. Environ. Res. Public Health</t>
        </is>
      </c>
      <c r="AU1494" t="inlineStr">
        <is>
          <t>JUN</t>
        </is>
      </c>
      <c r="AV1494" t="n">
        <v>2021</v>
      </c>
      <c r="AW1494" t="n">
        <v>18</v>
      </c>
      <c r="AX1494" t="n">
        <v>11</v>
      </c>
      <c r="BE1494" t="n">
        <v>5981</v>
      </c>
      <c r="BF1494" t="inlineStr">
        <is>
          <t>10.3390/ijerph18115981</t>
        </is>
      </c>
      <c r="BG1494">
        <f>HYPERLINK("http://dx.doi.org/10.3390/ijerph18115981","http://dx.doi.org/10.3390/ijerph18115981")</f>
        <v/>
      </c>
      <c r="BJ1494" t="n">
        <v>14</v>
      </c>
      <c r="BK1494" t="inlineStr">
        <is>
          <t>Environmental Sciences; Public, Environmental &amp; Occupational Health</t>
        </is>
      </c>
      <c r="BL1494" t="inlineStr">
        <is>
          <t>Science Citation Index Expanded (SCI-EXPANDED); Social Science Citation Index (SSCI)</t>
        </is>
      </c>
      <c r="BM1494" t="inlineStr">
        <is>
          <t>Environmental Sciences &amp; Ecology; Public, Environmental &amp; Occupational Health</t>
        </is>
      </c>
      <c r="BN1494" t="inlineStr">
        <is>
          <t>SP9NE</t>
        </is>
      </c>
      <c r="BO1494" t="n">
        <v>34199578</v>
      </c>
      <c r="BP1494" t="inlineStr">
        <is>
          <t>Green Published, gold</t>
        </is>
      </c>
      <c r="BS1494" t="inlineStr">
        <is>
          <t>2023-10-26</t>
        </is>
      </c>
      <c r="BT1494" t="inlineStr">
        <is>
          <t>WOS:000659988700001</t>
        </is>
      </c>
      <c r="BU1494">
        <f>HYPERLINK("https%3A%2F%2Fwww.webofscience.com%2Fwos%2Fwoscc%2Ffull-record%2FWOS:000659988700001","View Full Record in Web of Science")</f>
        <v/>
      </c>
    </row>
    <row r="1495">
      <c r="A1495" t="inlineStr">
        <is>
          <t>J</t>
        </is>
      </c>
      <c r="B1495" t="inlineStr">
        <is>
          <t>Park, S; Song, D; Park, S; Choi, Y</t>
        </is>
      </c>
      <c r="F1495" t="inlineStr">
        <is>
          <t>Park, Sowoo; Song, Doosam; Park, Seunghwan; Choi, Younhee</t>
        </is>
      </c>
      <c r="J1495" t="inlineStr">
        <is>
          <t>AIR QUALITY ATMOSPHERE AND HEALTH</t>
        </is>
      </c>
      <c r="M1495" t="inlineStr">
        <is>
          <t>English</t>
        </is>
      </c>
      <c r="N1495" t="inlineStr">
        <is>
          <t>Article</t>
        </is>
      </c>
      <c r="T1495" t="inlineStr">
        <is>
          <t>Particulate matter generation in daily activities and removal effect by ventilation methods in residential building</t>
        </is>
      </c>
      <c r="U1495" t="inlineStr">
        <is>
          <t>Indoor particulate matter generation; Indoor activities; Removal effect; Residential buildings</t>
        </is>
      </c>
      <c r="V1495" t="inlineStr">
        <is>
          <t>PARTICLE-SIZE; ULTRAFINE PARTICLES; AIR-POLLUTANTS; EMISSION RATES; COARSE PARTICLES; SOURCE STRENGTHS; VACUUM CLEANERS; INDOOR SOURCES; COOKING; COMBUSTION</t>
        </is>
      </c>
      <c r="W1495" t="inlineStr">
        <is>
          <t>Indoor particulate matter (PM) concentrations may be high due to indoor PM generation as well as PM introduced from the outdoors in residential buildings. In particular, as building airtight performance has been strengthened to reduce energy consumption, the indoor-generated PM has greatly influenced a person's overall PM exposure. The indoor activities of residents may generate and resuspend PM, which in turn increases the indoor PM concentration. This study aims to analyze the characteristics of indoor PM generation by activities in a residential building and the removal effect of the ventilation methods. Field measurements were accomplished for indoor PM generation activities in real conditions, such as vacuum cleaning, cooking (fish and pork), air freshener spraying, and scented candle burning in a residential building. As a result, the PM concentration was the highest for broiling fish, with a concentration of 15.714 mg/m(3) for PM10 and 13.679 mg/m(3) for PM2.5. The decreasing order of the peak concentration for indoor activities was cooking, burning scented candles, vacuuming, and spraying air freshener. Additionally, the residual PM concentration exceeded the standard upper limit even 30 min after most of the PM generation activities ended. Especially, in the cooking activity, with the highest PM generation, PM could not be removed properly even when the range hood was operated. This is because the static pressure loss of the range hood in an air-tightened house and additional air supply or window opening can improve the PM removal performance of the range hood.</t>
        </is>
      </c>
      <c r="X1495" t="inlineStr">
        <is>
          <t>[Park, Sowoo; Park, Seunghwan] Sungkyunkwan Univ, Grad Sch, 2066 Sebu Ro, Suwon 16419, South Korea; [Song, Doosam] Sungkyunkwan Univ, Sch Civil Architectural Engn &amp; Landscape Architec, Suwon 16419, South Korea; [Choi, Younhee] Kyushu Univ, Fac Human Environm Studies, Nishi Ku, 744 Motooka, Fukuoka 8190395, Japan</t>
        </is>
      </c>
      <c r="Y1495" t="inlineStr">
        <is>
          <t>Sungkyunkwan University (SKKU); Sungkyunkwan University (SKKU); Kyushu University</t>
        </is>
      </c>
      <c r="Z1495" t="inlineStr">
        <is>
          <t>Song, D (corresponding author), Sungkyunkwan Univ, Sch Civil Architectural Engn &amp; Landscape Architec, Suwon 16419, South Korea.</t>
        </is>
      </c>
      <c r="AA1495" t="inlineStr">
        <is>
          <t>dssong@skku.edu</t>
        </is>
      </c>
      <c r="AC1495" t="inlineStr">
        <is>
          <t>Song, Doosam/0000-0002-9177-2166</t>
        </is>
      </c>
      <c r="AD1495" t="inlineStr">
        <is>
          <t>Ministry of Science and the ICT of the Korean government</t>
        </is>
      </c>
      <c r="AE1495" t="inlineStr">
        <is>
          <t>Ministry of Science and the ICT of the Korean government</t>
        </is>
      </c>
      <c r="AF1495" t="inlineStr">
        <is>
          <t>This study has received funding from the Ministry of Science and the ICT of the Korean government.</t>
        </is>
      </c>
      <c r="AH1495" t="n">
        <v>62</v>
      </c>
      <c r="AI1495" t="n">
        <v>4</v>
      </c>
      <c r="AJ1495" t="n">
        <v>4</v>
      </c>
      <c r="AK1495" t="n">
        <v>2</v>
      </c>
      <c r="AL1495" t="n">
        <v>21</v>
      </c>
      <c r="AM1495" t="inlineStr">
        <is>
          <t>SPRINGER</t>
        </is>
      </c>
      <c r="AN1495" t="inlineStr">
        <is>
          <t>DORDRECHT</t>
        </is>
      </c>
      <c r="AO1495" t="inlineStr">
        <is>
          <t>VAN GODEWIJCKSTRAAT 30, 3311 GZ DORDRECHT, NETHERLANDS</t>
        </is>
      </c>
      <c r="AP1495" t="inlineStr">
        <is>
          <t>1873-9318</t>
        </is>
      </c>
      <c r="AQ1495" t="inlineStr">
        <is>
          <t>1873-9326</t>
        </is>
      </c>
      <c r="AS1495" t="inlineStr">
        <is>
          <t>AIR QUAL ATMOS HLTH</t>
        </is>
      </c>
      <c r="AT1495" t="inlineStr">
        <is>
          <t>Air Qual. Atmos. Health</t>
        </is>
      </c>
      <c r="AU1495" t="inlineStr">
        <is>
          <t>OCT</t>
        </is>
      </c>
      <c r="AV1495" t="n">
        <v>2021</v>
      </c>
      <c r="AW1495" t="n">
        <v>14</v>
      </c>
      <c r="AX1495" t="n">
        <v>10</v>
      </c>
      <c r="BC1495" t="n">
        <v>1665</v>
      </c>
      <c r="BD1495" t="n">
        <v>1680</v>
      </c>
      <c r="BF1495" t="inlineStr">
        <is>
          <t>10.1007/s11869-021-01047-1</t>
        </is>
      </c>
      <c r="BG1495">
        <f>HYPERLINK("http://dx.doi.org/10.1007/s11869-021-01047-1","http://dx.doi.org/10.1007/s11869-021-01047-1")</f>
        <v/>
      </c>
      <c r="BI1495" t="inlineStr">
        <is>
          <t>MAY 2021</t>
        </is>
      </c>
      <c r="BJ1495" t="n">
        <v>16</v>
      </c>
      <c r="BK1495" t="inlineStr">
        <is>
          <t>Environmental Sciences</t>
        </is>
      </c>
      <c r="BL1495" t="inlineStr">
        <is>
          <t>Science Citation Index Expanded (SCI-EXPANDED)</t>
        </is>
      </c>
      <c r="BM1495" t="inlineStr">
        <is>
          <t>Environmental Sciences &amp; Ecology</t>
        </is>
      </c>
      <c r="BN1495" t="inlineStr">
        <is>
          <t>UT9RL</t>
        </is>
      </c>
      <c r="BS1495" t="inlineStr">
        <is>
          <t>2023-10-26</t>
        </is>
      </c>
      <c r="BT1495" t="inlineStr">
        <is>
          <t>WOS:000655547300001</t>
        </is>
      </c>
      <c r="BU1495">
        <f>HYPERLINK("https%3A%2F%2Fwww.webofscience.com%2Fwos%2Fwoscc%2Ffull-record%2FWOS:000655547300001","View Full Record in Web of Science")</f>
        <v/>
      </c>
    </row>
    <row r="1496">
      <c r="A1496" t="inlineStr">
        <is>
          <t>J</t>
        </is>
      </c>
      <c r="B1496" t="inlineStr">
        <is>
          <t>Ma, XD; Zhang, ZH; Li, XJ; Li, Y</t>
        </is>
      </c>
      <c r="F1496" t="inlineStr">
        <is>
          <t>Ma, Xidong; Zhang, Zhihao; Li, Xiaojiao; Li, Yan</t>
        </is>
      </c>
      <c r="J1496" t="inlineStr">
        <is>
          <t>INTERNATIONAL JOURNAL OF ENVIRONMENTAL RESEARCH AND PUBLIC HEALTH</t>
        </is>
      </c>
      <c r="M1496" t="inlineStr">
        <is>
          <t>English</t>
        </is>
      </c>
      <c r="N1496" t="inlineStr">
        <is>
          <t>Article</t>
        </is>
      </c>
      <c r="T1496" t="inlineStr">
        <is>
          <t>The Relationship between the Outdoor School Violence Distribution and the Outdoor Campus Environment: An Empirical Study from China</t>
        </is>
      </c>
      <c r="U1496" t="inlineStr">
        <is>
          <t>outdoor school violence distribution (OSVD); outdoor campus environment (OCE); Spatial Syntax theory; violence type; spatial attribute; regression analysis</t>
        </is>
      </c>
      <c r="V1496" t="inlineStr">
        <is>
          <t>BUILT ENVIRONMENT; CRIME-PREVENTION; TEACHERS; BEHAVIOR</t>
        </is>
      </c>
      <c r="W1496" t="inlineStr">
        <is>
          <t>It is widely believed that outdoor environmental design contributes to outdoor violence prevention. To enhance the effectiveness of environmental design, the intrinsic link between the outdoor school violence distribution (OSVD) and the outdoor campus environment (OCE) should be fully considered. For this purpose, this study investigated boarding school L, located in southern Zhejiang Province of China, through a questionnaire and Spatial Syntax theory. Based on the questionnaire marker method (N = 338, 50.59% female), the OSVD was mapped using the kernel density estimation in ArcGIS, including four types of teacher-student conflict: verbal bullying, physical conflict, and external intrusion. The spatial analysis of the OCE (spatial configuration and spatial visibility) then was generated by the DepthmapX, involving four spatial attributes such as integration, mean depth, connectivity, and visibility connectivity. Statistical analysis results indicated the correlation between the OSVD and both the spatial configuration and spatial visibility of the OCE. For the different violence types, there were differences in the impact relationships, with integration being a significant predictor of teacher-student conflict and physical conflict (p &lt; 0.01) and a general predictor of verbal bullying (p &lt; 0.05), while mean depth was a significant predictor of physical conflict (p &lt; 0.01), but not recommended as a predictor of external intrusion. This study explores and predicts the relationship between the OSVD and the OCE, providing guidance and evidence for school violence prevention environmental design. It is a novel attempt, but still challenging and requires more research to refine.</t>
        </is>
      </c>
      <c r="X1496" t="inlineStr">
        <is>
          <t>[Ma, Xidong; Li, Xiaojiao; Li, Yan] Tianjin Univ, Sch Architecture, Tianjin 300072, Peoples R China; [Ma, Xidong; Li, Xiaojiao; Li, Yan] Key Lab Dept Culture &amp; Tourism Informat Technol A, Tianjin 300072, Peoples R China; [Zhang, Zhihao] Tongji Univ, Coll Architecture &amp; Urban Planning, Shanghai 200082, Peoples R China</t>
        </is>
      </c>
      <c r="Y1496" t="inlineStr">
        <is>
          <t>Tianjin University; Tongji University</t>
        </is>
      </c>
      <c r="Z1496" t="inlineStr">
        <is>
          <t>Li, Y (corresponding author), Tianjin Univ, Sch Architecture, Tianjin 300072, Peoples R China.;Li, Y (corresponding author), Key Lab Dept Culture &amp; Tourism Informat Technol A, Tianjin 300072, Peoples R China.</t>
        </is>
      </c>
      <c r="AA1496" t="inlineStr">
        <is>
          <t>mxd2813@tju.edu.cn; zhang_zhihao1998@163.com; lxj393@tju.edu.cn; liyan1@yeah.net</t>
        </is>
      </c>
      <c r="AB1496" t="inlineStr">
        <is>
          <t>aksoy, erman/AAF-9911-2021; Ma, Xidong/GMX-0772-2022</t>
        </is>
      </c>
      <c r="AC1496" t="inlineStr">
        <is>
          <t>aksoy, erman/0000-0001-7660-1054; Ma, Xidong/0000-0003-4818-9642</t>
        </is>
      </c>
      <c r="AD1496" t="inlineStr">
        <is>
          <t>Science &amp; Technology Innovation Training Program for College Students in Zhejiang Province of China [2020R406029]; Tianjin Research Innovation Project for Postgraduate Students [2021YJSB158]</t>
        </is>
      </c>
      <c r="AE1496" t="inlineStr">
        <is>
          <t>Science &amp; Technology Innovation Training Program for College Students in Zhejiang Province of China; Tianjin Research Innovation Project for Postgraduate Students</t>
        </is>
      </c>
      <c r="AF1496" t="inlineStr">
        <is>
          <t>This research was funded by the Science &amp; Technology Innovation Training Program for College Students in Zhejiang Province of China, grant number 2020R406029, and the Tianjin Research Innovation Project for Postgraduate Students, grant number 2021YJSB158.</t>
        </is>
      </c>
      <c r="AH1496" t="n">
        <v>111</v>
      </c>
      <c r="AI1496" t="n">
        <v>0</v>
      </c>
      <c r="AJ1496" t="n">
        <v>0</v>
      </c>
      <c r="AK1496" t="n">
        <v>13</v>
      </c>
      <c r="AL1496" t="n">
        <v>41</v>
      </c>
      <c r="AM1496" t="inlineStr">
        <is>
          <t>MDPI</t>
        </is>
      </c>
      <c r="AN1496" t="inlineStr">
        <is>
          <t>BASEL</t>
        </is>
      </c>
      <c r="AO1496" t="inlineStr">
        <is>
          <t>ST ALBAN-ANLAGE 66, CH-4052 BASEL, SWITZERLAND</t>
        </is>
      </c>
      <c r="AQ1496" t="inlineStr">
        <is>
          <t>1660-4601</t>
        </is>
      </c>
      <c r="AS1496" t="inlineStr">
        <is>
          <t>INT J ENV RES PUB HE</t>
        </is>
      </c>
      <c r="AT1496" t="inlineStr">
        <is>
          <t>Int. J. Environ. Res. Public Health</t>
        </is>
      </c>
      <c r="AU1496" t="inlineStr">
        <is>
          <t>JUL</t>
        </is>
      </c>
      <c r="AV1496" t="n">
        <v>2022</v>
      </c>
      <c r="AW1496" t="n">
        <v>19</v>
      </c>
      <c r="AX1496" t="n">
        <v>13</v>
      </c>
      <c r="BE1496" t="n">
        <v>7613</v>
      </c>
      <c r="BF1496" t="inlineStr">
        <is>
          <t>10.3390/ijerph19137613</t>
        </is>
      </c>
      <c r="BG1496">
        <f>HYPERLINK("http://dx.doi.org/10.3390/ijerph19137613","http://dx.doi.org/10.3390/ijerph19137613")</f>
        <v/>
      </c>
      <c r="BJ1496" t="n">
        <v>33</v>
      </c>
      <c r="BK1496" t="inlineStr">
        <is>
          <t>Environmental Sciences; Public, Environmental &amp; Occupational Health</t>
        </is>
      </c>
      <c r="BL1496" t="inlineStr">
        <is>
          <t>Science Citation Index Expanded (SCI-EXPANDED); Social Science Citation Index (SSCI)</t>
        </is>
      </c>
      <c r="BM1496" t="inlineStr">
        <is>
          <t>Environmental Sciences &amp; Ecology; Public, Environmental &amp; Occupational Health</t>
        </is>
      </c>
      <c r="BN1496" t="inlineStr">
        <is>
          <t>2V8DF</t>
        </is>
      </c>
      <c r="BO1496" t="n">
        <v>35805272</v>
      </c>
      <c r="BP1496" t="inlineStr">
        <is>
          <t>gold, Green Published</t>
        </is>
      </c>
      <c r="BS1496" t="inlineStr">
        <is>
          <t>2023-10-26</t>
        </is>
      </c>
      <c r="BT1496" t="inlineStr">
        <is>
          <t>WOS:000824069000001</t>
        </is>
      </c>
      <c r="BU1496">
        <f>HYPERLINK("https%3A%2F%2Fwww.webofscience.com%2Fwos%2Fwoscc%2Ffull-record%2FWOS:000824069000001","View Full Record in Web of Science")</f>
        <v/>
      </c>
    </row>
    <row r="1497">
      <c r="A1497" t="inlineStr">
        <is>
          <t>J</t>
        </is>
      </c>
      <c r="B1497" t="inlineStr">
        <is>
          <t>Berkouk, D; Bouzir, TAK; Boucherit, S; Khelil, S; Mahaya, C; Matallah, ME; Mazouz, S</t>
        </is>
      </c>
      <c r="F1497" t="inlineStr">
        <is>
          <t>Berkouk, Djihed; Bouzir, Tallal Abdel Karim; Boucherit, Samiha; Khelil, Sara; Mahaya, Chafik; Matallah, Mohamed Elhadi; Mazouz, Said</t>
        </is>
      </c>
      <c r="J1497" t="inlineStr">
        <is>
          <t>SUSTAINABILITY</t>
        </is>
      </c>
      <c r="M1497" t="inlineStr">
        <is>
          <t>English</t>
        </is>
      </c>
      <c r="N1497" t="inlineStr">
        <is>
          <t>Article</t>
        </is>
      </c>
      <c r="T1497" t="inlineStr">
        <is>
          <t>Exploring the Multisensory Interaction between Luminous, Thermal and Auditory Environments through the Spatial Promenade Experience: A Case Study of a University Campus in an Oasis Settlement</t>
        </is>
      </c>
      <c r="U1497" t="inlineStr">
        <is>
          <t>sense walk; multisensory assessment; thermo-visual sound walk approach; physical dimensions; perceptual dimensions; university campus promenades; oasis settlement</t>
        </is>
      </c>
      <c r="V1497" t="inlineStr">
        <is>
          <t>SOUNDSCAPE; COMFORT; PERCEPTION; MODEL; GLARE</t>
        </is>
      </c>
      <c r="W1497" t="inlineStr">
        <is>
          <t>This paper aimed to develop a multisensory approach in a university campus, based on quantitative and qualitative approaches, investigating sense walk experiences (thermo-visual sound walk) under interactions of luminous, thermal, and auditory environments. The study was conducted in October 2021, in Chetma university campus in Biskra city, southern Algeria, which remains a famous oasis settlement of arid regions over the country. A comparative and correlation analysis was performed between the physical dimensions collected through a walking experience in three campus routes (outdoor, semi-outdoor and indoor). In addition, a multisensory survey of the walking experience on perceptual dimensions was evaluated in parallel to the empirical contribution. The paper shows that walkers' thermal levels were balanced between neural and slightly hot in different spatial aspects. The glare was almost unperceived regarding the luminous conditions in the study site. The auditory experience reveals that the conducted points were generally quiet and well placed for educational requirements. Findings also show a strong relationship between the physical dimensions of the luminous and auditory environment. Furthermore, the findings suggest that the thermal and luminous environments are more perceptible than the auditory environment for the walkers of the outdoor and indoor routes. In contrast, the semi-outdoor route is often perceptible by the perceptual dimensions of the luminous and auditory environments. The findings on sensorial thresholds and spatial adaption are essential for the educational practices' architectural and urban strategies for the Saharan cities and oasis settlements.</t>
        </is>
      </c>
      <c r="X1497" t="inlineStr">
        <is>
          <t>[Berkouk, Djihed; Khelil, Sara; Mahaya, Chafik; Matallah, Mohamed Elhadi] Biskra Univ, Dept Architecture, Biskra 07000, Algeria; [Bouzir, Tallal Abdel Karim] Blida Univ, Inst Architecture &amp; Urban Planning, Blida 09000, Algeria; [Boucherit, Samiha] Univ Campania Luigi Vanvitelli, Dept Architecture &amp; Ind Design, I-81031 Aversa, CE, Italy; [Mazouz, Said] Oum El Bouaghi Univ, Dept Architecture, Oum El Bouaghi 04000, Algeria</t>
        </is>
      </c>
      <c r="Y1497" t="inlineStr">
        <is>
          <t>Universite Mohamed Khider Biskra; Universite Saad Dahlab de Blida; Universita della Campania Vanvitelli; Universite d'Oum El Bouaghi</t>
        </is>
      </c>
      <c r="Z1497" t="inlineStr">
        <is>
          <t>Boucherit, S (corresponding author), Univ Campania Luigi Vanvitelli, Dept Architecture &amp; Ind Design, I-81031 Aversa, CE, Italy.</t>
        </is>
      </c>
      <c r="AA1497" t="inlineStr">
        <is>
          <t>d.berkouk@univ-biskra.dz; takbouzir@univ-blida.dz; samiha.boucherit@unicampania.it; sara.khelil@univ-biskra.dz; c.mahaya@univ-biskra.dz; elhadi.matallah@univ-biskra.dz; s_mazouz_dz@yahoo.fr</t>
        </is>
      </c>
      <c r="AB1497" t="inlineStr">
        <is>
          <t>Matallah, Mohamed Elhadi/AGA-4503-2022; Bouzir, Tallal Abdel Karim/GRS-2164-2022; Mazouz, Said/GPX-6121-2022; Mahaya, Chafik/IUP-8162-2023; Mazouz, Said/IZE-2600-2023; BERKOUK, Djihed/GQG-8768-2022</t>
        </is>
      </c>
      <c r="AC1497" t="inlineStr">
        <is>
          <t>Bouzir, Tallal Abdel Karim/0000-0002-1902-1800; Mahaya, Chafik/0000-0001-8617-9977; BERKOUK, Djihed/0000-0002-2925-3015; Boucherit, Samiha/0000-0002-5101-3608; Matallah, Mohamed Elhadi/0000-0002-2089-8044; Mazouz, Said/0000-0002-0832-3504</t>
        </is>
      </c>
      <c r="AH1497" t="n">
        <v>73</v>
      </c>
      <c r="AI1497" t="n">
        <v>7</v>
      </c>
      <c r="AJ1497" t="n">
        <v>7</v>
      </c>
      <c r="AK1497" t="n">
        <v>17</v>
      </c>
      <c r="AL1497" t="n">
        <v>46</v>
      </c>
      <c r="AM1497" t="inlineStr">
        <is>
          <t>MDPI</t>
        </is>
      </c>
      <c r="AN1497" t="inlineStr">
        <is>
          <t>BASEL</t>
        </is>
      </c>
      <c r="AO1497" t="inlineStr">
        <is>
          <t>ST ALBAN-ANLAGE 66, CH-4052 BASEL, SWITZERLAND</t>
        </is>
      </c>
      <c r="AQ1497" t="inlineStr">
        <is>
          <t>2071-1050</t>
        </is>
      </c>
      <c r="AS1497" t="inlineStr">
        <is>
          <t>SUSTAINABILITY-BASEL</t>
        </is>
      </c>
      <c r="AT1497" t="inlineStr">
        <is>
          <t>Sustainability</t>
        </is>
      </c>
      <c r="AU1497" t="inlineStr">
        <is>
          <t>APR</t>
        </is>
      </c>
      <c r="AV1497" t="n">
        <v>2022</v>
      </c>
      <c r="AW1497" t="n">
        <v>14</v>
      </c>
      <c r="AX1497" t="n">
        <v>7</v>
      </c>
      <c r="BE1497" t="n">
        <v>4013</v>
      </c>
      <c r="BF1497" t="inlineStr">
        <is>
          <t>10.3390/su14074013</t>
        </is>
      </c>
      <c r="BG1497">
        <f>HYPERLINK("http://dx.doi.org/10.3390/su14074013","http://dx.doi.org/10.3390/su14074013")</f>
        <v/>
      </c>
      <c r="BJ1497" t="n">
        <v>20</v>
      </c>
      <c r="BK1497" t="inlineStr">
        <is>
          <t>Green &amp; Sustainable Science &amp; Technology; Environmental Sciences; Environmental Studies</t>
        </is>
      </c>
      <c r="BL1497" t="inlineStr">
        <is>
          <t>Science Citation Index Expanded (SCI-EXPANDED); Social Science Citation Index (SSCI)</t>
        </is>
      </c>
      <c r="BM1497" t="inlineStr">
        <is>
          <t>Science &amp; Technology - Other Topics; Environmental Sciences &amp; Ecology</t>
        </is>
      </c>
      <c r="BN1497" t="inlineStr">
        <is>
          <t>0N9IP</t>
        </is>
      </c>
      <c r="BP1497" t="inlineStr">
        <is>
          <t>gold, Green Published</t>
        </is>
      </c>
      <c r="BS1497" t="inlineStr">
        <is>
          <t>2023-10-26</t>
        </is>
      </c>
      <c r="BT1497" t="inlineStr">
        <is>
          <t>WOS:000783143500001</t>
        </is>
      </c>
      <c r="BU1497">
        <f>HYPERLINK("https%3A%2F%2Fwww.webofscience.com%2Fwos%2Fwoscc%2Ffull-record%2FWOS:000783143500001","View Full Record in Web of Science")</f>
        <v/>
      </c>
    </row>
    <row r="1498">
      <c r="A1498" t="inlineStr">
        <is>
          <t>J</t>
        </is>
      </c>
      <c r="B1498" t="inlineStr">
        <is>
          <t>Liang, W; Duan, YP; Shang, BR; Hu, C; Baker, JS; Lin, ZH; He, JL; Wang, YP</t>
        </is>
      </c>
      <c r="F1498" t="inlineStr">
        <is>
          <t>Liang, Wei; Duan, Yanping; Shang, Borui; Hu, Chun; Baker, Julien Steven; Lin, Zhihua; He, Jiali; Wang, Yanping</t>
        </is>
      </c>
      <c r="J1498" t="inlineStr">
        <is>
          <t>INTERNATIONAL JOURNAL OF ENVIRONMENTAL RESEARCH AND PUBLIC HEALTH</t>
        </is>
      </c>
      <c r="M1498" t="inlineStr">
        <is>
          <t>English</t>
        </is>
      </c>
      <c r="N1498" t="inlineStr">
        <is>
          <t>Article</t>
        </is>
      </c>
      <c r="T1498" t="inlineStr">
        <is>
          <t>Precautionary Behavior and Depression in Older Adults during the COVID-19 Pandemic: An Online Cross-Sectional Study in Hubei, China</t>
        </is>
      </c>
      <c r="U1498" t="inlineStr">
        <is>
          <t>COVID-19; older adults; depression; precautionary behavior; socioeconomic status; online survey; mental health</t>
        </is>
      </c>
      <c r="V1498" t="inlineStr">
        <is>
          <t>SYMPTOMS</t>
        </is>
      </c>
      <c r="W1498" t="inlineStr">
        <is>
          <t>The large-scale COVID-19 pandemic has not only resulted in the risk of death but also augmented the levels of depression in community-dwelling older adults. The present study aimed to investigate the characteristics of depression in Chinese older adults during the COVID-19 pandemic, to examine the association of individual precautionary behavior with older adults' depression levels, and to identify the moderating role of socioeconomic indicators in the aforementioned association. Five hundred and sixteen older adults were recruited from five cities of Hubei province in China. They were asked to complete an online questionnaire survey. Results showed that 30.8% of participants indicated a significant depressive symptom during the pandemic. Older adults' depression levels differed significantly in marital status, living situation, education level, household income, subjective health status, and infected cases of acquaintances. Precautionary behavior change showed significant inverse associations with older adults' depression levels, where household income moderated this relationship. This is the first study to investigate the characteristics, behavioral correlates, and moderators of depression among Chinese older adults during the COVID-19 pandemic. Research findings may provide new insights into interventions and policy-making on individual precautionary behavior and mental health among older adults for future pandemics.</t>
        </is>
      </c>
      <c r="X1498" t="inlineStr">
        <is>
          <t>[Liang, Wei; Duan, Yanping; Baker, Julien Steven] Hong Kong Baptist Univ, Ctr Hlth &amp; Exercise Sci Res, Hong Kong, Peoples R China; [Liang, Wei; Duan, Yanping; Baker, Julien Steven] Hong Kong Baptist Univ, Dept Sport Phys Educ &amp; Hlth, Hong Kong, Peoples R China; [Duan, Yanping; He, Jiali] Wuhan Inst Phys Educ, Coll Hlth Sci, Wuhan Inst Phys Educ, Wuhan 430000, Peoples R China; [Shang, Borui] Hebei Inst Phys Educ, Dept Kinesiol, Shijiazhuang 050000, Hebei, Peoples R China; [Hu, Chun] Northwestern Polytech Univ, Student Mental Hlth Educ Ctr, Xian 710000, Peoples R China; [Lin, Zhihua] Wuhan Univ, Sport Sect, Wuhan 430000, Peoples R China; [Wang, Yanping] Hubei Inst Sport Sci, Natl Phys Fitness Lab, Wuhan 430000, Peoples R China</t>
        </is>
      </c>
      <c r="Y1498" t="inlineStr">
        <is>
          <t>Hong Kong Baptist University; Hong Kong Baptist University; Wuhan Sports University; Northwestern Polytechnical University; Wuhan University</t>
        </is>
      </c>
      <c r="Z1498" t="inlineStr">
        <is>
          <t>Duan, YP (corresponding author), Hong Kong Baptist Univ, Ctr Hlth &amp; Exercise Sci Res, Hong Kong, Peoples R China.;Duan, YP (corresponding author), Hong Kong Baptist Univ, Dept Sport Phys Educ &amp; Hlth, Hong Kong, Peoples R China.;Duan, YP (corresponding author), Wuhan Inst Phys Educ, Coll Hlth Sci, Wuhan Inst Phys Educ, Wuhan 430000, Peoples R China.</t>
        </is>
      </c>
      <c r="AA1498" t="inlineStr">
        <is>
          <t>wliang1020@hkbu.edu.hk; duanyp@hkbu.edu.hk; boruishang@hepec.edu.cn; huchun52@163.com; jsbaker@hkbu.edu.hk; zhihualin_wu@163.com; h13163386915@163.com; yanniswyp@163.com</t>
        </is>
      </c>
      <c r="AB1498" t="inlineStr">
        <is>
          <t>He, Jiali/HJI-5846-2023</t>
        </is>
      </c>
      <c r="AC1498" t="inlineStr">
        <is>
          <t>Liang, Wei/0000-0002-8120-7905; Duan, Yanping/0000-0002-6432-7542; Baker, Julien/0000-0002-9093-7897</t>
        </is>
      </c>
      <c r="AD1498" t="inlineStr">
        <is>
          <t>Strategic Development Fund (SDF) of Hong Kong Baptist University</t>
        </is>
      </c>
      <c r="AE1498" t="inlineStr">
        <is>
          <t>Strategic Development Fund (SDF) of Hong Kong Baptist University</t>
        </is>
      </c>
      <c r="AF1498" t="inlineStr">
        <is>
          <t>This research was supported by the Start-Up Grant and Strategic Development Fund (SDF) of Hong Kong Baptist University. The funding organization had no role in the study design, study implementation, data collection, data analysis, manuscript preparation, or publication decision. The work is the responsibility of the authors.</t>
        </is>
      </c>
      <c r="AH1498" t="n">
        <v>39</v>
      </c>
      <c r="AI1498" t="n">
        <v>26</v>
      </c>
      <c r="AJ1498" t="n">
        <v>26</v>
      </c>
      <c r="AK1498" t="n">
        <v>1</v>
      </c>
      <c r="AL1498" t="n">
        <v>20</v>
      </c>
      <c r="AM1498" t="inlineStr">
        <is>
          <t>MDPI</t>
        </is>
      </c>
      <c r="AN1498" t="inlineStr">
        <is>
          <t>BASEL</t>
        </is>
      </c>
      <c r="AO1498" t="inlineStr">
        <is>
          <t>ST ALBAN-ANLAGE 66, CH-4052 BASEL, SWITZERLAND</t>
        </is>
      </c>
      <c r="AQ1498" t="inlineStr">
        <is>
          <t>1660-4601</t>
        </is>
      </c>
      <c r="AS1498" t="inlineStr">
        <is>
          <t>INT J ENV RES PUB HE</t>
        </is>
      </c>
      <c r="AT1498" t="inlineStr">
        <is>
          <t>Int. J. Environ. Res. Public Health</t>
        </is>
      </c>
      <c r="AU1498" t="inlineStr">
        <is>
          <t>FEB</t>
        </is>
      </c>
      <c r="AV1498" t="n">
        <v>2021</v>
      </c>
      <c r="AW1498" t="n">
        <v>18</v>
      </c>
      <c r="AX1498" t="n">
        <v>4</v>
      </c>
      <c r="BE1498" t="n">
        <v>1853</v>
      </c>
      <c r="BF1498" t="inlineStr">
        <is>
          <t>10.3390/ijerph18041853</t>
        </is>
      </c>
      <c r="BG1498">
        <f>HYPERLINK("http://dx.doi.org/10.3390/ijerph18041853","http://dx.doi.org/10.3390/ijerph18041853")</f>
        <v/>
      </c>
      <c r="BJ1498" t="n">
        <v>13</v>
      </c>
      <c r="BK1498" t="inlineStr">
        <is>
          <t>Environmental Sciences; Public, Environmental &amp; Occupational Health</t>
        </is>
      </c>
      <c r="BL1498" t="inlineStr">
        <is>
          <t>Science Citation Index Expanded (SCI-EXPANDED); Social Science Citation Index (SSCI)</t>
        </is>
      </c>
      <c r="BM1498" t="inlineStr">
        <is>
          <t>Environmental Sciences &amp; Ecology; Public, Environmental &amp; Occupational Health</t>
        </is>
      </c>
      <c r="BN1498" t="inlineStr">
        <is>
          <t>QP1FR</t>
        </is>
      </c>
      <c r="BO1498" t="n">
        <v>33672885</v>
      </c>
      <c r="BP1498" t="inlineStr">
        <is>
          <t>Green Published, gold</t>
        </is>
      </c>
      <c r="BS1498" t="inlineStr">
        <is>
          <t>2023-10-26</t>
        </is>
      </c>
      <c r="BT1498" t="inlineStr">
        <is>
          <t>WOS:000623582800001</t>
        </is>
      </c>
      <c r="BU1498">
        <f>HYPERLINK("https%3A%2F%2Fwww.webofscience.com%2Fwos%2Fwoscc%2Ffull-record%2FWOS:000623582800001","View Full Record in Web of Science")</f>
        <v/>
      </c>
    </row>
    <row r="1499">
      <c r="A1499" t="inlineStr">
        <is>
          <t>J</t>
        </is>
      </c>
      <c r="B1499" t="inlineStr">
        <is>
          <t>Boumans, J; Scheffelaar, A; van Druten, VP; Hendriksen, THG; Nahar-van Venrooij, LMW; Rozema, AD</t>
        </is>
      </c>
      <c r="F1499" t="inlineStr">
        <is>
          <t>Boumans, Joge; Scheffelaar, Aukelien; van Druten, Vera P.; Hendriksen, Tessel H. G.; Nahar-van Venrooij, Lenny M. W.; Rozema, Andrea D.</t>
        </is>
      </c>
      <c r="J1499" t="inlineStr">
        <is>
          <t>INTERNATIONAL JOURNAL OF ENVIRONMENTAL RESEARCH AND PUBLIC HEALTH</t>
        </is>
      </c>
      <c r="M1499" t="inlineStr">
        <is>
          <t>English</t>
        </is>
      </c>
      <c r="N1499" t="inlineStr">
        <is>
          <t>Article</t>
        </is>
      </c>
      <c r="T1499" t="inlineStr">
        <is>
          <t>Coping Strategies Used by Older Adults to Deal with Contact Isolation in the Hospital during the COVID-19 Pandemic</t>
        </is>
      </c>
      <c r="U1499" t="inlineStr">
        <is>
          <t>COVID-19; older adults; contact isolation; coping strategy; realist evaluation; hospital setting</t>
        </is>
      </c>
      <c r="V1499" t="inlineStr">
        <is>
          <t>EMOTION; AGE; PRECAUTIONS; EXPERIENCE</t>
        </is>
      </c>
      <c r="W1499" t="inlineStr">
        <is>
          <t>Due to the COVID-19 pandemic, many older adults have experienced contact isolation in a hospital setting which leads to separation from relatives, loss of freedom, and uncertainty regarding disease status. The objective of this study was to explore how older adults (55+) cope with contact isolation in a hospital setting during the COVID-19 pandemic in order to improve their physical and psychological wellbeing. The realist evaluation approach was used to formulate initial program theories on coping strategies used by (older) adults in an isolation setting. Twenty-one semi-structured interviews with older patients (n = 21) were analysed. This study revealed that both emotion-focused coping strategies as well as problem-focused coping strategies were used by older adults during contact isolation. The study also uncovered some new specific coping strategies. The results have useful implications for hospital staff seeking to improve the wellbeing of older adults in contact isolation in hospitals. Problem-focused coping strategies could be stimulated through staff performing care in a person-centred way. Trust in staff, as part of emotion-focused coping strategies, could be stimulated by improving the relationship between patients and staff.</t>
        </is>
      </c>
      <c r="X1499" t="inlineStr">
        <is>
          <t>[Boumans, Joge; Scheffelaar, Aukelien; van Druten, Vera P.; Rozema, Andrea D.] Tilburg Univ, Tilburg Sch Social &amp; Behav Sci, Tranzo, NL-5037 AB Tilburg, Netherlands; [van Druten, Vera P.; Hendriksen, Tessel H. G.; Nahar-van Venrooij, Lenny M. W.] Jeroen Bosch Hosp, Jeroen Bosch Acad Res, NL-5223 GZ Shertogenbosch, Netherlands</t>
        </is>
      </c>
      <c r="Y1499" t="inlineStr">
        <is>
          <t>Tilburg University; Jeroen Bosch Ziekenhuis</t>
        </is>
      </c>
      <c r="Z1499" t="inlineStr">
        <is>
          <t>Boumans, J (corresponding author), Tilburg Univ, Tilburg Sch Social &amp; Behav Sci, Tranzo, NL-5037 AB Tilburg, Netherlands.</t>
        </is>
      </c>
      <c r="AA1499" t="inlineStr">
        <is>
          <t>J.Boumans@tilburguniversity.edu; a.scheffelaar@tilburguniversity.edu; v.v.druten@jbz.nl; T.Hendriksen@jbz.nl; l.nahar@jbz.nl; a.d.rozema@tilburguniversity.edu</t>
        </is>
      </c>
      <c r="AC1499" t="inlineStr">
        <is>
          <t>, Andrea/0000-0002-5882-8375</t>
        </is>
      </c>
      <c r="AH1499" t="n">
        <v>62</v>
      </c>
      <c r="AI1499" t="n">
        <v>2</v>
      </c>
      <c r="AJ1499" t="n">
        <v>2</v>
      </c>
      <c r="AK1499" t="n">
        <v>1</v>
      </c>
      <c r="AL1499" t="n">
        <v>9</v>
      </c>
      <c r="AM1499" t="inlineStr">
        <is>
          <t>MDPI</t>
        </is>
      </c>
      <c r="AN1499" t="inlineStr">
        <is>
          <t>BASEL</t>
        </is>
      </c>
      <c r="AO1499" t="inlineStr">
        <is>
          <t>ST ALBAN-ANLAGE 66, CH-4052 BASEL, SWITZERLAND</t>
        </is>
      </c>
      <c r="AQ1499" t="inlineStr">
        <is>
          <t>1660-4601</t>
        </is>
      </c>
      <c r="AS1499" t="inlineStr">
        <is>
          <t>INT J ENV RES PUB HE</t>
        </is>
      </c>
      <c r="AT1499" t="inlineStr">
        <is>
          <t>Int. J. Environ. Res. Public Health</t>
        </is>
      </c>
      <c r="AU1499" t="inlineStr">
        <is>
          <t>JUL</t>
        </is>
      </c>
      <c r="AV1499" t="n">
        <v>2021</v>
      </c>
      <c r="AW1499" t="n">
        <v>18</v>
      </c>
      <c r="AX1499" t="n">
        <v>14</v>
      </c>
      <c r="BE1499" t="n">
        <v>7317</v>
      </c>
      <c r="BF1499" t="inlineStr">
        <is>
          <t>10.3390/ijerph18147317</t>
        </is>
      </c>
      <c r="BG1499">
        <f>HYPERLINK("http://dx.doi.org/10.3390/ijerph18147317","http://dx.doi.org/10.3390/ijerph18147317")</f>
        <v/>
      </c>
      <c r="BJ1499" t="n">
        <v>19</v>
      </c>
      <c r="BK1499" t="inlineStr">
        <is>
          <t>Environmental Sciences; Public, Environmental &amp; Occupational Health</t>
        </is>
      </c>
      <c r="BL1499" t="inlineStr">
        <is>
          <t>Science Citation Index Expanded (SCI-EXPANDED); Social Science Citation Index (SSCI)</t>
        </is>
      </c>
      <c r="BM1499" t="inlineStr">
        <is>
          <t>Environmental Sciences &amp; Ecology; Public, Environmental &amp; Occupational Health</t>
        </is>
      </c>
      <c r="BN1499" t="inlineStr">
        <is>
          <t>TN9ZD</t>
        </is>
      </c>
      <c r="BO1499" t="n">
        <v>34299774</v>
      </c>
      <c r="BP1499" t="inlineStr">
        <is>
          <t>Green Published, gold</t>
        </is>
      </c>
      <c r="BS1499" t="inlineStr">
        <is>
          <t>2023-10-26</t>
        </is>
      </c>
      <c r="BT1499" t="inlineStr">
        <is>
          <t>WOS:000676582800001</t>
        </is>
      </c>
      <c r="BU1499">
        <f>HYPERLINK("https%3A%2F%2Fwww.webofscience.com%2Fwos%2Fwoscc%2Ffull-record%2FWOS:000676582800001","View Full Record in Web of Science")</f>
        <v/>
      </c>
    </row>
    <row r="1500">
      <c r="A1500" t="inlineStr">
        <is>
          <t>J</t>
        </is>
      </c>
      <c r="B1500" t="inlineStr">
        <is>
          <t>Hsu, HC</t>
        </is>
      </c>
      <c r="F1500" t="inlineStr">
        <is>
          <t>Hsu, Hui-Chuan</t>
        </is>
      </c>
      <c r="J1500" t="inlineStr">
        <is>
          <t>INTERNATIONAL JOURNAL OF ENVIRONMENTAL RESEARCH AND PUBLIC HEALTH</t>
        </is>
      </c>
      <c r="M1500" t="inlineStr">
        <is>
          <t>English</t>
        </is>
      </c>
      <c r="N1500" t="inlineStr">
        <is>
          <t>Article</t>
        </is>
      </c>
      <c r="T1500" t="inlineStr">
        <is>
          <t>Typologies of Loneliness, Isolation and Living Alone Are Associated with Psychological Well-Being among Older Adults in Taipei: A Cross-Sectional Study</t>
        </is>
      </c>
      <c r="U1500" t="inlineStr">
        <is>
          <t>loneliness; isolation; living arrangement; depressive symptoms; life satisfaction; psychological well-being; older adults</t>
        </is>
      </c>
      <c r="V1500" t="inlineStr">
        <is>
          <t>SOCIAL-ISOLATION; COGNITIVE FUNCTION; HEALTH; DEPRESSION; AGE; EXCLUSION; MORTALITY; NETWORK; EUROPE</t>
        </is>
      </c>
      <c r="W1500" t="inlineStr">
        <is>
          <t>Background: Loneliness, isolation, and living alone are emerging as critical issues in older people's health and well-being, but the effects are not consistent. The purpose of this study was to examine the clustering of loneliness, isolation, and living alone, the risk factors and the associations with psychological well-being. Methods: The data were collected from the 2019 Taipei City Senior Citizen Condition Survey by face-to-face interviews and included a community-based sample (n = 3553). Loneliness, isolation, and living arrangement were analyzed by cluster analysis to define Loneliness-Isolation-Living-Alone clusters. Multinomial logistic regression was used to examine the factors related to Loneliness-Isolation-Living-Alone clusters, and linear regression was used to examine association of clusters with psychological well-being. Results: Five clusters of older adults were identified and named as follows: Not Lonely-Connected-Others (53.4%), Not Lonely-Isolated-Others (26.6%), Not Lonely-Alone (5.0%), Lonely-Connected (8.1%), and Lonely-Isolated-Others (6.9%). Demographics, financial satisfaction, physical function, family relationship, and social participation were related to the Loneliness-Isolation-Living-Alone clusters. Compared with the Not Lonely-Connected-Others cluster, the Lonely-Connected cluster and Lonely-Isolated-Others cluster had higher depressive symptoms and lower life satisfaction, and the Not Lonely-Isolated-Others cluster reported lower life satisfaction; the Not Lonely-Alone cluster was not different. Discussion: Loneliness and isolation are negatively associated with psychological well-being, and living arrangement is not the determinant to loneliness or isolation. Older adults are suggested to strengthen their informal social support, and the government may encourage social care and create an age friendly environment to reduce loneliness and isolation.</t>
        </is>
      </c>
      <c r="X1500" t="inlineStr">
        <is>
          <t>[Hsu, Hui-Chuan] Taipei Med Univ, Coll Publ Hlth, Res Ctr Hlth Equ, Sch Publ Hlth, Taipei 11031, Taiwan</t>
        </is>
      </c>
      <c r="Y1500" t="inlineStr">
        <is>
          <t>Taipei Medical University</t>
        </is>
      </c>
      <c r="Z1500" t="inlineStr">
        <is>
          <t>Hsu, HC (corresponding author), Taipei Med Univ, Coll Publ Hlth, Res Ctr Hlth Equ, Sch Publ Hlth, Taipei 11031, Taiwan.</t>
        </is>
      </c>
      <c r="AA1500" t="inlineStr">
        <is>
          <t>gingerhsu@tmu.edu.tw</t>
        </is>
      </c>
      <c r="AC1500" t="inlineStr">
        <is>
          <t>Hsu, Hui-Chuan/0000-0002-3830-2480</t>
        </is>
      </c>
      <c r="AD1500" t="inlineStr">
        <is>
          <t>Ministry of Science and Technology, Taiwan, R.O.C. [MOST 109-2410-H-038-004]</t>
        </is>
      </c>
      <c r="AE1500" t="inlineStr">
        <is>
          <t>Ministry of Science and Technology, Taiwan, R.O.C.(Ministry of Science and Technology, Taiwan)</t>
        </is>
      </c>
      <c r="AF1500" t="inlineStr">
        <is>
          <t>This research was supported by the research project of Ministry of Science and Technology, Taiwan, R.O.C. (MOST 109-2410-H-038-004).</t>
        </is>
      </c>
      <c r="AH1500" t="n">
        <v>59</v>
      </c>
      <c r="AI1500" t="n">
        <v>17</v>
      </c>
      <c r="AJ1500" t="n">
        <v>17</v>
      </c>
      <c r="AK1500" t="n">
        <v>6</v>
      </c>
      <c r="AL1500" t="n">
        <v>38</v>
      </c>
      <c r="AM1500" t="inlineStr">
        <is>
          <t>MDPI</t>
        </is>
      </c>
      <c r="AN1500" t="inlineStr">
        <is>
          <t>BASEL</t>
        </is>
      </c>
      <c r="AO1500" t="inlineStr">
        <is>
          <t>ST ALBAN-ANLAGE 66, CH-4052 BASEL, SWITZERLAND</t>
        </is>
      </c>
      <c r="AQ1500" t="inlineStr">
        <is>
          <t>1660-4601</t>
        </is>
      </c>
      <c r="AS1500" t="inlineStr">
        <is>
          <t>INT J ENV RES PUB HE</t>
        </is>
      </c>
      <c r="AT1500" t="inlineStr">
        <is>
          <t>Int. J. Environ. Res. Public Health</t>
        </is>
      </c>
      <c r="AU1500" t="inlineStr">
        <is>
          <t>DEC</t>
        </is>
      </c>
      <c r="AV1500" t="n">
        <v>2020</v>
      </c>
      <c r="AW1500" t="n">
        <v>17</v>
      </c>
      <c r="AX1500" t="n">
        <v>24</v>
      </c>
      <c r="BE1500" t="n">
        <v>9181</v>
      </c>
      <c r="BF1500" t="inlineStr">
        <is>
          <t>10.3390/ijerph17249181</t>
        </is>
      </c>
      <c r="BG1500">
        <f>HYPERLINK("http://dx.doi.org/10.3390/ijerph17249181","http://dx.doi.org/10.3390/ijerph17249181")</f>
        <v/>
      </c>
      <c r="BJ1500" t="n">
        <v>14</v>
      </c>
      <c r="BK1500" t="inlineStr">
        <is>
          <t>Environmental Sciences; Public, Environmental &amp; Occupational Health</t>
        </is>
      </c>
      <c r="BL1500" t="inlineStr">
        <is>
          <t>Science Citation Index Expanded (SCI-EXPANDED); Social Science Citation Index (SSCI)</t>
        </is>
      </c>
      <c r="BM1500" t="inlineStr">
        <is>
          <t>Environmental Sciences &amp; Ecology; Public, Environmental &amp; Occupational Health</t>
        </is>
      </c>
      <c r="BN1500" t="inlineStr">
        <is>
          <t>PL0AF</t>
        </is>
      </c>
      <c r="BO1500" t="n">
        <v>33302603</v>
      </c>
      <c r="BP1500" t="inlineStr">
        <is>
          <t>gold, Green Published</t>
        </is>
      </c>
      <c r="BS1500" t="inlineStr">
        <is>
          <t>2023-10-26</t>
        </is>
      </c>
      <c r="BT1500" t="inlineStr">
        <is>
          <t>WOS:000602795300001</t>
        </is>
      </c>
      <c r="BU1500">
        <f>HYPERLINK("https%3A%2F%2Fwww.webofscience.com%2Fwos%2Fwoscc%2Ffull-record%2FWOS:000602795300001","View Full Record in Web of Science")</f>
        <v/>
      </c>
    </row>
    <row r="1501">
      <c r="A1501" t="inlineStr">
        <is>
          <t>J</t>
        </is>
      </c>
      <c r="B1501" t="inlineStr">
        <is>
          <t>Parhizkar, H; Khoraskani, RA; Tahbaz, M</t>
        </is>
      </c>
      <c r="F1501" t="inlineStr">
        <is>
          <t>Parhizkar, Hooman; Khoraskani, Roham Afghani; Tahbaz, Mansoureh</t>
        </is>
      </c>
      <c r="J1501" t="inlineStr">
        <is>
          <t>JOURNAL OF CLEANER PRODUCTION</t>
        </is>
      </c>
      <c r="M1501" t="inlineStr">
        <is>
          <t>English</t>
        </is>
      </c>
      <c r="N1501" t="inlineStr">
        <is>
          <t>Article</t>
        </is>
      </c>
      <c r="T1501" t="inlineStr">
        <is>
          <t>Double skin facade with Azolla; ventilation, Indoor Air Quality and Thermal Performance Assessment</t>
        </is>
      </c>
      <c r="U1501" t="inlineStr">
        <is>
          <t>Indoor air quality; Ventilation rate; Green facade; Energy consumption; Azolla; Phytoremediation</t>
        </is>
      </c>
      <c r="V1501" t="inlineStr">
        <is>
          <t>CO2 CONCENTRATIONS; GREEN ROOFS; HUMIDITY; REMOVAL; SYSTEMS; HEALTH; PLANTS</t>
        </is>
      </c>
      <c r="W1501" t="inlineStr">
        <is>
          <t>Synthesis of architecture and nature is highly reputed as a sustainable approach to overcome dominant built environment challenges, such as indoor air pollution, occupant's health burden, mechanical ventilation energy consumption as well as the separation between people and nature in urban life. Plants have numerous benefits for indoor spaces, including bioremediation of air contaminants-which promotes the quality of indoor air, drops mechanical ventilation demand, and consequently reduces energy consumption. In this research, a Double Skin Facade (DSF) system is introduced, incorporating Azolla as a natural air purifier in order to absorb occupants' bio-effluent and also contribute to providing fresh air for indoor spaces. Moreover, the CO2 reduction capacity of Azolla within the DSF as a natural air purifier and its subsequent effects on mechanical ventilation size and the heating/cooling loads is investigated. The challenge for developing the idea of simulating plants activities' effect through a quantitative method is there are no software or calculating methods that recognize plants as indoor air purifiers, therefore, phytoremediation effects on HVAC operation and energy sector have been remained concealed so far. The novelty of this research is attributed to integrating Azolla fern-a hydroponic plant, into building's components for indoor air bioremediation and establishing a new assessment protocol for integrating greenery's effect on HVAC loop in which the performance of the DSF incorporating Azolla as a natural air purifier is evaluated through Indoor Air Quality and Ventilation Rate procedures, which are acknowledged as practical engineering methods for specifying air exchange demand through mechanical equipment. It is observed that within the VR procedure, DSF with Azolla aids in sequestering indoor CO2, while within the IAQ procedure it results in reducing the building's air exchange demand rate and consequentially, decrease the building's overall energy consumption. Furthermore, the cooling effect of employing Azolla as natural shading component within a DSF cavity is assessed through applying its latent heat capacity into facade thermal convection/conduction, versus aluminum blinds with the same size and spacings to computationally evaluate the thermal benefits of plants for mitigating cavity/interior spaces overheating. Results are presented demonstrating this effect on Indoor Sensible Cooling Rates in 4 different configurations. (C) 2019 Elsevier Ltd. All rights reserved.</t>
        </is>
      </c>
      <c r="X1501" t="inlineStr">
        <is>
          <t>[Parhizkar, Hooman] Univ Oregon, Inst Hlth Built Environm, Eugene, OR 97403 USA; [Parhizkar, Hooman; Khoraskani, Roham Afghani; Tahbaz, Mansoureh] Shahid Beheshti Univ Tehran, Sch Architecture &amp; Urban Planning, Tehran, Iran</t>
        </is>
      </c>
      <c r="Y1501" t="inlineStr">
        <is>
          <t>University of Oregon; Shahid Beheshti University</t>
        </is>
      </c>
      <c r="Z1501" t="inlineStr">
        <is>
          <t>Parhizkar, H (corresponding author), Univ Oregon, Inst Hlth Built Environm, Eugene, OR 97403 USA.;Parhizkar, H (corresponding author), Shahid Beheshti Univ Tehran, Sch Architecture &amp; Urban Planning, Tehran, Iran.</t>
        </is>
      </c>
      <c r="AA1501" t="inlineStr">
        <is>
          <t>hoomanp@uoregon.edu; roham.afghani@polimi.it</t>
        </is>
      </c>
      <c r="AB1501" t="inlineStr">
        <is>
          <t>Khoraskani, Roham Afghani/ABE-3581-2020; Tahbaz, Mansoureh/ABB-7994-2021</t>
        </is>
      </c>
      <c r="AC1501" t="inlineStr">
        <is>
          <t>Khoraskani, Roham Afghani/0000-0003-2728-6187; Tahbaz, Mansoureh/0000-0003-3765-8407; Parhizkar, Hooman/0000-0003-0392-9459</t>
        </is>
      </c>
      <c r="AH1501" t="n">
        <v>46</v>
      </c>
      <c r="AI1501" t="n">
        <v>24</v>
      </c>
      <c r="AJ1501" t="n">
        <v>25</v>
      </c>
      <c r="AK1501" t="n">
        <v>6</v>
      </c>
      <c r="AL1501" t="n">
        <v>73</v>
      </c>
      <c r="AM1501" t="inlineStr">
        <is>
          <t>ELSEVIER SCI LTD</t>
        </is>
      </c>
      <c r="AN1501" t="inlineStr">
        <is>
          <t>OXFORD</t>
        </is>
      </c>
      <c r="AO1501" t="inlineStr">
        <is>
          <t>THE BOULEVARD, LANGFORD LANE, KIDLINGTON, OXFORD OX5 1GB, OXON, ENGLAND</t>
        </is>
      </c>
      <c r="AP1501" t="inlineStr">
        <is>
          <t>0959-6526</t>
        </is>
      </c>
      <c r="AQ1501" t="inlineStr">
        <is>
          <t>1879-1786</t>
        </is>
      </c>
      <c r="AS1501" t="inlineStr">
        <is>
          <t>J CLEAN PROD</t>
        </is>
      </c>
      <c r="AT1501" t="inlineStr">
        <is>
          <t>J. Clean Prod.</t>
        </is>
      </c>
      <c r="AU1501" t="inlineStr">
        <is>
          <t>MAR 10</t>
        </is>
      </c>
      <c r="AV1501" t="n">
        <v>2020</v>
      </c>
      <c r="AW1501" t="n">
        <v>249</v>
      </c>
      <c r="BE1501" t="n">
        <v>119313</v>
      </c>
      <c r="BF1501" t="inlineStr">
        <is>
          <t>10.1016/j.jclepro.2019.119313</t>
        </is>
      </c>
      <c r="BG1501">
        <f>HYPERLINK("http://dx.doi.org/10.1016/j.jclepro.2019.119313","http://dx.doi.org/10.1016/j.jclepro.2019.119313")</f>
        <v/>
      </c>
      <c r="BJ1501" t="n">
        <v>10</v>
      </c>
      <c r="BK1501" t="inlineStr">
        <is>
          <t>Green &amp; Sustainable Science &amp; Technology; Engineering, Environmental; Environmental Sciences</t>
        </is>
      </c>
      <c r="BL1501" t="inlineStr">
        <is>
          <t>Science Citation Index Expanded (SCI-EXPANDED)</t>
        </is>
      </c>
      <c r="BM1501" t="inlineStr">
        <is>
          <t>Science &amp; Technology - Other Topics; Engineering; Environmental Sciences &amp; Ecology</t>
        </is>
      </c>
      <c r="BN1501" t="inlineStr">
        <is>
          <t>KD4SN</t>
        </is>
      </c>
      <c r="BS1501" t="inlineStr">
        <is>
          <t>2023-10-26</t>
        </is>
      </c>
      <c r="BT1501" t="inlineStr">
        <is>
          <t>WOS:000507856300008</t>
        </is>
      </c>
      <c r="BU1501">
        <f>HYPERLINK("https%3A%2F%2Fwww.webofscience.com%2Fwos%2Fwoscc%2Ffull-record%2FWOS:000507856300008","View Full Record in Web of Science")</f>
        <v/>
      </c>
    </row>
    <row r="1502">
      <c r="A1502" t="inlineStr">
        <is>
          <t>J</t>
        </is>
      </c>
      <c r="B1502" t="inlineStr">
        <is>
          <t>Li, XH</t>
        </is>
      </c>
      <c r="F1502" t="inlineStr">
        <is>
          <t>Li, Xuhui</t>
        </is>
      </c>
      <c r="J1502" t="inlineStr">
        <is>
          <t>FRESENIUS ENVIRONMENTAL BULLETIN</t>
        </is>
      </c>
      <c r="M1502" t="inlineStr">
        <is>
          <t>English</t>
        </is>
      </c>
      <c r="N1502" t="inlineStr">
        <is>
          <t>Article</t>
        </is>
      </c>
      <c r="T1502" t="inlineStr">
        <is>
          <t>DYNAMIC SIMULATION OF SYSTEM FLOW OF GREEN BUILDING COMPLEXES CONSIDERING ECOLOGICAL ENVIRONMENT VULNERABILITY</t>
        </is>
      </c>
      <c r="U1502" t="inlineStr">
        <is>
          <t>Ecological environment; green building complexes; system flow; dynamic model; construction flow; demolition flow</t>
        </is>
      </c>
      <c r="W1502" t="inlineStr">
        <is>
          <t>The indicators of system flow of green building complexes are diversified and decentralized. This results in the poor generality of the flow dynamics model among the various building bodies. which cannot reach the equilibrium point of the system flow of the building complexes. In this paper. we propose a systematic flow research method for green building complexes that takes into account the fragility of the ecological environment. The iThink software is used to construct the main model of the system flow-stock dynamics of the green building complexes. The main model includes four sub-models: (1) Use the building demand sub-model to determine the correlation between the number of people and the demand for green buildings; (2) Take the demand as the construction flow, and combine the principal component analysis method with the entropy method to evaluate the ecological environment vulnerability. Demolition flow is determined according to the evaluation results, and the flow-storage quantum model is used to simulate the correlation between the construction flow area, stock, and demolition flow and area of the green building complex; (3) Determine the demand for environmental sub-models according to the intensity of the demand for the use of different building materials; (4) The resource sub-model is used to analyze the amount of demolition waste generated by the green building complexes. To verify the effectiveness of the proposed method, we take Langfang City, Hebei Province, China as an example, the dynamic change trend of construction flow, demolition flow and stock of green buildings under different time periods was studied. The research results of this method show that the upward trend of construction flow reached a peak in 2005 with an area of 31.352 million/m(2); the system stock entered a stable stage by 2050 and reached a peak of 742.7 million m(2) in 2070; the demolition flow reached its peak in 2085 and the demolition areas reached 21,842,500/m(2). The method in this paper can accurately evaluate the flow and stock of the efficient green building complexes system. Finally, it can contribute to the realization of the social system of green ecology and environmental protection.</t>
        </is>
      </c>
      <c r="X1502" t="inlineStr">
        <is>
          <t>[Li, Xuhui] Henan Finance Univ, Sch Engn Econ, Zhengzhou 451464, Henan, Peoples R China</t>
        </is>
      </c>
      <c r="Y1502" t="inlineStr">
        <is>
          <t>Henan Finance University</t>
        </is>
      </c>
      <c r="Z1502" t="inlineStr">
        <is>
          <t>Li, XH (corresponding author), Henan Finance Univ, Sch Engn Econ, Zhengzhou 451464, Henan, Peoples R China.</t>
        </is>
      </c>
      <c r="AA1502" t="inlineStr">
        <is>
          <t>lixuhui_2006@163.com</t>
        </is>
      </c>
      <c r="AH1502" t="n">
        <v>27</v>
      </c>
      <c r="AI1502" t="n">
        <v>1</v>
      </c>
      <c r="AJ1502" t="n">
        <v>1</v>
      </c>
      <c r="AK1502" t="n">
        <v>1</v>
      </c>
      <c r="AL1502" t="n">
        <v>2</v>
      </c>
      <c r="AM1502" t="inlineStr">
        <is>
          <t>PARLAR SCIENTIFIC PUBLICATIONS (P S P)</t>
        </is>
      </c>
      <c r="AN1502" t="inlineStr">
        <is>
          <t>FREISING</t>
        </is>
      </c>
      <c r="AO1502" t="inlineStr">
        <is>
          <t>ANGERSTR. 12, 85354 FREISING, GERMANY</t>
        </is>
      </c>
      <c r="AP1502" t="inlineStr">
        <is>
          <t>1018-4619</t>
        </is>
      </c>
      <c r="AQ1502" t="inlineStr">
        <is>
          <t>1610-2304</t>
        </is>
      </c>
      <c r="AS1502" t="inlineStr">
        <is>
          <t>FRESEN ENVIRON BULL</t>
        </is>
      </c>
      <c r="AT1502" t="inlineStr">
        <is>
          <t>Fresenius Environ. Bull.</t>
        </is>
      </c>
      <c r="AV1502" t="n">
        <v>2020</v>
      </c>
      <c r="AW1502" t="n">
        <v>29</v>
      </c>
      <c r="AX1502" t="n">
        <v>9</v>
      </c>
      <c r="BC1502" t="n">
        <v>7660</v>
      </c>
      <c r="BD1502" t="n">
        <v>7667</v>
      </c>
      <c r="BJ1502" t="n">
        <v>8</v>
      </c>
      <c r="BK1502" t="inlineStr">
        <is>
          <t>Environmental Sciences</t>
        </is>
      </c>
      <c r="BL1502" t="inlineStr">
        <is>
          <t>Science Citation Index Expanded (SCI-EXPANDED); Social Science Citation Index (SSCI)</t>
        </is>
      </c>
      <c r="BM1502" t="inlineStr">
        <is>
          <t>Environmental Sciences &amp; Ecology</t>
        </is>
      </c>
      <c r="BN1502" t="inlineStr">
        <is>
          <t>QX2LB</t>
        </is>
      </c>
      <c r="BS1502" t="inlineStr">
        <is>
          <t>2023-10-26</t>
        </is>
      </c>
      <c r="BT1502" t="inlineStr">
        <is>
          <t>WOS:000629178300055</t>
        </is>
      </c>
      <c r="BU1502">
        <f>HYPERLINK("https%3A%2F%2Fwww.webofscience.com%2Fwos%2Fwoscc%2Ffull-record%2FWOS:000629178300055","View Full Record in Web of Science")</f>
        <v/>
      </c>
    </row>
    <row r="1503">
      <c r="A1503" t="inlineStr">
        <is>
          <t>J</t>
        </is>
      </c>
      <c r="B1503" t="inlineStr">
        <is>
          <t>Chow, HW; Wu, DR</t>
        </is>
      </c>
      <c r="F1503" t="inlineStr">
        <is>
          <t>Chow, Hsueh-wen; Wu, Dai-Rong</t>
        </is>
      </c>
      <c r="J1503" t="inlineStr">
        <is>
          <t>INTERNATIONAL JOURNAL OF ENVIRONMENTAL RESEARCH AND PUBLIC HEALTH</t>
        </is>
      </c>
      <c r="M1503" t="inlineStr">
        <is>
          <t>English</t>
        </is>
      </c>
      <c r="N1503" t="inlineStr">
        <is>
          <t>Article</t>
        </is>
      </c>
      <c r="T1503" t="inlineStr">
        <is>
          <t>Outdoor Fitness Equipment Usage Behaviors in Natural Settings</t>
        </is>
      </c>
      <c r="U1503" t="inlineStr">
        <is>
          <t>fitness zone; outdoor gym; sports injury; park; built environment</t>
        </is>
      </c>
      <c r="V1503" t="inlineStr">
        <is>
          <t>PHYSICAL-ACTIVITY; PLAYGROUND INJURIES; BUILT ENVIRONMENTS; OLDER-ADULTS; GYM; CHILDREN; IMPACT; PARKS</t>
        </is>
      </c>
      <c r="W1503" t="inlineStr">
        <is>
          <t>Outdoor fitness equipment (OFE) areas have become a popular form of built environment infrastructure in public open spaces as a means to improve public health through increased physical activity. However, the benefits of using OFE are not consistent, and several OFE accidents have been reported. In this study, we videotaped how OFE users operate OFE in parks and selected four types of popular OFE (the waist twister, air walker, ski machine, and waist/back massager) for video content analysis. Furthermore, we established coding schemes and compared results with the instructions provided by OFE manufacturers. The results revealed various usage behaviors for the same OFE types. In addition, we observed that a significant portion of user behaviors did not follow manufacturers' instructions, which might pose potential risks or actually cause injuries. Children are especially prone to act improperly. This study provides empirical evidence indicating the existence of potential safety risks due to inappropriate usage behaviors that might lead to accidents and injuries while using OFE. This study provides crucial information that can be used to evaluate the effectiveness of OFE and to develop future park or open space initiatives.</t>
        </is>
      </c>
      <c r="X1503" t="inlineStr">
        <is>
          <t>[Chow, Hsueh-wen; Wu, Dai-Rong] Natl Cheng Kung Univ, Grad Inst Phys Educ Hlth &amp; Leisure Studies, Tainan 70101, Taiwan</t>
        </is>
      </c>
      <c r="Y1503" t="inlineStr">
        <is>
          <t>National Cheng Kung University</t>
        </is>
      </c>
      <c r="Z1503" t="inlineStr">
        <is>
          <t>Chow, HW (corresponding author), Natl Cheng Kung Univ, Grad Inst Phys Educ Hlth &amp; Leisure Studies, Tainan 70101, Taiwan.</t>
        </is>
      </c>
      <c r="AA1503" t="inlineStr">
        <is>
          <t>hwchow@mail.ncku.edu.tw; 40105901e@gmail.com</t>
        </is>
      </c>
      <c r="AB1503" t="inlineStr">
        <is>
          <t>Chow, Hsueh-wen/ABI-6926-2020</t>
        </is>
      </c>
      <c r="AC1503" t="inlineStr">
        <is>
          <t>Chow, Hsueh-wen/0000-0003-2620-6878</t>
        </is>
      </c>
      <c r="AD1503" t="inlineStr">
        <is>
          <t>National Cheng Kung University</t>
        </is>
      </c>
      <c r="AE1503" t="inlineStr">
        <is>
          <t>National Cheng Kung University</t>
        </is>
      </c>
      <c r="AF1503" t="inlineStr">
        <is>
          <t>The research was funded by National Cheng Kung University. The funder had no involvement in data analysis, data interpretation or writing of the paper.</t>
        </is>
      </c>
      <c r="AH1503" t="n">
        <v>36</v>
      </c>
      <c r="AI1503" t="n">
        <v>21</v>
      </c>
      <c r="AJ1503" t="n">
        <v>21</v>
      </c>
      <c r="AK1503" t="n">
        <v>3</v>
      </c>
      <c r="AL1503" t="n">
        <v>46</v>
      </c>
      <c r="AM1503" t="inlineStr">
        <is>
          <t>MDPI</t>
        </is>
      </c>
      <c r="AN1503" t="inlineStr">
        <is>
          <t>BASEL</t>
        </is>
      </c>
      <c r="AO1503" t="inlineStr">
        <is>
          <t>ST ALBAN-ANLAGE 66, CH-4052 BASEL, SWITZERLAND</t>
        </is>
      </c>
      <c r="AQ1503" t="inlineStr">
        <is>
          <t>1660-4601</t>
        </is>
      </c>
      <c r="AS1503" t="inlineStr">
        <is>
          <t>INT J ENV RES PUB HE</t>
        </is>
      </c>
      <c r="AT1503" t="inlineStr">
        <is>
          <t>Int. J. Environ. Res. Public Health</t>
        </is>
      </c>
      <c r="AU1503" t="inlineStr">
        <is>
          <t>FEB 1</t>
        </is>
      </c>
      <c r="AV1503" t="n">
        <v>2019</v>
      </c>
      <c r="AW1503" t="n">
        <v>16</v>
      </c>
      <c r="AX1503" t="n">
        <v>3</v>
      </c>
      <c r="BE1503" t="n">
        <v>391</v>
      </c>
      <c r="BF1503" t="inlineStr">
        <is>
          <t>10.3390/ijerph16030391</t>
        </is>
      </c>
      <c r="BG1503">
        <f>HYPERLINK("http://dx.doi.org/10.3390/ijerph16030391","http://dx.doi.org/10.3390/ijerph16030391")</f>
        <v/>
      </c>
      <c r="BJ1503" t="n">
        <v>18</v>
      </c>
      <c r="BK1503" t="inlineStr">
        <is>
          <t>Environmental Sciences; Public, Environmental &amp; Occupational Health</t>
        </is>
      </c>
      <c r="BL1503" t="inlineStr">
        <is>
          <t>Science Citation Index Expanded (SCI-EXPANDED); Social Science Citation Index (SSCI)</t>
        </is>
      </c>
      <c r="BM1503" t="inlineStr">
        <is>
          <t>Environmental Sciences &amp; Ecology; Public, Environmental &amp; Occupational Health</t>
        </is>
      </c>
      <c r="BN1503" t="inlineStr">
        <is>
          <t>HM0CQ</t>
        </is>
      </c>
      <c r="BO1503" t="n">
        <v>30704116</v>
      </c>
      <c r="BP1503" t="inlineStr">
        <is>
          <t>Green Published, gold, Green Submitted</t>
        </is>
      </c>
      <c r="BS1503" t="inlineStr">
        <is>
          <t>2023-10-26</t>
        </is>
      </c>
      <c r="BT1503" t="inlineStr">
        <is>
          <t>WOS:000459113600097</t>
        </is>
      </c>
      <c r="BU1503">
        <f>HYPERLINK("https%3A%2F%2Fwww.webofscience.com%2Fwos%2Fwoscc%2Ffull-record%2FWOS:000459113600097","View Full Record in Web of Science")</f>
        <v/>
      </c>
    </row>
    <row r="1504">
      <c r="A1504" t="inlineStr">
        <is>
          <t>J</t>
        </is>
      </c>
      <c r="B1504" t="inlineStr">
        <is>
          <t>Komatsu, R; Nagai, K; Hasegawa, Y; Okuda, K; Okinaka, Y; Wada, Y; Tsuji, S; Tamaki, K; Kusunoki, H; Kishimoto, H; Shinmura, K</t>
        </is>
      </c>
      <c r="F1504" t="inlineStr">
        <is>
          <t>Komatsu, Ryo; Nagai, Koutatsu; Hasegawa, Yoko; Okuda, Kazuki; Okinaka, Yuto; Wada, Yosuke; Tsuji, Shotaro; Tamaki, Kayoko; Kusunoki, Hiroshi; Kishimoto, Hiromitsu; Shinmura, Ken</t>
        </is>
      </c>
      <c r="J1504" t="inlineStr">
        <is>
          <t>INTERNATIONAL JOURNAL OF ENVIRONMENTAL RESEARCH AND PUBLIC HEALTH</t>
        </is>
      </c>
      <c r="M1504" t="inlineStr">
        <is>
          <t>English</t>
        </is>
      </c>
      <c r="N1504" t="inlineStr">
        <is>
          <t>Article</t>
        </is>
      </c>
      <c r="T1504" t="inlineStr">
        <is>
          <t>Association between Physical Frailty Subdomains and Oral Frailty in Community-Dwelling Older Adults</t>
        </is>
      </c>
      <c r="U1504" t="inlineStr">
        <is>
          <t>physical frailty; oral frailty; physical performance; older adults</t>
        </is>
      </c>
      <c r="V1504" t="inlineStr">
        <is>
          <t>PREVALENCE</t>
        </is>
      </c>
      <c r="W1504" t="inlineStr">
        <is>
          <t>This cross-sectional study aimed to demonstrate the association between physical frailty subdomains and oral frailty. This study involved community-dwelling older adults (aged &gt;= 65 years). Physical frailty was assessed with the Japanese version of the Cardiovascular Health Study criteria. Oral frailty was defined as limitations in at least three of six domains. Logistic regression analysis was used to analyze the association between physical frailty risk and oral frailty. In addition, we examined the association between physical frailty subdomains (gait speed, grip strength, exhaustion, low physical activity, and weight loss) and oral frailty. A total of 380 participants were recruited for this study. Overall, 18% and 14% of the participants were at risk of physical frailty and had oral frailty, respectively. Physical frailty risk (odds ratio (OR) = 2.40, 95% confidence interval (CI): 1.22-4.75, p = 0.012) was associated with oral frailty in multivariate analysis. In secondary analysis, among physical frailty subdomains, gait speed (OR = 0.85, 95% CI: 0.73-0.97, p = 0.019) was associated with oral frailty. The present findings suggest that physical frailty is closely related to oral frailty. Among physical frailty subdomains, decreased gait speed in particular is an important indicator related to the development of oral frailty.</t>
        </is>
      </c>
      <c r="X1504" t="inlineStr">
        <is>
          <t>[Komatsu, Ryo; Nagai, Koutatsu; Okuda, Kazuki; Okinaka, Yuto] Hyogo Univ Hlth Sci, Sch Rehabil, Dept Phys Therapy, Chuo Ku, 1-3-6 Minatojima, Kobe, Hyogo 6508530, Japan; [Hasegawa, Yoko; Kishimoto, Hiromitsu] Hyogo Coll Med, Dept Dent &amp; Oral Surg, 1-1 Mukogawa Cho, Nishinomiya, Hyogo 6638501, Japan; [Hasegawa, Yoko] Niigata Univ, Fac Dent, Grad Sch Med &amp; Dent Sci, Div Comprehens Prosthodont, Niigata 9518514, Japan; [Wada, Yosuke] Hyogo Coll Med, Dept Rehabil, Sasayama Med Ctr, Sasayama, Hyogo 6692321, Japan; [Tsuji, Shotaro] Hyogo Coll Med, Dept Orthopaed Surg, Nishinomiya, Hyogo 6638501, Japan; [Tamaki, Kayoko; Kusunoki, Hiroshi; Shinmura, Ken] Hyogo Coll Med, Dept Gen Med, 1-1 Mukogawa, Nishinomiya, Hyogo 6638501, Japan</t>
        </is>
      </c>
      <c r="Y1504" t="inlineStr">
        <is>
          <t>Hyogo College of Medicine; Niigata University; Hyogo College of Medicine; Hyogo College of Medicine; Hyogo College of Medicine</t>
        </is>
      </c>
      <c r="Z1504" t="inlineStr">
        <is>
          <t>Nagai, K (corresponding author), Hyogo Univ Hlth Sci, Sch Rehabil, Dept Phys Therapy, Chuo Ku, 1-3-6 Minatojima, Kobe, Hyogo 6508530, Japan.</t>
        </is>
      </c>
      <c r="AA1504" t="inlineStr">
        <is>
          <t>pr17024@std.huhs.ac.jp; nagai-k@huhs.ac.jp; cem17150@dent.niigata-u.ac.jp; pr17012@std.huhs.ac.jp; pr17011@std.huhs.ac.jp; yu-wada@hyo-med.ac.jp; tj13041305sho@gmail.com; ka-tamaki@hyo-med.ac.jp; kusunoki1019@yahoo.co.jp; kisihiro@hyo-med.ac.jp; ke-shimmura@hyo-med.ac.jp</t>
        </is>
      </c>
      <c r="AC1504" t="inlineStr">
        <is>
          <t>Komatsu, Ryo/0000-0002-9562-0629; Hasegawa, Yoko/0000-0001-9112-5981; Nagai, Koutatsu/0000-0003-2726-7285</t>
        </is>
      </c>
      <c r="AD1504" t="inlineStr">
        <is>
          <t>Hyogo Dental Association; 8020 Foundation; Mitsui Sumitomo Insurance Welfare Award; Japan Society for the Promotion of Science (JSPS) [16KT0012, 19K19723, 16K11640]; Grants-in-Aid for Scientific Research [16K11640, 19K19723] Funding Source: KAKEN</t>
        </is>
      </c>
      <c r="AE1504" t="inlineStr">
        <is>
          <t>Hyogo Dental Association; 8020 Foundation; Mitsui Sumitomo Insurance Welfare Award; Japan Society for the Promotion of Science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is>
      </c>
      <c r="AF1504" t="inlineStr">
        <is>
          <t>This study was supported by the Hyogo Dental Association, 8020 Foundation (Yoko Hasegawa), the Mitsui Sumitomo Insurance Welfare Award, a grant in the field of Senior Citizen Welfare (Ken Shinmura), and by the Japan Society for the Promotion of Science (JSPS) Grant-in-Aid for Scientific Research (KAKENHI) (grant no. 16KT0012 to Ken Shinmura, 19K19723 to Koutatsu Nagai, and 16K11640 to Yoko Hasegawa).</t>
        </is>
      </c>
      <c r="AH1504" t="n">
        <v>31</v>
      </c>
      <c r="AI1504" t="n">
        <v>6</v>
      </c>
      <c r="AJ1504" t="n">
        <v>9</v>
      </c>
      <c r="AK1504" t="n">
        <v>15</v>
      </c>
      <c r="AL1504" t="n">
        <v>71</v>
      </c>
      <c r="AM1504" t="inlineStr">
        <is>
          <t>MDPI</t>
        </is>
      </c>
      <c r="AN1504" t="inlineStr">
        <is>
          <t>BASEL</t>
        </is>
      </c>
      <c r="AO1504" t="inlineStr">
        <is>
          <t>ST ALBAN-ANLAGE 66, CH-4052 BASEL, SWITZERLAND</t>
        </is>
      </c>
      <c r="AQ1504" t="inlineStr">
        <is>
          <t>1660-4601</t>
        </is>
      </c>
      <c r="AS1504" t="inlineStr">
        <is>
          <t>INT J ENV RES PUB HE</t>
        </is>
      </c>
      <c r="AT1504" t="inlineStr">
        <is>
          <t>Int. J. Environ. Res. Public Health</t>
        </is>
      </c>
      <c r="AU1504" t="inlineStr">
        <is>
          <t>MAR</t>
        </is>
      </c>
      <c r="AV1504" t="n">
        <v>2021</v>
      </c>
      <c r="AW1504" t="n">
        <v>18</v>
      </c>
      <c r="AX1504" t="n">
        <v>6</v>
      </c>
      <c r="BE1504" t="n">
        <v>2931</v>
      </c>
      <c r="BF1504" t="inlineStr">
        <is>
          <t>10.3390/ijerph18062931</t>
        </is>
      </c>
      <c r="BG1504">
        <f>HYPERLINK("http://dx.doi.org/10.3390/ijerph18062931","http://dx.doi.org/10.3390/ijerph18062931")</f>
        <v/>
      </c>
      <c r="BJ1504" t="n">
        <v>9</v>
      </c>
      <c r="BK1504" t="inlineStr">
        <is>
          <t>Environmental Sciences; Public, Environmental &amp; Occupational Health</t>
        </is>
      </c>
      <c r="BL1504" t="inlineStr">
        <is>
          <t>Science Citation Index Expanded (SCI-EXPANDED); Social Science Citation Index (SSCI)</t>
        </is>
      </c>
      <c r="BM1504" t="inlineStr">
        <is>
          <t>Environmental Sciences &amp; Ecology; Public, Environmental &amp; Occupational Health</t>
        </is>
      </c>
      <c r="BN1504" t="inlineStr">
        <is>
          <t>RL8HH</t>
        </is>
      </c>
      <c r="BO1504" t="n">
        <v>33809322</v>
      </c>
      <c r="BP1504" t="inlineStr">
        <is>
          <t>Green Published, gold</t>
        </is>
      </c>
      <c r="BS1504" t="inlineStr">
        <is>
          <t>2023-10-26</t>
        </is>
      </c>
      <c r="BT1504" t="inlineStr">
        <is>
          <t>WOS:000639206500001</t>
        </is>
      </c>
      <c r="BU1504">
        <f>HYPERLINK("https%3A%2F%2Fwww.webofscience.com%2Fwos%2Fwoscc%2Ffull-record%2FWOS:000639206500001","View Full Record in Web of Science")</f>
        <v/>
      </c>
    </row>
    <row r="1505">
      <c r="A1505" t="inlineStr">
        <is>
          <t>J</t>
        </is>
      </c>
      <c r="B1505" t="inlineStr">
        <is>
          <t>Afshari, A; Ekberg, L; Forejt, L; Mo, JH; Rahimi, S; Siegel, J; Chen, WH; Wargocki, P; Zurami, S; Zhang, JS</t>
        </is>
      </c>
      <c r="F1505" t="inlineStr">
        <is>
          <t>Afshari, Alireza; Ekberg, Lars; Forejt, Lubos; Mo, Jinhan; Rahimi, Siamak; Siegel, Jeffrey; Chen, Wenhao; Wargocki, Pawel; Zurami, Sultan; Zhang, Jianshun</t>
        </is>
      </c>
      <c r="J1505" t="inlineStr">
        <is>
          <t>SUSTAINABILITY</t>
        </is>
      </c>
      <c r="M1505" t="inlineStr">
        <is>
          <t>English</t>
        </is>
      </c>
      <c r="N1505" t="inlineStr">
        <is>
          <t>Review</t>
        </is>
      </c>
      <c r="T1505" t="inlineStr">
        <is>
          <t>Electrostatic Precipitators as an Indoor Air Cleaner-A Literature Review</t>
        </is>
      </c>
      <c r="U1505" t="inlineStr">
        <is>
          <t>Electrostatic precipitator (ESP); indoor air quality; filter; filtration; air pollutions</t>
        </is>
      </c>
      <c r="V1505" t="inlineStr">
        <is>
          <t>ULTRAFINE PARTICLE REMOVAL; DC CORONA DISCHARGE; OZONE EMISSION; PARTICULATE MATTER; COARSE FILTER; CARDIOVASCULAR-DISEASE; FINE PARTICLES; DELIVERY RATE; GENERATION; FILTRATION</t>
        </is>
      </c>
      <c r="W1505" t="inlineStr">
        <is>
          <t>Many people spend most of their time in an indoor environment. A positive relationship exists between indoor environmental quality and the health, wellbeing, and productivity of occupants in buildings. The indoor environment is affected by pollutants, such as gases and particles. Pollutants can be removed from the indoor environment in various ways. Air-cleaning devices are commonly marketed as benefiting the removal of air pollutants and, consequently, improving indoor air quality. Depending on the type of cleaning technology, air cleaners may generate undesired and toxic byproducts. Different air filtration technologies, such as electrostatic precipitators (ESPs) have been introduced to the market. The ESP has been used in buildings because it can remove particles while only causing low pressure drops. Moreover, ESPs can be either in-duct or standalone units. This review aims to provide an overview of ESP use, methods for testing this product, the performance of existing ESPs concerning removing pollutants and their byproducts, and the existing market for ESPs.</t>
        </is>
      </c>
      <c r="X1505" t="inlineStr">
        <is>
          <t>[Afshari, Alireza; Rahimi, Siamak] Aalborg Univ, Dept Built Environm, AC Meyers Vaenge 15, DK-2450 Copenhagen, Denmark; [Ekberg, Lars] CIT Energy Management AB, SE-41288 Gothenburg, Sweden; [Forejt, Lubos] Honeywell Aerosp, Hlubocky Marianske Udoli 78365, Czech Republic; [Mo, Jinhan] Tsinghua Univ, Dept Bldg Sci, Beijing 100084, Peoples R China; [Mo, Jinhan] Beijing Key Lab Indoor Air Qual Evaluat &amp; Control, Beijing 100084, Peoples R China; [Siegel, Jeffrey] Univ Toronto, Dept Civil &amp; Mineral Engn, Toronto, ON M5S 1A4, Canada; [Chen, Wenhao] Calif Dept Publ Hlth, Environm Hlth Lab Branch, Indoor Air Qual Program, Richmond, CA 94804 USA; [Wargocki, Pawel] Tech Univ Denmark, Int Ctr Indoor Environm &amp; Energy DTU Civil Engn, DK-2800 Lyngby, Denmark; [Zurami, Sultan] CREATE Campus Res Excellence &amp; Technol Enterprise, Singapore 13860, Singapore; [Zhang, Jianshun] Syracuse Univ, Dept Mech &amp; Aerosp Engn, Bldg Energy &amp; Environm Syst Lab BEESL, New York, NY 13244 USA; [Zhang, Jianshun] Syracuse Univ, Dept Civil &amp; Environm Engn, New York, NY 13244 USA; [Zhang, Jianshun] Nanjing Univ, Sch Architecture &amp; Urban Planning, Nanjing 210093, Peoples R China</t>
        </is>
      </c>
      <c r="Y1505" t="inlineStr">
        <is>
          <t>Aalborg University; Honeywell; Tsinghua University; University of Toronto; California Department of Public Health; Technical University of Denmark; Syracuse University; Syracuse University; Nanjing University</t>
        </is>
      </c>
      <c r="Z1505" t="inlineStr">
        <is>
          <t>Afshari, A (corresponding author), Aalborg Univ, Dept Built Environm, AC Meyers Vaenge 15, DK-2450 Copenhagen, Denmark.;Mo, JH (corresponding author), Tsinghua Univ, Dept Bldg Sci, Beijing 100084, Peoples R China.;Mo, JH (corresponding author), Beijing Key Lab Indoor Air Qual Evaluat &amp; Control, Beijing 100084, Peoples R China.</t>
        </is>
      </c>
      <c r="AA1505" t="inlineStr">
        <is>
          <t>aaf@build.aau.dk; lars.ekberg@cit.chalmers.se; lubos_48y@yahoo.com; mojinhan@tsinghua.edu.cn; siamak.ardkapan@airlabs.com; jeffrey.siegel@utoronto.ca; wenhao.chen@cdph.ca.gov; paw@byg.dtu.dk; zee-ms@hotmail.com; jszhang@syr.edu</t>
        </is>
      </c>
      <c r="AB1505" t="inlineStr">
        <is>
          <t>Mo, Jinhan/A-7424-2008; Wargocki, Pawel/AAZ-9496-2021</t>
        </is>
      </c>
      <c r="AC1505" t="inlineStr">
        <is>
          <t>Mo, Jinhan/0000-0002-3178-6507; Wargocki, Pawel/0000-0003-3865-3560; Ekberg, Lars/0000-0002-6790-6638</t>
        </is>
      </c>
      <c r="AD1505" t="inlineStr">
        <is>
          <t>Aalborg University; National Natural Science Foundation of China [52078269, 51722807]</t>
        </is>
      </c>
      <c r="AE1505" t="inlineStr">
        <is>
          <t>Aalborg University; National Natural Science Foundation of China(National Natural Science Foundation of China (NSFC))</t>
        </is>
      </c>
      <c r="AF1505" t="inlineStr">
        <is>
          <t>This research was funded by Aalborg University and National Natural Science Foundation of China (grant numbers: 52078269, 51722807).</t>
        </is>
      </c>
      <c r="AH1505" t="n">
        <v>89</v>
      </c>
      <c r="AI1505" t="n">
        <v>29</v>
      </c>
      <c r="AJ1505" t="n">
        <v>29</v>
      </c>
      <c r="AK1505" t="n">
        <v>5</v>
      </c>
      <c r="AL1505" t="n">
        <v>72</v>
      </c>
      <c r="AM1505" t="inlineStr">
        <is>
          <t>MDPI</t>
        </is>
      </c>
      <c r="AN1505" t="inlineStr">
        <is>
          <t>BASEL</t>
        </is>
      </c>
      <c r="AO1505" t="inlineStr">
        <is>
          <t>ST ALBAN-ANLAGE 66, CH-4052 BASEL, SWITZERLAND</t>
        </is>
      </c>
      <c r="AQ1505" t="inlineStr">
        <is>
          <t>2071-1050</t>
        </is>
      </c>
      <c r="AS1505" t="inlineStr">
        <is>
          <t>SUSTAINABILITY-BASEL</t>
        </is>
      </c>
      <c r="AT1505" t="inlineStr">
        <is>
          <t>Sustainability</t>
        </is>
      </c>
      <c r="AU1505" t="inlineStr">
        <is>
          <t>NOV</t>
        </is>
      </c>
      <c r="AV1505" t="n">
        <v>2020</v>
      </c>
      <c r="AW1505" t="n">
        <v>12</v>
      </c>
      <c r="AX1505" t="n">
        <v>21</v>
      </c>
      <c r="BE1505" t="n">
        <v>8774</v>
      </c>
      <c r="BF1505" t="inlineStr">
        <is>
          <t>10.3390/su12218774</t>
        </is>
      </c>
      <c r="BG1505">
        <f>HYPERLINK("http://dx.doi.org/10.3390/su12218774","http://dx.doi.org/10.3390/su12218774")</f>
        <v/>
      </c>
      <c r="BJ1505" t="n">
        <v>22</v>
      </c>
      <c r="BK1505" t="inlineStr">
        <is>
          <t>Green &amp; Sustainable Science &amp; Technology; Environmental Sciences; Environmental Studies</t>
        </is>
      </c>
      <c r="BL1505" t="inlineStr">
        <is>
          <t>Science Citation Index Expanded (SCI-EXPANDED); Social Science Citation Index (SSCI)</t>
        </is>
      </c>
      <c r="BM1505" t="inlineStr">
        <is>
          <t>Science &amp; Technology - Other Topics; Environmental Sciences &amp; Ecology</t>
        </is>
      </c>
      <c r="BN1505" t="inlineStr">
        <is>
          <t>OR2GJ</t>
        </is>
      </c>
      <c r="BP1505" t="inlineStr">
        <is>
          <t>Green Published, gold</t>
        </is>
      </c>
      <c r="BS1505" t="inlineStr">
        <is>
          <t>2023-10-26</t>
        </is>
      </c>
      <c r="BT1505" t="inlineStr">
        <is>
          <t>WOS:000589293000001</t>
        </is>
      </c>
      <c r="BU1505">
        <f>HYPERLINK("https%3A%2F%2Fwww.webofscience.com%2Fwos%2Fwoscc%2Ffull-record%2FWOS:000589293000001","View Full Record in Web of Science")</f>
        <v/>
      </c>
    </row>
    <row r="1506">
      <c r="A1506" t="inlineStr">
        <is>
          <t>J</t>
        </is>
      </c>
      <c r="B1506" t="inlineStr">
        <is>
          <t>Thampanichwat, C; Bunyarittikit, S; Moorapun, C; Phaibulputhipong, P</t>
        </is>
      </c>
      <c r="F1506" t="inlineStr">
        <is>
          <t>Thampanichwat, Chaniporn; Bunyarittikit, Suphat; Moorapun, Chumporn; Phaibulputhipong, Prima</t>
        </is>
      </c>
      <c r="J1506" t="inlineStr">
        <is>
          <t>SUSTAINABILITY</t>
        </is>
      </c>
      <c r="M1506" t="inlineStr">
        <is>
          <t>English</t>
        </is>
      </c>
      <c r="N1506" t="inlineStr">
        <is>
          <t>Article</t>
        </is>
      </c>
      <c r="T1506" t="inlineStr">
        <is>
          <t>A Content Analysis of Architectural Atmosphere Influencing Mindfulness through the Lens of Instagram</t>
        </is>
      </c>
      <c r="U1506" t="inlineStr">
        <is>
          <t>content analysis; architectural atmosphere; mindfulness; Instagram; sustainability</t>
        </is>
      </c>
      <c r="V1506" t="inlineStr">
        <is>
          <t>SOCIAL MEDIA; ECOLOGICAL SUSTAINABILITY; CONSUMPTION; LIFE; ENGAGEMENT; AWARENESS; CONSUMER; BEHAVIOR; SYSTEMS; SCALE</t>
        </is>
      </c>
      <c r="W1506" t="inlineStr">
        <is>
          <t>Mindfulness is a psychological construct that enhances sustainable behaviors, environmental behavior, environmental consumption, mindful consumption, and water and energy sustainable consumption. The state of mindfulness can be affected by the determinator of the physical environment as architecture via the architectural atmosphere. The previous studies show that the discrete areas of knowledge between architecture and mindfulness are still widely unknown. However, image-centered social media platforms such as Instagram seem to be able to provide big data for studying people's perceptions of architecture. Thus, this study aims to describe the concept design and characteristics of architectural atmosphere in architecture images tagged mindfulness posted to Instagram. A coding framework developed from a previous systematic literature review was conducted for this content analysis. A total of 354 architectural images were screened, coded, and analyzed by five architects. The results highlight that the Japanese traditional architecture (59.20%) looks to be the most architectural atmosphere concept that influences mindfulness, following by Biophilic Design (33.05%), and Buddhist contemplative space (20.06%). In addition, it was found that the most common architectural atmosphere characteristic fostering mindfulness performed calm space (73.58%), focus object (54.45%), concrete material (85.71%), hue color (78.17%), hard light and shadow (78.98%), and view with a tree (60.11%).</t>
        </is>
      </c>
      <c r="X1506" t="inlineStr">
        <is>
          <t>[Thampanichwat, Chaniporn; Bunyarittikit, Suphat; Moorapun, Chumporn; Phaibulputhipong, Prima] King Mongkuts Inst Technol Ladkrabang, Sch Architecture Art &amp; Design, Bangkok 10520, Thailand</t>
        </is>
      </c>
      <c r="Y1506" t="inlineStr">
        <is>
          <t>King Mongkuts Institute of Technology Ladkrabang</t>
        </is>
      </c>
      <c r="Z1506" t="inlineStr">
        <is>
          <t>Thampanichwat, C (corresponding author), King Mongkuts Inst Technol Ladkrabang, Sch Architecture Art &amp; Design, Bangkok 10520, Thailand.</t>
        </is>
      </c>
      <c r="AA1506" t="inlineStr">
        <is>
          <t>63602060@kmitl.ac.th; suphat.bu@kmitl.ac.th; chumporn.mo@kmitl.ac.th; prima.phaibul@gmail.com</t>
        </is>
      </c>
      <c r="AH1506" t="n">
        <v>120</v>
      </c>
      <c r="AI1506" t="n">
        <v>0</v>
      </c>
      <c r="AJ1506" t="n">
        <v>0</v>
      </c>
      <c r="AK1506" t="n">
        <v>4</v>
      </c>
      <c r="AL1506" t="n">
        <v>4</v>
      </c>
      <c r="AM1506" t="inlineStr">
        <is>
          <t>MDPI</t>
        </is>
      </c>
      <c r="AN1506" t="inlineStr">
        <is>
          <t>BASEL</t>
        </is>
      </c>
      <c r="AO1506" t="inlineStr">
        <is>
          <t>ST ALBAN-ANLAGE 66, CH-4052 BASEL, SWITZERLAND</t>
        </is>
      </c>
      <c r="AQ1506" t="inlineStr">
        <is>
          <t>2071-1050</t>
        </is>
      </c>
      <c r="AS1506" t="inlineStr">
        <is>
          <t>SUSTAINABILITY-BASEL</t>
        </is>
      </c>
      <c r="AT1506" t="inlineStr">
        <is>
          <t>Sustainability</t>
        </is>
      </c>
      <c r="AU1506" t="inlineStr">
        <is>
          <t>JUL</t>
        </is>
      </c>
      <c r="AV1506" t="n">
        <v>2023</v>
      </c>
      <c r="AW1506" t="n">
        <v>15</v>
      </c>
      <c r="AX1506" t="n">
        <v>13</v>
      </c>
      <c r="BE1506" t="n">
        <v>10063</v>
      </c>
      <c r="BF1506" t="inlineStr">
        <is>
          <t>10.3390/su151310063</t>
        </is>
      </c>
      <c r="BG1506">
        <f>HYPERLINK("http://dx.doi.org/10.3390/su151310063","http://dx.doi.org/10.3390/su151310063")</f>
        <v/>
      </c>
      <c r="BJ1506" t="n">
        <v>19</v>
      </c>
      <c r="BK1506" t="inlineStr">
        <is>
          <t>Green &amp; Sustainable Science &amp; Technology; Environmental Sciences; Environmental Studies</t>
        </is>
      </c>
      <c r="BL1506" t="inlineStr">
        <is>
          <t>Science Citation Index Expanded (SCI-EXPANDED); Social Science Citation Index (SSCI)</t>
        </is>
      </c>
      <c r="BM1506" t="inlineStr">
        <is>
          <t>Science &amp; Technology - Other Topics; Environmental Sciences &amp; Ecology</t>
        </is>
      </c>
      <c r="BN1506" t="inlineStr">
        <is>
          <t>M1VO3</t>
        </is>
      </c>
      <c r="BP1506" t="inlineStr">
        <is>
          <t>gold</t>
        </is>
      </c>
      <c r="BS1506" t="inlineStr">
        <is>
          <t>2023-10-26</t>
        </is>
      </c>
      <c r="BT1506" t="inlineStr">
        <is>
          <t>WOS:001028126500001</t>
        </is>
      </c>
      <c r="BU1506">
        <f>HYPERLINK("https%3A%2F%2Fwww.webofscience.com%2Fwos%2Fwoscc%2Ffull-record%2FWOS:001028126500001","View Full Record in Web of Science")</f>
        <v/>
      </c>
    </row>
    <row r="1507">
      <c r="A1507" t="inlineStr">
        <is>
          <t>J</t>
        </is>
      </c>
      <c r="B1507" t="inlineStr">
        <is>
          <t>Hayashi, C</t>
        </is>
      </c>
      <c r="F1507" t="inlineStr">
        <is>
          <t>Hayashi, Chisato</t>
        </is>
      </c>
      <c r="J1507" t="inlineStr">
        <is>
          <t>INTERNATIONAL JOURNAL OF ENVIRONMENTAL RESEARCH AND PUBLIC HEALTH</t>
        </is>
      </c>
      <c r="M1507" t="inlineStr">
        <is>
          <t>English</t>
        </is>
      </c>
      <c r="N1507" t="inlineStr">
        <is>
          <t>Article</t>
        </is>
      </c>
      <c r="T1507" t="inlineStr">
        <is>
          <t>Relationship between Fatigue and Self-Perception of Constipation in Community-Dwelling Older Adults during the COVID-19 Pandemic</t>
        </is>
      </c>
      <c r="U1507" t="inlineStr">
        <is>
          <t>self-perception of constipation; fatigue; COVID-19; community-dwelling older adults</t>
        </is>
      </c>
      <c r="V1507" t="inlineStr">
        <is>
          <t>PATHOPHYSIOLOGY; EPIDEMIOLOGY; PREVALENCE; SYMPTOMS; VALIDITY; FRAILTY</t>
        </is>
      </c>
      <c r="W1507" t="inlineStr">
        <is>
          <t>Fatigue and constipation are common symptoms among community-dwelling older adults; however, no studies have explored the relationship between both symptoms in said group. Therefore, this study aimed to examine the relationship between fatigue and self-perception of constipation in community-dwelling older adults during the COVID-19 pandemic. A cross-sectional survey was conducted among 97 older people (response rate: 73.2%) between July and November 2021. Backward-forward stepwise linear regression was performed to identify possible predictors of fatigue among the explanatory variable (self-perception of constipation) and possible confounders, which included (a) age, (b) motor fitness scale, (c) economic satisfaction, (d) subjective memory impairment, (e) subjective health, (f) depression, (g) living alone or not, (h) sex, and (i) frequency of exercise. The intercept of the fatigue score was 42.48 points (95% CI = 32.40 to 49.99, p &lt; 0.001). The results showed that the fatigue score in community-dwelling older adults who had self-perception of constipation was significantly lower (i.e., they had higher fatigue; B = -4.49, 95% CI = -6.58 to -2.40, p &lt; 0.001) compared to those who did not have self-perception of constipation. Therefore, there is a need to develop self-management strategies that older people can use to improve the self-perception of constipation.</t>
        </is>
      </c>
      <c r="X1507" t="inlineStr">
        <is>
          <t>[Hayashi, Chisato] Univ Hyogo, Res Inst Nursing Care People &amp; Community, 13-71 Kitaoji Cho, Akashi, Hyogo 6738588, Japan</t>
        </is>
      </c>
      <c r="Y1507" t="inlineStr">
        <is>
          <t>University of Hyogo</t>
        </is>
      </c>
      <c r="Z1507" t="inlineStr">
        <is>
          <t>Hayashi, C (corresponding author), Univ Hyogo, Res Inst Nursing Care People &amp; Community, 13-71 Kitaoji Cho, Akashi, Hyogo 6738588, Japan.</t>
        </is>
      </c>
      <c r="AA1507" t="inlineStr">
        <is>
          <t>chisato_hayashi@cnas.u-hyogo.ac.jp</t>
        </is>
      </c>
      <c r="AD1507" t="inlineStr">
        <is>
          <t>JSPS KAKENHI [18K10645, 21H03273]</t>
        </is>
      </c>
      <c r="AE1507" t="inlineStr">
        <is>
          <t>JSPS KAKENHI(Ministry of Education, Culture, Sports, Science and Technology, Japan (MEXT)Japan Society for the Promotion of ScienceGrants-in-Aid for Scientific Research (KAKENHI))</t>
        </is>
      </c>
      <c r="AF1507" t="inlineStr">
        <is>
          <t>This research was funded by JSPS KAKENHI, grant numbers: 18K10645 and 21H03273. The funders had no role in the study design, data collection and analysis, decision to publish the results, or manuscript preparation.</t>
        </is>
      </c>
      <c r="AH1507" t="n">
        <v>45</v>
      </c>
      <c r="AI1507" t="n">
        <v>0</v>
      </c>
      <c r="AJ1507" t="n">
        <v>0</v>
      </c>
      <c r="AK1507" t="n">
        <v>1</v>
      </c>
      <c r="AL1507" t="n">
        <v>6</v>
      </c>
      <c r="AM1507" t="inlineStr">
        <is>
          <t>MDPI</t>
        </is>
      </c>
      <c r="AN1507" t="inlineStr">
        <is>
          <t>BASEL</t>
        </is>
      </c>
      <c r="AO1507" t="inlineStr">
        <is>
          <t>ST ALBAN-ANLAGE 66, CH-4052 BASEL, SWITZERLAND</t>
        </is>
      </c>
      <c r="AQ1507" t="inlineStr">
        <is>
          <t>1660-4601</t>
        </is>
      </c>
      <c r="AS1507" t="inlineStr">
        <is>
          <t>INT J ENV RES PUB HE</t>
        </is>
      </c>
      <c r="AT1507" t="inlineStr">
        <is>
          <t>Int. J. Environ. Res. Public Health</t>
        </is>
      </c>
      <c r="AU1507" t="inlineStr">
        <is>
          <t>JUL</t>
        </is>
      </c>
      <c r="AV1507" t="n">
        <v>2022</v>
      </c>
      <c r="AW1507" t="n">
        <v>19</v>
      </c>
      <c r="AX1507" t="n">
        <v>14</v>
      </c>
      <c r="BE1507" t="n">
        <v>8406</v>
      </c>
      <c r="BF1507" t="inlineStr">
        <is>
          <t>10.3390/ijerph19148406</t>
        </is>
      </c>
      <c r="BG1507">
        <f>HYPERLINK("http://dx.doi.org/10.3390/ijerph19148406","http://dx.doi.org/10.3390/ijerph19148406")</f>
        <v/>
      </c>
      <c r="BJ1507" t="n">
        <v>11</v>
      </c>
      <c r="BK1507" t="inlineStr">
        <is>
          <t>Environmental Sciences; Public, Environmental &amp; Occupational Health</t>
        </is>
      </c>
      <c r="BL1507" t="inlineStr">
        <is>
          <t>Science Citation Index Expanded (SCI-EXPANDED); Social Science Citation Index (SSCI)</t>
        </is>
      </c>
      <c r="BM1507" t="inlineStr">
        <is>
          <t>Environmental Sciences &amp; Ecology; Public, Environmental &amp; Occupational Health</t>
        </is>
      </c>
      <c r="BN1507" t="inlineStr">
        <is>
          <t>3L0YU</t>
        </is>
      </c>
      <c r="BO1507" t="n">
        <v>35886257</v>
      </c>
      <c r="BP1507" t="inlineStr">
        <is>
          <t>Green Published, gold</t>
        </is>
      </c>
      <c r="BS1507" t="inlineStr">
        <is>
          <t>2023-10-26</t>
        </is>
      </c>
      <c r="BT1507" t="inlineStr">
        <is>
          <t>WOS:000834497000001</t>
        </is>
      </c>
      <c r="BU1507">
        <f>HYPERLINK("https%3A%2F%2Fwww.webofscience.com%2Fwos%2Fwoscc%2Ffull-record%2FWOS:000834497000001","View Full Record in Web of Science")</f>
        <v/>
      </c>
    </row>
    <row r="1508">
      <c r="A1508" t="inlineStr">
        <is>
          <t>J</t>
        </is>
      </c>
      <c r="B1508" t="inlineStr">
        <is>
          <t>Alencar, MH; Priori, L; Alencar, LH</t>
        </is>
      </c>
      <c r="F1508" t="inlineStr">
        <is>
          <t>Alencar, Marcelo Hazin; Priori, Luiz, Jr.; Alencar, Luciana Hazin</t>
        </is>
      </c>
      <c r="J1508" t="inlineStr">
        <is>
          <t>JOURNAL OF CLEANER PRODUCTION</t>
        </is>
      </c>
      <c r="M1508" t="inlineStr">
        <is>
          <t>English</t>
        </is>
      </c>
      <c r="N1508" t="inlineStr">
        <is>
          <t>Article</t>
        </is>
      </c>
      <c r="T1508" t="inlineStr">
        <is>
          <t>Structuring objectives based on value-focused thinking methodology: Creating alternatives for sustainability in the built environment</t>
        </is>
      </c>
      <c r="U1508" t="inlineStr">
        <is>
          <t>Sustainability; Built environment; Sustainable construction; Value-Focused Thinking (VFT)</t>
        </is>
      </c>
      <c r="V1508" t="inlineStr">
        <is>
          <t>LIFE-CYCLE ASSESSMENT; ENERGY; BUILDINGS; DESIGN; PERFORMANCE; IMPACT; CONSUMPTION; IMPROVEMENT; CONCRETE; INDUSTRY</t>
        </is>
      </c>
      <c r="W1508" t="inlineStr">
        <is>
          <t>The sustainability of the built environment has been the subject of numerous articles in the literature in recent years due to its importance for society. In this article, based on applying Value-Focused Thinking methodology (VFT) and the opinion of actors who are active in the construction industry, objectives are set and action alternatives are created. This has enabled new ideas to emerge that may well contribute towards rationalizing and using raw materials in buildings, thus leading to the more efficient use of available resources which, as a result, will have a positive impact on the sustainability of companies. VFT was used in this study to create more sustainable alternatives for the use and occupation of a building. In order to identify the strategic objective and the fundamental objectives for the decision context in question, three pillars of environmental sustainability were considered: improving management and the generation of energy; rationalizing and reusing water and wastewater; and managing wastes. From the analysis of the attributes associated with the fundamental objectives, alternatives were proposed and analyzes were performed for the problem under study. This led to proposing actions that should be implemented during the design phase and construction, with a view to obtaining positive results in terms of the sustainability of the built environment. A case study was presented in a construction project that was at a design stage. As a result, the company created alternatives that were prioritized using a multicriteria method, which included technical designs, specifications of more durable materials, automation, and other matters that can be implemented during the construction stage so as to provide a more sustainable built environment. (C) 2017 Elsevier Ltd. All rights reserved.</t>
        </is>
      </c>
      <c r="X1508" t="inlineStr">
        <is>
          <t>[Alencar, Marcelo Hazin; Priori, Luiz, Jr.; Alencar, Luciana Hazin] Univ Fed Pernambuco UFPE, CDSID, Ave Prof Moraes Rego,1235 Cidade Univ, Recife, PE, Brazil</t>
        </is>
      </c>
      <c r="Y1508" t="inlineStr">
        <is>
          <t>Universidade Federal de Pernambuco</t>
        </is>
      </c>
      <c r="Z1508" t="inlineStr">
        <is>
          <t>Alencar, MH (corresponding author), Univ Fed Pernambuco UFPE, CDSID, Ave Prof Moraes Rego,1235 Cidade Univ, Recife, PE, Brazil.</t>
        </is>
      </c>
      <c r="AA1508" t="inlineStr">
        <is>
          <t>marceloalencar@cdsid.org.br</t>
        </is>
      </c>
      <c r="AB1508" t="inlineStr">
        <is>
          <t>Alencar, Marcelo/AAG-8534-2020; Alencar, Luciana H/M-4658-2014; Alencar, Marcelo H/G-9670-2012</t>
        </is>
      </c>
      <c r="AC1508" t="inlineStr">
        <is>
          <t>Alencar, Marcelo/0000-0002-2054-7885; Alencar, Luciana H/0000-0003-1972-7421; Alencar, Marcelo H/0000-0002-2054-7885</t>
        </is>
      </c>
      <c r="AD1508" t="inlineStr">
        <is>
          <t>Brazilian Research Council (CNPq); Brazilian Coordination Unit for Higher Education Personnel (CAPES)</t>
        </is>
      </c>
      <c r="AE1508" t="inlineStr">
        <is>
          <t>Brazilian Research Council (CNPq)(Conselho Nacional de Desenvolvimento Cientifico e Tecnologico (CNPQ)); Brazilian Coordination Unit for Higher Education Personnel (CAPES)(Coordenacao de Aperfeicoamento de Pessoal de Nivel Superior (CAPES))</t>
        </is>
      </c>
      <c r="AF1508" t="inlineStr">
        <is>
          <t>This study was partially sponsored by the Brazilian Research Council (CNPq) and the Brazilian Coordination Unit for Higher Education Personnel (CAPES) for which the authors are most grateful. The authors also gratefully acknowledge the valuable suggestions made by the experts who collaborated with this research study. They are also grateful to the reviewers for their thorough and constructive comments on earlier versions of this article which greatly helped the authors to endeavour to make this article as explicit and useful as possible.</t>
        </is>
      </c>
      <c r="AH1508" t="n">
        <v>33</v>
      </c>
      <c r="AI1508" t="n">
        <v>29</v>
      </c>
      <c r="AJ1508" t="n">
        <v>30</v>
      </c>
      <c r="AK1508" t="n">
        <v>2</v>
      </c>
      <c r="AL1508" t="n">
        <v>35</v>
      </c>
      <c r="AM1508" t="inlineStr">
        <is>
          <t>ELSEVIER SCI LTD</t>
        </is>
      </c>
      <c r="AN1508" t="inlineStr">
        <is>
          <t>OXFORD</t>
        </is>
      </c>
      <c r="AO1508" t="inlineStr">
        <is>
          <t>THE BOULEVARD, LANGFORD LANE, KIDLINGTON, OXFORD OX5 1GB, OXON, ENGLAND</t>
        </is>
      </c>
      <c r="AP1508" t="inlineStr">
        <is>
          <t>0959-6526</t>
        </is>
      </c>
      <c r="AQ1508" t="inlineStr">
        <is>
          <t>1879-1786</t>
        </is>
      </c>
      <c r="AS1508" t="inlineStr">
        <is>
          <t>J CLEAN PROD</t>
        </is>
      </c>
      <c r="AT1508" t="inlineStr">
        <is>
          <t>J. Clean Prod.</t>
        </is>
      </c>
      <c r="AU1508" t="inlineStr">
        <is>
          <t>JUL 10</t>
        </is>
      </c>
      <c r="AV1508" t="n">
        <v>2017</v>
      </c>
      <c r="AW1508" t="n">
        <v>156</v>
      </c>
      <c r="BC1508" t="n">
        <v>62</v>
      </c>
      <c r="BD1508" t="n">
        <v>73</v>
      </c>
      <c r="BF1508" t="inlineStr">
        <is>
          <t>10.1016/j.jclepro.2017.03.221</t>
        </is>
      </c>
      <c r="BG1508">
        <f>HYPERLINK("http://dx.doi.org/10.1016/j.jclepro.2017.03.221","http://dx.doi.org/10.1016/j.jclepro.2017.03.221")</f>
        <v/>
      </c>
      <c r="BJ1508" t="n">
        <v>12</v>
      </c>
      <c r="BK1508" t="inlineStr">
        <is>
          <t>Green &amp; Sustainable Science &amp; Technology; Engineering, Environmental; Environmental Sciences</t>
        </is>
      </c>
      <c r="BL1508" t="inlineStr">
        <is>
          <t>Science Citation Index Expanded (SCI-EXPANDED)</t>
        </is>
      </c>
      <c r="BM1508" t="inlineStr">
        <is>
          <t>Science &amp; Technology - Other Topics; Engineering; Environmental Sciences &amp; Ecology</t>
        </is>
      </c>
      <c r="BN1508" t="inlineStr">
        <is>
          <t>EX2AS</t>
        </is>
      </c>
      <c r="BS1508" t="inlineStr">
        <is>
          <t>2023-10-26</t>
        </is>
      </c>
      <c r="BT1508" t="inlineStr">
        <is>
          <t>WOS:000403028500006</t>
        </is>
      </c>
      <c r="BU1508">
        <f>HYPERLINK("https%3A%2F%2Fwww.webofscience.com%2Fwos%2Fwoscc%2Ffull-record%2FWOS:000403028500006","View Full Record in Web of Science")</f>
        <v/>
      </c>
    </row>
    <row r="1509">
      <c r="A1509" t="inlineStr">
        <is>
          <t>J</t>
        </is>
      </c>
      <c r="B1509" t="inlineStr">
        <is>
          <t>Jia, BW; Li, WJ; Chen, GY; Sun, WB; Wang, BW; Xu, N</t>
        </is>
      </c>
      <c r="F1509" t="inlineStr">
        <is>
          <t>Jia, Bowen; Li, Wenjie; Chen, Guanyu; Sun, Wenbin; Wang, Bowen; Xu, Ning</t>
        </is>
      </c>
      <c r="J1509" t="inlineStr">
        <is>
          <t>SUSTAINABILITY</t>
        </is>
      </c>
      <c r="M1509" t="inlineStr">
        <is>
          <t>English</t>
        </is>
      </c>
      <c r="N1509" t="inlineStr">
        <is>
          <t>Article</t>
        </is>
      </c>
      <c r="T1509" t="inlineStr">
        <is>
          <t>Optimized Design of Skylight Arrangement to Enhance the Uniformity of Indoor Sunlight Illumination</t>
        </is>
      </c>
      <c r="U1509" t="inlineStr">
        <is>
          <t>skylight design; solar energy; uniform illumination; non-linear programming; genetic algorithm</t>
        </is>
      </c>
      <c r="V1509" t="inlineStr">
        <is>
          <t>DAYLIGHTING PERFORMANCE; SYSTEM</t>
        </is>
      </c>
      <c r="W1509" t="inlineStr">
        <is>
          <t>The use of skylights in buildings introduces natural light into the interior space, thereby reducing the reliance on artificial lighting and aligning with the principles of low carbon and environmental sustainability. To ensure optimal indoor lighting quality, it is essential to optimize the arrangement of skylights to strike a balance between high average illumination and uniformity of illumination. Recent initiatives by the Chinese government have emphasized the construction and renovation of numerous gymnasiums. In this research, a novel approach based on optimized algorithms was employed to design skylights and improve the uniformity of indoor illuminance. Simulation results demonstrated that the skylight arrangements derived from the optimization algorithms exhibited significantly higher levels of illumination uniformity, while maintaining comparable average illumination and skylight areas, when compared to conventional designs. Additionally, the study employed genetic algorithms to optimize the skylight arrangement for a specific gymnasium, resulting in a remarkable 32% increase in illumination uniformity. The study also accounted for obstacles and seating in the skylight design, and the genetic algorithm generated desirable skylight arrangements with respective increases of 32% and 21% in illumination uniformity for scenarios involving obstacles and seating. Overall, this study underscores the potential of optimized algorithms in the design of skylights for green buildings, offering valuable insights for future research endeavors in this field.</t>
        </is>
      </c>
      <c r="X1509" t="inlineStr">
        <is>
          <t>[Jia, Bowen; Li, Wenjie; Chen, Guanyu; Sun, Wenbin; Xu, Ning] Wuhan Univ Technol, Sch Informat Engn, Wuhan 430070, Peoples R China; [Wang, Bowen] Univ Elect Sci &amp; Technol China, Sch Informat &amp; Commun Engn, Chengdu 611731, Peoples R China</t>
        </is>
      </c>
      <c r="Y1509" t="inlineStr">
        <is>
          <t>Wuhan University of Technology; University of Electronic Science &amp; Technology of China</t>
        </is>
      </c>
      <c r="Z1509" t="inlineStr">
        <is>
          <t>Xu, N (corresponding author), Wuhan Univ Technol, Sch Informat Engn, Wuhan 430070, Peoples R China.</t>
        </is>
      </c>
      <c r="AA1509" t="inlineStr">
        <is>
          <t>jiabowen@whut.edu.cn; 288247@whut.edu.cn; cgy@whut.edu.cn; 275982@whut.edu.cn; xuning@whut.edu.cn</t>
        </is>
      </c>
      <c r="AD1509" t="inlineStr">
        <is>
          <t>National Key R&amp;D Program of China [2021ZD0114600]; Hubei Provincial Natural Science Foundation of China [2021CFB054]</t>
        </is>
      </c>
      <c r="AE1509" t="inlineStr">
        <is>
          <t>National Key R&amp;D Program of China; Hubei Provincial Natural Science Foundation of China(National Natural Science Foundation of China (NSFC))</t>
        </is>
      </c>
      <c r="AF1509" t="inlineStr">
        <is>
          <t>The authors would like to express their gratitude to National Key R &amp; D Program of China (No. 2021ZD0114600) and Hubei Provincial Natural Science Foundation of China (No. 2021CFB054) for the financial support.</t>
        </is>
      </c>
      <c r="AH1509" t="n">
        <v>33</v>
      </c>
      <c r="AI1509" t="n">
        <v>0</v>
      </c>
      <c r="AJ1509" t="n">
        <v>0</v>
      </c>
      <c r="AK1509" t="n">
        <v>0</v>
      </c>
      <c r="AL1509" t="n">
        <v>0</v>
      </c>
      <c r="AM1509" t="inlineStr">
        <is>
          <t>MDPI</t>
        </is>
      </c>
      <c r="AN1509" t="inlineStr">
        <is>
          <t>BASEL</t>
        </is>
      </c>
      <c r="AO1509" t="inlineStr">
        <is>
          <t>ST ALBAN-ANLAGE 66, CH-4052 BASEL, SWITZERLAND</t>
        </is>
      </c>
      <c r="AQ1509" t="inlineStr">
        <is>
          <t>2071-1050</t>
        </is>
      </c>
      <c r="AS1509" t="inlineStr">
        <is>
          <t>SUSTAINABILITY-BASEL</t>
        </is>
      </c>
      <c r="AT1509" t="inlineStr">
        <is>
          <t>Sustainability</t>
        </is>
      </c>
      <c r="AU1509" t="inlineStr">
        <is>
          <t>JUL</t>
        </is>
      </c>
      <c r="AV1509" t="n">
        <v>2023</v>
      </c>
      <c r="AW1509" t="n">
        <v>15</v>
      </c>
      <c r="AX1509" t="n">
        <v>14</v>
      </c>
      <c r="BE1509" t="n">
        <v>11257</v>
      </c>
      <c r="BF1509" t="inlineStr">
        <is>
          <t>10.3390/su151411257</t>
        </is>
      </c>
      <c r="BG1509">
        <f>HYPERLINK("http://dx.doi.org/10.3390/su151411257","http://dx.doi.org/10.3390/su151411257")</f>
        <v/>
      </c>
      <c r="BJ1509" t="n">
        <v>18</v>
      </c>
      <c r="BK1509" t="inlineStr">
        <is>
          <t>Green &amp; Sustainable Science &amp; Technology; Environmental Sciences; Environmental Studies</t>
        </is>
      </c>
      <c r="BL1509" t="inlineStr">
        <is>
          <t>Science Citation Index Expanded (SCI-EXPANDED); Social Science Citation Index (SSCI)</t>
        </is>
      </c>
      <c r="BM1509" t="inlineStr">
        <is>
          <t>Science &amp; Technology - Other Topics; Environmental Sciences &amp; Ecology</t>
        </is>
      </c>
      <c r="BN1509" t="inlineStr">
        <is>
          <t>T2QM5</t>
        </is>
      </c>
      <c r="BP1509" t="inlineStr">
        <is>
          <t>gold</t>
        </is>
      </c>
      <c r="BS1509" t="inlineStr">
        <is>
          <t>2023-10-26</t>
        </is>
      </c>
      <c r="BT1509" t="inlineStr">
        <is>
          <t>WOS:001076481600001</t>
        </is>
      </c>
      <c r="BU1509">
        <f>HYPERLINK("https%3A%2F%2Fwww.webofscience.com%2Fwos%2Fwoscc%2Ffull-record%2FWOS:001076481600001","View Full Record in Web of Science")</f>
        <v/>
      </c>
    </row>
    <row r="1510">
      <c r="A1510" t="inlineStr">
        <is>
          <t>J</t>
        </is>
      </c>
      <c r="B1510" t="inlineStr">
        <is>
          <t>Hwang, E; Brossoie, N; Jeong, JW; Song, K</t>
        </is>
      </c>
      <c r="F1510" t="inlineStr">
        <is>
          <t>Hwang, Eunju; Brossoie, Nancy; Jeong, Jin Wook; Song, Kimin</t>
        </is>
      </c>
      <c r="J1510" t="inlineStr">
        <is>
          <t>SUSTAINABILITY</t>
        </is>
      </c>
      <c r="M1510" t="inlineStr">
        <is>
          <t>English</t>
        </is>
      </c>
      <c r="N1510" t="inlineStr">
        <is>
          <t>Article</t>
        </is>
      </c>
      <c r="T1510" t="inlineStr">
        <is>
          <t>The Impacts of the Neighborhood Built Environment on Social Capital for Middle-Aged and Elderly Koreans</t>
        </is>
      </c>
      <c r="U1510" t="inlineStr">
        <is>
          <t>built environment; walkability; social capital; age-friendly neighborhoods</t>
        </is>
      </c>
      <c r="W1510" t="inlineStr">
        <is>
          <t>The purpose of this study was to investigate the relationship between the neighborhood built environment (NBE) aspects of age-friendly cities and communities (AFCCs) and social capital in the Korean context. We described and compared age differences when analyzing misfits of AFCC NBE and impacts on social capital. We collected the data (N = 1246) from two Korean communities; our multiple and binary logistic regression outcomes show that AFCC NBE aspects such as outdoor spaces, transportation, and housing are significant predictors of different subcategories of social capital. For the older group, the outdoor spaces misfit was significant for all three subcategories of social capital, but transportation and housing misfits were significant for the social trust and reciprocity index scores. For the middle-aged group, the outdoor spaces misfit was significant for social networking and participation, and a transportation misfit was significant for participation and social trust and reciprocity. Fewer misfits or better fits of outdoor spaces and transportation encouraged more networking, participation, social trust, and reciprocity. Dwelling type was important to predict social capital, especially for the older group. The present study confirmed the importance of AFCC NBE in predicting social capital and unique factors in the Korean context.</t>
        </is>
      </c>
      <c r="X1510" t="inlineStr">
        <is>
          <t>[Hwang, Eunju] Virginia Tech, Dept Apparel Housing &amp; Resource Management, 295 West Campus Dr, Blacksburg, VA 24061 USA; [Brossoie, Nancy] Virginia Tech, Ctr Gerontol, 230 Grove Lane, Blacksburg, VA 24061 USA; [Jeong, Jin Wook; Song, Kimin] Hanyang Univ, Dept Med &amp; Digital Engn, 222 Wangsimni, Seoul 04763, South Korea</t>
        </is>
      </c>
      <c r="Y1510" t="inlineStr">
        <is>
          <t>Virginia Polytechnic Institute &amp; State University; Virginia Polytechnic Institute &amp; State University; Hanyang University</t>
        </is>
      </c>
      <c r="Z1510" t="inlineStr">
        <is>
          <t>Hwang, E (corresponding author), Virginia Tech, Dept Apparel Housing &amp; Resource Management, 295 West Campus Dr, Blacksburg, VA 24061 USA.</t>
        </is>
      </c>
      <c r="AA1510" t="inlineStr">
        <is>
          <t>hwange@vt.edu; brossoie@vt.edu; jygin@hanyang.ac.kr; haieung@hanyang.ac.kr</t>
        </is>
      </c>
      <c r="AC1510" t="inlineStr">
        <is>
          <t>Song, Kimin/0000-0002-2682-7861</t>
        </is>
      </c>
      <c r="AD1510" t="inlineStr">
        <is>
          <t>National Research Foundation of Korea [NRF-2017S1A2A2041899]; Virginia Tech Institute for Society, Culture and Environment; Institute for Critical Technology and Applied Science; National Research Foundation of Korea [2017S1A2A2041899] Funding Source: Korea Institute of Science &amp; Technology Information (KISTI), National Science &amp; Technology Information Service (NTIS)</t>
        </is>
      </c>
      <c r="AE1510" t="inlineStr">
        <is>
          <t>National Research Foundation of Korea(National Research Foundation of Korea); Virginia Tech Institute for Society, Culture and Environment; Institute for Critical Technology and Applied Science; National Research Foundation of Korea(National Research Foundation of Korea)</t>
        </is>
      </c>
      <c r="AF1510" t="inlineStr">
        <is>
          <t>This research was funded by a National Research Foundation of Korea grant (NRF-2017S1A2A2041899) and the Virginia Tech Institute for Society, Culture and Environment and Institute for Critical Technology and Applied Science.</t>
        </is>
      </c>
      <c r="AH1510" t="n">
        <v>45</v>
      </c>
      <c r="AI1510" t="n">
        <v>9</v>
      </c>
      <c r="AJ1510" t="n">
        <v>9</v>
      </c>
      <c r="AK1510" t="n">
        <v>5</v>
      </c>
      <c r="AL1510" t="n">
        <v>27</v>
      </c>
      <c r="AM1510" t="inlineStr">
        <is>
          <t>MDPI</t>
        </is>
      </c>
      <c r="AN1510" t="inlineStr">
        <is>
          <t>BASEL</t>
        </is>
      </c>
      <c r="AO1510" t="inlineStr">
        <is>
          <t>ST ALBAN-ANLAGE 66, CH-4052 BASEL, SWITZERLAND</t>
        </is>
      </c>
      <c r="AQ1510" t="inlineStr">
        <is>
          <t>2071-1050</t>
        </is>
      </c>
      <c r="AS1510" t="inlineStr">
        <is>
          <t>SUSTAINABILITY-BASEL</t>
        </is>
      </c>
      <c r="AT1510" t="inlineStr">
        <is>
          <t>Sustainability</t>
        </is>
      </c>
      <c r="AU1510" t="inlineStr">
        <is>
          <t>JAN</t>
        </is>
      </c>
      <c r="AV1510" t="n">
        <v>2021</v>
      </c>
      <c r="AW1510" t="n">
        <v>13</v>
      </c>
      <c r="AX1510" t="n">
        <v>2</v>
      </c>
      <c r="BE1510" t="n">
        <v>756</v>
      </c>
      <c r="BF1510" t="inlineStr">
        <is>
          <t>10.3390/su13020756</t>
        </is>
      </c>
      <c r="BG1510">
        <f>HYPERLINK("http://dx.doi.org/10.3390/su13020756","http://dx.doi.org/10.3390/su13020756")</f>
        <v/>
      </c>
      <c r="BJ1510" t="n">
        <v>15</v>
      </c>
      <c r="BK1510" t="inlineStr">
        <is>
          <t>Green &amp; Sustainable Science &amp; Technology; Environmental Sciences; Environmental Studies</t>
        </is>
      </c>
      <c r="BL1510" t="inlineStr">
        <is>
          <t>Science Citation Index Expanded (SCI-EXPANDED); Social Science Citation Index (SSCI)</t>
        </is>
      </c>
      <c r="BM1510" t="inlineStr">
        <is>
          <t>Science &amp; Technology - Other Topics; Environmental Sciences &amp; Ecology</t>
        </is>
      </c>
      <c r="BN1510" t="inlineStr">
        <is>
          <t>PY0LG</t>
        </is>
      </c>
      <c r="BP1510" t="inlineStr">
        <is>
          <t>Green Published, gold</t>
        </is>
      </c>
      <c r="BS1510" t="inlineStr">
        <is>
          <t>2023-10-26</t>
        </is>
      </c>
      <c r="BT1510" t="inlineStr">
        <is>
          <t>WOS:000611741000001</t>
        </is>
      </c>
      <c r="BU1510">
        <f>HYPERLINK("https%3A%2F%2Fwww.webofscience.com%2Fwos%2Fwoscc%2Ffull-record%2FWOS:000611741000001","View Full Record in Web of Science")</f>
        <v/>
      </c>
    </row>
    <row r="1511">
      <c r="A1511" t="inlineStr">
        <is>
          <t>J</t>
        </is>
      </c>
      <c r="B1511" t="inlineStr">
        <is>
          <t>Gallè, F; Sabella, EA; Di Muzio, M; Barchielli, B; Da Molin, G; Ferracuti, S; Liguori, G; Orsi, GB; Napoli, C</t>
        </is>
      </c>
      <c r="F1511" t="inlineStr">
        <is>
          <t>Galle, Francesca; Sabella, Elita Anna; Di Muzio, Marco; Barchielli, Benedetta; Da Molin, Giovanna; Ferracuti, Stefano; Liguori, Giorgio; Orsi, Giovanni Battista; Napoli, Christian</t>
        </is>
      </c>
      <c r="J1511" t="inlineStr">
        <is>
          <t>INTERNATIONAL JOURNAL OF ENVIRONMENTAL RESEARCH AND PUBLIC HEALTH</t>
        </is>
      </c>
      <c r="M1511" t="inlineStr">
        <is>
          <t>English</t>
        </is>
      </c>
      <c r="N1511" t="inlineStr">
        <is>
          <t>Article</t>
        </is>
      </c>
      <c r="T1511" t="inlineStr">
        <is>
          <t>Capturing the Features of Physical Activity in Old Adults during the COVID-19 Pandemic: Results of an Italian Survey</t>
        </is>
      </c>
      <c r="U1511" t="inlineStr">
        <is>
          <t>physical activity; sedentary behavior; elderly; COVID-19</t>
        </is>
      </c>
      <c r="V1511" t="inlineStr">
        <is>
          <t>ACTIVITY SCALE; ELDERLY PASE; COMMUNITY</t>
        </is>
      </c>
      <c r="W1511" t="inlineStr">
        <is>
          <t>The restriction measures adopted to control the COVID-19 pandemic had significant consequences on individuals' lifestyles. This study is aimed at assessing the amount and type of habitual physical activity (PA) in older adults during the advanced phase of the pandemic and their possible relationships with sociodemographic aspects. A questionnaire that included sociodemographic characteristics and the Physical Activity Scale for the Elderly (PASE) was administered online to elderly subjects living in the Apulia region, South Italy. A sample of 939 participants (57.1% F; mean age 75.9 +/- 6.3) was obtained. In total, 68.8% of female respondents reported a decrease in PA during the pandemic, while 55.1% of men maintained their previous levels (&lt;0.001). The total PASE score did not differ between gender groups (median value 91.7 in males vs. 90.0 in females; p = 0.067). However, differences were registered in leisure activities, particularly regarding walking (23.8 +/- 14.8 in males vs. 20.2 +/- 14.6 in females; p = 0.001). Higher PA levels were related with lower age (OR 0.253; 95% CI 0.192-0.333; p = 0.001). Since inactivity can affect elderly health and wellbeing, and considering the impact of the COVID-19 lockdown on this habit, health promotion strategies to counteract the negative effects of the pandemic should include interventions aimed at increasing PA in this sub-group of the population, especially among women and elderly subjects.</t>
        </is>
      </c>
      <c r="X1511" t="inlineStr">
        <is>
          <t>[Galle, Francesca; Liguori, Giorgio] Univ Naples Parthenope, Dept Movement Sci &amp; Wellbeing, Via Medina 40, I-80133 Naples, Italy; [Sabella, Elita Anna; Da Molin, Giovanna] Univ Bari Aldo Moro, Interuniv Res Ctr Populat Environm &amp; Hlth, Piazza Cesare Battisti 1, I-70121 Bari, Italy; [Di Muzio, Marco] Sapienza Univ Rome, Dept Clin &amp; Mol Med, Via Grottarossa 1015, I-00189 Rome, Italy; [Barchielli, Benedetta] Sapienza Univ Rome, Dept Dynam Clin Psychol &amp; Hlth, Via Apuli 1, I-00185 Rome, Italy; [Ferracuti, Stefano] Sapienza Univ Rome, Dept Human Neurosci, Piazzale Aldo Moro 5, I-00185 Rome, Italy; [Orsi, Giovanni Battista] Sapienza Univ Rome, Dept Publ Hlth &amp; Infect Dis, Piazzale Aldo Moro 5, I-00185 Rome, Italy; [Napoli, Christian] Sapienza Univ Rome, Dept Med Surg Sci &amp; Translat Med, Via Grottarossa 1035-1039, I-00189 Rome, Italy</t>
        </is>
      </c>
      <c r="Y1511" t="inlineStr">
        <is>
          <t>Parthenope University Naples; Universita degli Studi di Bari Aldo Moro; Sapienza University Rome; Sapienza University Rome; Sapienza University Rome; Sapienza University Rome; Sapienza University Rome</t>
        </is>
      </c>
      <c r="Z1511" t="inlineStr">
        <is>
          <t>Gallè, F (corresponding author), Univ Naples Parthenope, Dept Movement Sci &amp; Wellbeing, Via Medina 40, I-80133 Naples, Italy.</t>
        </is>
      </c>
      <c r="AA1511" t="inlineStr">
        <is>
          <t>francesca.galle@uniparthenope.it; elita.sabella@uniba.it; marco.dimuzio@uniroma1.it; benedetta.barchielli@uniroma1.it; giovanna.damolin@uniba.it; stefano.ferracuti@uniroma1.it; giorgio.liguori@uniparthenope.it; giovanni.orsi@uniroma1.it; christian.napoli@uniroma1.it</t>
        </is>
      </c>
      <c r="AB1511" t="inlineStr">
        <is>
          <t>Gallè, Francesca/B-4520-2011; napoli, christian/B-9924-2018; Ferracuti, Stefano/K-8437-2012</t>
        </is>
      </c>
      <c r="AC1511" t="inlineStr">
        <is>
          <t>Gallè, Francesca/0000-0002-0504-9562; napoli, christian/0000-0002-5775-2276; Barchielli, Benedetta/0000-0001-8703-8578; Orsi, Giovanni Battista/0000-0002-9246-6216; Ferracuti, Stefano/0000-0003-1150-1460; Di Muzio, Marco/0000-0003-2641-4044</t>
        </is>
      </c>
      <c r="AH1511" t="n">
        <v>47</v>
      </c>
      <c r="AI1511" t="n">
        <v>4</v>
      </c>
      <c r="AJ1511" t="n">
        <v>4</v>
      </c>
      <c r="AK1511" t="n">
        <v>0</v>
      </c>
      <c r="AL1511" t="n">
        <v>5</v>
      </c>
      <c r="AM1511" t="inlineStr">
        <is>
          <t>MDPI</t>
        </is>
      </c>
      <c r="AN1511" t="inlineStr">
        <is>
          <t>BASEL</t>
        </is>
      </c>
      <c r="AO1511" t="inlineStr">
        <is>
          <t>ST ALBAN-ANLAGE 66, CH-4052 BASEL, SWITZERLAND</t>
        </is>
      </c>
      <c r="AQ1511" t="inlineStr">
        <is>
          <t>1660-4601</t>
        </is>
      </c>
      <c r="AS1511" t="inlineStr">
        <is>
          <t>INT J ENV RES PUB HE</t>
        </is>
      </c>
      <c r="AT1511" t="inlineStr">
        <is>
          <t>Int. J. Environ. Res. Public Health</t>
        </is>
      </c>
      <c r="AU1511" t="inlineStr">
        <is>
          <t>JUN</t>
        </is>
      </c>
      <c r="AV1511" t="n">
        <v>2022</v>
      </c>
      <c r="AW1511" t="n">
        <v>19</v>
      </c>
      <c r="AX1511" t="n">
        <v>11</v>
      </c>
      <c r="BE1511" t="n">
        <v>6868</v>
      </c>
      <c r="BF1511" t="inlineStr">
        <is>
          <t>10.3390/ijerph19116868</t>
        </is>
      </c>
      <c r="BG1511">
        <f>HYPERLINK("http://dx.doi.org/10.3390/ijerph19116868","http://dx.doi.org/10.3390/ijerph19116868")</f>
        <v/>
      </c>
      <c r="BJ1511" t="n">
        <v>12</v>
      </c>
      <c r="BK1511" t="inlineStr">
        <is>
          <t>Environmental Sciences; Public, Environmental &amp; Occupational Health</t>
        </is>
      </c>
      <c r="BL1511" t="inlineStr">
        <is>
          <t>Science Citation Index Expanded (SCI-EXPANDED); Social Science Citation Index (SSCI)</t>
        </is>
      </c>
      <c r="BM1511" t="inlineStr">
        <is>
          <t>Environmental Sciences &amp; Ecology; Public, Environmental &amp; Occupational Health</t>
        </is>
      </c>
      <c r="BN1511" t="inlineStr">
        <is>
          <t>1Z3BR</t>
        </is>
      </c>
      <c r="BO1511" t="n">
        <v>35682451</v>
      </c>
      <c r="BP1511" t="inlineStr">
        <is>
          <t>gold, Green Published</t>
        </is>
      </c>
      <c r="BS1511" t="inlineStr">
        <is>
          <t>2023-10-26</t>
        </is>
      </c>
      <c r="BT1511" t="inlineStr">
        <is>
          <t>WOS:000808704300001</t>
        </is>
      </c>
      <c r="BU1511">
        <f>HYPERLINK("https%3A%2F%2Fwww.webofscience.com%2Fwos%2Fwoscc%2Ffull-record%2FWOS:000808704300001","View Full Record in Web of Science")</f>
        <v/>
      </c>
    </row>
    <row r="1512">
      <c r="A1512" t="inlineStr">
        <is>
          <t>J</t>
        </is>
      </c>
      <c r="B1512" t="inlineStr">
        <is>
          <t>Carbert, NS; Brussoni, M; Geller, J; Mâsse, LC</t>
        </is>
      </c>
      <c r="F1512" t="inlineStr">
        <is>
          <t>Carbert, Nicole S.; Brussoni, Mariana; Geller, Josie; Masse, Louise C.</t>
        </is>
      </c>
      <c r="J1512" t="inlineStr">
        <is>
          <t>INTERNATIONAL JOURNAL OF ENVIRONMENTAL RESEARCH AND PUBLIC HEALTH</t>
        </is>
      </c>
      <c r="M1512" t="inlineStr">
        <is>
          <t>English</t>
        </is>
      </c>
      <c r="N1512" t="inlineStr">
        <is>
          <t>Article</t>
        </is>
      </c>
      <c r="T1512" t="inlineStr">
        <is>
          <t>Familial Environment and Overweight/Obese Adolescents' Physical Activity</t>
        </is>
      </c>
      <c r="U1512" t="inlineStr">
        <is>
          <t>physical activity; family environment; adolescents; parenting practices; moderators</t>
        </is>
      </c>
      <c r="V1512" t="inlineStr">
        <is>
          <t>PARENTING PRACTICES; CANADIAN CHILDREN; CIRCUMPLEX MODEL; BEHAVIORS; ACCELEROMETER; ASSOCIATIONS; PATTERNS; OBESITY; STYLE; CALIBRATION</t>
        </is>
      </c>
      <c r="W1512" t="inlineStr">
        <is>
          <t>(1) Background: Family environments can impact obesity risk among adolescents. Little is known about the mechanisms by which parents can influence obesity-related adolescent health behaviours and specifically how parenting practices (e. g., rules or routines) and/or their own health behaviours relate to their adolescent's behaviours. The primary aim of the study explored, in a sample of overweight/obese adolescents, how parenting practices and/or parental modeling of physical activity (PA) behaviours relate to adolescents' PA while examining the moderating role of parenting styles and family functioning. (2) Methods: A total of 172 parent-adolescent dyads completed surveys about their PA and wore an accelerometer for eight days to objectively measure PA. Parents completed questionnaires about their family functioning, parenting practices, and styles (authoritative and permissive). Path analysis was used for the analyses. (3) Results: More healthful PA parenting practices and parental modeling of PA were both associated with higher levels of adolescents' self-reported moderate-vigorous physical activity (MVPA). For accelerometer PA, more healthful PA parenting practices were associated with adolescents' increased MVPA when parents used a more permissive parenting style. (4) Conclusions: This study suggests that parenting practices and parental modeling play a role in adolescent's PA. The family's emotional/relational context also warrants consideration since parenting style moderated these e ff ects. This study emphasizes the importance of incorporating parenting styles into current familial interventions to improve their efficacy.</t>
        </is>
      </c>
      <c r="X1512" t="inlineStr">
        <is>
          <t>[Carbert, Nicole S.; Brussoni, Mariana; Masse, Louise C.] Univ British Columbia, Sch Populat &amp; Publ Hlth, Vancouver, BC V6T 1Z3, Canada; [Carbert, Nicole S.; Brussoni, Mariana; Masse, Louise C.] British Columbia Childrens Hosp, Res Inst, Vancouver, BC V5Z 4H4, Canada; [Brussoni, Mariana] Univ British Columbia, Dept Pediat, Vancouver, BC V6H 3V4, Canada; [Geller, Josie] St Pauls Eating Disorder Program, Vancouver, BC V6Z 1Y6, Canada; [Geller, Josie] Univ British Columbia, Dept Psychiat, Vancouver, BC V6T 2A1, Canada</t>
        </is>
      </c>
      <c r="Y1512" t="inlineStr">
        <is>
          <t>University of British Columbia; University of British Columbia; BC Childrens Hospital; University of British Columbia; University of British Columbia</t>
        </is>
      </c>
      <c r="Z1512" t="inlineStr">
        <is>
          <t>Mâsse, LC (corresponding author), Univ British Columbia, Sch Populat &amp; Publ Hlth, Vancouver, BC V6T 1Z3, Canada.;Mâsse, LC (corresponding author), British Columbia Childrens Hosp, Res Inst, Vancouver, BC V5Z 4H4, Canada.</t>
        </is>
      </c>
      <c r="AA1512" t="inlineStr">
        <is>
          <t>lmasse@bcchr.ubc.ca</t>
        </is>
      </c>
      <c r="AB1512" t="inlineStr">
        <is>
          <t>Brussoni, Mariana/U-9404-2018</t>
        </is>
      </c>
      <c r="AC1512" t="inlineStr">
        <is>
          <t>Brussoni, Mariana/0000-0002-1495-816X; Masse, Louise/0000-0003-2483-8791; Geller, Josie/0000-0002-2495-1789</t>
        </is>
      </c>
      <c r="AD1512" t="inlineStr">
        <is>
          <t>Canadian Institutes of Health Research Institute of Nutrition, Metabolism and Diabetes; Health Research Foundation [92369]; BC Children's Hospital Research Institute (BCCHR)</t>
        </is>
      </c>
      <c r="AE1512" t="inlineStr">
        <is>
          <t>Canadian Institutes of Health Research Institute of Nutrition, Metabolism and Diabetes(Canadian Institutes of Health Research (CIHR)); Health Research Foundation; BC Children's Hospital Research Institute (BCCHR)</t>
        </is>
      </c>
      <c r="AF1512" t="inlineStr">
        <is>
          <t>This study received funding from the Canadian Institutes of Health Research Institute of Nutrition, Metabolism and Diabetes and the Health Research Foundation (Reference Number 92369). LCM and MB were funded through salary support from the BC Children's Hospital Research Institute (BCCHR). LCM also received salary support from the Michael Smith Foundation for Health Research.</t>
        </is>
      </c>
      <c r="AH1512" t="n">
        <v>59</v>
      </c>
      <c r="AI1512" t="n">
        <v>10</v>
      </c>
      <c r="AJ1512" t="n">
        <v>11</v>
      </c>
      <c r="AK1512" t="n">
        <v>2</v>
      </c>
      <c r="AL1512" t="n">
        <v>19</v>
      </c>
      <c r="AM1512" t="inlineStr">
        <is>
          <t>MDPI</t>
        </is>
      </c>
      <c r="AN1512" t="inlineStr">
        <is>
          <t>BASEL</t>
        </is>
      </c>
      <c r="AO1512" t="inlineStr">
        <is>
          <t>ST ALBAN-ANLAGE 66, CH-4052 BASEL, SWITZERLAND</t>
        </is>
      </c>
      <c r="AQ1512" t="inlineStr">
        <is>
          <t>1660-4601</t>
        </is>
      </c>
      <c r="AS1512" t="inlineStr">
        <is>
          <t>INT J ENV RES PUB HE</t>
        </is>
      </c>
      <c r="AT1512" t="inlineStr">
        <is>
          <t>Int. J. Environ. Res. Public Health</t>
        </is>
      </c>
      <c r="AU1512" t="inlineStr">
        <is>
          <t>JUL 2</t>
        </is>
      </c>
      <c r="AV1512" t="n">
        <v>2019</v>
      </c>
      <c r="AW1512" t="n">
        <v>16</v>
      </c>
      <c r="AX1512" t="n">
        <v>14</v>
      </c>
      <c r="BE1512" t="n">
        <v>2558</v>
      </c>
      <c r="BF1512" t="inlineStr">
        <is>
          <t>10.3390/ijerph16142558</t>
        </is>
      </c>
      <c r="BG1512">
        <f>HYPERLINK("http://dx.doi.org/10.3390/ijerph16142558","http://dx.doi.org/10.3390/ijerph16142558")</f>
        <v/>
      </c>
      <c r="BJ1512" t="n">
        <v>15</v>
      </c>
      <c r="BK1512" t="inlineStr">
        <is>
          <t>Environmental Sciences; Public, Environmental &amp; Occupational Health</t>
        </is>
      </c>
      <c r="BL1512" t="inlineStr">
        <is>
          <t>Science Citation Index Expanded (SCI-EXPANDED); Social Science Citation Index (SSCI)</t>
        </is>
      </c>
      <c r="BM1512" t="inlineStr">
        <is>
          <t>Environmental Sciences &amp; Ecology; Public, Environmental &amp; Occupational Health</t>
        </is>
      </c>
      <c r="BN1512" t="inlineStr">
        <is>
          <t>IQ3NV</t>
        </is>
      </c>
      <c r="BO1512" t="n">
        <v>31319635</v>
      </c>
      <c r="BP1512" t="inlineStr">
        <is>
          <t>gold, Green Published, Green Submitted</t>
        </is>
      </c>
      <c r="BS1512" t="inlineStr">
        <is>
          <t>2023-10-26</t>
        </is>
      </c>
      <c r="BT1512" t="inlineStr">
        <is>
          <t>WOS:000480659300111</t>
        </is>
      </c>
      <c r="BU1512">
        <f>HYPERLINK("https%3A%2F%2Fwww.webofscience.com%2Fwos%2Fwoscc%2Ffull-record%2FWOS:000480659300111","View Full Record in Web of Science")</f>
        <v/>
      </c>
    </row>
    <row r="1513">
      <c r="A1513" t="inlineStr">
        <is>
          <t>J</t>
        </is>
      </c>
      <c r="B1513" t="inlineStr">
        <is>
          <t>Stara, V; Rampioni, M; Mosoi, AA; Kristaly, DM; Moraru, SA; Paciaroni, L; Paolini, S; Raccichini, A; Felici, E; Rossi, L; Vizitiu, C; Nistorescu, A; Marin, M; Tónay, G; Tóth, A; Pilissy, T; Fazekas, G</t>
        </is>
      </c>
      <c r="F1513" t="inlineStr">
        <is>
          <t>Stara, Vera; Rampioni, Margherita; Mosoi, Adrian Alexandru; Kristaly, Dominic M.; Moraru, Sorin-Aurel; Paciaroni, Lucia; Paolini, Susy; Raccichini, Alessandra; Felici, Elisa; Rossi, Lorena; Vizitiu, Cristian; Nistorescu, Alexandru; Marin, Mihaela; Tonay, Gabriella; Toth, Andras; Pilissy, Tamas; Fazekas, Gabor</t>
        </is>
      </c>
      <c r="J1513" t="inlineStr">
        <is>
          <t>INTERNATIONAL JOURNAL OF ENVIRONMENTAL RESEARCH AND PUBLIC HEALTH</t>
        </is>
      </c>
      <c r="M1513" t="inlineStr">
        <is>
          <t>English</t>
        </is>
      </c>
      <c r="N1513" t="inlineStr">
        <is>
          <t>Article</t>
        </is>
      </c>
      <c r="T1513" t="inlineStr">
        <is>
          <t>A Technology-Based Intervention to Support Older Adults in Living Independently: Protocol for a Cross-National Feasibility Pilot</t>
        </is>
      </c>
      <c r="U1513" t="inlineStr">
        <is>
          <t>active ageing; older adults; technology-based intervention; protocol</t>
        </is>
      </c>
      <c r="V1513" t="inlineStr">
        <is>
          <t>MINI-MENTAL-STATE; QUALITY</t>
        </is>
      </c>
      <c r="W1513" t="inlineStr">
        <is>
          <t>Innovative technologies can support older adults with or without disabilities, allowing them to live independently in their environment whilst monitoring their health and safety conditions and thereby reducing the significant burden on caregivers, whether family or professional. This paper discusses the design of a study protocol to evaluate the acceptance, usability, and efficiency of the SAVE system, a custom-developed information technology-based elderly care system. The study will involve older adults (aged 65 or older), professional and lay caregivers, and care service decision-makers representing all types of users in a care service scenario. The SAVE environmental sensors, smartwatches, smartphones, and Web service application will be evaluated in people's homes situated in Romania, Italy, and Hungary with a total of 165 users of the three types (cares, elderly, and admin). The study design follows the mixed method approach, using standardized tests and questionnaires with open-ended questions and logging all the data for evaluation. The trial is registered to the platform ClinicalTrials.gov with the registration number NCT05626556. This protocol not only guides the participating countries but can be a feasibility protocol suitable for evaluating the usability and quality of similar systems.</t>
        </is>
      </c>
      <c r="X1513" t="inlineStr">
        <is>
          <t>[Stara, Vera; Rampioni, Margherita; Felici, Elisa; Rossi, Lorena] IRCCS INRCA Natl Inst Hlth &amp; Sci Aging, Model Care &amp; New Technol, Via Santa Margherita 5, I-60124 Ancona, Italy; [Mosoi, Adrian Alexandru] Transilvania Univ Brasov, Dept Psychol Educ &amp; Teacher Training, B Dul Eroilor 29, Brasov 500036, Romania; [Kristaly, Dominic M.; Moraru, Sorin-Aurel] Transilvania Univ Brasov, Dept Automat &amp; Informat Technol, B Dul Eroilor 29, Brasov 500036, Romania; [Paciaroni, Lucia; Paolini, Susy; Raccichini, Alessandra] IRCCS INRCA Natl Inst Hlth &amp; Sci Aging, Neurol Dept, Via Montagnola 81, I-60100 Ancona, Italy; [Vizitiu, Cristian; Nistorescu, Alexandru; Marin, Mihaela] Inst Space Sci, Atomistilor Str 409, Magurele 077125, Romania; [Tonay, Gabriella; Toth, Andras; Pilissy, Tamas; Fazekas, Gabor] Natl Inst Med Rehabil, Natl Inst Locomotor Dis &amp; Disabil, Szanatorium Utca 19, H-1121 Budapest, Hungary; [Toth, Andras; Pilissy, Tamas] Budapest Univ Technol &amp; Econ, Fac Mech Engn, Dept Mfg Sci &amp; Engn, Muegyet Rkp 3, H-1111 Budapest, Hungary; [Fazekas, Gabor] Univ Szeged, Dept Rehabil Med, Dugon Sq 13, H-6720 Szeged, Hungary</t>
        </is>
      </c>
      <c r="Y1513" t="inlineStr">
        <is>
          <t>Transylvania University of Brasov; Transylvania University of Brasov; Institute of Space Science; Budapest University of Technology &amp; Economics; Szeged University</t>
        </is>
      </c>
      <c r="Z1513" t="inlineStr">
        <is>
          <t>Mosoi, AA (corresponding author), Transilvania Univ Brasov, Dept Psychol Educ &amp; Teacher Training, B Dul Eroilor 29, Brasov 500036, Romania.</t>
        </is>
      </c>
      <c r="AA1513" t="inlineStr">
        <is>
          <t>adrian.mosoi@unitbv.ro</t>
        </is>
      </c>
      <c r="AB1513" t="inlineStr">
        <is>
          <t>Marin, Mihaela/ITT-0353-2023; Vizitiu, Cristian/ITT-2020-2023; mosoi, Alexandru Adrian/O-8295-2014; Felici, Elisa/K-8561-2016; Raccichini, Alessandra/K-7785-2016; Fazekas, Gabor/HLG-5968-2023</t>
        </is>
      </c>
      <c r="AC1513" t="inlineStr">
        <is>
          <t>mosoi, Alexandru Adrian/0000-0001-6601-3144; Felici, Elisa/0000-0002-1665-9155; Raccichini, Alessandra/0000-0001-8034-8004; Fazekas, Gabor/0000-0003-3612-8826; Rampioni, Margherita/0000-0001-9235-9923; Vizitiu, Cristian/0000-0003-2435-5028; Moraru, Sorin-Aurel/0000-0001-9500-2604; Rossi, Lorena/0000-0002-5688-105X; Stara, Vera/0000-0001-7536-7606; Kristaly, Dominic Mircea/0000-0003-4860-886X</t>
        </is>
      </c>
      <c r="AH1513" t="n">
        <v>51</v>
      </c>
      <c r="AI1513" t="n">
        <v>1</v>
      </c>
      <c r="AJ1513" t="n">
        <v>1</v>
      </c>
      <c r="AK1513" t="n">
        <v>8</v>
      </c>
      <c r="AL1513" t="n">
        <v>12</v>
      </c>
      <c r="AM1513" t="inlineStr">
        <is>
          <t>MDPI</t>
        </is>
      </c>
      <c r="AN1513" t="inlineStr">
        <is>
          <t>BASEL</t>
        </is>
      </c>
      <c r="AO1513" t="inlineStr">
        <is>
          <t>ST ALBAN-ANLAGE 66, CH-4052 BASEL, SWITZERLAND</t>
        </is>
      </c>
      <c r="AQ1513" t="inlineStr">
        <is>
          <t>1660-4601</t>
        </is>
      </c>
      <c r="AS1513" t="inlineStr">
        <is>
          <t>INT J ENV RES PUB HE</t>
        </is>
      </c>
      <c r="AT1513" t="inlineStr">
        <is>
          <t>Int. J. Environ. Res. Public Health</t>
        </is>
      </c>
      <c r="AU1513" t="inlineStr">
        <is>
          <t>DEC</t>
        </is>
      </c>
      <c r="AV1513" t="n">
        <v>2022</v>
      </c>
      <c r="AW1513" t="n">
        <v>19</v>
      </c>
      <c r="AX1513" t="n">
        <v>24</v>
      </c>
      <c r="BE1513" t="n">
        <v>16604</v>
      </c>
      <c r="BF1513" t="inlineStr">
        <is>
          <t>10.3390/ijerph192416604</t>
        </is>
      </c>
      <c r="BG1513">
        <f>HYPERLINK("http://dx.doi.org/10.3390/ijerph192416604","http://dx.doi.org/10.3390/ijerph192416604")</f>
        <v/>
      </c>
      <c r="BJ1513" t="n">
        <v>17</v>
      </c>
      <c r="BK1513" t="inlineStr">
        <is>
          <t>Environmental Sciences; Public, Environmental &amp; Occupational Health</t>
        </is>
      </c>
      <c r="BL1513" t="inlineStr">
        <is>
          <t>Science Citation Index Expanded (SCI-EXPANDED); Social Science Citation Index (SSCI)</t>
        </is>
      </c>
      <c r="BM1513" t="inlineStr">
        <is>
          <t>Environmental Sciences &amp; Ecology; Public, Environmental &amp; Occupational Health</t>
        </is>
      </c>
      <c r="BN1513" t="inlineStr">
        <is>
          <t>7E6TR</t>
        </is>
      </c>
      <c r="BO1513" t="n">
        <v>36554485</v>
      </c>
      <c r="BP1513" t="inlineStr">
        <is>
          <t>Green Published, gold</t>
        </is>
      </c>
      <c r="BS1513" t="inlineStr">
        <is>
          <t>2023-10-26</t>
        </is>
      </c>
      <c r="BT1513" t="inlineStr">
        <is>
          <t>WOS:000901298200001</t>
        </is>
      </c>
      <c r="BU1513">
        <f>HYPERLINK("https%3A%2F%2Fwww.webofscience.com%2Fwos%2Fwoscc%2Ffull-record%2FWOS:000901298200001","View Full Record in Web of Science")</f>
        <v/>
      </c>
    </row>
    <row r="1514">
      <c r="A1514" t="inlineStr">
        <is>
          <t>J</t>
        </is>
      </c>
      <c r="B1514" t="inlineStr">
        <is>
          <t>Kim, J; Kim, H; Lim, D; Lee, YK; Kim, JH</t>
        </is>
      </c>
      <c r="F1514" t="inlineStr">
        <is>
          <t>Kim, JaKyoung; Kim, HyungJin; Lim, DaeHyun; Lee, Young-Kyu; Kim, Jeong Hee</t>
        </is>
      </c>
      <c r="J1514" t="inlineStr">
        <is>
          <t>INTERNATIONAL JOURNAL OF ENVIRONMENTAL RESEARCH AND PUBLIC HEALTH</t>
        </is>
      </c>
      <c r="M1514" t="inlineStr">
        <is>
          <t>English</t>
        </is>
      </c>
      <c r="N1514" t="inlineStr">
        <is>
          <t>Article</t>
        </is>
      </c>
      <c r="T1514" t="inlineStr">
        <is>
          <t>Effects of Indoor Air Pollutants on Atopic Dermatitis</t>
        </is>
      </c>
      <c r="U1514" t="inlineStr">
        <is>
          <t>dermatitis; atopic; air pollution; indoor; VOCs; formaldehyde</t>
        </is>
      </c>
      <c r="V1514" t="inlineStr">
        <is>
          <t>VOLATILE ORGANIC-COMPOUNDS; SICK BUILDING SYNDROME; EXPOSURE; CHILDREN; ASTHMA; RISK; ECZEMA</t>
        </is>
      </c>
      <c r="W1514" t="inlineStr">
        <is>
          <t>The increasing prevalence of atopic dermatitis (AD) is associated with variations in indoor environments. In Korea, many inner walls of homes are covered with wallpaper: such walls emit indoor air pollutants, including volatile organic compounds (VOCs) and formaldehyde. This randomized, double-blind study investigated the effects of wallpaper on indoor air quality and AD. Thirty-one children (aged three to eight years) with moderate AD were assigned to environmentally-friendly (EF) and polyvinyl chloride (PVC) wallpaper groups. Indoor air concentrations of VOCs, natural VOCs (NVOCs), formaldehyde, and total suspended bacteria were measured before and two (W-2) and eight weeks (W-8) after wallpapering. Scoring Atopic Dermatitis (SCORAD) evaluations and blood tests were performed during the same period. The EF wallpaper and PVC wallpaper groups showed similar trends in the changes in total VOCs (TVOC) and formaldehyde content in the indoor air. However, the EF wallpaper group showed more improvement on the SCORAD at W-2 and W-8 than the PVC wallpaper group. The SCORAD index was positively correlated with several indoor air pollutants. Further, the SCORAD index and NVOC % were negatively correlated. Improved SCORAD index and effects of wallpapering on indoor air quality improvements occurred within a short period of time in both groups. We believe that NVOCs in indoor air after EF wallpapering have a beneficial effect on health.</t>
        </is>
      </c>
      <c r="X1514" t="inlineStr">
        <is>
          <t>[Kim, JaKyoung] Kangwon Natl Univ, Sch Med, Dept Pediat, 1 Kangwondaehak Gil, Chuncheon Si 24341, Gangwon Do, South Korea; [Kim, HyungJin; Lim, DaeHyun; Kim, Jeong Hee] Inha Univ, Sch Med, Dept Pediat, 100 Inha Ro, Inchon 22212, South Korea; [Lim, DaeHyun; Kim, Jeong Hee] Inha Univ Hosp, Environm Hlth Ctr Allerg Rhinitis, 27 Inha Ro, Inchon 22332, South Korea; [Lee, Young-Kyu] Seoul Natl Univ, Natl Instrumentat Ctr Environm Management, Indoor Air Qual Anal Ctr, Seoul 08826, South Korea</t>
        </is>
      </c>
      <c r="Y1514" t="inlineStr">
        <is>
          <t>Kangwon National University; Inha University; Inha University; Inha University Hospital; Seoul National University (SNU)</t>
        </is>
      </c>
      <c r="Z1514" t="inlineStr">
        <is>
          <t>Kim, JH (corresponding author), Inha Univ, Sch Med, Dept Pediat, 100 Inha Ro, Inchon 22212, South Korea.;Kim, JH (corresponding author), Inha Univ Hosp, Environm Hlth Ctr Allerg Rhinitis, 27 Inha Ro, Inchon 22332, South Korea.</t>
        </is>
      </c>
      <c r="AA1514" t="inlineStr">
        <is>
          <t>kjaky@kangwon.ac.kr; jy8318@nate.com; dhnlim@naver.com; woodlee9@snu.ac.kr; kimjhmd@inha.ac.kr</t>
        </is>
      </c>
      <c r="AD1514" t="inlineStr">
        <is>
          <t>Korea Environmental Industry and Technology Institute RD project; Inha University Environmental Health Center; Inha University</t>
        </is>
      </c>
      <c r="AE1514" t="inlineStr">
        <is>
          <t>Korea Environmental Industry and Technology Institute RD project; Inha University Environmental Health Center; Inha University</t>
        </is>
      </c>
      <c r="AF1514" t="inlineStr">
        <is>
          <t>This study was supported by a research grant from the Korea Environmental Industry and Technology Institute R&amp;D project, Inha University Environmental Health Center, and Inha University. We thank Lim Myoung Nam for assistance with statistics. We also thank Crimson Interactive Pvt. Ltd. (Ulatus)-https://www.enago.co.kr/translation/translation-services.htm for their assistance in manuscript translation and editing.</t>
        </is>
      </c>
      <c r="AH1514" t="n">
        <v>30</v>
      </c>
      <c r="AI1514" t="n">
        <v>12</v>
      </c>
      <c r="AJ1514" t="n">
        <v>12</v>
      </c>
      <c r="AK1514" t="n">
        <v>0</v>
      </c>
      <c r="AL1514" t="n">
        <v>41</v>
      </c>
      <c r="AM1514" t="inlineStr">
        <is>
          <t>MDPI</t>
        </is>
      </c>
      <c r="AN1514" t="inlineStr">
        <is>
          <t>BASEL</t>
        </is>
      </c>
      <c r="AO1514" t="inlineStr">
        <is>
          <t>ST ALBAN-ANLAGE 66, CH-4052 BASEL, SWITZERLAND</t>
        </is>
      </c>
      <c r="AP1514" t="inlineStr">
        <is>
          <t>1660-4601</t>
        </is>
      </c>
      <c r="AS1514" t="inlineStr">
        <is>
          <t>INT J ENV RES PUB HE</t>
        </is>
      </c>
      <c r="AT1514" t="inlineStr">
        <is>
          <t>Int. J. Environ. Res. Public Health</t>
        </is>
      </c>
      <c r="AU1514" t="inlineStr">
        <is>
          <t>DEC</t>
        </is>
      </c>
      <c r="AV1514" t="n">
        <v>2016</v>
      </c>
      <c r="AW1514" t="n">
        <v>13</v>
      </c>
      <c r="AX1514" t="n">
        <v>12</v>
      </c>
      <c r="BE1514" t="n">
        <v>1220</v>
      </c>
      <c r="BF1514" t="inlineStr">
        <is>
          <t>10.3390/ijerph13121220</t>
        </is>
      </c>
      <c r="BG1514">
        <f>HYPERLINK("http://dx.doi.org/10.3390/ijerph13121220","http://dx.doi.org/10.3390/ijerph13121220")</f>
        <v/>
      </c>
      <c r="BJ1514" t="n">
        <v>13</v>
      </c>
      <c r="BK1514" t="inlineStr">
        <is>
          <t>Environmental Sciences; Public, Environmental &amp; Occupational Health</t>
        </is>
      </c>
      <c r="BL1514" t="inlineStr">
        <is>
          <t>Science Citation Index Expanded (SCI-EXPANDED)</t>
        </is>
      </c>
      <c r="BM1514" t="inlineStr">
        <is>
          <t>Environmental Sciences &amp; Ecology; Public, Environmental &amp; Occupational Health</t>
        </is>
      </c>
      <c r="BN1514" t="inlineStr">
        <is>
          <t>EE4KX</t>
        </is>
      </c>
      <c r="BP1514" t="inlineStr">
        <is>
          <t>gold, Green Published, Green Submitted</t>
        </is>
      </c>
      <c r="BS1514" t="inlineStr">
        <is>
          <t>2023-10-26</t>
        </is>
      </c>
      <c r="BT1514" t="inlineStr">
        <is>
          <t>WOS:000389571900047</t>
        </is>
      </c>
      <c r="BU1514">
        <f>HYPERLINK("https%3A%2F%2Fwww.webofscience.com%2Fwos%2Fwoscc%2Ffull-record%2FWOS:000389571900047","View Full Record in Web of Science")</f>
        <v/>
      </c>
    </row>
    <row r="1515">
      <c r="A1515" t="inlineStr">
        <is>
          <t>J</t>
        </is>
      </c>
      <c r="B1515" t="inlineStr">
        <is>
          <t>Saini, J; Dutta, M; Marques, G</t>
        </is>
      </c>
      <c r="F1515" t="inlineStr">
        <is>
          <t>Saini, Jagriti; Dutta, Maitreyee; Marques, Goncalo</t>
        </is>
      </c>
      <c r="J1515" t="inlineStr">
        <is>
          <t>INTERNATIONAL JOURNAL OF ENVIRONMENTAL RESEARCH AND PUBLIC HEALTH</t>
        </is>
      </c>
      <c r="M1515" t="inlineStr">
        <is>
          <t>English</t>
        </is>
      </c>
      <c r="N1515" t="inlineStr">
        <is>
          <t>Review</t>
        </is>
      </c>
      <c r="T1515" t="inlineStr">
        <is>
          <t>Indoor Air Quality Monitoring Systems Based on Internet of Things: A Systematic Review</t>
        </is>
      </c>
      <c r="U1515" t="inlineStr">
        <is>
          <t>indoor air quality; Internet of Things; monitoring systems; public health</t>
        </is>
      </c>
      <c r="V1515" t="inlineStr">
        <is>
          <t>THERMAL COMFORT; ENVIRONMENTAL-QUALITY; VENTILATION SYSTEMS; PARTICULATE MATTER; LOW-COST; BIG DATA; ENERGY; IOT; POLLUTION; BUILDINGS</t>
        </is>
      </c>
      <c r="W1515" t="inlineStr">
        <is>
          <t>Indoor air quality has been a matter of concern for the international scientific community. Public health experts, environmental governances, and industry experts are working to improve the overall health, comfort, and well-being of building occupants. Repeated exposure to pollutants in indoor environments is reported as one of the potential causes of several chronic health problems such as lung cancer, cardiovascular disease, and respiratory infections. Moreover, smart cities projects are promoting the use of real-time monitoring systems to detect unfavorable scenarios for enhanced living environments. The main objective of this work is to present a systematic review of the current state of the art on indoor air quality monitoring systems based on the Internet of Things. The document highlights design aspects for monitoring systems, including sensor types, microcontrollers, architecture, and connectivity along with implementation issues of the studies published in the previous five years (2015-2020). The main contribution of this paper is to present the synthesis of existing research, knowledge gaps, associated challenges, and future recommendations. The results show that 70%, 65%, and 27.5% of studies focused on monitoring thermal comfort parameters, CO2, and PM levels, respectively. Additionally, there are 37.5% and 35% of systems based on Arduino and Raspberry Pi controllers. Only 22.5% of studies followed the calibration approach before system implementation, and 72.5% of systems claim energy efficiency.</t>
        </is>
      </c>
      <c r="X1515" t="inlineStr">
        <is>
          <t>[Saini, Jagriti; Dutta, Maitreyee] Natl Inst Tech Teachers Training &amp; Res, Chandigarh 160019, India; [Marques, Goncalo] Univ Beira Interior, Inst Telecomunicacoes, P-6200001 Covilha, Portugal</t>
        </is>
      </c>
      <c r="Y1515" t="inlineStr">
        <is>
          <t>National Institute of Technical Teachers Training &amp; Research, Chandigarh; Universidade da Beira Interior</t>
        </is>
      </c>
      <c r="Z1515" t="inlineStr">
        <is>
          <t>Marques, G (corresponding author), Univ Beira Interior, Inst Telecomunicacoes, P-6200001 Covilha, Portugal.</t>
        </is>
      </c>
      <c r="AA1515" t="inlineStr">
        <is>
          <t>jagritis1327@gmail.com; d_maitreyee@yahoo.co.in; goncalosantosmarques@gmail.com</t>
        </is>
      </c>
      <c r="AB1515" t="inlineStr">
        <is>
          <t>Dutta, Maitreyee/AAR-4294-2020; Saini, Jagriti/HPE-5621-2023; Marques, Goncalo/N-1805-2018</t>
        </is>
      </c>
      <c r="AC1515" t="inlineStr">
        <is>
          <t>Marques, Goncalo/0000-0001-5834-6571; Saini, Dr. Jagriti/0000-0001-6903-3722; Dutta, Maitreyee/0000-0002-2608-6821</t>
        </is>
      </c>
      <c r="AH1515" t="n">
        <v>119</v>
      </c>
      <c r="AI1515" t="n">
        <v>54</v>
      </c>
      <c r="AJ1515" t="n">
        <v>54</v>
      </c>
      <c r="AK1515" t="n">
        <v>14</v>
      </c>
      <c r="AL1515" t="n">
        <v>80</v>
      </c>
      <c r="AM1515" t="inlineStr">
        <is>
          <t>MDPI</t>
        </is>
      </c>
      <c r="AN1515" t="inlineStr">
        <is>
          <t>BASEL</t>
        </is>
      </c>
      <c r="AO1515" t="inlineStr">
        <is>
          <t>ST ALBAN-ANLAGE 66, CH-4052 BASEL, SWITZERLAND</t>
        </is>
      </c>
      <c r="AQ1515" t="inlineStr">
        <is>
          <t>1660-4601</t>
        </is>
      </c>
      <c r="AS1515" t="inlineStr">
        <is>
          <t>INT J ENV RES PUB HE</t>
        </is>
      </c>
      <c r="AT1515" t="inlineStr">
        <is>
          <t>Int. J. Environ. Res. Public Health</t>
        </is>
      </c>
      <c r="AU1515" t="inlineStr">
        <is>
          <t>JUL</t>
        </is>
      </c>
      <c r="AV1515" t="n">
        <v>2020</v>
      </c>
      <c r="AW1515" t="n">
        <v>17</v>
      </c>
      <c r="AX1515" t="n">
        <v>14</v>
      </c>
      <c r="BE1515" t="n">
        <v>4942</v>
      </c>
      <c r="BF1515" t="inlineStr">
        <is>
          <t>10.3390/ijerph17144942</t>
        </is>
      </c>
      <c r="BG1515">
        <f>HYPERLINK("http://dx.doi.org/10.3390/ijerph17144942","http://dx.doi.org/10.3390/ijerph17144942")</f>
        <v/>
      </c>
      <c r="BJ1515" t="n">
        <v>21</v>
      </c>
      <c r="BK1515" t="inlineStr">
        <is>
          <t>Environmental Sciences; Public, Environmental &amp; Occupational Health</t>
        </is>
      </c>
      <c r="BL1515" t="inlineStr">
        <is>
          <t>Science Citation Index Expanded (SCI-EXPANDED); Social Science Citation Index (SSCI)</t>
        </is>
      </c>
      <c r="BM1515" t="inlineStr">
        <is>
          <t>Environmental Sciences &amp; Ecology; Public, Environmental &amp; Occupational Health</t>
        </is>
      </c>
      <c r="BN1515" t="inlineStr">
        <is>
          <t>MW7FE</t>
        </is>
      </c>
      <c r="BO1515" t="n">
        <v>32659931</v>
      </c>
      <c r="BP1515" t="inlineStr">
        <is>
          <t>gold, Green Published</t>
        </is>
      </c>
      <c r="BS1515" t="inlineStr">
        <is>
          <t>2023-10-26</t>
        </is>
      </c>
      <c r="BT1515" t="inlineStr">
        <is>
          <t>WOS:000557196900001</t>
        </is>
      </c>
      <c r="BU1515">
        <f>HYPERLINK("https%3A%2F%2Fwww.webofscience.com%2Fwos%2Fwoscc%2Ffull-record%2FWOS:000557196900001","View Full Record in Web of Science")</f>
        <v/>
      </c>
    </row>
    <row r="1516">
      <c r="A1516" t="inlineStr">
        <is>
          <t>J</t>
        </is>
      </c>
      <c r="B1516" t="inlineStr">
        <is>
          <t>Shin, SH; Jo, WK</t>
        </is>
      </c>
      <c r="F1516" t="inlineStr">
        <is>
          <t>Shin, Seung-Ho; Jo, Wan-Kuen</t>
        </is>
      </c>
      <c r="J1516" t="inlineStr">
        <is>
          <t>INTERNATIONAL JOURNAL OF ENVIRONMENTAL ANALYTICAL CHEMISTRY</t>
        </is>
      </c>
      <c r="M1516" t="inlineStr">
        <is>
          <t>English</t>
        </is>
      </c>
      <c r="N1516" t="inlineStr">
        <is>
          <t>Article</t>
        </is>
      </c>
      <c r="T1516" t="inlineStr">
        <is>
          <t>Volatile organic compound concentrations in newly built apartment buildings during pre-and post-occupancy stages</t>
        </is>
      </c>
      <c r="U1516" t="inlineStr">
        <is>
          <t>building material; inhabitant occupancy; newly built apartment; indoor air quality; volatile organic compound</t>
        </is>
      </c>
      <c r="V1516" t="inlineStr">
        <is>
          <t>CHEMICAL MASS-BALANCE; RESIDENTIAL BUILDINGS; SOURCE APPORTIONMENT; REFERENCE VALUES; EMISSION RATES; VOC EMISSIONS; INDOOR; AIR; HOMES; SITE</t>
        </is>
      </c>
      <c r="W1516" t="inlineStr">
        <is>
          <t>This study provides updated concentrations of 30 selected volatile organic compounds (VOCs) of indoor and outdoor air in new residential buildings before and after inhabitants moved in. During both the pre- and post-occupancy stages, toluene was the most abundant indoor VOC and, unlike other target VOCs, the indoor concentrations of six chlorinated compounds did not differ significantly from the outdoor concentrations, indicating the absence of any significant indoor source(s). The indoor concentrations of certain VOCs were significantly higher for the one-month post-occupancy stage than the pre-occupancy stage, which was likely attributable to emissions from furiture and household products used by inhabitants after moving in, as well as building finishing materials. The indoor concentrations of individual (excluding naphthalene and six chlorinated VOCs) and total VOCs revealed a decreasing tendency over the 2-y follow-up period. Moreover, there was an initial rapid decrease in indoor VOC concentrations followed by a somewhat slower decrease over the 2-y follow-up period, reflecting a multi-exponential decay model for VOCs. The measured indoor VOC concentrations and their matched measurement times were well fit to exponential models. During the pre-occupancy stage, aromatic hydrocarbons exhibited the highest emission rate. In contrast, terpenes showed the highest emission rate during the post-occupancy stages. The levels of VOCs determined in this study are necessary for establishment of effective VOC control strategies in new residential buildings and linking exposure to the health risk posed to inhabitants.</t>
        </is>
      </c>
      <c r="X1516" t="inlineStr">
        <is>
          <t>[Shin, Seung-Ho; Jo, Wan-Kuen] Kyungpook Natl Univ, Dept Environm Engn, Taegu, South Korea</t>
        </is>
      </c>
      <c r="Y1516" t="inlineStr">
        <is>
          <t>Kyungpook National University</t>
        </is>
      </c>
      <c r="Z1516" t="inlineStr">
        <is>
          <t>Jo, WK (corresponding author), Kyungpook Natl Univ, Dept Environm Engn, Taegu, South Korea.</t>
        </is>
      </c>
      <c r="AA1516" t="inlineStr">
        <is>
          <t>wkjo@knu.ac.kr</t>
        </is>
      </c>
      <c r="AB1516" t="inlineStr">
        <is>
          <t>Jo, Wan/AAO-5329-2020; Jo, Wank-Kuen/AAO-5323-2020</t>
        </is>
      </c>
      <c r="AC1516" t="inlineStr">
        <is>
          <t>Jo, Wan/0000-0003-3255-5740; Jo, Wank-Kuen/0000-0003-3255-5740; Shin, Seung-ho/0000-0002-9692-0316</t>
        </is>
      </c>
      <c r="AD1516" t="inlineStr">
        <is>
          <t>National Research Foundation of Korea (NRF); Korean government (MEST) [2011-0027916]</t>
        </is>
      </c>
      <c r="AE1516" t="inlineStr">
        <is>
          <t>National Research Foundation of Korea (NRF)(National Research Foundation of Korea); Korean government (MEST)(Ministry of Education, Science &amp; Technology (MEST), Republic of KoreaKorean Government)</t>
        </is>
      </c>
      <c r="AF1516" t="inlineStr">
        <is>
          <t>This work was supported by the National Research Foundation of Korea (NRF) grant funded by the Korean government (MEST) (No. 2011-0027916). The authors thank two graduate students (Joon Yeob Lee and Kun-Hwan Kim) in the Department of Environmental Engineering, Kyungpook National University, for collecting samples and conducting analyses. We also thank the referees for their valuable and helpful comments.</t>
        </is>
      </c>
      <c r="AH1516" t="n">
        <v>46</v>
      </c>
      <c r="AI1516" t="n">
        <v>10</v>
      </c>
      <c r="AJ1516" t="n">
        <v>10</v>
      </c>
      <c r="AK1516" t="n">
        <v>1</v>
      </c>
      <c r="AL1516" t="n">
        <v>39</v>
      </c>
      <c r="AM1516" t="inlineStr">
        <is>
          <t>TAYLOR &amp; FRANCIS LTD</t>
        </is>
      </c>
      <c r="AN1516" t="inlineStr">
        <is>
          <t>ABINGDON</t>
        </is>
      </c>
      <c r="AO1516" t="inlineStr">
        <is>
          <t>4 PARK SQUARE, MILTON PARK, ABINGDON OX14 4RN, OXON, ENGLAND</t>
        </is>
      </c>
      <c r="AP1516" t="inlineStr">
        <is>
          <t>0306-7319</t>
        </is>
      </c>
      <c r="AQ1516" t="inlineStr">
        <is>
          <t>1029-0397</t>
        </is>
      </c>
      <c r="AS1516" t="inlineStr">
        <is>
          <t>INT J ENVIRON AN CH</t>
        </is>
      </c>
      <c r="AT1516" t="inlineStr">
        <is>
          <t>Int. J. Environ. Anal. Chem.</t>
        </is>
      </c>
      <c r="AU1516" t="inlineStr">
        <is>
          <t>MAR 16</t>
        </is>
      </c>
      <c r="AV1516" t="n">
        <v>2014</v>
      </c>
      <c r="AW1516" t="n">
        <v>94</v>
      </c>
      <c r="AX1516" t="n">
        <v>4</v>
      </c>
      <c r="BC1516" t="n">
        <v>356</v>
      </c>
      <c r="BD1516" t="n">
        <v>369</v>
      </c>
      <c r="BF1516" t="inlineStr">
        <is>
          <t>10.1080/03067319.2013.814125</t>
        </is>
      </c>
      <c r="BG1516">
        <f>HYPERLINK("http://dx.doi.org/10.1080/03067319.2013.814125","http://dx.doi.org/10.1080/03067319.2013.814125")</f>
        <v/>
      </c>
      <c r="BJ1516" t="n">
        <v>14</v>
      </c>
      <c r="BK1516" t="inlineStr">
        <is>
          <t>Chemistry, Analytical; Environmental Sciences</t>
        </is>
      </c>
      <c r="BL1516" t="inlineStr">
        <is>
          <t>Science Citation Index Expanded (SCI-EXPANDED)</t>
        </is>
      </c>
      <c r="BM1516" t="inlineStr">
        <is>
          <t>Chemistry; Environmental Sciences &amp; Ecology</t>
        </is>
      </c>
      <c r="BN1516" t="inlineStr">
        <is>
          <t>AB5YB</t>
        </is>
      </c>
      <c r="BS1516" t="inlineStr">
        <is>
          <t>2023-10-26</t>
        </is>
      </c>
      <c r="BT1516" t="inlineStr">
        <is>
          <t>WOS:000331863500004</t>
        </is>
      </c>
      <c r="BU1516">
        <f>HYPERLINK("https%3A%2F%2Fwww.webofscience.com%2Fwos%2Fwoscc%2Ffull-record%2FWOS:000331863500004","View Full Record in Web of Science")</f>
        <v/>
      </c>
    </row>
    <row r="1517">
      <c r="A1517" t="inlineStr">
        <is>
          <t>J</t>
        </is>
      </c>
      <c r="B1517" t="inlineStr">
        <is>
          <t>Huang, XF; Lu, Z; Zhuang, ZX</t>
        </is>
      </c>
      <c r="F1517" t="inlineStr">
        <is>
          <t>Huang, Xianfeng; Lu, Zhen; Zhuang, Zhixiang</t>
        </is>
      </c>
      <c r="J1517" t="inlineStr">
        <is>
          <t>SUSTAINABILITY</t>
        </is>
      </c>
      <c r="M1517" t="inlineStr">
        <is>
          <t>English</t>
        </is>
      </c>
      <c r="N1517" t="inlineStr">
        <is>
          <t>Article</t>
        </is>
      </c>
      <c r="T1517" t="inlineStr">
        <is>
          <t>Analysis of the Wind Environment to Improve the Thermal Comfort in the Colonnade Space of a Qilou Street Based on the Relative Warmth Index</t>
        </is>
      </c>
      <c r="U1517" t="inlineStr">
        <is>
          <t>qilou; colonnade space; thermal comfort; relative warmth index; urban and architectural design measures</t>
        </is>
      </c>
      <c r="V1517" t="inlineStr">
        <is>
          <t>TRANSITIONAL SPACES; RESPONSES</t>
        </is>
      </c>
      <c r="W1517" t="inlineStr">
        <is>
          <t>By analyzing measurements of the thermal environment of a qilou (arcade building) street, this study used the relative warmth index (RWI) to evaluate the thermal comfort in the colonnade space of a qilou. The analysis of the influence of the temperature, humidity, and wind speed on the thermal comfort in the colonnade space of a qilou street was conducted, and it was shown that the ambient wind speed had a strong influence on the RWI, indicating that a proper increase in the wind speed positively affected thermal comfort in this space. Then, this study also analyzed the effects of different forms of qilou streets on the wind environment by employing computational fluid dynamics (CFD) and summarized the architectural design measures that can improve the thermal comfort, including adopting back chamfer, street gaps, and the appropriate sizing of building components. It was concluded that the wind environment of a qilou could be optimized in terms of these measures, and the average RWI value decreased by 0.06, effectively enhancing the thermal comfort in the colonnade space. The research findings are applicable toward designing a thermally comfortable environment in the transitional space.</t>
        </is>
      </c>
      <c r="X1517" t="inlineStr">
        <is>
          <t>[Huang, Xianfeng; Lu, Zhen; Zhuang, Zhixiang] Guangxi Univ, Coll Civil Engn &amp; Architecture, Nanning 530004, Peoples R China; [Huang, Xianfeng; Lu, Zhen] Guangxi Univ, Guangxi Key Lab Disaster Prevent &amp; Engn Safety, Nanning 530004, Peoples R China</t>
        </is>
      </c>
      <c r="Y1517" t="inlineStr">
        <is>
          <t>Guangxi University; Guangxi University</t>
        </is>
      </c>
      <c r="Z1517" t="inlineStr">
        <is>
          <t>Huang, XF (corresponding author), Guangxi Univ, Coll Civil Engn &amp; Architecture, Nanning 530004, Peoples R China.;Huang, XF (corresponding author), Guangxi Univ, Guangxi Key Lab Disaster Prevent &amp; Engn Safety, Nanning 530004, Peoples R China.</t>
        </is>
      </c>
      <c r="AA1517" t="inlineStr">
        <is>
          <t>x.f.huang@gxu.edu.cn</t>
        </is>
      </c>
      <c r="AC1517" t="inlineStr">
        <is>
          <t>Huang, Xianfeng/0000-0001-9877-1388</t>
        </is>
      </c>
      <c r="AD1517" t="inlineStr">
        <is>
          <t>National Natural Science Foundation of China [51568003]</t>
        </is>
      </c>
      <c r="AE1517" t="inlineStr">
        <is>
          <t>National Natural Science Foundation of China(National Natural Science Foundation of China (NSFC))</t>
        </is>
      </c>
      <c r="AF1517" t="inlineStr">
        <is>
          <t>This research was funded by National Natural Science Foundation of China, grant number 51568003.</t>
        </is>
      </c>
      <c r="AH1517" t="n">
        <v>24</v>
      </c>
      <c r="AI1517" t="n">
        <v>7</v>
      </c>
      <c r="AJ1517" t="n">
        <v>7</v>
      </c>
      <c r="AK1517" t="n">
        <v>7</v>
      </c>
      <c r="AL1517" t="n">
        <v>29</v>
      </c>
      <c r="AM1517" t="inlineStr">
        <is>
          <t>MDPI</t>
        </is>
      </c>
      <c r="AN1517" t="inlineStr">
        <is>
          <t>BASEL</t>
        </is>
      </c>
      <c r="AO1517" t="inlineStr">
        <is>
          <t>ST ALBAN-ANLAGE 66, CH-4052 BASEL, SWITZERLAND</t>
        </is>
      </c>
      <c r="AQ1517" t="inlineStr">
        <is>
          <t>2071-1050</t>
        </is>
      </c>
      <c r="AS1517" t="inlineStr">
        <is>
          <t>SUSTAINABILITY-BASEL</t>
        </is>
      </c>
      <c r="AT1517" t="inlineStr">
        <is>
          <t>Sustainability</t>
        </is>
      </c>
      <c r="AU1517" t="inlineStr">
        <is>
          <t>AUG</t>
        </is>
      </c>
      <c r="AV1517" t="n">
        <v>2019</v>
      </c>
      <c r="AW1517" t="n">
        <v>11</v>
      </c>
      <c r="AX1517" t="n">
        <v>16</v>
      </c>
      <c r="BE1517" t="n">
        <v>4402</v>
      </c>
      <c r="BF1517" t="inlineStr">
        <is>
          <t>10.3390/su11164402</t>
        </is>
      </c>
      <c r="BG1517">
        <f>HYPERLINK("http://dx.doi.org/10.3390/su11164402","http://dx.doi.org/10.3390/su11164402")</f>
        <v/>
      </c>
      <c r="BJ1517" t="n">
        <v>19</v>
      </c>
      <c r="BK1517" t="inlineStr">
        <is>
          <t>Green &amp; Sustainable Science &amp; Technology; Environmental Sciences; Environmental Studies</t>
        </is>
      </c>
      <c r="BL1517" t="inlineStr">
        <is>
          <t>Science Citation Index Expanded (SCI-EXPANDED); Social Science Citation Index (SSCI)</t>
        </is>
      </c>
      <c r="BM1517" t="inlineStr">
        <is>
          <t>Science &amp; Technology - Other Topics; Environmental Sciences &amp; Ecology</t>
        </is>
      </c>
      <c r="BN1517" t="inlineStr">
        <is>
          <t>IV7UO</t>
        </is>
      </c>
      <c r="BP1517" t="inlineStr">
        <is>
          <t>Green Published, Green Submitted, gold</t>
        </is>
      </c>
      <c r="BS1517" t="inlineStr">
        <is>
          <t>2023-10-26</t>
        </is>
      </c>
      <c r="BT1517" t="inlineStr">
        <is>
          <t>WOS:000484472500146</t>
        </is>
      </c>
      <c r="BU1517">
        <f>HYPERLINK("https%3A%2F%2Fwww.webofscience.com%2Fwos%2Fwoscc%2Ffull-record%2FWOS:000484472500146","View Full Record in Web of Science")</f>
        <v/>
      </c>
    </row>
    <row r="1518">
      <c r="A1518" t="inlineStr">
        <is>
          <t>J</t>
        </is>
      </c>
      <c r="B1518" t="inlineStr">
        <is>
          <t>Ha, SK; Lee, HS; Park, HY</t>
        </is>
      </c>
      <c r="F1518" t="inlineStr">
        <is>
          <t>Ha, Seong Kyu; Lee, Hey Sig; Park, Hae Yean</t>
        </is>
      </c>
      <c r="J1518" t="inlineStr">
        <is>
          <t>INTERNATIONAL JOURNAL OF ENVIRONMENTAL RESEARCH AND PUBLIC HEALTH</t>
        </is>
      </c>
      <c r="M1518" t="inlineStr">
        <is>
          <t>English</t>
        </is>
      </c>
      <c r="N1518" t="inlineStr">
        <is>
          <t>Article</t>
        </is>
      </c>
      <c r="T1518" t="inlineStr">
        <is>
          <t>Twelve Smartphone Applications for Health Management of Older Adults during the COVID-19 Pandemic</t>
        </is>
      </c>
      <c r="U1518" t="inlineStr">
        <is>
          <t>applications; COVID-19; health management; older adults; OTPF-4</t>
        </is>
      </c>
      <c r="V1518" t="inlineStr">
        <is>
          <t>MOBILE-HEALTH</t>
        </is>
      </c>
      <c r="W1518" t="inlineStr">
        <is>
          <t>This study investigated smartphone applications that may be helpful in managing the health of the elderly during COVID-19. The application searched the seven areas of health management, newly classified in OTPF 4th edition with keywords in the Google Play Store. As a result, two applications meeting the selection criteria were selected for each area. The selected applications are social and emotional health promotion and maintenance: Wysa &amp; MindDoc, symptom and condition management: Ada &amp; Diseases Dictionary, communication with the health care system: Telehealth &amp; Blood Pressure Diary, medication management: Medisafe &amp; MyTherapy, physical activity: FitOn &amp; Samsung Health, nutrition management: Lifesum &amp; Health and Nutrition Guide. Through the analyzed applications, twelve applications with the potential to improve the health management and quality of life in older adults during social distancing or self-isolation due to COVID-19 were identified.</t>
        </is>
      </c>
      <c r="X1518" t="inlineStr">
        <is>
          <t>[Ha, Seong Kyu] Jungwon Univ, Dept Occupat Therapy, Goesan 28023, South Korea; [Lee, Hey Sig] Yonsei Univ, Dept Occupat Therapy, Wonju 26493, South Korea; [Park, Hae Yean] Yonsei Univ, Coll Software &amp; Digital Healthcare Convergence, Dept Occupat Therapy, Wonju 26493, South Korea</t>
        </is>
      </c>
      <c r="Y1518" t="inlineStr">
        <is>
          <t>Jungwon University; Yonsei University; Yonsei University</t>
        </is>
      </c>
      <c r="Z1518" t="inlineStr">
        <is>
          <t>Park, HY (corresponding author), Yonsei Univ, Coll Software &amp; Digital Healthcare Convergence, Dept Occupat Therapy, Wonju 26493, South Korea.</t>
        </is>
      </c>
      <c r="AA1518" t="inlineStr">
        <is>
          <t>haseongkyu@gmail.com; yozohzzz@gmail.com; haepark@yonsei.ac.kr</t>
        </is>
      </c>
      <c r="AC1518" t="inlineStr">
        <is>
          <t>Ha, SeongKyu/0000-0003-4381-121X</t>
        </is>
      </c>
      <c r="AD1518" t="inlineStr">
        <is>
          <t>National Research Foundation of Korea (NRF) - Korea government(MSIT) [NRF-2020R1C1C1011374]</t>
        </is>
      </c>
      <c r="AE1518" t="inlineStr">
        <is>
          <t>National Research Foundation of Korea (NRF) - Korea government(MSIT)(National Research Foundation of KoreaMinistry of Science, ICT &amp; Future Planning, Republic of KoreaMinistry of Science &amp; ICT (MSIT), Republic of Korea)</t>
        </is>
      </c>
      <c r="AF1518" t="inlineStr">
        <is>
          <t>This work was supported by the National Research Foundation of Korea (NRF) grant funded by the Korea government(MSIT) (NRF-2020R1C1C1011374).</t>
        </is>
      </c>
      <c r="AH1518" t="n">
        <v>36</v>
      </c>
      <c r="AI1518" t="n">
        <v>2</v>
      </c>
      <c r="AJ1518" t="n">
        <v>2</v>
      </c>
      <c r="AK1518" t="n">
        <v>3</v>
      </c>
      <c r="AL1518" t="n">
        <v>20</v>
      </c>
      <c r="AM1518" t="inlineStr">
        <is>
          <t>MDPI</t>
        </is>
      </c>
      <c r="AN1518" t="inlineStr">
        <is>
          <t>BASEL</t>
        </is>
      </c>
      <c r="AO1518" t="inlineStr">
        <is>
          <t>ST ALBAN-ANLAGE 66, CH-4052 BASEL, SWITZERLAND</t>
        </is>
      </c>
      <c r="AQ1518" t="inlineStr">
        <is>
          <t>1660-4601</t>
        </is>
      </c>
      <c r="AS1518" t="inlineStr">
        <is>
          <t>INT J ENV RES PUB HE</t>
        </is>
      </c>
      <c r="AT1518" t="inlineStr">
        <is>
          <t>Int. J. Environ. Res. Public Health</t>
        </is>
      </c>
      <c r="AU1518" t="inlineStr">
        <is>
          <t>OCT</t>
        </is>
      </c>
      <c r="AV1518" t="n">
        <v>2021</v>
      </c>
      <c r="AW1518" t="n">
        <v>18</v>
      </c>
      <c r="AX1518" t="n">
        <v>19</v>
      </c>
      <c r="BE1518" t="n">
        <v>10235</v>
      </c>
      <c r="BF1518" t="inlineStr">
        <is>
          <t>10.3390/ijerph181910235</t>
        </is>
      </c>
      <c r="BG1518">
        <f>HYPERLINK("http://dx.doi.org/10.3390/ijerph181910235","http://dx.doi.org/10.3390/ijerph181910235")</f>
        <v/>
      </c>
      <c r="BJ1518" t="n">
        <v>13</v>
      </c>
      <c r="BK1518" t="inlineStr">
        <is>
          <t>Environmental Sciences; Public, Environmental &amp; Occupational Health</t>
        </is>
      </c>
      <c r="BL1518" t="inlineStr">
        <is>
          <t>Science Citation Index Expanded (SCI-EXPANDED); Social Science Citation Index (SSCI)</t>
        </is>
      </c>
      <c r="BM1518" t="inlineStr">
        <is>
          <t>Environmental Sciences &amp; Ecology; Public, Environmental &amp; Occupational Health</t>
        </is>
      </c>
      <c r="BN1518" t="inlineStr">
        <is>
          <t>ZK1KB</t>
        </is>
      </c>
      <c r="BO1518" t="n">
        <v>34639536</v>
      </c>
      <c r="BP1518" t="inlineStr">
        <is>
          <t>Green Published, gold</t>
        </is>
      </c>
      <c r="BS1518" t="inlineStr">
        <is>
          <t>2023-10-26</t>
        </is>
      </c>
      <c r="BT1518" t="inlineStr">
        <is>
          <t>WOS:000762753500001</t>
        </is>
      </c>
      <c r="BU1518">
        <f>HYPERLINK("https%3A%2F%2Fwww.webofscience.com%2Fwos%2Fwoscc%2Ffull-record%2FWOS:000762753500001","View Full Record in Web of Science")</f>
        <v/>
      </c>
    </row>
    <row r="1519">
      <c r="A1519" t="inlineStr">
        <is>
          <t>J</t>
        </is>
      </c>
      <c r="B1519" t="inlineStr">
        <is>
          <t>Guo, W; Zang, M; Klich, S; Kawczynski, A; Smoter, M; Wang, BY</t>
        </is>
      </c>
      <c r="F1519" t="inlineStr">
        <is>
          <t>Guo, Wei; Zang, Ming; Klich, Sebastian; Kawczynski, Adam; Smoter, Malgorzata; Wang, Biye</t>
        </is>
      </c>
      <c r="J1519" t="inlineStr">
        <is>
          <t>INTERNATIONAL JOURNAL OF ENVIRONMENTAL RESEARCH AND PUBLIC HEALTH</t>
        </is>
      </c>
      <c r="M1519" t="inlineStr">
        <is>
          <t>English</t>
        </is>
      </c>
      <c r="N1519" t="inlineStr">
        <is>
          <t>Review</t>
        </is>
      </c>
      <c r="T1519" t="inlineStr">
        <is>
          <t>Effect of Combined Physical and Cognitive Interventions on Executive Functions in OLDER Adults: A Meta-Analysis of Outcomes</t>
        </is>
      </c>
      <c r="U1519" t="inlineStr">
        <is>
          <t>combined physical and cognition interventions; executive functions; meta-analysis; older adults</t>
        </is>
      </c>
      <c r="V1519" t="inlineStr">
        <is>
          <t>RANDOMIZED-CONTROLLED-TRIAL; EXERCISE; IMPAIRMENT; PERFORMANCE; DEMENTIA; PROGRAM; MEMORY; BRAIN; ABILITIES; PEOPLE</t>
        </is>
      </c>
      <c r="W1519" t="inlineStr">
        <is>
          <t>Background:Both physical exercise and cognitive training can effectively improve executive functions in older adults. However, whether physical activity combined with cognitive training is more effective than a single intervention remains controversial. The aim of this study was to perform a meta-analysis to evaluate the effect of combined physical and cognitive interventions on executive functions in older adults aged 65-80 years old.Methods:Randomized controlled trials of combined physical and cognitive interventions on executive functions in older adults were searched using the Web of Science, Elsevier Science, PubMed, EBSCO, Springer-Link, and NATURE databases. Data extraction and quality evaluation were done by Comprehensive Meta-Analysis, V3.Results:A total of 21 studies were included. The results showed that the combined physical and cognitive interventions produced significantly larger gains in executive functions, compared to the control group (standardized mean difference (SMD) = 0.26, 95% confidence interval (CI) [0.14, 0.39],p&lt; 0.01). Furthermore, the effects of the combined physical and cognitive interventions were moderated by the study quality, intervention length, and intervention frequency. No significant differences were found between the combined interventions and the physical intervention alone (SMD = 0.13, 95% CI [-0.07, 0.33],p&gt; 0.05) or the cognitive intervention alone (SMD = 0.13, 95% CI [-0.05, 0.30],p&gt; 0.05).Conclusions:The combined physical and cognitive interventions effectively delayed the decrease of executive functions in older adults and this effect was influenced by the length and frequency of the intervention as well as the research quality. However, the effect of the combined physical and cognitive interventions was not significantly better than that of each intervention alone.</t>
        </is>
      </c>
      <c r="X1519" t="inlineStr">
        <is>
          <t>[Guo, Wei; Zang, Ming; Wang, Biye] Yangzhou Univ, Coll Phys Educ, Yangzhou 225009, Jiangsu, Peoples R China; [Guo, Wei; Wang, Biye] Yangzhou Univ, Inst Sports Exercise &amp; Brain, Yangzhou 225009, Jiangsu, Peoples R China; [Klich, Sebastian; Kawczynski, Adam] Univ Sch Phys Educ Wroclaw, Dept Paralymp Sport, PL-51617 Wroclaw, Poland; [Smoter, Malgorzata] Diagnost &amp; Rehabil Ctr Promyk Slonca, PL-50088 Wroclaw, Poland</t>
        </is>
      </c>
      <c r="Y1519" t="inlineStr">
        <is>
          <t>Yangzhou University; Yangzhou University</t>
        </is>
      </c>
      <c r="Z1519" t="inlineStr">
        <is>
          <t>Wang, BY (corresponding author), Yangzhou Univ, Coll Phys Educ, Yangzhou 225009, Jiangsu, Peoples R China.;Wang, BY (corresponding author), Yangzhou Univ, Inst Sports Exercise &amp; Brain, Yangzhou 225009, Jiangsu, Peoples R China.</t>
        </is>
      </c>
      <c r="AA1519" t="inlineStr">
        <is>
          <t>guowei@yzu.edu.cn; zangming@yzu.edu.cn; sebastian.klich@awf.wroc.pl; adam.kawczynski@awf.wroc.pl; m.h.smoter@gmail.com; wangbiye@yzu.edu.cn</t>
        </is>
      </c>
      <c r="AB1519" t="inlineStr">
        <is>
          <t>Kawczynski, Adam/AAK-3031-2021; Klich, Sebastian/AAM-7805-2021</t>
        </is>
      </c>
      <c r="AC1519" t="inlineStr">
        <is>
          <t>Kawczynski, Adam/0000-0001-7840-3799; Klich, Sebastian/0000-0002-8182-2975; WANG, Biye/0000-0002-0982-8440; Smoter, Malgorzata/0000-0003-2357-5803; Guo, Wei/0000-0001-5487-0720</t>
        </is>
      </c>
      <c r="AD1519" t="inlineStr">
        <is>
          <t>Natural Science Foundation of Jiangsu Province [BK20180926]; Natural Science Foundation of Higher Education of Jiangsu Province [18KJD190004]</t>
        </is>
      </c>
      <c r="AE1519" t="inlineStr">
        <is>
          <t>Natural Science Foundation of Jiangsu Province(Natural Science Foundation of Jiangsu Province); Natural Science Foundation of Higher Education of Jiangsu Province</t>
        </is>
      </c>
      <c r="AF1519" t="inlineStr">
        <is>
          <t>This research was funded by Natural Science Foundation of Jiangsu Province, grant number BK20180926, and Natural Science Foundation of Higher Education of Jiangsu Province, grant number 18KJD190004.</t>
        </is>
      </c>
      <c r="AH1519" t="n">
        <v>69</v>
      </c>
      <c r="AI1519" t="n">
        <v>26</v>
      </c>
      <c r="AJ1519" t="n">
        <v>27</v>
      </c>
      <c r="AK1519" t="n">
        <v>6</v>
      </c>
      <c r="AL1519" t="n">
        <v>32</v>
      </c>
      <c r="AM1519" t="inlineStr">
        <is>
          <t>MDPI</t>
        </is>
      </c>
      <c r="AN1519" t="inlineStr">
        <is>
          <t>BASEL</t>
        </is>
      </c>
      <c r="AO1519" t="inlineStr">
        <is>
          <t>ST ALBAN-ANLAGE 66, CH-4052 BASEL, SWITZERLAND</t>
        </is>
      </c>
      <c r="AQ1519" t="inlineStr">
        <is>
          <t>1660-4601</t>
        </is>
      </c>
      <c r="AS1519" t="inlineStr">
        <is>
          <t>INT J ENV RES PUB HE</t>
        </is>
      </c>
      <c r="AT1519" t="inlineStr">
        <is>
          <t>Int. J. Environ. Res. Public Health</t>
        </is>
      </c>
      <c r="AU1519" t="inlineStr">
        <is>
          <t>SEP</t>
        </is>
      </c>
      <c r="AV1519" t="n">
        <v>2020</v>
      </c>
      <c r="AW1519" t="n">
        <v>17</v>
      </c>
      <c r="AX1519" t="n">
        <v>17</v>
      </c>
      <c r="BE1519" t="n">
        <v>6166</v>
      </c>
      <c r="BF1519" t="inlineStr">
        <is>
          <t>10.3390/ijerph17176166</t>
        </is>
      </c>
      <c r="BG1519">
        <f>HYPERLINK("http://dx.doi.org/10.3390/ijerph17176166","http://dx.doi.org/10.3390/ijerph17176166")</f>
        <v/>
      </c>
      <c r="BJ1519" t="n">
        <v>19</v>
      </c>
      <c r="BK1519" t="inlineStr">
        <is>
          <t>Environmental Sciences; Public, Environmental &amp; Occupational Health</t>
        </is>
      </c>
      <c r="BL1519" t="inlineStr">
        <is>
          <t>Science Citation Index Expanded (SCI-EXPANDED); Social Science Citation Index (SSCI)</t>
        </is>
      </c>
      <c r="BM1519" t="inlineStr">
        <is>
          <t>Environmental Sciences &amp; Ecology; Public, Environmental &amp; Occupational Health</t>
        </is>
      </c>
      <c r="BN1519" t="inlineStr">
        <is>
          <t>NP1VE</t>
        </is>
      </c>
      <c r="BO1519" t="n">
        <v>32854323</v>
      </c>
      <c r="BP1519" t="inlineStr">
        <is>
          <t>gold, Green Published</t>
        </is>
      </c>
      <c r="BS1519" t="inlineStr">
        <is>
          <t>2023-10-26</t>
        </is>
      </c>
      <c r="BT1519" t="inlineStr">
        <is>
          <t>WOS:000569968000001</t>
        </is>
      </c>
      <c r="BU1519">
        <f>HYPERLINK("https%3A%2F%2Fwww.webofscience.com%2Fwos%2Fwoscc%2Ffull-record%2FWOS:000569968000001","View Full Record in Web of Science")</f>
        <v/>
      </c>
    </row>
    <row r="1520">
      <c r="A1520" t="inlineStr">
        <is>
          <t>J</t>
        </is>
      </c>
      <c r="B1520" t="inlineStr">
        <is>
          <t>Yong, LX; Calautit, JK</t>
        </is>
      </c>
      <c r="F1520" t="inlineStr">
        <is>
          <t>Yong, Ling Xin; Calautit, John Kaiser</t>
        </is>
      </c>
      <c r="J1520" t="inlineStr">
        <is>
          <t>SUSTAINABILITY</t>
        </is>
      </c>
      <c r="M1520" t="inlineStr">
        <is>
          <t>English</t>
        </is>
      </c>
      <c r="N1520" t="inlineStr">
        <is>
          <t>Review</t>
        </is>
      </c>
      <c r="T1520" t="inlineStr">
        <is>
          <t>A Comprehensive Review on the Integration of Antimicrobial Technologies onto Various Surfaces of the Built Environment</t>
        </is>
      </c>
      <c r="U1520" t="inlineStr">
        <is>
          <t>antimicrobial; buildings; coating; COVID-19; surface; materials</t>
        </is>
      </c>
      <c r="V1520" t="inlineStr">
        <is>
          <t>SILVER NANOPARTICLES; INFECTION-CONTROL; CHILD-CARE; ANTIBACTERIAL; COVID-19; TRANSMISSION; PERFORMANCE; INFLUENZA; PATHOGENS; BACTERIAL</t>
        </is>
      </c>
      <c r="W1520" t="inlineStr">
        <is>
          <t>With the recent surge in interest in microbial prevention, this review paper looks at the different antimicrobial technologies for surfaces in the built environment. Every year, more than 4 million people are at risk of dying due to acquiring a microbial infection. As per the recent COVID-19 pandemic, such infections alone increase the cost and burden to the healthcare system. Therefore, mitigating the risk of microbial infection in the built environment is one of the essential considerations in our preparedness for future pandemic situations. This is especially important for a dense population within urban cities and for indoor environments with higher concentrations of indoor contaminants due to poorer ventilation. The review assesses antimicrobial technologies developed in the last two years and their potential and suitability for implementation on surfaces within a building, and it also suggests key considerations when developing these technologies for a built environment. The keywords in the main search include antimicrobial, coating, and surfaces. The work found various studies describing the potential use of antimicrobial technologies for different material surfaces. Still, a more thorough investigation and upscaling of work are required to assess their suitability for built environment applications. The widely diverse types of built environments in public areas with their varying purpose, design, and surfaces also mean that there is no one-size-fits-all solution for every space. In order to improve the adoption and consideration of antimicrobial surfaces, the built environment industry and stakeholders could benefit from more in-depth and long-term evaluation of these antimicrobial technologies, which demonstrate their real-time impact on various built environment spaces.</t>
        </is>
      </c>
      <c r="X1520" t="inlineStr">
        <is>
          <t>[Yong, Ling Xin] Nanyang Technol Univ, Dept Mat Sci &amp; Engn, 50 Nanyang Ave, Singapore 639798, Singapore; [Calautit, John Kaiser] Univ Nottingham, Dept Architecture &amp; Built Environm, Nottingham NG7 2RD, Nottinghamshire, England</t>
        </is>
      </c>
      <c r="Y1520" t="inlineStr">
        <is>
          <t>Nanyang Technological University &amp; National Institute of Education (NIE) Singapore; Nanyang Technological University; University of Nottingham</t>
        </is>
      </c>
      <c r="Z1520" t="inlineStr">
        <is>
          <t>Yong, LX (corresponding author), Nanyang Technol Univ, Dept Mat Sci &amp; Engn, 50 Nanyang Ave, Singapore 639798, Singapore.;Calautit, JK (corresponding author), Univ Nottingham, Dept Architecture &amp; Built Environm, Nottingham NG7 2RD, Nottinghamshire, England.</t>
        </is>
      </c>
      <c r="AA1520" t="inlineStr">
        <is>
          <t>lingxin.yong@ntu.edu.sg; john.calautit1@nottingham.ac.uk</t>
        </is>
      </c>
      <c r="AB1520" t="inlineStr">
        <is>
          <t>Calautit, John Kaiser/J-6748-2014</t>
        </is>
      </c>
      <c r="AC1520" t="inlineStr">
        <is>
          <t>Calautit, John Kaiser/0000-0001-7046-3308</t>
        </is>
      </c>
      <c r="AH1520" t="n">
        <v>217</v>
      </c>
      <c r="AI1520" t="n">
        <v>3</v>
      </c>
      <c r="AJ1520" t="n">
        <v>3</v>
      </c>
      <c r="AK1520" t="n">
        <v>8</v>
      </c>
      <c r="AL1520" t="n">
        <v>10</v>
      </c>
      <c r="AM1520" t="inlineStr">
        <is>
          <t>MDPI</t>
        </is>
      </c>
      <c r="AN1520" t="inlineStr">
        <is>
          <t>BASEL</t>
        </is>
      </c>
      <c r="AO1520" t="inlineStr">
        <is>
          <t>ST ALBAN-ANLAGE 66, CH-4052 BASEL, SWITZERLAND</t>
        </is>
      </c>
      <c r="AQ1520" t="inlineStr">
        <is>
          <t>2071-1050</t>
        </is>
      </c>
      <c r="AS1520" t="inlineStr">
        <is>
          <t>SUSTAINABILITY-BASEL</t>
        </is>
      </c>
      <c r="AT1520" t="inlineStr">
        <is>
          <t>Sustainability</t>
        </is>
      </c>
      <c r="AU1520" t="inlineStr">
        <is>
          <t>FEB</t>
        </is>
      </c>
      <c r="AV1520" t="n">
        <v>2023</v>
      </c>
      <c r="AW1520" t="n">
        <v>15</v>
      </c>
      <c r="AX1520" t="n">
        <v>4</v>
      </c>
      <c r="BE1520" t="n">
        <v>3394</v>
      </c>
      <c r="BF1520" t="inlineStr">
        <is>
          <t>10.3390/su15043394</t>
        </is>
      </c>
      <c r="BG1520">
        <f>HYPERLINK("http://dx.doi.org/10.3390/su15043394","http://dx.doi.org/10.3390/su15043394")</f>
        <v/>
      </c>
      <c r="BJ1520" t="n">
        <v>34</v>
      </c>
      <c r="BK1520" t="inlineStr">
        <is>
          <t>Green &amp; Sustainable Science &amp; Technology; Environmental Sciences; Environmental Studies</t>
        </is>
      </c>
      <c r="BL1520" t="inlineStr">
        <is>
          <t>Science Citation Index Expanded (SCI-EXPANDED); Social Science Citation Index (SSCI)</t>
        </is>
      </c>
      <c r="BM1520" t="inlineStr">
        <is>
          <t>Science &amp; Technology - Other Topics; Environmental Sciences &amp; Ecology</t>
        </is>
      </c>
      <c r="BN1520" t="inlineStr">
        <is>
          <t>9L3HM</t>
        </is>
      </c>
      <c r="BP1520" t="inlineStr">
        <is>
          <t>gold, Green Published</t>
        </is>
      </c>
      <c r="BS1520" t="inlineStr">
        <is>
          <t>2023-10-26</t>
        </is>
      </c>
      <c r="BT1520" t="inlineStr">
        <is>
          <t>WOS:000941443400001</t>
        </is>
      </c>
      <c r="BU1520">
        <f>HYPERLINK("https%3A%2F%2Fwww.webofscience.com%2Fwos%2Fwoscc%2Ffull-record%2FWOS:000941443400001","View Full Record in Web of Science")</f>
        <v/>
      </c>
    </row>
    <row r="1521">
      <c r="A1521" t="inlineStr">
        <is>
          <t>J</t>
        </is>
      </c>
      <c r="B1521" t="inlineStr">
        <is>
          <t>Chen, BY; Shin, S</t>
        </is>
      </c>
      <c r="F1521" t="inlineStr">
        <is>
          <t>Chen, Boyuan; Shin, Sohee</t>
        </is>
      </c>
      <c r="J1521" t="inlineStr">
        <is>
          <t>INTERNATIONAL JOURNAL OF ENVIRONMENTAL RESEARCH AND PUBLIC HEALTH</t>
        </is>
      </c>
      <c r="M1521" t="inlineStr">
        <is>
          <t>English</t>
        </is>
      </c>
      <c r="N1521" t="inlineStr">
        <is>
          <t>Article</t>
        </is>
      </c>
      <c r="T1521" t="inlineStr">
        <is>
          <t>Bibliometric Analysis on Research Trend of Accidental Falls in Older Adults by Using Citespace-Focused on Web of Science Core Collection (2010-2020)</t>
        </is>
      </c>
      <c r="U1521" t="inlineStr">
        <is>
          <t>older adults; accidental falls; research hotspot; CiteSpace; knowledge domain visualization</t>
        </is>
      </c>
      <c r="V1521" t="inlineStr">
        <is>
          <t>ASIAN WORKING GROUP; RISK-FACTORS; UNITED-STATES; VITAMIN-D; SARCOPENIA; MORTALITY; EXERCISE; PEOPLE; CONSENSUS; WOMEN</t>
        </is>
      </c>
      <c r="W1521" t="inlineStr">
        <is>
          <t>The present study aimed to identify the trends in research on accidental falls in older adults over the last decade. The MeSH (Medical Subject Headings) and entry terms were applied in the Web of Science Core Collection. Relevant studies in English within articles or reviews on falls in older adults were included from 2010 to 2020. Moreover, CiteSpace 5.6.R5 (64-bit) was adopted for analysis with scientific measurements and visualization. Cooper Cyrus, Stephen R Lord, Minoru Yamada, Catherine Sherrington, and others have critically impacted the study of falls in older adults. Osteoporosis, dementia, sarcopenia, hypertension, osteosarcopenia, traumatic brain injury, frailty, depression, and fear of falling would be significantly correlated with falls in older adults. Multiple types of exercise can provide effective improvements in executive cognitive performance, gait performance, quality of life, and can also lower the rates of falls and fall-related fractures. Fall detection, hospitalization, classification, symptom, gender, and cost are the current research focus and development direction in research on falls in older adults. The prevention of falls in older adults is one of the most important public health issues in today's aging society. Although lots of effects and research advancements had been taken, fall prevention still is uncharted territory for too many older adults. Service improvements can exploit the mentioned findings to formulate policies, and design and implement exercise programs for fall prevention.</t>
        </is>
      </c>
      <c r="X1521" t="inlineStr">
        <is>
          <t>[Chen, Boyuan] Zhengzhou Univ, Sch Phys Educ Main Campus, Zhengzhou 450001, Peoples R China; [Chen, Boyuan; Shin, Sohee] Univ Ulsan, Sch Sport &amp; Exercise Sci, 93 Daehak Ro, Ulsan 44610, South Korea</t>
        </is>
      </c>
      <c r="Y1521" t="inlineStr">
        <is>
          <t>Zhengzhou University; University of Ulsan</t>
        </is>
      </c>
      <c r="Z1521" t="inlineStr">
        <is>
          <t>Shin, S (corresponding author), Univ Ulsan, Sch Sport &amp; Exercise Sci, 93 Daehak Ro, Ulsan 44610, South Korea.</t>
        </is>
      </c>
      <c r="AA1521" t="inlineStr">
        <is>
          <t>cby@haust.edu.cn; soheeshin@ulsan.ac.kr</t>
        </is>
      </c>
      <c r="AC1521" t="inlineStr">
        <is>
          <t>Boyuan, Chen/0000-0002-1314-7744</t>
        </is>
      </c>
      <c r="AD1521" t="inlineStr">
        <is>
          <t>University of Ulsan</t>
        </is>
      </c>
      <c r="AE1521" t="inlineStr">
        <is>
          <t>University of Ulsan</t>
        </is>
      </c>
      <c r="AF1521" t="inlineStr">
        <is>
          <t>This work was supported by the 2020 Research Fund of University of Ulsan.</t>
        </is>
      </c>
      <c r="AH1521" t="n">
        <v>81</v>
      </c>
      <c r="AI1521" t="n">
        <v>18</v>
      </c>
      <c r="AJ1521" t="n">
        <v>19</v>
      </c>
      <c r="AK1521" t="n">
        <v>17</v>
      </c>
      <c r="AL1521" t="n">
        <v>121</v>
      </c>
      <c r="AM1521" t="inlineStr">
        <is>
          <t>MDPI</t>
        </is>
      </c>
      <c r="AN1521" t="inlineStr">
        <is>
          <t>BASEL</t>
        </is>
      </c>
      <c r="AO1521" t="inlineStr">
        <is>
          <t>ST ALBAN-ANLAGE 66, CH-4052 BASEL, SWITZERLAND</t>
        </is>
      </c>
      <c r="AQ1521" t="inlineStr">
        <is>
          <t>1660-4601</t>
        </is>
      </c>
      <c r="AS1521" t="inlineStr">
        <is>
          <t>INT J ENV RES PUB HE</t>
        </is>
      </c>
      <c r="AT1521" t="inlineStr">
        <is>
          <t>Int. J. Environ. Res. Public Health</t>
        </is>
      </c>
      <c r="AU1521" t="inlineStr">
        <is>
          <t>FEB</t>
        </is>
      </c>
      <c r="AV1521" t="n">
        <v>2021</v>
      </c>
      <c r="AW1521" t="n">
        <v>18</v>
      </c>
      <c r="AX1521" t="n">
        <v>4</v>
      </c>
      <c r="BE1521" t="n">
        <v>1663</v>
      </c>
      <c r="BF1521" t="inlineStr">
        <is>
          <t>10.3390/ijerph18041663</t>
        </is>
      </c>
      <c r="BG1521">
        <f>HYPERLINK("http://dx.doi.org/10.3390/ijerph18041663","http://dx.doi.org/10.3390/ijerph18041663")</f>
        <v/>
      </c>
      <c r="BJ1521" t="n">
        <v>17</v>
      </c>
      <c r="BK1521" t="inlineStr">
        <is>
          <t>Environmental Sciences; Public, Environmental &amp; Occupational Health</t>
        </is>
      </c>
      <c r="BL1521" t="inlineStr">
        <is>
          <t>Science Citation Index Expanded (SCI-EXPANDED); Social Science Citation Index (SSCI)</t>
        </is>
      </c>
      <c r="BM1521" t="inlineStr">
        <is>
          <t>Environmental Sciences &amp; Ecology; Public, Environmental &amp; Occupational Health</t>
        </is>
      </c>
      <c r="BN1521" t="inlineStr">
        <is>
          <t>QP1XL</t>
        </is>
      </c>
      <c r="BO1521" t="n">
        <v>33572483</v>
      </c>
      <c r="BP1521" t="inlineStr">
        <is>
          <t>gold, Green Published</t>
        </is>
      </c>
      <c r="BS1521" t="inlineStr">
        <is>
          <t>2023-10-26</t>
        </is>
      </c>
      <c r="BT1521" t="inlineStr">
        <is>
          <t>WOS:000623630300001</t>
        </is>
      </c>
      <c r="BU1521">
        <f>HYPERLINK("https%3A%2F%2Fwww.webofscience.com%2Fwos%2Fwoscc%2Ffull-record%2FWOS:000623630300001","View Full Record in Web of Science")</f>
        <v/>
      </c>
    </row>
    <row r="1522">
      <c r="A1522" t="inlineStr">
        <is>
          <t>J</t>
        </is>
      </c>
      <c r="B1522" t="inlineStr">
        <is>
          <t>Yu, BJ; Cui, X; Li, H; Luo, PY; Liu, RZ; Yang, T</t>
        </is>
      </c>
      <c r="F1522" t="inlineStr">
        <is>
          <t>Yu, Bingjie; Cui, Xu; Li, Hong; Luo, Pinyang; Liu, Runze; Yang, Tian</t>
        </is>
      </c>
      <c r="J1522" t="inlineStr">
        <is>
          <t>FRONTIERS IN ENVIRONMENTAL SCIENCE</t>
        </is>
      </c>
      <c r="M1522" t="inlineStr">
        <is>
          <t>English</t>
        </is>
      </c>
      <c r="N1522" t="inlineStr">
        <is>
          <t>Article</t>
        </is>
      </c>
      <c r="T1522" t="inlineStr">
        <is>
          <t>TOD and vibrancy: The spatio-temporal impacts of the built environment on vibrancy</t>
        </is>
      </c>
      <c r="U1522" t="inlineStr">
        <is>
          <t>spatial-temporally non-stationary; built environment; urban vibrancy; TOD; GTWR; Chengdu; mobile phone signaling data</t>
        </is>
      </c>
      <c r="V1522" t="inlineStr">
        <is>
          <t>URBAN VIBRANCY; DENSITY; ASSOCIATIONS; VITALITY; ACCESS; TRAVEL; CITY</t>
        </is>
      </c>
      <c r="W1522" t="inlineStr">
        <is>
          <t>Urban vibrancy is described by the activities of residents and their spatio-temporal dynamics. The metro station area (MSA) is one of the densest and most populous areas of the city. Thus, creating a vibrant and diverse urban environment becomes an important goal of transit-oriented development (TOD). Existing studies indicate that the built environment decisively determines MSA-level urban vibrancy. Meanwhile, the spatio-temporal heterogeneity of such effects requires thoroughly exploration and justification. In this study, we first apply mobile signaling data to quantify and decipher the spatio-temporal distribution characteristics of the MSA-level urban vibrancy in Chengdu, China. Then, we measure the built environment of the MSA by using multi-source big data. Finally, we employ geographically and temporally weighted regression (GTWR) models to examine the spatio-temporal non-stationarity of the impact of the MSA-level built environment on urban vibrancy. The results show that: 1) The high-vibrant MSAs concentrate in the commercial center and the employment center. 2) Indicators such as residential density, overpasses, road density, road network integration index, enterprise density, and restaurant density are significantly and positively associated with urban vibrancy, while indicators such as housing price and bus stop density are negatively associated with urban vibrancy. 3) The GTWR model better fits the data than the stepwise regression model. The impact of the MSA-level built environment on urban vibrancy shows a strong non-stationarity in both spatial and temporal dimensions, which matches with the spatio-temporal dynamic patterns of the residents' daily work, leisure, and consumption activities. The findings can provide references for planners and city managers on how to frame vibrant TOD communities.</t>
        </is>
      </c>
      <c r="X1522" t="inlineStr">
        <is>
          <t>[Yu, Bingjie; Cui, Xu; Luo, Pinyang; Liu, Runze; Yang, Tian] Southwest Jiaotong Univ, Sch Architecture, Chengdu, Peoples R China; [Li, Hong] Changsha Planning &amp; Design Inst Co Ltd, Changsha, Peoples R China</t>
        </is>
      </c>
      <c r="Y1522" t="inlineStr">
        <is>
          <t>Southwest Jiaotong University</t>
        </is>
      </c>
      <c r="Z1522" t="inlineStr">
        <is>
          <t>Cui, X (corresponding author), Southwest Jiaotong Univ, Sch Architecture, Chengdu, Peoples R China.</t>
        </is>
      </c>
      <c r="AA1522" t="inlineStr">
        <is>
          <t>cuixu@home.swjtu.edu.cn</t>
        </is>
      </c>
      <c r="AD1522" t="inlineStr">
        <is>
          <t>Doctoral Innovation Fund Program of Southwest Jiaotong University; National Natural Science Foundation of China; [2017310253]; [U20A20330]</t>
        </is>
      </c>
      <c r="AE1522" t="inlineStr">
        <is>
          <t>Doctoral Innovation Fund Program of Southwest Jiaotong University; National Natural Science Foundation of China(National Natural Science Foundation of China (NSFC)); ;</t>
        </is>
      </c>
      <c r="AF1522" t="inlineStr">
        <is>
          <t>Funding This study was supported by the Doctoral Innovation Fund Program of Southwest Jiaotong University (No. 2017310253) and the National Natural Science Foundation of China (No. U20A20330).</t>
        </is>
      </c>
      <c r="AH1522" t="n">
        <v>72</v>
      </c>
      <c r="AI1522" t="n">
        <v>4</v>
      </c>
      <c r="AJ1522" t="n">
        <v>4</v>
      </c>
      <c r="AK1522" t="n">
        <v>18</v>
      </c>
      <c r="AL1522" t="n">
        <v>72</v>
      </c>
      <c r="AM1522" t="inlineStr">
        <is>
          <t>FRONTIERS MEDIA SA</t>
        </is>
      </c>
      <c r="AN1522" t="inlineStr">
        <is>
          <t>LAUSANNE</t>
        </is>
      </c>
      <c r="AO1522" t="inlineStr">
        <is>
          <t>AVENUE DU TRIBUNAL FEDERAL 34, LAUSANNE, CH-1015, SWITZERLAND</t>
        </is>
      </c>
      <c r="AQ1522" t="inlineStr">
        <is>
          <t>2296-665X</t>
        </is>
      </c>
      <c r="AS1522" t="inlineStr">
        <is>
          <t>FRONT ENV SCI-SWITZ</t>
        </is>
      </c>
      <c r="AT1522" t="inlineStr">
        <is>
          <t>Front. Environ. Sci.</t>
        </is>
      </c>
      <c r="AU1522" t="inlineStr">
        <is>
          <t>SEP 29</t>
        </is>
      </c>
      <c r="AV1522" t="n">
        <v>2022</v>
      </c>
      <c r="AW1522" t="n">
        <v>10</v>
      </c>
      <c r="BE1522" t="n">
        <v>1009094</v>
      </c>
      <c r="BF1522" t="inlineStr">
        <is>
          <t>10.3389/fenvs.2022.1009094</t>
        </is>
      </c>
      <c r="BG1522">
        <f>HYPERLINK("http://dx.doi.org/10.3389/fenvs.2022.1009094","http://dx.doi.org/10.3389/fenvs.2022.1009094")</f>
        <v/>
      </c>
      <c r="BJ1522" t="n">
        <v>17</v>
      </c>
      <c r="BK1522" t="inlineStr">
        <is>
          <t>Environmental Sciences</t>
        </is>
      </c>
      <c r="BL1522" t="inlineStr">
        <is>
          <t>Science Citation Index Expanded (SCI-EXPANDED)</t>
        </is>
      </c>
      <c r="BM1522" t="inlineStr">
        <is>
          <t>Environmental Sciences &amp; Ecology</t>
        </is>
      </c>
      <c r="BN1522" t="inlineStr">
        <is>
          <t>5I3RX</t>
        </is>
      </c>
      <c r="BP1522" t="inlineStr">
        <is>
          <t>gold</t>
        </is>
      </c>
      <c r="BS1522" t="inlineStr">
        <is>
          <t>2023-10-26</t>
        </is>
      </c>
      <c r="BT1522" t="inlineStr">
        <is>
          <t>WOS:000868279200001</t>
        </is>
      </c>
      <c r="BU1522">
        <f>HYPERLINK("https%3A%2F%2Fwww.webofscience.com%2Fwos%2Fwoscc%2Ffull-record%2FWOS:000868279200001","View Full Record in Web of Science")</f>
        <v/>
      </c>
    </row>
    <row r="1523">
      <c r="A1523" t="inlineStr">
        <is>
          <t>J</t>
        </is>
      </c>
      <c r="B1523" t="inlineStr">
        <is>
          <t>Zhao, GW; Li, ZT; Shang, YZ; Yang, MZ</t>
        </is>
      </c>
      <c r="F1523" t="inlineStr">
        <is>
          <t>Zhao, Guanwei; Li, Zhitao; Shang, Yuzhen; Yang, Muzhuang</t>
        </is>
      </c>
      <c r="J1523" t="inlineStr">
        <is>
          <t>INTERNATIONAL JOURNAL OF ENVIRONMENTAL RESEARCH AND PUBLIC HEALTH</t>
        </is>
      </c>
      <c r="M1523" t="inlineStr">
        <is>
          <t>English</t>
        </is>
      </c>
      <c r="N1523" t="inlineStr">
        <is>
          <t>Article</t>
        </is>
      </c>
      <c r="T1523" t="inlineStr">
        <is>
          <t>How Does the Urban Built Environment Affect Online Car-Hailing Ridership Intensity among Different Scales?</t>
        </is>
      </c>
      <c r="U1523" t="inlineStr">
        <is>
          <t>urban built environment; online car-hailing; multiscale; spatial nonstationary</t>
        </is>
      </c>
      <c r="V1523" t="inlineStr">
        <is>
          <t>GEOGRAPHICALLY WEIGHTED REGRESSION; EXPLORATORY ANALYSIS; SPATIAL VARIATION; TAXI RIDERSHIP; MODE CHOICE; TRAVEL; GPS; DEMAND; ACCESSIBILITY; SHENZHEN</t>
        </is>
      </c>
      <c r="W1523" t="inlineStr">
        <is>
          <t>Understanding the effect of the urban built environment on online car-hailing ridership is crucial to urban planning. However, how the effects change with the analysis scales are still noteworthy. Therefore, a multiscale exploratory study was conducted in Chengdu, China, by using the stepwise regression selection and three spatial regression models. The main findings are summarized as follows. First, as the grid size increases, the number of built environment factors that have significant effects on trip intensity decrease continuously. Second, the effects of population density and road density are always positive from the 500 m grid to the 3000 m grid. As the analysis scale increases, the effect of proximity to public transportation shifts from inhibitory to facilitation, while the positive effect of land-use mix becomes stronger. Land-use type has both positive and negative effects and shows different characteristics at different scales. Third, the effects of built environment factors on online car-hailing trip intensity show different spatial variability characteristics at different scales. The effect of population density gradually decreases from north to south. The effect of road network density shows circling and wave patterns, with the former at relatively fine scales and the latter at relatively coarse scales. The spatial variation in the effect of land-use mix can only be observed more significantly at a relatively coarse scale. The effect of bus stop density is only obvious at the relatively fine and medium scales and shows a wave-like pattern and a circle-like pattern. The effect of various land-use types shows different spatial patterns at different scales, including wave-like pattern, circle-like pattern, and multi-core-like pattern. The spatial variation in the effects of various land-use factors gradually decrease with the increase in the analysis scale.</t>
        </is>
      </c>
      <c r="X1523" t="inlineStr">
        <is>
          <t>[Zhao, Guanwei; Li, Zhitao; Shang, Yuzhen; Yang, Muzhuang] Guangzhou Univ, Sch Geog &amp; Remote Sensing, Guangzhou 510006, Peoples R China; [Zhao, Guanwei; Yang, Muzhuang] Guangzhou Univ, Inst Land Resources &amp; Coastal Zone, Guangzhou 510006, Peoples R China</t>
        </is>
      </c>
      <c r="Y1523" t="inlineStr">
        <is>
          <t>Guangzhou University; Guangzhou University</t>
        </is>
      </c>
      <c r="Z1523" t="inlineStr">
        <is>
          <t>Yang, MZ (corresponding author), Guangzhou Univ, Sch Geog &amp; Remote Sensing, Guangzhou 510006, Peoples R China.;Yang, MZ (corresponding author), Guangzhou Univ, Inst Land Resources &amp; Coastal Zone, Guangzhou 510006, Peoples R China.</t>
        </is>
      </c>
      <c r="AA1523" t="inlineStr">
        <is>
          <t>zhaogw@gzhu.edu.cn; 2112001071@e.gzhu.edu.cn; 2112001045@e.gzhu.edu.cn; ymz@gzhu.edu.cn</t>
        </is>
      </c>
      <c r="AC1523" t="inlineStr">
        <is>
          <t>Zhao, Guanwei/0000-0002-3311-9062; Li, ZhiTao/0000-0002-4323-3571</t>
        </is>
      </c>
      <c r="AD1523" t="inlineStr">
        <is>
          <t>Natural Science Foundation of Guangdong Province, China [2017A030313240]; Philosophy and Social Science Research Program of Guangzhou city, Guangdong Province, China [2020GZGJ183]; Guangzhou Science and Technology Plan Project-Joint Project - City and University, Guangdong Province, China [202102010413]; Training Programs of Innovation and Entrepreneurship for Undergraduates in Guangzhou University, Guangdong Province, China [S202011078001, XJ202111078243]</t>
        </is>
      </c>
      <c r="AE1523" t="inlineStr">
        <is>
          <t>Natural Science Foundation of Guangdong Province, China(National Natural Science Foundation of Guangdong Province); Philosophy and Social Science Research Program of Guangzhou city, Guangdong Province, China; Guangzhou Science and Technology Plan Project-Joint Project - City and University, Guangdong Province, China; Training Programs of Innovation and Entrepreneurship for Undergraduates in Guangzhou University, Guangdong Province, China</t>
        </is>
      </c>
      <c r="AF1523" t="inlineStr">
        <is>
          <t>This research was funded in part by the Natural Science Foundation of Guangdong Province, China: Grant Number 2017A030313240; Philosophy and Social Science Research Program of Guangzhou city, Guangdong Province, China: Grant Number 2020GZGJ183; Guangzhou Science and Technology Plan Project-Joint Project Funding by City and University, Guangdong Province, China: Grant Number 202102010413; and Training Programs of Innovation and Entrepreneurship for Undergraduates in Guangzhou University, Guangdong Province, China: Grant Number S202011078001, XJ202111078243.</t>
        </is>
      </c>
      <c r="AH1523" t="n">
        <v>60</v>
      </c>
      <c r="AI1523" t="n">
        <v>4</v>
      </c>
      <c r="AJ1523" t="n">
        <v>4</v>
      </c>
      <c r="AK1523" t="n">
        <v>14</v>
      </c>
      <c r="AL1523" t="n">
        <v>33</v>
      </c>
      <c r="AM1523" t="inlineStr">
        <is>
          <t>MDPI</t>
        </is>
      </c>
      <c r="AN1523" t="inlineStr">
        <is>
          <t>BASEL</t>
        </is>
      </c>
      <c r="AO1523" t="inlineStr">
        <is>
          <t>ST ALBAN-ANLAGE 66, CH-4052 BASEL, SWITZERLAND</t>
        </is>
      </c>
      <c r="AQ1523" t="inlineStr">
        <is>
          <t>1660-4601</t>
        </is>
      </c>
      <c r="AS1523" t="inlineStr">
        <is>
          <t>INT J ENV RES PUB HE</t>
        </is>
      </c>
      <c r="AT1523" t="inlineStr">
        <is>
          <t>Int. J. Environ. Res. Public Health</t>
        </is>
      </c>
      <c r="AU1523" t="inlineStr">
        <is>
          <t>MAY</t>
        </is>
      </c>
      <c r="AV1523" t="n">
        <v>2022</v>
      </c>
      <c r="AW1523" t="n">
        <v>19</v>
      </c>
      <c r="AX1523" t="n">
        <v>9</v>
      </c>
      <c r="BE1523" t="n">
        <v>5325</v>
      </c>
      <c r="BF1523" t="inlineStr">
        <is>
          <t>10.3390/ijerph19095325</t>
        </is>
      </c>
      <c r="BG1523">
        <f>HYPERLINK("http://dx.doi.org/10.3390/ijerph19095325","http://dx.doi.org/10.3390/ijerph19095325")</f>
        <v/>
      </c>
      <c r="BJ1523" t="n">
        <v>25</v>
      </c>
      <c r="BK1523" t="inlineStr">
        <is>
          <t>Environmental Sciences; Public, Environmental &amp; Occupational Health</t>
        </is>
      </c>
      <c r="BL1523" t="inlineStr">
        <is>
          <t>Science Citation Index Expanded (SCI-EXPANDED); Social Science Citation Index (SSCI)</t>
        </is>
      </c>
      <c r="BM1523" t="inlineStr">
        <is>
          <t>Environmental Sciences &amp; Ecology; Public, Environmental &amp; Occupational Health</t>
        </is>
      </c>
      <c r="BN1523" t="inlineStr">
        <is>
          <t>1G8NU</t>
        </is>
      </c>
      <c r="BO1523" t="n">
        <v>35564717</v>
      </c>
      <c r="BP1523" t="inlineStr">
        <is>
          <t>Green Published, gold</t>
        </is>
      </c>
      <c r="BS1523" t="inlineStr">
        <is>
          <t>2023-10-26</t>
        </is>
      </c>
      <c r="BT1523" t="inlineStr">
        <is>
          <t>WOS:000796107500001</t>
        </is>
      </c>
      <c r="BU1523">
        <f>HYPERLINK("https%3A%2F%2Fwww.webofscience.com%2Fwos%2Fwoscc%2Ffull-record%2FWOS:000796107500001","View Full Record in Web of Science")</f>
        <v/>
      </c>
    </row>
    <row r="1524">
      <c r="A1524" t="inlineStr">
        <is>
          <t>J</t>
        </is>
      </c>
      <c r="B1524" t="inlineStr">
        <is>
          <t>Flynn, A; Barry, M; Koh, WQ; Reilly, G; Brennan, A; Redfern, S; Casey, D</t>
        </is>
      </c>
      <c r="F1524" t="inlineStr">
        <is>
          <t>Flynn, Aisling; Barry, Marguerite; Koh, Wei Qi; Reilly, Gearoid; Brennan, Attracta; Redfern, Sam; Casey, Dympna</t>
        </is>
      </c>
      <c r="J1524" t="inlineStr">
        <is>
          <t>INTERNATIONAL JOURNAL OF ENVIRONMENTAL RESEARCH AND PUBLIC HEALTH</t>
        </is>
      </c>
      <c r="M1524" t="inlineStr">
        <is>
          <t>English</t>
        </is>
      </c>
      <c r="N1524" t="inlineStr">
        <is>
          <t>Article</t>
        </is>
      </c>
      <c r="T1524" t="inlineStr">
        <is>
          <t>Introducing and Familiarising Older Adults Living with Dementia and Their Caregivers to Virtual Reality</t>
        </is>
      </c>
      <c r="U1524" t="inlineStr">
        <is>
          <t>dementia; older adult; virtual reality; VR; technology probe; participatory methods; human-computer interaction; gerontechnology; AgeTech; digital technology</t>
        </is>
      </c>
      <c r="V1524" t="inlineStr">
        <is>
          <t>DESIGN; PEOPLE; TECHNOLOGY</t>
        </is>
      </c>
      <c r="W1524" t="inlineStr">
        <is>
          <t>Virtual Reality (VR) is increasingly being applied in dementia care across a range of applications and domains including health and wellbeing. Despite the commercial availability of VR, informants of design are not always aware of its functionality and capabilities, to meaningfully contribute to VR design. In designing VR applications for people living with dementia, it is recommended that older adults living with dementia and their support persons be involved in the design process using participatory approaches, thereby giving them a voice on the design of technology from the outset. A VR technology probe is a useful means of familiarising older adults living with dementia and their informal caregivers with the knowledge and understanding of interactive VR to employ technology that supports them to maintain their social health. This paper charts the implementation and evaluation of a VR technology probe, VR FOUNDations. To explore their experiences, nine older adults living with dementia and their nine informal caregivers trialled VR FOUNDations and completed semi-structured interviews after its use. Overall, older adults living with dementia and their informal caregivers perceived VR FOUNDations to achieve its aim of increasing understanding and inspiring future design decisions. The findings also identified promising positive experiences using a VR technology probe which may be indicative of its applicability to social health and wellbeing domains. This paper advocates for the structured design and implementation of VR technology probes as a pre-requisite to the participatory design of VR applications for the health and wellbeing of people living with dementia. The use of such technology probes may afford older adults living with dementia and their informal caregivers the best opportunity to contribute to design decisions and participate in technology design to support their health and wellbeing.</t>
        </is>
      </c>
      <c r="X1524" t="inlineStr">
        <is>
          <t>[Flynn, Aisling; Koh, Wei Qi; Casey, Dympna] Univ Galway, Sch Nursing &amp; Midwifery, Galway H91 TK33, Ireland; [Barry, Marguerite] Univ Coll Dublin, ADAPT Ctr, Informat &amp; Commun Studies, Dublin D04 V1W8, Ireland; [Reilly, Gearoid; Brennan, Attracta; Redfern, Sam] Univ Galway, Sch Comp Sci, Galway H91 TK33, Ireland</t>
        </is>
      </c>
      <c r="Y1524" t="inlineStr">
        <is>
          <t>University College Dublin</t>
        </is>
      </c>
      <c r="Z1524" t="inlineStr">
        <is>
          <t>Flynn, A (corresponding author), Univ Galway, Sch Nursing &amp; Midwifery, Galway H91 TK33, Ireland.</t>
        </is>
      </c>
      <c r="AA1524" t="inlineStr">
        <is>
          <t>a.flynn15@universityofgalway.ie</t>
        </is>
      </c>
      <c r="AB1524" t="inlineStr">
        <is>
          <t>Brennan, Attracta/IYJ-8287-2023; Koh, Wei Qi/AHD-3493-2022</t>
        </is>
      </c>
      <c r="AC1524" t="inlineStr">
        <is>
          <t>Koh, Wei Qi/0000-0001-8196-1628; Flynn, Aisling/0000-0001-9673-1614; Barry, Marguerite/0000-0001-5271-2673; Redfern, Sam/0000-0002-4856-3756; Reilly, Gearoid/0000-0003-0442-4081; Brennan, Attracta/0000-0002-1164-9484</t>
        </is>
      </c>
      <c r="AH1524" t="n">
        <v>75</v>
      </c>
      <c r="AI1524" t="n">
        <v>1</v>
      </c>
      <c r="AJ1524" t="n">
        <v>1</v>
      </c>
      <c r="AK1524" t="n">
        <v>5</v>
      </c>
      <c r="AL1524" t="n">
        <v>15</v>
      </c>
      <c r="AM1524" t="inlineStr">
        <is>
          <t>MDPI</t>
        </is>
      </c>
      <c r="AN1524" t="inlineStr">
        <is>
          <t>BASEL</t>
        </is>
      </c>
      <c r="AO1524" t="inlineStr">
        <is>
          <t>ST ALBAN-ANLAGE 66, CH-4052 BASEL, SWITZERLAND</t>
        </is>
      </c>
      <c r="AQ1524" t="inlineStr">
        <is>
          <t>1660-4601</t>
        </is>
      </c>
      <c r="AS1524" t="inlineStr">
        <is>
          <t>INT J ENV RES PUB HE</t>
        </is>
      </c>
      <c r="AT1524" t="inlineStr">
        <is>
          <t>Int. J. Environ. Res. Public Health</t>
        </is>
      </c>
      <c r="AU1524" t="inlineStr">
        <is>
          <t>DEC</t>
        </is>
      </c>
      <c r="AV1524" t="n">
        <v>2022</v>
      </c>
      <c r="AW1524" t="n">
        <v>19</v>
      </c>
      <c r="AX1524" t="n">
        <v>23</v>
      </c>
      <c r="BE1524" t="n">
        <v>16343</v>
      </c>
      <c r="BF1524" t="inlineStr">
        <is>
          <t>10.3390/ijerph192316343</t>
        </is>
      </c>
      <c r="BG1524">
        <f>HYPERLINK("http://dx.doi.org/10.3390/ijerph192316343","http://dx.doi.org/10.3390/ijerph192316343")</f>
        <v/>
      </c>
      <c r="BJ1524" t="n">
        <v>22</v>
      </c>
      <c r="BK1524" t="inlineStr">
        <is>
          <t>Environmental Sciences; Public, Environmental &amp; Occupational Health</t>
        </is>
      </c>
      <c r="BL1524" t="inlineStr">
        <is>
          <t>Science Citation Index Expanded (SCI-EXPANDED); Social Science Citation Index (SSCI)</t>
        </is>
      </c>
      <c r="BM1524" t="inlineStr">
        <is>
          <t>Environmental Sciences &amp; Ecology; Public, Environmental &amp; Occupational Health</t>
        </is>
      </c>
      <c r="BN1524" t="inlineStr">
        <is>
          <t>6X1UC</t>
        </is>
      </c>
      <c r="BO1524" t="n">
        <v>36498417</v>
      </c>
      <c r="BP1524" t="inlineStr">
        <is>
          <t>gold, Green Published</t>
        </is>
      </c>
      <c r="BS1524" t="inlineStr">
        <is>
          <t>2023-10-26</t>
        </is>
      </c>
      <c r="BT1524" t="inlineStr">
        <is>
          <t>WOS:000896205700001</t>
        </is>
      </c>
      <c r="BU1524">
        <f>HYPERLINK("https%3A%2F%2Fwww.webofscience.com%2Fwos%2Fwoscc%2Ffull-record%2FWOS:000896205700001","View Full Record in Web of Science")</f>
        <v/>
      </c>
    </row>
    <row r="1525">
      <c r="A1525" t="inlineStr">
        <is>
          <t>J</t>
        </is>
      </c>
      <c r="B1525" t="inlineStr">
        <is>
          <t>Lu, S; Oh, W; Ooka, R; Wang, LJ</t>
        </is>
      </c>
      <c r="F1525" t="inlineStr">
        <is>
          <t>Lu, Shan; Oh, Wonseok; Ooka, Ryozo; Wang, Lijun</t>
        </is>
      </c>
      <c r="J1525" t="inlineStr">
        <is>
          <t>INTERNATIONAL JOURNAL OF ENVIRONMENTAL RESEARCH AND PUBLIC HEALTH</t>
        </is>
      </c>
      <c r="M1525" t="inlineStr">
        <is>
          <t>English</t>
        </is>
      </c>
      <c r="N1525" t="inlineStr">
        <is>
          <t>Article</t>
        </is>
      </c>
      <c r="T1525" t="inlineStr">
        <is>
          <t>Effects of Environmental Features in Small Public Urban Green Spaces on Older Adults' Mental Restoration: Evidence from Tokyo</t>
        </is>
      </c>
      <c r="U1525" t="inlineStr">
        <is>
          <t>small public urban green spaces (SPUGS); mental restoration; environmental features; thermal comfort; older adults</t>
        </is>
      </c>
      <c r="V1525" t="inlineStr">
        <is>
          <t>PHYSICAL-ACTIVITY; THERMAL COMFORT; STRESS RECOVERY; HEALTH; VIEW; ASSOCIATIONS; EXPOSURE; FOREST; TEMPERATURE; DEPRESSION</t>
        </is>
      </c>
      <c r="W1525" t="inlineStr">
        <is>
          <t>Exposure to small public urban green spaces (SPUGS) has been demonstrated to have mental benefits for older adults. However, studies on identifying the objective environmental features of SPUGS and their effects on mental restoration for older adults remain limited. This study employed a multilevel regression model to investigate the restorative and vitalizing effects of the environmental features of 11 SPUGS in Tokyo. Onsite measurements were conducted in Kita-Ku, and 202 older adults were surveyed. The results showed that: (1) The fitting curve of the green view index and Restoration Outcome Scale (ROS) score showed an inverted U shape-both green view index and boundary enclosure had a strong impact on the mental restoration of older adults; (2) The colorfulness index showed the strongest relationship with the vitalizing effect. (3) The sky view factor and number of seats only influenced the ROS score, while the results of revitalization suggest that large areas of water should be avoided. (4) Physiological Equivalent Temperature (PET) was also confirmed to have negative effects on the mental restoration of older adults in autumn. These empirical findings can be used as a resource to promote the mental health of older adults in the design of SPUGS in high-density Asian countries.</t>
        </is>
      </c>
      <c r="X1525" t="inlineStr">
        <is>
          <t>[Lu, Shan; Wang, Lijun] Tianjin Univ, Sch Architecture, Dept Architecture, Tianjin 300072, Peoples R China; [Oh, Wonseok; Ooka, Ryozo] Univ Tokyo, Inst Ind Sci, Tokyo 1538505, Japan</t>
        </is>
      </c>
      <c r="Y1525" t="inlineStr">
        <is>
          <t>Tianjin University; University of Tokyo</t>
        </is>
      </c>
      <c r="Z1525" t="inlineStr">
        <is>
          <t>Wang, LJ (corresponding author), Tianjin Univ, Sch Architecture, Dept Architecture, Tianjin 300072, Peoples R China.</t>
        </is>
      </c>
      <c r="AA1525" t="inlineStr">
        <is>
          <t>lushan0710@tju.edu.cn; oh-ws@iis.u-tokyo.ac.jp; ooka@iis.u-tokyo.ac.jp; wljjudy@tju.edu.cn</t>
        </is>
      </c>
      <c r="AB1525" t="inlineStr">
        <is>
          <t>Ooka, Ryozo/IZP-8236-2023; Oh, Wonseok/E-2914-2015</t>
        </is>
      </c>
      <c r="AC1525" t="inlineStr">
        <is>
          <t>Oh, Wonseok/0000-0002-2317-6012</t>
        </is>
      </c>
      <c r="AD1525" t="inlineStr">
        <is>
          <t>National Nature Science Foundation of China (NSFC) [51978442]; China Scholarship Council</t>
        </is>
      </c>
      <c r="AE1525" t="inlineStr">
        <is>
          <t>National Nature Science Foundation of China (NSFC)(National Natural Science Foundation of China (NSFC)); China Scholarship Council(China Scholarship Council)</t>
        </is>
      </c>
      <c r="AF1525" t="inlineStr">
        <is>
          <t>This research was funded by the National Nature Science Foundation of China (NSFC) (No. 51978442); China Scholarship Council.</t>
        </is>
      </c>
      <c r="AH1525" t="n">
        <v>73</v>
      </c>
      <c r="AI1525" t="n">
        <v>8</v>
      </c>
      <c r="AJ1525" t="n">
        <v>8</v>
      </c>
      <c r="AK1525" t="n">
        <v>26</v>
      </c>
      <c r="AL1525" t="n">
        <v>73</v>
      </c>
      <c r="AM1525" t="inlineStr">
        <is>
          <t>MDPI</t>
        </is>
      </c>
      <c r="AN1525" t="inlineStr">
        <is>
          <t>BASEL</t>
        </is>
      </c>
      <c r="AO1525" t="inlineStr">
        <is>
          <t>ST ALBAN-ANLAGE 66, CH-4052 BASEL, SWITZERLAND</t>
        </is>
      </c>
      <c r="AQ1525" t="inlineStr">
        <is>
          <t>1660-4601</t>
        </is>
      </c>
      <c r="AS1525" t="inlineStr">
        <is>
          <t>INT J ENV RES PUB HE</t>
        </is>
      </c>
      <c r="AT1525" t="inlineStr">
        <is>
          <t>Int. J. Environ. Res. Public Health</t>
        </is>
      </c>
      <c r="AU1525" t="inlineStr">
        <is>
          <t>MAY</t>
        </is>
      </c>
      <c r="AV1525" t="n">
        <v>2022</v>
      </c>
      <c r="AW1525" t="n">
        <v>19</v>
      </c>
      <c r="AX1525" t="n">
        <v>9</v>
      </c>
      <c r="BE1525" t="n">
        <v>5477</v>
      </c>
      <c r="BF1525" t="inlineStr">
        <is>
          <t>10.3390/ijerph19095477</t>
        </is>
      </c>
      <c r="BG1525">
        <f>HYPERLINK("http://dx.doi.org/10.3390/ijerph19095477","http://dx.doi.org/10.3390/ijerph19095477")</f>
        <v/>
      </c>
      <c r="BJ1525" t="n">
        <v>22</v>
      </c>
      <c r="BK1525" t="inlineStr">
        <is>
          <t>Environmental Sciences; Public, Environmental &amp; Occupational Health</t>
        </is>
      </c>
      <c r="BL1525" t="inlineStr">
        <is>
          <t>Science Citation Index Expanded (SCI-EXPANDED); Social Science Citation Index (SSCI)</t>
        </is>
      </c>
      <c r="BM1525" t="inlineStr">
        <is>
          <t>Environmental Sciences &amp; Ecology; Public, Environmental &amp; Occupational Health</t>
        </is>
      </c>
      <c r="BN1525" t="inlineStr">
        <is>
          <t>1L4FN</t>
        </is>
      </c>
      <c r="BO1525" t="n">
        <v>35564870</v>
      </c>
      <c r="BP1525" t="inlineStr">
        <is>
          <t>gold, Green Published</t>
        </is>
      </c>
      <c r="BS1525" t="inlineStr">
        <is>
          <t>2023-10-26</t>
        </is>
      </c>
      <c r="BT1525" t="inlineStr">
        <is>
          <t>WOS:000799246100001</t>
        </is>
      </c>
      <c r="BU1525">
        <f>HYPERLINK("https%3A%2F%2Fwww.webofscience.com%2Fwos%2Fwoscc%2Ffull-record%2FWOS:000799246100001","View Full Record in Web of Science")</f>
        <v/>
      </c>
    </row>
    <row r="1526">
      <c r="A1526" t="inlineStr">
        <is>
          <t>J</t>
        </is>
      </c>
      <c r="B1526" t="inlineStr">
        <is>
          <t>Han, J; Bae, J; Jang, J; Baek, J; Leigh, SB</t>
        </is>
      </c>
      <c r="F1526" t="inlineStr">
        <is>
          <t>Han, Jinmog; Bae, Jongkyun; Jang, Jihoon; Baek, Jumi; Leigh, Seung-Bok</t>
        </is>
      </c>
      <c r="J1526" t="inlineStr">
        <is>
          <t>SUSTAINABILITY</t>
        </is>
      </c>
      <c r="M1526" t="inlineStr">
        <is>
          <t>English</t>
        </is>
      </c>
      <c r="N1526" t="inlineStr">
        <is>
          <t>Article</t>
        </is>
      </c>
      <c r="T1526" t="inlineStr">
        <is>
          <t>The Derivation of Cooling Set-Point Temperature in an HVAC System, Considering Mean Radiant Temperature</t>
        </is>
      </c>
      <c r="U1526" t="inlineStr">
        <is>
          <t>thermal comfort; set-point temperature; thermal environment; mean radiant temperature; HVAC system</t>
        </is>
      </c>
      <c r="V1526" t="inlineStr">
        <is>
          <t>INDOOR THERMAL ENVIRONMENT; AIR-TEMPERATURE; NEURAL-NETWORK; COMFORT; PREDICTION; OPTIMIZATION; BUILDINGS</t>
        </is>
      </c>
      <c r="W1526" t="inlineStr">
        <is>
          <t>Heating, ventilation, and air-conditioning (HVAC) systems usually have a set-point temperature control feature that uses the indoor dry-bulb temperature to control the indoor environment. However, an incorrect set-point temperature can reduce thermal comfort and result in unnecessary energy consumption. This study focuses on a derivation method for the optimal cooling set-point temperature of an HVAC system used in office buildings, considering the thermal characteristics and daily changes in the weather conditions, to establish a comfortable indoor environment and minimize unnecessary energy consumption. The operative temperature is used in the HVAC system control, and the mean radiant temperature is predicted with 94% accuracy through a multiple regression analysis by applying the indoor thermal environment data and weather information. The regression equation was utilized to create an additional equation to calculate the optimal set-point temperature. The simulation results indicate that the HVAC system control with the new set-point temperatures calculated from the derived equation improves thermal comfort by 38.5% (26%p). This study confirmed that a cooling set-point temperature that considers both the thermal characteristics of a building and weather conditions is effective in enhancing the indoor thermal comfort during summer.</t>
        </is>
      </c>
      <c r="X1526" t="inlineStr">
        <is>
          <t>[Han, Jinmog; Bae, Jongkyun; Jang, Jihoon; Baek, Jumi; Leigh, Seung-Bok] Yonsei Univ, Dept Architectural Engn, 50 Yonsei Ro, Seoul 03722, South Korea</t>
        </is>
      </c>
      <c r="Y1526" t="inlineStr">
        <is>
          <t>Yonsei University</t>
        </is>
      </c>
      <c r="Z1526" t="inlineStr">
        <is>
          <t>Leigh, SB (corresponding author), Yonsei Univ, Dept Architectural Engn, 50 Yonsei Ro, Seoul 03722, South Korea.</t>
        </is>
      </c>
      <c r="AA1526" t="inlineStr">
        <is>
          <t>hjm7940@yonsei.ac.kr; holkjy@yonsei.ac.kr; eands777@yonsei.ac.kr; jumi100@yonsei.ac.kr; sbleigh@yonsei.ac.kr</t>
        </is>
      </c>
      <c r="AC1526" t="inlineStr">
        <is>
          <t>Han, Jinmog/0000-0002-0735-8502</t>
        </is>
      </c>
      <c r="AD1526" t="inlineStr">
        <is>
          <t>Korea Institute of Energy Technology Evaluation and Planning (KETEP); Ministry of Trade, Industry and Energy (MOTIE) of the Republic of Korea [20172010000470]; Korea Evaluation Institute of Industrial Technology (KEIT) [20172010000470] Funding Source: Korea Institute of Science &amp; Technology Information (KISTI), National Science &amp; Technology Information Service (NTIS)</t>
        </is>
      </c>
      <c r="AE1526" t="inlineStr">
        <is>
          <t>Korea Institute of Energy Technology Evaluation and Planning (KETEP); Ministry of Trade, Industry and Energy (MOTIE) of the Republic of Korea; Korea Evaluation Institute of Industrial Technology (KEIT)</t>
        </is>
      </c>
      <c r="AF1526" t="inlineStr">
        <is>
          <t>This work was supported by the Korea Institute of Energy Technology Evaluation and Planning (KETEP) and the Ministry of Trade, Industry and Energy (MOTIE) of the Republic of Korea (number 20172010000470).</t>
        </is>
      </c>
      <c r="AH1526" t="n">
        <v>49</v>
      </c>
      <c r="AI1526" t="n">
        <v>15</v>
      </c>
      <c r="AJ1526" t="n">
        <v>15</v>
      </c>
      <c r="AK1526" t="n">
        <v>2</v>
      </c>
      <c r="AL1526" t="n">
        <v>16</v>
      </c>
      <c r="AM1526" t="inlineStr">
        <is>
          <t>MDPI</t>
        </is>
      </c>
      <c r="AN1526" t="inlineStr">
        <is>
          <t>BASEL</t>
        </is>
      </c>
      <c r="AO1526" t="inlineStr">
        <is>
          <t>ST ALBAN-ANLAGE 66, CH-4052 BASEL, SWITZERLAND</t>
        </is>
      </c>
      <c r="AQ1526" t="inlineStr">
        <is>
          <t>2071-1050</t>
        </is>
      </c>
      <c r="AS1526" t="inlineStr">
        <is>
          <t>SUSTAINABILITY-BASEL</t>
        </is>
      </c>
      <c r="AT1526" t="inlineStr">
        <is>
          <t>Sustainability</t>
        </is>
      </c>
      <c r="AU1526" t="inlineStr">
        <is>
          <t>OCT 1</t>
        </is>
      </c>
      <c r="AV1526" t="n">
        <v>2019</v>
      </c>
      <c r="AW1526" t="n">
        <v>11</v>
      </c>
      <c r="AX1526" t="n">
        <v>19</v>
      </c>
      <c r="BE1526" t="n">
        <v>5417</v>
      </c>
      <c r="BF1526" t="inlineStr">
        <is>
          <t>10.3390/su11195417</t>
        </is>
      </c>
      <c r="BG1526">
        <f>HYPERLINK("http://dx.doi.org/10.3390/su11195417","http://dx.doi.org/10.3390/su11195417")</f>
        <v/>
      </c>
      <c r="BJ1526" t="n">
        <v>19</v>
      </c>
      <c r="BK1526" t="inlineStr">
        <is>
          <t>Green &amp; Sustainable Science &amp; Technology; Environmental Sciences; Environmental Studies</t>
        </is>
      </c>
      <c r="BL1526" t="inlineStr">
        <is>
          <t>Science Citation Index Expanded (SCI-EXPANDED); Social Science Citation Index (SSCI)</t>
        </is>
      </c>
      <c r="BM1526" t="inlineStr">
        <is>
          <t>Science &amp; Technology - Other Topics; Environmental Sciences &amp; Ecology</t>
        </is>
      </c>
      <c r="BN1526" t="inlineStr">
        <is>
          <t>JI5RS</t>
        </is>
      </c>
      <c r="BP1526" t="inlineStr">
        <is>
          <t>Green Published, gold</t>
        </is>
      </c>
      <c r="BS1526" t="inlineStr">
        <is>
          <t>2023-10-26</t>
        </is>
      </c>
      <c r="BT1526" t="inlineStr">
        <is>
          <t>WOS:000493525500276</t>
        </is>
      </c>
      <c r="BU1526">
        <f>HYPERLINK("https%3A%2F%2Fwww.webofscience.com%2Fwos%2Fwoscc%2Ffull-record%2FWOS:000493525500276","View Full Record in Web of Science")</f>
        <v/>
      </c>
    </row>
    <row r="1527">
      <c r="A1527" t="inlineStr">
        <is>
          <t>J</t>
        </is>
      </c>
      <c r="B1527" t="inlineStr">
        <is>
          <t>McGregor, DE; Carson, V; Palarea-Albaladejo, J; Dall, PM; Tremblay, MS; Chastin, SFM</t>
        </is>
      </c>
      <c r="F1527" t="inlineStr">
        <is>
          <t>McGregor, Duncan E.; Carson, Valerie; Palarea-Albaladejo, Javier; Dall, Philippa M.; Tremblay, Mark S.; Chastin, Sebastien F. M.</t>
        </is>
      </c>
      <c r="J1527" t="inlineStr">
        <is>
          <t>INTERNATIONAL JOURNAL OF ENVIRONMENTAL RESEARCH AND PUBLIC HEALTH</t>
        </is>
      </c>
      <c r="M1527" t="inlineStr">
        <is>
          <t>English</t>
        </is>
      </c>
      <c r="N1527" t="inlineStr">
        <is>
          <t>Article</t>
        </is>
      </c>
      <c r="T1527" t="inlineStr">
        <is>
          <t>Compositional Analysis of the Associations between 24-h Movement Behaviours and Health Indicators among Adults and Older Adults from the Canadian Health Measure Survey</t>
        </is>
      </c>
      <c r="U1527" t="inlineStr">
        <is>
          <t>ageing; time use; sleep; physical activity; sedentary behaviour; compositional data analysis</t>
        </is>
      </c>
      <c r="V1527" t="inlineStr">
        <is>
          <t>ALL-CAUSE MORTALITY; PHYSICAL-ACTIVITY; BLOOD-PRESSURE; SEDENTARY BEHAVIOR; SLEEP DURATION; INACTIVITY; EXERCISE; TIME; DISEASE; RISK</t>
        </is>
      </c>
      <c r="W1527" t="inlineStr">
        <is>
          <t>This study investigated the association between the allocation of time-use over the 24-h day between sleep, sedentary behaviour (SB), light-intensity physical activity (LPA) and moderate-to-vigorous-intensity physical activity (MVPA)) and health indicators. A cross-sectional analysis of Canadian Health Measures Survey data was undertaken using compositional data analysis. SB, LPA and MVPA were derived from Actical accelerometers, whilst sleep was self-reported by respondents. The analysis was stratified by age; adults (aged 18-64 years; n = 6322) and older adults (65-79 years; n = 1454). For adults, beneficial associations were observed between larger proportions of MVPA relative to time in other behaviours and body mass index (BMI), waist circumference, aerobic fitness, resting heart rate, high-density lipoprotein (HDL) cholesterol, triglycerides, blood glucose and insulin levels. More time spent in sleep relative to other movement behaviours was deleteriously associated with aerobic fitness, HDL cholesterol, insulin, C-reactive proteins and grip strength but beneficially with low-density lipoprotein cholesterol. Relative time spent in LPA was deleteriously associated with BMI and beneficially with triglycerides and grip strength. In older adults, these associations were blunted or disappeared but larger proportions of MVPA were associated with better mental health. The importance to health of MVPA when explicitly considered relative to other movement behaviours was confirmed.</t>
        </is>
      </c>
      <c r="X1527" t="inlineStr">
        <is>
          <t>[McGregor, Duncan E.; Dall, Philippa M.; Chastin, Sebastien F. M.] Glasgow Caledonian Univ, Sch Hlth &amp; Life Sci, Inst Appl Hlth Res, Cowcaddens Rd, Glasgow G4 0BA, Lanark, Scotland; [McGregor, Duncan E.; Palarea-Albaladejo, Javier] JCMB, Biomath &amp; Stat Scotland, Kings Bldg,Peter Guthrie Tait Rd, Edinburgh EH9 3FD, Midlothian, Scotland; [Carson, Valerie] Univ Alberta, Fac Kinesiol Sport &amp; Recreat, 1-151 Van Vliet Complex, Edmonton, AB T6G 2H9, Canada; [Tremblay, Mark S.] Childrens Hosp, Eastern Ontario Res Inst, Hlth Act Living &amp; Obes Res Grp, 401 Smyth Rd, Ottawa, ON K1H 8L1, Canada; [Chastin, Sebastien F. M.] Univ Ghent, Dept Movement &amp; Sport Sci, B-9000 Ghent, Belgium</t>
        </is>
      </c>
      <c r="Y1527" t="inlineStr">
        <is>
          <t>Glasgow Caledonian University; James Hutton Institute; University of Edinburgh; University of Alberta; University of Ottawa; Children's Hospital of Eastern Ontario; Ghent University</t>
        </is>
      </c>
      <c r="Z1527" t="inlineStr">
        <is>
          <t>McGregor, DE (corresponding author), Glasgow Caledonian Univ, Sch Hlth &amp; Life Sci, Inst Appl Hlth Res, Cowcaddens Rd, Glasgow G4 0BA, Lanark, Scotland.;McGregor, DE (corresponding author), JCMB, Biomath &amp; Stat Scotland, Kings Bldg,Peter Guthrie Tait Rd, Edinburgh EH9 3FD, Midlothian, Scotland.</t>
        </is>
      </c>
      <c r="AA1527" t="inlineStr">
        <is>
          <t>Duncan.Mcgregor@gcu.ac.uk; vlcarson@ualberta.ca; javier.palarea@bioss.ac.uk; philippa.dall@gcu.ac.uk; mtremblay@cheo.on.ca; sebastien.chastin@gcu.ac.uk</t>
        </is>
      </c>
      <c r="AB1527" t="inlineStr">
        <is>
          <t>Tremblay, Mark/ABI-5477-2020; Palarea-Albaladejo, Javier/HLG-5398-2023; Carson, Valerie/ABG-2853-2021; Chastin, Sebastien/ABF-1455-2020; Tremblay, Mark/AAF-2981-2019</t>
        </is>
      </c>
      <c r="AC1527" t="inlineStr">
        <is>
          <t>Palarea-Albaladejo, Javier/0000-0003-0162-669X; Carson, Valerie/0000-0002-3009-3282; Chastin, Sebastien/0000-0003-1421-9348; Dall, Philippa/0000-0002-1958-1517</t>
        </is>
      </c>
      <c r="AD1527" t="inlineStr">
        <is>
          <t>Social Sciences and Humanities Research Council (SSHRC); Canadian Institutes of Health Research (CIHR); Canadian Foundation for Innovation (CFI); Statistics Canada; Scottish Government's Rural and Environment Science and Analytical Services Division (RESAS); Glasgow Caledonian University; Spanish Ministry of Economy and Competitiveness [CODA-RETOS MTM2015-65016-C2-1(2)-R]; Canadian Institute for Health Research (CIHR) New Investigator Salary award</t>
        </is>
      </c>
      <c r="AE1527" t="inlineStr">
        <is>
          <t>Social Sciences and Humanities Research Council (SSHRC)(Social Sciences and Humanities Research Council of Canada (SSHRC)); Canadian Institutes of Health Research (CIHR)(Canadian Institutes of Health Research (CIHR)); Canadian Foundation for Innovation (CFI)(Canada Foundation for Innovation); Statistics Canada; Scottish Government's Rural and Environment Science and Analytical Services Division (RESAS); Glasgow Caledonian University; Spanish Ministry of Economy and Competitiveness(Spanish Government); Canadian Institute for Health Research (CIHR) New Investigator Salary award(Canadian Institutes of Health Research (CIHR))</t>
        </is>
      </c>
      <c r="AF1527" t="inlineStr">
        <is>
          <t>This research was supported by funds to the Canadian Research Data Centre Network (CRDCN) from the Social Sciences and Humanities Research Council (SSHRC), the Canadian Institutes of Health Research (CIHR), the Canadian Foundation for Innovation (CFI) and Statistics Canada. Although the research and analyses are based on data from Statistics Canada, the opinions expressed do not represent the views of Statistics Canada. D. McGregor has been supported by the Scottish Government's Rural and Environment Science and Analytical Services Division (RESAS) and Glasgow Caledonian University. J. Palarea-Albaladejo has been supported by the Scottish Government's Rural and Environment Science and Analytical Services Division (RESAS) and by the Spanish Ministry of Economy and Competitiveness under the project CODA-RETOS MTM2015-65016-C2-1(2)-R. V. Carson is supported by a Canadian Institute for Health Research (CIHR) New Investigator Salary award.</t>
        </is>
      </c>
      <c r="AH1527" t="n">
        <v>57</v>
      </c>
      <c r="AI1527" t="n">
        <v>47</v>
      </c>
      <c r="AJ1527" t="n">
        <v>47</v>
      </c>
      <c r="AK1527" t="n">
        <v>4</v>
      </c>
      <c r="AL1527" t="n">
        <v>25</v>
      </c>
      <c r="AM1527" t="inlineStr">
        <is>
          <t>MDPI</t>
        </is>
      </c>
      <c r="AN1527" t="inlineStr">
        <is>
          <t>BASEL</t>
        </is>
      </c>
      <c r="AO1527" t="inlineStr">
        <is>
          <t>ST ALBAN-ANLAGE 66, CH-4052 BASEL, SWITZERLAND</t>
        </is>
      </c>
      <c r="AQ1527" t="inlineStr">
        <is>
          <t>1660-4601</t>
        </is>
      </c>
      <c r="AS1527" t="inlineStr">
        <is>
          <t>INT J ENV RES PUB HE</t>
        </is>
      </c>
      <c r="AT1527" t="inlineStr">
        <is>
          <t>Int. J. Environ. Res. Public Health</t>
        </is>
      </c>
      <c r="AU1527" t="inlineStr">
        <is>
          <t>AUG</t>
        </is>
      </c>
      <c r="AV1527" t="n">
        <v>2018</v>
      </c>
      <c r="AW1527" t="n">
        <v>15</v>
      </c>
      <c r="AX1527" t="n">
        <v>8</v>
      </c>
      <c r="BE1527" t="n">
        <v>1779</v>
      </c>
      <c r="BF1527" t="inlineStr">
        <is>
          <t>10.3390/ijerph15081779</t>
        </is>
      </c>
      <c r="BG1527">
        <f>HYPERLINK("http://dx.doi.org/10.3390/ijerph15081779","http://dx.doi.org/10.3390/ijerph15081779")</f>
        <v/>
      </c>
      <c r="BJ1527" t="n">
        <v>14</v>
      </c>
      <c r="BK1527" t="inlineStr">
        <is>
          <t>Environmental Sciences; Public, Environmental &amp; Occupational Health</t>
        </is>
      </c>
      <c r="BL1527" t="inlineStr">
        <is>
          <t>Science Citation Index Expanded (SCI-EXPANDED); Social Science Citation Index (SSCI)</t>
        </is>
      </c>
      <c r="BM1527" t="inlineStr">
        <is>
          <t>Environmental Sciences &amp; Ecology; Public, Environmental &amp; Occupational Health</t>
        </is>
      </c>
      <c r="BN1527" t="inlineStr">
        <is>
          <t>GS0GQ</t>
        </is>
      </c>
      <c r="BO1527" t="n">
        <v>30126215</v>
      </c>
      <c r="BP1527" t="inlineStr">
        <is>
          <t>Green Published, gold, Green Submitted</t>
        </is>
      </c>
      <c r="BS1527" t="inlineStr">
        <is>
          <t>2023-10-26</t>
        </is>
      </c>
      <c r="BT1527" t="inlineStr">
        <is>
          <t>WOS:000443168200219</t>
        </is>
      </c>
      <c r="BU1527">
        <f>HYPERLINK("https%3A%2F%2Fwww.webofscience.com%2Fwos%2Fwoscc%2Ffull-record%2FWOS:000443168200219","View Full Record in Web of Science")</f>
        <v/>
      </c>
    </row>
    <row r="1528">
      <c r="A1528" t="inlineStr">
        <is>
          <t>J</t>
        </is>
      </c>
      <c r="B1528" t="inlineStr">
        <is>
          <t>Zasadzka, E; Pieczynska, A; Trzmiel, T; Kleka, P; Pawlaczyk, M</t>
        </is>
      </c>
      <c r="F1528" t="inlineStr">
        <is>
          <t>Zasadzka, Ewa; Pieczynska, Anna; Trzmiel, Tomasz; Kleka, Pawel; Pawlaczyk, Mariola</t>
        </is>
      </c>
      <c r="J1528" t="inlineStr">
        <is>
          <t>INTERNATIONAL JOURNAL OF ENVIRONMENTAL RESEARCH AND PUBLIC HEALTH</t>
        </is>
      </c>
      <c r="M1528" t="inlineStr">
        <is>
          <t>English</t>
        </is>
      </c>
      <c r="N1528" t="inlineStr">
        <is>
          <t>Review</t>
        </is>
      </c>
      <c r="T1528" t="inlineStr">
        <is>
          <t>Correlation between Handgrip Strength and Depression in Older Adults-A Systematic Review and a Meta-Analysis</t>
        </is>
      </c>
      <c r="U1528" t="inlineStr">
        <is>
          <t>handgrip strength; depression; older adults; meta-analysis; systematic review</t>
        </is>
      </c>
      <c r="V1528" t="inlineStr">
        <is>
          <t>MUSCLE STRENGTH; PRIMARY-CARE; RISK-FACTORS; SYMPTOMS; ASSOCIATION; POPULATION; SARCOPENIA; EUROPE; LIFE</t>
        </is>
      </c>
      <c r="W1528" t="inlineStr">
        <is>
          <t>Background: Depression remains an important health problem among older adults and it may be correlated with the deterioration of physical fitness, whose chief indicator is hand grip strength (HGS). The aim of the study was to investigate the relationship between depression and HGS among older populations using the available literature. Methods: PubMed, Web of Science and Science Direct databases were searched. The inclusion criteria were as follows: written in English and published after 2009, subject age: &gt;= 60 years, HGS measured using a hand dynamometer, assessment of the depressive symptoms using a validated tool. The following articles were excluded: studies conducted among institutionalized subjects and/or populations with a specific disease. Results: The total combined effect of 33 results presented in 16 studies included in the meta-analysis, converted to the correlation coefficient, was OEr = -0.148 (SE = 0.030, 95%CI: -0.206--0.091), indicating a weak, negative correlation between HGS and depressive symptoms. Conclusions: The review of the literature and the meta-analysis demonstrated a relationship between low muscle strength and intensified depressive symptoms in older populations. Bearing in mind that depression is often unrecognized or underdiagnosed among older patients, lowered muscle strength should be an important sign for physicians and an incentive to screen them for depression.</t>
        </is>
      </c>
      <c r="X1528" t="inlineStr">
        <is>
          <t>[Zasadzka, Ewa; Pieczynska, Anna; Trzmiel, Tomasz] Poznan Univ Med Sci, Dept Occupat Therapy, PL-60781 Poznan, Poland; [Kleka, Pawel] Adam Mickiewicz Univ, Inst Psychol, PL-60589 Poznan, Poland; [Pawlaczyk, Mariola] Poznan Univ Med Sci, Dept &amp; Div Pract Cosmetol &amp; Skin Dis Prophylaxis, PL-60623 Poznan, Poland</t>
        </is>
      </c>
      <c r="Y1528" t="inlineStr">
        <is>
          <t>Poznan University of Medical Sciences; Adam Mickiewicz University; Poznan University of Medical Sciences</t>
        </is>
      </c>
      <c r="Z1528" t="inlineStr">
        <is>
          <t>Zasadzka, E (corresponding author), Poznan Univ Med Sci, Dept Occupat Therapy, PL-60781 Poznan, Poland.</t>
        </is>
      </c>
      <c r="AA1528" t="inlineStr">
        <is>
          <t>ezasad@ump.edu.pl; apieczynska@ump.edu.pl; ttrzmiel@ump.edu.pl; pawel.kleka@amu.edu.pl; mariolapawlaczyk@ump.edu.pl</t>
        </is>
      </c>
      <c r="AB1528" t="inlineStr">
        <is>
          <t>Pieczyńska, Anna/ACD-2534-2022; Zasadzka, Ewa/ABB-6344-2021</t>
        </is>
      </c>
      <c r="AC1528" t="inlineStr">
        <is>
          <t>Pieczyńska, Anna/0000-0002-0349-7118; Zasadzka, Ewa/0000-0003-1862-8202; Kleka, Pawel/0000-0003-0841-0015; Trzmiel, Tomasz/0000-0003-4500-3494</t>
        </is>
      </c>
      <c r="AH1528" t="n">
        <v>45</v>
      </c>
      <c r="AI1528" t="n">
        <v>18</v>
      </c>
      <c r="AJ1528" t="n">
        <v>18</v>
      </c>
      <c r="AK1528" t="n">
        <v>1</v>
      </c>
      <c r="AL1528" t="n">
        <v>12</v>
      </c>
      <c r="AM1528" t="inlineStr">
        <is>
          <t>MDPI</t>
        </is>
      </c>
      <c r="AN1528" t="inlineStr">
        <is>
          <t>BASEL</t>
        </is>
      </c>
      <c r="AO1528" t="inlineStr">
        <is>
          <t>ST ALBAN-ANLAGE 66, CH-4052 BASEL, SWITZERLAND</t>
        </is>
      </c>
      <c r="AQ1528" t="inlineStr">
        <is>
          <t>1660-4601</t>
        </is>
      </c>
      <c r="AS1528" t="inlineStr">
        <is>
          <t>INT J ENV RES PUB HE</t>
        </is>
      </c>
      <c r="AT1528" t="inlineStr">
        <is>
          <t>Int. J. Environ. Res. Public Health</t>
        </is>
      </c>
      <c r="AU1528" t="inlineStr">
        <is>
          <t>MAY</t>
        </is>
      </c>
      <c r="AV1528" t="n">
        <v>2021</v>
      </c>
      <c r="AW1528" t="n">
        <v>18</v>
      </c>
      <c r="AX1528" t="n">
        <v>9</v>
      </c>
      <c r="BE1528" t="n">
        <v>4823</v>
      </c>
      <c r="BF1528" t="inlineStr">
        <is>
          <t>10.3390/ijerph18094823</t>
        </is>
      </c>
      <c r="BG1528">
        <f>HYPERLINK("http://dx.doi.org/10.3390/ijerph18094823","http://dx.doi.org/10.3390/ijerph18094823")</f>
        <v/>
      </c>
      <c r="BJ1528" t="n">
        <v>15</v>
      </c>
      <c r="BK1528" t="inlineStr">
        <is>
          <t>Environmental Sciences; Public, Environmental &amp; Occupational Health</t>
        </is>
      </c>
      <c r="BL1528" t="inlineStr">
        <is>
          <t>Science Citation Index Expanded (SCI-EXPANDED); Social Science Citation Index (SSCI)</t>
        </is>
      </c>
      <c r="BM1528" t="inlineStr">
        <is>
          <t>Environmental Sciences &amp; Ecology; Public, Environmental &amp; Occupational Health</t>
        </is>
      </c>
      <c r="BN1528" t="inlineStr">
        <is>
          <t>SB9PC</t>
        </is>
      </c>
      <c r="BO1528" t="n">
        <v>33946502</v>
      </c>
      <c r="BP1528" t="inlineStr">
        <is>
          <t>gold, Green Published</t>
        </is>
      </c>
      <c r="BS1528" t="inlineStr">
        <is>
          <t>2023-10-26</t>
        </is>
      </c>
      <c r="BT1528" t="inlineStr">
        <is>
          <t>WOS:000650316000001</t>
        </is>
      </c>
      <c r="BU1528">
        <f>HYPERLINK("https%3A%2F%2Fwww.webofscience.com%2Fwos%2Fwoscc%2Ffull-record%2FWOS:000650316000001","View Full Record in Web of Science")</f>
        <v/>
      </c>
    </row>
    <row r="1529">
      <c r="A1529" t="inlineStr">
        <is>
          <t>J</t>
        </is>
      </c>
      <c r="B1529" t="inlineStr">
        <is>
          <t>Almusaed, A; Yitmen, I</t>
        </is>
      </c>
      <c r="F1529" t="inlineStr">
        <is>
          <t>Almusaed, Amjad; Yitmen, Ibrahim</t>
        </is>
      </c>
      <c r="J1529" t="inlineStr">
        <is>
          <t>SUSTAINABILITY</t>
        </is>
      </c>
      <c r="M1529" t="inlineStr">
        <is>
          <t>English</t>
        </is>
      </c>
      <c r="N1529" t="inlineStr">
        <is>
          <t>Article</t>
        </is>
      </c>
      <c r="T1529" t="inlineStr">
        <is>
          <t>Architectural Reply for Smart Building Design Concepts Based on Artificial Intelligence Simulation Models and Digital Twins</t>
        </is>
      </c>
      <c r="U1529" t="inlineStr">
        <is>
          <t>smart building design; artificial intelligence; AI simulations models; digital twins</t>
        </is>
      </c>
      <c r="V1529" t="inlineStr">
        <is>
          <t>REPRESENTATION; AUTOMATION</t>
        </is>
      </c>
      <c r="W1529" t="inlineStr">
        <is>
          <t>Artificial Intelligence (AI) simulation models and digital twins (DT) are used in designing and treating the activities, layout, and functions for the new generation of buildings to enhance user experience and optimize building performance. These models use data about a building's use, configuration, functions, and environment to simulate different design options and predict their effects on house function efficiency, comfort, and safety. On the one hand, AI algorithms are used to analyze this data and find patterns and trends that can guide the design process. On the other hand, DTs are digital recreations of actual structures that can replicate building performance in real time. These models would evaluate alternative design options, the performance of the building, and ways to improve user comfort and building efficiency. This study examined the important role of intelligent building design aspects, such as activities using multi-layout and the creation of particular functions based on AI simulation models, in developing DT-based smart building systems. The empirical data came from a study of architecture and engineering firms throughout the globe using a CSAQ (computer-administered, self-completed survey). For this purpose, the study employed structural equation modeling (SEM) to examine the hypotheses and build the relationship model. The research verifies the relevance of AI-based simulation models supporting the creation of intelligent building design features (activities, layout, functionalities), enabling the construction of DT-based smart building systems. Furthermore, this study highlights the need for further exploration of AI-based simulation models' role and integration with DT in smart building design.</t>
        </is>
      </c>
      <c r="X1529" t="inlineStr">
        <is>
          <t>[Almusaed, Amjad; Yitmen, Ibrahim] Jonkoping Univ, Sch Engn, Dept Construct Engn &amp; Lighting Sci, S-55111 Jonkoping, Sweden</t>
        </is>
      </c>
      <c r="Y1529" t="inlineStr">
        <is>
          <t>Jonkoping University</t>
        </is>
      </c>
      <c r="Z1529" t="inlineStr">
        <is>
          <t>Almusaed, A (corresponding author), Jonkoping Univ, Sch Engn, Dept Construct Engn &amp; Lighting Sci, S-55111 Jonkoping, Sweden.</t>
        </is>
      </c>
      <c r="AA1529" t="inlineStr">
        <is>
          <t>amjad.al-musaed@ju.se</t>
        </is>
      </c>
      <c r="AB1529" t="inlineStr">
        <is>
          <t>AlMusaed, Amjad Zaki/AAY-3100-2021</t>
        </is>
      </c>
      <c r="AC1529" t="inlineStr">
        <is>
          <t>AlMusaed, Amjad Zaki/0000-0001-5814-2667; Yitmen, Ibrahim/0000-0003-4288-9904</t>
        </is>
      </c>
      <c r="AH1529" t="n">
        <v>84</v>
      </c>
      <c r="AI1529" t="n">
        <v>3</v>
      </c>
      <c r="AJ1529" t="n">
        <v>3</v>
      </c>
      <c r="AK1529" t="n">
        <v>24</v>
      </c>
      <c r="AL1529" t="n">
        <v>27</v>
      </c>
      <c r="AM1529" t="inlineStr">
        <is>
          <t>MDPI</t>
        </is>
      </c>
      <c r="AN1529" t="inlineStr">
        <is>
          <t>BASEL</t>
        </is>
      </c>
      <c r="AO1529" t="inlineStr">
        <is>
          <t>ST ALBAN-ANLAGE 66, CH-4052 BASEL, SWITZERLAND</t>
        </is>
      </c>
      <c r="AQ1529" t="inlineStr">
        <is>
          <t>2071-1050</t>
        </is>
      </c>
      <c r="AS1529" t="inlineStr">
        <is>
          <t>SUSTAINABILITY-BASEL</t>
        </is>
      </c>
      <c r="AT1529" t="inlineStr">
        <is>
          <t>Sustainability</t>
        </is>
      </c>
      <c r="AU1529" t="inlineStr">
        <is>
          <t>MAR</t>
        </is>
      </c>
      <c r="AV1529" t="n">
        <v>2023</v>
      </c>
      <c r="AW1529" t="n">
        <v>15</v>
      </c>
      <c r="AX1529" t="n">
        <v>6</v>
      </c>
      <c r="BE1529" t="n">
        <v>4955</v>
      </c>
      <c r="BF1529" t="inlineStr">
        <is>
          <t>10.3390/su15064955</t>
        </is>
      </c>
      <c r="BG1529">
        <f>HYPERLINK("http://dx.doi.org/10.3390/su15064955","http://dx.doi.org/10.3390/su15064955")</f>
        <v/>
      </c>
      <c r="BJ1529" t="n">
        <v>20</v>
      </c>
      <c r="BK1529" t="inlineStr">
        <is>
          <t>Green &amp; Sustainable Science &amp; Technology; Environmental Sciences; Environmental Studies</t>
        </is>
      </c>
      <c r="BL1529" t="inlineStr">
        <is>
          <t>Science Citation Index Expanded (SCI-EXPANDED); Social Science Citation Index (SSCI)</t>
        </is>
      </c>
      <c r="BM1529" t="inlineStr">
        <is>
          <t>Science &amp; Technology - Other Topics; Environmental Sciences &amp; Ecology</t>
        </is>
      </c>
      <c r="BN1529" t="inlineStr">
        <is>
          <t>C0JR2</t>
        </is>
      </c>
      <c r="BP1529" t="inlineStr">
        <is>
          <t>Green Published, gold</t>
        </is>
      </c>
      <c r="BS1529" t="inlineStr">
        <is>
          <t>2023-10-26</t>
        </is>
      </c>
      <c r="BT1529" t="inlineStr">
        <is>
          <t>WOS:000958891200001</t>
        </is>
      </c>
      <c r="BU1529">
        <f>HYPERLINK("https%3A%2F%2Fwww.webofscience.com%2Fwos%2Fwoscc%2Ffull-record%2FWOS:000958891200001","View Full Record in Web of Science")</f>
        <v/>
      </c>
    </row>
    <row r="1530">
      <c r="A1530" t="inlineStr">
        <is>
          <t>J</t>
        </is>
      </c>
      <c r="B1530" t="inlineStr">
        <is>
          <t>Liu, PC; Wang, J; Wang, XJ; Nie, WJ; Zhen, FF</t>
        </is>
      </c>
      <c r="F1530" t="inlineStr">
        <is>
          <t>Liu, Pengcheng; Wang, Jing; Wang, Xiaojie; Nie, Wenjie; Zhen, Fangfang</t>
        </is>
      </c>
      <c r="J1530" t="inlineStr">
        <is>
          <t>INTERNATIONAL JOURNAL OF ENVIRONMENTAL RESEARCH AND PUBLIC HEALTH</t>
        </is>
      </c>
      <c r="M1530" t="inlineStr">
        <is>
          <t>English</t>
        </is>
      </c>
      <c r="N1530" t="inlineStr">
        <is>
          <t>Article</t>
        </is>
      </c>
      <c r="T1530" t="inlineStr">
        <is>
          <t>Measuring the Association of Self-Perceived Physical and Social Neighborhood Environment with Health of Chinese Rural Residents</t>
        </is>
      </c>
      <c r="U1530" t="inlineStr">
        <is>
          <t>physical neighborhood environment; social neighborhood environment; health status; health-related behaviors</t>
        </is>
      </c>
      <c r="V1530" t="inlineStr">
        <is>
          <t>MENTAL-HEALTH; LIVING ENVIRONMENT; TRAFFIC NOISE; COMMUNITY; CHILDREN; BENEFITS; DAMPNESS; OUTCOMES; ADULTS; WOMEN</t>
        </is>
      </c>
      <c r="W1530" t="inlineStr">
        <is>
          <t>(1) Objectives: Using cross-sectional datasets, we investigated whether better self-perceived physical and social neighborhood environment was associated with perceived health status and health-related behaviors among Chinese rural residents. (2) Study Design: The study was based on the 2016 China Family Panel Studies (CFPS) survey. The sample consisted of 7191 rural residents over 18 in China. (3) Methods: The article measured physical neighborhood environment from the two aspects of dwelling environment (DE) and public facilities convenience (PFC), and social neighborhood environment from public security (PS) and neighborhood relationship (NR). Associations between health status/health-related behaviors and self-perceived physical/social neighborhood environment were analyzed using multivariable logistic regression models adjusted for socio-demographic characteristics. (4) Results: The results suggested that rural residents who live in a good neighborhood environment reported having a better health status. Specifically, rural residents who reported living in good DE were less likely to have a depressive mood and poor health conditions. Those who reported good PFC were less likely to have depressive mood, poor self-rated health and chronic diseases. Rural residents who reported having good PS were less likely to have a depressive mood. Those who reported good NR were less likely to have a depressive mood, poor self-rated health, chronic diseases and obesity. Regarding neighborhood environment and health-related behaviors, the results showed that rural residents who reported good PFC were more likely to do physical exercise. Notably, the regression results of the education level variable showed that education level significantly promoted the health-related behaviors (time sleeping weekday, physical exercise and smoking) of rural residents. (5) Conclusions: This article suggested that there was strong evidence for a relationship between physical and social neighborhood environment and the general health of rural residents due to all causes. According to the conclusion of this article, in order to improve the health of rural residents, policy interventions should give priority to improving the neighborhood environment. In addition, the improvement in the degree that rural residents are exposed to education is of the same importance, which helps more rural residents to maintain good health-related behaviors.</t>
        </is>
      </c>
      <c r="X1530" t="inlineStr">
        <is>
          <t>[Liu, Pengcheng; Wang, Jing] Qingdao Univ, Sch Econ, Qingdao 266061, Peoples R China; [Wang, Xiaojie; Nie, Wenjie] Ocean Univ China, Sch Management, Qingdao 266100, Peoples R China; [Zhen, Fangfang] Hebei Univ Econ &amp; Business, Coll Foreign Languages, Shijiazhuang 050061, Hebei, Peoples R China</t>
        </is>
      </c>
      <c r="Y1530" t="inlineStr">
        <is>
          <t>Qingdao University; Ocean University of China; Hebei University of Economics &amp; Business</t>
        </is>
      </c>
      <c r="Z1530" t="inlineStr">
        <is>
          <t>Wang, XJ (corresponding author), Ocean Univ China, Sch Management, Qingdao 266100, Peoples R China.</t>
        </is>
      </c>
      <c r="AA1530" t="inlineStr">
        <is>
          <t>qd_lpc@qdu.edu.cn; sdgsxy1997wj@163.com; wangxiaojie@ouc.edu.cn; niewenjie@stu.ouc.edu.cn; zhen_f_f@163.com</t>
        </is>
      </c>
      <c r="AH1530" t="n">
        <v>52</v>
      </c>
      <c r="AI1530" t="n">
        <v>4</v>
      </c>
      <c r="AJ1530" t="n">
        <v>4</v>
      </c>
      <c r="AK1530" t="n">
        <v>4</v>
      </c>
      <c r="AL1530" t="n">
        <v>45</v>
      </c>
      <c r="AM1530" t="inlineStr">
        <is>
          <t>MDPI</t>
        </is>
      </c>
      <c r="AN1530" t="inlineStr">
        <is>
          <t>BASEL</t>
        </is>
      </c>
      <c r="AO1530" t="inlineStr">
        <is>
          <t>ST ALBAN-ANLAGE 66, CH-4052 BASEL, SWITZERLAND</t>
        </is>
      </c>
      <c r="AQ1530" t="inlineStr">
        <is>
          <t>1660-4601</t>
        </is>
      </c>
      <c r="AS1530" t="inlineStr">
        <is>
          <t>INT J ENV RES PUB HE</t>
        </is>
      </c>
      <c r="AT1530" t="inlineStr">
        <is>
          <t>Int. J. Environ. Res. Public Health</t>
        </is>
      </c>
      <c r="AU1530" t="inlineStr">
        <is>
          <t>AUG</t>
        </is>
      </c>
      <c r="AV1530" t="n">
        <v>2021</v>
      </c>
      <c r="AW1530" t="n">
        <v>18</v>
      </c>
      <c r="AX1530" t="n">
        <v>16</v>
      </c>
      <c r="BE1530" t="n">
        <v>8380</v>
      </c>
      <c r="BF1530" t="inlineStr">
        <is>
          <t>10.3390/ijerph18168380</t>
        </is>
      </c>
      <c r="BG1530">
        <f>HYPERLINK("http://dx.doi.org/10.3390/ijerph18168380","http://dx.doi.org/10.3390/ijerph18168380")</f>
        <v/>
      </c>
      <c r="BJ1530" t="n">
        <v>12</v>
      </c>
      <c r="BK1530" t="inlineStr">
        <is>
          <t>Environmental Sciences; Public, Environmental &amp; Occupational Health</t>
        </is>
      </c>
      <c r="BL1530" t="inlineStr">
        <is>
          <t>Science Citation Index Expanded (SCI-EXPANDED); Social Science Citation Index (SSCI)</t>
        </is>
      </c>
      <c r="BM1530" t="inlineStr">
        <is>
          <t>Environmental Sciences &amp; Ecology; Public, Environmental &amp; Occupational Health</t>
        </is>
      </c>
      <c r="BN1530" t="inlineStr">
        <is>
          <t>UG4FV</t>
        </is>
      </c>
      <c r="BO1530" t="n">
        <v>34444130</v>
      </c>
      <c r="BP1530" t="inlineStr">
        <is>
          <t>gold, Green Published</t>
        </is>
      </c>
      <c r="BS1530" t="inlineStr">
        <is>
          <t>2023-10-26</t>
        </is>
      </c>
      <c r="BT1530" t="inlineStr">
        <is>
          <t>WOS:000689211300001</t>
        </is>
      </c>
      <c r="BU1530">
        <f>HYPERLINK("https%3A%2F%2Fwww.webofscience.com%2Fwos%2Fwoscc%2Ffull-record%2FWOS:000689211300001","View Full Record in Web of Science")</f>
        <v/>
      </c>
    </row>
    <row r="1531">
      <c r="A1531" t="inlineStr">
        <is>
          <t>J</t>
        </is>
      </c>
      <c r="B1531" t="inlineStr">
        <is>
          <t>Ikeda, Y; Tabira, T; Ohshige, T; Masumitsu, T; Makizako, H</t>
        </is>
      </c>
      <c r="F1531" t="inlineStr">
        <is>
          <t>Ikeda, Yuriko; Tabira, Takayuki; Ohshige, Tadasu; Masumitsu, Tomomi; Makizako, Hyuma</t>
        </is>
      </c>
      <c r="H1531" t="inlineStr">
        <is>
          <t>KU-OHL Project Member</t>
        </is>
      </c>
      <c r="J1531" t="inlineStr">
        <is>
          <t>INTERNATIONAL JOURNAL OF ENVIRONMENTAL RESEARCH AND PUBLIC HEALTH</t>
        </is>
      </c>
      <c r="M1531" t="inlineStr">
        <is>
          <t>English</t>
        </is>
      </c>
      <c r="N1531" t="inlineStr">
        <is>
          <t>Article</t>
        </is>
      </c>
      <c r="T1531" t="inlineStr">
        <is>
          <t>Association between Sleep Onset Problem and Subjective Cognitive Complaints among Japanese Older Adults during the Coronavirus Disease 2019 Pandemic</t>
        </is>
      </c>
      <c r="U1531" t="inlineStr">
        <is>
          <t>sleep quality; subjective cognitive complaints; older adults; community-dwelling; online survey</t>
        </is>
      </c>
      <c r="V1531" t="inlineStr">
        <is>
          <t>POPULATION; IMPAIRMENT; DEMENTIA; AGE</t>
        </is>
      </c>
      <c r="W1531" t="inlineStr">
        <is>
          <t>Older adults are more likely to have age-related sleep problems, which may result in the reduction of cognitive functions. This study was designed to examine the relationship between sleep onset problem and subjective cognitive complaints (SCC) among community-dwelling older adults during the coronavirus disease 2019 pandemic. In this study, 186 older adults aged 65 and above were enrolled and were instructed to respond to an online survey. This survey comprised questions regarding sleep quality (four items such as sleep duration, use of sleep medication), SCC (six domains), and sociodemographic information (eight items such as age, gender, stress condition). We classified the participants into two groups according to the presence or absence of sleep onset problem and examined the relationship between each SCC domain. The sleep onset problem (+) (n = 70) group had significantly higher frequency of scheduled memory decline, misplacement, disorientation in time, word recall decline, and forgetfulness. Furthermore, the sleep onset problem affected the participants' scheduled memory after adjusted for potential covariates (OR, 2.28; 95%CI, 1.13-4.73; p = 0.02). Older adults with sleep onset problem may need to be evaluated for SCC and supported in term of both sleep status and SCC.</t>
        </is>
      </c>
      <c r="X1531" t="inlineStr">
        <is>
          <t>[Ikeda, Yuriko; Tabira, Takayuki] Kagoshima Univ, Fac Med, Sch Hlth Sci, Dept Occupat Therapy, Kagoshima 8908544, Japan; [Ohshige, Tadasu; Makizako, Hyuma] Kagoshima Univ, Fac Med, Sch Hlth Sci, Dept Phys Therapy, Kagoshima 8908544, Japan; [Masumitsu, Tomomi] Kagoshima Univ, Fac Med, Sch Hlth Sci, Dept Nursing, Kagoshima 8908544, Japan</t>
        </is>
      </c>
      <c r="Y1531" t="inlineStr">
        <is>
          <t>Kagoshima University; Kagoshima University; Kagoshima University</t>
        </is>
      </c>
      <c r="Z1531" t="inlineStr">
        <is>
          <t>Ikeda, Y (corresponding author), Kagoshima Univ, Fac Med, Sch Hlth Sci, Dept Occupat Therapy, Kagoshima 8908544, Japan.</t>
        </is>
      </c>
      <c r="AA1531" t="inlineStr">
        <is>
          <t>yuriko@health.nop.kagoshima-u.ac.jp</t>
        </is>
      </c>
      <c r="AC1531" t="inlineStr">
        <is>
          <t>Makizako, Hyuma/0000-0001-9898-675X; Tabira, Takayuki/0000-0003-4174-3217</t>
        </is>
      </c>
      <c r="AH1531" t="n">
        <v>33</v>
      </c>
      <c r="AI1531" t="n">
        <v>1</v>
      </c>
      <c r="AJ1531" t="n">
        <v>1</v>
      </c>
      <c r="AK1531" t="n">
        <v>1</v>
      </c>
      <c r="AL1531" t="n">
        <v>1</v>
      </c>
      <c r="AM1531" t="inlineStr">
        <is>
          <t>MDPI</t>
        </is>
      </c>
      <c r="AN1531" t="inlineStr">
        <is>
          <t>BASEL</t>
        </is>
      </c>
      <c r="AO1531" t="inlineStr">
        <is>
          <t>ST ALBAN-ANLAGE 66, CH-4052 BASEL, SWITZERLAND</t>
        </is>
      </c>
      <c r="AQ1531" t="inlineStr">
        <is>
          <t>1660-4601</t>
        </is>
      </c>
      <c r="AS1531" t="inlineStr">
        <is>
          <t>INT J ENV RES PUB HE</t>
        </is>
      </c>
      <c r="AT1531" t="inlineStr">
        <is>
          <t>Int. J. Environ. Res. Public Health</t>
        </is>
      </c>
      <c r="AU1531" t="inlineStr">
        <is>
          <t>JAN</t>
        </is>
      </c>
      <c r="AV1531" t="n">
        <v>2023</v>
      </c>
      <c r="AW1531" t="n">
        <v>20</v>
      </c>
      <c r="AX1531" t="n">
        <v>1</v>
      </c>
      <c r="BE1531" t="n">
        <v>156</v>
      </c>
      <c r="BF1531" t="inlineStr">
        <is>
          <t>10.3390/ijerph20010156</t>
        </is>
      </c>
      <c r="BG1531">
        <f>HYPERLINK("http://dx.doi.org/10.3390/ijerph20010156","http://dx.doi.org/10.3390/ijerph20010156")</f>
        <v/>
      </c>
      <c r="BJ1531" t="n">
        <v>9</v>
      </c>
      <c r="BK1531" t="inlineStr">
        <is>
          <t>Environmental Sciences; Public, Environmental &amp; Occupational Health</t>
        </is>
      </c>
      <c r="BL1531" t="inlineStr">
        <is>
          <t>Science Citation Index Expanded (SCI-EXPANDED); Social Science Citation Index (SSCI)</t>
        </is>
      </c>
      <c r="BM1531" t="inlineStr">
        <is>
          <t>Environmental Sciences &amp; Ecology; Public, Environmental &amp; Occupational Health</t>
        </is>
      </c>
      <c r="BN1531" t="inlineStr">
        <is>
          <t>7Q0PG</t>
        </is>
      </c>
      <c r="BO1531" t="n">
        <v>36612476</v>
      </c>
      <c r="BP1531" t="inlineStr">
        <is>
          <t>Green Published, gold</t>
        </is>
      </c>
      <c r="BS1531" t="inlineStr">
        <is>
          <t>2023-10-26</t>
        </is>
      </c>
      <c r="BT1531" t="inlineStr">
        <is>
          <t>WOS:000909098700001</t>
        </is>
      </c>
      <c r="BU1531">
        <f>HYPERLINK("https%3A%2F%2Fwww.webofscience.com%2Fwos%2Fwoscc%2Ffull-record%2FWOS:000909098700001","View Full Record in Web of Science")</f>
        <v/>
      </c>
    </row>
    <row r="1532">
      <c r="A1532" t="inlineStr">
        <is>
          <t>J</t>
        </is>
      </c>
      <c r="B1532" t="inlineStr">
        <is>
          <t>Yuan, M; Song, Y; Huang, YP; Shen, HF; Li, TW</t>
        </is>
      </c>
      <c r="F1532" t="inlineStr">
        <is>
          <t>Yuan, Man; Song, Yan; Huang, Yaping; Shen, Huanfeng; Li, Tongwen</t>
        </is>
      </c>
      <c r="J1532" t="inlineStr">
        <is>
          <t>JOURNAL OF CLEANER PRODUCTION</t>
        </is>
      </c>
      <c r="M1532" t="inlineStr">
        <is>
          <t>English</t>
        </is>
      </c>
      <c r="N1532" t="inlineStr">
        <is>
          <t>Article</t>
        </is>
      </c>
      <c r="T1532" t="inlineStr">
        <is>
          <t>Exploring the association between the built environment and remotely sensed PM2.5 concentrations in urban areas</t>
        </is>
      </c>
      <c r="U1532" t="inlineStr">
        <is>
          <t>Air quality; Built environment; Remote sensing; Urban planning; China</t>
        </is>
      </c>
      <c r="V1532" t="inlineStr">
        <is>
          <t>SATELLITE-RETRIEVED PM2.5; PARTICULATE AIR-POLLUTION; CHINA; DEPRIVATION; QUALITY; FORM</t>
        </is>
      </c>
      <c r="W1532" t="inlineStr">
        <is>
          <t>Haze, especially PM2.5, poses a serious threat to public health in China. PM2.5 primarily originates from urban activities, and built environment may affect its formation and dispersion. Previous studies were based on limited data from ground-monitoring stations, and high resolution pollution maps are unavailable for statistical analyses. In this study, a 1 km*1 km wall-to-wall map of PM2.5 concentration is developed with remote sensing data in Wuhan, China, and spatial statistics are used to figure out the influence of the built environment on PM2.5 concentrations. In terms of land cover, high-rise high-density building areas have the largest impact on PM2.5 concentrations, and the effect of forestland on the concentrations is not obvious in winter. In terms of land use, industrial lands are unrelated to air pollution in the downtown, while transportation has become a main source of PM2.5 pollution. In terms of urban form, floor area ratio and building density are positively associated with PM2.5 concentrations, and different types of road densities have different effects on air pollution. Finally, the implications of the study for urban planning and development are given. It is necessary to develop a polycentric urban structure to balance high population density and reduce traffic emissions in downtown areas. Road and bus networks should be optimized simultaneously to reduce traffic emissions and small blocks and narrow roads may be considered as an alternative for urban development. The spatial morphology of streets and buildings should be considered during urban design and urban renewal. In general, the study contributes to the application of remote sensing in urban planning and development, and remotely sensed PM2.5 concentration data could provide further findings than the air pollution data obtained from ground monitoring and bottom-up models in past studies. (C) 2019 Elsevier Ltd. All rights reserved.</t>
        </is>
      </c>
      <c r="X1532" t="inlineStr">
        <is>
          <t>[Yuan, Man; Huang, Yaping] Huazhong Univ Sci &amp; Technol, Sch Architecture &amp; Urban Planning, Wuhan, Hubei, Peoples R China; [Yuan, Man; Huang, Yaping] Hubei Engn &amp; Technol Res Ctr Urbanizat, Wuhan, Hubei, Peoples R China; [Song, Yan] Univ N Carolina, Dept City &amp; Reg Planning, Chapel Hill, NC 27515 USA; [Shen, Huanfeng; Li, Tongwen] Wuhan Univ, Sch Resource &amp; Environm Sci, Wuhan, Hubei, Peoples R China</t>
        </is>
      </c>
      <c r="Y1532" t="inlineStr">
        <is>
          <t>Huazhong University of Science &amp; Technology; University of North Carolina; University of North Carolina Chapel Hill; Wuhan University</t>
        </is>
      </c>
      <c r="Z1532" t="inlineStr">
        <is>
          <t>Yuan, M (corresponding author), Huazhong Univ Sci &amp; Technol, Sch Architecture &amp; Urban Planning, Wuhan, Hubei, Peoples R China.;Song, Y (corresponding author), Univ N Carolina, Dept City &amp; Reg Planning, Chapel Hill, NC 27515 USA.</t>
        </is>
      </c>
      <c r="AA1532" t="inlineStr">
        <is>
          <t>yuanman_aup@hust.edu.cn; ys@email.unc.edu</t>
        </is>
      </c>
      <c r="AB1532" t="inlineStr">
        <is>
          <t>Shen, Huanfeng/HPD-8048-2023</t>
        </is>
      </c>
      <c r="AC1532" t="inlineStr">
        <is>
          <t>Li, Tongwen/0000-0001-7197-3713; Shen, Huanfeng/0000-0002-4140-1869</t>
        </is>
      </c>
      <c r="AD1532" t="inlineStr">
        <is>
          <t>National Natural Science Foundation of China [51708234, 51678259, 51708233]</t>
        </is>
      </c>
      <c r="AE1532" t="inlineStr">
        <is>
          <t>National Natural Science Foundation of China(National Natural Science Foundation of China (NSFC))</t>
        </is>
      </c>
      <c r="AF1532" t="inlineStr">
        <is>
          <t>This research was funded by National Natural Science Foundation of China (grant: 51708234, 51678259, 51708233).</t>
        </is>
      </c>
      <c r="AH1532" t="n">
        <v>40</v>
      </c>
      <c r="AI1532" t="n">
        <v>45</v>
      </c>
      <c r="AJ1532" t="n">
        <v>48</v>
      </c>
      <c r="AK1532" t="n">
        <v>18</v>
      </c>
      <c r="AL1532" t="n">
        <v>154</v>
      </c>
      <c r="AM1532" t="inlineStr">
        <is>
          <t>ELSEVIER SCI LTD</t>
        </is>
      </c>
      <c r="AN1532" t="inlineStr">
        <is>
          <t>OXFORD</t>
        </is>
      </c>
      <c r="AO1532" t="inlineStr">
        <is>
          <t>THE BOULEVARD, LANGFORD LANE, KIDLINGTON, OXFORD OX5 1GB, OXON, ENGLAND</t>
        </is>
      </c>
      <c r="AP1532" t="inlineStr">
        <is>
          <t>0959-6526</t>
        </is>
      </c>
      <c r="AQ1532" t="inlineStr">
        <is>
          <t>1879-1786</t>
        </is>
      </c>
      <c r="AS1532" t="inlineStr">
        <is>
          <t>J CLEAN PROD</t>
        </is>
      </c>
      <c r="AT1532" t="inlineStr">
        <is>
          <t>J. Clean Prod.</t>
        </is>
      </c>
      <c r="AU1532" t="inlineStr">
        <is>
          <t>MAY 20</t>
        </is>
      </c>
      <c r="AV1532" t="n">
        <v>2019</v>
      </c>
      <c r="AW1532" t="n">
        <v>220</v>
      </c>
      <c r="BC1532" t="n">
        <v>1014</v>
      </c>
      <c r="BD1532" t="n">
        <v>1023</v>
      </c>
      <c r="BF1532" t="inlineStr">
        <is>
          <t>10.1016/j.jclepro.2019.02.236</t>
        </is>
      </c>
      <c r="BG1532">
        <f>HYPERLINK("http://dx.doi.org/10.1016/j.jclepro.2019.02.236","http://dx.doi.org/10.1016/j.jclepro.2019.02.236")</f>
        <v/>
      </c>
      <c r="BJ1532" t="n">
        <v>10</v>
      </c>
      <c r="BK1532" t="inlineStr">
        <is>
          <t>Green &amp; Sustainable Science &amp; Technology; Engineering, Environmental; Environmental Sciences</t>
        </is>
      </c>
      <c r="BL1532" t="inlineStr">
        <is>
          <t>Science Citation Index Expanded (SCI-EXPANDED); Social Science Citation Index (SSCI)</t>
        </is>
      </c>
      <c r="BM1532" t="inlineStr">
        <is>
          <t>Science &amp; Technology - Other Topics; Engineering; Environmental Sciences &amp; Ecology</t>
        </is>
      </c>
      <c r="BN1532" t="inlineStr">
        <is>
          <t>HU8CH</t>
        </is>
      </c>
      <c r="BS1532" t="inlineStr">
        <is>
          <t>2023-10-26</t>
        </is>
      </c>
      <c r="BT1532" t="inlineStr">
        <is>
          <t>WOS:000465509400085</t>
        </is>
      </c>
      <c r="BU1532">
        <f>HYPERLINK("https%3A%2F%2Fwww.webofscience.com%2Fwos%2Fwoscc%2Ffull-record%2FWOS:000465509400085","View Full Record in Web of Science")</f>
        <v/>
      </c>
    </row>
    <row r="1533">
      <c r="A1533" t="inlineStr">
        <is>
          <t>J</t>
        </is>
      </c>
      <c r="B1533" t="inlineStr">
        <is>
          <t>Lee, DE; Kim, K</t>
        </is>
      </c>
      <c r="F1533" t="inlineStr">
        <is>
          <t>Lee, Dong Eun; Kim, Kirang</t>
        </is>
      </c>
      <c r="J1533" t="inlineStr">
        <is>
          <t>INTERNATIONAL JOURNAL OF ENVIRONMENTAL RESEARCH AND PUBLIC HEALTH</t>
        </is>
      </c>
      <c r="M1533" t="inlineStr">
        <is>
          <t>English</t>
        </is>
      </c>
      <c r="N1533" t="inlineStr">
        <is>
          <t>Article</t>
        </is>
      </c>
      <c r="T1533" t="inlineStr">
        <is>
          <t>Regional Difference in the Effect of Food Accessibility and Affordability on Vegetable and Fruit Acquisition and Healthy Eating Behaviors for Older Adults</t>
        </is>
      </c>
      <c r="U1533" t="inlineStr">
        <is>
          <t>food environment; vegetable; fruit; eating behavior; older adults</t>
        </is>
      </c>
      <c r="V1533" t="inlineStr">
        <is>
          <t>ENVIRONMENTS; OBESITY</t>
        </is>
      </c>
      <c r="W1533" t="inlineStr">
        <is>
          <t>The food environment has been determined to affect a range of healthy eating and health indicators, but the study on the regional difference of food environment effects on these outcomes is limited. This study aimed to examine whether food environment factors influence vegetable and fruit acquisition and healthy eating behaviors in urban and rural areas using a nationwide dataset. The study participants were community-dwelling older adults aged 65 years and older (n = 830) who participated in the 2019 Consumer Behavior Survey for Food provided by the Korea Rural Economic Institute. Food environment factors were assessed using questionnaires measuring perceived food accessibility and affordability. The negative perceptions of food environment were related to lower vegetable and fruit acquisitions and poor healthy eating behaviors. The higher risks of low vegetable and fruit acquisitions in older rural adults were related to a negative perception of food accessibility only (odds ratio [OR]: 2.34, 95% confidence interval [CI]: 1.27-4.32 for vegetable; OR: 1.96, 95% CI: 1.02-3.75 for fruit). For older urban adults, negative perceptions of both food accessibility and food affordability were related to the increased risk of low vegetable acquisition (OR: 2.03, 95% CI: 1.07-3.83 for food accessibility; OR: 2.52, 95% CI: 1.26-5.04 for food affordability). In terms of healthy eating behaviors, for those who perceived that either food accessibility or affordability was poor, older urban adults were less likely to have various and healthy food eating behaviors when they had a negative perception of affordability (OR: 0.47, 95% CI: 0.25-0.90 for variety; OR: 0.23, 95% CI: 0.11-0.46 for eating healthy foods); however, older rural adults were less likely to have the behaviors when they had a negative perception of accessibility (OR: 0.49, 95% CI: 0.21-0.97 for variety; OR: 0.28, 95% CI: 0.13-0.63 for eating healthy foods). In conclusion, the negative perceptions of food accessibility and affordability were related to low vegetable acquisition and poor healthy eating behaviors. The effects of food accessibility and affordability on vegetable and fruit acquisitions and healthy eating behaviors were different between urban and rural areas.</t>
        </is>
      </c>
      <c r="X1533" t="inlineStr">
        <is>
          <t>[Lee, Dong Eun; Kim, Kirang] Dankook Univ, Dept Food Sci &amp; Nutr, Cheonan 31116, South Korea</t>
        </is>
      </c>
      <c r="Y1533" t="inlineStr">
        <is>
          <t>Dankook University</t>
        </is>
      </c>
      <c r="Z1533" t="inlineStr">
        <is>
          <t>Kim, K (corresponding author), Dankook Univ, Dept Food Sci &amp; Nutr, Cheonan 31116, South Korea.</t>
        </is>
      </c>
      <c r="AA1533" t="inlineStr">
        <is>
          <t>kirangkim@dankook.ac.kr</t>
        </is>
      </c>
      <c r="AC1533" t="inlineStr">
        <is>
          <t>Kim, Kirang/0000-0003-3054-8758</t>
        </is>
      </c>
      <c r="AD1533" t="inlineStr">
        <is>
          <t>National Research Foundation of Korea [NRF-2019R1A2C1084372, NRF-2021R1I1A3049883]</t>
        </is>
      </c>
      <c r="AE1533" t="inlineStr">
        <is>
          <t>National Research Foundation of Korea(National Research Foundation of Korea)</t>
        </is>
      </c>
      <c r="AF1533" t="inlineStr">
        <is>
          <t>The funding for this study was provided by the National Research Foundation of Korea (NRF-2019R1A2C1084372 and NRF-2021R1I1A3049883). The National Research Foundation of Korea had no role in the design, analysis or writing of this article.</t>
        </is>
      </c>
      <c r="AH1533" t="n">
        <v>35</v>
      </c>
      <c r="AI1533" t="n">
        <v>0</v>
      </c>
      <c r="AJ1533" t="n">
        <v>0</v>
      </c>
      <c r="AK1533" t="n">
        <v>2</v>
      </c>
      <c r="AL1533" t="n">
        <v>5</v>
      </c>
      <c r="AM1533" t="inlineStr">
        <is>
          <t>MDPI</t>
        </is>
      </c>
      <c r="AN1533" t="inlineStr">
        <is>
          <t>BASEL</t>
        </is>
      </c>
      <c r="AO1533" t="inlineStr">
        <is>
          <t>ST ALBAN-ANLAGE 66, CH-4052 BASEL, SWITZERLAND</t>
        </is>
      </c>
      <c r="AQ1533" t="inlineStr">
        <is>
          <t>1660-4601</t>
        </is>
      </c>
      <c r="AS1533" t="inlineStr">
        <is>
          <t>INT J ENV RES PUB HE</t>
        </is>
      </c>
      <c r="AT1533" t="inlineStr">
        <is>
          <t>Int. J. Environ. Res. Public Health</t>
        </is>
      </c>
      <c r="AU1533" t="inlineStr">
        <is>
          <t>NOV</t>
        </is>
      </c>
      <c r="AV1533" t="n">
        <v>2022</v>
      </c>
      <c r="AW1533" t="n">
        <v>19</v>
      </c>
      <c r="AX1533" t="n">
        <v>22</v>
      </c>
      <c r="BE1533" t="n">
        <v>14973</v>
      </c>
      <c r="BF1533" t="inlineStr">
        <is>
          <t>10.3390/ijerph192214973</t>
        </is>
      </c>
      <c r="BG1533">
        <f>HYPERLINK("http://dx.doi.org/10.3390/ijerph192214973","http://dx.doi.org/10.3390/ijerph192214973")</f>
        <v/>
      </c>
      <c r="BJ1533" t="n">
        <v>13</v>
      </c>
      <c r="BK1533" t="inlineStr">
        <is>
          <t>Environmental Sciences; Public, Environmental &amp; Occupational Health</t>
        </is>
      </c>
      <c r="BL1533" t="inlineStr">
        <is>
          <t>Science Citation Index Expanded (SCI-EXPANDED); Social Science Citation Index (SSCI)</t>
        </is>
      </c>
      <c r="BM1533" t="inlineStr">
        <is>
          <t>Environmental Sciences &amp; Ecology; Public, Environmental &amp; Occupational Health</t>
        </is>
      </c>
      <c r="BN1533" t="inlineStr">
        <is>
          <t>6K1LO</t>
        </is>
      </c>
      <c r="BO1533" t="n">
        <v>36429690</v>
      </c>
      <c r="BP1533" t="inlineStr">
        <is>
          <t>Green Published, gold</t>
        </is>
      </c>
      <c r="BS1533" t="inlineStr">
        <is>
          <t>2023-10-26</t>
        </is>
      </c>
      <c r="BT1533" t="inlineStr">
        <is>
          <t>WOS:000887273100001</t>
        </is>
      </c>
      <c r="BU1533">
        <f>HYPERLINK("https%3A%2F%2Fwww.webofscience.com%2Fwos%2Fwoscc%2Ffull-record%2FWOS:000887273100001","View Full Record in Web of Science")</f>
        <v/>
      </c>
    </row>
    <row r="1534">
      <c r="A1534" t="inlineStr">
        <is>
          <t>J</t>
        </is>
      </c>
      <c r="B1534" t="inlineStr">
        <is>
          <t>Chang, CF; Yeh, YL; Chang, HY; Tsai, SH; Wang, JY</t>
        </is>
      </c>
      <c r="F1534" t="inlineStr">
        <is>
          <t>Chang, Cheng-Fen; Yeh, Yu-Lyu; Chang, Huang-Yu; Tsai, Sheng-Hua; Wang, Jiun-Yi</t>
        </is>
      </c>
      <c r="J1534" t="inlineStr">
        <is>
          <t>INTERNATIONAL JOURNAL OF ENVIRONMENTAL RESEARCH AND PUBLIC HEALTH</t>
        </is>
      </c>
      <c r="M1534" t="inlineStr">
        <is>
          <t>English</t>
        </is>
      </c>
      <c r="N1534" t="inlineStr">
        <is>
          <t>Article</t>
        </is>
      </c>
      <c r="T1534" t="inlineStr">
        <is>
          <t>Prevalence and Risk Factors of Sarcopenia among Older Adults Aged ≥65 Years Admitted to Daycare Centers of Taiwan: Using AWGS 2019 Guidelines</t>
        </is>
      </c>
      <c r="U1534" t="inlineStr">
        <is>
          <t>sarcopenia; prevalence; older adults; standing balance; daycare center</t>
        </is>
      </c>
      <c r="V1534" t="inlineStr">
        <is>
          <t>ASIAN WORKING GROUP; KOREA NATIONAL-HEALTH; SKELETAL-MUSCLE MASS; ASSOCIATION; NUTRITION; COMMUNITY; POPULATION; ACCURACY; STRENGTH; BALANCE</t>
        </is>
      </c>
      <c r="W1534" t="inlineStr">
        <is>
          <t>Sarcopenia is a geriatric syndrome which is likely to cause disability, body unbalance, and mortality and thus can lead to heavy healthcare expenditure and caregiver burden. Although some studies have addressed the prevalence of sarcopenia for older adults, there are limited studies conducted in daycare centers. The present study aimed to (i) estimate the prevalence of sarcopenia and (ii) explore associated factors of sarcopenia and standing balance among older adults admitted to daycare centers in Taiwan. The cross-sectional study collected data on demographics, health status, handgrip strength, gait speed (GS), skeletal muscle mass, Taiwan-Mini Nutritional Assessment Short-Form (TW-MNA-SF), and Short Physical Performance Battery from daycare centers in northern Taiwan. The definition of sarcopenia followed the Asian Working Group for Sarcopenia 2019 guidelines. Among 173 participants &gt;= 65 year-old, 50.9% had confirmed sarcopenia, 47.4% possible sarcopenia, and 1.7% normal. Results showed that calf circumference, TW-MNA-SF, dementia, and body mass index (BMI) were associated with sarcopenia. Moreover, BMI, GS, and sarcopenia were associated factors of standing balance. The study estimated a high prevalence of sarcopenia in daycare centers and identified some significant factors of sarcopenia and standing balance. Early nutritional and physiotherapy interventions could benefit older adults to prevent sarcopenia or unbalance.</t>
        </is>
      </c>
      <c r="X1534" t="inlineStr">
        <is>
          <t>[Chang, Cheng-Fen; Yeh, Yu-Lyu; Wang, Jiun-Yi] Asia Univ, Dept Healthcare Adm, Taichung 41354, Taiwan; [Chang, Cheng-Fen] Ching Kuo Inst Management &amp; Hlth, Dept Nursing, Keelung 203301, Taiwan; [Chang, Huang-Yu] Minist Hlth &amp; Welf, Keelung Hosp, Dept Dietet, Keelung 20148, Taiwan; [Tsai, Sheng-Hua] Minist Hlth &amp; Welf, Keelung Hosp, Dept Social Work, Keelung 20148, Taiwan; [Wang, Jiun-Yi] China Med Univ, China Med Univ Hosp, Dept Med Res, Taichung 404332, Taiwan</t>
        </is>
      </c>
      <c r="Y1534" t="inlineStr">
        <is>
          <t>Asia University Taiwan; China Medical University Taiwan; China Medical University Hospital - Taiwan</t>
        </is>
      </c>
      <c r="Z1534" t="inlineStr">
        <is>
          <t>Wang, JY (corresponding author), Asia Univ, Dept Healthcare Adm, Taichung 41354, Taiwan.;Wang, JY (corresponding author), China Med Univ, China Med Univ Hosp, Dept Med Res, Taichung 404332, Taiwan.</t>
        </is>
      </c>
      <c r="AA1534" t="inlineStr">
        <is>
          <t>cfchang222@gmail.com; yyyeh@asia.edu.tw; kln00852@kln.mohw.gov.tw; ysocialwork@gmail.com; jjwang@asia.edu.tw</t>
        </is>
      </c>
      <c r="AC1534" t="inlineStr">
        <is>
          <t>Chang, Cheng-Fen/0000-0001-8458-5365</t>
        </is>
      </c>
      <c r="AD1534" t="inlineStr">
        <is>
          <t>Keelung Hospital, Ministry of Health and Welfare of Taiwan [:110-04]; Ministry of Science and Technology of Taiwan [MOST 109-2410-H-468-008]</t>
        </is>
      </c>
      <c r="AE1534" t="inlineStr">
        <is>
          <t>Keelung Hospital, Ministry of Health and Welfare of Taiwan; Ministry of Science and Technology of Taiwan(Ministry of Science and Technology, Taiwan)</t>
        </is>
      </c>
      <c r="AF1534" t="inlineStr">
        <is>
          <t>This study was supported in part by Keelung Hospital, Ministry of Health and Welfare of Taiwan under grant number:110-04 to H.-Y.C. and the Ministry of Science and Technology of Taiwan under grant number: MOST 109-2410-H-468-008 to J.-Y.W.</t>
        </is>
      </c>
      <c r="AH1534" t="n">
        <v>54</v>
      </c>
      <c r="AI1534" t="n">
        <v>9</v>
      </c>
      <c r="AJ1534" t="n">
        <v>9</v>
      </c>
      <c r="AK1534" t="n">
        <v>4</v>
      </c>
      <c r="AL1534" t="n">
        <v>34</v>
      </c>
      <c r="AM1534" t="inlineStr">
        <is>
          <t>MDPI</t>
        </is>
      </c>
      <c r="AN1534" t="inlineStr">
        <is>
          <t>BASEL</t>
        </is>
      </c>
      <c r="AO1534" t="inlineStr">
        <is>
          <t>ST ALBAN-ANLAGE 66, CH-4052 BASEL, SWITZERLAND</t>
        </is>
      </c>
      <c r="AQ1534" t="inlineStr">
        <is>
          <t>1660-4601</t>
        </is>
      </c>
      <c r="AS1534" t="inlineStr">
        <is>
          <t>INT J ENV RES PUB HE</t>
        </is>
      </c>
      <c r="AT1534" t="inlineStr">
        <is>
          <t>Int. J. Environ. Res. Public Health</t>
        </is>
      </c>
      <c r="AU1534" t="inlineStr">
        <is>
          <t>AUG</t>
        </is>
      </c>
      <c r="AV1534" t="n">
        <v>2021</v>
      </c>
      <c r="AW1534" t="n">
        <v>18</v>
      </c>
      <c r="AX1534" t="n">
        <v>16</v>
      </c>
      <c r="BE1534" t="n">
        <v>8299</v>
      </c>
      <c r="BF1534" t="inlineStr">
        <is>
          <t>10.3390/ijerph18168299</t>
        </is>
      </c>
      <c r="BG1534">
        <f>HYPERLINK("http://dx.doi.org/10.3390/ijerph18168299","http://dx.doi.org/10.3390/ijerph18168299")</f>
        <v/>
      </c>
      <c r="BJ1534" t="n">
        <v>12</v>
      </c>
      <c r="BK1534" t="inlineStr">
        <is>
          <t>Environmental Sciences; Public, Environmental &amp; Occupational Health</t>
        </is>
      </c>
      <c r="BL1534" t="inlineStr">
        <is>
          <t>Science Citation Index Expanded (SCI-EXPANDED); Social Science Citation Index (SSCI)</t>
        </is>
      </c>
      <c r="BM1534" t="inlineStr">
        <is>
          <t>Environmental Sciences &amp; Ecology; Public, Environmental &amp; Occupational Health</t>
        </is>
      </c>
      <c r="BN1534" t="inlineStr">
        <is>
          <t>UG4DO</t>
        </is>
      </c>
      <c r="BO1534" t="n">
        <v>34444047</v>
      </c>
      <c r="BP1534" t="inlineStr">
        <is>
          <t>gold, Green Published</t>
        </is>
      </c>
      <c r="BS1534" t="inlineStr">
        <is>
          <t>2023-10-26</t>
        </is>
      </c>
      <c r="BT1534" t="inlineStr">
        <is>
          <t>WOS:000689205400001</t>
        </is>
      </c>
      <c r="BU1534">
        <f>HYPERLINK("https%3A%2F%2Fwww.webofscience.com%2Fwos%2Fwoscc%2Ffull-record%2FWOS:000689205400001","View Full Record in Web of Science")</f>
        <v/>
      </c>
    </row>
    <row r="1535">
      <c r="A1535" t="inlineStr">
        <is>
          <t>J</t>
        </is>
      </c>
      <c r="B1535" t="inlineStr">
        <is>
          <t>Malakhatka, E; Sopjani, L; Lundqvist, P</t>
        </is>
      </c>
      <c r="F1535" t="inlineStr">
        <is>
          <t>Malakhatka, Elena; Sopjani, Liridona; Lundqvist, Per</t>
        </is>
      </c>
      <c r="J1535" t="inlineStr">
        <is>
          <t>SUSTAINABILITY</t>
        </is>
      </c>
      <c r="M1535" t="inlineStr">
        <is>
          <t>English</t>
        </is>
      </c>
      <c r="N1535" t="inlineStr">
        <is>
          <t>Article</t>
        </is>
      </c>
      <c r="T1535" t="inlineStr">
        <is>
          <t>Co-Creating Service Concepts for the Built Environment Based on the End-User's Daily Activities Analysis: KTH Live-in-Lab Explorative Case Study</t>
        </is>
      </c>
      <c r="U1535" t="inlineStr">
        <is>
          <t>co-creation; service concept; living lab environment; built environment</t>
        </is>
      </c>
      <c r="W1535" t="inlineStr">
        <is>
          <t>The purpose of this study is to synthesize the widely used theories about co-creation from two main perspectives: co-creation as an innovation process and co-creation as a design process applied to the service concept design in the built environment context. The architecture, engineering, and construction (AEC) industry do not have much application of end-user-oriented service design in general, especially with intensive co-creation processes. To facilitate such a process, we are using a living lab environment as a laboratorial model of the real built environment, but with the opportunity to have access to the end-users and different types of stakeholders. Using the KTH Live-in-Lab explorative case study, we were able to discuss the concept of co-creation by distinguishing between co-creation as innovation and co-creation as a design process, facilitating the process of co-creation of service concepts for the proposed built environment including methods from both perspectives: innovation and design, and evaluating the process of service concepts co-creation for the built environment from the point of innovation, knowledge transfer, sustainability, and user experience.</t>
        </is>
      </c>
      <c r="X1535" t="inlineStr">
        <is>
          <t>[Malakhatka, Elena; Sopjani, Liridona; Lundqvist, Per] KTH Royal Inst Technol, SE-10044 Stockholm, Sweden</t>
        </is>
      </c>
      <c r="Y1535" t="inlineStr">
        <is>
          <t>Royal Institute of Technology</t>
        </is>
      </c>
      <c r="Z1535" t="inlineStr">
        <is>
          <t>Malakhatka, E (corresponding author), KTH Royal Inst Technol, SE-10044 Stockholm, Sweden.</t>
        </is>
      </c>
      <c r="AA1535" t="inlineStr">
        <is>
          <t>elenama@kth.se; liridona@kth.se; perlund@kth.se</t>
        </is>
      </c>
      <c r="AB1535" t="inlineStr">
        <is>
          <t>Sopjani, Liridona/AFT-2639-2022</t>
        </is>
      </c>
      <c r="AC1535" t="inlineStr">
        <is>
          <t>Sopjani, Liridona/0000-0002-4685-9174; Malakhatka, Elena/0000-0001-6891-8094; Lundqvist, Per/0000-0002-0744-6932</t>
        </is>
      </c>
      <c r="AD1535" t="inlineStr">
        <is>
          <t>Swedish Energy Agency ('Design for resource efficient everyday life' program)</t>
        </is>
      </c>
      <c r="AE1535" t="inlineStr">
        <is>
          <t>Swedish Energy Agency ('Design for resource efficient everyday life' program)</t>
        </is>
      </c>
      <c r="AF1535" t="inlineStr">
        <is>
          <t>This research was funded by Swedish Energy Agency ('Design for resource efficient everyday life' program).</t>
        </is>
      </c>
      <c r="AH1535" t="n">
        <v>105</v>
      </c>
      <c r="AI1535" t="n">
        <v>5</v>
      </c>
      <c r="AJ1535" t="n">
        <v>5</v>
      </c>
      <c r="AK1535" t="n">
        <v>0</v>
      </c>
      <c r="AL1535" t="n">
        <v>10</v>
      </c>
      <c r="AM1535" t="inlineStr">
        <is>
          <t>MDPI</t>
        </is>
      </c>
      <c r="AN1535" t="inlineStr">
        <is>
          <t>BASEL</t>
        </is>
      </c>
      <c r="AO1535" t="inlineStr">
        <is>
          <t>ST ALBAN-ANLAGE 66, CH-4052 BASEL, SWITZERLAND</t>
        </is>
      </c>
      <c r="AQ1535" t="inlineStr">
        <is>
          <t>2071-1050</t>
        </is>
      </c>
      <c r="AS1535" t="inlineStr">
        <is>
          <t>SUSTAINABILITY-BASEL</t>
        </is>
      </c>
      <c r="AT1535" t="inlineStr">
        <is>
          <t>Sustainability</t>
        </is>
      </c>
      <c r="AU1535" t="inlineStr">
        <is>
          <t>FEB</t>
        </is>
      </c>
      <c r="AV1535" t="n">
        <v>2021</v>
      </c>
      <c r="AW1535" t="n">
        <v>13</v>
      </c>
      <c r="AX1535" t="n">
        <v>4</v>
      </c>
      <c r="BE1535" t="n">
        <v>1942</v>
      </c>
      <c r="BF1535" t="inlineStr">
        <is>
          <t>10.3390/su13041942</t>
        </is>
      </c>
      <c r="BG1535">
        <f>HYPERLINK("http://dx.doi.org/10.3390/su13041942","http://dx.doi.org/10.3390/su13041942")</f>
        <v/>
      </c>
      <c r="BJ1535" t="n">
        <v>21</v>
      </c>
      <c r="BK1535" t="inlineStr">
        <is>
          <t>Green &amp; Sustainable Science &amp; Technology; Environmental Sciences; Environmental Studies</t>
        </is>
      </c>
      <c r="BL1535" t="inlineStr">
        <is>
          <t>Science Citation Index Expanded (SCI-EXPANDED); Social Science Citation Index (SSCI)</t>
        </is>
      </c>
      <c r="BM1535" t="inlineStr">
        <is>
          <t>Science &amp; Technology - Other Topics; Environmental Sciences &amp; Ecology</t>
        </is>
      </c>
      <c r="BN1535" t="inlineStr">
        <is>
          <t>QQ9LN</t>
        </is>
      </c>
      <c r="BP1535" t="inlineStr">
        <is>
          <t>gold, Green Published</t>
        </is>
      </c>
      <c r="BS1535" t="inlineStr">
        <is>
          <t>2023-10-26</t>
        </is>
      </c>
      <c r="BT1535" t="inlineStr">
        <is>
          <t>WOS:000624838800001</t>
        </is>
      </c>
      <c r="BU1535">
        <f>HYPERLINK("https%3A%2F%2Fwww.webofscience.com%2Fwos%2Fwoscc%2Ffull-record%2FWOS:000624838800001","View Full Record in Web of Science")</f>
        <v/>
      </c>
    </row>
    <row r="1536">
      <c r="A1536" t="inlineStr">
        <is>
          <t>J</t>
        </is>
      </c>
      <c r="B1536" t="inlineStr">
        <is>
          <t>Stinson, B; Laguerre, A; Gall, ET</t>
        </is>
      </c>
      <c r="F1536" t="inlineStr">
        <is>
          <t>Stinson, Brett; Laguerre, Aurelie; Gall, Elliott T.</t>
        </is>
      </c>
      <c r="J1536" t="inlineStr">
        <is>
          <t>ENVIRONMENTAL SCIENCE &amp; TECHNOLOGY</t>
        </is>
      </c>
      <c r="M1536" t="inlineStr">
        <is>
          <t>English</t>
        </is>
      </c>
      <c r="N1536" t="inlineStr">
        <is>
          <t>Article</t>
        </is>
      </c>
      <c r="T1536" t="inlineStr">
        <is>
          <t>Per-Person and Whole-Building VOC Emission Factors in an Occupied School with Gas-Phase Air Cleaning</t>
        </is>
      </c>
      <c r="U1536" t="inlineStr">
        <is>
          <t>PTR-MS; activated carbon; indoor source strength; indoor VOCs; urban air quality</t>
        </is>
      </c>
      <c r="V1536" t="inlineStr">
        <is>
          <t>VOLATILE ORGANIC-COMPOUNDS; INDOOR ENVIRONMENTS; CARBON-DIOXIDE; EXPOSURE; QUALITY; FILTRATION; HEALTH; IMPACT; ETHYLBENZENE; POLLUTANTS</t>
        </is>
      </c>
      <c r="W1536" t="inlineStr">
        <is>
          <t>Using real-time measurements of CO 2 and volatile organic compounds (VOCs) in the air handler of an occupied middle school, we quantified source strengths for 249 VOCs and apportioned the source to the building, occupants and their activities, outdoor air, or recirculation air. For VOCs quantified in this study, there is a source to the outdoors of 8.6 +/- 1.8 g/h in building exhaust air, of which 5.9 +/- 1.7 g/h can be attributed to indoor sources (the building and occupants and their activities). The corresponding whole-building area emission factor from indoor sources is 1020 +/- 300 mu g/(m(2) h), including reactive VOCs like isoprene and monoterpenes (33 +/- 5.1 and 29 +/- 5.7 mu g/(m(2) h), respectively). Per-person emission factors are calculated for compounds associated with occupants and their activities, e.g., monoterpenes are emitted at a rate of 280 +/- 80 mu g/(person h). The air handler included carbon scrubbing, reducing supply air concentrations of 125 compounds by 38 +/- 19% (mean +/- std. dev.) with a net removal of 2.4 +/- 0.4 g/h of organic compounds from the building. This carbon scrubber reduces steady-state indoor concentrations of organics by 65 mu g/m(3) and the contribution of indoor sources of VOCs to the outdoor environment by similar to 40%. These data inform the design and operation of buildings to reduce human exposure to VOCs inside buildings. These data indicate the potential for gas-phase air cleaning to improve both indoor air quality and reduce VOC emissions from buildings to the outdoor environment.</t>
        </is>
      </c>
      <c r="X1536" t="inlineStr">
        <is>
          <t>[Stinson, Brett; Laguerre, Aurelie; Gall, Elliott T.] Portland State Univ, Dept Mech &amp; Mat Engn, Portland, OR 97201 USA</t>
        </is>
      </c>
      <c r="Y1536" t="inlineStr">
        <is>
          <t>Portland State University</t>
        </is>
      </c>
      <c r="Z1536" t="inlineStr">
        <is>
          <t>Gall, ET (corresponding author), Portland State Univ, Dept Mech &amp; Mat Engn, Portland, OR 97201 USA.</t>
        </is>
      </c>
      <c r="AA1536" t="inlineStr">
        <is>
          <t>gall@pdx.edu</t>
        </is>
      </c>
      <c r="AC1536" t="inlineStr">
        <is>
          <t>Laguerre, Aurelie/0000-0002-8167-3586; Gall, Elliott/0000-0003-1351-0547</t>
        </is>
      </c>
      <c r="AD1536" t="inlineStr">
        <is>
          <t>Portland Public School district [65793]; National Science Foundation [1356679]; Portland State University's McNair Scholars Program [P217A170270]; Direct For Education and Human Resources; Division Of Undergraduate Education [1356679] Funding Source: National Science Foundation</t>
        </is>
      </c>
      <c r="AE1536" t="inlineStr">
        <is>
          <t>Portland Public School district; National Science Foundation(National Science Foundation (NSF)); Portland State University's McNair Scholars Program; Direct For Education and Human Resources; Division Of Undergraduate Education(National Science Foundation (NSF)NSF - Directorate for STEM Education (EDU))</t>
        </is>
      </c>
      <c r="AF1536" t="inlineStr">
        <is>
          <t>The authors thank the Portland Public School district for funding the monitoring campaign at Harriet Tubman Middle School under IGA#65793. This material is based upon work supported by the National Science Foundation under Grant no. 1356679. The authors thank Portland State University's McNair Scholars Program, Grant number P217A170270, for their support.</t>
        </is>
      </c>
      <c r="AH1536" t="n">
        <v>68</v>
      </c>
      <c r="AI1536" t="n">
        <v>2</v>
      </c>
      <c r="AJ1536" t="n">
        <v>2</v>
      </c>
      <c r="AK1536" t="n">
        <v>6</v>
      </c>
      <c r="AL1536" t="n">
        <v>40</v>
      </c>
      <c r="AM1536" t="inlineStr">
        <is>
          <t>AMER CHEMICAL SOC</t>
        </is>
      </c>
      <c r="AN1536" t="inlineStr">
        <is>
          <t>WASHINGTON</t>
        </is>
      </c>
      <c r="AO1536" t="inlineStr">
        <is>
          <t>1155 16TH ST, NW, WASHINGTON, DC 20036 USA</t>
        </is>
      </c>
      <c r="AP1536" t="inlineStr">
        <is>
          <t>0013-936X</t>
        </is>
      </c>
      <c r="AQ1536" t="inlineStr">
        <is>
          <t>1520-5851</t>
        </is>
      </c>
      <c r="AS1536" t="inlineStr">
        <is>
          <t>ENVIRON SCI TECHNOL</t>
        </is>
      </c>
      <c r="AT1536" t="inlineStr">
        <is>
          <t>Environ. Sci. Technol.</t>
        </is>
      </c>
      <c r="AU1536" t="inlineStr">
        <is>
          <t>MAR 15</t>
        </is>
      </c>
      <c r="AV1536" t="n">
        <v>2022</v>
      </c>
      <c r="AW1536" t="n">
        <v>56</v>
      </c>
      <c r="AX1536" t="n">
        <v>6</v>
      </c>
      <c r="BC1536" t="n">
        <v>3354</v>
      </c>
      <c r="BD1536" t="n">
        <v>3364</v>
      </c>
      <c r="BF1536" t="inlineStr">
        <is>
          <t>10.1021/acs.est.1c06767</t>
        </is>
      </c>
      <c r="BG1536">
        <f>HYPERLINK("http://dx.doi.org/10.1021/acs.est.1c06767","http://dx.doi.org/10.1021/acs.est.1c06767")</f>
        <v/>
      </c>
      <c r="BJ1536" t="n">
        <v>11</v>
      </c>
      <c r="BK1536" t="inlineStr">
        <is>
          <t>Engineering, Environmental; Environmental Sciences</t>
        </is>
      </c>
      <c r="BL1536" t="inlineStr">
        <is>
          <t>Science Citation Index Expanded (SCI-EXPANDED)</t>
        </is>
      </c>
      <c r="BM1536" t="inlineStr">
        <is>
          <t>Engineering; Environmental Sciences &amp; Ecology</t>
        </is>
      </c>
      <c r="BN1536" t="inlineStr">
        <is>
          <t>0D7YU</t>
        </is>
      </c>
      <c r="BO1536" t="n">
        <v>35130699</v>
      </c>
      <c r="BP1536" t="inlineStr">
        <is>
          <t>Green Submitted</t>
        </is>
      </c>
      <c r="BS1536" t="inlineStr">
        <is>
          <t>2023-10-26</t>
        </is>
      </c>
      <c r="BT1536" t="inlineStr">
        <is>
          <t>WOS:000776207100006</t>
        </is>
      </c>
      <c r="BU1536">
        <f>HYPERLINK("https%3A%2F%2Fwww.webofscience.com%2Fwos%2Fwoscc%2Ffull-record%2FWOS:000776207100006","View Full Record in Web of Science")</f>
        <v/>
      </c>
    </row>
    <row r="1537">
      <c r="A1537" t="inlineStr">
        <is>
          <t>J</t>
        </is>
      </c>
      <c r="B1537" t="inlineStr">
        <is>
          <t>Nicolino, A; Ligato, MR; Ferraro, M; Procopio, S</t>
        </is>
      </c>
      <c r="F1537" t="inlineStr">
        <is>
          <t>Nicolino, Antonella; Ligato, Mattia Rocco; Ferraro, Mario; Procopio, Salvatore</t>
        </is>
      </c>
      <c r="J1537" t="inlineStr">
        <is>
          <t>ENVIRONMENTAL SCIENCE AND POLLUTION RESEARCH</t>
        </is>
      </c>
      <c r="M1537" t="inlineStr">
        <is>
          <t>English</t>
        </is>
      </c>
      <c r="N1537" t="inlineStr">
        <is>
          <t>Article</t>
        </is>
      </c>
      <c r="T1537" t="inlineStr">
        <is>
          <t>TENORM employed as inert material for house building: a model for evaluating the radon activity enhancement</t>
        </is>
      </c>
      <c r="U1537" t="inlineStr">
        <is>
          <t>Radon activity; NORM and TENORM; Phosphorites; Indoor exposure; Crotone; Building materials</t>
        </is>
      </c>
      <c r="V1537" t="inlineStr">
        <is>
          <t>NATURAL RADIOACTIVITY; EXHALATION RATE; EMANATION; GROUNDWATER; NORM</t>
        </is>
      </c>
      <c r="W1537" t="inlineStr">
        <is>
          <t>Radon exhalation from soil and ores is among the most dangerous risks for the public health care. The impact becomes even more powerful when technological enhanced naturally occurring radioactive materials (TENORM) are used for public and private building. Here, we built a down-scaled model (a 1.0 m x 1.0 m x 0.5 m parallelepiped) of a dwelling, whose construction materials contain TENORM harvested in a site in Crotone (Italy). We observed an increase of the radon activity in the model when TENORM residues are employed, reaching a value around 120 Bq/m(3), i.e. up to three times higher than the typical values of Crotone indoor environment, which ranges around 40 Bq/m(3). These results have then been compared to a real use case. The correspondence found between the values of radon activity concentration in the model and in the use case suggests that estimating the radon concentration is a useful method to target TENORM presence inside buildings.</t>
        </is>
      </c>
      <c r="X1537" t="inlineStr">
        <is>
          <t>[Nicolino, Antonella; Ligato, Mattia Rocco; Procopio, Salvatore] ARPACAL, Ettore Majorana Phys Lab, Dept Catanzaro, Via Lungomare, I-88100 Catanzaro, Italy; [Ligato, Mattia Rocco] Univ Messina, Dept ChiBioFarAm, Vle F Stagno dAlcontres 31, I-98166 Messina, Italy; [Ferraro, Mario] Sapienza Univ Rome, Dept Informat Engn Elect &amp; Telecommun DIET, Via Eudossiana 18, I-00184 Rome, Italy</t>
        </is>
      </c>
      <c r="Y1537" t="inlineStr">
        <is>
          <t>University of Messina; Sapienza University Rome</t>
        </is>
      </c>
      <c r="Z1537" t="inlineStr">
        <is>
          <t>Procopio, S (corresponding author), ARPACAL, Ettore Majorana Phys Lab, Dept Catanzaro, Via Lungomare, I-88100 Catanzaro, Italy.;Ferraro, M (corresponding author), Sapienza Univ Rome, Dept Informat Engn Elect &amp; Telecommun DIET, Via Eudossiana 18, I-00184 Rome, Italy.</t>
        </is>
      </c>
      <c r="AA1537" t="inlineStr">
        <is>
          <t>mario.ferraro@uniroma1.it; s.procopio@arpacal.it</t>
        </is>
      </c>
      <c r="AB1537" t="inlineStr">
        <is>
          <t>Ferraro, Mario/GOK-2614-2022</t>
        </is>
      </c>
      <c r="AC1537" t="inlineStr">
        <is>
          <t>Ferraro, Mario/0000-0002-6014-2890</t>
        </is>
      </c>
      <c r="AH1537" t="n">
        <v>30</v>
      </c>
      <c r="AI1537" t="n">
        <v>1</v>
      </c>
      <c r="AJ1537" t="n">
        <v>1</v>
      </c>
      <c r="AK1537" t="n">
        <v>0</v>
      </c>
      <c r="AL1537" t="n">
        <v>0</v>
      </c>
      <c r="AM1537" t="inlineStr">
        <is>
          <t>SPRINGER HEIDELBERG</t>
        </is>
      </c>
      <c r="AN1537" t="inlineStr">
        <is>
          <t>HEIDELBERG</t>
        </is>
      </c>
      <c r="AO1537" t="inlineStr">
        <is>
          <t>TIERGARTENSTRASSE 17, D-69121 HEIDELBERG, GERMANY</t>
        </is>
      </c>
      <c r="AP1537" t="inlineStr">
        <is>
          <t>0944-1344</t>
        </is>
      </c>
      <c r="AQ1537" t="inlineStr">
        <is>
          <t>1614-7499</t>
        </is>
      </c>
      <c r="AS1537" t="inlineStr">
        <is>
          <t>ENVIRON SCI POLLUT R</t>
        </is>
      </c>
      <c r="AT1537" t="inlineStr">
        <is>
          <t>Environ. Sci. Pollut. Res.</t>
        </is>
      </c>
      <c r="AU1537" t="inlineStr">
        <is>
          <t>APR</t>
        </is>
      </c>
      <c r="AV1537" t="n">
        <v>2022</v>
      </c>
      <c r="AW1537" t="n">
        <v>29</v>
      </c>
      <c r="AX1537" t="n">
        <v>17</v>
      </c>
      <c r="BC1537" t="n">
        <v>25020</v>
      </c>
      <c r="BD1537" t="n">
        <v>25028</v>
      </c>
      <c r="BF1537" t="inlineStr">
        <is>
          <t>10.1007/s11356-021-17174-2</t>
        </is>
      </c>
      <c r="BG1537">
        <f>HYPERLINK("http://dx.doi.org/10.1007/s11356-021-17174-2","http://dx.doi.org/10.1007/s11356-021-17174-2")</f>
        <v/>
      </c>
      <c r="BI1537" t="inlineStr">
        <is>
          <t>NOV 2021</t>
        </is>
      </c>
      <c r="BJ1537" t="n">
        <v>9</v>
      </c>
      <c r="BK1537" t="inlineStr">
        <is>
          <t>Environmental Sciences</t>
        </is>
      </c>
      <c r="BL1537" t="inlineStr">
        <is>
          <t>Science Citation Index Expanded (SCI-EXPANDED)</t>
        </is>
      </c>
      <c r="BM1537" t="inlineStr">
        <is>
          <t>Environmental Sciences &amp; Ecology</t>
        </is>
      </c>
      <c r="BN1537" t="inlineStr">
        <is>
          <t>0I5OX</t>
        </is>
      </c>
      <c r="BO1537" t="n">
        <v>34837613</v>
      </c>
      <c r="BS1537" t="inlineStr">
        <is>
          <t>2023-10-26</t>
        </is>
      </c>
      <c r="BT1537" t="inlineStr">
        <is>
          <t>WOS:000722980000014</t>
        </is>
      </c>
      <c r="BU1537">
        <f>HYPERLINK("https%3A%2F%2Fwww.webofscience.com%2Fwos%2Fwoscc%2Ffull-record%2FWOS:000722980000014","View Full Record in Web of Science")</f>
        <v/>
      </c>
    </row>
    <row r="1538">
      <c r="A1538" t="inlineStr">
        <is>
          <t>J</t>
        </is>
      </c>
      <c r="B1538" t="inlineStr">
        <is>
          <t>Nascimento, MD; Gouveia, ER; Gouveia, BR; Marques, A; Campos, P; García-Mayor, J; Przednowek, K; Ihle, A</t>
        </is>
      </c>
      <c r="F1538" t="inlineStr">
        <is>
          <t>Nascimento, Marcelo de Maio; Gouveia, Elvio Rubio; Gouveia, Bruna R.; Marques, Adilson; Campos, Pedro; Garcia-Mayor, Jesus; Przednowek, Krzysztof; Ihle, Andreas</t>
        </is>
      </c>
      <c r="J1538" t="inlineStr">
        <is>
          <t>INTERNATIONAL JOURNAL OF ENVIRONMENTAL RESEARCH AND PUBLIC HEALTH</t>
        </is>
      </c>
      <c r="M1538" t="inlineStr">
        <is>
          <t>English</t>
        </is>
      </c>
      <c r="N1538" t="inlineStr">
        <is>
          <t>Article</t>
        </is>
      </c>
      <c r="T1538" t="inlineStr">
        <is>
          <t>The Mediating Role of Physical Activity and Physical Function in the Association between Body Mass Index and Health-Related Quality of Life: A Population-Based Study with Older Adults</t>
        </is>
      </c>
      <c r="U1538" t="inlineStr">
        <is>
          <t>obesity; body mass index; quality of life; physical activity; physical function; aging; vulnerability</t>
        </is>
      </c>
      <c r="V1538" t="inlineStr">
        <is>
          <t>OBESITY; DISABILITY; IMPACT; EXERCISE; DISEASE; FITNESS; BMI</t>
        </is>
      </c>
      <c r="W1538" t="inlineStr">
        <is>
          <t>This study aimed (1) to investigate the association between body mass index (BMI), physical activity (PA), and physical function (PF) with health-related quality of life (HRQoL), and (2) to examine in-depth whether PA and PF mediate the relationship between BMI and HRQoL in older adults. We investigated 802 individuals (mean age 69.8 +/- 5.6 years), residents of the Autonomous Region of Madeira, Portugal. Harmol and PA were assessed using the SF-36 and Baecke questionnaires, respectively, and PF by the Senior Fitness Test. The prevalence of overweight was 71.3%, 26.5% for normal weight, and 2.1% for underweight. We verified a small correlation between age and sex with BMI, PA, PF, and medium borderline with HRQoL. After adjusting for covariates (i.e., sex, age, comorbidities), the multivariate regression analysis indicated a 93.1% chance of improvement in HRQoL for low BMI, while PA and PF revealed a chance of increasing HRQoL by 91.8% and 60.0%, respectively. According to the serial mediation pathway, PA and PF partially mediated the association between BMI and HRQoL by 32.3% and 81.5%, respectively. The total variance of the model was 90%. It was concluded that BMI can negatively affect HRQoL. On the other hand, PA and PF are able to increase HRQoL levels during the aging process.</t>
        </is>
      </c>
      <c r="X1538" t="inlineStr">
        <is>
          <t>[Nascimento, Marcelo de Maio] Fed Univ Vale Sao Francisco, Dept Phys Educ, BR-56304917 Petrolina, Pe, Brazil; [Gouveia, Elvio Rubio] Univ Madeira, Dept Phys Educ &amp; Sport, P-9020105 Funchal, Portugal; [Gouveia, Elvio Rubio; Gouveia, Bruna R.] Interact Technol Inst, LARSYS Lab Robot &amp; Engn Syst, P-9020105 Funchal, Portugal; [Gouveia, Elvio Rubio; Gouveia, Bruna R.; Ihle, Andreas] Univ Geneva, Ctr Interdisciplinary Study Gerontol &amp; Vulnerabil, CH-1205 Geneva, Switzerland; [Gouveia, Bruna R.] Secretary Hlth Autonomous Region Madeira, Reg Directorate Hlth, P-9004515 Funchal, Portugal; [Gouveia, Bruna R.] St Joseph Cluny Higher Sch Nursing, P-9050535 Funchal, Portugal; [Marques, Adilson] Univ Lisbon, Fac Human Kinet, Interdisciplinary Ctr Study Human Performance, CIPER, P-1499002 Cruz Quebrada, Portugal; [Marques, Adilson] Univ Lisbon, Environm Hlth Inst ISAMB, P-1649020 Lisbon, Portugal; [Campos, Pedro] Univ Madeira, Dept Informat Engn &amp; Interact Media Design, P-9000072 Funchal, Portugal; [Garcia-Mayor, Jesus] Univ Murcia, Publ Hlth &amp; Epidemiol Res Grp, San Javier Campus, San Javier 30720, Spain; [Przednowek, Krzysztof] Univ Rzeszow, Inst Phys Culture Sci, Coll Med, PL-35959 Rzeszow, Poland; [Ihle, Andreas] Univ Geneva, Dept Psychol, CH-1205 Geneva, Switzerland; [Przednowek, Krzysztof] Swiss Natl Ctr Competence Res LIVES Overcoming Vu, CH-1015 Lausanne, Switzerland</t>
        </is>
      </c>
      <c r="Y1538" t="inlineStr">
        <is>
          <t>Universidade da Madeira; University of Geneva; Universidade de Lisboa; Universidade de Lisboa; Universidade da Madeira; University of Murcia; University of Rzeszow; University of Geneva</t>
        </is>
      </c>
      <c r="Z1538" t="inlineStr">
        <is>
          <t>Nascimento, MD (corresponding author), Fed Univ Vale Sao Francisco, Dept Phys Educ, BR-56304917 Petrolina, Pe, Brazil.</t>
        </is>
      </c>
      <c r="AA1538" t="inlineStr">
        <is>
          <t>marcelo.nascimento@univasf.edu.br</t>
        </is>
      </c>
      <c r="AB1538" t="inlineStr">
        <is>
          <t>Gouveia, Bruna R./B-3793-2016; Marques, Adilson/K-4529-2014; Gouveia, Elvio/F-9156-2015</t>
        </is>
      </c>
      <c r="AC1538" t="inlineStr">
        <is>
          <t>Gouveia, Bruna R./0000-0001-7706-190X; Marques, Adilson/0000-0001-9850-7771; Gouveia, Elvio/0000-0003-0927-692X; Campos, Pedro/0000-0001-7706-5038; de Maio Nascimento, Marcelo/0000-0002-3577-3439; Garcia-Mayor, Jesus/0000-0002-7212-1974; Ihle, Andreas/0000-0001-9845-5190; Przednowek, Krzysztof/0000-0002-2128-4116</t>
        </is>
      </c>
      <c r="AD1538" t="inlineStr">
        <is>
          <t>Swiss National Centre of Competence in Research LIVES-Overcoming vulnerability: life course perspectives - Swiss National Science Foundation [51NF40-185901]; Swiss National Science Foundation [10001C_189407]; LARSyS-Portuguese national funding agency for science, research and technology (FCT) pluriannual funding 2020-2023 [UIDB/50009/2020]</t>
        </is>
      </c>
      <c r="AE1538" t="inlineStr">
        <is>
          <t>Swiss National Centre of Competence in Research LIVES-Overcoming vulnerability: life course perspectives - Swiss National Science Foundation; Swiss National Science Foundation(Swiss National Science Foundation (SNSF)); LARSyS-Portuguese national funding agency for science, research and technology (FCT) pluriannual funding 2020-2023</t>
        </is>
      </c>
      <c r="AF1538" t="inlineStr">
        <is>
          <t>We acknowledge support from the Swiss National Centre of Competence in Research LIVES-Overcoming vulnerability: life course perspectives, which is funded by the Swiss National Science Foundation (grant number: 51NF40-185901). Moreover, AI acknowledges support from the Swiss National Science Foundation (grant number: 10001C_189407). E.R.G., P.C. and B.R.G. acknowledge support from LARSyS-Portuguese national funding agency for science, research and technology (FCT) pluriannual funding 2020-2023 (Reference: UIDB/50009/2020).</t>
        </is>
      </c>
      <c r="AH1538" t="n">
        <v>80</v>
      </c>
      <c r="AI1538" t="n">
        <v>2</v>
      </c>
      <c r="AJ1538" t="n">
        <v>2</v>
      </c>
      <c r="AK1538" t="n">
        <v>3</v>
      </c>
      <c r="AL1538" t="n">
        <v>6</v>
      </c>
      <c r="AM1538" t="inlineStr">
        <is>
          <t>MDPI</t>
        </is>
      </c>
      <c r="AN1538" t="inlineStr">
        <is>
          <t>BASEL</t>
        </is>
      </c>
      <c r="AO1538" t="inlineStr">
        <is>
          <t>ST ALBAN-ANLAGE 66, CH-4052 BASEL, SWITZERLAND</t>
        </is>
      </c>
      <c r="AQ1538" t="inlineStr">
        <is>
          <t>1660-4601</t>
        </is>
      </c>
      <c r="AS1538" t="inlineStr">
        <is>
          <t>INT J ENV RES PUB HE</t>
        </is>
      </c>
      <c r="AT1538" t="inlineStr">
        <is>
          <t>Int. J. Environ. Res. Public Health</t>
        </is>
      </c>
      <c r="AU1538" t="inlineStr">
        <is>
          <t>NOV</t>
        </is>
      </c>
      <c r="AV1538" t="n">
        <v>2022</v>
      </c>
      <c r="AW1538" t="n">
        <v>19</v>
      </c>
      <c r="AX1538" t="n">
        <v>21</v>
      </c>
      <c r="BE1538" t="n">
        <v>13718</v>
      </c>
      <c r="BF1538" t="inlineStr">
        <is>
          <t>10.3390/ijerph192113718</t>
        </is>
      </c>
      <c r="BG1538">
        <f>HYPERLINK("http://dx.doi.org/10.3390/ijerph192113718","http://dx.doi.org/10.3390/ijerph192113718")</f>
        <v/>
      </c>
      <c r="BJ1538" t="n">
        <v>14</v>
      </c>
      <c r="BK1538" t="inlineStr">
        <is>
          <t>Environmental Sciences; Public, Environmental &amp; Occupational Health</t>
        </is>
      </c>
      <c r="BL1538" t="inlineStr">
        <is>
          <t>Science Citation Index Expanded (SCI-EXPANDED); Social Science Citation Index (SSCI)</t>
        </is>
      </c>
      <c r="BM1538" t="inlineStr">
        <is>
          <t>Environmental Sciences &amp; Ecology; Public, Environmental &amp; Occupational Health</t>
        </is>
      </c>
      <c r="BN1538" t="inlineStr">
        <is>
          <t>6C7MZ</t>
        </is>
      </c>
      <c r="BO1538" t="n">
        <v>36360598</v>
      </c>
      <c r="BP1538" t="inlineStr">
        <is>
          <t>gold, Green Published</t>
        </is>
      </c>
      <c r="BS1538" t="inlineStr">
        <is>
          <t>2023-10-26</t>
        </is>
      </c>
      <c r="BT1538" t="inlineStr">
        <is>
          <t>WOS:000882194700001</t>
        </is>
      </c>
      <c r="BU1538">
        <f>HYPERLINK("https%3A%2F%2Fwww.webofscience.com%2Fwos%2Fwoscc%2Ffull-record%2FWOS:000882194700001","View Full Record in Web of Science")</f>
        <v/>
      </c>
    </row>
    <row r="1539">
      <c r="A1539" t="inlineStr">
        <is>
          <t>J</t>
        </is>
      </c>
      <c r="B1539" t="inlineStr">
        <is>
          <t>Soares, I; Weitkamp, G; Yamu, C</t>
        </is>
      </c>
      <c r="F1539" t="inlineStr">
        <is>
          <t>Soares, Isabelle; Weitkamp, Gerd; Yamu, Claudia</t>
        </is>
      </c>
      <c r="J1539" t="inlineStr">
        <is>
          <t>INTERNATIONAL JOURNAL OF ENVIRONMENTAL RESEARCH AND PUBLIC HEALTH</t>
        </is>
      </c>
      <c r="M1539" t="inlineStr">
        <is>
          <t>English</t>
        </is>
      </c>
      <c r="N1539" t="inlineStr">
        <is>
          <t>Article</t>
        </is>
      </c>
      <c r="T1539" t="inlineStr">
        <is>
          <t>Public Spaces as Knowledgescapes: Understanding the Relationship between the Built Environment and Creative Encounters at Dutch University Campuses and Science Parks</t>
        </is>
      </c>
      <c r="U1539" t="inlineStr">
        <is>
          <t>volunteered geographic information (VGI); public participatory geographic information system (PPGIS); spatial affordances for creativity; university campus; science park; public space; urban design</t>
        </is>
      </c>
      <c r="V1539" t="inlineStr">
        <is>
          <t>GEOGRAPHIC INFORMATION-SYSTEMS; PARTICIPATION GIS PPGIS; INNOVATION; AFFORDANCES; PLACE</t>
        </is>
      </c>
      <c r="W1539" t="inlineStr">
        <is>
          <t>The success of university campuses depends on the interrelations between creative encounters and the built environment, conceptualised here as spatial affordances for creativity. Such an interface plays a fundamental role in interactions for knowledge sharing and the exchange of ideas on campus. Due to campus public spaces generally being considered as the leftovers between buildings and classrooms, undermanaged, and overlooked, little is known about the extent to which this built environment enables or inhibits creative encounters in such spaces. The inner-city campuses and science parks (SPs) of Amsterdam and Utrecht, the case-studies of this research, differ in terms of their location relative to the city, their masterplan typologies and the arrangement of buildings. However, they are similar in terms of the aforementioned issues of public spaces. The novelty of this research is the attempt to overcome such issues using an innovative mixed-methods approach that tests the 'spatial affordances for creativity' with empirical data collection and analysis. This raises the importance of mapping, quantifying and analysing the spatial distribution of momentary perceptions, experiences, and feelings of people with methods such as volunteered geographic information (VGI). The results show that proximity between multiple urban functions and physical features, such as parks, cafes and urban seating are important when it comes to explaining the high frequency of creative encounters between people. Urban designers of campuses can use the applied method as a tool to plan and design attractive public spaces that provide creativity through the transfer of tacit knowledge, social well-being, positive momentary perceptions, sense of community, and a sense of place.</t>
        </is>
      </c>
      <c r="X1539" t="inlineStr">
        <is>
          <t>[Soares, Isabelle; Yamu, Claudia] Univ Groningen, Fac Spatial Sci, Dept Spatial Planning &amp; Environm, NL-9747 AJ Groningen, Netherlands; [Weitkamp, Gerd] Univ Groningen, Fac Spatial Sci, Dept Cultural Geog, NL-9747 AJ Groningen, Netherlands</t>
        </is>
      </c>
      <c r="Y1539" t="inlineStr">
        <is>
          <t>University of Groningen; University of Groningen</t>
        </is>
      </c>
      <c r="Z1539" t="inlineStr">
        <is>
          <t>Soares, I (corresponding author), Univ Groningen, Fac Spatial Sci, Dept Spatial Planning &amp; Environm, NL-9747 AJ Groningen, Netherlands.</t>
        </is>
      </c>
      <c r="AA1539" t="inlineStr">
        <is>
          <t>i.c.soares@rug.nl; s.g.weitkamp@rug.nl; claudia.yamu@rug.nl</t>
        </is>
      </c>
      <c r="AC1539" t="inlineStr">
        <is>
          <t>van der Laag Yamu, Claudia/0000-0002-2847-4975; Weitkamp, Gerd/0000-0002-7367-8467</t>
        </is>
      </c>
      <c r="AH1539" t="n">
        <v>113</v>
      </c>
      <c r="AI1539" t="n">
        <v>9</v>
      </c>
      <c r="AJ1539" t="n">
        <v>9</v>
      </c>
      <c r="AK1539" t="n">
        <v>9</v>
      </c>
      <c r="AL1539" t="n">
        <v>55</v>
      </c>
      <c r="AM1539" t="inlineStr">
        <is>
          <t>MDPI</t>
        </is>
      </c>
      <c r="AN1539" t="inlineStr">
        <is>
          <t>BASEL</t>
        </is>
      </c>
      <c r="AO1539" t="inlineStr">
        <is>
          <t>ST ALBAN-ANLAGE 66, CH-4052 BASEL, SWITZERLAND</t>
        </is>
      </c>
      <c r="AQ1539" t="inlineStr">
        <is>
          <t>1660-4601</t>
        </is>
      </c>
      <c r="AS1539" t="inlineStr">
        <is>
          <t>INT J ENV RES PUB HE</t>
        </is>
      </c>
      <c r="AT1539" t="inlineStr">
        <is>
          <t>Int. J. Environ. Res. Public Health</t>
        </is>
      </c>
      <c r="AU1539" t="inlineStr">
        <is>
          <t>OCT</t>
        </is>
      </c>
      <c r="AV1539" t="n">
        <v>2020</v>
      </c>
      <c r="AW1539" t="n">
        <v>17</v>
      </c>
      <c r="AX1539" t="n">
        <v>20</v>
      </c>
      <c r="BE1539" t="n">
        <v>7421</v>
      </c>
      <c r="BF1539" t="inlineStr">
        <is>
          <t>10.3390/ijerph17207421</t>
        </is>
      </c>
      <c r="BG1539">
        <f>HYPERLINK("http://dx.doi.org/10.3390/ijerph17207421","http://dx.doi.org/10.3390/ijerph17207421")</f>
        <v/>
      </c>
      <c r="BJ1539" t="n">
        <v>30</v>
      </c>
      <c r="BK1539" t="inlineStr">
        <is>
          <t>Environmental Sciences; Public, Environmental &amp; Occupational Health</t>
        </is>
      </c>
      <c r="BL1539" t="inlineStr">
        <is>
          <t>Science Citation Index Expanded (SCI-EXPANDED); Social Science Citation Index (SSCI)</t>
        </is>
      </c>
      <c r="BM1539" t="inlineStr">
        <is>
          <t>Environmental Sciences &amp; Ecology; Public, Environmental &amp; Occupational Health</t>
        </is>
      </c>
      <c r="BN1539" t="inlineStr">
        <is>
          <t>OL9YM</t>
        </is>
      </c>
      <c r="BO1539" t="n">
        <v>33053799</v>
      </c>
      <c r="BP1539" t="inlineStr">
        <is>
          <t>gold, Green Submitted, Green Published</t>
        </is>
      </c>
      <c r="BS1539" t="inlineStr">
        <is>
          <t>2023-10-26</t>
        </is>
      </c>
      <c r="BT1539" t="inlineStr">
        <is>
          <t>WOS:000585685600001</t>
        </is>
      </c>
      <c r="BU1539">
        <f>HYPERLINK("https%3A%2F%2Fwww.webofscience.com%2Fwos%2Fwoscc%2Ffull-record%2FWOS:000585685600001","View Full Record in Web of Science")</f>
        <v/>
      </c>
    </row>
    <row r="1540">
      <c r="A1540" t="inlineStr">
        <is>
          <t>J</t>
        </is>
      </c>
      <c r="B1540" t="inlineStr">
        <is>
          <t>Kim, B; Choi, J; Lee, I</t>
        </is>
      </c>
      <c r="F1540" t="inlineStr">
        <is>
          <t>Kim, Boram; Choi, Jiyeon; Lee, Ilhak</t>
        </is>
      </c>
      <c r="J1540" t="inlineStr">
        <is>
          <t>INTERNATIONAL JOURNAL OF ENVIRONMENTAL RESEARCH AND PUBLIC HEALTH</t>
        </is>
      </c>
      <c r="M1540" t="inlineStr">
        <is>
          <t>English</t>
        </is>
      </c>
      <c r="N1540" t="inlineStr">
        <is>
          <t>Article</t>
        </is>
      </c>
      <c r="T1540" t="inlineStr">
        <is>
          <t>Factors Associated with Advance Directives Documentation: A Nationwide Cross-Sectional Survey of Older Adults in Korea</t>
        </is>
      </c>
      <c r="U1540" t="inlineStr">
        <is>
          <t>advance directives; advance care planning; life-sustaining treatment; end-of-life care; older adults; Korean</t>
        </is>
      </c>
      <c r="V1540" t="inlineStr">
        <is>
          <t>OF-LIFE CARE; COMPLETION; ATTITUDES; WILLINGNESS; EXPERIENCE; PREDICTORS; AWARENESS</t>
        </is>
      </c>
      <c r="W1540" t="inlineStr">
        <is>
          <t>Advance directives (ADs) can support autonomy in making healthcare decisions and minimize unnecessary discomfort during the treatment process at the end of life (EOL). This study aimed to investigate the factors that influence AD documentation among community-dwelling older adults. We used data from the National Survey of Older Koreans which was conducted nationwide in 2020. Data from participants aged 65 years or older were extracted using stratified multistage cluster sampling and the survey was conducted through one-on-one interviews. A total of 9920 older adults were included in this study: 421 respondents (4.7%) claimed that they had prepared for AD. Multivariable logistic regression analysis showed that being 75 years or older, having higher educational attainment, higher income, having any chronic disease(s), being screened for dementia in the past, being against futile life-sustaining treatment, taking a lecture on death and being registered for organ donation were positively associated with AD. Furthermore, when health was rated as average, it was associated with reduced odds of AD documentation compared when health was rated as good. These results suggest that more targeted efforts are required to promote EOL discussions among older adults.</t>
        </is>
      </c>
      <c r="X1540" t="inlineStr">
        <is>
          <t>[Kim, Boram] Minist Hlth &amp; Welf, Bur Hlth Policy, Div Hlth Policy, Sejong Si 30113, South Korea; [Choi, Jiyeon; Lee, Ilhak] Yonsei Univ, Coll Med, Dept Med Humanities &amp; Social Sci, Div Med Law &amp; Eth, Seoul 03722, South Korea; [Lee, Ilhak] Yonsei Univ, Coll Med, Asian Inst Bioeth &amp; Hlth Law, Seoul 03722, South Korea</t>
        </is>
      </c>
      <c r="Y1540" t="inlineStr">
        <is>
          <t>Yonsei University; Yonsei University Health System; Yonsei University; Yonsei University Health System</t>
        </is>
      </c>
      <c r="Z1540" t="inlineStr">
        <is>
          <t>Lee, I (corresponding author), Yonsei Univ, Coll Med, Dept Med Humanities &amp; Social Sci, Div Med Law &amp; Eth, Seoul 03722, South Korea.;Lee, I (corresponding author), Yonsei Univ, Coll Med, Asian Inst Bioeth &amp; Hlth Law, Seoul 03722, South Korea.</t>
        </is>
      </c>
      <c r="AA1540" t="inlineStr">
        <is>
          <t>boramkim822@gmail.com; jeons19@yuhs.ac; arete2@yuhs.ac</t>
        </is>
      </c>
      <c r="AC1540" t="inlineStr">
        <is>
          <t>Lee, Ilhak/0000-0002-6531-8752; Kim, Boram/0000-0002-0325-9435; jiyeon, Choi/0000-0003-0544-9598</t>
        </is>
      </c>
      <c r="AH1540" t="n">
        <v>56</v>
      </c>
      <c r="AI1540" t="n">
        <v>0</v>
      </c>
      <c r="AJ1540" t="n">
        <v>0</v>
      </c>
      <c r="AK1540" t="n">
        <v>0</v>
      </c>
      <c r="AL1540" t="n">
        <v>2</v>
      </c>
      <c r="AM1540" t="inlineStr">
        <is>
          <t>MDPI</t>
        </is>
      </c>
      <c r="AN1540" t="inlineStr">
        <is>
          <t>BASEL</t>
        </is>
      </c>
      <c r="AO1540" t="inlineStr">
        <is>
          <t>ST ALBAN-ANLAGE 66, CH-4052 BASEL, SWITZERLAND</t>
        </is>
      </c>
      <c r="AQ1540" t="inlineStr">
        <is>
          <t>1660-4601</t>
        </is>
      </c>
      <c r="AS1540" t="inlineStr">
        <is>
          <t>INT J ENV RES PUB HE</t>
        </is>
      </c>
      <c r="AT1540" t="inlineStr">
        <is>
          <t>Int. J. Environ. Res. Public Health</t>
        </is>
      </c>
      <c r="AU1540" t="inlineStr">
        <is>
          <t>APR</t>
        </is>
      </c>
      <c r="AV1540" t="n">
        <v>2022</v>
      </c>
      <c r="AW1540" t="n">
        <v>19</v>
      </c>
      <c r="AX1540" t="n">
        <v>7</v>
      </c>
      <c r="BE1540" t="n">
        <v>3771</v>
      </c>
      <c r="BF1540" t="inlineStr">
        <is>
          <t>10.3390/ijerph19073771</t>
        </is>
      </c>
      <c r="BG1540">
        <f>HYPERLINK("http://dx.doi.org/10.3390/ijerph19073771","http://dx.doi.org/10.3390/ijerph19073771")</f>
        <v/>
      </c>
      <c r="BJ1540" t="n">
        <v>13</v>
      </c>
      <c r="BK1540" t="inlineStr">
        <is>
          <t>Environmental Sciences; Public, Environmental &amp; Occupational Health</t>
        </is>
      </c>
      <c r="BL1540" t="inlineStr">
        <is>
          <t>Science Citation Index Expanded (SCI-EXPANDED); Social Science Citation Index (SSCI)</t>
        </is>
      </c>
      <c r="BM1540" t="inlineStr">
        <is>
          <t>Environmental Sciences &amp; Ecology; Public, Environmental &amp; Occupational Health</t>
        </is>
      </c>
      <c r="BN1540" t="inlineStr">
        <is>
          <t>0M0BR</t>
        </is>
      </c>
      <c r="BO1540" t="n">
        <v>35409452</v>
      </c>
      <c r="BP1540" t="inlineStr">
        <is>
          <t>gold, Green Published</t>
        </is>
      </c>
      <c r="BS1540" t="inlineStr">
        <is>
          <t>2023-10-26</t>
        </is>
      </c>
      <c r="BT1540" t="inlineStr">
        <is>
          <t>WOS:000781829900001</t>
        </is>
      </c>
      <c r="BU1540">
        <f>HYPERLINK("https%3A%2F%2Fwww.webofscience.com%2Fwos%2Fwoscc%2Ffull-record%2FWOS:000781829900001","View Full Record in Web of Science")</f>
        <v/>
      </c>
    </row>
    <row r="1541">
      <c r="A1541" t="inlineStr">
        <is>
          <t>J</t>
        </is>
      </c>
      <c r="B1541" t="inlineStr">
        <is>
          <t>Luijkx, K; Peek, S; Wouters, E</t>
        </is>
      </c>
      <c r="F1541" t="inlineStr">
        <is>
          <t>Luijkx, Katrien; Peek, Sebastiaan; Wouters, Eveline</t>
        </is>
      </c>
      <c r="J1541" t="inlineStr">
        <is>
          <t>INTERNATIONAL JOURNAL OF ENVIRONMENTAL RESEARCH AND PUBLIC HEALTH</t>
        </is>
      </c>
      <c r="M1541" t="inlineStr">
        <is>
          <t>English</t>
        </is>
      </c>
      <c r="N1541" t="inlineStr">
        <is>
          <t>Article</t>
        </is>
      </c>
      <c r="T1541" t="inlineStr">
        <is>
          <t>Grandma, You Should Do It-It's Cool Older Adults and the Role of Family Members in Their Acceptance of Technology</t>
        </is>
      </c>
      <c r="U1541" t="inlineStr">
        <is>
          <t>technology acceptance; technology adoption; family; social network; perspective of older adults</t>
        </is>
      </c>
      <c r="V1541" t="inlineStr">
        <is>
          <t>ELDERLY PEOPLES PERSPECTIVES; INFORMATION-TECHNOLOGY; USER ACCEPTANCE; SELF-EFFICACY; HEALTH; EXPERIENCES; BEHAVIOR; MATTERS; NONUSE</t>
        </is>
      </c>
      <c r="W1541" t="inlineStr">
        <is>
          <t>Despite its potential, the acceptance of technology to support the ability to live independently in one's own home, also called aging in place, is not optimal. Family members may play a key role in technology acceptance by older adults; however, it is not well understood why and how they exert influence. Based on open interviews with 53 community-dwelling older adults, this paper describes the influence of family members, including spouses, on the use of various types of consumer electronics by older adults as was reported by themselves. Such a broad focus enables understanding the use of technology as was reported by older adults, instead of its intended use. Our study reveals that the influence of each family member has its own characteristics. The influence of technology acceptance is a natural and coincidental part of the interaction with spouses and grandchildren in which entertainment and pleasure are prominent. This is also partly true for the influence of children, but their influence also is intentional and driven by concerns. Our study indicates the importance of including all family members when implementing technology in the lives of older adults. Besides information for children about the use(fullness) of devices, it is worthwhile to give grandchildren an important role, because older adults easily adopt their enthusiasm and it might eventually lighten the burden on children.</t>
        </is>
      </c>
      <c r="X1541" t="inlineStr">
        <is>
          <t>[Luijkx, Katrien] Tilburg Univ, Sch Social &amp; Behav Sci, Dept Tranzo, NL-5000 LE Tilburg, Netherlands; [Peek, Sebastiaan; Wouters, Eveline] Fontys Univ Appl Sci, Inst Allied Hlth Profess, Chair Hlth Innovat &amp; Technol, NL-5631 BN Eindhoven, Netherlands; [Peek, Sebastiaan] Tilburg Univ, Sch Social &amp; Behav Sci, Dept Tranzo, NL-5631 BN Eindhoven, Netherlands</t>
        </is>
      </c>
      <c r="Y1541" t="inlineStr">
        <is>
          <t>Tilburg University; Tilburg University</t>
        </is>
      </c>
      <c r="Z1541" t="inlineStr">
        <is>
          <t>Peek, S (corresponding author), Fontys Univ Appl Sci, Inst Allied Hlth Profess, Chair Hlth Innovat &amp; Technol, Dominee Theodor Fliednerstr 2, NL-5631 BN Eindhoven, Netherlands.</t>
        </is>
      </c>
      <c r="AA1541" t="inlineStr">
        <is>
          <t>k.g.luijkx@tilburguniversity.edu; s.peek@fontys.nl; e.wouters@fontys.nl</t>
        </is>
      </c>
      <c r="AB1541" t="inlineStr">
        <is>
          <t>Wouters, Eveline/IWV-2232-2023</t>
        </is>
      </c>
      <c r="AC1541" t="inlineStr">
        <is>
          <t>Peek, Sebastiaan Theodorus Michael/0000-0003-0105-4230</t>
        </is>
      </c>
      <c r="AD1541" t="inlineStr">
        <is>
          <t>Regional Attention and Action for Knowledge Circulation (RAAK) scheme [PRO-3-37]; Dutch Ministry of Education, Culture and Science (OCW)</t>
        </is>
      </c>
      <c r="AE1541" t="inlineStr">
        <is>
          <t>Regional Attention and Action for Knowledge Circulation (RAAK) scheme; Dutch Ministry of Education, Culture and Science (OCW)</t>
        </is>
      </c>
      <c r="AF1541" t="inlineStr">
        <is>
          <t>This work was supported by the Regional Attention and Action for Knowledge Circulation (RAAK) scheme (PRO-3-37), which is managed by the Foundation Innovation Alliance (SIA, Stichting Innovatie Alliantie), with funding from the Dutch Ministry of Education, Culture and Science (OCW). SIA-RAAK had no role in the design of the study; the collection, analysis, and interpretation of data; the writing of the report; or the decision to submit the paper for publication. We would like to thank the participants for welcoming us to their homes. We greatly appreciate Peter Soethoudt (Domovisie), Eveline van der Linden (De LEVgroep), Ronnie Dekkers (Savant), and Els de Veer (De Zorgboog) for their help in recruiting participants. We owe a debt of gratitude to Stephan Roijers (Simpact) and Rienk Overdiep (Fontys University of Applied Sciences) for their role in managing the project. We would like to thank Maurice Rijnaard, Marianne Nieboer, Claire van der Voort, Joost van Hoof, Sil Aarts, and Stephan Roijers for their help with interviewing and observing the respondents, and their help with the coding of the interviews. Additionally, we appreciate Bert Vrijhoef for his contribution to the project.</t>
        </is>
      </c>
      <c r="AH1541" t="n">
        <v>51</v>
      </c>
      <c r="AI1541" t="n">
        <v>72</v>
      </c>
      <c r="AJ1541" t="n">
        <v>74</v>
      </c>
      <c r="AK1541" t="n">
        <v>4</v>
      </c>
      <c r="AL1541" t="n">
        <v>60</v>
      </c>
      <c r="AM1541" t="inlineStr">
        <is>
          <t>MDPI</t>
        </is>
      </c>
      <c r="AN1541" t="inlineStr">
        <is>
          <t>BASEL</t>
        </is>
      </c>
      <c r="AO1541" t="inlineStr">
        <is>
          <t>ST ALBAN-ANLAGE 66, CH-4052 BASEL, SWITZERLAND</t>
        </is>
      </c>
      <c r="AQ1541" t="inlineStr">
        <is>
          <t>1660-4601</t>
        </is>
      </c>
      <c r="AS1541" t="inlineStr">
        <is>
          <t>INT J ENV RES PUB HE</t>
        </is>
      </c>
      <c r="AT1541" t="inlineStr">
        <is>
          <t>Int. J. Environ. Res. Public Health</t>
        </is>
      </c>
      <c r="AU1541" t="inlineStr">
        <is>
          <t>DEC</t>
        </is>
      </c>
      <c r="AV1541" t="n">
        <v>2015</v>
      </c>
      <c r="AW1541" t="n">
        <v>12</v>
      </c>
      <c r="AX1541" t="n">
        <v>12</v>
      </c>
      <c r="BC1541" t="n">
        <v>15470</v>
      </c>
      <c r="BD1541" t="n">
        <v>15485</v>
      </c>
      <c r="BF1541" t="inlineStr">
        <is>
          <t>10.3390/ijerph121214999</t>
        </is>
      </c>
      <c r="BG1541">
        <f>HYPERLINK("http://dx.doi.org/10.3390/ijerph121214999","http://dx.doi.org/10.3390/ijerph121214999")</f>
        <v/>
      </c>
      <c r="BJ1541" t="n">
        <v>16</v>
      </c>
      <c r="BK1541" t="inlineStr">
        <is>
          <t>Environmental Sciences; Public, Environmental &amp; Occupational Health</t>
        </is>
      </c>
      <c r="BL1541" t="inlineStr">
        <is>
          <t>Science Citation Index Expanded (SCI-EXPANDED); Social Science Citation Index (SSCI)</t>
        </is>
      </c>
      <c r="BM1541" t="inlineStr">
        <is>
          <t>Environmental Sciences &amp; Ecology; Public, Environmental &amp; Occupational Health</t>
        </is>
      </c>
      <c r="BN1541" t="inlineStr">
        <is>
          <t>DA1EL</t>
        </is>
      </c>
      <c r="BO1541" t="n">
        <v>26690188</v>
      </c>
      <c r="BP1541" t="inlineStr">
        <is>
          <t>Green Submitted, Green Published, gold</t>
        </is>
      </c>
      <c r="BS1541" t="inlineStr">
        <is>
          <t>2023-10-26</t>
        </is>
      </c>
      <c r="BT1541" t="inlineStr">
        <is>
          <t>WOS:000367539000040</t>
        </is>
      </c>
      <c r="BU1541">
        <f>HYPERLINK("https%3A%2F%2Fwww.webofscience.com%2Fwos%2Fwoscc%2Ffull-record%2FWOS:000367539000040","View Full Record in Web of Science")</f>
        <v/>
      </c>
    </row>
    <row r="1542">
      <c r="A1542" t="inlineStr">
        <is>
          <t>J</t>
        </is>
      </c>
      <c r="B1542" t="inlineStr">
        <is>
          <t>Tien, PW; Mohammadi, M; Calautit, JK</t>
        </is>
      </c>
      <c r="F1542" t="inlineStr">
        <is>
          <t>Tien, Paige W.; Mohammadi, Murtaza; Calautit, John K.</t>
        </is>
      </c>
      <c r="J1542" t="inlineStr">
        <is>
          <t>JOURNAL OF SUSTAINABLE DEVELOPMENT OF ENERGY WATER AND ENVIRONMENT SYSTEMS-JSDEWES</t>
        </is>
      </c>
      <c r="M1542" t="inlineStr">
        <is>
          <t>English</t>
        </is>
      </c>
      <c r="N1542" t="inlineStr">
        <is>
          <t>Article</t>
        </is>
      </c>
      <c r="T1542" t="inlineStr">
        <is>
          <t>Providing Comfortable Environment in Skygardens Within High-Rise Buildings: Analysis of the Impact of Vegetation on Wind and Thermal Comfort</t>
        </is>
      </c>
      <c r="U1542" t="inlineStr">
        <is>
          <t>Skygardens; Skycourts; High-rise buildings; Vegetation; Computational fluid dynamics; Thermal comfort</t>
        </is>
      </c>
      <c r="V1542" t="inlineStr">
        <is>
          <t>OUTDOOR PLATFORMS; COMPACT CITY; CFD ANALYSIS; SKY GARDENS; URBAN; MODEL; TREE; SIMULATION; STRATEGIES; TUNNEL</t>
        </is>
      </c>
      <c r="W1542" t="inlineStr">
        <is>
          <t>Skygardens are increasingly being seen as design interventions for improving the social, economic and environmental values of a building. Additionally, the integration of vegetation within the building space can have health benefits for occupants, occupants' satisfaction while improving the air quality. However, the aerodynamic response of skygarden vegetation must be understood in detail to assist designers in the selection and arrangement of species for creating a conducive environment for occupants. The current study analyses nine different vegetation configurations within a high-rise skygarden to determine the aero-thermal performance. Computational fluid dynamics simulations were carried out using the standard k-epsilon method, where the vegetation was modelled as a porous zone with cooling capacity. The results indicate that vegetation can attenuate high wind speeds within comfort levels at occupants' height, as well as reduce temperatures by over 1 degrees C in the wake of the vegetation. Whereas the performance improves with higher number of trees, but when considering limited vegetation space, the relative performance of a single-row configuration is better than a double row of trees along the skygarden edge.</t>
        </is>
      </c>
      <c r="X1542" t="inlineStr">
        <is>
          <t>[Tien, Paige W.; Mohammadi, Murtaza; Calautit, John K.] Univ Nottingham, Dept Architecture &amp; Built Environm, Univ Pk, Nottingham NG7 2RD, England</t>
        </is>
      </c>
      <c r="Y1542" t="inlineStr">
        <is>
          <t>University of Nottingham</t>
        </is>
      </c>
      <c r="Z1542" t="inlineStr">
        <is>
          <t>Tien, PW (corresponding author), Univ Nottingham, Dept Architecture &amp; Built Environm, Univ Pk, Nottingham NG7 2RD, England.</t>
        </is>
      </c>
      <c r="AA1542" t="inlineStr">
        <is>
          <t>paige.tien@gmail.com; murtaza.mohammadi1@nottingham.ac.uk; john.calautit1@nottingham.ac.uk</t>
        </is>
      </c>
      <c r="AB1542" t="inlineStr">
        <is>
          <t>Calautit, John Kaiser/M-6994-2019</t>
        </is>
      </c>
      <c r="AD1542" t="inlineStr">
        <is>
          <t>Faculty of Engineering from EPSRC [2100822 (EP/R513283/1)]</t>
        </is>
      </c>
      <c r="AE1542" t="inlineStr">
        <is>
          <t>Faculty of Engineering from EPSRC(UK Research &amp; Innovation (UKRI)Engineering &amp; Physical Sciences Research Council (EPSRC))</t>
        </is>
      </c>
      <c r="AF1542" t="inlineStr">
        <is>
          <t>The authors would like to thank the support of The University of Nottingham Department of Architecture and Built Environment for providing the facility for carrying out the modelling and simulations. The authors would also like to thank the Faculty of Engineering for the scholarship and the PhD studentship from EPSRC, Project References: 2100822 (EP/R513283/1).</t>
        </is>
      </c>
      <c r="AH1542" t="n">
        <v>54</v>
      </c>
      <c r="AI1542" t="n">
        <v>3</v>
      </c>
      <c r="AJ1542" t="n">
        <v>3</v>
      </c>
      <c r="AK1542" t="n">
        <v>3</v>
      </c>
      <c r="AL1542" t="n">
        <v>17</v>
      </c>
      <c r="AM1542" t="inlineStr">
        <is>
          <t>INT CENTRE SUSTAINABLE DEV ENERGY WATER &amp; ENV SYSTEMS-SDEWES</t>
        </is>
      </c>
      <c r="AN1542" t="inlineStr">
        <is>
          <t>ZAGREB</t>
        </is>
      </c>
      <c r="AO1542" t="inlineStr">
        <is>
          <t>IVANA LUCICA 5, ZAGREB, 10000, CROATIA</t>
        </is>
      </c>
      <c r="AP1542" t="inlineStr">
        <is>
          <t>1848-9257</t>
        </is>
      </c>
      <c r="AS1542" t="inlineStr">
        <is>
          <t>J SUSTAIN DEV ENERGY</t>
        </is>
      </c>
      <c r="AT1542" t="inlineStr">
        <is>
          <t>J. Sustain. Dev. Energy Water Environ. Syst.-JSDEWES</t>
        </is>
      </c>
      <c r="AU1542" t="inlineStr">
        <is>
          <t>JUN</t>
        </is>
      </c>
      <c r="AV1542" t="n">
        <v>2021</v>
      </c>
      <c r="AW1542" t="n">
        <v>9</v>
      </c>
      <c r="AX1542" t="n">
        <v>2</v>
      </c>
      <c r="BE1542" t="n">
        <v>1080353</v>
      </c>
      <c r="BF1542" t="inlineStr">
        <is>
          <t>10.13044/j.sdewes.d8.0353</t>
        </is>
      </c>
      <c r="BG1542">
        <f>HYPERLINK("http://dx.doi.org/10.13044/j.sdewes.d8.0353","http://dx.doi.org/10.13044/j.sdewes.d8.0353")</f>
        <v/>
      </c>
      <c r="BJ1542" t="n">
        <v>28</v>
      </c>
      <c r="BK1542" t="inlineStr">
        <is>
          <t>Environmental Sciences</t>
        </is>
      </c>
      <c r="BL1542" t="inlineStr">
        <is>
          <t>Emerging Sources Citation Index (ESCI)</t>
        </is>
      </c>
      <c r="BM1542" t="inlineStr">
        <is>
          <t>Environmental Sciences &amp; Ecology</t>
        </is>
      </c>
      <c r="BN1542" t="inlineStr">
        <is>
          <t>RF9OX</t>
        </is>
      </c>
      <c r="BP1542" t="inlineStr">
        <is>
          <t>gold, Green Published</t>
        </is>
      </c>
      <c r="BS1542" t="inlineStr">
        <is>
          <t>2023-10-26</t>
        </is>
      </c>
      <c r="BT1542" t="inlineStr">
        <is>
          <t>WOS:000635168300007</t>
        </is>
      </c>
      <c r="BU1542">
        <f>HYPERLINK("https%3A%2F%2Fwww.webofscience.com%2Fwos%2Fwoscc%2Ffull-record%2FWOS:000635168300007","View Full Record in Web of Science")</f>
        <v/>
      </c>
    </row>
    <row r="1543">
      <c r="A1543" t="inlineStr">
        <is>
          <t>J</t>
        </is>
      </c>
      <c r="B1543" t="inlineStr">
        <is>
          <t>Waugh, DW; He, Z; Zaitchik, B; Peng, RD; Diette, GB; Hansel, NN; Matsui, EC; Breysse, PN; Breysse, DH; Koehler, K; Williams, D; McCormack, MC</t>
        </is>
      </c>
      <c r="F1543" t="inlineStr">
        <is>
          <t>Waugh, D. W.; He, Z.; Zaitchik, B.; Peng, R. D.; Diette, G. B.; Hansel, N. N.; Matsui, E. C.; Breysse, P. N.; Breysse, D. H.; Koehler, K.; Williams, D.; McCormack, M. C.</t>
        </is>
      </c>
      <c r="J1543" t="inlineStr">
        <is>
          <t>INTERNATIONAL JOURNAL OF BIOMETEOROLOGY</t>
        </is>
      </c>
      <c r="M1543" t="inlineStr">
        <is>
          <t>English</t>
        </is>
      </c>
      <c r="N1543" t="inlineStr">
        <is>
          <t>Article</t>
        </is>
      </c>
      <c r="T1543" t="inlineStr">
        <is>
          <t>Indoor heat exposure in Baltimore: does outdoor temperature matter?</t>
        </is>
      </c>
      <c r="U1543" t="inlineStr">
        <is>
          <t>Indoor temperature; Outdoor temperature; Housing; Air conditioning; Heat exposure</t>
        </is>
      </c>
      <c r="V1543" t="inlineStr">
        <is>
          <t>RELATIVE-HUMIDITY; MORTALITY; AIR; VULNERABILITY; CLIMATE; DEATH; WAVE</t>
        </is>
      </c>
      <c r="W1543" t="inlineStr">
        <is>
          <t>Heat exposure of a population is often estimated by applying temperatures from outdoor monitoring stations. However, this can lead to exposure misclassification if residents do not live close to the monitoring station and temperature varies over small spatial scales due to land use/built environment variability, or if residents generally spend more time indoors than outdoors. Here, we compare summertime temperatures measured inside 145 homes in low-income households in Baltimore city with temperatures from the National Weather Service weather station in Baltimore. There is a large variation in indoor temperatures, with daily-mean indoor temperatures varying from 10 degrees C lower to 10 degrees C higher than outdoor temperatures. Furthermore, there is only a weak association between the indoor and outdoor temperatures across all houses, indicating that the outdoor temperature is not a good predictor of the indoor temperature for the residences sampled. It is shown that much of the variation is due to differences in the availability of air conditioning (AC). Houses with central AC are generally cooler than outdoors (median difference of - 3.4 degrees C) while those with no AC are generally warmer (median difference of 1.4 degrees C). For the collection of houses with central or room AC, there is essentially no relationship between indoor and outdoor temperatures, but for the subset of houses with no AC, there is a weak relationship (correlation coefficient of 0.36). The results presented here suggest future epidemiological studies of indoor exposure to heat would benefit from information on the availability of AC within the population.</t>
        </is>
      </c>
      <c r="X1543" t="inlineStr">
        <is>
          <t>[Waugh, D. W.; He, Z.; Zaitchik, B.] Johns Hopkins Univ, Dept Earth &amp; Planetary Sci, Sch Arts &amp; Sci, Baltimore, MD 21218 USA; [Peng, R. D.] Johns Hopkins Univ, Sch Publ Hlth, Dept Biostat, Baltimore, MD USA; [Diette, G. B.; Hansel, N. N.; Matsui, E. C.; McCormack, M. C.] Johns Hopkins Univ, Sch Med, Dept Med, Baltimore, MD USA; [Breysse, P. N.; Breysse, D. H.; Koehler, K.; Williams, D.; McCormack, M. C.] Johns Hopkins Univ, Sch Publ Hlth, Dept Environm Hlth Sci, Baltimore, MD USA</t>
        </is>
      </c>
      <c r="Y1543" t="inlineStr">
        <is>
          <t>Johns Hopkins University; Johns Hopkins University; Johns Hopkins University; Johns Hopkins University</t>
        </is>
      </c>
      <c r="Z1543" t="inlineStr">
        <is>
          <t>Waugh, DW (corresponding author), Johns Hopkins Univ, Dept Earth &amp; Planetary Sci, Sch Arts &amp; Sci, Baltimore, MD 21218 USA.</t>
        </is>
      </c>
      <c r="AA1543" t="inlineStr">
        <is>
          <t>waugh@jhu.edu</t>
        </is>
      </c>
      <c r="AB1543" t="inlineStr">
        <is>
          <t>; Waugh, Darryn/K-3688-2016</t>
        </is>
      </c>
      <c r="AC1543" t="inlineStr">
        <is>
          <t>Koehl, Rachelle/0000-0002-7797-7456; Pham, Hewlett/0000-0003-0330-6104; Matsui MD, MHS, Elizabeth C./0000-0002-1699-9811; Waugh, Darryn/0000-0001-7692-2798; Matsui, Elizabeth/0000-0001-8134-5593; Zaitchik, Benjamin/0000-0002-0698-0658</t>
        </is>
      </c>
      <c r="AD1543" t="inlineStr">
        <is>
          <t>JHU Environment, Energy, Sustainability and Health Institute; NIEHS [R21ES024021, P01ES018176]; EPA [P50ES015903, 83451001]</t>
        </is>
      </c>
      <c r="AE1543" t="inlineStr">
        <is>
          <t>JHU Environment, Energy, Sustainability and Health Institute; NIEHS(United States Department of Health &amp; Human ServicesNational Institutes of Health (NIH) - USANIH National Institute of Environmental Health Sciences (NIEHS)); EPA(United States Environmental Protection Agency)</t>
        </is>
      </c>
      <c r="AF1543" t="inlineStr">
        <is>
          <t>This work was supported by funding from a JHU Environment, Energy, Sustainability and Health Institute seed grant, NIEHS grants R21ES024021 and P01ES018176, NIEHS and EPA grant P50ES015903, and EPA grant 83451001.</t>
        </is>
      </c>
      <c r="AH1543" t="n">
        <v>28</v>
      </c>
      <c r="AI1543" t="n">
        <v>4</v>
      </c>
      <c r="AJ1543" t="n">
        <v>4</v>
      </c>
      <c r="AK1543" t="n">
        <v>2</v>
      </c>
      <c r="AL1543" t="n">
        <v>14</v>
      </c>
      <c r="AM1543" t="inlineStr">
        <is>
          <t>SPRINGER</t>
        </is>
      </c>
      <c r="AN1543" t="inlineStr">
        <is>
          <t>NEW YORK</t>
        </is>
      </c>
      <c r="AO1543" t="inlineStr">
        <is>
          <t>ONE NEW YORK PLAZA, SUITE 4600, NEW YORK, NY, UNITED STATES</t>
        </is>
      </c>
      <c r="AP1543" t="inlineStr">
        <is>
          <t>0020-7128</t>
        </is>
      </c>
      <c r="AQ1543" t="inlineStr">
        <is>
          <t>1432-1254</t>
        </is>
      </c>
      <c r="AS1543" t="inlineStr">
        <is>
          <t>INT J BIOMETEOROL</t>
        </is>
      </c>
      <c r="AT1543" t="inlineStr">
        <is>
          <t>Int. J. Biometeorol.</t>
        </is>
      </c>
      <c r="AU1543" t="inlineStr">
        <is>
          <t>APR</t>
        </is>
      </c>
      <c r="AV1543" t="n">
        <v>2021</v>
      </c>
      <c r="AW1543" t="n">
        <v>65</v>
      </c>
      <c r="AX1543" t="n">
        <v>4</v>
      </c>
      <c r="BC1543" t="n">
        <v>479</v>
      </c>
      <c r="BD1543" t="n">
        <v>488</v>
      </c>
      <c r="BF1543" t="inlineStr">
        <is>
          <t>10.1007/s00484-020-02036-2</t>
        </is>
      </c>
      <c r="BG1543">
        <f>HYPERLINK("http://dx.doi.org/10.1007/s00484-020-02036-2","http://dx.doi.org/10.1007/s00484-020-02036-2")</f>
        <v/>
      </c>
      <c r="BI1543" t="inlineStr">
        <is>
          <t>OCT 2020</t>
        </is>
      </c>
      <c r="BJ1543" t="n">
        <v>10</v>
      </c>
      <c r="BK1543" t="inlineStr">
        <is>
          <t>Biophysics; Environmental Sciences; Meteorology &amp; Atmospheric Sciences; Physiology</t>
        </is>
      </c>
      <c r="BL1543" t="inlineStr">
        <is>
          <t>Science Citation Index Expanded (SCI-EXPANDED)</t>
        </is>
      </c>
      <c r="BM1543" t="inlineStr">
        <is>
          <t>Biophysics; Environmental Sciences &amp; Ecology; Meteorology &amp; Atmospheric Sciences; Physiology</t>
        </is>
      </c>
      <c r="BN1543" t="inlineStr">
        <is>
          <t>RA6BX</t>
        </is>
      </c>
      <c r="BO1543" t="n">
        <v>33089367</v>
      </c>
      <c r="BS1543" t="inlineStr">
        <is>
          <t>2023-10-26</t>
        </is>
      </c>
      <c r="BT1543" t="inlineStr">
        <is>
          <t>WOS:000580953500001</t>
        </is>
      </c>
      <c r="BU1543">
        <f>HYPERLINK("https%3A%2F%2Fwww.webofscience.com%2Fwos%2Fwoscc%2Ffull-record%2FWOS:000580953500001","View Full Record in Web of Science")</f>
        <v/>
      </c>
    </row>
    <row r="1544">
      <c r="A1544" t="inlineStr">
        <is>
          <t>J</t>
        </is>
      </c>
      <c r="B1544" t="inlineStr">
        <is>
          <t>Makido, Y; Hellman, D; Shandas, V</t>
        </is>
      </c>
      <c r="F1544" t="inlineStr">
        <is>
          <t>Makido, Yasuyo; Hellman, Dana; Shandas, Vivek</t>
        </is>
      </c>
      <c r="J1544" t="inlineStr">
        <is>
          <t>ATMOSPHERE</t>
        </is>
      </c>
      <c r="M1544" t="inlineStr">
        <is>
          <t>English</t>
        </is>
      </c>
      <c r="N1544" t="inlineStr">
        <is>
          <t>Article</t>
        </is>
      </c>
      <c r="T1544" t="inlineStr">
        <is>
          <t>Nature-Based Designs to Mitigate Urban Heat: The Efficacy of Green Infrastructure Treatments in Portland, Oregon</t>
        </is>
      </c>
      <c r="U1544" t="inlineStr">
        <is>
          <t>urban heat; resilience; built environment; green infrastructure; nature-based solutions</t>
        </is>
      </c>
      <c r="V1544" t="inlineStr">
        <is>
          <t>LAND-SURFACE TEMPERATURE; BUILT ENVIRONMENT; WAVE IMPACTS; ISLAND; WEATHER; ASSOCIATION; VARIABILITY; STRATEGIES; PHOENIX; COMFORT</t>
        </is>
      </c>
      <c r="W1544" t="inlineStr">
        <is>
          <t>Urban heat is a growing environmental concern in cities around the world. The urban heat island effect, combined with warming effects of climate change, is likely to cause an increase in the frequency and intensity of extreme heat events. Alterations to the physical, built environment are a viable option for mitigating urban heat, yet few studies provide systematic guidance to practitioners for adapting diverse land uses. In this study, we examine the use of green infrastructure treatments to evaluate changes in ambient temperatures across diverse land uses in the city of Portland, Oregon. We apply ENVI-met((R)) microclimate modeling at the city-block scale specifically to determine what built environment characteristics are most associated with high temperatures, and the extent to which different physical designs reduce ambient temperature. The analysis included six green infrastructure interventions modeled across six different land-use types, and indicated the varying degrees to which approaches are effective. Results were inconsistent across landscapes, and showed that one mitigation solution alone would not significantly reduce extreme heat. These results can be used to develop targeted, climate- and landscape-specific cooling interventions for different land uses, which can help to inform and refine current guidance to achieve urban climate adaptation goals.</t>
        </is>
      </c>
      <c r="X1544" t="inlineStr">
        <is>
          <t>[Makido, Yasuyo; Shandas, Vivek] Portland State Univ, Sch Urban Studies &amp; Planning, Portland, OR 97201 USA; [Hellman, Dana] Portland State Univ, Sch Environm, Portland, OR 97201 USA</t>
        </is>
      </c>
      <c r="Y1544" t="inlineStr">
        <is>
          <t>Portland State University; Portland State University</t>
        </is>
      </c>
      <c r="Z1544" t="inlineStr">
        <is>
          <t>Shandas, V (corresponding author), Portland State Univ, Sch Urban Studies &amp; Planning, Portland, OR 97201 USA.</t>
        </is>
      </c>
      <c r="AA1544" t="inlineStr">
        <is>
          <t>ymakido@pdx.edu; dhellman@pdx.edu; vshandas@pdx.edu</t>
        </is>
      </c>
      <c r="AC1544" t="inlineStr">
        <is>
          <t>Hellman, Dana/0000-0002-3798-0693</t>
        </is>
      </c>
      <c r="AD1544" t="inlineStr">
        <is>
          <t>U.S. Forest Service's National Urban and Community Forestry Challenge Grant [17-DG-11132544-014]; National Science Foundation's Sustainable Research Network Grant [1444755]</t>
        </is>
      </c>
      <c r="AE1544" t="inlineStr">
        <is>
          <t>U.S. Forest Service's National Urban and Community Forestry Challenge Grant; National Science Foundation's Sustainable Research Network Grant</t>
        </is>
      </c>
      <c r="AF1544" t="inlineStr">
        <is>
          <t>This research was funded by the U.S. Forest Service's National Urban and Community Forestry Challenge Grant (No. 17-DG-11132544-014), and the National Science Foundation's Sustainable Research Network Grant (No. 1444755).</t>
        </is>
      </c>
      <c r="AH1544" t="n">
        <v>75</v>
      </c>
      <c r="AI1544" t="n">
        <v>29</v>
      </c>
      <c r="AJ1544" t="n">
        <v>29</v>
      </c>
      <c r="AK1544" t="n">
        <v>6</v>
      </c>
      <c r="AL1544" t="n">
        <v>74</v>
      </c>
      <c r="AM1544" t="inlineStr">
        <is>
          <t>MDPI</t>
        </is>
      </c>
      <c r="AN1544" t="inlineStr">
        <is>
          <t>BASEL</t>
        </is>
      </c>
      <c r="AO1544" t="inlineStr">
        <is>
          <t>ST ALBAN-ANLAGE 66, CH-4052 BASEL, SWITZERLAND</t>
        </is>
      </c>
      <c r="AQ1544" t="inlineStr">
        <is>
          <t>2073-4433</t>
        </is>
      </c>
      <c r="AS1544" t="inlineStr">
        <is>
          <t>ATMOSPHERE-BASEL</t>
        </is>
      </c>
      <c r="AT1544" t="inlineStr">
        <is>
          <t>Atmosphere</t>
        </is>
      </c>
      <c r="AU1544" t="inlineStr">
        <is>
          <t>MAY</t>
        </is>
      </c>
      <c r="AV1544" t="n">
        <v>2019</v>
      </c>
      <c r="AW1544" t="n">
        <v>10</v>
      </c>
      <c r="AX1544" t="n">
        <v>5</v>
      </c>
      <c r="BE1544" t="n">
        <v>282</v>
      </c>
      <c r="BF1544" t="inlineStr">
        <is>
          <t>10.3390/atmos10050282</t>
        </is>
      </c>
      <c r="BG1544">
        <f>HYPERLINK("http://dx.doi.org/10.3390/atmos10050282","http://dx.doi.org/10.3390/atmos10050282")</f>
        <v/>
      </c>
      <c r="BJ1544" t="n">
        <v>18</v>
      </c>
      <c r="BK1544" t="inlineStr">
        <is>
          <t>Environmental Sciences; Meteorology &amp; Atmospheric Sciences</t>
        </is>
      </c>
      <c r="BL1544" t="inlineStr">
        <is>
          <t>Science Citation Index Expanded (SCI-EXPANDED); Social Science Citation Index (SSCI)</t>
        </is>
      </c>
      <c r="BM1544" t="inlineStr">
        <is>
          <t>Environmental Sciences &amp; Ecology; Meteorology &amp; Atmospheric Sciences</t>
        </is>
      </c>
      <c r="BN1544" t="inlineStr">
        <is>
          <t>IE9EL</t>
        </is>
      </c>
      <c r="BP1544" t="inlineStr">
        <is>
          <t>Green Published, gold</t>
        </is>
      </c>
      <c r="BS1544" t="inlineStr">
        <is>
          <t>2023-10-26</t>
        </is>
      </c>
      <c r="BT1544" t="inlineStr">
        <is>
          <t>WOS:000472677600056</t>
        </is>
      </c>
      <c r="BU1544">
        <f>HYPERLINK("https%3A%2F%2Fwww.webofscience.com%2Fwos%2Fwoscc%2Ffull-record%2FWOS:000472677600056","View Full Record in Web of Science")</f>
        <v/>
      </c>
    </row>
    <row r="1545">
      <c r="A1545" t="inlineStr">
        <is>
          <t>J</t>
        </is>
      </c>
      <c r="B1545" t="inlineStr">
        <is>
          <t>Elboim-Gabyzon, M; Buxbaum, R; Klein, R</t>
        </is>
      </c>
      <c r="F1545" t="inlineStr">
        <is>
          <t>Elboim-Gabyzon, Michal; Buxbaum, Roie; Klein, Roei</t>
        </is>
      </c>
      <c r="J1545" t="inlineStr">
        <is>
          <t>INTERNATIONAL JOURNAL OF ENVIRONMENTAL RESEARCH AND PUBLIC HEALTH</t>
        </is>
      </c>
      <c r="M1545" t="inlineStr">
        <is>
          <t>English</t>
        </is>
      </c>
      <c r="N1545" t="inlineStr">
        <is>
          <t>Review</t>
        </is>
      </c>
      <c r="T1545" t="inlineStr">
        <is>
          <t>The Effects of High-Intensity Interval Training (HIIT) on Fall Risk Factors in Healthy Older Adults: A Systematic Review</t>
        </is>
      </c>
      <c r="U1545" t="inlineStr">
        <is>
          <t>high-intensity interval training approach; HIIT; falls risk; balance; older adults</t>
        </is>
      </c>
      <c r="V1545" t="inlineStr">
        <is>
          <t>QUALITY-OF-LIFE; PHYSICAL-ACTIVITY; CARDIORESPIRATORY FITNESS; SINGLE SESSION; EXERCISE; DISEASE; INTERVENTION; IMPROVEMENTS; METAANALYSIS; FEASIBILITY</t>
        </is>
      </c>
      <c r="W1545" t="inlineStr">
        <is>
          <t>High-intensity interval training (HIIT) improves functional capacity, muscle power and physical performance in older adults with and without comorbidities. The aim of this study was to explore the effectiveness of HIIT as a method for reducing major fall risk factors (balance, muscle strength and physical activity) in older adults. A systematic literature search was conducted following the PRISMA guidelines. A computerized search was conducted using electronic databases (PubMed, CINAHL, Cochrane Library, APA PsycInfo, Web of Science, Scopus, PEDro, and AgeLine) published up to July 2021. Eleven papers (9 studies) of moderate quality (mean of 5.5 in Pedro scale) involving 328 healthy older adults met the inclusion criteria. Studies were characterized by high heterogeneity in terms of methodology, HIIT modality and protocol, subject characteristics, and outcome measures. Results indicate that HIIT cannot be recommended as a single modality for fall prevention in older adults due to insufficient data and no consensus among the studies. HIIT appears to be a safe and well-tolerated supplement to proven fall prevention programs, due to its effects on lower limb strength reflected in functional performance tests, and on dynamic balance and subjective balance perception. However, caution is warranted following HIIT, especially after the first session, due to possible temporary instability.</t>
        </is>
      </c>
      <c r="X1545" t="inlineStr">
        <is>
          <t>[Elboim-Gabyzon, Michal; Buxbaum, Roie; Klein, Roei] Univ Haifa, Fac Social Welf &amp; Hlth Sci, Dept Phys Therapy, IL-3498838 Haifa, Israel</t>
        </is>
      </c>
      <c r="Y1545" t="inlineStr">
        <is>
          <t>University of Haifa</t>
        </is>
      </c>
      <c r="Z1545" t="inlineStr">
        <is>
          <t>Elboim-Gabyzon, M (corresponding author), Univ Haifa, Fac Social Welf &amp; Hlth Sci, Dept Phys Therapy, IL-3498838 Haifa, Israel.</t>
        </is>
      </c>
      <c r="AA1545" t="inlineStr">
        <is>
          <t>michal.elboim@gmail.com; roiebuxbaum123@gmail.com; Roeiklein1@gmail.com</t>
        </is>
      </c>
      <c r="AB1545" t="inlineStr">
        <is>
          <t>Michal, Elboim-Gabyzon/S-9451-2019</t>
        </is>
      </c>
      <c r="AC1545" t="inlineStr">
        <is>
          <t>Michal, Elboim-Gabyzon/0000-0002-7278-9421; Buxbaum, Roie/0000-0003-4767-8014</t>
        </is>
      </c>
      <c r="AH1545" t="n">
        <v>79</v>
      </c>
      <c r="AI1545" t="n">
        <v>4</v>
      </c>
      <c r="AJ1545" t="n">
        <v>4</v>
      </c>
      <c r="AK1545" t="n">
        <v>3</v>
      </c>
      <c r="AL1545" t="n">
        <v>15</v>
      </c>
      <c r="AM1545" t="inlineStr">
        <is>
          <t>MDPI</t>
        </is>
      </c>
      <c r="AN1545" t="inlineStr">
        <is>
          <t>BASEL</t>
        </is>
      </c>
      <c r="AO1545" t="inlineStr">
        <is>
          <t>ST ALBAN-ANLAGE 66, CH-4052 BASEL, SWITZERLAND</t>
        </is>
      </c>
      <c r="AQ1545" t="inlineStr">
        <is>
          <t>1660-4601</t>
        </is>
      </c>
      <c r="AS1545" t="inlineStr">
        <is>
          <t>INT J ENV RES PUB HE</t>
        </is>
      </c>
      <c r="AT1545" t="inlineStr">
        <is>
          <t>Int. J. Environ. Res. Public Health</t>
        </is>
      </c>
      <c r="AU1545" t="inlineStr">
        <is>
          <t>NOV</t>
        </is>
      </c>
      <c r="AV1545" t="n">
        <v>2021</v>
      </c>
      <c r="AW1545" t="n">
        <v>18</v>
      </c>
      <c r="AX1545" t="n">
        <v>22</v>
      </c>
      <c r="BE1545" t="n">
        <v>11809</v>
      </c>
      <c r="BF1545" t="inlineStr">
        <is>
          <t>10.3390/ijerph182211809</t>
        </is>
      </c>
      <c r="BG1545">
        <f>HYPERLINK("http://dx.doi.org/10.3390/ijerph182211809","http://dx.doi.org/10.3390/ijerph182211809")</f>
        <v/>
      </c>
      <c r="BJ1545" t="n">
        <v>28</v>
      </c>
      <c r="BK1545" t="inlineStr">
        <is>
          <t>Environmental Sciences; Public, Environmental &amp; Occupational Health</t>
        </is>
      </c>
      <c r="BL1545" t="inlineStr">
        <is>
          <t>Science Citation Index Expanded (SCI-EXPANDED); Social Science Citation Index (SSCI)</t>
        </is>
      </c>
      <c r="BM1545" t="inlineStr">
        <is>
          <t>Environmental Sciences &amp; Ecology; Public, Environmental &amp; Occupational Health</t>
        </is>
      </c>
      <c r="BN1545" t="inlineStr">
        <is>
          <t>XG0LM</t>
        </is>
      </c>
      <c r="BO1545" t="n">
        <v>34831565</v>
      </c>
      <c r="BP1545" t="inlineStr">
        <is>
          <t>gold, Green Published</t>
        </is>
      </c>
      <c r="BS1545" t="inlineStr">
        <is>
          <t>2023-10-26</t>
        </is>
      </c>
      <c r="BT1545" t="inlineStr">
        <is>
          <t>WOS:000724453300001</t>
        </is>
      </c>
      <c r="BU1545">
        <f>HYPERLINK("https%3A%2F%2Fwww.webofscience.com%2Fwos%2Fwoscc%2Ffull-record%2FWOS:000724453300001","View Full Record in Web of Science")</f>
        <v/>
      </c>
    </row>
    <row r="1546">
      <c r="A1546" t="inlineStr">
        <is>
          <t>J</t>
        </is>
      </c>
      <c r="B1546" t="inlineStr">
        <is>
          <t>Leung, KM; Wong, MYC</t>
        </is>
      </c>
      <c r="F1546" t="inlineStr">
        <is>
          <t>Leung, Ka Man; Wong, Ming Yu Claudia</t>
        </is>
      </c>
      <c r="J1546" t="inlineStr">
        <is>
          <t>INTERNATIONAL JOURNAL OF ENVIRONMENTAL RESEARCH AND PUBLIC HEALTH</t>
        </is>
      </c>
      <c r="M1546" t="inlineStr">
        <is>
          <t>English</t>
        </is>
      </c>
      <c r="N1546" t="inlineStr">
        <is>
          <t>Article</t>
        </is>
      </c>
      <c r="T1546" t="inlineStr">
        <is>
          <t>Redevelopment and Examination of the Psychometric Properties of the Chinese Version of the Last 7-Day Sedentary Behaviour Questionnaire (SIT-Q-7d-Chi) in Hong Kong Older Adults</t>
        </is>
      </c>
      <c r="U1546" t="inlineStr">
        <is>
          <t>sitting; sedentary; inactivity; older adults; Chinese</t>
        </is>
      </c>
      <c r="V1546" t="inlineStr">
        <is>
          <t>PHYSICAL-ACTIVITY; TIME; ASSOCIATIONS; HEALTH; VALIDITY; RISK</t>
        </is>
      </c>
      <c r="W1546" t="inlineStr">
        <is>
          <t>(1) Background: This study examined the psychometric properties of the Chinese version of the Last 7-Day Sedentary Behaviour Questionnaire (SIT-Q-7d-Chi) in Hong Kong older adults; (2) Methods: Study 1 assessed the questionnaire's test-retest reliability, and Study 2 examined its validity. Place the question addressed in a broad context and highlight the purpose of the study; (3) Results: In Study 1, 84 older adults (aged 60-90) completed the SIT-Q-7d-Chi twice over a 2-week interval, and in Study 2, 38 older adults (i) completed the SIT-Q-7d-Chi and the Sedentary Behaviour Questionnaire for Older Adults (SBQOA) and (ii) wore a waist-mounted accelerometer for 7 consecutive days. In Study 1, the SIT-Q-7d-Chi's test-retest reliability (ICC = 0.91-0.99) was satisfactory, and adequate internal consistency was found for most domains of the SIT-Q-7d-Chi (Cronbach's alpha value being 0.7 or above). Study 2 ' s results showed that the SIT-Q-7d-Chi results were significantly correlated with the SBQOA results, but not with the accelerometer results; (4) Conclusions: This study revealed the prevalence of sedentary behavior among Hong Kong's senior citizens, which can be used as a reference to plan or evaluate a future sedentary behavior intervention for older persons, including identifying the content and intensity of activities.</t>
        </is>
      </c>
      <c r="X1546" t="inlineStr">
        <is>
          <t>[Leung, Ka Man] Educ Univ Hong Kong, Dept Hlth &amp; Phys Educ, New Terr, Hong Kong, Peoples R China; [Wong, Ming Yu Claudia] Hong Kong Baptist Univ, Dept Sport Phys Educ &amp; Hlth, Kowloon, Hong Kong, Peoples R China</t>
        </is>
      </c>
      <c r="Y1546" t="inlineStr">
        <is>
          <t>Education University of Hong Kong (EdUHK); Hong Kong Baptist University</t>
        </is>
      </c>
      <c r="Z1546" t="inlineStr">
        <is>
          <t>Wong, MYC (corresponding author), Hong Kong Baptist Univ, Dept Sport Phys Educ &amp; Hlth, Kowloon, Hong Kong, Peoples R China.</t>
        </is>
      </c>
      <c r="AA1546" t="inlineStr">
        <is>
          <t>leungkaman@eduhk.hk; wmyclaudia@hkbu.edu.hk</t>
        </is>
      </c>
      <c r="AC1546" t="inlineStr">
        <is>
          <t>Leung, Ka Man/0000-0003-1409-109X; WONG, Ming Yu Claudia/0000-0001-8390-8898</t>
        </is>
      </c>
      <c r="AD1546" t="inlineStr">
        <is>
          <t>Start-up Research Grant, Education University of Hong Kong [RG 73/2019-2020R]</t>
        </is>
      </c>
      <c r="AE1546" t="inlineStr">
        <is>
          <t>Start-up Research Grant, Education University of Hong Kong</t>
        </is>
      </c>
      <c r="AF1546" t="inlineStr">
        <is>
          <t>The ACP is funded by the Start-up Research Grant, Education University of Hong Kong (RG 73/2019-2020R).</t>
        </is>
      </c>
      <c r="AH1546" t="n">
        <v>50</v>
      </c>
      <c r="AI1546" t="n">
        <v>0</v>
      </c>
      <c r="AJ1546" t="n">
        <v>1</v>
      </c>
      <c r="AK1546" t="n">
        <v>2</v>
      </c>
      <c r="AL1546" t="n">
        <v>10</v>
      </c>
      <c r="AM1546" t="inlineStr">
        <is>
          <t>MDPI</t>
        </is>
      </c>
      <c r="AN1546" t="inlineStr">
        <is>
          <t>BASEL</t>
        </is>
      </c>
      <c r="AO1546" t="inlineStr">
        <is>
          <t>ST ALBAN-ANLAGE 66, CH-4052 BASEL, SWITZERLAND</t>
        </is>
      </c>
      <c r="AQ1546" t="inlineStr">
        <is>
          <t>1660-4601</t>
        </is>
      </c>
      <c r="AS1546" t="inlineStr">
        <is>
          <t>INT J ENV RES PUB HE</t>
        </is>
      </c>
      <c r="AT1546" t="inlineStr">
        <is>
          <t>Int. J. Environ. Res. Public Health</t>
        </is>
      </c>
      <c r="AU1546" t="inlineStr">
        <is>
          <t>MAY</t>
        </is>
      </c>
      <c r="AV1546" t="n">
        <v>2022</v>
      </c>
      <c r="AW1546" t="n">
        <v>19</v>
      </c>
      <c r="AX1546" t="n">
        <v>10</v>
      </c>
      <c r="BE1546" t="n">
        <v>5958</v>
      </c>
      <c r="BF1546" t="inlineStr">
        <is>
          <t>10.3390/ijerph19105958</t>
        </is>
      </c>
      <c r="BG1546">
        <f>HYPERLINK("http://dx.doi.org/10.3390/ijerph19105958","http://dx.doi.org/10.3390/ijerph19105958")</f>
        <v/>
      </c>
      <c r="BJ1546" t="n">
        <v>13</v>
      </c>
      <c r="BK1546" t="inlineStr">
        <is>
          <t>Environmental Sciences; Public, Environmental &amp; Occupational Health</t>
        </is>
      </c>
      <c r="BL1546" t="inlineStr">
        <is>
          <t>Science Citation Index Expanded (SCI-EXPANDED); Social Science Citation Index (SSCI)</t>
        </is>
      </c>
      <c r="BM1546" t="inlineStr">
        <is>
          <t>Environmental Sciences &amp; Ecology; Public, Environmental &amp; Occupational Health</t>
        </is>
      </c>
      <c r="BN1546" t="inlineStr">
        <is>
          <t>1O4AD</t>
        </is>
      </c>
      <c r="BO1546" t="n">
        <v>35627497</v>
      </c>
      <c r="BP1546" t="inlineStr">
        <is>
          <t>Green Published, gold</t>
        </is>
      </c>
      <c r="BS1546" t="inlineStr">
        <is>
          <t>2023-10-26</t>
        </is>
      </c>
      <c r="BT1546" t="inlineStr">
        <is>
          <t>WOS:000801276500001</t>
        </is>
      </c>
      <c r="BU1546">
        <f>HYPERLINK("https%3A%2F%2Fwww.webofscience.com%2Fwos%2Fwoscc%2Ffull-record%2FWOS:000801276500001","View Full Record in Web of Science")</f>
        <v/>
      </c>
    </row>
    <row r="1547">
      <c r="A1547" t="inlineStr">
        <is>
          <t>J</t>
        </is>
      </c>
      <c r="B1547" t="inlineStr">
        <is>
          <t>Mollinedo-Cardalda, I; Rodríguez, AL; Ferreira, M; Cancela-Carral, JM</t>
        </is>
      </c>
      <c r="F1547" t="inlineStr">
        <is>
          <t>Mollinedo-Cardalda, Irimia; Lopez Rodriguez, Adriana; Ferreira, Manuela; Maria Cancela-Carral, Jose</t>
        </is>
      </c>
      <c r="J1547" t="inlineStr">
        <is>
          <t>INTERNATIONAL JOURNAL OF ENVIRONMENTAL RESEARCH AND PUBLIC HEALTH</t>
        </is>
      </c>
      <c r="M1547" t="inlineStr">
        <is>
          <t>English</t>
        </is>
      </c>
      <c r="N1547" t="inlineStr">
        <is>
          <t>Article</t>
        </is>
      </c>
      <c r="T1547" t="inlineStr">
        <is>
          <t>Benefits of STRENOLD Program on Health-Related Quality of Life in Adults Aged 60 Years or Older. In Common Sport Study</t>
        </is>
      </c>
      <c r="U1547" t="inlineStr">
        <is>
          <t>physical exercise; older adults; quality of life; strength; training</t>
        </is>
      </c>
      <c r="V1547" t="inlineStr">
        <is>
          <t>EXERCISE; DISEASES; BALANCE</t>
        </is>
      </c>
      <c r="W1547" t="inlineStr">
        <is>
          <t>Background: The proportion of older adults is increasing worldwide and, with it, the physical inactivity common to this age group. Therefore, the promotion of active aging is a strategic factor in health policies for older people. The aim of this study was to identify the benefits and viability of the strength training program (STRENOLD) in health-related quality of life in adults over 60. Methods: A controlled experimental study was carried out with a sample of 181 people over 60 years old from different European countries belonging to the European project IN COMMON SPORTS. A pair work strength program was administered (STRENOLD) over a period of 24 months, consisting of two single sessions per week. Their health status was evaluated (EQ-5D-5L) before and after the interventions. Results: The adherence rate was over 89% and the tolerability rate over 100% in all participating countries. Significant improvements in the participants' health were demonstrated in the areas of mobility, usual activities, pain/discomfort, and anxiety/depression. Conclusions: The regular practice of physical exercise, through the partnered STRENOLD strength program, has benefits on mobility, usual activities, pain/discomfort, and anxiety/depression, in short, health benefits for older adults.</t>
        </is>
      </c>
      <c r="X1547" t="inlineStr">
        <is>
          <t>[Mollinedo-Cardalda, Irimia] Univ Vigo, Fac Physiotherapy, Pontevedra 36005, Spain; [Lopez Rodriguez, Adriana] Univ Vigo, Fac Educ &amp; Sports Sci, Pontevedra 36005, Spain; [Ferreira, Manuela] Camara Municipal Vilanova Cerveira, P-4920 Vilanova De Cerveira, Portugal; [Maria Cancela-Carral, Jose] Univ Vigo, Galicia Sur Hlth Res Inst IIS Galicia Sur, Sergas UVIGO, HealthyFit Res Grp,Fac Educ &amp; Sports Sci, Pontevedra 36005, Spain</t>
        </is>
      </c>
      <c r="Y1547" t="inlineStr">
        <is>
          <t>Universidade de Vigo; Universidade de Vigo; Universidade de Vigo</t>
        </is>
      </c>
      <c r="Z1547" t="inlineStr">
        <is>
          <t>Mollinedo-Cardalda, I (corresponding author), Univ Vigo, Fac Physiotherapy, Pontevedra 36005, Spain.</t>
        </is>
      </c>
      <c r="AA1547" t="inlineStr">
        <is>
          <t>imollinedo@uvigo.es; adrianalpez102@gmail.com; manuelaferreira11@hotmail.com; chemacc@uvigo.es</t>
        </is>
      </c>
      <c r="AB1547" t="inlineStr">
        <is>
          <t>Mollinedo, Irimia/L-3362-2017; Cancela Carral, Jose M/P-4603-2015</t>
        </is>
      </c>
      <c r="AC1547" t="inlineStr">
        <is>
          <t>Mollinedo, Irimia/0000-0002-7431-4876; , Manuela/0000-0002-2905-9714; , IIS Galicia Sur/0000-0003-3812-7413; Lopez Rodriguez, Adriana/0000-0003-1976-939X; Cancela Carral, Jose M/0000-0003-2903-3829</t>
        </is>
      </c>
      <c r="AD1547" t="inlineStr">
        <is>
          <t>Erasmus+ Programme: Support for Collaborative Partnerships in the field of Sport [2017-2356/001/001]</t>
        </is>
      </c>
      <c r="AE1547" t="inlineStr">
        <is>
          <t>Erasmus+ Programme: Support for Collaborative Partnerships in the field of Sport</t>
        </is>
      </c>
      <c r="AF1547" t="inlineStr">
        <is>
          <t>This research was funded by Erasmus+ Programme: Support for Collaborative Partnerships in the field of Sport. No 2017-2356/001/001. INCOMMONSPORTS. Intergenerational Competition as Motivation for Sport and Healthy Lifestyle of Senior Citizens.</t>
        </is>
      </c>
      <c r="AH1547" t="n">
        <v>40</v>
      </c>
      <c r="AI1547" t="n">
        <v>4</v>
      </c>
      <c r="AJ1547" t="n">
        <v>4</v>
      </c>
      <c r="AK1547" t="n">
        <v>4</v>
      </c>
      <c r="AL1547" t="n">
        <v>15</v>
      </c>
      <c r="AM1547" t="inlineStr">
        <is>
          <t>MDPI</t>
        </is>
      </c>
      <c r="AN1547" t="inlineStr">
        <is>
          <t>BASEL</t>
        </is>
      </c>
      <c r="AO1547" t="inlineStr">
        <is>
          <t>ST ALBAN-ANLAGE 66, CH-4052 BASEL, SWITZERLAND</t>
        </is>
      </c>
      <c r="AQ1547" t="inlineStr">
        <is>
          <t>1660-4601</t>
        </is>
      </c>
      <c r="AS1547" t="inlineStr">
        <is>
          <t>INT J ENV RES PUB HE</t>
        </is>
      </c>
      <c r="AT1547" t="inlineStr">
        <is>
          <t>Int. J. Environ. Res. Public Health</t>
        </is>
      </c>
      <c r="AU1547" t="inlineStr">
        <is>
          <t>MAR</t>
        </is>
      </c>
      <c r="AV1547" t="n">
        <v>2021</v>
      </c>
      <c r="AW1547" t="n">
        <v>18</v>
      </c>
      <c r="AX1547" t="n">
        <v>6</v>
      </c>
      <c r="BE1547" t="n">
        <v>3253</v>
      </c>
      <c r="BF1547" t="inlineStr">
        <is>
          <t>10.3390/ijerph18063253</t>
        </is>
      </c>
      <c r="BG1547">
        <f>HYPERLINK("http://dx.doi.org/10.3390/ijerph18063253","http://dx.doi.org/10.3390/ijerph18063253")</f>
        <v/>
      </c>
      <c r="BJ1547" t="n">
        <v>10</v>
      </c>
      <c r="BK1547" t="inlineStr">
        <is>
          <t>Environmental Sciences; Public, Environmental &amp; Occupational Health</t>
        </is>
      </c>
      <c r="BL1547" t="inlineStr">
        <is>
          <t>Science Citation Index Expanded (SCI-EXPANDED); Social Science Citation Index (SSCI)</t>
        </is>
      </c>
      <c r="BM1547" t="inlineStr">
        <is>
          <t>Environmental Sciences &amp; Ecology; Public, Environmental &amp; Occupational Health</t>
        </is>
      </c>
      <c r="BN1547" t="inlineStr">
        <is>
          <t>RL8AL</t>
        </is>
      </c>
      <c r="BO1547" t="n">
        <v>33801116</v>
      </c>
      <c r="BP1547" t="inlineStr">
        <is>
          <t>gold, Green Published</t>
        </is>
      </c>
      <c r="BS1547" t="inlineStr">
        <is>
          <t>2023-10-26</t>
        </is>
      </c>
      <c r="BT1547" t="inlineStr">
        <is>
          <t>WOS:000639188700001</t>
        </is>
      </c>
      <c r="BU1547">
        <f>HYPERLINK("https%3A%2F%2Fwww.webofscience.com%2Fwos%2Fwoscc%2Ffull-record%2FWOS:000639188700001","View Full Record in Web of Science")</f>
        <v/>
      </c>
    </row>
    <row r="1548">
      <c r="A1548" t="inlineStr">
        <is>
          <t>J</t>
        </is>
      </c>
      <c r="B1548" t="inlineStr">
        <is>
          <t>Wei, MQ; Meng, DY; Guo, HZ; He, SC; Tian, ZB; Wang, ZY; Yang, G; Wang, ZH</t>
        </is>
      </c>
      <c r="F1548" t="inlineStr">
        <is>
          <t>Wei, Meiqi; Meng, Deyu; Guo, Hongzhi; He, Shichun; Tian, Zhibo; Wang, Ziyi; Yang, Guang; Wang, Ziheng</t>
        </is>
      </c>
      <c r="J1548" t="inlineStr">
        <is>
          <t>INTERNATIONAL JOURNAL OF ENVIRONMENTAL RESEARCH AND PUBLIC HEALTH</t>
        </is>
      </c>
      <c r="M1548" t="inlineStr">
        <is>
          <t>English</t>
        </is>
      </c>
      <c r="N1548" t="inlineStr">
        <is>
          <t>Article</t>
        </is>
      </c>
      <c r="T1548" t="inlineStr">
        <is>
          <t>Hybrid Exercise Program for Sarcopenia in Older Adults: The Effectiveness of Explainable Artificial Intelligence-Based Clinical Assistance in Assessing Skeletal Muscle Area</t>
        </is>
      </c>
      <c r="U1548" t="inlineStr">
        <is>
          <t>sarcopenia; older adults; exercise program; explainable artificial intelligence</t>
        </is>
      </c>
      <c r="V1548" t="inlineStr">
        <is>
          <t>TRANSFORMING QIGONG EXERCISES; LEAN BODY-MASS; PROGNOSTIC VALUE; SOLID TUMORS; COLON-CANCER; GAIT SPEED; SURVIVAL; TOXICITY; STRENGTH; AGE</t>
        </is>
      </c>
      <c r="W1548" t="inlineStr">
        <is>
          <t>Background: Sarcopenia is a geriatric syndrome characterized by decreased skeletal muscle mass and function with age. It is well-established that resistance exercise and Yi Jin Jing improve the skeletal muscle mass of older adults with sarcopenia. Accordingly, we designed an exercise program incorporating resistance exercise and Yi Jin Jing to increase skeletal muscle mass and reverse sarcopenia in older adults. Additionally, machine learning simulations were used to predict the sarcopenia status after the intervention. Method: This randomized controlled trial assessed the effects of sarcopenia in older adults. For 24 weeks, 90 older adults with sarcopenia were divided into intervention groups, including the Yi Jin Jing and resistance training group (YR, n = 30), the resistance training group (RT, n = 30), and the control group (CG, n = 30). Computed tomography (CT) scans of the abdomen were used to quantify the skeletal muscle cross-sectional area at the third lumbar vertebra (L3 SMA). Participants' age, body mass, stature, and BMI characteristics were analyzed by one-way ANOVA and the chi-squared test for categorical data. This study explored the improvement effect of three interventions on participants' L3 SMA, skeletal muscle density at the third lumbar vertebra (L3 SMD), skeletal muscle interstitial fat area at the third lumbar vertebra region of interest (L3 SMFA), skeletal muscle interstitial fat density at the third lumbar vertebra (L3 SMFD), relative skeletal muscle mass index (RSMI), muscle fat infiltration (MFI), and handgrip strength. Experimental data were analyzed using two-way repeated-measures ANOVA. Eleven machine learning models were trained and tested 100 times to assess the model's performance in predicting whether sarcopenia could be reversed following the intervention. Results: There was a significant interaction in L3 SMA (p &lt; 0.05), RSMI (p &lt; 0.05), MFI (p &lt; 0.05), and handgrip strength (p &lt; 0.05). After the intervention, participants in the YR and RT groups showed significant improvements in L3 SMA, RSMI, and handgrip strength. Post hoc tests showed that the YR group (p &lt; 0.05) yielded significantly better L3 SMA and RSMI than the RT group (p &lt; 0.05) and CG group (p &lt; 0.05) after the intervention. Compared with other models, the stacking model exhibits the best performance in terms of accuracy (85.7%) and F1 (75.3%). Conclusion: One hybrid exercise program with Yi Jin Jing and resistance exercise training can improve skeletal muscle area among older adults with sarcopenia. Accordingly, it is possible to predict whether sarcopenia can be reversed in older adults based on our stacking model.</t>
        </is>
      </c>
      <c r="X1548" t="inlineStr">
        <is>
          <t>[Wei, Meiqi; Meng, Deyu; He, Shichun; Wang, Ziyi; Yang, Guang; Wang, Ziheng] Northeast Normal Univ, Chinese Ctr Exercise Epidemiol, Changchun 130024, Peoples R China; [Guo, Hongzhi] Waseda Univ, Grad Sch Human Sci, Tokorozawa, Saitama 1698050, Japan; [Guo, Hongzhi; Wang, Ziheng] Intelligent Lancet LLC, A1 Grp, Sacramento, CA 95816 USA; [Tian, Zhibo] Guangxi Normal Univ, Coll Phys Educ &amp; Hlth, Guilin 541006, Peoples R China; [Wang, Ziheng] Waseda Univ, Adv Res Ctr Human Sci, Tokorozawa, Saitama 1698050, Japan</t>
        </is>
      </c>
      <c r="Y1548" t="inlineStr">
        <is>
          <t>Northeast Normal University - China; Waseda University; Guangxi Normal University; Waseda University</t>
        </is>
      </c>
      <c r="Z1548" t="inlineStr">
        <is>
          <t>Yang, G; Wang, ZH (corresponding author), Northeast Normal Univ, Chinese Ctr Exercise Epidemiol, Changchun 130024, Peoples R China.;Wang, ZH (corresponding author), Intelligent Lancet LLC, A1 Grp, Sacramento, CA 95816 USA.;Wang, ZH (corresponding author), Waseda Univ, Adv Res Ctr Human Sci, Tokorozawa, Saitama 1698050, Japan.</t>
        </is>
      </c>
      <c r="AA1548" t="inlineStr">
        <is>
          <t>yangg100@nenu.edu.cn; wangzh654@nenu.edu.cn</t>
        </is>
      </c>
      <c r="AB1548" t="inlineStr">
        <is>
          <t>Hongzhi, GUO/IAQ-3863-2023; Hongzhi, Guo/ABX-2326-2022</t>
        </is>
      </c>
      <c r="AC1548" t="inlineStr">
        <is>
          <t>Hongzhi, GUO/0000-0002-3454-9929; Yang, Guang/0000-0001-7236-7483; deyu, Meng/0000-0002-3270-9829; Wei, Meiqi/0009-0003-8299-6242</t>
        </is>
      </c>
      <c r="AD1548" t="inlineStr">
        <is>
          <t>Fundamental Research Funds for the Central Universities [135222026]</t>
        </is>
      </c>
      <c r="AE1548" t="inlineStr">
        <is>
          <t>Fundamental Research Funds for the Central Universities(Fundamental Research Funds for the Central Universities)</t>
        </is>
      </c>
      <c r="AF1548" t="inlineStr">
        <is>
          <t>The Fundamental Research Funds for the Central Universities (Number: 135222026).</t>
        </is>
      </c>
      <c r="AH1548" t="n">
        <v>75</v>
      </c>
      <c r="AI1548" t="n">
        <v>3</v>
      </c>
      <c r="AJ1548" t="n">
        <v>3</v>
      </c>
      <c r="AK1548" t="n">
        <v>14</v>
      </c>
      <c r="AL1548" t="n">
        <v>25</v>
      </c>
      <c r="AM1548" t="inlineStr">
        <is>
          <t>MDPI</t>
        </is>
      </c>
      <c r="AN1548" t="inlineStr">
        <is>
          <t>BASEL</t>
        </is>
      </c>
      <c r="AO1548" t="inlineStr">
        <is>
          <t>ST ALBAN-ANLAGE 66, CH-4052 BASEL, SWITZERLAND</t>
        </is>
      </c>
      <c r="AQ1548" t="inlineStr">
        <is>
          <t>1660-4601</t>
        </is>
      </c>
      <c r="AS1548" t="inlineStr">
        <is>
          <t>INT J ENV RES PUB HE</t>
        </is>
      </c>
      <c r="AT1548" t="inlineStr">
        <is>
          <t>Int. J. Environ. Res. Public Health</t>
        </is>
      </c>
      <c r="AU1548" t="inlineStr">
        <is>
          <t>AUG</t>
        </is>
      </c>
      <c r="AV1548" t="n">
        <v>2022</v>
      </c>
      <c r="AW1548" t="n">
        <v>19</v>
      </c>
      <c r="AX1548" t="n">
        <v>16</v>
      </c>
      <c r="BE1548" t="n">
        <v>9952</v>
      </c>
      <c r="BF1548" t="inlineStr">
        <is>
          <t>10.3390/ijerph19169952</t>
        </is>
      </c>
      <c r="BG1548">
        <f>HYPERLINK("http://dx.doi.org/10.3390/ijerph19169952","http://dx.doi.org/10.3390/ijerph19169952")</f>
        <v/>
      </c>
      <c r="BJ1548" t="n">
        <v>17</v>
      </c>
      <c r="BK1548" t="inlineStr">
        <is>
          <t>Environmental Sciences; Public, Environmental &amp; Occupational Health</t>
        </is>
      </c>
      <c r="BL1548" t="inlineStr">
        <is>
          <t>Science Citation Index Expanded (SCI-EXPANDED); Social Science Citation Index (SSCI)</t>
        </is>
      </c>
      <c r="BM1548" t="inlineStr">
        <is>
          <t>Environmental Sciences &amp; Ecology; Public, Environmental &amp; Occupational Health</t>
        </is>
      </c>
      <c r="BN1548" t="inlineStr">
        <is>
          <t>4C6XA</t>
        </is>
      </c>
      <c r="BO1548" t="n">
        <v>36011588</v>
      </c>
      <c r="BP1548" t="inlineStr">
        <is>
          <t>Green Published, gold</t>
        </is>
      </c>
      <c r="BS1548" t="inlineStr">
        <is>
          <t>2023-10-26</t>
        </is>
      </c>
      <c r="BT1548" t="inlineStr">
        <is>
          <t>WOS:000846592300001</t>
        </is>
      </c>
      <c r="BU1548">
        <f>HYPERLINK("https%3A%2F%2Fwww.webofscience.com%2Fwos%2Fwoscc%2Ffull-record%2FWOS:000846592300001","View Full Record in Web of Science")</f>
        <v/>
      </c>
    </row>
    <row r="1549">
      <c r="A1549" t="inlineStr">
        <is>
          <t>J</t>
        </is>
      </c>
      <c r="B1549" t="inlineStr">
        <is>
          <t>Lee, H; Kim, D; Jung, A; Chae, W</t>
        </is>
      </c>
      <c r="F1549" t="inlineStr">
        <is>
          <t>Lee, Haeok; Kim, Deogwoon; Jung, Andrew; Chae, Wonjeong</t>
        </is>
      </c>
      <c r="J1549" t="inlineStr">
        <is>
          <t>INTERNATIONAL JOURNAL OF ENVIRONMENTAL RESEARCH AND PUBLIC HEALTH</t>
        </is>
      </c>
      <c r="M1549" t="inlineStr">
        <is>
          <t>English</t>
        </is>
      </c>
      <c r="N1549" t="inlineStr">
        <is>
          <t>Article</t>
        </is>
      </c>
      <c r="T1549" t="inlineStr">
        <is>
          <t>Ethnicity, Social, and Clinical Risk Factors to Tooth Loss among Older Adults in the US, NHANES 2011-2018</t>
        </is>
      </c>
      <c r="U1549" t="inlineStr">
        <is>
          <t>older adults; oral health; health disparities; ethnicity; dementia; social factors</t>
        </is>
      </c>
      <c r="V1549" t="inlineStr">
        <is>
          <t>ORAL-HEALTH; CARE; INEQUALITIES; WOMEN; MEN</t>
        </is>
      </c>
      <c r="W1549" t="inlineStr">
        <is>
          <t>Background. Many older adults suffer from poor oral health, including tooth loss, and disparities among racial/ethnic and socially disadvantaged populations continue to exist. Methods. Data were obtained from the National Health and Nutrition Examination Survey among the adult population in the U.S. The prevalence of edentulism and multiple regression models were conducted on 15,821 adults, including Asians, Blacks, Hispanics, Whites, and others to assess the relationships between tooth loss and their predictors. Results. The prevalence of complete tooth loss increased with age from 0.7% for ages 20-44 to 20.2% for ages 65 and over. There are disparities in complete tooth loss regarding race/ethnicity, with the highest percentages (9%) among Whites and Blacks and the lowest percentages among Asians (3%) and Hispanics (4%). After adjusting for predictors, their impact on tooth loss was not consistent within racial/ethnic groups, as Asians had more tooth loss from Model 1 (beta = -1.974, p &lt; 0.0001) to Model 5 (beta = -1.1705, p &lt; 0.0001). Conclusion. Tooth loss was significantly higher among older adults and racial/ethnic groups even after controlling for other predictors among a nationally representative sample. The findings point to the fact that subgroup-tailored preventions are necessary.</t>
        </is>
      </c>
      <c r="X1549" t="inlineStr">
        <is>
          <t>[Lee, Haeok; Kim, Deogwoon] Univ Massachusetts Boston, Robert &amp; Donna Manning Coll Nursing &amp; Hlth Sci, Nursing Dept, Boston, MA 02125 USA; [Jung, Andrew] NYU, Coll Dent, New York, NY 10012 USA; [Chae, Wonjeong] Yonsei Univ Hlth Syst, Off Strateg Planning Healthcare Policy &amp; Strategy, Seoul 03722, South Korea</t>
        </is>
      </c>
      <c r="Y1549" t="inlineStr">
        <is>
          <t>University of Massachusetts System; University of Massachusetts Boston; New York University; Yonsei University; Yonsei University Health System</t>
        </is>
      </c>
      <c r="Z1549" t="inlineStr">
        <is>
          <t>Lee, H (corresponding author), Univ Massachusetts Boston, Robert &amp; Donna Manning Coll Nursing &amp; Hlth Sci, Nursing Dept, Boston, MA 02125 USA.</t>
        </is>
      </c>
      <c r="AA1549" t="inlineStr">
        <is>
          <t>aj1827@nyu.edu; aj1827@nyu.edu; aj1827@nyu.edu; wjchae0816@yuhs.ac</t>
        </is>
      </c>
      <c r="AB1549" t="inlineStr">
        <is>
          <t>Kim, Deogwoon/IVV-3300-2023</t>
        </is>
      </c>
      <c r="AD1549" t="inlineStr">
        <is>
          <t>National Institute on Aging [R56AG069130]</t>
        </is>
      </c>
      <c r="AE1549" t="inlineStr">
        <is>
          <t>National Institute on Aging(United States Department of Health &amp; Human ServicesNational Institutes of Health (NIH) - USANIH National Institute on Aging (NIA))</t>
        </is>
      </c>
      <c r="AF1549" t="inlineStr">
        <is>
          <t>National Institute on Aging: R56AG069130.</t>
        </is>
      </c>
      <c r="AH1549" t="n">
        <v>39</v>
      </c>
      <c r="AI1549" t="n">
        <v>9</v>
      </c>
      <c r="AJ1549" t="n">
        <v>9</v>
      </c>
      <c r="AK1549" t="n">
        <v>0</v>
      </c>
      <c r="AL1549" t="n">
        <v>2</v>
      </c>
      <c r="AM1549" t="inlineStr">
        <is>
          <t>MDPI</t>
        </is>
      </c>
      <c r="AN1549" t="inlineStr">
        <is>
          <t>BASEL</t>
        </is>
      </c>
      <c r="AO1549" t="inlineStr">
        <is>
          <t>ST ALBAN-ANLAGE 66, CH-4052 BASEL, SWITZERLAND</t>
        </is>
      </c>
      <c r="AQ1549" t="inlineStr">
        <is>
          <t>1660-4601</t>
        </is>
      </c>
      <c r="AS1549" t="inlineStr">
        <is>
          <t>INT J ENV RES PUB HE</t>
        </is>
      </c>
      <c r="AT1549" t="inlineStr">
        <is>
          <t>Int. J. Environ. Res. Public Health</t>
        </is>
      </c>
      <c r="AU1549" t="inlineStr">
        <is>
          <t>FEB</t>
        </is>
      </c>
      <c r="AV1549" t="n">
        <v>2022</v>
      </c>
      <c r="AW1549" t="n">
        <v>19</v>
      </c>
      <c r="AX1549" t="n">
        <v>4</v>
      </c>
      <c r="BE1549" t="n">
        <v>2382</v>
      </c>
      <c r="BF1549" t="inlineStr">
        <is>
          <t>10.3390/ijerph19042382</t>
        </is>
      </c>
      <c r="BG1549">
        <f>HYPERLINK("http://dx.doi.org/10.3390/ijerph19042382","http://dx.doi.org/10.3390/ijerph19042382")</f>
        <v/>
      </c>
      <c r="BJ1549" t="n">
        <v>15</v>
      </c>
      <c r="BK1549" t="inlineStr">
        <is>
          <t>Environmental Sciences; Public, Environmental &amp; Occupational Health</t>
        </is>
      </c>
      <c r="BL1549" t="inlineStr">
        <is>
          <t>Science Citation Index Expanded (SCI-EXPANDED); Social Science Citation Index (SSCI)</t>
        </is>
      </c>
      <c r="BM1549" t="inlineStr">
        <is>
          <t>Environmental Sciences &amp; Ecology; Public, Environmental &amp; Occupational Health</t>
        </is>
      </c>
      <c r="BN1549" t="inlineStr">
        <is>
          <t>ZW8QK</t>
        </is>
      </c>
      <c r="BO1549" t="n">
        <v>35206567</v>
      </c>
      <c r="BP1549" t="inlineStr">
        <is>
          <t>gold, Green Published</t>
        </is>
      </c>
      <c r="BS1549" t="inlineStr">
        <is>
          <t>2023-10-26</t>
        </is>
      </c>
      <c r="BT1549" t="inlineStr">
        <is>
          <t>WOS:000771470900001</t>
        </is>
      </c>
      <c r="BU1549">
        <f>HYPERLINK("https%3A%2F%2Fwww.webofscience.com%2Fwos%2Fwoscc%2Ffull-record%2FWOS:000771470900001","View Full Record in Web of Science")</f>
        <v/>
      </c>
    </row>
    <row r="1550">
      <c r="A1550" t="inlineStr">
        <is>
          <t>J</t>
        </is>
      </c>
      <c r="B1550" t="inlineStr">
        <is>
          <t>Schuurman, N; Rosenkrantz, L; Lear, SA</t>
        </is>
      </c>
      <c r="F1550" t="inlineStr">
        <is>
          <t>Schuurman, Nadine; Rosenkrantz, Leah; Lear, Scott A.</t>
        </is>
      </c>
      <c r="J1550" t="inlineStr">
        <is>
          <t>INTERNATIONAL JOURNAL OF ENVIRONMENTAL RESEARCH AND PUBLIC HEALTH</t>
        </is>
      </c>
      <c r="M1550" t="inlineStr">
        <is>
          <t>English</t>
        </is>
      </c>
      <c r="N1550" t="inlineStr">
        <is>
          <t>Article</t>
        </is>
      </c>
      <c r="T1550" t="inlineStr">
        <is>
          <t>Environmental Preferences and Concerns of Recreational Road Runners</t>
        </is>
      </c>
      <c r="U1550" t="inlineStr">
        <is>
          <t>road running; built urban environment; online survey; environmental preferences; runnability</t>
        </is>
      </c>
      <c r="V1550" t="inlineStr">
        <is>
          <t>NEIGHBORHOOD BUILT ENVIRONMENT; PHYSICAL-ACTIVITY; ALL-CAUSE; WALKING; RESTORATION; MORTALITY; CITY</t>
        </is>
      </c>
      <c r="W1550" t="inlineStr">
        <is>
          <t>Recreational road running is growing in popularity and has been linked to numerous mental and physical health benefits. However, we know little about what environmental preferences or concerns runners have regarding participation in the sport, and whether differences exist across age and gender. We conducted a cross-sectional survey on recreational road runners to investigate the type of built and natural environments road runners prefer, as well as the safety and health concerns that may affect runners' choice of environment. Responses were analyzed by age and gender. A total of 1228 road runners responded to the survey; 59.6% of respondents were women and 32.1% of respondents were men. Most respondents preferred to run on asphalt or sidewalk surfaces, and preferred well-lit, tree-lined routes. Major concerns for both men and women include animals and dangerous road conditions. Men and women differed significantly in their responses to the importance of running around others and their primary concerns while running. Results of this study serve to deepen our understanding of recreational road runners' environmental preferences and concerns, providing valuable information for public health officials and city planners alike. This information must be considered if we are to continue to encourage uptake of running as a sport and reap its health effects.</t>
        </is>
      </c>
      <c r="X1550" t="inlineStr">
        <is>
          <t>[Schuurman, Nadine; Rosenkrantz, Leah] Simon Fraser Univ, Fac Environm, 8888 Univ Dr, Burnaby, BC V5A 1S6, Canada; [Lear, Scott A.] Simon Fraser Univ, Fac Hlth Sci, 8888 Univ Dr, Burnaby, BC V5A 1S6, Canada</t>
        </is>
      </c>
      <c r="Y1550" t="inlineStr">
        <is>
          <t>Simon Fraser University; Simon Fraser University</t>
        </is>
      </c>
      <c r="Z1550" t="inlineStr">
        <is>
          <t>Schuurman, N (corresponding author), Simon Fraser Univ, Fac Environm, 8888 Univ Dr, Burnaby, BC V5A 1S6, Canada.</t>
        </is>
      </c>
      <c r="AA1550" t="inlineStr">
        <is>
          <t>nadine@sfu.ca; lrosenkr@sfu.ca; salear@sfu.ca</t>
        </is>
      </c>
      <c r="AC1550" t="inlineStr">
        <is>
          <t>Rosenkrantz, Leah/0000-0003-0832-3480</t>
        </is>
      </c>
      <c r="AD1550" t="inlineStr">
        <is>
          <t>Social Sciences and Humanities Research Council Insight Grant [435 2018 0114]</t>
        </is>
      </c>
      <c r="AE1550" t="inlineStr">
        <is>
          <t>Social Sciences and Humanities Research Council Insight Grant(Social Sciences and Humanities Research Council of Canada (SSHRC))</t>
        </is>
      </c>
      <c r="AF1550" t="inlineStr">
        <is>
          <t>This project was funded by a Social Sciences and Humanities Research Council Insight Grant (Appl. ID: 435 2018 0114).</t>
        </is>
      </c>
      <c r="AH1550" t="n">
        <v>36</v>
      </c>
      <c r="AI1550" t="n">
        <v>10</v>
      </c>
      <c r="AJ1550" t="n">
        <v>11</v>
      </c>
      <c r="AK1550" t="n">
        <v>6</v>
      </c>
      <c r="AL1550" t="n">
        <v>16</v>
      </c>
      <c r="AM1550" t="inlineStr">
        <is>
          <t>MDPI</t>
        </is>
      </c>
      <c r="AN1550" t="inlineStr">
        <is>
          <t>BASEL</t>
        </is>
      </c>
      <c r="AO1550" t="inlineStr">
        <is>
          <t>ST ALBAN-ANLAGE 66, CH-4052 BASEL, SWITZERLAND</t>
        </is>
      </c>
      <c r="AQ1550" t="inlineStr">
        <is>
          <t>1660-4601</t>
        </is>
      </c>
      <c r="AS1550" t="inlineStr">
        <is>
          <t>INT J ENV RES PUB HE</t>
        </is>
      </c>
      <c r="AT1550" t="inlineStr">
        <is>
          <t>Int. J. Environ. Res. Public Health</t>
        </is>
      </c>
      <c r="AU1550" t="inlineStr">
        <is>
          <t>JUN</t>
        </is>
      </c>
      <c r="AV1550" t="n">
        <v>2021</v>
      </c>
      <c r="AW1550" t="n">
        <v>18</v>
      </c>
      <c r="AX1550" t="n">
        <v>12</v>
      </c>
      <c r="BE1550" t="n">
        <v>6268</v>
      </c>
      <c r="BF1550" t="inlineStr">
        <is>
          <t>10.3390/ijerph18126268</t>
        </is>
      </c>
      <c r="BG1550">
        <f>HYPERLINK("http://dx.doi.org/10.3390/ijerph18126268","http://dx.doi.org/10.3390/ijerph18126268")</f>
        <v/>
      </c>
      <c r="BJ1550" t="n">
        <v>19</v>
      </c>
      <c r="BK1550" t="inlineStr">
        <is>
          <t>Environmental Sciences; Public, Environmental &amp; Occupational Health</t>
        </is>
      </c>
      <c r="BL1550" t="inlineStr">
        <is>
          <t>Science Citation Index Expanded (SCI-EXPANDED); Social Science Citation Index (SSCI)</t>
        </is>
      </c>
      <c r="BM1550" t="inlineStr">
        <is>
          <t>Environmental Sciences &amp; Ecology; Public, Environmental &amp; Occupational Health</t>
        </is>
      </c>
      <c r="BN1550" t="inlineStr">
        <is>
          <t>SZ4LM</t>
        </is>
      </c>
      <c r="BO1550" t="n">
        <v>34200542</v>
      </c>
      <c r="BP1550" t="inlineStr">
        <is>
          <t>gold, Green Published</t>
        </is>
      </c>
      <c r="BS1550" t="inlineStr">
        <is>
          <t>2023-10-26</t>
        </is>
      </c>
      <c r="BT1550" t="inlineStr">
        <is>
          <t>WOS:000666538600001</t>
        </is>
      </c>
      <c r="BU1550">
        <f>HYPERLINK("https%3A%2F%2Fwww.webofscience.com%2Fwos%2Fwoscc%2Ffull-record%2FWOS:000666538600001","View Full Record in Web of Science")</f>
        <v/>
      </c>
    </row>
    <row r="1551">
      <c r="A1551" t="inlineStr">
        <is>
          <t>J</t>
        </is>
      </c>
      <c r="B1551" t="inlineStr">
        <is>
          <t>Wang, HC; Tseng, CH</t>
        </is>
      </c>
      <c r="F1551" t="inlineStr">
        <is>
          <t>Wang, Huang-Chin; Tseng, Chao-Heng</t>
        </is>
      </c>
      <c r="J1551" t="inlineStr">
        <is>
          <t>ENVIRONMENTAL ENGINEERING AND MANAGEMENT JOURNAL</t>
        </is>
      </c>
      <c r="M1551" t="inlineStr">
        <is>
          <t>English</t>
        </is>
      </c>
      <c r="N1551" t="inlineStr">
        <is>
          <t>Article</t>
        </is>
      </c>
      <c r="T1551" t="inlineStr">
        <is>
          <t>HEALTH DAMAGES FROM INDOOR AIR POLLUTION QUANTIFIED USING A NOVEL OFFICE BUILDING DIAGNOSIS METHODOLOGY</t>
        </is>
      </c>
      <c r="U1551" t="inlineStr">
        <is>
          <t>damage index; office; indoor air quality diagnosis; receptor; source contribution</t>
        </is>
      </c>
      <c r="V1551" t="inlineStr">
        <is>
          <t>VOLATILE ORGANIC-COMPOUNDS; SOURCE APPORTIONMENT; MASS-BALANCE; POLLUTANTS; QUALITY; VOCS; EQUIPMENT; EMISSIONS; SYMPTOMS; EXPOSURE</t>
        </is>
      </c>
      <c r="W1551" t="inlineStr">
        <is>
          <t>This study applied a novel receptor design to the development of an indoor air quality diagnosis (IAQD) system. Indoor air pollutants were converted into simple air quality and health damage indices to evaluate the health risks associated with renovated and unrenovated offices. The outcomes of the IAQD methodology presented R-2 values of 0.705 and 0.700 for renovated and unrenovated offices, respectively. These values indicate moderate level of prediction accuracy. IAQD results related to typical offices showed that the primary contributor to health damage in unrenovated offices was human activity, whereas the primary contributor to health damage in renovated offices was the materials used for decor. Minimizing human activity (sources of major PM10 and CO2) in unrenovated offices could reduce health damage by up to 34.45%. In renovated offices, minimizing the use of toxic materials (sources of HCHO and TVOC) could reduce health damage by up to 56.86%. The proposed indoor air quality diagnosis method can be applied to determine the degree to which pollution sources contribute to indoor air pollution and to provide a simple convenient tool with which to improve indoor air quality and thereby reduce damage to human health.</t>
        </is>
      </c>
      <c r="X1551" t="inlineStr">
        <is>
          <t>[Tseng, Chao-Heng] Natl Taipei Univ Technol, Inst Environm Engn &amp; Management, Taipei, Taiwan; 1,Sec 3,Chung Hsiao E Rd, Taipei 106, Taiwan</t>
        </is>
      </c>
      <c r="Y1551" t="inlineStr">
        <is>
          <t>National Taipei University of Technology</t>
        </is>
      </c>
      <c r="Z1551" t="inlineStr">
        <is>
          <t>Tseng, CH (corresponding author), Natl Taipei Univ Technol, Inst Environm Engn &amp; Management, Taipei, Taiwan.</t>
        </is>
      </c>
      <c r="AA1551" t="inlineStr">
        <is>
          <t>t5679035@ntut.edu.tw</t>
        </is>
      </c>
      <c r="AH1551" t="n">
        <v>36</v>
      </c>
      <c r="AI1551" t="n">
        <v>6</v>
      </c>
      <c r="AJ1551" t="n">
        <v>6</v>
      </c>
      <c r="AK1551" t="n">
        <v>0</v>
      </c>
      <c r="AL1551" t="n">
        <v>9</v>
      </c>
      <c r="AM1551" t="inlineStr">
        <is>
          <t>GH ASACHI TECHNICAL UNIV IASI</t>
        </is>
      </c>
      <c r="AN1551" t="inlineStr">
        <is>
          <t>IASI</t>
        </is>
      </c>
      <c r="AO1551" t="inlineStr">
        <is>
          <t>71 MANGERON BLVD, IASI, 700050, ROMANIA</t>
        </is>
      </c>
      <c r="AP1551" t="inlineStr">
        <is>
          <t>1582-9596</t>
        </is>
      </c>
      <c r="AQ1551" t="inlineStr">
        <is>
          <t>1843-3707</t>
        </is>
      </c>
      <c r="AS1551" t="inlineStr">
        <is>
          <t>ENVIRON ENG MANAG J</t>
        </is>
      </c>
      <c r="AT1551" t="inlineStr">
        <is>
          <t>Environ. Eng. Manag. J.</t>
        </is>
      </c>
      <c r="AU1551" t="inlineStr">
        <is>
          <t>SEP</t>
        </is>
      </c>
      <c r="AV1551" t="n">
        <v>2018</v>
      </c>
      <c r="AW1551" t="n">
        <v>17</v>
      </c>
      <c r="AX1551" t="n">
        <v>9</v>
      </c>
      <c r="BC1551" t="n">
        <v>2061</v>
      </c>
      <c r="BD1551" t="n">
        <v>2069</v>
      </c>
      <c r="BJ1551" t="n">
        <v>9</v>
      </c>
      <c r="BK1551" t="inlineStr">
        <is>
          <t>Environmental Sciences</t>
        </is>
      </c>
      <c r="BL1551" t="inlineStr">
        <is>
          <t>Science Citation Index Expanded (SCI-EXPANDED)</t>
        </is>
      </c>
      <c r="BM1551" t="inlineStr">
        <is>
          <t>Environmental Sciences &amp; Ecology</t>
        </is>
      </c>
      <c r="BN1551" t="inlineStr">
        <is>
          <t>HA9TY</t>
        </is>
      </c>
      <c r="BS1551" t="inlineStr">
        <is>
          <t>2023-10-26</t>
        </is>
      </c>
      <c r="BT1551" t="inlineStr">
        <is>
          <t>WOS:000450651200005</t>
        </is>
      </c>
      <c r="BU1551">
        <f>HYPERLINK("https%3A%2F%2Fwww.webofscience.com%2Fwos%2Fwoscc%2Ffull-record%2FWOS:000450651200005","View Full Record in Web of Science")</f>
        <v/>
      </c>
    </row>
    <row r="1552">
      <c r="A1552" t="inlineStr">
        <is>
          <t>J</t>
        </is>
      </c>
      <c r="B1552" t="inlineStr">
        <is>
          <t>Harden, SR; Schuurman, N; Keller, P; Lear, SA</t>
        </is>
      </c>
      <c r="F1552" t="inlineStr">
        <is>
          <t>Harden, Stella R.; Schuurman, Nadine; Keller, Peter; Lear, Scott A.</t>
        </is>
      </c>
      <c r="J1552" t="inlineStr">
        <is>
          <t>INTERNATIONAL JOURNAL OF ENVIRONMENTAL RESEARCH AND PUBLIC HEALTH</t>
        </is>
      </c>
      <c r="M1552" t="inlineStr">
        <is>
          <t>English</t>
        </is>
      </c>
      <c r="N1552" t="inlineStr">
        <is>
          <t>Article</t>
        </is>
      </c>
      <c r="T1552" t="inlineStr">
        <is>
          <t>Neighborhood Characteristics Associated with Running in Metro Vancouver: A Preliminary Analysis</t>
        </is>
      </c>
      <c r="U1552" t="inlineStr">
        <is>
          <t>running; environmental preferences; built environments; crowdsourced data; Strava; GIS; public health</t>
        </is>
      </c>
      <c r="V1552" t="inlineStr">
        <is>
          <t>URBAN GREEN SPACE; PHYSICAL-ACTIVITY; PUBLIC-HEALTH; POPULATION HEALTH; ENVIRONMENT; DEPRIVATION; ACCESSIBILITY; AVAILABILITY; MORTALITY; EXERCISE</t>
        </is>
      </c>
      <c r="W1552" t="inlineStr">
        <is>
          <t>Running can improve physical health and psychological wellbeing. However, the characteristics of conducive running environments are relatively unknown. This study determines neighborhood factors that attract running and explores how age and gender mediate built environment preferences. Spatial patterns of runners in Metro Vancouver were identified using crowdsourced fitness data from Strava, a popular application for tracking physical activities. The influence of socio-economic status (SES), green and/or blue space, and urbanicity on route popularity was assessed using a Generalized Linear Model (GLM). The influence of these neighborhood variables was also calculated for runners by age and gender. The results show high neighborhood SES, the presence of green and/or blue space, and high population density are associated with increased running activities in all age and gender groups. This study contributes a novel approach to understanding conducive running environments by demonstrating the utility of crowdsourced data in combination with data about urban environments. The patterns of this large group of runners can be used to inform planning for cities that promote running, as well as seek to encourage equal participation among different ages and genders.</t>
        </is>
      </c>
      <c r="X1552" t="inlineStr">
        <is>
          <t>[Harden, Stella R.; Schuurman, Nadine; Keller, Peter] Simon Fraser Univ, Fac Environm, 8888 Univ Dr, Burnaby, BC V5A 1S6, Canada; [Lear, Scott A.] Simon Fraser Univ, Fac Hlth Sci, 8888 Univ Dr, Burnaby, BC V5A 1S6, Canada</t>
        </is>
      </c>
      <c r="Y1552" t="inlineStr">
        <is>
          <t>Simon Fraser University; Simon Fraser University</t>
        </is>
      </c>
      <c r="Z1552" t="inlineStr">
        <is>
          <t>Harden, SR (corresponding author), Simon Fraser Univ, Fac Environm, 8888 Univ Dr, Burnaby, BC V5A 1S6, Canada.</t>
        </is>
      </c>
      <c r="AA1552" t="inlineStr">
        <is>
          <t>stella_harden@sfu.ca</t>
        </is>
      </c>
      <c r="AD1552" t="inlineStr">
        <is>
          <t>Social Sciences and Humanities Research Council Insight Grant [435 2018 0114]</t>
        </is>
      </c>
      <c r="AE1552" t="inlineStr">
        <is>
          <t>Social Sciences and Humanities Research Council Insight Grant(Social Sciences and Humanities Research Council of Canada (SSHRC))</t>
        </is>
      </c>
      <c r="AF1552" t="inlineStr">
        <is>
          <t>This research was funded by a Social Sciences and Humanities Research Council Insight Grant (Appl. ID: 435 2018 0114).</t>
        </is>
      </c>
      <c r="AH1552" t="n">
        <v>85</v>
      </c>
      <c r="AI1552" t="n">
        <v>0</v>
      </c>
      <c r="AJ1552" t="n">
        <v>0</v>
      </c>
      <c r="AK1552" t="n">
        <v>11</v>
      </c>
      <c r="AL1552" t="n">
        <v>23</v>
      </c>
      <c r="AM1552" t="inlineStr">
        <is>
          <t>MDPI</t>
        </is>
      </c>
      <c r="AN1552" t="inlineStr">
        <is>
          <t>BASEL</t>
        </is>
      </c>
      <c r="AO1552" t="inlineStr">
        <is>
          <t>ST ALBAN-ANLAGE 66, CH-4052 BASEL, SWITZERLAND</t>
        </is>
      </c>
      <c r="AQ1552" t="inlineStr">
        <is>
          <t>1660-4601</t>
        </is>
      </c>
      <c r="AS1552" t="inlineStr">
        <is>
          <t>INT J ENV RES PUB HE</t>
        </is>
      </c>
      <c r="AT1552" t="inlineStr">
        <is>
          <t>Int. J. Environ. Res. Public Health</t>
        </is>
      </c>
      <c r="AU1552" t="inlineStr">
        <is>
          <t>NOV</t>
        </is>
      </c>
      <c r="AV1552" t="n">
        <v>2022</v>
      </c>
      <c r="AW1552" t="n">
        <v>19</v>
      </c>
      <c r="AX1552" t="n">
        <v>21</v>
      </c>
      <c r="BE1552" t="n">
        <v>14328</v>
      </c>
      <c r="BF1552" t="inlineStr">
        <is>
          <t>10.3390/ijerph192114328</t>
        </is>
      </c>
      <c r="BG1552">
        <f>HYPERLINK("http://dx.doi.org/10.3390/ijerph192114328","http://dx.doi.org/10.3390/ijerph192114328")</f>
        <v/>
      </c>
      <c r="BJ1552" t="n">
        <v>13</v>
      </c>
      <c r="BK1552" t="inlineStr">
        <is>
          <t>Environmental Sciences; Public, Environmental &amp; Occupational Health</t>
        </is>
      </c>
      <c r="BL1552" t="inlineStr">
        <is>
          <t>Science Citation Index Expanded (SCI-EXPANDED); Social Science Citation Index (SSCI)</t>
        </is>
      </c>
      <c r="BM1552" t="inlineStr">
        <is>
          <t>Environmental Sciences &amp; Ecology; Public, Environmental &amp; Occupational Health</t>
        </is>
      </c>
      <c r="BN1552" t="inlineStr">
        <is>
          <t>6F2QX</t>
        </is>
      </c>
      <c r="BO1552" t="n">
        <v>36361206</v>
      </c>
      <c r="BP1552" t="inlineStr">
        <is>
          <t>Green Published, gold</t>
        </is>
      </c>
      <c r="BS1552" t="inlineStr">
        <is>
          <t>2023-10-26</t>
        </is>
      </c>
      <c r="BT1552" t="inlineStr">
        <is>
          <t>WOS:000883913300001</t>
        </is>
      </c>
      <c r="BU1552">
        <f>HYPERLINK("https%3A%2F%2Fwww.webofscience.com%2Fwos%2Fwoscc%2Ffull-record%2FWOS:000883913300001","View Full Record in Web of Science")</f>
        <v/>
      </c>
    </row>
    <row r="1553">
      <c r="A1553" t="inlineStr">
        <is>
          <t>J</t>
        </is>
      </c>
      <c r="B1553" t="inlineStr">
        <is>
          <t>Wlodarczyk, D; Chylinska, J</t>
        </is>
      </c>
      <c r="F1553" t="inlineStr">
        <is>
          <t>Wlodarczyk, Dorota; Chylinska, Joanna</t>
        </is>
      </c>
      <c r="J1553" t="inlineStr">
        <is>
          <t>INTERNATIONAL JOURNAL OF ENVIRONMENTAL RESEARCH AND PUBLIC HEALTH</t>
        </is>
      </c>
      <c r="M1553" t="inlineStr">
        <is>
          <t>English</t>
        </is>
      </c>
      <c r="N1553" t="inlineStr">
        <is>
          <t>Article</t>
        </is>
      </c>
      <c r="T1553" t="inlineStr">
        <is>
          <t>Profiles of Health-Related Patient Activation and Their Determinants: The Results of a Cluster Analysis of Older Adults-Conclusions for Patient Counselling</t>
        </is>
      </c>
      <c r="U1553" t="inlineStr">
        <is>
          <t>patient activation; older adults; patients expectations; proactivity profile</t>
        </is>
      </c>
      <c r="V1553" t="inlineStr">
        <is>
          <t>CARE EXPERIENCES; SELF-MANAGEMENT; OUTCOMES; COMMUNICATION; PREFERENCES; PHYSICIAN; DOCTORS; QUALITY; PEOPLE; NEEDS</t>
        </is>
      </c>
      <c r="W1553" t="inlineStr">
        <is>
          <t>Health-related proactivity in older adults may significantly increase medication handling, adherence and patient safety. Deficiencies in training in critical characteristics and diversity of older patients may lead to medical errors in diagnosis and drug administration. This study investigated the profiles of health proactivity in older adults and the factors differentiating them, like sociodemographic factors, health status, visit characteristics, and patients' visit-related expectations, actual experiences, and satisfaction with the visit. Before and after visits, 3391 patients aged 65-95 filled in two sets of questionnaires, that allowed to measure aforementioned factors. Three distinct proactivity profiles emerged from a cluster analysis: high (43%), medium (25%), and low proactivity (32%). Highly proactive patients had the highest expectations, but their visits provided better opportunities to meet them than in other groups. Higher proactivity was related to a longer attendance time, frequent contact with and easier access to the doctor, or a longer time spent with a patient. The findings highlight the need to detect and respond to patients' expectations regarding psychosocial aspects of care, as well as to improve organizational aspects of care, in order to enhance health proactivity in older adults. The resulting good practice recommendations may significantly improve healthcare workers' effectiveness in both primary and secondary care.</t>
        </is>
      </c>
      <c r="X1553" t="inlineStr">
        <is>
          <t>[Wlodarczyk, Dorota; Chylinska, Joanna] Med Univ Warsaw, Dept Hlth Psychol, PL-00575 Warsaw, Poland</t>
        </is>
      </c>
      <c r="Y1553" t="inlineStr">
        <is>
          <t>Medical University of Warsaw</t>
        </is>
      </c>
      <c r="Z1553" t="inlineStr">
        <is>
          <t>Chylinska, J (corresponding author), Med Univ Warsaw, Dept Hlth Psychol, PL-00575 Warsaw, Poland.</t>
        </is>
      </c>
      <c r="AA1553" t="inlineStr">
        <is>
          <t>dorota.wlodarczyk@wum.edu.pl; joanna.chylinska@wum.edu.pl</t>
        </is>
      </c>
      <c r="AB1553" t="inlineStr">
        <is>
          <t>Wlodarczyk, Dorota/W-1684-2018</t>
        </is>
      </c>
      <c r="AC1553" t="inlineStr">
        <is>
          <t>Wlodarczyk, Dorota/0000-0002-0707-9503; Chylinska, Joanna/0000-0002-9129-319X</t>
        </is>
      </c>
      <c r="AH1553" t="n">
        <v>50</v>
      </c>
      <c r="AI1553" t="n">
        <v>1</v>
      </c>
      <c r="AJ1553" t="n">
        <v>1</v>
      </c>
      <c r="AK1553" t="n">
        <v>0</v>
      </c>
      <c r="AL1553" t="n">
        <v>4</v>
      </c>
      <c r="AM1553" t="inlineStr">
        <is>
          <t>MDPI</t>
        </is>
      </c>
      <c r="AN1553" t="inlineStr">
        <is>
          <t>BASEL</t>
        </is>
      </c>
      <c r="AO1553" t="inlineStr">
        <is>
          <t>ST ALBAN-ANLAGE 66, CH-4052 BASEL, SWITZERLAND</t>
        </is>
      </c>
      <c r="AQ1553" t="inlineStr">
        <is>
          <t>1660-4601</t>
        </is>
      </c>
      <c r="AS1553" t="inlineStr">
        <is>
          <t>INT J ENV RES PUB HE</t>
        </is>
      </c>
      <c r="AT1553" t="inlineStr">
        <is>
          <t>Int. J. Environ. Res. Public Health</t>
        </is>
      </c>
      <c r="AU1553" t="inlineStr">
        <is>
          <t>FEB</t>
        </is>
      </c>
      <c r="AV1553" t="n">
        <v>2022</v>
      </c>
      <c r="AW1553" t="n">
        <v>19</v>
      </c>
      <c r="AX1553" t="n">
        <v>4</v>
      </c>
      <c r="BE1553" t="n">
        <v>2487</v>
      </c>
      <c r="BF1553" t="inlineStr">
        <is>
          <t>10.3390/ijerph19042487</t>
        </is>
      </c>
      <c r="BG1553">
        <f>HYPERLINK("http://dx.doi.org/10.3390/ijerph19042487","http://dx.doi.org/10.3390/ijerph19042487")</f>
        <v/>
      </c>
      <c r="BJ1553" t="n">
        <v>12</v>
      </c>
      <c r="BK1553" t="inlineStr">
        <is>
          <t>Environmental Sciences; Public, Environmental &amp; Occupational Health</t>
        </is>
      </c>
      <c r="BL1553" t="inlineStr">
        <is>
          <t>Science Citation Index Expanded (SCI-EXPANDED); Social Science Citation Index (SSCI)</t>
        </is>
      </c>
      <c r="BM1553" t="inlineStr">
        <is>
          <t>Environmental Sciences &amp; Ecology; Public, Environmental &amp; Occupational Health</t>
        </is>
      </c>
      <c r="BN1553" t="inlineStr">
        <is>
          <t>ZR0TC</t>
        </is>
      </c>
      <c r="BO1553" t="n">
        <v>35206672</v>
      </c>
      <c r="BP1553" t="inlineStr">
        <is>
          <t>gold, Green Published</t>
        </is>
      </c>
      <c r="BS1553" t="inlineStr">
        <is>
          <t>2023-10-26</t>
        </is>
      </c>
      <c r="BT1553" t="inlineStr">
        <is>
          <t>WOS:000767505200001</t>
        </is>
      </c>
      <c r="BU1553">
        <f>HYPERLINK("https%3A%2F%2Fwww.webofscience.com%2Fwos%2Fwoscc%2Ffull-record%2FWOS:000767505200001","View Full Record in Web of Science")</f>
        <v/>
      </c>
    </row>
    <row r="1554">
      <c r="A1554" t="inlineStr">
        <is>
          <t>J</t>
        </is>
      </c>
      <c r="B1554" t="inlineStr">
        <is>
          <t>Tan, QY; Lv, YB; Zhao, F; Zhou, JH; Yang, Y; Liu, YC; Zhang, MY; Lu, F; Wei, Y; Chen, X; Zhang, RZ; Chen, C; Wu, B; Zhang, XC; Li, CC; Huang, HY; Cai, JF; Cao, ZJ; Yu, D; Ji, JS; Zhao, SH; Shi, XM</t>
        </is>
      </c>
      <c r="F1554" t="inlineStr">
        <is>
          <t>Tan, Qiyue; Lv, Yuebin; Zhao, Feng; Zhou, Jinhui; Yang, Yang; Liu, Yingchun; Zhang, Mingyuan; Lu, Feng; Wei, Yuan; Chen, Xin; Zhang, Ruizhi; Chen, Chen; Wu, Bing; Zhang, Xiaochang; Li, Chengcheng; Huang, Hongyuan; Cai, Junfang; Cao, Zhaojin; Yu, Di; Ji, John S.; Zhao, Shuhua; Shi, Xiaoming</t>
        </is>
      </c>
      <c r="J1554" t="inlineStr">
        <is>
          <t>SCIENCE OF THE TOTAL ENVIRONMENT</t>
        </is>
      </c>
      <c r="M1554" t="inlineStr">
        <is>
          <t>English</t>
        </is>
      </c>
      <c r="N1554" t="inlineStr">
        <is>
          <t>Article</t>
        </is>
      </c>
      <c r="T1554" t="inlineStr">
        <is>
          <t>Association of low blood arsenic exposure with level of malondialdehyde among Chinese adults aged 65 and older</t>
        </is>
      </c>
      <c r="U1554" t="inlineStr">
        <is>
          <t>Blood arsenic; Malondialdehyde; Older adults; Restricted cubic spline</t>
        </is>
      </c>
      <c r="V1554" t="inlineStr">
        <is>
          <t>OXIDATIVE STRESS; EPITHELIAL-CELLS; MALE-INFERTILITY; POPULATION; MECHANISMS; BIOMARKERS; TOLERANCE; TOXICITY; PLASMA; HEALTH</t>
        </is>
      </c>
      <c r="W1554" t="inlineStr">
        <is>
          <t>High environmental arsenic exposure can increase chronic oxidative stress in experimental studies and in occupational epidemiology studies. Many regulatory agencies have put forth arsenic exposure limits, it is still unclear that whether low environmental arsenic exposure was associated with adverse health outcome in general population. This study aimed to explore the association of low blood arsenic with malondialdehyde in community-dwelling older adults. We used a cross-sectional study of 2384 older adult individuals aged &gt;= 65 years (mean age: 85 years) from the Healthy Aging and Biomarkers Cohort Study in 2017. The median blood arsenic level was 1.41 mu g/L. High oxidative stress was categorized according to the 95th percentile of MDA levels (7.47 nmol/mL). Restricted cubic spline models showed that blood arsenic levels were positively associated with malondialdehyde levels (P &lt; 0.01); and the risk of high oxidative stress was no longer significantly increased when blood arsenic level up to 8.74 mu g/L. After adjusting for potential confounders, the odds ratios of high oxidative stress for the second, third, and fourth quartiles of blood arsenic were 2.35 (1.11-4.96), 3.87 (1.90-7.91), and 4.18 (2.00-8.72) (P-trend &lt; 0.01), compared with the first quartile. We concluded that even low arsenic exposure was associated with higher risk of oxidative stress, in a nonlinear dose-response. (C) 2020 Elsevier B.V. All rights reserved.</t>
        </is>
      </c>
      <c r="X1554" t="inlineStr">
        <is>
          <t>[Tan, Qiyue; Lv, Yuebin; Zhao, Feng; Zhou, Jinhui; Liu, Yingchun; Zhang, Mingyuan; Wei, Yuan; Chen, Xin; Chen, Chen; Wu, Bing; Zhang, Xiaochang; Li, Chengcheng; Cai, Junfang; Cao, Zhaojin; Shi, Xiaoming] Chinese Ctr Dis Control &amp; Prevent, China CDC Key Lab Environm &amp; Populat Hlth, Natl Inst Environm Hlth, Beijing, Peoples R China; [Zhang, Mingyuan; Wei, Yuan; Chen, Xin; Zhang, Ruizhi; Huang, Hongyuan; Zhao, Shuhua] Jilin Univ, Sch Publ Hlth, Changchun, Jilin, Peoples R China; [Yang, Yang; Yu, Di] Univ Queensland, Diamantina Inst, Brisbane, Qld, Australia; [Lu, Feng] Beijing Municipal Hlth Commiss, Policy Res Ctr, Informat Ctr, Beijing 100034, Peoples R China; [Wu, Bing; Shi, Xiaoming] Nanjing Med Univ, Ctr Global Hlth, Sch Publ Hlth, Nanjing, Peoples R China; [Ji, John S.] Duke Kunshan Univ, Environm Res Ctr, Kunshan, Jiangsu, Peoples R China; [Ji, John S.] Duke Univ, Nicholas Sch Environm, Durham, NC 27708 USA</t>
        </is>
      </c>
      <c r="Y1554" t="inlineStr">
        <is>
          <t>Chinese Center for Disease Control &amp; Prevention; National Institute of Environmental Health, Chinese Center for Disease Control &amp; Prevention; Jilin University; University of Queensland; Nanjing Medical University; Duke Kunshan University; Duke University</t>
        </is>
      </c>
      <c r="Z1554" t="inlineStr">
        <is>
          <t>Shi, XM (corresponding author), Chinese Ctr Dis Control &amp; Prevent, Natl Inst Environm Hlth, Beijing, Peoples R China.</t>
        </is>
      </c>
      <c r="AA1554" t="inlineStr">
        <is>
          <t>shixm@chinacdc.cn</t>
        </is>
      </c>
      <c r="AB1554" t="inlineStr">
        <is>
          <t>zhang, xiaochang/G-4857-2014; Shi, Xiaoming/AAU-9860-2021; Zhou, Jinhui/AGE-4389-2022; wu, yunhui/JGD-6838-2023; lin, qing/JED-5250-2023; Shi, Xiaoming/V-2119-2018; , Di Yu/C-2163-2009; LIU, YING/GZL-7252-2022; liu, ying/GXF-4294-2022; Wu, Bing/H-8245-2014; Ji, John S./AAT-4219-2021</t>
        </is>
      </c>
      <c r="AC1554" t="inlineStr">
        <is>
          <t>zhang, xiaochang/0000-0001-5768-7470; Shi, Xiaoming/0000-0002-7071-571X; , Di Yu/0000-0003-1721-8922; Wu, Bing/0000-0001-7117-580X; Ji, John S./0000-0002-5002-118X; , Jiansong/0000-0001-6975-620X</t>
        </is>
      </c>
      <c r="AD1554" t="inlineStr">
        <is>
          <t>National Key Research and Development Program of China [2018YFC2000400]; National Natural Science Foundation of China [81573207, 81573247]; U.S. National Institute on Aging [2P01AG031719, 3P01AG031719-07S1]</t>
        </is>
      </c>
      <c r="AE1554" t="inlineStr">
        <is>
          <t>National Key Research and Development Program of China; National Natural Science Foundation of China(National Natural Science Foundation of China (NSFC)); U.S. National Institute on Aging(United States Department of Health &amp; Human ServicesNational Institutes of Health (NIH) - USANIH National Institute on Aging (NIA))</t>
        </is>
      </c>
      <c r="AF1554" t="inlineStr">
        <is>
          <t>The study was jointly supported by National Key Research and Development Program of China [grant numbers 2018YFC2000400], National Natural Science Foundation of China [grant numbers 81573207 and 81573247], the U.S. National Institute on Aging [grant numbers 2P01AG031719 and 3P01AG031719-07S1].</t>
        </is>
      </c>
      <c r="AH1554" t="n">
        <v>66</v>
      </c>
      <c r="AI1554" t="n">
        <v>3</v>
      </c>
      <c r="AJ1554" t="n">
        <v>3</v>
      </c>
      <c r="AK1554" t="n">
        <v>0</v>
      </c>
      <c r="AL1554" t="n">
        <v>15</v>
      </c>
      <c r="AM1554" t="inlineStr">
        <is>
          <t>ELSEVIER</t>
        </is>
      </c>
      <c r="AN1554" t="inlineStr">
        <is>
          <t>AMSTERDAM</t>
        </is>
      </c>
      <c r="AO1554" t="inlineStr">
        <is>
          <t>RADARWEG 29, 1043 NX AMSTERDAM, NETHERLANDS</t>
        </is>
      </c>
      <c r="AP1554" t="inlineStr">
        <is>
          <t>0048-9697</t>
        </is>
      </c>
      <c r="AQ1554" t="inlineStr">
        <is>
          <t>1879-1026</t>
        </is>
      </c>
      <c r="AS1554" t="inlineStr">
        <is>
          <t>SCI TOTAL ENVIRON</t>
        </is>
      </c>
      <c r="AT1554" t="inlineStr">
        <is>
          <t>Sci. Total Environ.</t>
        </is>
      </c>
      <c r="AU1554" t="inlineStr">
        <is>
          <t>MAR 1</t>
        </is>
      </c>
      <c r="AV1554" t="n">
        <v>2021</v>
      </c>
      <c r="AW1554" t="n">
        <v>758</v>
      </c>
      <c r="BE1554" t="n">
        <v>143638</v>
      </c>
      <c r="BF1554" t="inlineStr">
        <is>
          <t>10.1016/j.scitotenv.2020.143638</t>
        </is>
      </c>
      <c r="BG1554">
        <f>HYPERLINK("http://dx.doi.org/10.1016/j.scitotenv.2020.143638","http://dx.doi.org/10.1016/j.scitotenv.2020.143638")</f>
        <v/>
      </c>
      <c r="BI1554" t="inlineStr">
        <is>
          <t>JAN 2021</t>
        </is>
      </c>
      <c r="BJ1554" t="n">
        <v>8</v>
      </c>
      <c r="BK1554" t="inlineStr">
        <is>
          <t>Environmental Sciences</t>
        </is>
      </c>
      <c r="BL1554" t="inlineStr">
        <is>
          <t>Science Citation Index Expanded (SCI-EXPANDED)</t>
        </is>
      </c>
      <c r="BM1554" t="inlineStr">
        <is>
          <t>Environmental Sciences &amp; Ecology</t>
        </is>
      </c>
      <c r="BN1554" t="inlineStr">
        <is>
          <t>PP1JB</t>
        </is>
      </c>
      <c r="BO1554" t="n">
        <v>33288260</v>
      </c>
      <c r="BP1554" t="inlineStr">
        <is>
          <t>Green Accepted</t>
        </is>
      </c>
      <c r="BS1554" t="inlineStr">
        <is>
          <t>2023-10-26</t>
        </is>
      </c>
      <c r="BT1554" t="inlineStr">
        <is>
          <t>WOS:000605623800051</t>
        </is>
      </c>
      <c r="BU1554">
        <f>HYPERLINK("https%3A%2F%2Fwww.webofscience.com%2Fwos%2Fwoscc%2Ffull-record%2FWOS:000605623800051","View Full Record in Web of Science")</f>
        <v/>
      </c>
    </row>
    <row r="1555">
      <c r="A1555" t="inlineStr">
        <is>
          <t>J</t>
        </is>
      </c>
      <c r="B1555" t="inlineStr">
        <is>
          <t>Khan, MJ; Kannan, P; Wong, TWL; Fong, KNK; Winser, SJ</t>
        </is>
      </c>
      <c r="F1555" t="inlineStr">
        <is>
          <t>Khan, Mohammad Jobair; Kannan, Priya; Wong, Thomson Wai-Lung; Fong, Kenneth N. K.; Winser, Stanley John</t>
        </is>
      </c>
      <c r="J1555" t="inlineStr">
        <is>
          <t>INTERNATIONAL JOURNAL OF ENVIRONMENTAL RESEARCH AND PUBLIC HEALTH</t>
        </is>
      </c>
      <c r="M1555" t="inlineStr">
        <is>
          <t>English</t>
        </is>
      </c>
      <c r="N1555" t="inlineStr">
        <is>
          <t>Review</t>
        </is>
      </c>
      <c r="T1555" t="inlineStr">
        <is>
          <t>A Systematic Review Exploring the Theories Underlying the Improvement of Balance and Reduction in Falls Following Dual-Task Training among Older Adults</t>
        </is>
      </c>
      <c r="U1555" t="inlineStr">
        <is>
          <t>motor cognitive interference; postural control; falls; older adults</t>
        </is>
      </c>
      <c r="V1555" t="inlineStr">
        <is>
          <t>WHITE-MATTER LESIONS; ADJUSTED LIFE-YEARS; QUALITY-OF-LIFE; ATTENTIONAL DEMANDS; ELDERLY-PEOPLE; SINGLE-TASK; POSTURAL STABILITY; OBSTACLE AVOIDANCE; IMPROVING BALANCE; GLOBAL BURDEN</t>
        </is>
      </c>
      <c r="W1555" t="inlineStr">
        <is>
          <t>Background: Balance impairment causes frequent falls in older adults, and preventing falls remains challenging. Dual-task (DT) training reduces falls by improving balance, but the precise theory is not fully understood. This review aims to explore the theories underlying the effectiveness of DT in improving balance and reducing falls in older adults. Methods: Eleven electronic databases were searched from database inception to June 2022. Two reviewers independently performed study screening and data extraction. The risk of bias (RoB) in the included studies was assessed using the Cochrane Collaboration RoB 2 tool. Results: The searches yielded 1478 citations, of which 30 studies met the inclusion criteria and were included in the review. Twenty-two of the 30 included studies utilized the motor-cognitive type of DT for training, while six used motor-motor and two utilized cognitive-cognitive DT. The included studies reported 20 different theories to explain the effectiveness of DT for improving balance and reducing falls in older adults. The predominant theory identified in the included studies was attention theory (n = 14). Overall, 26 studies reported improved balance and five studies found a reduction in fall incidence following DT training. Balance and falls improved significantly in 15 motor-cognitive DT intervention studies. Conclusion: Attention shifting between two tasks is reported to occur following DT training. Motor-cognitive DT training improves balance and reduces fall incidence in older adults by shifting attention based on the difficulty and priority of a task from the motor to the cognitive task.</t>
        </is>
      </c>
      <c r="X1555" t="inlineStr">
        <is>
          <t>[Khan, Mohammad Jobair; Kannan, Priya; Wong, Thomson Wai-Lung; Fong, Kenneth N. K.; Winser, Stanley John] Hong Kong Polytech Univ, Dept Rehabil Sci, Kowloon, Hong Kong 999077, Peoples R China</t>
        </is>
      </c>
      <c r="Y1555" t="inlineStr">
        <is>
          <t>Hong Kong Polytechnic University</t>
        </is>
      </c>
      <c r="Z1555" t="inlineStr">
        <is>
          <t>Winser, SJ (corresponding author), Hong Kong Polytech Univ, Dept Rehabil Sci, Kowloon, Hong Kong 999077, Peoples R China.</t>
        </is>
      </c>
      <c r="AA1555" t="inlineStr">
        <is>
          <t>stanley.j.winser@polyu.edu.hk</t>
        </is>
      </c>
      <c r="AB1555" t="inlineStr">
        <is>
          <t>Khan, Jobair/ABB-4338-2022</t>
        </is>
      </c>
      <c r="AC1555" t="inlineStr">
        <is>
          <t>Khan, Jobair/0000-0002-9418-1759; Winser, Stanley/0000-0002-8766-3688</t>
        </is>
      </c>
      <c r="AD1555" t="inlineStr">
        <is>
          <t>Health and Medical Research Fund (HMRF), Hong Kong; Social Sciences and Health Sciences, HKPolyU [04190268]; [ZVSU]</t>
        </is>
      </c>
      <c r="AE1555" t="inlineStr">
        <is>
          <t>Health and Medical Research Fund (HMRF), Hong Kong; Social Sciences and Health Sciences, HKPolyU;</t>
        </is>
      </c>
      <c r="AF1555" t="inlineStr">
        <is>
          <t>This review is funded by: The Health and Medical Research Fund (HMRF), Hong Kong (Project ID: 04190268); The Faculty Collaborative Research Scheme between Social Sciences and Health Sciences, HKPolyU [Ref: ZVSU].</t>
        </is>
      </c>
      <c r="AH1555" t="n">
        <v>148</v>
      </c>
      <c r="AI1555" t="n">
        <v>1</v>
      </c>
      <c r="AJ1555" t="n">
        <v>1</v>
      </c>
      <c r="AK1555" t="n">
        <v>3</v>
      </c>
      <c r="AL1555" t="n">
        <v>6</v>
      </c>
      <c r="AM1555" t="inlineStr">
        <is>
          <t>MDPI</t>
        </is>
      </c>
      <c r="AN1555" t="inlineStr">
        <is>
          <t>BASEL</t>
        </is>
      </c>
      <c r="AO1555" t="inlineStr">
        <is>
          <t>ST ALBAN-ANLAGE 66, CH-4052 BASEL, SWITZERLAND</t>
        </is>
      </c>
      <c r="AQ1555" t="inlineStr">
        <is>
          <t>1660-4601</t>
        </is>
      </c>
      <c r="AS1555" t="inlineStr">
        <is>
          <t>INT J ENV RES PUB HE</t>
        </is>
      </c>
      <c r="AT1555" t="inlineStr">
        <is>
          <t>Int. J. Environ. Res. Public Health</t>
        </is>
      </c>
      <c r="AU1555" t="inlineStr">
        <is>
          <t>DEC</t>
        </is>
      </c>
      <c r="AV1555" t="n">
        <v>2022</v>
      </c>
      <c r="AW1555" t="n">
        <v>19</v>
      </c>
      <c r="AX1555" t="n">
        <v>24</v>
      </c>
      <c r="BE1555" t="n">
        <v>16890</v>
      </c>
      <c r="BF1555" t="inlineStr">
        <is>
          <t>10.3390/ijerph192416890</t>
        </is>
      </c>
      <c r="BG1555">
        <f>HYPERLINK("http://dx.doi.org/10.3390/ijerph192416890","http://dx.doi.org/10.3390/ijerph192416890")</f>
        <v/>
      </c>
      <c r="BJ1555" t="n">
        <v>33</v>
      </c>
      <c r="BK1555" t="inlineStr">
        <is>
          <t>Environmental Sciences; Public, Environmental &amp; Occupational Health</t>
        </is>
      </c>
      <c r="BL1555" t="inlineStr">
        <is>
          <t>Science Citation Index Expanded (SCI-EXPANDED); Social Science Citation Index (SSCI)</t>
        </is>
      </c>
      <c r="BM1555" t="inlineStr">
        <is>
          <t>Environmental Sciences &amp; Ecology; Public, Environmental &amp; Occupational Health</t>
        </is>
      </c>
      <c r="BN1555" t="inlineStr">
        <is>
          <t>7G4LH</t>
        </is>
      </c>
      <c r="BO1555" t="n">
        <v>36554771</v>
      </c>
      <c r="BP1555" t="inlineStr">
        <is>
          <t>gold, Green Published</t>
        </is>
      </c>
      <c r="BS1555" t="inlineStr">
        <is>
          <t>2023-10-26</t>
        </is>
      </c>
      <c r="BT1555" t="inlineStr">
        <is>
          <t>WOS:000902497500001</t>
        </is>
      </c>
      <c r="BU1555">
        <f>HYPERLINK("https%3A%2F%2Fwww.webofscience.com%2Fwos%2Fwoscc%2Ffull-record%2FWOS:000902497500001","View Full Record in Web of Science")</f>
        <v/>
      </c>
    </row>
    <row r="1556">
      <c r="A1556" t="inlineStr">
        <is>
          <t>J</t>
        </is>
      </c>
      <c r="B1556" t="inlineStr">
        <is>
          <t>Nakane, A; Nakagawa, K; Yamaguchi, K; Yoshimi, K; Hara, Y; Tohara, H</t>
        </is>
      </c>
      <c r="F1556" t="inlineStr">
        <is>
          <t>Nakane, Ayako; Nakagawa, Kazuharu; Yamaguchi, Kohei; Yoshimi, Kanako; Hara, Yoshiko; Tohara, Haruka</t>
        </is>
      </c>
      <c r="J1556" t="inlineStr">
        <is>
          <t>INTERNATIONAL JOURNAL OF ENVIRONMENTAL RESEARCH AND PUBLIC HEALTH</t>
        </is>
      </c>
      <c r="M1556" t="inlineStr">
        <is>
          <t>English</t>
        </is>
      </c>
      <c r="N1556" t="inlineStr">
        <is>
          <t>Article</t>
        </is>
      </c>
      <c r="T1556" t="inlineStr">
        <is>
          <t>Cough Test Results during Screening for Silent Aspiration Are Affected by Risk Factors for Silent Cerebral Infarct in Older Adults with Chronic Disease</t>
        </is>
      </c>
      <c r="U1556" t="inlineStr">
        <is>
          <t>aspiration pneumonia; cough test; older adults; screening test; silent cerebral infarct</t>
        </is>
      </c>
      <c r="V1556" t="inlineStr">
        <is>
          <t>ELDERLY-PATIENTS; REFLEX; PNEUMONIA; SENSITIVITY</t>
        </is>
      </c>
      <c r="W1556" t="inlineStr">
        <is>
          <t>The cough reflex does not change with age. However, older adults with chronic diseases often have a reduced cough reflex. The effects of several risk factors on reduced cough sensitivity in older adults remain unclear. This study aims to clarify the risk factors for reduced cough sensitivity in older adults with chronic diseases. This cross-sectional study included participants aged &lt;65 years (young group; n = 21), those aged &gt;= 65 years (older adults with chronic disease group; n = 18), and those with dysphagia (dysphagia group; n = 16). A cough test was performed on all participants using an ultrasonic nebulizer with a mist of 1% w/v citric acid physiologic saline. Cough response was observed in the young (21/21), older adult (9/18), and dysphagia (13/16) groups. The difference between the young and older adult groups was significant (p &lt; 0.01). The older adult and dysphagia groups had decreased cough sensitivity compared to the younger group. Cough sensitivity was affected by risk factors for silent cerebral infarct and age. Our findings show that cough test results might be affected by risk factors for silent cerebral infarction in older adults with chronic diseases.</t>
        </is>
      </c>
      <c r="X1556" t="inlineStr">
        <is>
          <t>[Nakane, Ayako; Nakagawa, Kazuharu; Yamaguchi, Kohei; Yoshimi, Kanako; Hara, Yoshiko; Tohara, Haruka] Tokyo Med &amp; Dent Univ, Grad Sch Med &amp; Dent Sci, Dept Dysphagia Rehabil, Tokyo 1138549, Japan</t>
        </is>
      </c>
      <c r="Y1556" t="inlineStr">
        <is>
          <t>Tokyo Medical &amp; Dental University (TMDU)</t>
        </is>
      </c>
      <c r="Z1556" t="inlineStr">
        <is>
          <t>Nakane, A (corresponding author), Tokyo Med &amp; Dent Univ, Grad Sch Med &amp; Dent Sci, Dept Dysphagia Rehabil, Tokyo 1138549, Japan.</t>
        </is>
      </c>
      <c r="AA1556" t="inlineStr">
        <is>
          <t>a.nakane.swal@tmd.ac.jp</t>
        </is>
      </c>
      <c r="AC1556" t="inlineStr">
        <is>
          <t>Tohara, Haruka/0000-0001-5514-6419; Ayako, Nakane/0000-0001-9543-1388</t>
        </is>
      </c>
      <c r="AD1556" t="inlineStr">
        <is>
          <t>8020 Promotion Foundation [18-4-12]</t>
        </is>
      </c>
      <c r="AE1556" t="inlineStr">
        <is>
          <t>8020 Promotion Foundation</t>
        </is>
      </c>
      <c r="AF1556" t="inlineStr">
        <is>
          <t>This work was supported by 8020 Promotion Foundation (18-4-12).</t>
        </is>
      </c>
      <c r="AH1556" t="n">
        <v>18</v>
      </c>
      <c r="AI1556" t="n">
        <v>1</v>
      </c>
      <c r="AJ1556" t="n">
        <v>1</v>
      </c>
      <c r="AK1556" t="n">
        <v>0</v>
      </c>
      <c r="AL1556" t="n">
        <v>2</v>
      </c>
      <c r="AM1556" t="inlineStr">
        <is>
          <t>MDPI</t>
        </is>
      </c>
      <c r="AN1556" t="inlineStr">
        <is>
          <t>BASEL</t>
        </is>
      </c>
      <c r="AO1556" t="inlineStr">
        <is>
          <t>ST ALBAN-ANLAGE 66, CH-4052 BASEL, SWITZERLAND</t>
        </is>
      </c>
      <c r="AQ1556" t="inlineStr">
        <is>
          <t>1660-4601</t>
        </is>
      </c>
      <c r="AS1556" t="inlineStr">
        <is>
          <t>INT J ENV RES PUB HE</t>
        </is>
      </c>
      <c r="AT1556" t="inlineStr">
        <is>
          <t>Int. J. Environ. Res. Public Health</t>
        </is>
      </c>
      <c r="AU1556" t="inlineStr">
        <is>
          <t>AUG</t>
        </is>
      </c>
      <c r="AV1556" t="n">
        <v>2022</v>
      </c>
      <c r="AW1556" t="n">
        <v>19</v>
      </c>
      <c r="AX1556" t="n">
        <v>16</v>
      </c>
      <c r="BE1556" t="n">
        <v>10202</v>
      </c>
      <c r="BF1556" t="inlineStr">
        <is>
          <t>10.3390/ijerph191610202</t>
        </is>
      </c>
      <c r="BG1556">
        <f>HYPERLINK("http://dx.doi.org/10.3390/ijerph191610202","http://dx.doi.org/10.3390/ijerph191610202")</f>
        <v/>
      </c>
      <c r="BJ1556" t="n">
        <v>8</v>
      </c>
      <c r="BK1556" t="inlineStr">
        <is>
          <t>Environmental Sciences; Public, Environmental &amp; Occupational Health</t>
        </is>
      </c>
      <c r="BL1556" t="inlineStr">
        <is>
          <t>Science Citation Index Expanded (SCI-EXPANDED); Social Science Citation Index (SSCI)</t>
        </is>
      </c>
      <c r="BM1556" t="inlineStr">
        <is>
          <t>Environmental Sciences &amp; Ecology; Public, Environmental &amp; Occupational Health</t>
        </is>
      </c>
      <c r="BN1556" t="inlineStr">
        <is>
          <t>4B4WA</t>
        </is>
      </c>
      <c r="BO1556" t="n">
        <v>36011839</v>
      </c>
      <c r="BP1556" t="inlineStr">
        <is>
          <t>gold, Green Published</t>
        </is>
      </c>
      <c r="BS1556" t="inlineStr">
        <is>
          <t>2023-10-26</t>
        </is>
      </c>
      <c r="BT1556" t="inlineStr">
        <is>
          <t>WOS:000845778500001</t>
        </is>
      </c>
      <c r="BU1556">
        <f>HYPERLINK("https%3A%2F%2Fwww.webofscience.com%2Fwos%2Fwoscc%2Ffull-record%2FWOS:000845778500001","View Full Record in Web of Science")</f>
        <v/>
      </c>
    </row>
    <row r="1557">
      <c r="A1557" t="inlineStr">
        <is>
          <t>J</t>
        </is>
      </c>
      <c r="B1557" t="inlineStr">
        <is>
          <t>Diodiu, R; Bucur, E; Galaon, T; Pascu, LF</t>
        </is>
      </c>
      <c r="F1557" t="inlineStr">
        <is>
          <t>Diodiu, R.; Bucur, E.; Galaon, T.; Pascu, L. F.</t>
        </is>
      </c>
      <c r="J1557" t="inlineStr">
        <is>
          <t>JOURNAL OF ENVIRONMENTAL PROTECTION AND ECOLOGY</t>
        </is>
      </c>
      <c r="M1557" t="inlineStr">
        <is>
          <t>English</t>
        </is>
      </c>
      <c r="N1557" t="inlineStr">
        <is>
          <t>Article</t>
        </is>
      </c>
      <c r="T1557" t="inlineStr">
        <is>
          <t>INDOOR AIR EXPOSURE TO ALDEHYDES AND KETONES IN ROOMS WITH NEW AND OLD FURNITURE OF A NEW OFFICE BUILDING</t>
        </is>
      </c>
      <c r="U1557" t="inlineStr">
        <is>
          <t>indoor air; DNPH-derivatisation; aldehydes; ketones; HPLC</t>
        </is>
      </c>
      <c r="V1557" t="inlineStr">
        <is>
          <t>STRASBOURG FRANCE; DETERMINANTS; VOC</t>
        </is>
      </c>
      <c r="W1557" t="inlineStr">
        <is>
          <t>The aim of this article was to evaluate and compare the levels of aldehydes and ketones in indoor air of a new office building in rooms with new and old furniture. The sampling method involved both passive cartridges and silica gel DNPH-coated tubes. Aldehydes and ketones levels were quantified using a DNPH-derivatisation method followed by liquid chromatography coupled to UV detection for 14 aldehydes and ketones. The results obtain showed that both active and passive sampling methods can be used for indoor air aldehydes and ketones assessment depending on what you intend to achieve: long-term average or short-term monitoring. Results revealed that higher concentrations of aldehydes and ketones were found in rooms with new furniture compared to rooms with relative old furniture, making new furniture a possible source of aldehydes and ketones.</t>
        </is>
      </c>
      <c r="X1557" t="inlineStr">
        <is>
          <t>[Diodiu, R.; Bucur, E.; Galaon, T.; Pascu, L. F.] Natl Res &amp; Dev Inst Ind Ecol INCD ECOIND, Bucharest 060652, Romania; [Diodiu, R.] Univ Babes Bolyai, Fac Environm Sci &amp; Engn, Cluj Napoca 400294, Romania; [Bucur, E.] Univ Bucharest, Dept Analyt Chem, Bucharest 050657, Romania</t>
        </is>
      </c>
      <c r="Y1557" t="inlineStr">
        <is>
          <t>National Research &amp; Development Institute Industrial Ecology; Babes Bolyai University from Cluj; University of Bucharest</t>
        </is>
      </c>
      <c r="Z1557" t="inlineStr">
        <is>
          <t>Diodiu, R (corresponding author), Natl Res &amp; Dev Inst Ind Ecol INCD ECOIND, 71-73 Drumul Podu Dambovitei St, Bucharest 060652, Romania.</t>
        </is>
      </c>
      <c r="AA1557" t="inlineStr">
        <is>
          <t>poluare.aer@incdecoind.ro</t>
        </is>
      </c>
      <c r="AB1557" t="inlineStr">
        <is>
          <t>Galaon, Toma/ABA-3118-2020; PASCU, Luoana/ABC-1371-2020; Bucur, Elena/ABC-2454-2020</t>
        </is>
      </c>
      <c r="AC1557" t="inlineStr">
        <is>
          <t>PASCU, LUOANA FLORENTINA/0000-0002-5366-8253; Galaon, Toma/0000-0001-8621-922X</t>
        </is>
      </c>
      <c r="AD1557" t="inlineStr">
        <is>
          <t>Ministry of Education and Research of Romania</t>
        </is>
      </c>
      <c r="AE1557" t="inlineStr">
        <is>
          <t>Ministry of Education and Research of Romania(Ministry of Education and Research - Romania)</t>
        </is>
      </c>
      <c r="AF1557" t="inlineStr">
        <is>
          <t>The tests have been done inside the Program Nucleu financed by the Ministry of Education and Research of Romania whom we thank with this opportunity for all the support.</t>
        </is>
      </c>
      <c r="AH1557" t="n">
        <v>18</v>
      </c>
      <c r="AI1557" t="n">
        <v>3</v>
      </c>
      <c r="AJ1557" t="n">
        <v>3</v>
      </c>
      <c r="AK1557" t="n">
        <v>1</v>
      </c>
      <c r="AL1557" t="n">
        <v>13</v>
      </c>
      <c r="AM1557" t="inlineStr">
        <is>
          <t>SCIBULCOM LTD</t>
        </is>
      </c>
      <c r="AN1557" t="inlineStr">
        <is>
          <t>SOFIA</t>
        </is>
      </c>
      <c r="AO1557" t="inlineStr">
        <is>
          <t>PO BOX 249, 1113 SOFIA, BULGARIA</t>
        </is>
      </c>
      <c r="AP1557" t="inlineStr">
        <is>
          <t>1311-5065</t>
        </is>
      </c>
      <c r="AS1557" t="inlineStr">
        <is>
          <t>J ENVIRON PROT ECOL</t>
        </is>
      </c>
      <c r="AT1557" t="inlineStr">
        <is>
          <t>J. Environ. Prot. Ecol.</t>
        </is>
      </c>
      <c r="AV1557" t="n">
        <v>2015</v>
      </c>
      <c r="AW1557" t="n">
        <v>16</v>
      </c>
      <c r="AX1557" t="n">
        <v>3</v>
      </c>
      <c r="BC1557" t="n">
        <v>832</v>
      </c>
      <c r="BD1557" t="n">
        <v>838</v>
      </c>
      <c r="BJ1557" t="n">
        <v>7</v>
      </c>
      <c r="BK1557" t="inlineStr">
        <is>
          <t>Environmental Sciences</t>
        </is>
      </c>
      <c r="BL1557" t="inlineStr">
        <is>
          <t>Science Citation Index Expanded (SCI-EXPANDED)</t>
        </is>
      </c>
      <c r="BM1557" t="inlineStr">
        <is>
          <t>Environmental Sciences &amp; Ecology</t>
        </is>
      </c>
      <c r="BN1557" t="inlineStr">
        <is>
          <t>CT8UJ</t>
        </is>
      </c>
      <c r="BS1557" t="inlineStr">
        <is>
          <t>2023-10-26</t>
        </is>
      </c>
      <c r="BT1557" t="inlineStr">
        <is>
          <t>WOS:000363091800003</t>
        </is>
      </c>
      <c r="BU1557">
        <f>HYPERLINK("https%3A%2F%2Fwww.webofscience.com%2Fwos%2Fwoscc%2Ffull-record%2FWOS:000363091800003","View Full Record in Web of Science")</f>
        <v/>
      </c>
    </row>
    <row r="1558">
      <c r="A1558" t="inlineStr">
        <is>
          <t>J</t>
        </is>
      </c>
      <c r="B1558" t="inlineStr">
        <is>
          <t>Alaidroos, A; Mosly, I</t>
        </is>
      </c>
      <c r="F1558" t="inlineStr">
        <is>
          <t>Alaidroos, Alaa; Mosly, Ibrahim</t>
        </is>
      </c>
      <c r="J1558" t="inlineStr">
        <is>
          <t>AIR QUALITY ATMOSPHERE AND HEALTH</t>
        </is>
      </c>
      <c r="M1558" t="inlineStr">
        <is>
          <t>English</t>
        </is>
      </c>
      <c r="N1558" t="inlineStr">
        <is>
          <t>Article</t>
        </is>
      </c>
      <c r="T1558" t="inlineStr">
        <is>
          <t>Preventing mold growth and maintaining acceptable indoor air quality for educational buildings operating with high mechanical ventilation rates in hot and humid climates</t>
        </is>
      </c>
      <c r="U1558" t="inlineStr">
        <is>
          <t>Mechanical ventilation; Mold growth; CO2 concentration; Indoor air quality; Optimization; Educational buildings</t>
        </is>
      </c>
      <c r="V1558" t="inlineStr">
        <is>
          <t>SBS SYMPTOMS; HEALTH; ASSOCIATION; RISK; PERFORMANCE; PREVALENCE; POLLUTANTS; RHINITIS; MODELS; US</t>
        </is>
      </c>
      <c r="W1558" t="inlineStr">
        <is>
          <t>Educational buildings located in hot and humid climates could suffer from high indoor humidity levels leading to mold growth issues which will eventually affect the well-being of occupants. These unhealthy indoor conditions typically occur in buildings located in extremely humid climates and operating with high mechanical ventilation rates that are normally set to maintain acceptable indoor air quality. Hence, experimental measurements of the indoor conditions of classrooms have been collected and analyzed to evaluate the performance of mechanical ventilation and its impact on indoor humidity, mold growth, and indoor CO2 concentration. Furthermore, a building energy model of a selected classroom building has been developed and coupled with the VTT mold growth model. The simulation environment has then been used to perform a series of sensitivity and optimization analyses to optimize the performance of the HVAC system. The results showed that an occupancy density of 0.5 people/m(2) or less is required to deliver optimum ventilation rates, cooling set points, and acceptable indoor CO2 concentrations. Optimum ventilation rates are found to be 2 ACH, 3 ACH, and 3.5 ACH for occupancy densities of 0.2, 0.4, and 0.5 people/m(2), respectively, while the optimum cooling set point is 20 degrees C for all occupancy densities to prevent mold growth. Finally, valuable correlations were obtained in this study that can be utilized further to develop effective optimal control systems capable of improving indoor environmental quality of school buildings in hot and humid climates.</t>
        </is>
      </c>
      <c r="X1558" t="inlineStr">
        <is>
          <t>[Alaidroos, Alaa] King Abdulaziz Univ, Fac Engn Rabigh Branch, Architectural Engn Dept, Jeddah, Saudi Arabia; [Mosly, Ibrahim] King Abdulaziz Univ, Fac Engn, Civil &amp; Environm Engn Dept, Rabigh Branch, Jeddah, Saudi Arabia</t>
        </is>
      </c>
      <c r="Y1558" t="inlineStr">
        <is>
          <t>King Abdulaziz University; King Abdulaziz University</t>
        </is>
      </c>
      <c r="Z1558" t="inlineStr">
        <is>
          <t>Alaidroos, A (corresponding author), King Abdulaziz Univ, Fac Engn Rabigh Branch, Architectural Engn Dept, Jeddah, Saudi Arabia.</t>
        </is>
      </c>
      <c r="AA1558" t="inlineStr">
        <is>
          <t>aalaidroos@kau.edu.sa</t>
        </is>
      </c>
      <c r="AB1558" t="inlineStr">
        <is>
          <t>Alaidroos, Alaa/AAI-5801-2021</t>
        </is>
      </c>
      <c r="AC1558" t="inlineStr">
        <is>
          <t>Alaidroos, Alaa/0000-0001-6132-3071</t>
        </is>
      </c>
      <c r="AD1558" t="inlineStr">
        <is>
          <t>Deputyship for Research &amp; Innovation, Ministry of Education, in Saudi Arabia [IFPHI-075829-2020]; King Abdulaziz University, DSR, Jeddah, Kingdom of Saudi Arabia</t>
        </is>
      </c>
      <c r="AE1558" t="inlineStr">
        <is>
          <t>Deputyship for Research &amp; Innovation, Ministry of Education, in Saudi Arabia; King Abdulaziz University, DSR, Jeddah, Kingdom of Saudi Arabia</t>
        </is>
      </c>
      <c r="AF1558" t="inlineStr">
        <is>
          <t>The authors extend their appreciation to the Deputyship for Research &amp; Innovation, Ministry of Education, in Saudi Arabia for funding this research work through the project number (IFPHI-075829-2020) and King Abdulaziz University, DSR, Jeddah, Kingdom of Saudi Arabia.</t>
        </is>
      </c>
      <c r="AH1558" t="n">
        <v>62</v>
      </c>
      <c r="AI1558" t="n">
        <v>2</v>
      </c>
      <c r="AJ1558" t="n">
        <v>2</v>
      </c>
      <c r="AK1558" t="n">
        <v>3</v>
      </c>
      <c r="AL1558" t="n">
        <v>7</v>
      </c>
      <c r="AM1558" t="inlineStr">
        <is>
          <t>SPRINGER</t>
        </is>
      </c>
      <c r="AN1558" t="inlineStr">
        <is>
          <t>DORDRECHT</t>
        </is>
      </c>
      <c r="AO1558" t="inlineStr">
        <is>
          <t>VAN GODEWIJCKSTRAAT 30, 3311 GZ DORDRECHT, NETHERLANDS</t>
        </is>
      </c>
      <c r="AP1558" t="inlineStr">
        <is>
          <t>1873-9318</t>
        </is>
      </c>
      <c r="AQ1558" t="inlineStr">
        <is>
          <t>1873-9326</t>
        </is>
      </c>
      <c r="AS1558" t="inlineStr">
        <is>
          <t>AIR QUAL ATMOS HLTH</t>
        </is>
      </c>
      <c r="AT1558" t="inlineStr">
        <is>
          <t>Air Qual. Atmos. Health</t>
        </is>
      </c>
      <c r="AU1558" t="inlineStr">
        <is>
          <t>FEB</t>
        </is>
      </c>
      <c r="AV1558" t="n">
        <v>2023</v>
      </c>
      <c r="AW1558" t="n">
        <v>16</v>
      </c>
      <c r="AX1558" t="n">
        <v>2</v>
      </c>
      <c r="BC1558" t="n">
        <v>341</v>
      </c>
      <c r="BD1558" t="n">
        <v>361</v>
      </c>
      <c r="BF1558" t="inlineStr">
        <is>
          <t>10.1007/s11869-022-01277-x</t>
        </is>
      </c>
      <c r="BG1558">
        <f>HYPERLINK("http://dx.doi.org/10.1007/s11869-022-01277-x","http://dx.doi.org/10.1007/s11869-022-01277-x")</f>
        <v/>
      </c>
      <c r="BI1558" t="inlineStr">
        <is>
          <t>OCT 2022</t>
        </is>
      </c>
      <c r="BJ1558" t="n">
        <v>21</v>
      </c>
      <c r="BK1558" t="inlineStr">
        <is>
          <t>Environmental Sciences</t>
        </is>
      </c>
      <c r="BL1558" t="inlineStr">
        <is>
          <t>Science Citation Index Expanded (SCI-EXPANDED)</t>
        </is>
      </c>
      <c r="BM1558" t="inlineStr">
        <is>
          <t>Environmental Sciences &amp; Ecology</t>
        </is>
      </c>
      <c r="BN1558" t="inlineStr">
        <is>
          <t>T2MB1</t>
        </is>
      </c>
      <c r="BS1558" t="inlineStr">
        <is>
          <t>2023-10-26</t>
        </is>
      </c>
      <c r="BT1558" t="inlineStr">
        <is>
          <t>WOS:000875539500001</t>
        </is>
      </c>
      <c r="BU1558">
        <f>HYPERLINK("https%3A%2F%2Fwww.webofscience.com%2Fwos%2Fwoscc%2Ffull-record%2FWOS:000875539500001","View Full Record in Web of Science")</f>
        <v/>
      </c>
    </row>
    <row r="1559">
      <c r="A1559" t="inlineStr">
        <is>
          <t>J</t>
        </is>
      </c>
      <c r="B1559" t="inlineStr">
        <is>
          <t>Sahu, V; Gurjar, BR</t>
        </is>
      </c>
      <c r="F1559" t="inlineStr">
        <is>
          <t>Sahu, Veerendra; Gurjar, Bhola Ram</t>
        </is>
      </c>
      <c r="J1559" t="inlineStr">
        <is>
          <t>INTERNATIONAL JOURNAL OF ENVIRONMENTAL HEALTH RESEARCH</t>
        </is>
      </c>
      <c r="M1559" t="inlineStr">
        <is>
          <t>English</t>
        </is>
      </c>
      <c r="N1559" t="inlineStr">
        <is>
          <t>Article</t>
        </is>
      </c>
      <c r="T1559" t="inlineStr">
        <is>
          <t>Spatio-temporal variations of indoor air quality in a university library</t>
        </is>
      </c>
      <c r="U1559" t="inlineStr">
        <is>
          <t>Indoor environment; indoor-outdoor ratio; mechanically ventilated; air pollution; India</t>
        </is>
      </c>
      <c r="V1559" t="inlineStr">
        <is>
          <t>VOLATILE ORGANIC-COMPOUNDS; FINE PARTICULATE MATTER; SICK BUILDING SYNDROME; CONTROL STRATEGIES; VENTILATION RATE; OUTDOOR; EXPOSURE; HEALTH; MICROENVIRONMENTS; ENVIRONMENT</t>
        </is>
      </c>
      <c r="W1559" t="inlineStr">
        <is>
          <t>The present study aims to assess the air quality status in the central library of Indian Institute of Technology Roorkee, India. Pollutants concentrations (i.e. PM10, PM2.5, PM1 and TVOC) and comfort parameters i.e. CO2, temperature and relative humidity were monitored across all floors of the library. Air quality was found to vary significantly (P &lt; 0.05) among the different floors of the library. The average concentration of PM10, PM2.5 and PM1 was found to be highest at the first floor. On the other hand, the highest concentration of TVOC (51.7 +/- 30 ppb) and CO2 (838.4 +/- 99 ppm) was observed at the ground floor. Pollutant concentration was higher in the morning hours. The indoor pollutants were found positively correlated with each other except relative humidity. Indoor to outdoor ratio for PM1, TVOC and CO2 was found to be greater than 1, which indicate a substantial contribution from indoor sources. Exceedance of WHO guidelines was observed for the daily average PM2.5 concentration.</t>
        </is>
      </c>
      <c r="X1559" t="inlineStr">
        <is>
          <t>[Sahu, Veerendra; Gurjar, Bhola Ram] Indian Inst Technol, Dept Civil Engn, Roorkee, Uttar Pradesh, India</t>
        </is>
      </c>
      <c r="Y1559" t="inlineStr">
        <is>
          <t>Indian Institute of Technology System (IIT System); Indian Institute of Technology (IIT) - Roorkee</t>
        </is>
      </c>
      <c r="Z1559" t="inlineStr">
        <is>
          <t>Gurjar, BR (corresponding author), Indian Inst Technol Roorkee, Roorkee 247667, Uttarakhand, India.</t>
        </is>
      </c>
      <c r="AA1559" t="inlineStr">
        <is>
          <t>brgurjar@gmail.com</t>
        </is>
      </c>
      <c r="AB1559" t="inlineStr">
        <is>
          <t>Gurjar, Bhola Ram/L-1357-2013; /AAO-5188-2020</t>
        </is>
      </c>
      <c r="AC1559" t="inlineStr">
        <is>
          <t>Gurjar, Bhola Ram/0000-0002-7224-1802; /0000-0002-3154-1817</t>
        </is>
      </c>
      <c r="AD1559" t="inlineStr">
        <is>
          <t>Government of India, Ministry of Human Resource Development (MHRD); Max Planck Partner Group for Megacities and Global Change</t>
        </is>
      </c>
      <c r="AE1559" t="inlineStr">
        <is>
          <t>Government of India, Ministry of Human Resource Development (MHRD); Max Planck Partner Group for Megacities and Global Change</t>
        </is>
      </c>
      <c r="AF1559" t="inlineStr">
        <is>
          <t>This work was supported by the Government of India, Ministry of Human Resource Development (MHRD); Max Planck Partner Group for Megacities and Global Change established at Indian Institute of Technology Roorkee, India.</t>
        </is>
      </c>
      <c r="AH1559" t="n">
        <v>70</v>
      </c>
      <c r="AI1559" t="n">
        <v>14</v>
      </c>
      <c r="AJ1559" t="n">
        <v>14</v>
      </c>
      <c r="AK1559" t="n">
        <v>4</v>
      </c>
      <c r="AL1559" t="n">
        <v>31</v>
      </c>
      <c r="AM1559" t="inlineStr">
        <is>
          <t>TAYLOR &amp; FRANCIS LTD</t>
        </is>
      </c>
      <c r="AN1559" t="inlineStr">
        <is>
          <t>ABINGDON</t>
        </is>
      </c>
      <c r="AO1559" t="inlineStr">
        <is>
          <t>2-4 PARK SQUARE, MILTON PARK, ABINGDON OR14 4RN, OXON, ENGLAND</t>
        </is>
      </c>
      <c r="AP1559" t="inlineStr">
        <is>
          <t>0960-3123</t>
        </is>
      </c>
      <c r="AQ1559" t="inlineStr">
        <is>
          <t>1369-1619</t>
        </is>
      </c>
      <c r="AS1559" t="inlineStr">
        <is>
          <t>INT J ENVIRON HEAL R</t>
        </is>
      </c>
      <c r="AT1559" t="inlineStr">
        <is>
          <t>Int. J. Environ. Health Res.</t>
        </is>
      </c>
      <c r="AU1559" t="inlineStr">
        <is>
          <t>JUL 4</t>
        </is>
      </c>
      <c r="AV1559" t="n">
        <v>2021</v>
      </c>
      <c r="AW1559" t="n">
        <v>31</v>
      </c>
      <c r="AX1559" t="n">
        <v>5</v>
      </c>
      <c r="BC1559" t="n">
        <v>475</v>
      </c>
      <c r="BD1559" t="n">
        <v>490</v>
      </c>
      <c r="BF1559" t="inlineStr">
        <is>
          <t>10.1080/09603123.2019.1668916</t>
        </is>
      </c>
      <c r="BG1559">
        <f>HYPERLINK("http://dx.doi.org/10.1080/09603123.2019.1668916","http://dx.doi.org/10.1080/09603123.2019.1668916")</f>
        <v/>
      </c>
      <c r="BI1559" t="inlineStr">
        <is>
          <t>SEP 2019</t>
        </is>
      </c>
      <c r="BJ1559" t="n">
        <v>16</v>
      </c>
      <c r="BK1559" t="inlineStr">
        <is>
          <t>Environmental Sciences; Public, Environmental &amp; Occupational Health</t>
        </is>
      </c>
      <c r="BL1559" t="inlineStr">
        <is>
          <t>Science Citation Index Expanded (SCI-EXPANDED)</t>
        </is>
      </c>
      <c r="BM1559" t="inlineStr">
        <is>
          <t>Environmental Sciences &amp; Ecology; Public, Environmental &amp; Occupational Health</t>
        </is>
      </c>
      <c r="BN1559" t="inlineStr">
        <is>
          <t>SJ8IC</t>
        </is>
      </c>
      <c r="BO1559" t="n">
        <v>31547676</v>
      </c>
      <c r="BS1559" t="inlineStr">
        <is>
          <t>2023-10-26</t>
        </is>
      </c>
      <c r="BT1559" t="inlineStr">
        <is>
          <t>WOS:000487430300001</t>
        </is>
      </c>
      <c r="BU1559">
        <f>HYPERLINK("https%3A%2F%2Fwww.webofscience.com%2Fwos%2Fwoscc%2Ffull-record%2FWOS:000487430300001","View Full Record in Web of Science")</f>
        <v/>
      </c>
    </row>
    <row r="1560">
      <c r="A1560" t="inlineStr">
        <is>
          <t>J</t>
        </is>
      </c>
      <c r="B1560" t="inlineStr">
        <is>
          <t>Tosi, L; Da Lio, C; Teatini, P; Strozzi, T</t>
        </is>
      </c>
      <c r="F1560" t="inlineStr">
        <is>
          <t>Tosi, Luigi; Da Lio, Cristina; Teatini, Pietro; Strozzi, Tazio</t>
        </is>
      </c>
      <c r="J1560" t="inlineStr">
        <is>
          <t>REMOTE SENSING</t>
        </is>
      </c>
      <c r="M1560" t="inlineStr">
        <is>
          <t>English</t>
        </is>
      </c>
      <c r="N1560" t="inlineStr">
        <is>
          <t>Article</t>
        </is>
      </c>
      <c r="T1560" t="inlineStr">
        <is>
          <t>Land Subsidence in Coastal Environments: Knowledge Advance in the Venice Coastland by TerraSAR-X PSI</t>
        </is>
      </c>
      <c r="U1560" t="inlineStr">
        <is>
          <t>land subsidence; TerraSAR-X; SAR interferometry; coastal environments; Venice lagoon</t>
        </is>
      </c>
      <c r="V1560" t="inlineStr">
        <is>
          <t>SALT MARSHES; DEFORMATION; INTERFEROMETRY; LAGOON</t>
        </is>
      </c>
      <c r="W1560" t="inlineStr">
        <is>
          <t>The use of satellite SAR interferometric methods has significantly improved the monitoring of ground movements over the last decades, thus opening new possibilities for a more accurate interpretation of land subsidence and its driving mechanisms. TerraSAR-X has been extensively used to study land subsidence in the Venice Lagoon, Italy, with the aim of quantifying the natural and anthropogenic causes. In this paper, we review and update the main results achieved by three research projects supported by DLR AOs (German Aerospace Center Announcement of Opportunity) and conducted to test the capability of TerraSAR-X PSI (Persistent Scatterer Interferometry) to detect ground movements in the complex physiographic setting of the Venice transitional coastal environment. The investigations have been focused on the historical center of Venice, the lagoon inlets where the MoSE is under construction, salt marshes, and newly built-up areas in the littoral. PSI on stacks of stripmap TerraSAR-X images covering short- to long-time periods (i.e., the years 2008-2009, 2008-2011 and 2008-2013) has proven particularly effective to measure land subsidence in the Venice coastland. The very high spatial resolution (3 m) and the short repeat time interval (11 days) of the TerraSAR-X acquisitions make it possible to investigate ground movements with a detail unavailable in the past. The interferometric products, properly calibrated, allowed for a millimetric vertical accuracy of the land movements at both the regional and local scales, even for short-term analyses, i.e., spanning one year only. The new picture of the land movement resulted from processing TerraSAR-X images has significantly contributed to update the knowledge on the subsidence process at the Venice coast.</t>
        </is>
      </c>
      <c r="X1560" t="inlineStr">
        <is>
          <t>[Tosi, Luigi; Da Lio, Cristina; Teatini, Pietro] CNR, Inst Marine Sci, Arsenale Tesa 104,Castello 2737-F, I-30122 Venice, Italy; [Teatini, Pietro] Univ Padua, Dept Civil Environm &amp; Architectural Engn, Via Loredan 20, I-35131 Padua, Italy; [Strozzi, Tazio] Gamma Remote Sensing, Worbstr 225, CH-3073 Gumlingen, Switzerland</t>
        </is>
      </c>
      <c r="Y1560" t="inlineStr">
        <is>
          <t>Consiglio Nazionale delle Ricerche (CNR); Istituto di Scienze Marine (ISMAR-CNR); University of Padua; GAMMA Remote Sensing AG</t>
        </is>
      </c>
      <c r="Z1560" t="inlineStr">
        <is>
          <t>Tosi, L (corresponding author), CNR, Inst Marine Sci, Arsenale Tesa 104,Castello 2737-F, I-30122 Venice, Italy.</t>
        </is>
      </c>
      <c r="AA1560" t="inlineStr">
        <is>
          <t>luigi.tosi@ismar.cnr.it; cristina.dalio@ve.ismar.cnr.it; pietro.teatini@unipd.it; strozzi@gamma-rs.ch</t>
        </is>
      </c>
      <c r="AB1560" t="inlineStr">
        <is>
          <t>Tosi, Luigi/C-1407-2011; Teatini, Pietro/AAW-4503-2021; Teatini, Pietro/AAW-4484-2021</t>
        </is>
      </c>
      <c r="AC1560" t="inlineStr">
        <is>
          <t>Tosi, Luigi/0000-0001-5254-4059; Teatini, Pietro/0000-0001-9525-4561; Strozzi, Tazio/0000-0002-9054-951X</t>
        </is>
      </c>
      <c r="AD1560" t="inlineStr">
        <is>
          <t>Italian Ministry of Education, University and Research; Project Monitoring land subsidence in Venice [LAN0242]; International Geoscience Programme (IGCP) Project [663]; Project DLR, Assessing vertical movements of natural tidal landforms and anthropogenic structures at the Venice Lagoon inlets [COA0612]; Project DLR, Ground surface dynamics in the Venice Lagoon: five years of monitoring of natural tidal landforms and anthropogenic structures by TerraSAR-X [COA1800]</t>
        </is>
      </c>
      <c r="AE1560" t="inlineStr">
        <is>
          <t>Italian Ministry of Education, University and Research(Ministry of Education, Universities and Research (MIUR)); Project Monitoring land subsidence in Venice; International Geoscience Programme (IGCP) Project; Project DLR, Assessing vertical movements of natural tidal landforms and anthropogenic structures at the Venice Lagoon inlets; Project DLR, Ground surface dynamics in the Venice Lagoon: five years of monitoring of natural tidal landforms and anthropogenic structures by TerraSAR-X</t>
        </is>
      </c>
      <c r="AF1560" t="inlineStr">
        <is>
          <t>This work has been developed in the framework of the Flagship Project RITMARE-The Italian Research for the Sea-coordinated by the Italian National Research Council and funded by the Italian Ministry of Education, University and Research within the National Research Program 2011-2013. Data courtesy: (1) Project LAN0242, Monitoring land subsidence in Venice; (2) Project COA0612 (c) DLR, Assessing vertical movements of natural tidal landforms and anthropogenic structures at the Venice Lagoon inlets; and (3) Project COA1800 (c) DLR, Ground surface dynamics in the Venice Lagoon: five years of monitoring of natural tidal landforms and anthropogenic structures by TerraSAR-X. CGPS Time series, Nevada Geodetic Laboratory (NGL). This work is a contribution to the International Geoscience Programme (IGCP) Project No. 663: Impact, Mechanism, Monitoring of Land Subsidence in Coastal cities (IM2LSC).</t>
        </is>
      </c>
      <c r="AH1560" t="n">
        <v>36</v>
      </c>
      <c r="AI1560" t="n">
        <v>34</v>
      </c>
      <c r="AJ1560" t="n">
        <v>34</v>
      </c>
      <c r="AK1560" t="n">
        <v>2</v>
      </c>
      <c r="AL1560" t="n">
        <v>13</v>
      </c>
      <c r="AM1560" t="inlineStr">
        <is>
          <t>MDPI</t>
        </is>
      </c>
      <c r="AN1560" t="inlineStr">
        <is>
          <t>BASEL</t>
        </is>
      </c>
      <c r="AO1560" t="inlineStr">
        <is>
          <t>ST ALBAN-ANLAGE 66, CH-4052 BASEL, SWITZERLAND</t>
        </is>
      </c>
      <c r="AP1560" t="inlineStr">
        <is>
          <t>2072-4292</t>
        </is>
      </c>
      <c r="AS1560" t="inlineStr">
        <is>
          <t>REMOTE SENS-BASEL</t>
        </is>
      </c>
      <c r="AT1560" t="inlineStr">
        <is>
          <t>Remote Sens.</t>
        </is>
      </c>
      <c r="AU1560" t="inlineStr">
        <is>
          <t>AUG</t>
        </is>
      </c>
      <c r="AV1560" t="n">
        <v>2018</v>
      </c>
      <c r="AW1560" t="n">
        <v>10</v>
      </c>
      <c r="AX1560" t="n">
        <v>8</v>
      </c>
      <c r="BE1560" t="n">
        <v>1191</v>
      </c>
      <c r="BF1560" t="inlineStr">
        <is>
          <t>10.3390/rs10081191</t>
        </is>
      </c>
      <c r="BG1560">
        <f>HYPERLINK("http://dx.doi.org/10.3390/rs10081191","http://dx.doi.org/10.3390/rs10081191")</f>
        <v/>
      </c>
      <c r="BJ1560" t="n">
        <v>17</v>
      </c>
      <c r="BK1560" t="inlineStr">
        <is>
          <t>Environmental Sciences; Geosciences, Multidisciplinary; Remote Sensing; Imaging Science &amp; Photographic Technology</t>
        </is>
      </c>
      <c r="BL1560" t="inlineStr">
        <is>
          <t>Science Citation Index Expanded (SCI-EXPANDED)</t>
        </is>
      </c>
      <c r="BM1560" t="inlineStr">
        <is>
          <t>Environmental Sciences &amp; Ecology; Geology; Remote Sensing; Imaging Science &amp; Photographic Technology</t>
        </is>
      </c>
      <c r="BN1560" t="inlineStr">
        <is>
          <t>GS4MF</t>
        </is>
      </c>
      <c r="BP1560" t="inlineStr">
        <is>
          <t>Green Published, Green Submitted, gold</t>
        </is>
      </c>
      <c r="BS1560" t="inlineStr">
        <is>
          <t>2023-10-26</t>
        </is>
      </c>
      <c r="BT1560" t="inlineStr">
        <is>
          <t>WOS:000443618100027</t>
        </is>
      </c>
      <c r="BU1560">
        <f>HYPERLINK("https%3A%2F%2Fwww.webofscience.com%2Fwos%2Fwoscc%2Ffull-record%2FWOS:000443618100027","View Full Record in Web of Science")</f>
        <v/>
      </c>
    </row>
    <row r="1561">
      <c r="A1561" t="inlineStr">
        <is>
          <t>J</t>
        </is>
      </c>
      <c r="B1561" t="inlineStr">
        <is>
          <t>Shiue, I; Bramley, G</t>
        </is>
      </c>
      <c r="F1561" t="inlineStr">
        <is>
          <t>Shiue, Ivy; Bramley, Glen</t>
        </is>
      </c>
      <c r="J1561" t="inlineStr">
        <is>
          <t>ENVIRONMENTAL SCIENCE AND POLLUTION RESEARCH</t>
        </is>
      </c>
      <c r="M1561" t="inlineStr">
        <is>
          <t>English</t>
        </is>
      </c>
      <c r="N1561" t="inlineStr">
        <is>
          <t>Article</t>
        </is>
      </c>
      <c r="T1561" t="inlineStr">
        <is>
          <t>Environmental chemicals mediated the effect of old housing on adult health problems: US NHANES, 2009-2010</t>
        </is>
      </c>
      <c r="U1561" t="inlineStr">
        <is>
          <t>Housing; Aetiology; Chronic disease; Epidemiology; Biomarker; Environmental chemicals; Cardiovascular</t>
        </is>
      </c>
      <c r="V1561" t="inlineStr">
        <is>
          <t>PLASMA-MASS-SPECTROMETRY; RESIDENTIAL DUST LEAD; NATIONAL-HEALTH; CHILDREN; EXPOSURE; URINE; AGE</t>
        </is>
      </c>
      <c r="W1561" t="inlineStr">
        <is>
          <t>Housing conditions affect occupants continuously, and health interventions have shown a positive association between housing investment or improvement and occupant's health. However, the sources of the housing problems were less understood. Since it was observed that lead dust and chloroanisoles released from housing (materials) as indoor pollutants affected child's health, we now aimed to examine the relationships among built year, environmental chemicals and individual health in adults in a national and population-based setting. Data were retrieved from the US National Health and Nutrition Examination Survey, 2009-2010, including demographics, housing characteristics, self-reported health status, biomarkers and blood and urinary chemical concentrations. Adults aged 20 and above were included for statistical analysis (n = 5,793). Analysis involved chi-square test, t test, and survey-weighted general linear regression and logistic regression modelling. People who resided in older housing built before 1990 tended to report chronic bronchitis, liver problems, stroke, heart failure, diabetes, asthma and emphysema. Higher values in HDL cholesterol, blood lead and blood cadmium and having positive responses of hepatitis A, B, C and E antibodies among occupants were also observed. Furthermore, higher environmental chemical concentrations related to old housing including urinary cadmium, cobalt, platinum, mercury, 2,5-dichlorophenol and 2,4-dichlorophenol concentrations and mono-cyclohexyl phthalate and mono-isobutyl phthalate metabolites were shown in occupants as well. Older housing (a parts per thousand yen30 years) seemed to contribute to the amount of environmental chemicals that affected human health. Regular monitoring, upgrading and renovation of housing to remove environmental chemicals and policy to support people in deprived situations against environmental injustice would be needed.</t>
        </is>
      </c>
      <c r="X1561" t="inlineStr">
        <is>
          <t>[Shiue, Ivy; Bramley, Glen] Heriot Watt Univ, Sch Built Environm, Edinburgh EH14 4AS, Midlothian, Scotland; [Shiue, Ivy] Univ Georgia, Owens Inst Behav Res, Athens, GA 30602 USA</t>
        </is>
      </c>
      <c r="Y1561" t="inlineStr">
        <is>
          <t>Heriot Watt University; University System of Georgia; University of Georgia</t>
        </is>
      </c>
      <c r="Z1561" t="inlineStr">
        <is>
          <t>Shiue, I (corresponding author), Heriot Watt Univ, Sch Built Environm, Edinburgh EH14 4AS, Midlothian, Scotland.</t>
        </is>
      </c>
      <c r="AA1561" t="inlineStr">
        <is>
          <t>i.shiue@hw.ac.uk</t>
        </is>
      </c>
      <c r="AC1561" t="inlineStr">
        <is>
          <t>Shiue, Ivy/0000-0003-1788-3009</t>
        </is>
      </c>
      <c r="AD1561" t="inlineStr">
        <is>
          <t>Global Platform for Research Leaders scheme</t>
        </is>
      </c>
      <c r="AE1561" t="inlineStr">
        <is>
          <t>Global Platform for Research Leaders scheme</t>
        </is>
      </c>
      <c r="AF1561" t="inlineStr">
        <is>
          <t>IS is supported by the Global Platform for Research Leaders scheme and would like to thank the reviewers for their constructive comments and suggestions.</t>
        </is>
      </c>
      <c r="AH1561" t="n">
        <v>25</v>
      </c>
      <c r="AI1561" t="n">
        <v>12</v>
      </c>
      <c r="AJ1561" t="n">
        <v>12</v>
      </c>
      <c r="AK1561" t="n">
        <v>0</v>
      </c>
      <c r="AL1561" t="n">
        <v>33</v>
      </c>
      <c r="AM1561" t="inlineStr">
        <is>
          <t>SPRINGER HEIDELBERG</t>
        </is>
      </c>
      <c r="AN1561" t="inlineStr">
        <is>
          <t>HEIDELBERG</t>
        </is>
      </c>
      <c r="AO1561" t="inlineStr">
        <is>
          <t>TIERGARTENSTRASSE 17, D-69121 HEIDELBERG, GERMANY</t>
        </is>
      </c>
      <c r="AP1561" t="inlineStr">
        <is>
          <t>0944-1344</t>
        </is>
      </c>
      <c r="AQ1561" t="inlineStr">
        <is>
          <t>1614-7499</t>
        </is>
      </c>
      <c r="AS1561" t="inlineStr">
        <is>
          <t>ENVIRON SCI POLLUT R</t>
        </is>
      </c>
      <c r="AT1561" t="inlineStr">
        <is>
          <t>Environ. Sci. Pollut. Res.</t>
        </is>
      </c>
      <c r="AU1561" t="inlineStr">
        <is>
          <t>JAN</t>
        </is>
      </c>
      <c r="AV1561" t="n">
        <v>2015</v>
      </c>
      <c r="AW1561" t="n">
        <v>22</v>
      </c>
      <c r="AX1561" t="n">
        <v>2</v>
      </c>
      <c r="BC1561" t="n">
        <v>1299</v>
      </c>
      <c r="BD1561" t="n">
        <v>1308</v>
      </c>
      <c r="BF1561" t="inlineStr">
        <is>
          <t>10.1007/s11356-014-3468-5</t>
        </is>
      </c>
      <c r="BG1561">
        <f>HYPERLINK("http://dx.doi.org/10.1007/s11356-014-3468-5","http://dx.doi.org/10.1007/s11356-014-3468-5")</f>
        <v/>
      </c>
      <c r="BJ1561" t="n">
        <v>10</v>
      </c>
      <c r="BK1561" t="inlineStr">
        <is>
          <t>Environmental Sciences</t>
        </is>
      </c>
      <c r="BL1561" t="inlineStr">
        <is>
          <t>Science Citation Index Expanded (SCI-EXPANDED); Social Science Citation Index (SSCI)</t>
        </is>
      </c>
      <c r="BM1561" t="inlineStr">
        <is>
          <t>Environmental Sciences &amp; Ecology</t>
        </is>
      </c>
      <c r="BN1561" t="inlineStr">
        <is>
          <t>AZ2EM</t>
        </is>
      </c>
      <c r="BO1561" t="n">
        <v>25138559</v>
      </c>
      <c r="BS1561" t="inlineStr">
        <is>
          <t>2023-10-26</t>
        </is>
      </c>
      <c r="BT1561" t="inlineStr">
        <is>
          <t>WOS:000348047400054</t>
        </is>
      </c>
      <c r="BU1561">
        <f>HYPERLINK("https%3A%2F%2Fwww.webofscience.com%2Fwos%2Fwoscc%2Ffull-record%2FWOS:000348047400054","View Full Record in Web of Science")</f>
        <v/>
      </c>
    </row>
    <row r="1562">
      <c r="A1562" t="inlineStr">
        <is>
          <t>J</t>
        </is>
      </c>
      <c r="B1562" t="inlineStr">
        <is>
          <t>Jung, CC; Wu, PC; Tseng, CH; Chou, CCK; Su, HJ</t>
        </is>
      </c>
      <c r="F1562" t="inlineStr">
        <is>
          <t>Jung, Chien-Cheng; Wu, Pei-Chih; Tseng, Chao-Heng; Chou, Charles C. K.; Su, Huey-Jen</t>
        </is>
      </c>
      <c r="J1562" t="inlineStr">
        <is>
          <t>AEROSOL AND AIR QUALITY RESEARCH</t>
        </is>
      </c>
      <c r="M1562" t="inlineStr">
        <is>
          <t>English</t>
        </is>
      </c>
      <c r="N1562" t="inlineStr">
        <is>
          <t>Article</t>
        </is>
      </c>
      <c r="T1562" t="inlineStr">
        <is>
          <t>Contribution of Indoor- and Outdoor-Generated Fine and Coarse Particles to Indoor Air in Taiwanese Hospitals</t>
        </is>
      </c>
      <c r="U1562" t="inlineStr">
        <is>
          <t>Indoor air; Infiltration factor; Particle; Hospital</t>
        </is>
      </c>
      <c r="V1562" t="inlineStr">
        <is>
          <t>PARTICULATE MATTER; RESPIRATORY-DISEASES; ULTRAFINE PARTICLE; CARBON-MONOXIDE; TRACE-ELEMENTS; PM2.5; INFILTRATION; POLLUTION; EXPOSURE; PENETRATION</t>
        </is>
      </c>
      <c r="W1562" t="inlineStr">
        <is>
          <t>This study quantified the contributions of both indoor- and outdoor-generated particles to the air inside hospitals and examined whether air conditioning type, working area, working hours, and ambient pollution affect these contributions. Indoor and outdoor fine and coarse particles were measured at 33 hospitals, and the building characteristics were recorded. The infiltration factor (F-inf) was calculated, and the contributions of both indoor and outdoor particles to indoor air were assessed. Additionally, their influencing factors on the indoor air were evaluated. The F-inf values of fine and coarse particles were higher in hospitals with window and signal split type air conditioning than in hospitals with other types of air conditioning. No significant differences in the F-inf values between working areas were observed. Outdoor-generated fine and coarse particles were major contributors to the indoor air, regardless of air conditioning type and working area. Higher contributions from indoor-generated fine and coarse particles to the indoor air were recorded in clinic waiting areas and lobbies during working hours than nonworking hours. Ambient air pollutant emissions and air conditioning characteristics influenced the contributions of indoor- and outdoor-generated particles to indoor air according to a regression model. In summary, the contribution of outdoor-generated particles to indoor air must be reduced to improve occupant's health in hospitals.</t>
        </is>
      </c>
      <c r="X1562" t="inlineStr">
        <is>
          <t>[Jung, Chien-Cheng; Su, Huey-Jen] Natl Cheng Kung Univ, Coll Med, Dept Environm &amp; Occupat Hlth, Tainan 70403, Taiwan; [Jung, Chien-Cheng; Chou, Charles C. K.] Acad Sinica, Res Ctr Environm Changes, Taipei 11529, Taiwan; [Wu, Pei-Chih] Chang Jung Christian Univ, Dept Occupat Safety &amp; Hlth, Tainan 71101, Taiwan; [Tseng, Chao-Heng] Natl Taipei Univ Technol, Inst Environm Engn &amp; Management, Taipei 10608, Taiwan</t>
        </is>
      </c>
      <c r="Y1562" t="inlineStr">
        <is>
          <t>National Cheng Kung University; Academia Sinica - Taiwan; Chang Jung Christian University; National Taipei University of Technology</t>
        </is>
      </c>
      <c r="Z1562" t="inlineStr">
        <is>
          <t>Su, HJ (corresponding author), Natl Cheng Kung Univ, Coll Med, Dept Environm &amp; Occupat Hlth, Tainan 70403, Taiwan.</t>
        </is>
      </c>
      <c r="AA1562" t="inlineStr">
        <is>
          <t>hjsu@mail.ncku.edu.tw</t>
        </is>
      </c>
      <c r="AB1562" t="inlineStr">
        <is>
          <t>Chou, Charles C.-K./R-3578-2016</t>
        </is>
      </c>
      <c r="AC1562" t="inlineStr">
        <is>
          <t>Chou, Charles C.-K./0000-0003-3960-5333; Jung, Chien-Cheng/0000-0003-0124-689X</t>
        </is>
      </c>
      <c r="AD1562" t="inlineStr">
        <is>
          <t>Minister of Health and Welfare [96B6114]</t>
        </is>
      </c>
      <c r="AE1562" t="inlineStr">
        <is>
          <t>Minister of Health and Welfare</t>
        </is>
      </c>
      <c r="AF1562" t="inlineStr">
        <is>
          <t>We would like to thank the Minister of Health and Welfare for financially supporting this study under Contract No. 96B6114.</t>
        </is>
      </c>
      <c r="AH1562" t="n">
        <v>37</v>
      </c>
      <c r="AI1562" t="n">
        <v>2</v>
      </c>
      <c r="AJ1562" t="n">
        <v>2</v>
      </c>
      <c r="AK1562" t="n">
        <v>3</v>
      </c>
      <c r="AL1562" t="n">
        <v>19</v>
      </c>
      <c r="AM1562" t="inlineStr">
        <is>
          <t>TAIWAN ASSOC AEROSOL RES-TAAR</t>
        </is>
      </c>
      <c r="AN1562" t="inlineStr">
        <is>
          <t>TAICHUNG COUNTY</t>
        </is>
      </c>
      <c r="AO1562" t="inlineStr">
        <is>
          <t>CHAOYANG UNIV TECH, DEPT ENV ENG &amp; MGMT, PROD CTR AAQR, NO 168, JIFONG E RD, WUFONG TOWNSHIP, TAICHUNG COUNTY, 41349, TAIWAN</t>
        </is>
      </c>
      <c r="AP1562" t="inlineStr">
        <is>
          <t>1680-8584</t>
        </is>
      </c>
      <c r="AQ1562" t="inlineStr">
        <is>
          <t>2071-1409</t>
        </is>
      </c>
      <c r="AS1562" t="inlineStr">
        <is>
          <t>AEROSOL AIR QUAL RES</t>
        </is>
      </c>
      <c r="AT1562" t="inlineStr">
        <is>
          <t>Aerosol Air Qual. Res.</t>
        </is>
      </c>
      <c r="AU1562" t="inlineStr">
        <is>
          <t>DEC</t>
        </is>
      </c>
      <c r="AV1562" t="n">
        <v>2018</v>
      </c>
      <c r="AW1562" t="n">
        <v>18</v>
      </c>
      <c r="AX1562" t="n">
        <v>12</v>
      </c>
      <c r="BC1562" t="n">
        <v>3234</v>
      </c>
      <c r="BD1562" t="n">
        <v>3242</v>
      </c>
      <c r="BF1562" t="inlineStr">
        <is>
          <t>10.4209/aaqr.2018.01.0006</t>
        </is>
      </c>
      <c r="BG1562">
        <f>HYPERLINK("http://dx.doi.org/10.4209/aaqr.2018.01.0006","http://dx.doi.org/10.4209/aaqr.2018.01.0006")</f>
        <v/>
      </c>
      <c r="BJ1562" t="n">
        <v>9</v>
      </c>
      <c r="BK1562" t="inlineStr">
        <is>
          <t>Environmental Sciences</t>
        </is>
      </c>
      <c r="BL1562" t="inlineStr">
        <is>
          <t>Science Citation Index Expanded (SCI-EXPANDED)</t>
        </is>
      </c>
      <c r="BM1562" t="inlineStr">
        <is>
          <t>Environmental Sciences &amp; Ecology</t>
        </is>
      </c>
      <c r="BN1562" t="inlineStr">
        <is>
          <t>HC5KH</t>
        </is>
      </c>
      <c r="BP1562" t="inlineStr">
        <is>
          <t>gold, Green Submitted</t>
        </is>
      </c>
      <c r="BS1562" t="inlineStr">
        <is>
          <t>2023-10-26</t>
        </is>
      </c>
      <c r="BT1562" t="inlineStr">
        <is>
          <t>WOS:000451841400028</t>
        </is>
      </c>
      <c r="BU1562">
        <f>HYPERLINK("https%3A%2F%2Fwww.webofscience.com%2Fwos%2Fwoscc%2Ffull-record%2FWOS:000451841400028","View Full Record in Web of Science")</f>
        <v/>
      </c>
    </row>
    <row r="1563">
      <c r="A1563" t="inlineStr">
        <is>
          <t>J</t>
        </is>
      </c>
      <c r="B1563" t="inlineStr">
        <is>
          <t>Beil, K; Hanes, D</t>
        </is>
      </c>
      <c r="F1563" t="inlineStr">
        <is>
          <t>Beil, Kurt; Hanes, Douglas</t>
        </is>
      </c>
      <c r="J1563" t="inlineStr">
        <is>
          <t>INTERNATIONAL JOURNAL OF ENVIRONMENTAL RESEARCH AND PUBLIC HEALTH</t>
        </is>
      </c>
      <c r="M1563" t="inlineStr">
        <is>
          <t>English</t>
        </is>
      </c>
      <c r="N1563" t="inlineStr">
        <is>
          <t>Article</t>
        </is>
      </c>
      <c r="T1563" t="inlineStr">
        <is>
          <t>The Influence of Urban Natural and Built Environments on Physiological and Psychological Measures of Stress-A Pilot Study</t>
        </is>
      </c>
      <c r="U1563" t="inlineStr">
        <is>
          <t>stress; cortisol; amylase; natural environment; built environment; green space; biophilia; psychological restoration</t>
        </is>
      </c>
      <c r="V1563" t="inlineStr">
        <is>
          <t>SALIVARY CORTISOL; GREEN SPACE; PERCEIVED RESTORATIVENESS; HEALTH; EXPOSURE; RESPONSES; RECOVERY; CONTACT; BENEFITS; IMPACT</t>
        </is>
      </c>
      <c r="W1563" t="inlineStr">
        <is>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is>
      </c>
      <c r="X1563" t="inlineStr">
        <is>
          <t>[Beil, Kurt; Hanes, Douglas] Natl Coll Nat Med, Helfgott Res Inst, Portland, OR 97201 USA</t>
        </is>
      </c>
      <c r="Z1563" t="inlineStr">
        <is>
          <t>Beil, K (corresponding author), Natl Coll Nat Med, Helfgott Res Inst, Portland, OR 97201 USA.</t>
        </is>
      </c>
      <c r="AA1563" t="inlineStr">
        <is>
          <t>kbeil@ncnm.edu; dhanes@ncnm.edu</t>
        </is>
      </c>
      <c r="AB1563" t="inlineStr">
        <is>
          <t>Beil, Kurt/H-4373-2019; Santana, Elaine/GNP-2710-2022</t>
        </is>
      </c>
      <c r="AC1563" t="inlineStr">
        <is>
          <t>Beil, Kurt/0000-0002-1661-6390;</t>
        </is>
      </c>
      <c r="AD1563" t="inlineStr">
        <is>
          <t>NIH NCCAM [2R25AT002878-05A1]</t>
        </is>
      </c>
      <c r="AE1563" t="inlineStr">
        <is>
          <t>NIH NCCAM(United States Department of Health &amp; Human ServicesNational Institutes of Health (NIH) - USANIH National Center for Complementary &amp; Alternative Medicine)</t>
        </is>
      </c>
      <c r="AF1563" t="inlineStr">
        <is>
          <t>This project was sponsored by NIH NCCAM Award 2R25AT002878-05A1. Thanks to the Helfgott Research Institute of the National College of Natural Medicine, including Heather Zwickey, Mayen Dada, Amy Goldfeder, Eric Jorgenson, Corey McAuliffe, Lindsay Rogers and Bethany Tennant. Thanks also to Portland Parks and Recreation Department for use of Hoyt Arboretum-Stevens Pavilion Picnic Shelter, and to ZRT Laboratory for providing cortisol analysis of saliva samples.</t>
        </is>
      </c>
      <c r="AH1563" t="n">
        <v>55</v>
      </c>
      <c r="AI1563" t="n">
        <v>181</v>
      </c>
      <c r="AJ1563" t="n">
        <v>186</v>
      </c>
      <c r="AK1563" t="n">
        <v>11</v>
      </c>
      <c r="AL1563" t="n">
        <v>181</v>
      </c>
      <c r="AM1563" t="inlineStr">
        <is>
          <t>MDPI</t>
        </is>
      </c>
      <c r="AN1563" t="inlineStr">
        <is>
          <t>BASEL</t>
        </is>
      </c>
      <c r="AO1563" t="inlineStr">
        <is>
          <t>ST ALBAN-ANLAGE 66, CH-4052 BASEL, SWITZERLAND</t>
        </is>
      </c>
      <c r="AP1563" t="inlineStr">
        <is>
          <t>1660-4601</t>
        </is>
      </c>
      <c r="AS1563" t="inlineStr">
        <is>
          <t>INT J ENV RES PUB HE</t>
        </is>
      </c>
      <c r="AT1563" t="inlineStr">
        <is>
          <t>Int. J. Environ. Res. Public Health</t>
        </is>
      </c>
      <c r="AU1563" t="inlineStr">
        <is>
          <t>APR</t>
        </is>
      </c>
      <c r="AV1563" t="n">
        <v>2013</v>
      </c>
      <c r="AW1563" t="n">
        <v>10</v>
      </c>
      <c r="AX1563" t="n">
        <v>4</v>
      </c>
      <c r="BC1563" t="n">
        <v>1250</v>
      </c>
      <c r="BD1563" t="n">
        <v>1267</v>
      </c>
      <c r="BF1563" t="inlineStr">
        <is>
          <t>10.3390/ijerph10041250</t>
        </is>
      </c>
      <c r="BG1563">
        <f>HYPERLINK("http://dx.doi.org/10.3390/ijerph10041250","http://dx.doi.org/10.3390/ijerph10041250")</f>
        <v/>
      </c>
      <c r="BJ1563" t="n">
        <v>18</v>
      </c>
      <c r="BK1563" t="inlineStr">
        <is>
          <t>Environmental Sciences; Public, Environmental &amp; Occupational Health</t>
        </is>
      </c>
      <c r="BL1563" t="inlineStr">
        <is>
          <t>Science Citation Index Expanded (SCI-EXPANDED); Social Science Citation Index (SSCI)</t>
        </is>
      </c>
      <c r="BM1563" t="inlineStr">
        <is>
          <t>Environmental Sciences &amp; Ecology; Public, Environmental &amp; Occupational Health</t>
        </is>
      </c>
      <c r="BN1563" t="inlineStr">
        <is>
          <t>131XR</t>
        </is>
      </c>
      <c r="BO1563" t="n">
        <v>23531491</v>
      </c>
      <c r="BP1563" t="inlineStr">
        <is>
          <t>gold, Green Submitted, Green Published</t>
        </is>
      </c>
      <c r="BS1563" t="inlineStr">
        <is>
          <t>2023-10-26</t>
        </is>
      </c>
      <c r="BT1563" t="inlineStr">
        <is>
          <t>WOS:000318032300006</t>
        </is>
      </c>
      <c r="BU1563">
        <f>HYPERLINK("https%3A%2F%2Fwww.webofscience.com%2Fwos%2Fwoscc%2Ffull-record%2FWOS:000318032300006","View Full Record in Web of Science")</f>
        <v/>
      </c>
    </row>
    <row r="1564">
      <c r="A1564" t="inlineStr">
        <is>
          <t>J</t>
        </is>
      </c>
      <c r="B1564" t="inlineStr">
        <is>
          <t>Nascimento, MD; Gouveia, ÉR; Marques, A; Gouveia, BR; Marconcin, P; França, C; Ihle, A</t>
        </is>
      </c>
      <c r="F1564" t="inlineStr">
        <is>
          <t>Nascimento, Marcelo de Maio; Gouveia, Elvio Rubio; Marques, Adilson; Gouveia, Bruna R.; Marconcin, Priscila; Franca, Cintia; Ihle, Andreas</t>
        </is>
      </c>
      <c r="J1564" t="inlineStr">
        <is>
          <t>INTERNATIONAL JOURNAL OF ENVIRONMENTAL RESEARCH AND PUBLIC HEALTH</t>
        </is>
      </c>
      <c r="M1564" t="inlineStr">
        <is>
          <t>English</t>
        </is>
      </c>
      <c r="N1564" t="inlineStr">
        <is>
          <t>Article</t>
        </is>
      </c>
      <c r="T1564" t="inlineStr">
        <is>
          <t>The Role of Physical Function in the Association between Physical Activity and Gait Speed in Older Adults: A Mediation Analysis</t>
        </is>
      </c>
      <c r="U1564" t="inlineStr">
        <is>
          <t>aging; sedentary behavior; physical activity; physical function; mobility; vulnerability; older adults</t>
        </is>
      </c>
      <c r="V1564" t="inlineStr">
        <is>
          <t>SEDENTARY BEHAVIOR; WALKING SPEED; QUALITY; RISK; VARIABILITY; POPULATION; PARAMETERS; MORTALITY; STRENGTH; DECLINE</t>
        </is>
      </c>
      <c r="W1564" t="inlineStr">
        <is>
          <t>Simple Summary Aging is associated with vulnerability in terms of a natural decline of most physiological systems, and, consequently, physical function (PF) performance (e.g., cardiorespiratory performance, muscle strength, flexibility, speed, balance) decreases. Adequate physical activity (PA) levels are essential to maintaining or increasing PF performance, directly influencing gait speed (GS). Having a fast GS increases the older adult's capacity to perform daily tasks safely and remain autonomous at an advanced age. Our study aimed to explore the mediating role of PF in the relationship between PA and GS in a large sample of older adults from the north of Brazil. Regarding the PA-total level, the analysis showed that a fast GS was partially mediated by approximately 19% by a better PF performance. PF partially mediated the association between PA-sport and GS in approximately 9%, and PF partially mediated the association between PA-leisure and GS in 46%. We observed a significant and negative association between PA-housework and GS. Thus, PF partially mediated the association in about 9% of cases. Consequently, our study suggests that among older adults, PF plays a crucial role in mediating the association between PA and GS levels in the vulnerable aging population. Adequate levels of physical function (PF) are essential for vulnerable older adults to perform their daily tasks safely and remain autonomous. Our objective was to explore the mediating role of PF in the relationship between physical activity (PA) and gait speed (GS) in a large sample of older adults from the north of Brazil. This is a cross-sectional study that analyzed 697 older adults (mean age 70.35 +/- 6.86 years) who participated in the project Health, Lifestyle, and Physical Fitness in Older Adults in Amazonas (SEVAAI). PA was assessed using the Baecke Questionnaire, PF using the Senior Fitness Test, and GS using the 50-foot Walk Test. Mediation pathways were analyzed to test the possible mediating role of PF between specific PA domains (PA-total score, PA-housework, PA-sport, PA-leisure) and GS. Regarding PA-total, the analysis showed that high-performance GS was partially mediated in approximately 19% by better PF performance. Moreover, the PF could partially mediate the association between PA-sport and PA-leisure with GS, at levels of approximately 9% and 46%, respectively. An inverse relationship was observed between PA-housework (sedentary lifestyle) and GS. This association was partially mediated to an extent of approximately 9% by better PF performance. We conclude that PF plays a crucial role in mediating the association between PA and GS among vulnerable older adults.</t>
        </is>
      </c>
      <c r="X1564" t="inlineStr">
        <is>
          <t>[Nascimento, Marcelo de Maio] Fed Univ Vale Sao Francisco, Dept Phys Educ, BR-56304917 Petrolina, Brazil; [Gouveia, Elvio Rubio; Franca, Cintia] Univ Madeira, Dept Phys Educ &amp; Sport, P-9020105 Funchal, Portugal; [Gouveia, Elvio Rubio; Gouveia, Bruna R.; Franca, Cintia] Interact Technol Inst, Lab Robot &amp; Engn Syst LARSYS, P-9020105 Funchal, Portugal; [Gouveia, Elvio Rubio; Gouveia, Bruna R.; Ihle, Andreas] Univ Geneva, Ctr Interdisciplinary Study Gerontol &amp; Vulnerabil, CH-1205 Geneva, Switzerland; [Marques, Adilson; Marconcin, Priscila] Univ Lisbon, Fac Human Kinet, Interdisciplinary Ctr Study Human Performance CIP, P-1495751 Lisbon, Portugal; [Marques, Adilson] Univ Lisbon, Fac Med, Inst Saiide Ambiental ISAMB, P-1649020 Lisbon, Portugal; [Gouveia, Bruna R.] Secretary Hlth Autonomous Reg Madeira, Reg Directorate Hlth, P-9004515 Funchal, Portugal; [Gouveia, Bruna R.] St Joseph Cluny Higher Sch Nursing, P-9050535 Funchal, Portugal; [Marconcin, Priscila] Piaget Inst, Res Unit Human Movement Anal, KinesioLab, P-2805059 Almada, Portugal; [Ihle, Andreas] Univ Geneva, Dept Psychol, CH-1205 Geneva, Switzerland; [Ihle, Andreas] Swiss Natl Ctr Competence Res LIVES Overcoming Vu, CH-1015 Lausanne, Switzerland</t>
        </is>
      </c>
      <c r="Y1564" t="inlineStr">
        <is>
          <t>Universidade da Madeira; University of Geneva; Universidade de Lisboa; Universidade de Lisboa; University of Geneva</t>
        </is>
      </c>
      <c r="Z1564" t="inlineStr">
        <is>
          <t>Nascimento, MD (corresponding author), Fed Univ Vale Sao Francisco, Dept Phys Educ, BR-56304917 Petrolina, Brazil.</t>
        </is>
      </c>
      <c r="AA1564" t="inlineStr">
        <is>
          <t>marcelo.nascimento@univasf.edu.br</t>
        </is>
      </c>
      <c r="AB1564" t="inlineStr">
        <is>
          <t>Gouveia, Bruna R./B-3793-2016; Gouveia, Elvio/F-9156-2015; Marques, Adilson/K-4529-2014</t>
        </is>
      </c>
      <c r="AC1564" t="inlineStr">
        <is>
          <t>Gouveia, Bruna R./0000-0001-7706-190X; Gouveia, Elvio/0000-0003-0927-692X; Marques, Adilson/0000-0001-9850-7771; Ihle, Andreas/0000-0001-9845-5190; de Maio Nascimento, Marcelo/0000-0002-3577-3439; Franca, Cintia/0000-0001-8364-6832; Marconcin, Priscila/0000-0002-1295-0826</t>
        </is>
      </c>
      <c r="AD1564" t="inlineStr">
        <is>
          <t>Swiss National Centre of Competence in Research LIVES-Overcoming vulnerability: life course perspectives - Swiss National Science Foundation [51NF40-185901]; Swiss National Science Foundation [10001C_189407]; LARSyS-Portuguese national funding agency for science, research and technology (FCT) pluriannual funding 2020-2023 [UIDB/50009/2020]</t>
        </is>
      </c>
      <c r="AE1564" t="inlineStr">
        <is>
          <t>Swiss National Centre of Competence in Research LIVES-Overcoming vulnerability: life course perspectives - Swiss National Science Foundation; Swiss National Science Foundation(Swiss National Science Foundation (SNSF)); LARSyS-Portuguese national funding agency for science, research and technology (FCT) pluriannual funding 2020-2023</t>
        </is>
      </c>
      <c r="AF1564" t="inlineStr">
        <is>
          <t>We acknowledge support from the Swiss National Centre of Competence in Research LIVES-Overcoming vulnerability: life course perspectives, which is funded by the Swiss National Science Foundation (grant number: 51NF40-185901). Moreover, AI acknowledges support from the Swiss National Science Foundation (grant number: 10001C_189407). E.R.G., C.F. and B.R.G. acknowledge support from LARSyS-Portuguese national funding agency for science, research and technology (FCT) pluriannual funding 2020-2023 (Reference: UIDB/50009/2020).</t>
        </is>
      </c>
      <c r="AH1564" t="n">
        <v>75</v>
      </c>
      <c r="AI1564" t="n">
        <v>2</v>
      </c>
      <c r="AJ1564" t="n">
        <v>2</v>
      </c>
      <c r="AK1564" t="n">
        <v>1</v>
      </c>
      <c r="AL1564" t="n">
        <v>6</v>
      </c>
      <c r="AM1564" t="inlineStr">
        <is>
          <t>MDPI</t>
        </is>
      </c>
      <c r="AN1564" t="inlineStr">
        <is>
          <t>BASEL</t>
        </is>
      </c>
      <c r="AO1564" t="inlineStr">
        <is>
          <t>ST ALBAN-ANLAGE 66, CH-4052 BASEL, SWITZERLAND</t>
        </is>
      </c>
      <c r="AQ1564" t="inlineStr">
        <is>
          <t>1660-4601</t>
        </is>
      </c>
      <c r="AS1564" t="inlineStr">
        <is>
          <t>INT J ENV RES PUB HE</t>
        </is>
      </c>
      <c r="AT1564" t="inlineStr">
        <is>
          <t>Int. J. Environ. Res. Public Health</t>
        </is>
      </c>
      <c r="AU1564" t="inlineStr">
        <is>
          <t>OCT</t>
        </is>
      </c>
      <c r="AV1564" t="n">
        <v>2022</v>
      </c>
      <c r="AW1564" t="n">
        <v>19</v>
      </c>
      <c r="AX1564" t="n">
        <v>19</v>
      </c>
      <c r="BE1564" t="n">
        <v>12581</v>
      </c>
      <c r="BF1564" t="inlineStr">
        <is>
          <t>10.3390/ijerph191912581</t>
        </is>
      </c>
      <c r="BG1564">
        <f>HYPERLINK("http://dx.doi.org/10.3390/ijerph191912581","http://dx.doi.org/10.3390/ijerph191912581")</f>
        <v/>
      </c>
      <c r="BJ1564" t="n">
        <v>15</v>
      </c>
      <c r="BK1564" t="inlineStr">
        <is>
          <t>Environmental Sciences; Public, Environmental &amp; Occupational Health</t>
        </is>
      </c>
      <c r="BL1564" t="inlineStr">
        <is>
          <t>Science Citation Index Expanded (SCI-EXPANDED); Social Science Citation Index (SSCI)</t>
        </is>
      </c>
      <c r="BM1564" t="inlineStr">
        <is>
          <t>Environmental Sciences &amp; Ecology; Public, Environmental &amp; Occupational Health</t>
        </is>
      </c>
      <c r="BN1564" t="inlineStr">
        <is>
          <t>5I0NZ</t>
        </is>
      </c>
      <c r="BO1564" t="n">
        <v>36231881</v>
      </c>
      <c r="BP1564" t="inlineStr">
        <is>
          <t>gold, Green Published</t>
        </is>
      </c>
      <c r="BS1564" t="inlineStr">
        <is>
          <t>2023-10-26</t>
        </is>
      </c>
      <c r="BT1564" t="inlineStr">
        <is>
          <t>WOS:000868066200001</t>
        </is>
      </c>
      <c r="BU1564">
        <f>HYPERLINK("https%3A%2F%2Fwww.webofscience.com%2Fwos%2Fwoscc%2Ffull-record%2FWOS:000868066200001","View Full Record in Web of Science")</f>
        <v/>
      </c>
    </row>
    <row r="1565">
      <c r="A1565" t="inlineStr">
        <is>
          <t>J</t>
        </is>
      </c>
      <c r="B1565" t="inlineStr">
        <is>
          <t>Liao, YP; Liu, GS; Luan, HJ; Deng, GJ; Zheng, MD; Cai, WH</t>
        </is>
      </c>
      <c r="F1565" t="inlineStr">
        <is>
          <t>Liao, Yiping; Liu, Guangsheng; Luan, Haijun; Deng, Guojiang; Zheng, Meiduan; Cai, Wenhao</t>
        </is>
      </c>
      <c r="J1565" t="inlineStr">
        <is>
          <t>FRONTIERS IN ENVIRONMENTAL SCIENCE</t>
        </is>
      </c>
      <c r="M1565" t="inlineStr">
        <is>
          <t>English</t>
        </is>
      </c>
      <c r="N1565" t="inlineStr">
        <is>
          <t>Article</t>
        </is>
      </c>
      <c r="T1565" t="inlineStr">
        <is>
          <t>Study of the relationship between urbanization and environment in the Jiulong river basin based on coupling coordination degree model</t>
        </is>
      </c>
      <c r="U1565" t="inlineStr">
        <is>
          <t>Jiulong River basin; coupling coordination degree model; ecological environment quality; urbanization; remote sensing ecological index; nighttime light</t>
        </is>
      </c>
      <c r="V1565" t="inlineStr">
        <is>
          <t>NIGHTTIME-LIGHT DATA; EVOLUTION; ECONOMY</t>
        </is>
      </c>
      <c r="W1565" t="inlineStr">
        <is>
          <t>Rapid urbanization has placed the sustainable development of some watershed ecosystems in jeopardy. In order to achieve sustainable urban development, it is vital to identify the coupling mechanisms between urbanization and the ecological environment quality. This study establishes indicators to evaluate the Jiulong River Basin's urbanization and ecological environment systems. These are utilized to analyze spatial and temporal changes and build a coupling coordination degree model. This research investigates the level of development coordination between urbanization and the ecological environment quality in the basin. The data sources include nighttime lighting and Landsat data from 2000 to 2020. The findings indicated the following: 1) Urbanization levels in the basin rise annually, and the years 2010-2020 represent a stage of high urbanization growth. In addition, the development levels are spatially heterogeneous, with high levels in the south and low levels in the north. 2) The ecological environment quality category for the basin is generally Excellent; however, many facets of the climate and human activity drastically lowered this grade in 2005. 3) In the basin, there is a basic coordination relationship between urbanization and environmental quality, but the number of cities falling into the moderate imbalance category has grown. 4) Increasing the urbanization level raises the coordination between urbanization and the ecological environment more than improving environmental quality, but antagonistic effects make it necessary to strengthen the protection of the ecological environment alongside economic development. From the viewpoint of counties, this study examines the long-term interactions between the ecological environment and urbanization in Fujian Province, China. Recommendations for balancing urban development and environmental concerns in coastal watersheds are presented, providing references to the fact that the future of this area of China can be sustainable.</t>
        </is>
      </c>
      <c r="X1565" t="inlineStr">
        <is>
          <t>[Liao, Yiping; Liu, Guangsheng; Deng, Guojiang; Zheng, Meiduan; Cai, Wenhao] Key Lab Water Resources Utilizat &amp; Protect Xiamen, Xiamen, Peoples R China; [Liao, Yiping; Liu, Guangsheng; Deng, Guojiang; Zheng, Meiduan; Cai, Wenhao] Xiamen Univ Technol, Sch Environm Sci &amp; Engn, Xiamen, Peoples R China; [Luan, Haijun] Xiamen Univ Technol, Coll Comp &amp; Informat Engn, Xiamen, Peoples R China; [Luan, Haijun] Lund Univ, Dept Phys Geog &amp; Ecosyst Sci, Lund, Sweden</t>
        </is>
      </c>
      <c r="Y1565" t="inlineStr">
        <is>
          <t>Xiamen University of Technology; Xiamen University of Technology; Lund University</t>
        </is>
      </c>
      <c r="Z1565" t="inlineStr">
        <is>
          <t>Liu, GS (corresponding author), Key Lab Water Resources Utilizat &amp; Protect Xiamen, Xiamen, Peoples R China.;Liu, GS (corresponding author), Xiamen Univ Technol, Sch Environm Sci &amp; Engn, Xiamen, Peoples R China.;Luan, HJ (corresponding author), Xiamen Univ Technol, Coll Comp &amp; Informat Engn, Xiamen, Peoples R China.;Luan, HJ (corresponding author), Lund Univ, Dept Phys Geog &amp; Ecosyst Sci, Lund, Sweden.</t>
        </is>
      </c>
      <c r="AA1565" t="inlineStr">
        <is>
          <t>liugs@xmut.edu.cn; haijun.luan@nateko.lu.se</t>
        </is>
      </c>
      <c r="AC1565" t="inlineStr">
        <is>
          <t>Luan, Haijun/0000-0002-7790-9533</t>
        </is>
      </c>
      <c r="AH1565" t="n">
        <v>40</v>
      </c>
      <c r="AI1565" t="n">
        <v>0</v>
      </c>
      <c r="AJ1565" t="n">
        <v>0</v>
      </c>
      <c r="AK1565" t="n">
        <v>15</v>
      </c>
      <c r="AL1565" t="n">
        <v>15</v>
      </c>
      <c r="AM1565" t="inlineStr">
        <is>
          <t>FRONTIERS MEDIA SA</t>
        </is>
      </c>
      <c r="AN1565" t="inlineStr">
        <is>
          <t>LAUSANNE</t>
        </is>
      </c>
      <c r="AO1565" t="inlineStr">
        <is>
          <t>AVENUE DU TRIBUNAL FEDERAL 34, LAUSANNE, CH-1015, SWITZERLAND</t>
        </is>
      </c>
      <c r="AQ1565" t="inlineStr">
        <is>
          <t>2296-665X</t>
        </is>
      </c>
      <c r="AS1565" t="inlineStr">
        <is>
          <t>FRONT ENV SCI-SWITZ</t>
        </is>
      </c>
      <c r="AT1565" t="inlineStr">
        <is>
          <t>Front. Environ. Sci.</t>
        </is>
      </c>
      <c r="AU1565" t="inlineStr">
        <is>
          <t>MAY 3</t>
        </is>
      </c>
      <c r="AV1565" t="n">
        <v>2023</v>
      </c>
      <c r="AW1565" t="n">
        <v>11</v>
      </c>
      <c r="BE1565" t="n">
        <v>1105007</v>
      </c>
      <c r="BF1565" t="inlineStr">
        <is>
          <t>10.3389/fenvs.2023.1105007</t>
        </is>
      </c>
      <c r="BG1565">
        <f>HYPERLINK("http://dx.doi.org/10.3389/fenvs.2023.1105007","http://dx.doi.org/10.3389/fenvs.2023.1105007")</f>
        <v/>
      </c>
      <c r="BJ1565" t="n">
        <v>16</v>
      </c>
      <c r="BK1565" t="inlineStr">
        <is>
          <t>Environmental Sciences</t>
        </is>
      </c>
      <c r="BL1565" t="inlineStr">
        <is>
          <t>Science Citation Index Expanded (SCI-EXPANDED)</t>
        </is>
      </c>
      <c r="BM1565" t="inlineStr">
        <is>
          <t>Environmental Sciences &amp; Ecology</t>
        </is>
      </c>
      <c r="BN1565" t="inlineStr">
        <is>
          <t>I1JQ4</t>
        </is>
      </c>
      <c r="BP1565" t="inlineStr">
        <is>
          <t>gold</t>
        </is>
      </c>
      <c r="BS1565" t="inlineStr">
        <is>
          <t>2023-10-26</t>
        </is>
      </c>
      <c r="BT1565" t="inlineStr">
        <is>
          <t>WOS:001000414700001</t>
        </is>
      </c>
      <c r="BU1565">
        <f>HYPERLINK("https%3A%2F%2Fwww.webofscience.com%2Fwos%2Fwoscc%2Ffull-record%2FWOS:001000414700001","View Full Record in Web of Science")</f>
        <v/>
      </c>
    </row>
    <row r="1566">
      <c r="A1566" t="inlineStr">
        <is>
          <t>J</t>
        </is>
      </c>
      <c r="B1566" t="inlineStr">
        <is>
          <t>Orihuela-Espejo, A; Alvarez-Salvago, F; Martínez-Amat, A; Boquete-Pumar, C; De Diego-Moreno, M; García-Sillero, M; Aibar-Almazán, A; Jiménez-García, JD</t>
        </is>
      </c>
      <c r="F1566" t="inlineStr">
        <is>
          <t>Orihuela-Espejo, Antonio; Alvarez-Salvago, Francisco; Martinez-Amat, Antonio; Boquete-Pumar, Carmen; De Diego-Moreno, Manuel; Garcia-Sillero, Manuel; Aibar-Almazan, Agustin; Daniel Jimenez-Garcia, Jose</t>
        </is>
      </c>
      <c r="J1566" t="inlineStr">
        <is>
          <t>INTERNATIONAL JOURNAL OF ENVIRONMENTAL RESEARCH AND PUBLIC HEALTH</t>
        </is>
      </c>
      <c r="M1566" t="inlineStr">
        <is>
          <t>English</t>
        </is>
      </c>
      <c r="N1566" t="inlineStr">
        <is>
          <t>Article</t>
        </is>
      </c>
      <c r="T1566" t="inlineStr">
        <is>
          <t>Associations between Muscle Strength, Physical Performance and Cognitive Impairment with Fear of Falling among Older Adults Aged ≥ 60 Years: A Cross-Sectional Study</t>
        </is>
      </c>
      <c r="U1566" t="inlineStr">
        <is>
          <t>muscle strength; cognitive impairment; fear of falling; older adults</t>
        </is>
      </c>
      <c r="V1566" t="inlineStr">
        <is>
          <t>QUALITY-OF-LIFE; WALKING SPEED; EFFICACY; PREVALENCE; VALIDATION; MORTALITY; PEOPLE; WOMEN; HOME</t>
        </is>
      </c>
      <c r="W1566" t="inlineStr">
        <is>
          <t>(1) Background: Fear of falling has become a significant health problem in older adults and is already considered as important as falling because of its long-term detrimental effects on older adults' physical and psychosocial functioning. The aim of this study was to analyze the associations between both upper and lower limb strength, gait parameters and cognitive impairment with fear of falling in older adults. (2) Methods: A cross-sectional study involving 115 older-adult participants was used to assess the impact of both upper (Handgrip dynamometer, TKK 5401 Grip-D, Takey, Tokyo, Japan) and lower limb strength (Chair stand test), gait parameters (OptoGait-System Bolzano, Bolzano, Italy) and cognitive impairment (COWAT word association test) with fear of falling in older adults (Falls Efficacy Scale-International FES-I). (3) Results: Multivariate linear regression analysis showed several independent associations with the fear of falling. A higher time to perform the Chair Stand test was associated with higher scores in FES-I (R-2 = 0.231), while a lower score in both Semantic Fluency (S COWA) and Phonologic Fluency (P COWA) was associated with a decreased score in FES-I (R-2 = 0.052 and 0.035). (4) Conclusions: Both higher step and stride length (OptoGait), lower body strength (Chair test) and both poorer semantic (S COWA) and phonologic (P COWA) fluency were all associated with fear of falling.</t>
        </is>
      </c>
      <c r="X1566" t="inlineStr">
        <is>
          <t>[Orihuela-Espejo, Antonio; Boquete-Pumar, Carmen; De Diego-Moreno, Manuel; Garcia-Sillero, Manuel] EADE Univ Wales, Fac Sport Sci, Malaga 29018, Spain; [Orihuela-Espejo, Antonio; Alvarez-Salvago, Francisco; Martinez-Amat, Antonio; Boquete-Pumar, Carmen; De Diego-Moreno, Manuel; Aibar-Almazan, Agustin; Daniel Jimenez-Garcia, Jose] Univ Jaen, Fac Hlth Sci, Dept Hlth Sci, Jaen 23071, Spain; [Alvarez-Salvago, Francisco] European Univ Valencia, Fac Hlth Sci, Dept Physiotherapy, Valencia 46112, Spain; [Garcia-Sillero, Manuel] Lab FiveStars, Malaga 29018, Spain</t>
        </is>
      </c>
      <c r="Y1566" t="inlineStr">
        <is>
          <t>Universidad de Jaen</t>
        </is>
      </c>
      <c r="Z1566" t="inlineStr">
        <is>
          <t>Alvarez-Salvago, F (corresponding author), Univ Jaen, Fac Hlth Sci, Dept Hlth Sci, Jaen 23071, Spain.;Alvarez-Salvago, F (corresponding author), European Univ Valencia, Fac Hlth Sci, Dept Physiotherapy, Valencia 46112, Spain.</t>
        </is>
      </c>
      <c r="AA1566" t="inlineStr">
        <is>
          <t>salvagofran@gmail.com</t>
        </is>
      </c>
      <c r="AB1566" t="inlineStr">
        <is>
          <t>GARCÍA, JOSÉ DANIEL JIMÉNEZ/AAB-4059-2020; Martinez-Amat, Antonio/M-6062-2015</t>
        </is>
      </c>
      <c r="AC1566" t="inlineStr">
        <is>
          <t>GARCÍA, JOSÉ DANIEL JIMÉNEZ/0000-0002-4219-3993; Aibar Almazan, Agustin/0000-0002-9386-9199; Garcia-Sillero, Manuel/0000-0002-3022-9151; Martinez-Amat, Antonio/0000-0002-9652-791X; Alvarez Salvago, Francisco/0000-0002-1108-2174</t>
        </is>
      </c>
      <c r="AD1566" t="inlineStr">
        <is>
          <t>2014-2020 Operational Programme FEDER in Andalusia [1260735]</t>
        </is>
      </c>
      <c r="AE1566" t="inlineStr">
        <is>
          <t>2014-2020 Operational Programme FEDER in Andalusia</t>
        </is>
      </c>
      <c r="AF1566" t="inlineStr">
        <is>
          <t>This work was supported by project 1260735, integrated into the 2014-2020 Operational Programme FEDER in Andalusia.</t>
        </is>
      </c>
      <c r="AH1566" t="n">
        <v>44</v>
      </c>
      <c r="AI1566" t="n">
        <v>1</v>
      </c>
      <c r="AJ1566" t="n">
        <v>1</v>
      </c>
      <c r="AK1566" t="n">
        <v>1</v>
      </c>
      <c r="AL1566" t="n">
        <v>8</v>
      </c>
      <c r="AM1566" t="inlineStr">
        <is>
          <t>MDPI</t>
        </is>
      </c>
      <c r="AN1566" t="inlineStr">
        <is>
          <t>BASEL</t>
        </is>
      </c>
      <c r="AO1566" t="inlineStr">
        <is>
          <t>ST ALBAN-ANLAGE 66, CH-4052 BASEL, SWITZERLAND</t>
        </is>
      </c>
      <c r="AQ1566" t="inlineStr">
        <is>
          <t>1660-4601</t>
        </is>
      </c>
      <c r="AS1566" t="inlineStr">
        <is>
          <t>INT J ENV RES PUB HE</t>
        </is>
      </c>
      <c r="AT1566" t="inlineStr">
        <is>
          <t>Int. J. Environ. Res. Public Health</t>
        </is>
      </c>
      <c r="AU1566" t="inlineStr">
        <is>
          <t>SEP</t>
        </is>
      </c>
      <c r="AV1566" t="n">
        <v>2022</v>
      </c>
      <c r="AW1566" t="n">
        <v>19</v>
      </c>
      <c r="AX1566" t="n">
        <v>17</v>
      </c>
      <c r="BE1566" t="n">
        <v>10504</v>
      </c>
      <c r="BF1566" t="inlineStr">
        <is>
          <t>10.3390/ijerph191710504</t>
        </is>
      </c>
      <c r="BG1566">
        <f>HYPERLINK("http://dx.doi.org/10.3390/ijerph191710504","http://dx.doi.org/10.3390/ijerph191710504")</f>
        <v/>
      </c>
      <c r="BJ1566" t="n">
        <v>10</v>
      </c>
      <c r="BK1566" t="inlineStr">
        <is>
          <t>Environmental Sciences; Public, Environmental &amp; Occupational Health</t>
        </is>
      </c>
      <c r="BL1566" t="inlineStr">
        <is>
          <t>Science Citation Index Expanded (SCI-EXPANDED); Social Science Citation Index (SSCI)</t>
        </is>
      </c>
      <c r="BM1566" t="inlineStr">
        <is>
          <t>Environmental Sciences &amp; Ecology; Public, Environmental &amp; Occupational Health</t>
        </is>
      </c>
      <c r="BN1566" t="inlineStr">
        <is>
          <t>4J3UX</t>
        </is>
      </c>
      <c r="BO1566" t="n">
        <v>36078219</v>
      </c>
      <c r="BP1566" t="inlineStr">
        <is>
          <t>Green Published, gold</t>
        </is>
      </c>
      <c r="BS1566" t="inlineStr">
        <is>
          <t>2023-10-26</t>
        </is>
      </c>
      <c r="BT1566" t="inlineStr">
        <is>
          <t>WOS:000851192400001</t>
        </is>
      </c>
      <c r="BU1566">
        <f>HYPERLINK("https%3A%2F%2Fwww.webofscience.com%2Fwos%2Fwoscc%2Ffull-record%2FWOS:000851192400001","View Full Record in Web of Science")</f>
        <v/>
      </c>
    </row>
    <row r="1567">
      <c r="A1567" t="inlineStr">
        <is>
          <t>J</t>
        </is>
      </c>
      <c r="B1567" t="inlineStr">
        <is>
          <t>Qian, CY; Zhou, Y; Ji, Z; Feng, Q</t>
        </is>
      </c>
      <c r="F1567" t="inlineStr">
        <is>
          <t>Qian, Caiyun; Zhou, Yang; Ji, Ze; Feng, Qing</t>
        </is>
      </c>
      <c r="J1567" t="inlineStr">
        <is>
          <t>SUSTAINABILITY</t>
        </is>
      </c>
      <c r="M1567" t="inlineStr">
        <is>
          <t>English</t>
        </is>
      </c>
      <c r="N1567" t="inlineStr">
        <is>
          <t>Article</t>
        </is>
      </c>
      <c r="T1567" t="inlineStr">
        <is>
          <t>The Influence of the Built Environment of Neighborhoods on Residents' Low-Carbon Travel Mode</t>
        </is>
      </c>
      <c r="U1567" t="inlineStr">
        <is>
          <t>neighborhood; built environment; low carbon travel; correlation analysis model; multivariate logit regression model; unary linear regression model</t>
        </is>
      </c>
      <c r="V1567" t="inlineStr">
        <is>
          <t>LAND-USE</t>
        </is>
      </c>
      <c r="W1567" t="inlineStr">
        <is>
          <t>Motor vehicle travel is one of the causes of aggravation of CO2 emission, environmental issues and urban problems. The advocation of low-carbon travel is necessary for the achievement of low-carbon city construction and sustainable development in the future. Many studies have shown that built environment tends to influence residents' travel behavior, and most studies are demonstrated from the macro level of metropolis. However, from the perspective of neighborhoods, much less attention has been paid, especially in developing countries including China. This study chooses 15 neighborhoods in the main districts of Nanjing in China, taking the location of neighborhoods and residents' socio-economic attributes into consideration, to examine the effects of residential built environment on residents' mode choice of different travel types, and to propose the recommended values for the most significant variables. The residential built environment attributes are from three dimensions of land use, road network system and transit facilities. The method of this study is three-step and successive. Primarily, a correlation analysis model is applied to initially examine the role that residents' socio-economic attributes and residential built environment attributes play on residents' low-carbon travel of three different travel types respectively. Primary significant attributes from these two aspects are preliminarily screened out for the re-screening in the next step. In addition, the study uses multivariate logit regression modeling approach, with significant socio-economic attributes as concomitant variables, to further re-screen out the key variables of built environment. Furthermore, a unary linear regression model is applied to propose the recommended values for the key built environment variables.</t>
        </is>
      </c>
      <c r="X1567" t="inlineStr">
        <is>
          <t>[Qian, Caiyun; Zhou, Yang; Ji, Ze; Feng, Qing] Nanjing Tech Univ, Sch Architecture, Nanjing 211800, Jiangsu, Peoples R China</t>
        </is>
      </c>
      <c r="Y1567" t="inlineStr">
        <is>
          <t>Nanjing Tech University</t>
        </is>
      </c>
      <c r="Z1567" t="inlineStr">
        <is>
          <t>Zhou, Y (corresponding author), Nanjing Tech Univ, Sch Architecture, Nanjing 211800, Jiangsu, Peoples R China.</t>
        </is>
      </c>
      <c r="AA1567" t="inlineStr">
        <is>
          <t>QCY13770584818@njtech.edu.cn; zhouyang0206@njtech.edu.cn; kizer@njtech.edu.cn; 873793053@njtech.edu.cn</t>
        </is>
      </c>
      <c r="AD1567" t="inlineStr">
        <is>
          <t>National Natural Science Foundation of China [51508265, 51578282]; Natural Science Research Project of Colleges and Universities in Jiangsu Province [15KJB560006]; Natural Science Foundation of Jiangsu Province, China [BK20151538]; Science and Technology Project of Ministry of Housing and Urban-Rural Development of China [2016-K2-027]; Foundation of the 333 High-Level Talents of Jiangsu Province [BRA2016417]</t>
        </is>
      </c>
      <c r="AE1567" t="inlineStr">
        <is>
          <t>National Natural Science Foundation of China(National Natural Science Foundation of China (NSFC)); Natural Science Research Project of Colleges and Universities in Jiangsu Province; Natural Science Foundation of Jiangsu Province, China(Natural Science Foundation of Jiangsu Province); Science and Technology Project of Ministry of Housing and Urban-Rural Development of China; Foundation of the 333 High-Level Talents of Jiangsu Province</t>
        </is>
      </c>
      <c r="AF1567" t="inlineStr">
        <is>
          <t>This study was supported by National Natural Science Foundation of China (No. 51508265 and No. 51578282); Natural Science Research Project of Colleges and Universities in Jiangsu Province (No. 15KJB560006); Natural Science Foundation of Jiangsu Province, China (No. BK20151538); Science and Technology Project of Ministry of Housing and Urban-Rural Development of China (2016-K2-027); and Foundation of the 333 High-Level Talents of Jiangsu Province (No. BRA2016417)</t>
        </is>
      </c>
      <c r="AH1567" t="n">
        <v>32</v>
      </c>
      <c r="AI1567" t="n">
        <v>3</v>
      </c>
      <c r="AJ1567" t="n">
        <v>3</v>
      </c>
      <c r="AK1567" t="n">
        <v>8</v>
      </c>
      <c r="AL1567" t="n">
        <v>50</v>
      </c>
      <c r="AM1567" t="inlineStr">
        <is>
          <t>MDPI</t>
        </is>
      </c>
      <c r="AN1567" t="inlineStr">
        <is>
          <t>BASEL</t>
        </is>
      </c>
      <c r="AO1567" t="inlineStr">
        <is>
          <t>ST ALBAN-ANLAGE 66, CH-4052 BASEL, SWITZERLAND</t>
        </is>
      </c>
      <c r="AP1567" t="inlineStr">
        <is>
          <t>2071-1050</t>
        </is>
      </c>
      <c r="AS1567" t="inlineStr">
        <is>
          <t>SUSTAINABILITY-BASEL</t>
        </is>
      </c>
      <c r="AT1567" t="inlineStr">
        <is>
          <t>Sustainability</t>
        </is>
      </c>
      <c r="AU1567" t="inlineStr">
        <is>
          <t>MAR</t>
        </is>
      </c>
      <c r="AV1567" t="n">
        <v>2018</v>
      </c>
      <c r="AW1567" t="n">
        <v>10</v>
      </c>
      <c r="AX1567" t="n">
        <v>3</v>
      </c>
      <c r="BE1567" t="n">
        <v>823</v>
      </c>
      <c r="BF1567" t="inlineStr">
        <is>
          <t>10.3390/su10030823</t>
        </is>
      </c>
      <c r="BG1567">
        <f>HYPERLINK("http://dx.doi.org/10.3390/su10030823","http://dx.doi.org/10.3390/su10030823")</f>
        <v/>
      </c>
      <c r="BJ1567" t="n">
        <v>26</v>
      </c>
      <c r="BK1567" t="inlineStr">
        <is>
          <t>Green &amp; Sustainable Science &amp; Technology; Environmental Sciences; Environmental Studies</t>
        </is>
      </c>
      <c r="BL1567" t="inlineStr">
        <is>
          <t>Science Citation Index Expanded (SCI-EXPANDED); Social Science Citation Index (SSCI)</t>
        </is>
      </c>
      <c r="BM1567" t="inlineStr">
        <is>
          <t>Science &amp; Technology - Other Topics; Environmental Sciences &amp; Ecology</t>
        </is>
      </c>
      <c r="BN1567" t="inlineStr">
        <is>
          <t>GA8DA</t>
        </is>
      </c>
      <c r="BP1567" t="inlineStr">
        <is>
          <t>gold</t>
        </is>
      </c>
      <c r="BS1567" t="inlineStr">
        <is>
          <t>2023-10-26</t>
        </is>
      </c>
      <c r="BT1567" t="inlineStr">
        <is>
          <t>WOS:000428567100250</t>
        </is>
      </c>
      <c r="BU1567">
        <f>HYPERLINK("https%3A%2F%2Fwww.webofscience.com%2Fwos%2Fwoscc%2Ffull-record%2FWOS:000428567100250","View Full Record in Web of Science")</f>
        <v/>
      </c>
    </row>
    <row r="1568">
      <c r="A1568" t="inlineStr">
        <is>
          <t>J</t>
        </is>
      </c>
      <c r="B1568" t="inlineStr">
        <is>
          <t>Li, K; Wang, LT; Feng, MH</t>
        </is>
      </c>
      <c r="F1568" t="inlineStr">
        <is>
          <t>Li, Kun; Wang, Lantao; Feng, Maohui</t>
        </is>
      </c>
      <c r="J1568" t="inlineStr">
        <is>
          <t>SCIENCE OF THE TOTAL ENVIRONMENT</t>
        </is>
      </c>
      <c r="M1568" t="inlineStr">
        <is>
          <t>English</t>
        </is>
      </c>
      <c r="N1568" t="inlineStr">
        <is>
          <t>Article</t>
        </is>
      </c>
      <c r="T1568" t="inlineStr">
        <is>
          <t>Relationship between built environments and risks of ischemic stroke based on meteorological factors: A case study of Wuhan's main urban area</t>
        </is>
      </c>
      <c r="U1568" t="inlineStr">
        <is>
          <t>Built environment; Ischemic stroke; Meteorological factor; Distributed lag non-linear model; Healthy city</t>
        </is>
      </c>
      <c r="V1568" t="inlineStr">
        <is>
          <t>AIR-POLLUTION; HEAT-ISLAND; MORTALITY; IMPACT; CHINA; ASSOCIATION; TEMPERATURE; POPULATION; RESPONSES; DISEASE</t>
        </is>
      </c>
      <c r="W1568" t="inlineStr">
        <is>
          <t>Ischemic stroke is one of the most common causes of death worldwide, and uncomfortable meteorological and built environments may increase its risk. Residents in different built environments are exposed to different risks of ischemic stroke in cold and hot weather. By using the data from 3547 patients hospitalized, a distributed lag non-linear model was established to compare the differences in the risk of ischemic stroke in urban areas with respect to different Building Height, Building Density, Normalized Differential Vegetation Index, and Distance to Water under the meteorological condition. The results showed that lower Building Height is related to the negative cold effects in winter, and higher Building Height is related to increased risks at high temperatures. Built environments with Building Heights of 10-15 m in hot weather and above 15 m in cold weather have low risks. Higher Building Density was found to be associated with reduced negative cold effects; however, the negative hot effects increased in summer. Built environments with a Building Density of more than 0.3 showed low risks, regardless of the weather conditions. Increasing NDVI seemed to mitigate negative effects in uncomfortable weather, and built environments with higher NDVI were found to be associated with lower risks of ischemic stroke. Built environments with shorter Distance to Water seemed to pose higher risks in summer, and longer Distance to Water was correlated with higher risks in winter. Built environments with Distance to Water in the range of 0.65-2.30 km showed low risks. The research results could have some implications for urban planners to form reasonable built environments under certain meteorological factors which can be beneficial for the mitigation of incidence of ischemic stroke. (C) 2020 Elsevier B.V. All rights reserved.</t>
        </is>
      </c>
      <c r="X1568" t="inlineStr">
        <is>
          <t>[Li, Kun; Wang, Lantao] Wuhan Univ, Sch Urban Design, 299 Bayi Rd, Wuhan 430072, Hubei, Peoples R China; [Feng, Maohui] Wuhan Univ, Zhongnan Hosp, Wuhan, Peoples R China</t>
        </is>
      </c>
      <c r="Y1568" t="inlineStr">
        <is>
          <t>Wuhan University; Wuhan University</t>
        </is>
      </c>
      <c r="Z1568" t="inlineStr">
        <is>
          <t>Li, K (corresponding author), Wuhan Univ, Sch Urban Design, 299 Bayi Rd, Wuhan 430072, Hubei, Peoples R China.</t>
        </is>
      </c>
      <c r="AA1568" t="inlineStr">
        <is>
          <t>kunli@whu.edu.cn; wanglantao@whu.edu.cn; fengmh@whu.edu.cn</t>
        </is>
      </c>
      <c r="AD1568" t="inlineStr">
        <is>
          <t>Basic Work of Science and Technology of China [2013FY112500]; National Natural Science Foundation of China [51208389, 81770283]</t>
        </is>
      </c>
      <c r="AE1568" t="inlineStr">
        <is>
          <t>Basic Work of Science and Technology of China; National Natural Science Foundation of China(National Natural Science Foundation of China (NSFC))</t>
        </is>
      </c>
      <c r="AF1568" t="inlineStr">
        <is>
          <t>This work was supported by Basic Work of Science and Technology of China under Grant No. 2013FY112500, and National Natural Science Foundation of China under Grant Nos. 51208389, 81770283.</t>
        </is>
      </c>
      <c r="AH1568" t="n">
        <v>59</v>
      </c>
      <c r="AI1568" t="n">
        <v>3</v>
      </c>
      <c r="AJ1568" t="n">
        <v>4</v>
      </c>
      <c r="AK1568" t="n">
        <v>7</v>
      </c>
      <c r="AL1568" t="n">
        <v>57</v>
      </c>
      <c r="AM1568" t="inlineStr">
        <is>
          <t>ELSEVIER</t>
        </is>
      </c>
      <c r="AN1568" t="inlineStr">
        <is>
          <t>AMSTERDAM</t>
        </is>
      </c>
      <c r="AO1568" t="inlineStr">
        <is>
          <t>RADARWEG 29, 1043 NX AMSTERDAM, NETHERLANDS</t>
        </is>
      </c>
      <c r="AP1568" t="inlineStr">
        <is>
          <t>0048-9697</t>
        </is>
      </c>
      <c r="AQ1568" t="inlineStr">
        <is>
          <t>1879-1026</t>
        </is>
      </c>
      <c r="AS1568" t="inlineStr">
        <is>
          <t>SCI TOTAL ENVIRON</t>
        </is>
      </c>
      <c r="AT1568" t="inlineStr">
        <is>
          <t>Sci. Total Environ.</t>
        </is>
      </c>
      <c r="AU1568" t="inlineStr">
        <is>
          <t>MAY 15</t>
        </is>
      </c>
      <c r="AV1568" t="n">
        <v>2021</v>
      </c>
      <c r="AW1568" t="n">
        <v>769</v>
      </c>
      <c r="BE1568" t="n">
        <v>144331</v>
      </c>
      <c r="BF1568" t="inlineStr">
        <is>
          <t>10.1016/j.scitotenv.2020.144331</t>
        </is>
      </c>
      <c r="BG1568">
        <f>HYPERLINK("http://dx.doi.org/10.1016/j.scitotenv.2020.144331","http://dx.doi.org/10.1016/j.scitotenv.2020.144331")</f>
        <v/>
      </c>
      <c r="BI1568" t="inlineStr">
        <is>
          <t>JAN 2021</t>
        </is>
      </c>
      <c r="BJ1568" t="n">
        <v>12</v>
      </c>
      <c r="BK1568" t="inlineStr">
        <is>
          <t>Environmental Sciences</t>
        </is>
      </c>
      <c r="BL1568" t="inlineStr">
        <is>
          <t>Science Citation Index Expanded (SCI-EXPANDED); Social Science Citation Index (SSCI)</t>
        </is>
      </c>
      <c r="BM1568" t="inlineStr">
        <is>
          <t>Environmental Sciences &amp; Ecology</t>
        </is>
      </c>
      <c r="BN1568" t="inlineStr">
        <is>
          <t>QT5HI</t>
        </is>
      </c>
      <c r="BO1568" t="n">
        <v>33736230</v>
      </c>
      <c r="BS1568" t="inlineStr">
        <is>
          <t>2023-10-26</t>
        </is>
      </c>
      <c r="BT1568" t="inlineStr">
        <is>
          <t>WOS:000626618100008</t>
        </is>
      </c>
      <c r="BU1568">
        <f>HYPERLINK("https%3A%2F%2Fwww.webofscience.com%2Fwos%2Fwoscc%2Ffull-record%2FWOS:000626618100008","View Full Record in Web of Science")</f>
        <v/>
      </c>
    </row>
    <row r="1569">
      <c r="A1569" t="inlineStr">
        <is>
          <t>J</t>
        </is>
      </c>
      <c r="B1569" t="inlineStr">
        <is>
          <t>Moreno-Rangel, A; Sharpe, T; McGill, G; Musau, F</t>
        </is>
      </c>
      <c r="F1569" t="inlineStr">
        <is>
          <t>Moreno-Rangel, Alejandro; Sharpe, Tim; McGill, Grainne; Musau, Filbert</t>
        </is>
      </c>
      <c r="J1569" t="inlineStr">
        <is>
          <t>INTERNATIONAL JOURNAL OF ENVIRONMENTAL RESEARCH AND PUBLIC HEALTH</t>
        </is>
      </c>
      <c r="M1569" t="inlineStr">
        <is>
          <t>English</t>
        </is>
      </c>
      <c r="N1569" t="inlineStr">
        <is>
          <t>Review</t>
        </is>
      </c>
      <c r="T1569" t="inlineStr">
        <is>
          <t>Indoor Air Quality in Passivhaus Dwellings: A Literature Review</t>
        </is>
      </c>
      <c r="U1569" t="inlineStr">
        <is>
          <t>indoor air quality (IAQ); Passivhaus; indoor environment; thermal comfort; healthy homes; literature review</t>
        </is>
      </c>
      <c r="V1569" t="inlineStr">
        <is>
          <t>VENTILATION STRATEGIES; ENVIRONMENTAL-QUALITY; MONITORED PERFORMANCE; RESIDENTIAL BUILDINGS; ENERGY PERFORMANCE; HEAT-RECOVERY; HOUSE CONCEPT; HEALTH; ASSOCIATION; PARAMETERS</t>
        </is>
      </c>
      <c r="W1569" t="inlineStr">
        <is>
          <t>Indoor air quality (IAQ) is a critical consideration in airtight buildings that depend on mechanical ventilation, such as those constructed to the Passivhaus standard. While previous reviews of IAQ on Passivhaus-certified buildings foccused on offices, this study examines residential buildings. A summary of data collection methods and pollutant concentrations is presented, followed by a critical discussion of the impact of Passivhaus design strategies on IAQ. This review indicates that IAQ in Passivhaus-certified dwellings is generally better than in conventional homes, but both occupant behaviour and pollution from outdoor sources play a significant role in indoor concentrations. Moreover, there are differences in data collection and reporting methods. Many of the available studies depend on short-term IAQ monitoring of less than two weeks, making it difficult to determine the longer impact of housing design on IAQ and occupants' well-being. There is also a lack of studies from non-European countries. Future research should focus on investigating associations between IAQ and Passivhaus design strategies in hot and humid climates, where evidence is particularly lacking. Further effort is also required to investigate potential links between occupant's perception of IAQ and physical exposure to indoor pollution. Finally, the lack of homogeneous monitoring and reporting methods for IAQ studies needs to be addressed.</t>
        </is>
      </c>
      <c r="X1569" t="inlineStr">
        <is>
          <t>[Moreno-Rangel, Alejandro] Univ Lancaster, Lancaster Inst Contemporary Arts, Lancaster LA1 4YW, England; [Sharpe, Tim; McGill, Grainne] Univ Strathclyde, Dept Architecture, 75 Montrose St, Glasgow G1 1XJ, Lanark, Scotland; [Musau, Filbert] Glasgow Sch Art, Mackintosh Environm Architecture Res Unit, 167 Renfrew St, Glasgow G3 6RQ, Lanark, Scotland</t>
        </is>
      </c>
      <c r="Y1569" t="inlineStr">
        <is>
          <t>Lancaster University; University of Strathclyde; Glasgow School of Art</t>
        </is>
      </c>
      <c r="Z1569" t="inlineStr">
        <is>
          <t>Moreno-Rangel, A (corresponding author), Univ Lancaster, Lancaster Inst Contemporary Arts, Lancaster LA1 4YW, England.</t>
        </is>
      </c>
      <c r="AA1569" t="inlineStr">
        <is>
          <t>a.morenorangel@lancaster.ac.uk; tim.sharpe@strath.ac.uk; grainne.mcgill@strath.ac.uk; f.musau@gsa.ac.uk</t>
        </is>
      </c>
      <c r="AB1569" t="inlineStr">
        <is>
          <t>Rangel, Alejandro Moreno/AAT-7224-2020</t>
        </is>
      </c>
      <c r="AC1569" t="inlineStr">
        <is>
          <t>Rangel, Alejandro Moreno/0000-0001-6405-4233; McGill, Grainne/0000-0002-8716-9567; Sharpe, Tim/0000-0002-4275-5351</t>
        </is>
      </c>
      <c r="AD1569" t="inlineStr">
        <is>
          <t>CONACyT; AHRC [AH/R00207X/1, AH/S010467/1, AH/N006607/1] Funding Source: UKRI</t>
        </is>
      </c>
      <c r="AE1569" t="inlineStr">
        <is>
          <t>CONACyT(Consejo Nacional de Ciencia y Tecnologia (CONACyT)); AHRC(UK Research &amp; Innovation (UKRI)Arts &amp; Humanities Research Council (AHRC))</t>
        </is>
      </c>
      <c r="AF1569" t="inlineStr">
        <is>
          <t>This research was partially funded by CONACyT through a PhD grant.</t>
        </is>
      </c>
      <c r="AH1569" t="n">
        <v>106</v>
      </c>
      <c r="AI1569" t="n">
        <v>28</v>
      </c>
      <c r="AJ1569" t="n">
        <v>28</v>
      </c>
      <c r="AK1569" t="n">
        <v>2</v>
      </c>
      <c r="AL1569" t="n">
        <v>39</v>
      </c>
      <c r="AM1569" t="inlineStr">
        <is>
          <t>MDPI</t>
        </is>
      </c>
      <c r="AN1569" t="inlineStr">
        <is>
          <t>BASEL</t>
        </is>
      </c>
      <c r="AO1569" t="inlineStr">
        <is>
          <t>ST ALBAN-ANLAGE 66, CH-4052 BASEL, SWITZERLAND</t>
        </is>
      </c>
      <c r="AQ1569" t="inlineStr">
        <is>
          <t>1660-4601</t>
        </is>
      </c>
      <c r="AS1569" t="inlineStr">
        <is>
          <t>INT J ENV RES PUB HE</t>
        </is>
      </c>
      <c r="AT1569" t="inlineStr">
        <is>
          <t>Int. J. Environ. Res. Public Health</t>
        </is>
      </c>
      <c r="AU1569" t="inlineStr">
        <is>
          <t>JUL</t>
        </is>
      </c>
      <c r="AV1569" t="n">
        <v>2020</v>
      </c>
      <c r="AW1569" t="n">
        <v>17</v>
      </c>
      <c r="AX1569" t="n">
        <v>13</v>
      </c>
      <c r="BE1569" t="n">
        <v>4749</v>
      </c>
      <c r="BF1569" t="inlineStr">
        <is>
          <t>10.3390/ijerph17134749</t>
        </is>
      </c>
      <c r="BG1569">
        <f>HYPERLINK("http://dx.doi.org/10.3390/ijerph17134749","http://dx.doi.org/10.3390/ijerph17134749")</f>
        <v/>
      </c>
      <c r="BJ1569" t="n">
        <v>16</v>
      </c>
      <c r="BK1569" t="inlineStr">
        <is>
          <t>Environmental Sciences; Public, Environmental &amp; Occupational Health</t>
        </is>
      </c>
      <c r="BL1569" t="inlineStr">
        <is>
          <t>Science Citation Index Expanded (SCI-EXPANDED); Social Science Citation Index (SSCI)</t>
        </is>
      </c>
      <c r="BM1569" t="inlineStr">
        <is>
          <t>Environmental Sciences &amp; Ecology; Public, Environmental &amp; Occupational Health</t>
        </is>
      </c>
      <c r="BN1569" t="inlineStr">
        <is>
          <t>MM6XP</t>
        </is>
      </c>
      <c r="BO1569" t="n">
        <v>32630329</v>
      </c>
      <c r="BP1569" t="inlineStr">
        <is>
          <t>gold, Green Accepted, Green Published</t>
        </is>
      </c>
      <c r="BS1569" t="inlineStr">
        <is>
          <t>2023-10-26</t>
        </is>
      </c>
      <c r="BT1569" t="inlineStr">
        <is>
          <t>WOS:000550298200001</t>
        </is>
      </c>
      <c r="BU1569">
        <f>HYPERLINK("https%3A%2F%2Fwww.webofscience.com%2Fwos%2Fwoscc%2Ffull-record%2FWOS:000550298200001","View Full Record in Web of Science")</f>
        <v/>
      </c>
    </row>
    <row r="1570">
      <c r="A1570" t="inlineStr">
        <is>
          <t>J</t>
        </is>
      </c>
      <c r="B1570" t="inlineStr">
        <is>
          <t>Devitofrancesco, A; Belussi, L; Meroni, I; Scamoni, F</t>
        </is>
      </c>
      <c r="F1570" t="inlineStr">
        <is>
          <t>Devitofrancesco, Anna; Belussi, Lorenzo; Meroni, Italo; Scamoni, Fabio</t>
        </is>
      </c>
      <c r="J1570" t="inlineStr">
        <is>
          <t>SUSTAINABILITY</t>
        </is>
      </c>
      <c r="M1570" t="inlineStr">
        <is>
          <t>English</t>
        </is>
      </c>
      <c r="N1570" t="inlineStr">
        <is>
          <t>Article</t>
        </is>
      </c>
      <c r="T1570" t="inlineStr">
        <is>
          <t>Development of an Indoor Environmental Quality Assessment Tool for the Rating of Offices in Real Working Conditions</t>
        </is>
      </c>
      <c r="U1570" t="inlineStr">
        <is>
          <t>indoor environmental quality; SB method; multi criteria analysis; monitoring and measurement; office building; real working conditions</t>
        </is>
      </c>
      <c r="V1570" t="inlineStr">
        <is>
          <t>FACADE SOUND INSULATION; SUSTAINABILITY ASSESSMENT; ENERGY-CONSUMPTION; THERMAL COMFORT; BUILDINGS; CLASSIFICATION; POSTOCCUPANCY; PERFORMANCE; FRAMEWORK; WORLDWIDE</t>
        </is>
      </c>
      <c r="W1570" t="inlineStr">
        <is>
          <t>The Indoor Environmental Quality (IEQ) refers to the quality of indoor spaces in relation to the health and well-being of users. IEQ is a holistic concept considering various components of the overall indoor comfort: thermo-hygrometric, lighting, air quality and acoustics. Each component is described through specific performance indicators and benchmarks. The quality of the built environment is assessed at different stages from design to operational phase. The scientific literature reports several case studies related to the assessment of the individual components of the IEQ Tools aimed at the evaluation of the overall IEQ. The paper proposes an assessment tool based on the SB Method (Sustainable Building Method) and the Multi Criteria Analysis for the evaluation of IEQ during the operational phase of a building. Each component of IEQ is analysed through objective indicators and calculation methods. The tool provides two main outcomes: a global score expressing the overall performance of the building from the IEQ perspective; quantitative evaluations of all indoor comfort components through monitoring and measurement of the environmental variables. The above contributes to select intervention areas to optimize indoor design and to identify technologies aimed at ensuring the best IEQ levels for users at the operational stage. The system was applied to an open-plan working space of an office building. Monitoring activities and measurements are carried out to detect the indoor and outdoor variables affecting the IEQ. All aspects of IEQ were analysed and quantified so to evaluate the overall performance of the building and provide data to improve the working conditions.</t>
        </is>
      </c>
      <c r="X1570" t="inlineStr">
        <is>
          <t>[Devitofrancesco, Anna; Belussi, Lorenzo; Meroni, Italo; Scamoni, Fabio] Natl Res Council Italy ITC CNR, Construct Technol Inst, Via Lombardia 49, I-20098 Milan, Italy</t>
        </is>
      </c>
      <c r="Y1570" t="inlineStr">
        <is>
          <t>Consiglio Nazionale delle Ricerche (CNR); Istituto per le Tecnologie della Costruzione (ITC-CNR)</t>
        </is>
      </c>
      <c r="Z1570" t="inlineStr">
        <is>
          <t>Devitofrancesco, A (corresponding author), Natl Res Council Italy ITC CNR, Construct Technol Inst, Via Lombardia 49, I-20098 Milan, Italy.</t>
        </is>
      </c>
      <c r="AA1570" t="inlineStr">
        <is>
          <t>anna.devitofrancesco@itc.cnr.it; belussi@itc.cnr.it; meroni@itc.cnr.it; scamoni@itc.cnr.it</t>
        </is>
      </c>
      <c r="AB1570" t="inlineStr">
        <is>
          <t>Scamoni, Fabio/V-7858-2019; Santana, Elaine/GNP-2710-2022; Belussi, Lorenzo/C-7504-2017</t>
        </is>
      </c>
      <c r="AC1570" t="inlineStr">
        <is>
          <t>Scamoni, Fabio/0000-0002-5044-0245; Belussi, Lorenzo/0000-0002-1341-0602; Devitofrancesco, Anna/0000-0003-3491-5543</t>
        </is>
      </c>
      <c r="AD1570" t="inlineStr">
        <is>
          <t>Italian chapter iiSBE Italia</t>
        </is>
      </c>
      <c r="AE1570" t="inlineStr">
        <is>
          <t>Italian chapter iiSBE Italia</t>
        </is>
      </c>
      <c r="AF1570" t="inlineStr">
        <is>
          <t>The authors would like to thank iiSBE International and the Italian chapter iiSBE Italia for their support to the research.</t>
        </is>
      </c>
      <c r="AH1570" t="n">
        <v>45</v>
      </c>
      <c r="AI1570" t="n">
        <v>8</v>
      </c>
      <c r="AJ1570" t="n">
        <v>8</v>
      </c>
      <c r="AK1570" t="n">
        <v>7</v>
      </c>
      <c r="AL1570" t="n">
        <v>25</v>
      </c>
      <c r="AM1570" t="inlineStr">
        <is>
          <t>MDPI</t>
        </is>
      </c>
      <c r="AN1570" t="inlineStr">
        <is>
          <t>BASEL</t>
        </is>
      </c>
      <c r="AO1570" t="inlineStr">
        <is>
          <t>ST ALBAN-ANLAGE 66, CH-4052 BASEL, SWITZERLAND</t>
        </is>
      </c>
      <c r="AQ1570" t="inlineStr">
        <is>
          <t>2071-1050</t>
        </is>
      </c>
      <c r="AS1570" t="inlineStr">
        <is>
          <t>SUSTAINABILITY-BASEL</t>
        </is>
      </c>
      <c r="AT1570" t="inlineStr">
        <is>
          <t>Sustainability</t>
        </is>
      </c>
      <c r="AU1570" t="inlineStr">
        <is>
          <t>MAR 2</t>
        </is>
      </c>
      <c r="AV1570" t="n">
        <v>2019</v>
      </c>
      <c r="AW1570" t="n">
        <v>11</v>
      </c>
      <c r="AX1570" t="n">
        <v>6</v>
      </c>
      <c r="BE1570" t="n">
        <v>1645</v>
      </c>
      <c r="BF1570" t="inlineStr">
        <is>
          <t>10.3390/su11061645</t>
        </is>
      </c>
      <c r="BG1570">
        <f>HYPERLINK("http://dx.doi.org/10.3390/su11061645","http://dx.doi.org/10.3390/su11061645")</f>
        <v/>
      </c>
      <c r="BJ1570" t="n">
        <v>17</v>
      </c>
      <c r="BK1570" t="inlineStr">
        <is>
          <t>Green &amp; Sustainable Science &amp; Technology; Environmental Sciences; Environmental Studies</t>
        </is>
      </c>
      <c r="BL1570" t="inlineStr">
        <is>
          <t>Science Citation Index Expanded (SCI-EXPANDED); Social Science Citation Index (SSCI)</t>
        </is>
      </c>
      <c r="BM1570" t="inlineStr">
        <is>
          <t>Science &amp; Technology - Other Topics; Environmental Sciences &amp; Ecology</t>
        </is>
      </c>
      <c r="BN1570" t="inlineStr">
        <is>
          <t>HU9KJ</t>
        </is>
      </c>
      <c r="BP1570" t="inlineStr">
        <is>
          <t>gold, Green Submitted</t>
        </is>
      </c>
      <c r="BS1570" t="inlineStr">
        <is>
          <t>2023-10-26</t>
        </is>
      </c>
      <c r="BT1570" t="inlineStr">
        <is>
          <t>WOS:000465613000100</t>
        </is>
      </c>
      <c r="BU1570">
        <f>HYPERLINK("https%3A%2F%2Fwww.webofscience.com%2Fwos%2Fwoscc%2Ffull-record%2FWOS:000465613000100","View Full Record in Web of Science")</f>
        <v/>
      </c>
    </row>
    <row r="1571">
      <c r="A1571" t="inlineStr">
        <is>
          <t>J</t>
        </is>
      </c>
      <c r="B1571" t="inlineStr">
        <is>
          <t>Yang, LL; Fei, SM; Jia, HF; Qi, JD; Wang, LY; Hu, XN</t>
        </is>
      </c>
      <c r="F1571" t="inlineStr">
        <is>
          <t>Yang, Lili; Fei, Simeng; Jia, Hongfei; Qi, Jingdong; Wang, Luyao; Hu, Xinning</t>
        </is>
      </c>
      <c r="J1571" t="inlineStr">
        <is>
          <t>SUSTAINABILITY</t>
        </is>
      </c>
      <c r="M1571" t="inlineStr">
        <is>
          <t>English</t>
        </is>
      </c>
      <c r="N1571" t="inlineStr">
        <is>
          <t>Article</t>
        </is>
      </c>
      <c r="T1571" t="inlineStr">
        <is>
          <t>Study on the Relationship between the Spatial Distribution of Shared Bicycle Travel Demand and Urban Built Environment</t>
        </is>
      </c>
      <c r="U1571" t="inlineStr">
        <is>
          <t>shared bicycle; support vector regression; built environment; space syntax</t>
        </is>
      </c>
      <c r="V1571" t="inlineStr">
        <is>
          <t>SHARING SYSTEM; LAND-USE; IMPACT</t>
        </is>
      </c>
      <c r="W1571" t="inlineStr">
        <is>
          <t>As a green and sustainable trip mode, shared bicycles play an essential role in completing short-distance trips in cities. This paper proposes a method to analyze the impact of the urban built environment on the distribution of shared bicycles in a small-scale space. First, the Fishnet function of ArcGIS is utilized to divide the study area into grids of 500 m x 500 m. Then, three indicators are proposed to describe the characteristics of the urban built environment, including point of information (POI) comprehensive index, the intensity of public transportation coverage, spatial accessibility, providing them the ways to be assigned to the grids. Finally, the multivariable linear regression model and support vector regression (SVR) models are applied to reveal the impacts of built environment factors on the spatial distribution of shared bicycles. Results show that SVR models based on linear kernel function, Gaussian radial basis kernel function, and Polynomial kernel function can achieve better analysis results. The SVR model based on the Gaussian radial basis function shows higher explanatory power (adjusted R2 = 0.978) than the multivariable linear regression model (adjusted R2 = 0.847). This paper can aid in understanding the demand and supply of shared bicycles and help operators or governments to improve service quality.</t>
        </is>
      </c>
      <c r="X1571" t="inlineStr">
        <is>
          <t>[Yang, Lili; Fei, Simeng; Jia, Hongfei; Hu, Xinning] Jilin Univ, Coll Transportat, Changchun 130022, Peoples R China; [Qi, Jingdong] Changchun Municipal Engn Design &amp; Res Inst, Changchun 130022, Peoples R China; [Wang, Luyao] Shenyang Urban Planning &amp; Design Inst, Shenyang 110004, Peoples R China</t>
        </is>
      </c>
      <c r="Y1571" t="inlineStr">
        <is>
          <t>Jilin University</t>
        </is>
      </c>
      <c r="Z1571" t="inlineStr">
        <is>
          <t>Jia, HF (corresponding author), Jilin Univ, Coll Transportat, Changchun 130022, Peoples R China.</t>
        </is>
      </c>
      <c r="AA1571" t="inlineStr">
        <is>
          <t>yanglili@jlu.edu.cn; feisimeng0855@jl1.cn; jiahf@jlu.edu.cn; qijingdong1991@163.com; trafficplanning@163.com; huxn22@mails.jlu.edu.cn</t>
        </is>
      </c>
      <c r="AD1571" t="inlineStr">
        <is>
          <t>Thank you to all reviewers for their suggestions to make this paper better.</t>
        </is>
      </c>
      <c r="AE1571" t="inlineStr">
        <is>
          <t>Thank you to all reviewers for their suggestions to make this paper better.</t>
        </is>
      </c>
      <c r="AF1571" t="inlineStr">
        <is>
          <t>Thank you to all reviewers for their suggestions to make this paper better.</t>
        </is>
      </c>
      <c r="AH1571" t="n">
        <v>30</v>
      </c>
      <c r="AI1571" t="n">
        <v>0</v>
      </c>
      <c r="AJ1571" t="n">
        <v>0</v>
      </c>
      <c r="AK1571" t="n">
        <v>2</v>
      </c>
      <c r="AL1571" t="n">
        <v>2</v>
      </c>
      <c r="AM1571" t="inlineStr">
        <is>
          <t>MDPI</t>
        </is>
      </c>
      <c r="AN1571" t="inlineStr">
        <is>
          <t>BASEL</t>
        </is>
      </c>
      <c r="AO1571" t="inlineStr">
        <is>
          <t>ST ALBAN-ANLAGE 66, CH-4052 BASEL, SWITZERLAND</t>
        </is>
      </c>
      <c r="AQ1571" t="inlineStr">
        <is>
          <t>2071-1050</t>
        </is>
      </c>
      <c r="AS1571" t="inlineStr">
        <is>
          <t>SUSTAINABILITY-BASEL</t>
        </is>
      </c>
      <c r="AT1571" t="inlineStr">
        <is>
          <t>Sustainability</t>
        </is>
      </c>
      <c r="AU1571" t="inlineStr">
        <is>
          <t>SEP</t>
        </is>
      </c>
      <c r="AV1571" t="n">
        <v>2023</v>
      </c>
      <c r="AW1571" t="n">
        <v>15</v>
      </c>
      <c r="AX1571" t="n">
        <v>18</v>
      </c>
      <c r="BE1571" t="n">
        <v>13576</v>
      </c>
      <c r="BF1571" t="inlineStr">
        <is>
          <t>10.3390/su151813576</t>
        </is>
      </c>
      <c r="BG1571">
        <f>HYPERLINK("http://dx.doi.org/10.3390/su151813576","http://dx.doi.org/10.3390/su151813576")</f>
        <v/>
      </c>
      <c r="BJ1571" t="n">
        <v>16</v>
      </c>
      <c r="BK1571" t="inlineStr">
        <is>
          <t>Green &amp; Sustainable Science &amp; Technology; Environmental Sciences; Environmental Studies</t>
        </is>
      </c>
      <c r="BL1571" t="inlineStr">
        <is>
          <t>Science Citation Index Expanded (SCI-EXPANDED); Social Science Citation Index (SSCI)</t>
        </is>
      </c>
      <c r="BM1571" t="inlineStr">
        <is>
          <t>Science &amp; Technology - Other Topics; Environmental Sciences &amp; Ecology</t>
        </is>
      </c>
      <c r="BN1571" t="inlineStr">
        <is>
          <t>S6OR2</t>
        </is>
      </c>
      <c r="BS1571" t="inlineStr">
        <is>
          <t>2023-10-26</t>
        </is>
      </c>
      <c r="BT1571" t="inlineStr">
        <is>
          <t>WOS:001072340700001</t>
        </is>
      </c>
      <c r="BU1571">
        <f>HYPERLINK("https%3A%2F%2Fwww.webofscience.com%2Fwos%2Fwoscc%2Ffull-record%2FWOS:001072340700001","View Full Record in Web of Science")</f>
        <v/>
      </c>
    </row>
    <row r="1572">
      <c r="A1572" t="inlineStr">
        <is>
          <t>J</t>
        </is>
      </c>
      <c r="B1572" t="inlineStr">
        <is>
          <t>Yu, JY; Ma, GX; Wang, SX</t>
        </is>
      </c>
      <c r="F1572" t="inlineStr">
        <is>
          <t>Yu, Jingyu; Ma, Guixia; Wang, Shuxia</t>
        </is>
      </c>
      <c r="J1572" t="inlineStr">
        <is>
          <t>INTERNATIONAL JOURNAL OF ENVIRONMENTAL RESEARCH AND PUBLIC HEALTH</t>
        </is>
      </c>
      <c r="M1572" t="inlineStr">
        <is>
          <t>English</t>
        </is>
      </c>
      <c r="N1572" t="inlineStr">
        <is>
          <t>Article</t>
        </is>
      </c>
      <c r="T1572" t="inlineStr">
        <is>
          <t>Do Age-Friendly Rural Communities Affect Quality of Life? A Comparison of Perceptions from Middle-Aged and Older Adults in China</t>
        </is>
      </c>
      <c r="U1572" t="inlineStr">
        <is>
          <t>age-friendly communities; older adults; quality of life; rural community</t>
        </is>
      </c>
      <c r="V1572" t="inlineStr">
        <is>
          <t>WORLD-HEALTH-ORGANIZATION; AREAS; URBAN; NETWORKS; PEOPLE; WHOQOL; POLICY; WELL</t>
        </is>
      </c>
      <c r="W1572" t="inlineStr">
        <is>
          <t>The aging population in rural areas of China faces serious challenges due to urban-rural disparities. In order to improve the active aging of rural older adults, the establishment of age-friendly communities is encouraged. However, globally, the focus is on age-friendly communities in urban areas, not reflecting rural communities. Hence, we addressed the importance of age-friendly rural communities (AFRCs) and aimed to investigate their impact on the quality of life (QoL) of older adults. We examined different perceptions of AFRCs among older adults (aged over 60) and middle-aged people (45-60) in rural communities with questionnaire surveys (n = 470 and 393, respectively). Several statistical methods, such as Chi-squared test, t-test, reliability test, and multiple regression, were adopted to investigate and compare the perceptions of these two. The results indicated that (1) middle-aged people were more satisfied with AFRC components and had a higher QoL than older adults; (2) the QoL of middle-aged people was predicted by housing, accessibility, and outdoor spaces; (3) the QoL of older adults was affected by housing, outdoor spaces, social participation, and public transportation. These findings aid in our understanding of rural communities and the QoL of rural residents. They are helpful for urban planners and policymakers to improve the planning of AFRCs and supplement research on age-friendly communities in rural areas. Practical implementations are proposed for the planning of AFRCs, such as the passive design of residential housing, grouping of community facilities together, and improvement in the hygiene of outdoor spaces in rural areas.</t>
        </is>
      </c>
      <c r="X1572" t="inlineStr">
        <is>
          <t>[Yu, Jingyu; Ma, Guixia] Hefei Univ Technol, Sch Civil Engn, Hefei 230009, Peoples R China; [Wang, Shuxia] Suzhou Univ, Suzhou 234000, Peoples R China</t>
        </is>
      </c>
      <c r="Y1572" t="inlineStr">
        <is>
          <t>Hefei University of Technology; Soochow University - China</t>
        </is>
      </c>
      <c r="Z1572" t="inlineStr">
        <is>
          <t>Ma, GX (corresponding author), Hefei Univ Technol, Sch Civil Engn, Hefei 230009, Peoples R China.</t>
        </is>
      </c>
      <c r="AA1572" t="inlineStr">
        <is>
          <t>yujingyu@foxmail.com; maguixia2020@163.com; skxwsx@163.com</t>
        </is>
      </c>
      <c r="AD1572" t="inlineStr">
        <is>
          <t>National Natural Science Foundation of China [71704043]; Social Science Funds of Anhui Province [AHSKY2019D031]; Social Science Funds of Anhui Universities [SK2019A0528]</t>
        </is>
      </c>
      <c r="AE1572" t="inlineStr">
        <is>
          <t>National Natural Science Foundation of China(National Natural Science Foundation of China (NSFC)); Social Science Funds of Anhui Province; Social Science Funds of Anhui Universities</t>
        </is>
      </c>
      <c r="AF1572" t="inlineStr">
        <is>
          <t>The work described in this paper was fully supported by a grant from the National Natural Science Foundation of China (Project No. 71704043), the Social Science Funds of Anhui Province (Project No. AHSKY2019D031), and the Social Science Funds of Anhui Universities (SK2019A0528).</t>
        </is>
      </c>
      <c r="AH1572" t="n">
        <v>54</v>
      </c>
      <c r="AI1572" t="n">
        <v>8</v>
      </c>
      <c r="AJ1572" t="n">
        <v>8</v>
      </c>
      <c r="AK1572" t="n">
        <v>10</v>
      </c>
      <c r="AL1572" t="n">
        <v>65</v>
      </c>
      <c r="AM1572" t="inlineStr">
        <is>
          <t>MDPI</t>
        </is>
      </c>
      <c r="AN1572" t="inlineStr">
        <is>
          <t>BASEL</t>
        </is>
      </c>
      <c r="AO1572" t="inlineStr">
        <is>
          <t>ST ALBAN-ANLAGE 66, CH-4052 BASEL, SWITZERLAND</t>
        </is>
      </c>
      <c r="AQ1572" t="inlineStr">
        <is>
          <t>1660-4601</t>
        </is>
      </c>
      <c r="AS1572" t="inlineStr">
        <is>
          <t>INT J ENV RES PUB HE</t>
        </is>
      </c>
      <c r="AT1572" t="inlineStr">
        <is>
          <t>Int. J. Environ. Res. Public Health</t>
        </is>
      </c>
      <c r="AU1572" t="inlineStr">
        <is>
          <t>JUL</t>
        </is>
      </c>
      <c r="AV1572" t="n">
        <v>2021</v>
      </c>
      <c r="AW1572" t="n">
        <v>18</v>
      </c>
      <c r="AX1572" t="n">
        <v>14</v>
      </c>
      <c r="BE1572" t="n">
        <v>7283</v>
      </c>
      <c r="BF1572" t="inlineStr">
        <is>
          <t>10.3390/ijerph18147283</t>
        </is>
      </c>
      <c r="BG1572">
        <f>HYPERLINK("http://dx.doi.org/10.3390/ijerph18147283","http://dx.doi.org/10.3390/ijerph18147283")</f>
        <v/>
      </c>
      <c r="BJ1572" t="n">
        <v>13</v>
      </c>
      <c r="BK1572" t="inlineStr">
        <is>
          <t>Environmental Sciences; Public, Environmental &amp; Occupational Health</t>
        </is>
      </c>
      <c r="BL1572" t="inlineStr">
        <is>
          <t>Science Citation Index Expanded (SCI-EXPANDED); Social Science Citation Index (SSCI)</t>
        </is>
      </c>
      <c r="BM1572" t="inlineStr">
        <is>
          <t>Environmental Sciences &amp; Ecology; Public, Environmental &amp; Occupational Health</t>
        </is>
      </c>
      <c r="BN1572" t="inlineStr">
        <is>
          <t>TO1NH</t>
        </is>
      </c>
      <c r="BO1572" t="n">
        <v>34299736</v>
      </c>
      <c r="BP1572" t="inlineStr">
        <is>
          <t>Green Published, gold</t>
        </is>
      </c>
      <c r="BS1572" t="inlineStr">
        <is>
          <t>2023-10-26</t>
        </is>
      </c>
      <c r="BT1572" t="inlineStr">
        <is>
          <t>WOS:000676687200001</t>
        </is>
      </c>
      <c r="BU1572">
        <f>HYPERLINK("https%3A%2F%2Fwww.webofscience.com%2Fwos%2Fwoscc%2Ffull-record%2FWOS:000676687200001","View Full Record in Web of Science")</f>
        <v/>
      </c>
    </row>
    <row r="1573">
      <c r="A1573" t="inlineStr">
        <is>
          <t>J</t>
        </is>
      </c>
      <c r="B1573" t="inlineStr">
        <is>
          <t>Cerin, E; Yin, SY; Choi, WK; Ngan, W; Tham, R; Barnett, A</t>
        </is>
      </c>
      <c r="F1573" t="inlineStr">
        <is>
          <t>Cerin, Ester; Yin, Shiyuan; Choi, Wing Ka; Ngan, Winsfred; Tham, Rachel; Barnett, Anthony</t>
        </is>
      </c>
      <c r="J1573" t="inlineStr">
        <is>
          <t>INTERNATIONAL JOURNAL OF ENVIRONMENTAL RESEARCH AND PUBLIC HEALTH</t>
        </is>
      </c>
      <c r="M1573" t="inlineStr">
        <is>
          <t>English</t>
        </is>
      </c>
      <c r="N1573" t="inlineStr">
        <is>
          <t>Article</t>
        </is>
      </c>
      <c r="T1573" t="inlineStr">
        <is>
          <t>Development of Measures of Perceived Neighborhood Environmental Attributes Influencing, and Perceived Barriers to Engagement in, Healthy Behaviors for Older Chinese Immigrants to Australia</t>
        </is>
      </c>
      <c r="U1573" t="inlineStr">
        <is>
          <t>walkability; food environment; immigrants; aging; socializing; neighborhood; Australia</t>
        </is>
      </c>
      <c r="V1573" t="inlineStr">
        <is>
          <t>TIME PHYSICAL-ACTIVITY; CARDIOVASCULAR-DISEASE; DEPRIVED NEIGHBORHOODS; MEDITERRANEAN DIET; BUILT ENVIRONMENT; WALKABILITY SCALE; URBAN-ENVIRONMENT; SEDENTARY TIME; ADULTS; RELIABILITY</t>
        </is>
      </c>
      <c r="W1573" t="inlineStr">
        <is>
          <t>Environmental correlates, barriers, and facilitators of physical activity, healthy eating, and socializing are understudied in older immigrants to developed countries. This study developed/adapted and validated measures of perceived barriers and neighborhood environmental characteristics related to these health-enhancing behaviors appropriate for older Chinese immigrants to Australia and similar Western countries. Older Chinese immigrants living in Melbourne (Australia) were recruited from neighborhoods varying in walkability and percentage of Chinese residents. Versions of the Neighborhood Environment for Healthy Aging-Chinese Immigrants to Australia (NEHA-CIA) questionnaire (20 subscales) and the Perceived Barriers to Health-Enhancing Behaviors questionnaire (four subscales) were developed from extant validated scales and information collected in formative qualitative research. Thirty-one participants took part in cognitive interviews aimed to pilot-test and refine the questionnaires. The modified questionnaires were administered to 52 participants twice, two weeks apart. Test-retest reliability (intraclass correlation coefficients), internal consistency (Cronbach's alpha), and construct validity (associations with theoretically-relevant constructs) were examined. Most items and subscales of both questionnaires had good test-retest reliability and internal consistency, while the NEHA-CIA also showed good construct validity. Future studies need to further examine the construct validity of the questionnaire of perceived barriers and determine the factorial validity of both measures on large representative samples.</t>
        </is>
      </c>
      <c r="X1573" t="inlineStr">
        <is>
          <t>[Cerin, Ester; Choi, Wing Ka; Tham, Rachel; Barnett, Anthony] Australian Catholic Univ, Mary MacKillop Inst Hlth Res, Melbourne, Vic 3000, Australia; [Cerin, Ester] Univ Hong Kong, Sch Publ Hlth, Pokfulam, Hong Kong, Peoples R China; [Cerin, Ester] Baker Heart &amp; Diabet Inst, Melbourne, Vic 3004, Australia; [Yin, Shiyuan; Ngan, Winsfred] Deakin Univ, Sch Exercise &amp; Nutr Sci, Burwood, Vic 3125, Australia</t>
        </is>
      </c>
      <c r="Y1573" t="inlineStr">
        <is>
          <t>Australian Catholic University; University of Hong Kong; Deakin University</t>
        </is>
      </c>
      <c r="Z1573" t="inlineStr">
        <is>
          <t>Cerin, E (corresponding author), Australian Catholic Univ, Mary MacKillop Inst Hlth Res, Melbourne, Vic 3000, Australia.;Cerin, E (corresponding author), Univ Hong Kong, Sch Publ Hlth, Pokfulam, Hong Kong, Peoples R China.;Cerin, E (corresponding author), Baker Heart &amp; Diabet Inst, Melbourne, Vic 3004, Australia.</t>
        </is>
      </c>
      <c r="AA1573" t="inlineStr">
        <is>
          <t>Ester.Cerin@acu.edu.au; gwyinshiyuan@gmail.com; Choi@acu.edu.au; wwtngan@gmail.com; Rachel.Tham@acu.edu.au; Anthony.Barnett@acu.edu.au</t>
        </is>
      </c>
      <c r="AB1573" t="inlineStr">
        <is>
          <t>Tham, Rachel/AFM-0823-2022; Tham, Rachel/AAH-3336-2022; Cerin, Ester/L-1271-2015; Tham, Rachel/AAB-9329-2019; Barnett, Anthony/A-8205-2019</t>
        </is>
      </c>
      <c r="AC1573" t="inlineStr">
        <is>
          <t>Cerin, Ester/0000-0002-7599-165X; Tham, Rachel/0000-0001-9362-5189; Barnett, Anthony/0000-0002-6320-4073</t>
        </is>
      </c>
      <c r="AD1573" t="inlineStr">
        <is>
          <t>School of Exercise and Nutrition Sciences, Deakin University</t>
        </is>
      </c>
      <c r="AE1573" t="inlineStr">
        <is>
          <t>School of Exercise and Nutrition Sciences, Deakin University</t>
        </is>
      </c>
      <c r="AF1573" t="inlineStr">
        <is>
          <t>This study received seed funding from the School of Exercise and Nutrition Sciences, Deakin University (2014). The funding bodies had no role in the design of the study, interpretation of the data, decision to publish, or writing of the manuscript.</t>
        </is>
      </c>
      <c r="AH1573" t="n">
        <v>92</v>
      </c>
      <c r="AI1573" t="n">
        <v>0</v>
      </c>
      <c r="AJ1573" t="n">
        <v>0</v>
      </c>
      <c r="AK1573" t="n">
        <v>2</v>
      </c>
      <c r="AL1573" t="n">
        <v>4</v>
      </c>
      <c r="AM1573" t="inlineStr">
        <is>
          <t>MDPI</t>
        </is>
      </c>
      <c r="AN1573" t="inlineStr">
        <is>
          <t>BASEL</t>
        </is>
      </c>
      <c r="AO1573" t="inlineStr">
        <is>
          <t>ST ALBAN-ANLAGE 66, CH-4052 BASEL, SWITZERLAND</t>
        </is>
      </c>
      <c r="AQ1573" t="inlineStr">
        <is>
          <t>1660-4601</t>
        </is>
      </c>
      <c r="AS1573" t="inlineStr">
        <is>
          <t>INT J ENV RES PUB HE</t>
        </is>
      </c>
      <c r="AT1573" t="inlineStr">
        <is>
          <t>Int. J. Environ. Res. Public Health</t>
        </is>
      </c>
      <c r="AU1573" t="inlineStr">
        <is>
          <t>MAY</t>
        </is>
      </c>
      <c r="AV1573" t="n">
        <v>2021</v>
      </c>
      <c r="AW1573" t="n">
        <v>18</v>
      </c>
      <c r="AX1573" t="n">
        <v>9</v>
      </c>
      <c r="BE1573" t="n">
        <v>4531</v>
      </c>
      <c r="BF1573" t="inlineStr">
        <is>
          <t>10.3390/ijerph18094531</t>
        </is>
      </c>
      <c r="BG1573">
        <f>HYPERLINK("http://dx.doi.org/10.3390/ijerph18094531","http://dx.doi.org/10.3390/ijerph18094531")</f>
        <v/>
      </c>
      <c r="BJ1573" t="n">
        <v>26</v>
      </c>
      <c r="BK1573" t="inlineStr">
        <is>
          <t>Environmental Sciences; Public, Environmental &amp; Occupational Health</t>
        </is>
      </c>
      <c r="BL1573" t="inlineStr">
        <is>
          <t>Science Citation Index Expanded (SCI-EXPANDED); Social Science Citation Index (SSCI)</t>
        </is>
      </c>
      <c r="BM1573" t="inlineStr">
        <is>
          <t>Environmental Sciences &amp; Ecology; Public, Environmental &amp; Occupational Health</t>
        </is>
      </c>
      <c r="BN1573" t="inlineStr">
        <is>
          <t>SB8WW</t>
        </is>
      </c>
      <c r="BO1573" t="n">
        <v>33923306</v>
      </c>
      <c r="BP1573" t="inlineStr">
        <is>
          <t>gold, Green Published</t>
        </is>
      </c>
      <c r="BS1573" t="inlineStr">
        <is>
          <t>2023-10-26</t>
        </is>
      </c>
      <c r="BT1573" t="inlineStr">
        <is>
          <t>WOS:000650268200001</t>
        </is>
      </c>
      <c r="BU1573">
        <f>HYPERLINK("https%3A%2F%2Fwww.webofscience.com%2Fwos%2Fwoscc%2Ffull-record%2FWOS:000650268200001","View Full Record in Web of Science")</f>
        <v/>
      </c>
    </row>
    <row r="1574">
      <c r="A1574" t="inlineStr">
        <is>
          <t>J</t>
        </is>
      </c>
      <c r="B1574" t="inlineStr">
        <is>
          <t>Zimmer, AT; Ha, H</t>
        </is>
      </c>
      <c r="F1574" t="inlineStr">
        <is>
          <t>Zimmer, Anthony T.; Ha, HakSoo</t>
        </is>
      </c>
      <c r="J1574" t="inlineStr">
        <is>
          <t>JOURNAL OF ENVIRONMENTAL MANAGEMENT</t>
        </is>
      </c>
      <c r="M1574" t="inlineStr">
        <is>
          <t>English</t>
        </is>
      </c>
      <c r="N1574" t="inlineStr">
        <is>
          <t>Review</t>
        </is>
      </c>
      <c r="T1574" t="inlineStr">
        <is>
          <t>People, planet and profit: Unintended consequences of legacy building materials</t>
        </is>
      </c>
      <c r="U1574" t="inlineStr">
        <is>
          <t>Building materials; Triple bottom line; Sustainability consequences; Proactive research; Built environment</t>
        </is>
      </c>
      <c r="V1574" t="inlineStr">
        <is>
          <t>BLOOD LEAD LEVELS; TERT-BUTYL ETHER; AIRBORNE ASBESTOS; SOIL LEAD; HEALTH; EXPOSURE; RISK; ABATEMENT; CHILDREN; IMPACT</t>
        </is>
      </c>
      <c r="W1574" t="inlineStr">
        <is>
          <t>Although an explosion of new building materials are being introduced into today's market, adequate up-front research into their chemical and physical properties as well as their potential health and environmental consequences is lacking. History has provided us with several examples where building materials were broadly deployed into society only to find that health and environmental problems resulted in unintended sustainability consequences. In the following paper, we use lead and asbestos as legacy building materials to show their similar historical trends and sustainability consequences. Our research findings show unintended consequences such as: increased remediation and litigation costs; adverse health effects; offshoring of related industries; and impediments to urban revitalization. As numerous new building materials enter today's market, another building material may have already been deployed, representing the next asbestos. This paper also proposes an alternative methodology that can be applied in a cost-effective way into existing and upcoming building materials, to minimize and prevent potential unintended consequences and create a pathway for sustainable communities. For instance, our findings show that this proposed methodology could have prevented the unintended incurred sustainability costs of approximately $272-$359 billion by investing roughly $24 million in constant 2014 U.S. dollars on up-front research into lead and asbestos. Published by Elsevier Ltd.</t>
        </is>
      </c>
      <c r="X1574" t="inlineStr">
        <is>
          <t>[Zimmer, Anthony T.] US EPA, Off Res &amp; Dev, Natl Risk Management Res Lab, MS CHL, 26 W Martin Luther King Dr, Cincinnati, OH 45268 USA; [Ha, HakSoo] MS CHL, 26 W Martin Luther King Dr, Cincinnati, OH 45268 USA</t>
        </is>
      </c>
      <c r="Y1574" t="inlineStr">
        <is>
          <t>United States Environmental Protection Agency</t>
        </is>
      </c>
      <c r="Z1574" t="inlineStr">
        <is>
          <t>Zimmer, AT (corresponding author), US EPA, Off Res &amp; Dev, Natl Risk Management Res Lab, MS CHL, 26 W Martin Luther King Dr, Cincinnati, OH 45268 USA.</t>
        </is>
      </c>
      <c r="AA1574" t="inlineStr">
        <is>
          <t>zimmer.anthony@epa.gov; ha.haksoo@epa.gov</t>
        </is>
      </c>
      <c r="AD1574" t="inlineStr">
        <is>
          <t>Intramural EPA [EPA999999] Funding Source: Medline</t>
        </is>
      </c>
      <c r="AE1574" t="inlineStr">
        <is>
          <t>Intramural EPA</t>
        </is>
      </c>
      <c r="AH1574" t="n">
        <v>175</v>
      </c>
      <c r="AI1574" t="n">
        <v>7</v>
      </c>
      <c r="AJ1574" t="n">
        <v>7</v>
      </c>
      <c r="AK1574" t="n">
        <v>1</v>
      </c>
      <c r="AL1574" t="n">
        <v>24</v>
      </c>
      <c r="AM1574" t="inlineStr">
        <is>
          <t>ACADEMIC PRESS LTD- ELSEVIER SCIENCE LTD</t>
        </is>
      </c>
      <c r="AN1574" t="inlineStr">
        <is>
          <t>LONDON</t>
        </is>
      </c>
      <c r="AO1574" t="inlineStr">
        <is>
          <t>24-28 OVAL RD, LONDON NW1 7DX, ENGLAND</t>
        </is>
      </c>
      <c r="AP1574" t="inlineStr">
        <is>
          <t>0301-4797</t>
        </is>
      </c>
      <c r="AQ1574" t="inlineStr">
        <is>
          <t>1095-8630</t>
        </is>
      </c>
      <c r="AS1574" t="inlineStr">
        <is>
          <t>J ENVIRON MANAGE</t>
        </is>
      </c>
      <c r="AT1574" t="inlineStr">
        <is>
          <t>J. Environ. Manage.</t>
        </is>
      </c>
      <c r="AU1574" t="inlineStr">
        <is>
          <t>DEC 15</t>
        </is>
      </c>
      <c r="AV1574" t="n">
        <v>2017</v>
      </c>
      <c r="AW1574" t="n">
        <v>204</v>
      </c>
      <c r="AY1574" t="n">
        <v>1</v>
      </c>
      <c r="BC1574" t="n">
        <v>472</v>
      </c>
      <c r="BD1574" t="n">
        <v>485</v>
      </c>
      <c r="BF1574" t="inlineStr">
        <is>
          <t>10.1016/j.jenvman.2017.09.026</t>
        </is>
      </c>
      <c r="BG1574">
        <f>HYPERLINK("http://dx.doi.org/10.1016/j.jenvman.2017.09.026","http://dx.doi.org/10.1016/j.jenvman.2017.09.026")</f>
        <v/>
      </c>
      <c r="BJ1574" t="n">
        <v>14</v>
      </c>
      <c r="BK1574" t="inlineStr">
        <is>
          <t>Environmental Sciences</t>
        </is>
      </c>
      <c r="BL1574" t="inlineStr">
        <is>
          <t>Science Citation Index Expanded (SCI-EXPANDED); Social Science Citation Index (SSCI)</t>
        </is>
      </c>
      <c r="BM1574" t="inlineStr">
        <is>
          <t>Environmental Sciences &amp; Ecology</t>
        </is>
      </c>
      <c r="BN1574" t="inlineStr">
        <is>
          <t>FL0CG</t>
        </is>
      </c>
      <c r="BO1574" t="n">
        <v>28926737</v>
      </c>
      <c r="BP1574" t="inlineStr">
        <is>
          <t>Green Accepted</t>
        </is>
      </c>
      <c r="BS1574" t="inlineStr">
        <is>
          <t>2023-10-26</t>
        </is>
      </c>
      <c r="BT1574" t="inlineStr">
        <is>
          <t>WOS:000413878300050</t>
        </is>
      </c>
      <c r="BU1574">
        <f>HYPERLINK("https%3A%2F%2Fwww.webofscience.com%2Fwos%2Fwoscc%2Ffull-record%2FWOS:000413878300050","View Full Record in Web of Science")</f>
        <v/>
      </c>
    </row>
    <row r="1575">
      <c r="A1575" t="inlineStr">
        <is>
          <t>J</t>
        </is>
      </c>
      <c r="B1575" t="inlineStr">
        <is>
          <t>Iwasa, H; Inagaki, H; Masui, Y; Gondo, Y</t>
        </is>
      </c>
      <c r="F1575" t="inlineStr">
        <is>
          <t>Iwasa, Hajime; Inagaki, Hiroki; Masui, Yukie; Gondo, Yasuyuki</t>
        </is>
      </c>
      <c r="J1575" t="inlineStr">
        <is>
          <t>INTERNATIONAL JOURNAL OF ENVIRONMENTAL RESEARCH AND PUBLIC HEALTH</t>
        </is>
      </c>
      <c r="M1575" t="inlineStr">
        <is>
          <t>English</t>
        </is>
      </c>
      <c r="N1575" t="inlineStr">
        <is>
          <t>Article</t>
        </is>
      </c>
      <c r="T1575" t="inlineStr">
        <is>
          <t>Relationship between Personality and Mortality among Japanese Older Adults: A 14-Year Longitudinal Study</t>
        </is>
      </c>
      <c r="U1575" t="inlineStr">
        <is>
          <t>all-cause mortality; Big Five personality; community-dwelling older adults; NEO Five-Factor Inventory</t>
        </is>
      </c>
      <c r="V1575" t="inlineStr">
        <is>
          <t>ALL-CAUSE MORTALITY; 5-FACTOR MODEL; SOCIAL SUPPORT; DEPRESSIVE SYMPTOMS; HEALTH; PREDICTORS; COMMUNITY; TRAITS; RISK; EXTROVERSION</t>
        </is>
      </c>
      <c r="W1575" t="inlineStr">
        <is>
          <t>Personality is one of the fundamental factors in determining longevity. We used a 14-year mortality surveillance to investigate the relationship between the Big Five personality traits and all-cause mortality among older adults dwelling in a Japanese community. Individuals over 65 years old (484 males and 743 females) were recruited for the study. We used the NEO Five-Factor Inventory to assess the Big Five personality traits: neuroticism, extraversion, openness, agreeableness, and conscientiousness. During the follow-up period, 502 persons (250 men and 252 women) had died. Cox proportional hazards regression controlling for covariates showed that extraversion (hazard ratio [HR] = 0.783, 95% confidence interval [CI] = 0.636 to 0.965 and HR = 0.757, 95% CI = 0.607 to 0.944 for the middle and highest tertiles, respectively), openness (HR = 0.768, 95% CI = 0.608 to 0.969 for the highest tertile), and conscientiousness (HR = 0.745, 95% CI = 0.607 to 0.913 and HR = 0.667, 95% CI = 0.530 to 0.840 for the middle and highest tertiles, respectively) were inversely associated with mortality when the five traits were analyzed separately. Our findings suggest that older adults who have a higher level of either extraversion, openness, or conscientiousness are more likely to live longer.</t>
        </is>
      </c>
      <c r="X1575" t="inlineStr">
        <is>
          <t>[Iwasa, Hajime] Fukushima Med Univ, Sch Med, Dept Publ Hlth, Fukushima 9601295, Japan; [Iwasa, Hajime; Inagaki, Hiroki; Masui, Yukie; Gondo, Yasuyuki] Tokyo Metropolitan Inst Gerontol, Tokyo 1730015, Japan; [Gondo, Yasuyuki] Osaka Univ, Grad Sch Human Sci, Osaka 5650871, Japan</t>
        </is>
      </c>
      <c r="Y1575" t="inlineStr">
        <is>
          <t>Fukushima Medical University; Tokyo Metropolitan Institute of Gerontology; Osaka University</t>
        </is>
      </c>
      <c r="Z1575" t="inlineStr">
        <is>
          <t>Iwasa, H (corresponding author), Fukushima Med Univ, Sch Med, Dept Publ Hlth, Fukushima 9601295, Japan.;Iwasa, H (corresponding author), Tokyo Metropolitan Inst Gerontol, Tokyo 1730015, Japan.</t>
        </is>
      </c>
      <c r="AA1575" t="inlineStr">
        <is>
          <t>hajimei@fmu.ac.jp; inagaki@tmig.or.jp; ymasui@tmig.or.jp; y.gondo.hus@osaka-u.ac.jp</t>
        </is>
      </c>
      <c r="AB1575" t="inlineStr">
        <is>
          <t>Iwasa, Hajime/AFQ-6399-2022</t>
        </is>
      </c>
      <c r="AC1575" t="inlineStr">
        <is>
          <t>Gondo, Yasuyuki/0000-0002-9805-2807; Iwasa, Hajime/0000-0003-2680-7366</t>
        </is>
      </c>
      <c r="AH1575" t="n">
        <v>42</v>
      </c>
      <c r="AI1575" t="n">
        <v>1</v>
      </c>
      <c r="AJ1575" t="n">
        <v>1</v>
      </c>
      <c r="AK1575" t="n">
        <v>1</v>
      </c>
      <c r="AL1575" t="n">
        <v>3</v>
      </c>
      <c r="AM1575" t="inlineStr">
        <is>
          <t>MDPI</t>
        </is>
      </c>
      <c r="AN1575" t="inlineStr">
        <is>
          <t>BASEL</t>
        </is>
      </c>
      <c r="AO1575" t="inlineStr">
        <is>
          <t>ST ALBAN-ANLAGE 66, CH-4052 BASEL, SWITZERLAND</t>
        </is>
      </c>
      <c r="AQ1575" t="inlineStr">
        <is>
          <t>1660-4601</t>
        </is>
      </c>
      <c r="AS1575" t="inlineStr">
        <is>
          <t>INT J ENV RES PUB HE</t>
        </is>
      </c>
      <c r="AT1575" t="inlineStr">
        <is>
          <t>Int. J. Environ. Res. Public Health</t>
        </is>
      </c>
      <c r="AU1575" t="inlineStr">
        <is>
          <t>FEB</t>
        </is>
      </c>
      <c r="AV1575" t="n">
        <v>2022</v>
      </c>
      <c r="AW1575" t="n">
        <v>19</v>
      </c>
      <c r="AX1575" t="n">
        <v>4</v>
      </c>
      <c r="BE1575" t="n">
        <v>2413</v>
      </c>
      <c r="BF1575" t="inlineStr">
        <is>
          <t>10.3390/ijerph19042413</t>
        </is>
      </c>
      <c r="BG1575">
        <f>HYPERLINK("http://dx.doi.org/10.3390/ijerph19042413","http://dx.doi.org/10.3390/ijerph19042413")</f>
        <v/>
      </c>
      <c r="BJ1575" t="n">
        <v>8</v>
      </c>
      <c r="BK1575" t="inlineStr">
        <is>
          <t>Environmental Sciences; Public, Environmental &amp; Occupational Health</t>
        </is>
      </c>
      <c r="BL1575" t="inlineStr">
        <is>
          <t>Science Citation Index Expanded (SCI-EXPANDED); Social Science Citation Index (SSCI)</t>
        </is>
      </c>
      <c r="BM1575" t="inlineStr">
        <is>
          <t>Environmental Sciences &amp; Ecology; Public, Environmental &amp; Occupational Health</t>
        </is>
      </c>
      <c r="BN1575" t="inlineStr">
        <is>
          <t>ZL1SG</t>
        </is>
      </c>
      <c r="BO1575" t="n">
        <v>35206600</v>
      </c>
      <c r="BP1575" t="inlineStr">
        <is>
          <t>Green Published, gold</t>
        </is>
      </c>
      <c r="BS1575" t="inlineStr">
        <is>
          <t>2023-10-26</t>
        </is>
      </c>
      <c r="BT1575" t="inlineStr">
        <is>
          <t>WOS:000763460600001</t>
        </is>
      </c>
      <c r="BU1575">
        <f>HYPERLINK("https%3A%2F%2Fwww.webofscience.com%2Fwos%2Fwoscc%2Ffull-record%2FWOS:000763460600001","View Full Record in Web of Science")</f>
        <v/>
      </c>
    </row>
    <row r="1576">
      <c r="A1576" t="inlineStr">
        <is>
          <t>J</t>
        </is>
      </c>
      <c r="B1576" t="inlineStr">
        <is>
          <t>Wu, KM; Wang, Y; Zhang, HO; Liu, Y; Ye, YY</t>
        </is>
      </c>
      <c r="F1576" t="inlineStr">
        <is>
          <t>Wu Kangmin; Wang Yang; Zhang Hong'ou; Liu Yi; Ye Yuyao</t>
        </is>
      </c>
      <c r="J1576" t="inlineStr">
        <is>
          <t>CHINESE GEOGRAPHICAL SCIENCE</t>
        </is>
      </c>
      <c r="M1576" t="inlineStr">
        <is>
          <t>English</t>
        </is>
      </c>
      <c r="N1576" t="inlineStr">
        <is>
          <t>Article</t>
        </is>
      </c>
      <c r="T1576" t="inlineStr">
        <is>
          <t>Impact of the Built Environment on the Spatial Heterogeneity of Regional Innovation Productivity: Evidence from the Pearl River Delta, China</t>
        </is>
      </c>
      <c r="U1576" t="inlineStr">
        <is>
          <t>built environment; innovation productivity; patent; spatial heterogeneity; Pearl River Delta</t>
        </is>
      </c>
      <c r="V1576" t="inlineStr">
        <is>
          <t>CREATIVE CLASS; EMPIRICAL-EVIDENCE; LOCATION CHOICE; PLACE QUALITY; KNOWLEDGE; SYSTEMS; CITY; DIVERSITY; DENSITY; DETERMINANTS</t>
        </is>
      </c>
      <c r="W1576" t="inlineStr">
        <is>
          <t>With the global economy increasingly dependent on innovation, urban discourse has shifted to consider what kinds of spatial designs may best nurture innovation. We examined the relationship between the built environment and the spatial heterogeneity of regional innovation productivity (RIP) using the example of China's Pearl River Delta (PRD). Based on a spatial database of 522 546 patent data from 2017, this study proposed an innovation-based built environment framework with the following five aspects: healthy environment, daily interaction, mixed land use, commuting convenience, and technology atmosphere. Combining negative binomial regression and Geodetector to examine the impact of the built environment on RIP, the results show that the spatial distribution of innovation productivity in the PRD region is extremely uneven. The negative binomial regression results show that the built environment has a significant impact on the spatial differentiation of RIP, and, specifically, that healthy environment, mixed land use, commuting convenience, and technology atmosphere all demonstrate significant positive impacts. Meanwhile, the Geodetector results show that the built environment factor impacts the spatial heterogeneity of RIP to varying degrees, with technology atmosphere demonstrating the greatest impact intensity. We conclude that as regional development discourse shifts focus to the knowledge and innovation economy, the innovation-oriented design and updating of built environments will become extremely important to policymakers.</t>
        </is>
      </c>
      <c r="X1576" t="inlineStr">
        <is>
          <t>[Wu Kangmin; Wang Yang; Zhang Hong'ou; Liu Yi; Ye Yuyao] Guangdong Acad Sci, Guangzhou Inst Geog, Key Lab Guangdong Utilizat Remote Sensing &amp; Geog, Guangdong Open Lab Geospatial Informat Technol &amp;, Guangzhou 510070, Peoples R China; [Wu Kangmin; Wang Yang; Zhang Hong'ou; Liu Yi; Ye Yuyao] Inst Strategy Res Guangdong Hong Kong &amp; Macao Gre, Guangzhou 510070, Peoples R China; [Wu Kangmin; Wang Yang; Zhang Hong'ou; Ye Yuyao] Southern Marine Sci &amp; Engn Guangdong Lab Guangzho, Guangzhou 511458, Peoples R China; [Liu Yi] Chinese Acad Sci, Inst Geog Sci &amp; Nat Resources Res, Key Lab Reg Sustainable Dev Modeling, Beijing 100101, Peoples R China</t>
        </is>
      </c>
      <c r="Y1576" t="inlineStr">
        <is>
          <t>Guangdong Academy of Sciences; Guangzhou Institute of Geography, Guangdong Academy of Sciences; Hong Kong Branch of the Southern Marine Science &amp; Engineering Guangdong Laboratory (Guangzhou); Chinese Academy of Sciences; Institute of Geographic Sciences &amp; Natural Resources Research, CAS</t>
        </is>
      </c>
      <c r="Z1576" t="inlineStr">
        <is>
          <t>Wang, Y (corresponding author), Guangdong Acad Sci, Guangzhou Inst Geog, Key Lab Guangdong Utilizat Remote Sensing &amp; Geog, Guangdong Open Lab Geospatial Informat Technol &amp;, Guangzhou 510070, Peoples R China.;Wang, Y (corresponding author), Inst Strategy Res Guangdong Hong Kong &amp; Macao Gre, Guangzhou 510070, Peoples R China.;Wang, Y (corresponding author), Southern Marine Sci &amp; Engn Guangdong Lab Guangzho, Guangzhou 511458, Peoples R China.</t>
        </is>
      </c>
      <c r="AA1576" t="inlineStr">
        <is>
          <t>wyxkwy@163.com</t>
        </is>
      </c>
      <c r="AB1576" t="inlineStr">
        <is>
          <t>吴, 康敏/P-6938-2014; li, zhang/JHV-1750-2023</t>
        </is>
      </c>
      <c r="AC1576" t="inlineStr">
        <is>
          <t>Wu, kangmin/0000-0002-1112-6421</t>
        </is>
      </c>
      <c r="AD1576" t="inlineStr">
        <is>
          <t>National Natural Science Foundation of China [41871150]; GDAS' Project of Science and Technology Development [2021GDASYL-20210103004]; National Key Research and Development Program [2019YFB2103101]; Special Construction Project of Guangdong-Hong Kong-Macao Greater Bay Area Strategic Research Institute [2020GDASYL-20200201001]; Key Special Project for Introduced Talents Team of Southern Marine Science and Engineering Guangdong Laboratory (Guangzhou) [GML2019ZD0301]</t>
        </is>
      </c>
      <c r="AE1576" t="inlineStr">
        <is>
          <t>National Natural Science Foundation of China(National Natural Science Foundation of China (NSFC)); GDAS' Project of Science and Technology Development; National Key Research and Development Program; Special Construction Project of Guangdong-Hong Kong-Macao Greater Bay Area Strategic Research Institute; Key Special Project for Introduced Talents Team of Southern Marine Science and Engineering Guangdong Laboratory (Guangzhou)</t>
        </is>
      </c>
      <c r="AF1576" t="inlineStr">
        <is>
          <t>Under the auspices of National Natural Science Foundation of China (No. 41871150), GDAS' Project of Science and Technology Development (No. 2021GDASYL-20210103004), National Key Research and Development Program (No. 2019YFB2103101), Special Construction Project of Guangdong-Hong Kong-Macao Greater Bay Area Strategic Research Institute (No. 2020GDASYL-20200201001), Key Special Project for Introduced Talents Team of Southern Marine Science and Engineering Guangdong Laboratory (Guangzhou) (No. GML2019ZD0301)</t>
        </is>
      </c>
      <c r="AH1576" t="n">
        <v>77</v>
      </c>
      <c r="AI1576" t="n">
        <v>5</v>
      </c>
      <c r="AJ1576" t="n">
        <v>9</v>
      </c>
      <c r="AK1576" t="n">
        <v>9</v>
      </c>
      <c r="AL1576" t="n">
        <v>54</v>
      </c>
      <c r="AM1576" t="inlineStr">
        <is>
          <t>SPRINGER</t>
        </is>
      </c>
      <c r="AN1576" t="inlineStr">
        <is>
          <t>NEW YORK</t>
        </is>
      </c>
      <c r="AO1576" t="inlineStr">
        <is>
          <t>ONE NEW YORK PLAZA, SUITE 4600, NEW YORK, NY, UNITED STATES</t>
        </is>
      </c>
      <c r="AP1576" t="inlineStr">
        <is>
          <t>1002-0063</t>
        </is>
      </c>
      <c r="AQ1576" t="inlineStr">
        <is>
          <t>1993-064X</t>
        </is>
      </c>
      <c r="AS1576" t="inlineStr">
        <is>
          <t>CHINESE GEOGR SCI</t>
        </is>
      </c>
      <c r="AT1576" t="inlineStr">
        <is>
          <t>Chin. Geogr. Sci.</t>
        </is>
      </c>
      <c r="AU1576" t="inlineStr">
        <is>
          <t>JUN</t>
        </is>
      </c>
      <c r="AV1576" t="n">
        <v>2021</v>
      </c>
      <c r="AW1576" t="n">
        <v>31</v>
      </c>
      <c r="AX1576" t="n">
        <v>3</v>
      </c>
      <c r="BC1576" t="n">
        <v>413</v>
      </c>
      <c r="BD1576" t="n">
        <v>428</v>
      </c>
      <c r="BF1576" t="inlineStr">
        <is>
          <t>10.1007/s11769-021-1198-4</t>
        </is>
      </c>
      <c r="BG1576">
        <f>HYPERLINK("http://dx.doi.org/10.1007/s11769-021-1198-4","http://dx.doi.org/10.1007/s11769-021-1198-4")</f>
        <v/>
      </c>
      <c r="BI1576" t="inlineStr">
        <is>
          <t>APR 2021</t>
        </is>
      </c>
      <c r="BJ1576" t="n">
        <v>16</v>
      </c>
      <c r="BK1576" t="inlineStr">
        <is>
          <t>Environmental Sciences</t>
        </is>
      </c>
      <c r="BL1576" t="inlineStr">
        <is>
          <t>Science Citation Index Expanded (SCI-EXPANDED)</t>
        </is>
      </c>
      <c r="BM1576" t="inlineStr">
        <is>
          <t>Environmental Sciences &amp; Ecology</t>
        </is>
      </c>
      <c r="BN1576" t="inlineStr">
        <is>
          <t>RZ0JR</t>
        </is>
      </c>
      <c r="BP1576" t="inlineStr">
        <is>
          <t>hybrid</t>
        </is>
      </c>
      <c r="BS1576" t="inlineStr">
        <is>
          <t>2023-10-26</t>
        </is>
      </c>
      <c r="BT1576" t="inlineStr">
        <is>
          <t>WOS:000643185400003</t>
        </is>
      </c>
      <c r="BU1576">
        <f>HYPERLINK("https%3A%2F%2Fwww.webofscience.com%2Fwos%2Fwoscc%2Ffull-record%2FWOS:000643185400003","View Full Record in Web of Science")</f>
        <v/>
      </c>
    </row>
    <row r="1577">
      <c r="A1577" t="inlineStr">
        <is>
          <t>J</t>
        </is>
      </c>
      <c r="B1577" t="inlineStr">
        <is>
          <t>Salonen, H; Duchaine, C; Mazaheri, M; Clifford, S; Lappalainen, S; Reijula, K; Morawska, L</t>
        </is>
      </c>
      <c r="F1577" t="inlineStr">
        <is>
          <t>Salonen, Heidi; Duchaine, Caroline; Mazaheri, Mandana; Clifford, Sam; Lappalainen, Sanna; Reijula, Kari; Morawska, Lidia</t>
        </is>
      </c>
      <c r="J1577" t="inlineStr">
        <is>
          <t>ATMOSPHERIC ENVIRONMENT</t>
        </is>
      </c>
      <c r="M1577" t="inlineStr">
        <is>
          <t>English</t>
        </is>
      </c>
      <c r="N1577" t="inlineStr">
        <is>
          <t>Review</t>
        </is>
      </c>
      <c r="T1577" t="inlineStr">
        <is>
          <t>Airborne viable fungi in school environments in different climatic regions A review</t>
        </is>
      </c>
      <c r="U1577" t="inlineStr">
        <is>
          <t>Viable fungi; School environment; Climate areas; Concentrations; Flora; Guidelines</t>
        </is>
      </c>
      <c r="V1577" t="inlineStr">
        <is>
          <t>INDOOR AIR-QUALITY; RESPIRATORY SYMPTOMS; HOME DAMPNESS; ENDOTOXIN CONCENTRATIONS; MOISTURE-DAMAGE; HOUSE DUST; EXPOSURE; BUILDINGS; BACTERIA; ASSOCIATIONS</t>
        </is>
      </c>
      <c r="W1577" t="inlineStr">
        <is>
          <t>Elevated levels of fungi in indoor environments have been linked with mould/moisture damage in building structures. However, there is a lack of information about normal concentrations and flora as well as guidelines of viable fungi in the school environment in different climatic conditions. We have reviewed existing guidelines for indoor fungi and the current knowledge of the concentrations and flora of viable fungi in different climatic areas, the impact of the local factors on concentrations and flora of viable fungi in school environments. Meta-regression was performed to estimate the average behaviour for each analysis of interest, showing wide variation in the mean concentrations in outdoor and indoor school environments (range: 10(1)-10(3) cfu/m(3)). These concentrations were significantly higher for both outdoors and indoors in the moderate than in the continental climatic area, showing that the climatic condition was a determinant for the concentrations of airborne viable fungi. The most common fungal species both in the moderate and continental area were Cladosporium spp. and Penicillium spp. The suggested few quantitative guidelines for indoor air viable fungi for school buildings are much lower than for residential areas. This review provides a synthesis, which can be used to guide the interpretation of the fungi measurements results and help to find indications of mould/moisture in school building structures. (C) 2015 Elsevier Ltd. All rights reserved.</t>
        </is>
      </c>
      <c r="X1577" t="inlineStr">
        <is>
          <t>[Salonen, Heidi] Aalto Univ, Dept Civil &amp; Struct Engn, FI-00076 Aalto, Finland; [Salonen, Heidi; Lappalainen, Sanna] Finnish Inst Occupat Hlth Dev Indoor Environm, FI-00250 Helsinki, Finland; [Salonen, Heidi; Mazaheri, Mandana; Clifford, Sam; Morawska, Lidia] Queensland Univ Technol, Int Lab Air Qual &amp; Hlth, Brisbane, Qld 4001, Australia; [Duchaine, Caroline] Univ Laval, Dept Biochem Microbiol &amp; Bioinformat, Quebec City, PQ G1V 0A6, Canada; [Reijula, Kari] Finnish Inst Occupat Hlth, FI-00250 Helsinki, Finland; [Reijula, Kari] Univ Helsinki, Hjelt Inst, FI-00014 Helsinki, Finland</t>
        </is>
      </c>
      <c r="Y1577" t="inlineStr">
        <is>
          <t>Aalto University; Finnish Institute of Occupational Health; Queensland University of Technology (QUT); Laval University; Finnish Institute of Occupational Health; University of Helsinki</t>
        </is>
      </c>
      <c r="Z1577" t="inlineStr">
        <is>
          <t>Salonen, H (corresponding author), Aalto Univ, Dept Civil &amp; Struct Engn, POB 12100, FI-00076 Aalto, Finland.</t>
        </is>
      </c>
      <c r="AA1577" t="inlineStr">
        <is>
          <t>heidi.salonen@aalto.fi</t>
        </is>
      </c>
      <c r="AB1577" t="inlineStr">
        <is>
          <t>Mazaheri, Mandana/K-6835-2019; Salonen, Heidi/G-4685-2016; Clifford, Samuel/AAE-7344-2021; Morawska, Lidia/B-4140-2011</t>
        </is>
      </c>
      <c r="AC1577" t="inlineStr">
        <is>
          <t>Mazaheri, Mandana/0000-0003-0592-9727; Clifford, Samuel/0000-0002-3774-3882; Morawska, Lidia/0000-0002-0594-9683; Lappalainen, Sanna/0000-0002-6062-5403; Salonen, Heidi/0000-0002-3807-4895</t>
        </is>
      </c>
      <c r="AD1577" t="inlineStr">
        <is>
          <t>Australian Research Council (ARC); QLD Department of Transport and Main Roads (DTMR) and QLD Department of Education, Training and Employment (DETE) through Linkage [LP0990134]; Salonen's post-doctoral research at the International Laboratory for Air Quality and Health; Queensland University of Technology in Australia; Finnish Work Environmental Fund; Yrjio Jahnsson Foundation; Finnish Society for the Promotion of Occupational Health; Finnish Occupational Hygiene Society; and the Finnish Union of Environmental Professionals</t>
        </is>
      </c>
      <c r="AE1577" t="inlineStr">
        <is>
          <t>Australian Research Council (ARC)(Australian Research Council); QLD Department of Transport and Main Roads (DTMR) and QLD Department of Education, Training and Employment (DETE) through Linkage; Salonen's post-doctoral research at the International Laboratory for Air Quality and Health; Queensland University of Technology in Australia; Finnish Work Environmental Fund; Yrjio Jahnsson Foundation; Finnish Society for the Promotion of Occupational Health; Finnish Occupational Hygiene Society; and the Finnish Union of Environmental Professionals</t>
        </is>
      </c>
      <c r="AF1577" t="inlineStr">
        <is>
          <t>This work was supported by the Australian Research Council (ARC), QLD Department of Transport and Main Roads (DTMR) and QLD Department of Education, Training and Employment (DETE) through Linkage Grant LP0990134 and was conducted as part of Salonen's post-doctoral research at the International Laboratory for Air Quality and Health, Queensland University of Technology in Australia. Salonen warmly thanks all the post-doctoral grant organizations involved: the Finnish Work Environmental Fund; the Yrjio Jahnsson Foundation; the Finnish Society for the Promotion of Occupational Health; the Finnish Occupational Hygiene Society; and the Finnish Union of Environmental Professionals.</t>
        </is>
      </c>
      <c r="AH1577" t="n">
        <v>78</v>
      </c>
      <c r="AI1577" t="n">
        <v>29</v>
      </c>
      <c r="AJ1577" t="n">
        <v>29</v>
      </c>
      <c r="AK1577" t="n">
        <v>1</v>
      </c>
      <c r="AL1577" t="n">
        <v>61</v>
      </c>
      <c r="AM1577" t="inlineStr">
        <is>
          <t>PERGAMON-ELSEVIER SCIENCE LTD</t>
        </is>
      </c>
      <c r="AN1577" t="inlineStr">
        <is>
          <t>OXFORD</t>
        </is>
      </c>
      <c r="AO1577" t="inlineStr">
        <is>
          <t>THE BOULEVARD, LANGFORD LANE, KIDLINGTON, OXFORD OX5 1GB, ENGLAND</t>
        </is>
      </c>
      <c r="AP1577" t="inlineStr">
        <is>
          <t>1352-2310</t>
        </is>
      </c>
      <c r="AQ1577" t="inlineStr">
        <is>
          <t>1873-2844</t>
        </is>
      </c>
      <c r="AS1577" t="inlineStr">
        <is>
          <t>ATMOS ENVIRON</t>
        </is>
      </c>
      <c r="AT1577" t="inlineStr">
        <is>
          <t>Atmos. Environ.</t>
        </is>
      </c>
      <c r="AU1577" t="inlineStr">
        <is>
          <t>MAR</t>
        </is>
      </c>
      <c r="AV1577" t="n">
        <v>2015</v>
      </c>
      <c r="AW1577" t="n">
        <v>104</v>
      </c>
      <c r="BC1577" t="n">
        <v>186</v>
      </c>
      <c r="BD1577" t="n">
        <v>194</v>
      </c>
      <c r="BF1577" t="inlineStr">
        <is>
          <t>10.1016/j.atmosenv.2015.01.012</t>
        </is>
      </c>
      <c r="BG1577">
        <f>HYPERLINK("http://dx.doi.org/10.1016/j.atmosenv.2015.01.012","http://dx.doi.org/10.1016/j.atmosenv.2015.01.012")</f>
        <v/>
      </c>
      <c r="BJ1577" t="n">
        <v>9</v>
      </c>
      <c r="BK1577" t="inlineStr">
        <is>
          <t>Environmental Sciences; Meteorology &amp; Atmospheric Sciences</t>
        </is>
      </c>
      <c r="BL1577" t="inlineStr">
        <is>
          <t>Science Citation Index Expanded (SCI-EXPANDED)</t>
        </is>
      </c>
      <c r="BM1577" t="inlineStr">
        <is>
          <t>Environmental Sciences &amp; Ecology; Meteorology &amp; Atmospheric Sciences</t>
        </is>
      </c>
      <c r="BN1577" t="inlineStr">
        <is>
          <t>CC2QF</t>
        </is>
      </c>
      <c r="BP1577" t="inlineStr">
        <is>
          <t>Green Submitted</t>
        </is>
      </c>
      <c r="BS1577" t="inlineStr">
        <is>
          <t>2023-10-26</t>
        </is>
      </c>
      <c r="BT1577" t="inlineStr">
        <is>
          <t>WOS:000350189000019</t>
        </is>
      </c>
      <c r="BU1577">
        <f>HYPERLINK("https%3A%2F%2Fwww.webofscience.com%2Fwos%2Fwoscc%2Ffull-record%2FWOS:000350189000019","View Full Record in Web of Science")</f>
        <v/>
      </c>
    </row>
    <row r="1578">
      <c r="A1578" t="inlineStr">
        <is>
          <t>J</t>
        </is>
      </c>
      <c r="B1578" t="inlineStr">
        <is>
          <t>Mahdavi, A; Bochukova, V; Berger, C</t>
        </is>
      </c>
      <c r="F1578" t="inlineStr">
        <is>
          <t>Mahdavi, Ardeshir; Bochukova, Veselina; Berger, Christiane</t>
        </is>
      </c>
      <c r="J1578" t="inlineStr">
        <is>
          <t>FRONTIERS IN SUSTAINABLE CITIES</t>
        </is>
      </c>
      <c r="M1578" t="inlineStr">
        <is>
          <t>English</t>
        </is>
      </c>
      <c r="N1578" t="inlineStr">
        <is>
          <t>Article</t>
        </is>
      </c>
      <c r="T1578" t="inlineStr">
        <is>
          <t>A Pragmatic Theory of Occupants' Indoor-Environmental Control Behaviour</t>
        </is>
      </c>
      <c r="U1578" t="inlineStr">
        <is>
          <t>behavioural theory; indoor environment; occupant actions; computational models; ontology</t>
        </is>
      </c>
      <c r="V1578" t="inlineStr">
        <is>
          <t>ENERGY; SIMULATION; FRAMEWORK; ONTOLOGY</t>
        </is>
      </c>
      <c r="W1578" t="inlineStr">
        <is>
          <t>Computational tools for building design and operation support entail fairly detailed representations of buildings' geometry, construction, and systems. Recent efforts aim at enhancing, in these tools, the relatively less developed models of building users. Thereby, one of the key challenges concerns the fit between the nature and level of needed support (e.g., performance queries) on the one hand and the required or appropriate resolution of the applied occupant model on the other hand. Some queries involving aggregate performance indicator may be sufficiently served by simple models of occupants' presence and actions in buildings. Detailed queries, however, may necessitate the implementation of high-resolution dynamic occupant representations. Methods to generate an occupant model may be fully data-driven, or they may be based on explicitly stated causal theories of human behaviour. However, there is not necessarily a sharp boundary between these approaches: Regularities harnessed by data-driven methods often reveal an implicit theoretical feature, as they are key to mapping processes from independent variables (model input) to dependent variables (manifest behaviour). Causal methods, on the other hand, need data to both develop and calibrate occupant methods. In this context, the present paper introduces the outline and main elements of a pragmatic theory of control-oriented human behaviour in buildings. The theory is suggested to inform the efforts towards construction of occupant models in computational applications related to building design, operation, and evaluation. Specifically, it can systematically guide the formulation of occupant-related ontologies and their instantiation in computational applications.</t>
        </is>
      </c>
      <c r="X1578" t="inlineStr">
        <is>
          <t>[Mahdavi, Ardeshir; Bochukova, Veselina] Tech Univ Wien, Bldg Phys &amp; Bldg Ecol, Vienna, Austria; [Berger, Christiane] Aalborg Univ, Dept Architecture Design &amp; Media Technol, Aalborg, Denmark</t>
        </is>
      </c>
      <c r="Y1578" t="inlineStr">
        <is>
          <t>Technische Universitat Wien; Aalborg University</t>
        </is>
      </c>
      <c r="Z1578" t="inlineStr">
        <is>
          <t>Mahdavi, A (corresponding author), Tech Univ Wien, Bldg Phys &amp; Bldg Ecol, Vienna, Austria.</t>
        </is>
      </c>
      <c r="AA1578" t="inlineStr">
        <is>
          <t>amahdavi@tuwien.ac.at</t>
        </is>
      </c>
      <c r="AC1578" t="inlineStr">
        <is>
          <t>Berger, Christiane/0000-0001-9936-7627</t>
        </is>
      </c>
      <c r="AD1578" t="inlineStr">
        <is>
          <t>TU Wien Bibliothek</t>
        </is>
      </c>
      <c r="AE1578" t="inlineStr">
        <is>
          <t>TU Wien Bibliothek</t>
        </is>
      </c>
      <c r="AF1578" t="inlineStr">
        <is>
          <t>The authors acknowledge TU Wien Bibliothek for financial support through its Open Access Funding Programme.</t>
        </is>
      </c>
      <c r="AH1578" t="n">
        <v>47</v>
      </c>
      <c r="AI1578" t="n">
        <v>3</v>
      </c>
      <c r="AJ1578" t="n">
        <v>3</v>
      </c>
      <c r="AK1578" t="n">
        <v>0</v>
      </c>
      <c r="AL1578" t="n">
        <v>3</v>
      </c>
      <c r="AM1578" t="inlineStr">
        <is>
          <t>FRONTIERS MEDIA SA</t>
        </is>
      </c>
      <c r="AN1578" t="inlineStr">
        <is>
          <t>LAUSANNE</t>
        </is>
      </c>
      <c r="AO1578" t="inlineStr">
        <is>
          <t>AVENUE DU TRIBUNAL FEDERAL 34, LAUSANNE, CH-1015, SWITZERLAND</t>
        </is>
      </c>
      <c r="AQ1578" t="inlineStr">
        <is>
          <t>2624-9634</t>
        </is>
      </c>
      <c r="AS1578" t="inlineStr">
        <is>
          <t>FRONT SUSTAIN CITIES</t>
        </is>
      </c>
      <c r="AT1578" t="inlineStr">
        <is>
          <t>Front. Sustain. Cities</t>
        </is>
      </c>
      <c r="AV1578" t="n">
        <v>2021</v>
      </c>
      <c r="AW1578" t="n">
        <v>3</v>
      </c>
      <c r="BE1578" t="n">
        <v>748288</v>
      </c>
      <c r="BF1578" t="inlineStr">
        <is>
          <t>10.3389/frsc.2021.748288</t>
        </is>
      </c>
      <c r="BG1578">
        <f>HYPERLINK("http://dx.doi.org/10.3389/frsc.2021.748288","http://dx.doi.org/10.3389/frsc.2021.748288")</f>
        <v/>
      </c>
      <c r="BJ1578" t="n">
        <v>15</v>
      </c>
      <c r="BK1578" t="inlineStr">
        <is>
          <t>Green &amp; Sustainable Science &amp; Technology; Environmental Sciences; Environmental Studies; Urban Studies</t>
        </is>
      </c>
      <c r="BL1578" t="inlineStr">
        <is>
          <t>Emerging Sources Citation Index (ESCI)</t>
        </is>
      </c>
      <c r="BM1578" t="inlineStr">
        <is>
          <t>Science &amp; Technology - Other Topics; Environmental Sciences &amp; Ecology; Urban Studies</t>
        </is>
      </c>
      <c r="BN1578" t="inlineStr">
        <is>
          <t>YU2JA</t>
        </is>
      </c>
      <c r="BP1578" t="inlineStr">
        <is>
          <t>Green Published, gold</t>
        </is>
      </c>
      <c r="BS1578" t="inlineStr">
        <is>
          <t>2023-10-26</t>
        </is>
      </c>
      <c r="BT1578" t="inlineStr">
        <is>
          <t>WOS:000751872400128</t>
        </is>
      </c>
      <c r="BU1578">
        <f>HYPERLINK("https%3A%2F%2Fwww.webofscience.com%2Fwos%2Fwoscc%2Ffull-record%2FWOS:000751872400128","View Full Record in Web of Science")</f>
        <v/>
      </c>
    </row>
    <row r="1579">
      <c r="A1579" t="inlineStr">
        <is>
          <t>J</t>
        </is>
      </c>
      <c r="B1579" t="inlineStr">
        <is>
          <t>Tao, YH; Yang, J; Chai, YW</t>
        </is>
      </c>
      <c r="F1579" t="inlineStr">
        <is>
          <t>Tao, Yinhua; Yang, Jie; Chai, Yanwei</t>
        </is>
      </c>
      <c r="J1579" t="inlineStr">
        <is>
          <t>INTERNATIONAL JOURNAL OF ENVIRONMENTAL RESEARCH AND PUBLIC HEALTH</t>
        </is>
      </c>
      <c r="M1579" t="inlineStr">
        <is>
          <t>English</t>
        </is>
      </c>
      <c r="N1579" t="inlineStr">
        <is>
          <t>Article</t>
        </is>
      </c>
      <c r="T1579" t="inlineStr">
        <is>
          <t>The Anatomy of Health-Supportive Neighborhoods: A Multilevel Analysis of Built Environment, Perceived Disorder, Social Interaction and Mental Health in Beijing</t>
        </is>
      </c>
      <c r="U1579" t="inlineStr">
        <is>
          <t>built environment; neighborhood disorder; social interaction; mental health; Beijing</t>
        </is>
      </c>
      <c r="V1579" t="inlineStr">
        <is>
          <t>PSYCHOLOGICAL DISTRESS; DEPRESSIVE SYMPTOMS; POPULATION HEALTH; COMMUNAL SPACE; PUBLIC-HEALTH; GREEN SPACE; COHESION; TRANSPORT; EXPOSURE; BENEFITS</t>
        </is>
      </c>
      <c r="W1579" t="inlineStr">
        <is>
          <t>Mental health is an exceedingly prevalent concern for the urban population. Mounting evidence has confirmed the plausibility of high incidences of mental disorders in socioeconomically disadvantaged neighborhoods. However, the association between the neighborhood built environment and individual mental health is understudied and far from conclusive, especially in developing countries such as China. The underlying mechanism requires in-depth analysis combining potential intermediates such as perceived environmental disorder and supportive social relationships. Using a health survey conducted in Beijing in 2017, this study investigates for the first time a socio-environmental pathway through which perceived disorder and social interaction account for the relationship between the built environment and mental health under the very notion of the neighborhood effect. The results from multilevel structural equation models indicate that individual mental health is influenced by the neighborhood-scale built environment through three pathways, independent of neighborhood socioeconomic disadvantages: (1) proximity to parks is the sole indicator directly linked to mental health; (2) population density, road connectivity and proximity to parks are indirectly associated with mental health through interactions with neighbors; and (3) population density, road connectivity and facility diversity are partially associated with perceived neighborhood disorder, which is indirectly correlated with mental health through interactions with neighbors. This study is a preliminary attempt to disentangle the complex relationships among the neighborhood environment, social interaction and mental health in the context of developing megacities. The relevant findings provide an important reference for urban planners and administrators regarding how to build health-supportive neighborhoods and healthy cities.</t>
        </is>
      </c>
      <c r="X1579" t="inlineStr">
        <is>
          <t>[Tao, Yinhua; Yang, Jie; Chai, Yanwei] Peking Univ, Coll Urban &amp; Environm Sci, Beijing 100871, Peoples R China</t>
        </is>
      </c>
      <c r="Y1579" t="inlineStr">
        <is>
          <t>Peking University</t>
        </is>
      </c>
      <c r="Z1579" t="inlineStr">
        <is>
          <t>Chai, YW (corresponding author), Peking Univ, Coll Urban &amp; Environm Sci, Beijing 100871, Peoples R China.</t>
        </is>
      </c>
      <c r="AA1579" t="inlineStr">
        <is>
          <t>yh.tao@hotmail.com; syexyj@163.com; chyw@pku.edu.cn</t>
        </is>
      </c>
      <c r="AC1579" t="inlineStr">
        <is>
          <t>Chai, Yanwei/0000-0003-2513-3769</t>
        </is>
      </c>
      <c r="AD1579" t="inlineStr">
        <is>
          <t>National Natural Science Foundation of China [41529101, 41571144, 41571153]</t>
        </is>
      </c>
      <c r="AE1579" t="inlineStr">
        <is>
          <t>National Natural Science Foundation of China(National Natural Science Foundation of China (NSFC))</t>
        </is>
      </c>
      <c r="AF1579" t="inlineStr">
        <is>
          <t>This work was funded by the National Natural Science Foundation of China (Grants No. 41529101, 41571144, 41571153).</t>
        </is>
      </c>
      <c r="AH1579" t="n">
        <v>67</v>
      </c>
      <c r="AI1579" t="n">
        <v>22</v>
      </c>
      <c r="AJ1579" t="n">
        <v>23</v>
      </c>
      <c r="AK1579" t="n">
        <v>15</v>
      </c>
      <c r="AL1579" t="n">
        <v>102</v>
      </c>
      <c r="AM1579" t="inlineStr">
        <is>
          <t>MDPI</t>
        </is>
      </c>
      <c r="AN1579" t="inlineStr">
        <is>
          <t>BASEL</t>
        </is>
      </c>
      <c r="AO1579" t="inlineStr">
        <is>
          <t>ST ALBAN-ANLAGE 66, CH-4052 BASEL, SWITZERLAND</t>
        </is>
      </c>
      <c r="AP1579" t="inlineStr">
        <is>
          <t>1661-7827</t>
        </is>
      </c>
      <c r="AQ1579" t="inlineStr">
        <is>
          <t>1660-4601</t>
        </is>
      </c>
      <c r="AS1579" t="inlineStr">
        <is>
          <t>INT J ENV RES PUB HE</t>
        </is>
      </c>
      <c r="AT1579" t="inlineStr">
        <is>
          <t>Int. J. Environ. Res. Public Health</t>
        </is>
      </c>
      <c r="AU1579" t="inlineStr">
        <is>
          <t>JAN</t>
        </is>
      </c>
      <c r="AV1579" t="n">
        <v>2020</v>
      </c>
      <c r="AW1579" t="n">
        <v>17</v>
      </c>
      <c r="AX1579" t="n">
        <v>1</v>
      </c>
      <c r="BE1579" t="n">
        <v>13</v>
      </c>
      <c r="BF1579" t="inlineStr">
        <is>
          <t>10.3390/ijerph17010013</t>
        </is>
      </c>
      <c r="BG1579">
        <f>HYPERLINK("http://dx.doi.org/10.3390/ijerph17010013","http://dx.doi.org/10.3390/ijerph17010013")</f>
        <v/>
      </c>
      <c r="BJ1579" t="n">
        <v>19</v>
      </c>
      <c r="BK1579" t="inlineStr">
        <is>
          <t>Environmental Sciences; Public, Environmental &amp; Occupational Health</t>
        </is>
      </c>
      <c r="BL1579" t="inlineStr">
        <is>
          <t>Science Citation Index Expanded (SCI-EXPANDED); Social Science Citation Index (SSCI)</t>
        </is>
      </c>
      <c r="BM1579" t="inlineStr">
        <is>
          <t>Environmental Sciences &amp; Ecology; Public, Environmental &amp; Occupational Health</t>
        </is>
      </c>
      <c r="BN1579" t="inlineStr">
        <is>
          <t>KF7AG</t>
        </is>
      </c>
      <c r="BO1579" t="n">
        <v>31861358</v>
      </c>
      <c r="BP1579" t="inlineStr">
        <is>
          <t>Green Published, gold</t>
        </is>
      </c>
      <c r="BS1579" t="inlineStr">
        <is>
          <t>2023-10-26</t>
        </is>
      </c>
      <c r="BT1579" t="inlineStr">
        <is>
          <t>WOS:000509391500013</t>
        </is>
      </c>
      <c r="BU1579">
        <f>HYPERLINK("https%3A%2F%2Fwww.webofscience.com%2Fwos%2Fwoscc%2Ffull-record%2FWOS:000509391500013","View Full Record in Web of Science")</f>
        <v/>
      </c>
    </row>
    <row r="1580">
      <c r="A1580" t="inlineStr">
        <is>
          <t>J</t>
        </is>
      </c>
      <c r="B1580" t="inlineStr">
        <is>
          <t>Ma, CF; Li, MY; Wu, C</t>
        </is>
      </c>
      <c r="F1580" t="inlineStr">
        <is>
          <t>Ma, Chifen; Li, Mengyuan; Wu, Chao</t>
        </is>
      </c>
      <c r="J1580" t="inlineStr">
        <is>
          <t>INTERNATIONAL JOURNAL OF ENVIRONMENTAL RESEARCH AND PUBLIC HEALTH</t>
        </is>
      </c>
      <c r="M1580" t="inlineStr">
        <is>
          <t>English</t>
        </is>
      </c>
      <c r="N1580" t="inlineStr">
        <is>
          <t>Article</t>
        </is>
      </c>
      <c r="T1580" t="inlineStr">
        <is>
          <t>Cognitive Function Trajectories and Factors among Chinese Older Adults with Subjective Memory Decline: CHARLS Longitudinal Study Results (2011-2018)</t>
        </is>
      </c>
      <c r="U1580" t="inlineStr">
        <is>
          <t>older adults; cognitive function; trajectory; subjective memory decline; latent growth curve model</t>
        </is>
      </c>
      <c r="V1580" t="inlineStr">
        <is>
          <t>ALZHEIMERS-DISEASE; FOLLOW-UP; IMPAIRMENT; ASSOCIATION; DEMENTIA; DETERMINANTS; DEPRESSION; COMPLAINTS; DIAGNOSIS; GROWTH</t>
        </is>
      </c>
      <c r="W1580" t="inlineStr">
        <is>
          <t>Older adults with subjective cognitive decline are at increased risk of future pathological cognitive decline and dementia. Subjective memory decline is an early sign of cognitive decline; preventing or slowing cognitive decline in at-risk populations remains an elusive issue. This study aimed to examine the cognitive trajectories and factors in older adults with subjective memory decline. Latent growth curve models (LGCMs) were fitted to examine the cognitive function trajectories and factors among 1465 older adults (aged 60+ years) with subjective memory decline. Data were obtained from four waves from the China Health and Retirement Longitudinal Study (CHARLS, 2011-2018), which is a large nationally representative sample of the Chinese population. The results showed that older adults with better initial cognition had a slower decline rate, which may be accelerated by advanced age, low-level education, a rapid decrease in instrumental activities of daily living (IADL) ability, and rapid increase in depression levels. This study was the first to examine the trajectories of cognitive function and its factors in a high-risk population with subjective memory decline. These findings may guide prevention approaches to tackle the issues of cognitive function decline and dementia.</t>
        </is>
      </c>
      <c r="X1580" t="inlineStr">
        <is>
          <t>[Ma, Chifen; Li, Mengyuan; Wu, Chao] Peking Univ, Sch Nursing, 38 Xueyuan Rd, Haidian Dist, Beijing 100191, Peoples R China; [Ma, Chifen] Xuzhou Kindergarten Teachers Coll, Coll Hlth Serv &amp; Management, Xuzhou 221001, Peoples R China</t>
        </is>
      </c>
      <c r="Y1580" t="inlineStr">
        <is>
          <t>Peking University</t>
        </is>
      </c>
      <c r="Z1580" t="inlineStr">
        <is>
          <t>Wu, C (corresponding author), Peking Univ, Sch Nursing, 38 Xueyuan Rd, Haidian Dist, Beijing 100191, Peoples R China.</t>
        </is>
      </c>
      <c r="AA1580" t="inlineStr">
        <is>
          <t>wuchaowfy@pku.edu.cn</t>
        </is>
      </c>
      <c r="AC1580" t="inlineStr">
        <is>
          <t>Mengyuan, Li/0000-0003-3071-5579; Ma, Chifen/0000-0001-9747-0532; Wu, Chao/0000-0003-1824-9923</t>
        </is>
      </c>
      <c r="AH1580" t="n">
        <v>58</v>
      </c>
      <c r="AI1580" t="n">
        <v>1</v>
      </c>
      <c r="AJ1580" t="n">
        <v>1</v>
      </c>
      <c r="AK1580" t="n">
        <v>14</v>
      </c>
      <c r="AL1580" t="n">
        <v>32</v>
      </c>
      <c r="AM1580" t="inlineStr">
        <is>
          <t>MDPI</t>
        </is>
      </c>
      <c r="AN1580" t="inlineStr">
        <is>
          <t>BASEL</t>
        </is>
      </c>
      <c r="AO1580" t="inlineStr">
        <is>
          <t>ST ALBAN-ANLAGE 66, CH-4052 BASEL, SWITZERLAND</t>
        </is>
      </c>
      <c r="AQ1580" t="inlineStr">
        <is>
          <t>1660-4601</t>
        </is>
      </c>
      <c r="AS1580" t="inlineStr">
        <is>
          <t>INT J ENV RES PUB HE</t>
        </is>
      </c>
      <c r="AT1580" t="inlineStr">
        <is>
          <t>Int. J. Environ. Res. Public Health</t>
        </is>
      </c>
      <c r="AU1580" t="inlineStr">
        <is>
          <t>DEC</t>
        </is>
      </c>
      <c r="AV1580" t="n">
        <v>2022</v>
      </c>
      <c r="AW1580" t="n">
        <v>19</v>
      </c>
      <c r="AX1580" t="n">
        <v>24</v>
      </c>
      <c r="BE1580" t="n">
        <v>16707</v>
      </c>
      <c r="BF1580" t="inlineStr">
        <is>
          <t>10.3390/ijerph192416707</t>
        </is>
      </c>
      <c r="BG1580">
        <f>HYPERLINK("http://dx.doi.org/10.3390/ijerph192416707","http://dx.doi.org/10.3390/ijerph192416707")</f>
        <v/>
      </c>
      <c r="BJ1580" t="n">
        <v>15</v>
      </c>
      <c r="BK1580" t="inlineStr">
        <is>
          <t>Environmental Sciences; Public, Environmental &amp; Occupational Health</t>
        </is>
      </c>
      <c r="BL1580" t="inlineStr">
        <is>
          <t>Science Citation Index Expanded (SCI-EXPANDED); Social Science Citation Index (SSCI)</t>
        </is>
      </c>
      <c r="BM1580" t="inlineStr">
        <is>
          <t>Environmental Sciences &amp; Ecology; Public, Environmental &amp; Occupational Health</t>
        </is>
      </c>
      <c r="BN1580" t="inlineStr">
        <is>
          <t>7E6WN</t>
        </is>
      </c>
      <c r="BO1580" t="n">
        <v>36554588</v>
      </c>
      <c r="BP1580" t="inlineStr">
        <is>
          <t>Green Published, gold</t>
        </is>
      </c>
      <c r="BS1580" t="inlineStr">
        <is>
          <t>2023-10-26</t>
        </is>
      </c>
      <c r="BT1580" t="inlineStr">
        <is>
          <t>WOS:000901305600001</t>
        </is>
      </c>
      <c r="BU1580">
        <f>HYPERLINK("https%3A%2F%2Fwww.webofscience.com%2Fwos%2Fwoscc%2Ffull-record%2FWOS:000901305600001","View Full Record in Web of Science")</f>
        <v/>
      </c>
    </row>
    <row r="1581">
      <c r="A1581" t="inlineStr">
        <is>
          <t>J</t>
        </is>
      </c>
      <c r="B1581" t="inlineStr">
        <is>
          <t>Yun, JJ; Zhao, X; Yigitcanlar, T; Lee, D; Ahn, H</t>
        </is>
      </c>
      <c r="F1581" t="inlineStr">
        <is>
          <t>Yun, JinHyo Joseph; Zhao, Xiaofei; Yigitcanlar, Tan; Lee, DooSeok; Ahn, HeungJu</t>
        </is>
      </c>
      <c r="J1581" t="inlineStr">
        <is>
          <t>SUSTAINABILITY</t>
        </is>
      </c>
      <c r="M1581" t="inlineStr">
        <is>
          <t>English</t>
        </is>
      </c>
      <c r="N1581" t="inlineStr">
        <is>
          <t>Article</t>
        </is>
      </c>
      <c r="T1581" t="inlineStr">
        <is>
          <t>Architectural Design and Open Innovation Symbiosis: Insights from Research Campuses, Manufacturing Systems, and Innovation Districts</t>
        </is>
      </c>
      <c r="U1581" t="inlineStr">
        <is>
          <t>open innovation; architectural design; innovation district; cluster; research campus; manufacturing system</t>
        </is>
      </c>
      <c r="V1581" t="inlineStr">
        <is>
          <t>TOYOTA PRODUCTION SYSTEM; TACIT KNOWLEDGE; PLACE QUALITY; SMART CITY; URBAN-DEVELOPMENT; CITIES; MODEL; CAR</t>
        </is>
      </c>
      <c r="W1581" t="inlineStr">
        <is>
          <t>In the age of knowledge-based economies, open innovation has increasing importance. This study aimed to explore the architectural design approaches that can revitalize innovation activities in the era of knowledge-based economies. This paper investigated global case research campuses, manufacturing systems, and innovation districts where architectural design supports innovation activities. This study developed a research framework of architectural design for innovation and applied it in the selected case studies to generate insights. First, the research campuses selected as case studies included Panopticon, DGIST Education and Research Campuses, and Apple Park. Second, the open innovation of manufacturing system architecture was analyzed through the case studies of the Ford Motor Company, Toyota Motor Corporation, and Rolls-Royce Motor Cars. Third, this paper studied the clustered open innovation architectures of Macquarie Park, One North, and Strijp-S Innovation Districts. The findings revealed how tacit knowledge motivates open innovation through the design of manufacturing systems, research campuses, and innovation districts through real examples and mathematical or concept model building.</t>
        </is>
      </c>
      <c r="X1581" t="inlineStr">
        <is>
          <t>[Yun, JinHyo Joseph; Zhao, Xiaofei; Lee, DooSeok; Ahn, HeungJu] DGIST, 333 Techno Jungang Daero, Daegu 42988, South Korea; [Yigitcanlar, Tan] QUT, Sch Civil Engn &amp; Built Environm, 2 George St, Brisbane, Qld 4000, Australia</t>
        </is>
      </c>
      <c r="Y1581" t="inlineStr">
        <is>
          <t>Daegu Gyeongbuk Institute of Science &amp; Technology (DGIST); Queensland University of Technology (QUT)</t>
        </is>
      </c>
      <c r="Z1581" t="inlineStr">
        <is>
          <t>Yun, JJ (corresponding author), DGIST, 333 Techno Jungang Daero, Daegu 42988, South Korea.</t>
        </is>
      </c>
      <c r="AA1581" t="inlineStr">
        <is>
          <t>jhyun@dgist.ac.kr; qiaoke@dgist.ac.kr; tan.yigitcanlar@qut.edu.au; dslee@dgist.ac.kr; heungju@dgist.ac.kr</t>
        </is>
      </c>
      <c r="AB1581" t="inlineStr">
        <is>
          <t>Yigitcanlar, Tan/J-1142-2012; Yun, JinHyo Joseph/AAL-3521-2020</t>
        </is>
      </c>
      <c r="AC1581" t="inlineStr">
        <is>
          <t>Yigitcanlar, Tan/0000-0001-7262-7118; Yun, JinHyo Joseph/0000-0003-2690-3550</t>
        </is>
      </c>
      <c r="AD1581" t="inlineStr">
        <is>
          <t>DGIST R&amp;D Program of the Ministry of Science and Technology, and ICT [18-IT-01]; Fire Fighting Safety &amp; 119 Rescue Technology Research and Development Program - Ministry of Public Safety and Security ok Korea (NEMA-Next Generation) [2014-58-2]</t>
        </is>
      </c>
      <c r="AE1581" t="inlineStr">
        <is>
          <t>DGIST R&amp;D Program of the Ministry of Science and Technology, and ICT; Fire Fighting Safety &amp; 119 Rescue Technology Research and Development Program - Ministry of Public Safety and Security ok Korea (NEMA-Next Generation)(Ministry of Public Safety &amp; Security (MPSS), Republic of Korea)</t>
        </is>
      </c>
      <c r="AF1581" t="inlineStr">
        <is>
          <t>This work was supported by the DGIST R&amp;D Program of the Ministry of Science and Technology, and ICT (18-IT-01). And this work was partially supported by the Fire Fighting Safety &amp; 119 Rescue Technology Research and Development Program which was funded to DGIST by the Ministry of Public Safety and Security ok Korea (NEMA-Next Generation-2014-58-2). We would like to thank the DGIST Facility Operation Team for giving us the DGIST architectural drawings, and the Apple Promotion Department for providing all of the necessary information to understand Apple Park.</t>
        </is>
      </c>
      <c r="AH1581" t="n">
        <v>92</v>
      </c>
      <c r="AI1581" t="n">
        <v>10</v>
      </c>
      <c r="AJ1581" t="n">
        <v>12</v>
      </c>
      <c r="AK1581" t="n">
        <v>4</v>
      </c>
      <c r="AL1581" t="n">
        <v>57</v>
      </c>
      <c r="AM1581" t="inlineStr">
        <is>
          <t>MDPI</t>
        </is>
      </c>
      <c r="AN1581" t="inlineStr">
        <is>
          <t>BASEL</t>
        </is>
      </c>
      <c r="AO1581" t="inlineStr">
        <is>
          <t>ST ALBAN-ANLAGE 66, CH-4052 BASEL, SWITZERLAND</t>
        </is>
      </c>
      <c r="AQ1581" t="inlineStr">
        <is>
          <t>2071-1050</t>
        </is>
      </c>
      <c r="AS1581" t="inlineStr">
        <is>
          <t>SUSTAINABILITY-BASEL</t>
        </is>
      </c>
      <c r="AT1581" t="inlineStr">
        <is>
          <t>Sustainability</t>
        </is>
      </c>
      <c r="AU1581" t="inlineStr">
        <is>
          <t>DEC</t>
        </is>
      </c>
      <c r="AV1581" t="n">
        <v>2018</v>
      </c>
      <c r="AW1581" t="n">
        <v>10</v>
      </c>
      <c r="AX1581" t="n">
        <v>12</v>
      </c>
      <c r="BE1581" t="n">
        <v>4495</v>
      </c>
      <c r="BF1581" t="inlineStr">
        <is>
          <t>10.3390/su10124495</t>
        </is>
      </c>
      <c r="BG1581">
        <f>HYPERLINK("http://dx.doi.org/10.3390/su10124495","http://dx.doi.org/10.3390/su10124495")</f>
        <v/>
      </c>
      <c r="BJ1581" t="n">
        <v>23</v>
      </c>
      <c r="BK1581" t="inlineStr">
        <is>
          <t>Green &amp; Sustainable Science &amp; Technology; Environmental Sciences; Environmental Studies</t>
        </is>
      </c>
      <c r="BL1581" t="inlineStr">
        <is>
          <t>Science Citation Index Expanded (SCI-EXPANDED); Social Science Citation Index (SSCI)</t>
        </is>
      </c>
      <c r="BM1581" t="inlineStr">
        <is>
          <t>Science &amp; Technology - Other Topics; Environmental Sciences &amp; Ecology</t>
        </is>
      </c>
      <c r="BN1581" t="inlineStr">
        <is>
          <t>HG9OL</t>
        </is>
      </c>
      <c r="BP1581" t="inlineStr">
        <is>
          <t>Green Published, gold, Green Submitted</t>
        </is>
      </c>
      <c r="BS1581" t="inlineStr">
        <is>
          <t>2023-10-26</t>
        </is>
      </c>
      <c r="BT1581" t="inlineStr">
        <is>
          <t>WOS:000455338100161</t>
        </is>
      </c>
      <c r="BU1581">
        <f>HYPERLINK("https%3A%2F%2Fwww.webofscience.com%2Fwos%2Fwoscc%2Ffull-record%2FWOS:000455338100161","View Full Record in Web of Science")</f>
        <v/>
      </c>
    </row>
    <row r="1582">
      <c r="A1582" t="inlineStr">
        <is>
          <t>J</t>
        </is>
      </c>
      <c r="B1582" t="inlineStr">
        <is>
          <t>Jinakote, M; Laothamatas, J; Suwannaphim, A; Sroysuwan, T; Krabuanrat, N; Porkachamnan, P; Kasiyaphat, A</t>
        </is>
      </c>
      <c r="F1582" t="inlineStr">
        <is>
          <t>Jinakote, Metee; Laothamatas, Jiraporn; Suwannaphim, Audom; Sroysuwan, Thanagorn; Krabuanrat, Natnaree; Porkachamnan, Pacharaporn; Kasiyaphat, Atchareeya</t>
        </is>
      </c>
      <c r="J1582" t="inlineStr">
        <is>
          <t>INTERNATIONAL JOURNAL OF ENVIRONMENTAL HEALTH RESEARCH</t>
        </is>
      </c>
      <c r="M1582" t="inlineStr">
        <is>
          <t>English</t>
        </is>
      </c>
      <c r="N1582" t="inlineStr">
        <is>
          <t>Article; Early Access</t>
        </is>
      </c>
      <c r="T1582" t="inlineStr">
        <is>
          <t>Cardiovascular response to brisk walking on different surfaces in an innovative senior playground: a randomized trial in older adults</t>
        </is>
      </c>
      <c r="U1582" t="inlineStr">
        <is>
          <t>Cardiovascular responses; cardiac autonomic function; brisk walking; older adults; senior playground</t>
        </is>
      </c>
      <c r="V1582" t="inlineStr">
        <is>
          <t>RATE-PRESSURE PRODUCT; PHYSICAL-ACTIVITY; MOOD PROFILE; INTERVENTION; EXERCISE; WOMEN</t>
        </is>
      </c>
      <c r="W1582" t="inlineStr">
        <is>
          <t>Brisk walking is a simple exercise for older adults. We aimed to assess the cardiovascular response to a short bout of brisk walking on walking loops in an innovative senior playground in Thailand. Twenty older adults were randomly assigned to brisk walking on artificial turf (AT group, n = 10) or an uneven surface (US group, n = 10). We assessed cardiovascular parameters, average walking speed, and rate of perceived exertion. Blood pressure, heart rate, rate-pressure product, and rate perceived exertion were significantly increased, while the mean RR interval of heart rate variability was significantly decreased in both AT and US groups after exercise compared with pre-exercise (p &lt; 0.05). A greater change in systolic blood pressure was observed in the US group than in the AT group (p &lt; 0.05). These data indicated that brisk walking on AT and US increases cardiovascular response. Our findings provide information on planning exercise programs for older adults.</t>
        </is>
      </c>
      <c r="X1582" t="inlineStr">
        <is>
          <t>[Jinakote, Metee; Krabuanrat, Natnaree; Porkachamnan, Pacharaporn; Kasiyaphat, Atchareeya] Chulabhorn Royal Acad, HRH Princess Chulabhorn Coll Med Sci, Fac Hlth Sci Technol, Sch Human Kinet &amp; Hlth, 906 Kamphaeng Phet 6 Rd, Bangkok 10210, Thailand; [Laothamatas, Jiraporn] Chulabhorn Royal Acad, HRH Princess Chulabhorn Coll Med Sci, Fac Hlth Sci Technol, Bangkok, Thailand; [Suwannaphim, Audom] Chulabhorn Royal Acad, HRH Princess Chulabhorn Coll Med Sci, Fac Hlth Sci Technol, Sch Hosp Management Innovat, Nan, Thailand; [Sroysuwan, Thanagorn] Rajamangala Univ Technol Lanna, Fac Art &amp; Architecture, Chiang Mai, Thailand</t>
        </is>
      </c>
      <c r="Y1582" t="inlineStr">
        <is>
          <t>Chulabhorn Royal Academy; HRH Princess Chulabhorn College of Medical Science; Chulabhorn Royal Academy; HRH Princess Chulabhorn College of Medical Science; Chulabhorn Royal Academy; HRH Princess Chulabhorn College of Medical Science; Rajamangala University of Technology Lanna</t>
        </is>
      </c>
      <c r="Z1582" t="inlineStr">
        <is>
          <t>Kasiyaphat, A (corresponding author), Chulabhorn Royal Acad, HRH Princess Chulabhorn Coll Med Sci, Fac Hlth Sci Technol, Sch Human Kinet &amp; Hlth, 906 Kamphaeng Phet 6 Rd, Bangkok 10210, Thailand.</t>
        </is>
      </c>
      <c r="AA1582" t="inlineStr">
        <is>
          <t>atchareeya.kas@cra.ac.th</t>
        </is>
      </c>
      <c r="AB1582" t="inlineStr">
        <is>
          <t>Jinakote, Metee/B-8590-2019</t>
        </is>
      </c>
      <c r="AC1582" t="inlineStr">
        <is>
          <t>Jinakote, Metee/0000-0002-5661-8585</t>
        </is>
      </c>
      <c r="AD1582" t="inlineStr">
        <is>
          <t>National Research Council of Thailand [FND2564/001]</t>
        </is>
      </c>
      <c r="AE1582" t="inlineStr">
        <is>
          <t>National Research Council of Thailand(National Research Council of Thailand (NRCT))</t>
        </is>
      </c>
      <c r="AF1582" t="inlineStr">
        <is>
          <t>This work and innovation activity was funded by the National Research Council of Thailand under Grant number FND2564/001.</t>
        </is>
      </c>
      <c r="AH1582" t="n">
        <v>24</v>
      </c>
      <c r="AI1582" t="n">
        <v>0</v>
      </c>
      <c r="AJ1582" t="n">
        <v>0</v>
      </c>
      <c r="AK1582" t="n">
        <v>0</v>
      </c>
      <c r="AL1582" t="n">
        <v>0</v>
      </c>
      <c r="AM1582" t="inlineStr">
        <is>
          <t>TAYLOR &amp; FRANCIS LTD</t>
        </is>
      </c>
      <c r="AN1582" t="inlineStr">
        <is>
          <t>ABINGDON</t>
        </is>
      </c>
      <c r="AO1582" t="inlineStr">
        <is>
          <t>2-4 PARK SQUARE, MILTON PARK, ABINGDON OR14 4RN, OXON, ENGLAND</t>
        </is>
      </c>
      <c r="AP1582" t="inlineStr">
        <is>
          <t>0960-3123</t>
        </is>
      </c>
      <c r="AQ1582" t="inlineStr">
        <is>
          <t>1369-1619</t>
        </is>
      </c>
      <c r="AS1582" t="inlineStr">
        <is>
          <t>INT J ENVIRON HEAL R</t>
        </is>
      </c>
      <c r="AT1582" t="inlineStr">
        <is>
          <t>Int. J. Environ. Health Res.</t>
        </is>
      </c>
      <c r="AU1582" t="inlineStr">
        <is>
          <t>2023 OCT 5</t>
        </is>
      </c>
      <c r="AV1582" t="n">
        <v>2023</v>
      </c>
      <c r="BF1582" t="inlineStr">
        <is>
          <t>10.1080/09603123.2023.2264804</t>
        </is>
      </c>
      <c r="BG1582">
        <f>HYPERLINK("http://dx.doi.org/10.1080/09603123.2023.2264804","http://dx.doi.org/10.1080/09603123.2023.2264804")</f>
        <v/>
      </c>
      <c r="BI1582" t="inlineStr">
        <is>
          <t>OCT 2023</t>
        </is>
      </c>
      <c r="BJ1582" t="n">
        <v>11</v>
      </c>
      <c r="BK1582" t="inlineStr">
        <is>
          <t>Environmental Sciences; Public, Environmental &amp; Occupational Health</t>
        </is>
      </c>
      <c r="BL1582" t="inlineStr">
        <is>
          <t>Science Citation Index Expanded (SCI-EXPANDED)</t>
        </is>
      </c>
      <c r="BM1582" t="inlineStr">
        <is>
          <t>Environmental Sciences &amp; Ecology; Public, Environmental &amp; Occupational Health</t>
        </is>
      </c>
      <c r="BN1582" t="inlineStr">
        <is>
          <t>T5WX5</t>
        </is>
      </c>
      <c r="BO1582" t="n">
        <v>37795699</v>
      </c>
      <c r="BS1582" t="inlineStr">
        <is>
          <t>2023-10-26</t>
        </is>
      </c>
      <c r="BT1582" t="inlineStr">
        <is>
          <t>WOS:001078702000001</t>
        </is>
      </c>
      <c r="BU1582">
        <f>HYPERLINK("https%3A%2F%2Fwww.webofscience.com%2Fwos%2Fwoscc%2Ffull-record%2FWOS:001078702000001","View Full Record in Web of Science")</f>
        <v/>
      </c>
    </row>
    <row r="1583">
      <c r="A1583" t="inlineStr">
        <is>
          <t>J</t>
        </is>
      </c>
      <c r="B1583" t="inlineStr">
        <is>
          <t>Lo, HHM; Au, A; Cho, WV; Lau, ENS; Wong, JYH; Wong, SYS; Yeung, JWK</t>
        </is>
      </c>
      <c r="F1583" t="inlineStr">
        <is>
          <t>Lo, Herman H. M.; Au, Alma; Cho, W., V; Lau, Elsa N. S.; Wong, Janet Y. H.; Wong, Samuel Y. S.; Yeung, Jerf W. K.</t>
        </is>
      </c>
      <c r="J1583" t="inlineStr">
        <is>
          <t>INTERNATIONAL JOURNAL OF ENVIRONMENTAL RESEARCH AND PUBLIC HEALTH</t>
        </is>
      </c>
      <c r="M1583" t="inlineStr">
        <is>
          <t>English</t>
        </is>
      </c>
      <c r="N1583" t="inlineStr">
        <is>
          <t>Article</t>
        </is>
      </c>
      <c r="T1583" t="inlineStr">
        <is>
          <t>Mindfulness-Based Intervention for Caregivers of Frail Older Chinese Adults: A Study Protocol</t>
        </is>
      </c>
      <c r="U1583" t="inlineStr">
        <is>
          <t>family caregivers; frail older adults; mindfulness-based intervention; randomized controlled trial; Chinese intergenerational caregiving</t>
        </is>
      </c>
      <c r="V1583" t="inlineStr">
        <is>
          <t>COPING STRATEGIES; PSYCHOLOGICAL INTERVENTIONS; FAMILY CAREGIVERS; STRESS REDUCTION; DEMENTIA CAREGIVERS; HOSPITAL ANXIETY; PEOPLE; BURDEN; CARERS; HEALTH</t>
        </is>
      </c>
      <c r="W1583" t="inlineStr">
        <is>
          <t>Studies have consistently showed that informal caregivers have worse health, more medical consultations, anxiety and depression, and lower quality of life than those who do not provide such care. Positive outcomes of psychoeducation interventions have been found, but many of them are relatively long in duration, making them less cost-effective in implementation. The proposed study is a multi-site, three-arm randomized controlled trial of a mindfulness-based intervention for Chinese family caregivers. Effects of the intervention will be compared with those of an evidence-based psychoeducation program and treatment-as-usual. Two hundred forty cross-generational caregivers of frail older adults with moderate to severe levels of frailty will be recruited and randomly assigned to mindfulness-based intervention, psychoeducation, and treatment-as-usual experimental conditions. Program effectiveness will be analyzed on measures of caregiver burden, depression, anxiety, positive caregiving experience, spirituality, family conflict, and the biomarker of heart rate variability. Measures on coping styles, experiential avoidance, and self-efficacy will be explored to see if they mediate the changes to participant improvements in outcomes. Six-month follow-up will be included to investigate the maintenance effects. This study will provide evidence on mindfulness-based interventions on caregivers of frail older adults and expand the existing models of intergenerational caregiving in Chinese culture.</t>
        </is>
      </c>
      <c r="X1583" t="inlineStr">
        <is>
          <t>[Lo, Herman H. M.; Au, Alma] Hong Kong Polytech Univ, Dept Appl Social Sci, Hong Kong, Peoples R China; [Cho, W., V] Hosp Author, Caritas Med Ctr, Hong Kong, Peoples R China; [Lau, Elsa N. S.] Educ Univ Hong Kong, Dept Social Sci, Hong Kong, Peoples R China; [Wong, Janet Y. H.] Univ Hong Kong, Sch Nursing, Hong Kong, Peoples R China; [Wong, Samuel Y. S.] Chinese Univ Hong Kong, Jockey Club Sch Publ Hlth &amp; Primary Care, Hong Kong, Peoples R China; [Yeung, Jerf W. K.] City Univ Hong Kong, Dept Social &amp; Behav Sci, Hong Kong, Peoples R China</t>
        </is>
      </c>
      <c r="Y1583" t="inlineStr">
        <is>
          <t>Hong Kong Polytechnic University; Education University of Hong Kong (EdUHK); University of Hong Kong; Chinese University of Hong Kong; City University of Hong Kong</t>
        </is>
      </c>
      <c r="Z1583" t="inlineStr">
        <is>
          <t>Lo, HHM (corresponding author), Hong Kong Polytech Univ, Dept Appl Social Sci, Hong Kong, Peoples R China.</t>
        </is>
      </c>
      <c r="AA1583" t="inlineStr">
        <is>
          <t>herman.lo@polyu.edu.hk; hkaa2788@gmail.com; chowc@ha.org.hk; enslau@eduhk.hk; janetyh@hku.hk; yeungshanwong@cuhk.edu.hk; jerf.yeung@cityu.edu.hk</t>
        </is>
      </c>
      <c r="AB1583" t="inlineStr">
        <is>
          <t>WONG, Samuel Yeung Shan/D-7311-2013; Wong, Janet Yuen Ha/F-4433-2011</t>
        </is>
      </c>
      <c r="AC1583" t="inlineStr">
        <is>
          <t>WONG, Samuel Yeung Shan/0000-0003-0934-6385; LAU, Ngar Sze/0000-0002-2144-591X; Wong, Janet Yuen Ha/0000-0002-3000-4577; YEUNG, Jerf W. K./0000-0003-3454-4543; LO, Hay Ming Herman/0000-0002-5053-6837</t>
        </is>
      </c>
      <c r="AD1583" t="inlineStr">
        <is>
          <t>General Research Fund, Research Grants Council, Hong Kong Special Administrative Region [15604220]</t>
        </is>
      </c>
      <c r="AE1583" t="inlineStr">
        <is>
          <t>General Research Fund, Research Grants Council, Hong Kong Special Administrative Region</t>
        </is>
      </c>
      <c r="AF1583" t="inlineStr">
        <is>
          <t>This research was funded by the General Research Fund, Research Grants Council, Hong Kong Special Administrative Region (Project #15604220).</t>
        </is>
      </c>
      <c r="AH1583" t="n">
        <v>73</v>
      </c>
      <c r="AI1583" t="n">
        <v>2</v>
      </c>
      <c r="AJ1583" t="n">
        <v>2</v>
      </c>
      <c r="AK1583" t="n">
        <v>10</v>
      </c>
      <c r="AL1583" t="n">
        <v>20</v>
      </c>
      <c r="AM1583" t="inlineStr">
        <is>
          <t>MDPI</t>
        </is>
      </c>
      <c r="AN1583" t="inlineStr">
        <is>
          <t>BASEL</t>
        </is>
      </c>
      <c r="AO1583" t="inlineStr">
        <is>
          <t>ST ALBAN-ANLAGE 66, CH-4052 BASEL, SWITZERLAND</t>
        </is>
      </c>
      <c r="AQ1583" t="inlineStr">
        <is>
          <t>1660-4601</t>
        </is>
      </c>
      <c r="AS1583" t="inlineStr">
        <is>
          <t>INT J ENV RES PUB HE</t>
        </is>
      </c>
      <c r="AT1583" t="inlineStr">
        <is>
          <t>Int. J. Environ. Res. Public Health</t>
        </is>
      </c>
      <c r="AU1583" t="inlineStr">
        <is>
          <t>MAY</t>
        </is>
      </c>
      <c r="AV1583" t="n">
        <v>2022</v>
      </c>
      <c r="AW1583" t="n">
        <v>19</v>
      </c>
      <c r="AX1583" t="n">
        <v>9</v>
      </c>
      <c r="BE1583" t="n">
        <v>5447</v>
      </c>
      <c r="BF1583" t="inlineStr">
        <is>
          <t>10.3390/ijerph19095447</t>
        </is>
      </c>
      <c r="BG1583">
        <f>HYPERLINK("http://dx.doi.org/10.3390/ijerph19095447","http://dx.doi.org/10.3390/ijerph19095447")</f>
        <v/>
      </c>
      <c r="BJ1583" t="n">
        <v>13</v>
      </c>
      <c r="BK1583" t="inlineStr">
        <is>
          <t>Environmental Sciences; Public, Environmental &amp; Occupational Health</t>
        </is>
      </c>
      <c r="BL1583" t="inlineStr">
        <is>
          <t>Science Citation Index Expanded (SCI-EXPANDED); Social Science Citation Index (SSCI)</t>
        </is>
      </c>
      <c r="BM1583" t="inlineStr">
        <is>
          <t>Environmental Sciences &amp; Ecology; Public, Environmental &amp; Occupational Health</t>
        </is>
      </c>
      <c r="BN1583" t="inlineStr">
        <is>
          <t>1E8CV</t>
        </is>
      </c>
      <c r="BO1583" t="n">
        <v>35564839</v>
      </c>
      <c r="BP1583" t="inlineStr">
        <is>
          <t>Green Published, gold</t>
        </is>
      </c>
      <c r="BS1583" t="inlineStr">
        <is>
          <t>2023-10-26</t>
        </is>
      </c>
      <c r="BT1583" t="inlineStr">
        <is>
          <t>WOS:000794710400001</t>
        </is>
      </c>
      <c r="BU1583">
        <f>HYPERLINK("https%3A%2F%2Fwww.webofscience.com%2Fwos%2Fwoscc%2Ffull-record%2FWOS:000794710400001","View Full Record in Web of Science")</f>
        <v/>
      </c>
    </row>
    <row r="1584">
      <c r="A1584" t="inlineStr">
        <is>
          <t>J</t>
        </is>
      </c>
      <c r="B1584" t="inlineStr">
        <is>
          <t>Sun, MY; Min, LZ; Xu, N; Huang, L; Li, XM</t>
        </is>
      </c>
      <c r="F1584" t="inlineStr">
        <is>
          <t>Sun, Mingyu; Min, Leizi; Xu, Na; Huang, Lei; Li, Xuemei</t>
        </is>
      </c>
      <c r="J1584" t="inlineStr">
        <is>
          <t>INTERNATIONAL JOURNAL OF ENVIRONMENTAL RESEARCH AND PUBLIC HEALTH</t>
        </is>
      </c>
      <c r="M1584" t="inlineStr">
        <is>
          <t>English</t>
        </is>
      </c>
      <c r="N1584" t="inlineStr">
        <is>
          <t>Article</t>
        </is>
      </c>
      <c r="T1584" t="inlineStr">
        <is>
          <t>The Effect of Exercise Intervention on Reducing the Fall Risk in Older Adults: A Meta-Analysis of Randomized Controlled Trials</t>
        </is>
      </c>
      <c r="U1584" t="inlineStr">
        <is>
          <t>exercise intervention; fall risk; older adults; meta-analysis</t>
        </is>
      </c>
      <c r="V1584" t="inlineStr">
        <is>
          <t>PREVENTION PROGRAM; TAI CHI; REDUCTION; COGNITION; GAIT; HOME</t>
        </is>
      </c>
      <c r="W1584" t="inlineStr">
        <is>
          <t>Exercise intervention has a positive effect on reducing the fall risk in older adults. To investigate the effect of different factors of exercise intervention (type, duration, and frequency) on reducing the fall risk in older adults, a meta-analysis was performed in this study. According to the PRISMA(R), two researchers independently searched PubMed, Web of Science, and the China National Knowledge Infrastructure databases to assess the quality of the studies using the PEDro scale. A total of 648 subjects in 10 randomized controlled trials were included in this study, and the exercise interventions included integrated training (resistance training, core training, and balance training), balance training, core training, Pilates, Ba Duan Jin, and Tai Chi. These studies show that exercise intervention has a huge and significant impact on reducing the risk of falls of the elderly. In conclusion, an integrated intervention with a frequency of more than five times a week and a duration of more than 32 weeks are more effective in reducing the fall risk.</t>
        </is>
      </c>
      <c r="X1584" t="inlineStr">
        <is>
          <t>[Sun, Mingyu; Xu, Na; Li, Xuemei] Beijing Sport Univ, Sch Sports Med &amp; Rehabil, Beijing 100084, Peoples R China; [Min, Leizi] Tsinghua Univ, Div Sport Sci &amp; Phys Educ, Beijing 100084, Peoples R China; [Huang, Lei] Minxi Vocat &amp; Tech Coll, Sch Educ &amp; Arts, Longyan 364000, Peoples R China</t>
        </is>
      </c>
      <c r="Y1584" t="inlineStr">
        <is>
          <t>Beijing Sport University; Tsinghua University</t>
        </is>
      </c>
      <c r="Z1584" t="inlineStr">
        <is>
          <t>Li, XM (corresponding author), Beijing Sport Univ, Sch Sports Med &amp; Rehabil, Beijing 100084, Peoples R China.</t>
        </is>
      </c>
      <c r="AA1584" t="inlineStr">
        <is>
          <t>sunmingyu0531@126.com; mlz20@mails.tsinghua.edu.cn; 18865474685@163.com; hl18950808824@126.com; lxm_2003916@126.com</t>
        </is>
      </c>
      <c r="AC1584" t="inlineStr">
        <is>
          <t>Min, Leizi/0000-0002-6015-4904</t>
        </is>
      </c>
      <c r="AD1584" t="inlineStr">
        <is>
          <t>National Key Research and Development Program of China [2018YCF2000603]</t>
        </is>
      </c>
      <c r="AE1584" t="inlineStr">
        <is>
          <t>National Key Research and Development Program of China</t>
        </is>
      </c>
      <c r="AF1584" t="inlineStr">
        <is>
          <t>Supported by the National Key Research and Development Program of China (No. 2018YCF2000603).</t>
        </is>
      </c>
      <c r="AH1584" t="n">
        <v>52</v>
      </c>
      <c r="AI1584" t="n">
        <v>9</v>
      </c>
      <c r="AJ1584" t="n">
        <v>9</v>
      </c>
      <c r="AK1584" t="n">
        <v>4</v>
      </c>
      <c r="AL1584" t="n">
        <v>34</v>
      </c>
      <c r="AM1584" t="inlineStr">
        <is>
          <t>MDPI</t>
        </is>
      </c>
      <c r="AN1584" t="inlineStr">
        <is>
          <t>BASEL</t>
        </is>
      </c>
      <c r="AO1584" t="inlineStr">
        <is>
          <t>ST ALBAN-ANLAGE 66, CH-4052 BASEL, SWITZERLAND</t>
        </is>
      </c>
      <c r="AQ1584" t="inlineStr">
        <is>
          <t>1660-4601</t>
        </is>
      </c>
      <c r="AS1584" t="inlineStr">
        <is>
          <t>INT J ENV RES PUB HE</t>
        </is>
      </c>
      <c r="AT1584" t="inlineStr">
        <is>
          <t>Int. J. Environ. Res. Public Health</t>
        </is>
      </c>
      <c r="AU1584" t="inlineStr">
        <is>
          <t>DEC</t>
        </is>
      </c>
      <c r="AV1584" t="n">
        <v>2021</v>
      </c>
      <c r="AW1584" t="n">
        <v>18</v>
      </c>
      <c r="AX1584" t="n">
        <v>23</v>
      </c>
      <c r="BE1584" t="n">
        <v>12562</v>
      </c>
      <c r="BF1584" t="inlineStr">
        <is>
          <t>10.3390/ijerph182312562</t>
        </is>
      </c>
      <c r="BG1584">
        <f>HYPERLINK("http://dx.doi.org/10.3390/ijerph182312562","http://dx.doi.org/10.3390/ijerph182312562")</f>
        <v/>
      </c>
      <c r="BJ1584" t="n">
        <v>14</v>
      </c>
      <c r="BK1584" t="inlineStr">
        <is>
          <t>Environmental Sciences; Public, Environmental &amp; Occupational Health</t>
        </is>
      </c>
      <c r="BL1584" t="inlineStr">
        <is>
          <t>Science Citation Index Expanded (SCI-EXPANDED); Social Science Citation Index (SSCI)</t>
        </is>
      </c>
      <c r="BM1584" t="inlineStr">
        <is>
          <t>Environmental Sciences &amp; Ecology; Public, Environmental &amp; Occupational Health</t>
        </is>
      </c>
      <c r="BN1584" t="inlineStr">
        <is>
          <t>XV6MY</t>
        </is>
      </c>
      <c r="BO1584" t="n">
        <v>34886293</v>
      </c>
      <c r="BP1584" t="inlineStr">
        <is>
          <t>Green Published, gold</t>
        </is>
      </c>
      <c r="BS1584" t="inlineStr">
        <is>
          <t>2023-10-26</t>
        </is>
      </c>
      <c r="BT1584" t="inlineStr">
        <is>
          <t>WOS:000735055100001</t>
        </is>
      </c>
      <c r="BU1584">
        <f>HYPERLINK("https%3A%2F%2Fwww.webofscience.com%2Fwos%2Fwoscc%2Ffull-record%2FWOS:000735055100001","View Full Record in Web of Science")</f>
        <v/>
      </c>
    </row>
    <row r="1585">
      <c r="A1585" t="inlineStr">
        <is>
          <t>J</t>
        </is>
      </c>
      <c r="B1585" t="inlineStr">
        <is>
          <t>Tan, JL; Chen, N; Bai, J; Yan, PZ; Ma, XY; Ren, ML; Maitland, E; Nicholas, S; Cheng, WJ; Leng, X; Chen, C; Wang, J</t>
        </is>
      </c>
      <c r="F1585" t="inlineStr">
        <is>
          <t>Tan, Jialong; Chen, Nuo; Bai, Jing; Yan, Peizhe; Ma, Xinyu; Ren, Meiling; Maitland, Elizabeth; Nicholas, Stephen; Cheng, Wenjing; Leng, Xue; Chen, Chen; Wang, Jian</t>
        </is>
      </c>
      <c r="J1585" t="inlineStr">
        <is>
          <t>JOURNAL OF ENVIRONMENTAL MANAGEMENT</t>
        </is>
      </c>
      <c r="M1585" t="inlineStr">
        <is>
          <t>English</t>
        </is>
      </c>
      <c r="N1585" t="inlineStr">
        <is>
          <t>Article</t>
        </is>
      </c>
      <c r="T1585" t="inlineStr">
        <is>
          <t>Ambient air pollution and the health-related quality of life of older adults: Evidence from Shandong China</t>
        </is>
      </c>
      <c r="U1585" t="inlineStr">
        <is>
          <t>Ambient air pollution; Health related quality of life; Older adults; China</t>
        </is>
      </c>
      <c r="V1585" t="inlineStr">
        <is>
          <t>PARTICULATE MATTER; BLOOD-PRESSURE; EXPOSURE; PM2.5; ASSOCIATION; INFLAMMATION; EXPECTANCY; POLLUTANTS; MORTALITY; DISEASE</t>
        </is>
      </c>
      <c r="W1585" t="inlineStr">
        <is>
          <t>Ambient air pollution is a major public health concern impacting all aspects of human health. There is a lack of studies on the impact of ambient air pollution on health-related quality of life (HRQoL) of older Chinese adults. Our study answers two questions: How concentrations of ambient air pollutants are associated with HRQoL among older adults in China and, second, what are the possible mechanisms through which ambient air pollution affects HRQoL. From the 2018 National Health Service Survey, we sampled 5717 aged 65 years or older residents for the eastern province of Shandong, China. Data on individual exposures to PM2.5 and PM10 (particulate matter with diameter less than or equal to 2.5 mu m and 10 mu m) and sulfur dioxide (SO2) were collected from the Chi-naHighAirPollutants (CHAP) datasets. Mixed-effects Tobit regression models and mixed-effects ordered Probit regression models were employed to examine the associations of long-term exposure to ambient air pollution with the European Quality of Life 5 Dimensions 3 Level Version (EQ-5D-3L) scale comprising mobility, self-care, usual activities, pain/discomfort, and anxiety/depression. Socioeconomic, demographic and behavioral factors relating to HRQoL were also examined. The results show that for each 1 mu g/m3 increase, EQ-5D-3L scores fell 0.002 for PM2.5; 0.001 for PM10 and 0.002 for SO2. Long term exposure to PM2.5, PM10 and SO2 were also associated with increased prevalence of pain/discomfort and anxiety/depression. The reduced HRQoL effects of ambient air pollution were exacerbated by higher socioeconomic status (affluent, urban and higher level of education). Our findings suggested that HRQoL of older Chinese adults was not only associated with de-mographic, socioeconomic, and health-related factors, but also negatively correlated with air pollution, espe-cially through increased pain/discomfort and anxiety/depression. The paper proposes policy recommendations.</t>
        </is>
      </c>
      <c r="X1585" t="inlineStr">
        <is>
          <t>[Tan, Jialong; Chen, Nuo; Bai, Jing; Yan, Peizhe; Ren, Meiling; Cheng, Wenjing; Leng, Xue; Wang, Jian] Wuhan Univ, Dong Fureng Inst Econ &amp; Social Dev, Wuhan, Peoples R China; [Ma, Xinyu] Wuhan Univ, Econ &amp; Management Sch, Wuhan, Peoples R China; [Maitland, Elizabeth] Univ Liverpool, Sch Management, Liverpool, England; [Nicholas, Stephen] Australian Natl Inst Management &amp; Commerce, Australian Technol Pk, Sydney, NSW, Australia; [Nicholas, Stephen] Univ Newcastle, Newcastle Business Sch, Newcastle, NSW, Australia; [Chen, Chen] Wuhan Univ, Sch Publ Hlth, Wuhan, Peoples R China; [Wang, Jian] Wuhan Univ, Ctr Hlth Econ &amp; Management, Sch Econ &amp; Management, Wuhan, Peoples R China</t>
        </is>
      </c>
      <c r="Y1585" t="inlineStr">
        <is>
          <t>Wuhan University; Wuhan University; University of Liverpool; University of Newcastle; Wuhan University; Wuhan University</t>
        </is>
      </c>
      <c r="Z1585" t="inlineStr">
        <is>
          <t>Wang, J (corresponding author), Wuhan Univ, Dong Fureng Inst Econ &amp; Social Dev, Wuhan, Peoples R China.;Chen, C (corresponding author), Wuhan Univ, Sch Publ Hlth, Wuhan, Peoples R China.</t>
        </is>
      </c>
      <c r="AA1585" t="inlineStr">
        <is>
          <t>chenchen835@whu.edu.cn; wangjian993@whu.edu.cn</t>
        </is>
      </c>
      <c r="AB1585" t="inlineStr">
        <is>
          <t>NICHOLAS, STEPHEN/ABE-4726-2021</t>
        </is>
      </c>
      <c r="AC1585" t="inlineStr">
        <is>
          <t>Tan, Jialong/0000-0002-4480-8680; Nicholas, Stephen/0000-0001-6770-7105; Yan, PEIZHE/0000-0003-4309-7757</t>
        </is>
      </c>
      <c r="AH1585" t="n">
        <v>78</v>
      </c>
      <c r="AI1585" t="n">
        <v>2</v>
      </c>
      <c r="AJ1585" t="n">
        <v>1</v>
      </c>
      <c r="AK1585" t="n">
        <v>35</v>
      </c>
      <c r="AL1585" t="n">
        <v>42</v>
      </c>
      <c r="AM1585" t="inlineStr">
        <is>
          <t>ACADEMIC PRESS LTD- ELSEVIER SCIENCE LTD</t>
        </is>
      </c>
      <c r="AN1585" t="inlineStr">
        <is>
          <t>LONDON</t>
        </is>
      </c>
      <c r="AO1585" t="inlineStr">
        <is>
          <t>24-28 OVAL RD, LONDON NW1 7DX, ENGLAND</t>
        </is>
      </c>
      <c r="AP1585" t="inlineStr">
        <is>
          <t>0301-4797</t>
        </is>
      </c>
      <c r="AQ1585" t="inlineStr">
        <is>
          <t>1095-8630</t>
        </is>
      </c>
      <c r="AS1585" t="inlineStr">
        <is>
          <t>J ENVIRON MANAGE</t>
        </is>
      </c>
      <c r="AT1585" t="inlineStr">
        <is>
          <t>J. Environ. Manage.</t>
        </is>
      </c>
      <c r="AU1585" t="inlineStr">
        <is>
          <t>JUN 15</t>
        </is>
      </c>
      <c r="AV1585" t="n">
        <v>2023</v>
      </c>
      <c r="AW1585" t="n">
        <v>336</v>
      </c>
      <c r="BE1585" t="n">
        <v>117619</v>
      </c>
      <c r="BF1585" t="inlineStr">
        <is>
          <t>10.1016/j.jenvman.2023.117619</t>
        </is>
      </c>
      <c r="BG1585">
        <f>HYPERLINK("http://dx.doi.org/10.1016/j.jenvman.2023.117619","http://dx.doi.org/10.1016/j.jenvman.2023.117619")</f>
        <v/>
      </c>
      <c r="BI1585" t="inlineStr">
        <is>
          <t>MAR 2023</t>
        </is>
      </c>
      <c r="BJ1585" t="n">
        <v>10</v>
      </c>
      <c r="BK1585" t="inlineStr">
        <is>
          <t>Environmental Sciences</t>
        </is>
      </c>
      <c r="BL1585" t="inlineStr">
        <is>
          <t>Science Citation Index Expanded (SCI-EXPANDED)</t>
        </is>
      </c>
      <c r="BM1585" t="inlineStr">
        <is>
          <t>Environmental Sciences &amp; Ecology</t>
        </is>
      </c>
      <c r="BN1585" t="inlineStr">
        <is>
          <t>A0GS7</t>
        </is>
      </c>
      <c r="BO1585" t="n">
        <v>36924708</v>
      </c>
      <c r="BS1585" t="inlineStr">
        <is>
          <t>2023-10-26</t>
        </is>
      </c>
      <c r="BT1585" t="inlineStr">
        <is>
          <t>WOS:000952003500001</t>
        </is>
      </c>
      <c r="BU1585">
        <f>HYPERLINK("https%3A%2F%2Fwww.webofscience.com%2Fwos%2Fwoscc%2Ffull-record%2FWOS:000952003500001","View Full Record in Web of Science")</f>
        <v/>
      </c>
    </row>
    <row r="1586">
      <c r="A1586" t="inlineStr">
        <is>
          <t>J</t>
        </is>
      </c>
      <c r="B1586" t="inlineStr">
        <is>
          <t>Ho, M; Pullenayegum, E; Burnes, D; Fuller-Thomson, E</t>
        </is>
      </c>
      <c r="F1586" t="inlineStr">
        <is>
          <t>Ho, Mabel; Pullenayegum, Eleanor; Burnes, David; Fuller-Thomson, Esme</t>
        </is>
      </c>
      <c r="J1586" t="inlineStr">
        <is>
          <t>INTERNATIONAL JOURNAL OF ENVIRONMENTAL RESEARCH AND PUBLIC HEALTH</t>
        </is>
      </c>
      <c r="M1586" t="inlineStr">
        <is>
          <t>English</t>
        </is>
      </c>
      <c r="N1586" t="inlineStr">
        <is>
          <t>Article</t>
        </is>
      </c>
      <c r="T1586" t="inlineStr">
        <is>
          <t>Successful Aging among Immigrant and Canadian-Born Older Adults: Findings from the Canadian Longitudinal Study on Aging (CLSA)</t>
        </is>
      </c>
      <c r="U1586" t="inlineStr">
        <is>
          <t>Canadian Longitudinal Study on Aging (CLSA); older adults; immigrants; immigration; successful aging</t>
        </is>
      </c>
      <c r="V1586" t="inlineStr">
        <is>
          <t>DEPRESSIVE SYMPTOMS; SOCIAL GERONTOLOGY; MENTAL-HEALTH; CHINESE; PREDICTORS; TRAJECTORIES; DEFINITIONS; ASSOCIATION; PREVALENCE; CHALLENGES</t>
        </is>
      </c>
      <c r="W1586" t="inlineStr">
        <is>
          <t>Background: Few studies in Canada have focused on the relationship between immigrant status and successful aging. The concept of successful aging used in this study includes the ability to accomplish both activities of daily living (ADLs) and instrumental activities of daily living (IADLs), freedom from mental illness, memory problems and disabling chronic pain, adequate social support and older adults' self-reported happiness and subjective perception of their physical health, mental health and aging process as good. Methods: The present study analyzed the first two waves of data from the comprehensive cohort of the Canadian Longitudinal Study on Aging (CLSA). The sample includes 7651 respondents aged 60+ at time 2, of whom 1446 respondents were immigrants. Bivariate and multivariable binary logistic regression analyses were conducted. Results: Canadian-born older adults had a slightly higher prevalence and age-sex adjusted odds of achieving successful aging than their immigrant counterparts (aOR = 1.18, 95% CI: 1.04, 1.34, p &lt; 0.001). After adjusting for 18 additional factors, immigrant status remained statistically significant (aOR = 1.24, 95% CI: 1.09, 1.41, p &lt; 0.001). Significant baseline factors associated with successful aging among immigrants included being younger, having higher income, being married, not being obese, never smoking, engaging in moderate or strenuous physical activities, not having sleeping problems and being free of heart disease or arthritis. Conclusions: Immigrant older adults had a lower prevalence of successful aging than their Canadian-born peers. Further research could investigate whether policies and interventions supporting older immigrants and promoting a healthy lifestyle enhance older adults achieve successful aging in later life.</t>
        </is>
      </c>
      <c r="X1586" t="inlineStr">
        <is>
          <t>[Ho, Mabel; Burnes, David; Fuller-Thomson, Esme] Univ Toronto, Factor Inwentash Fac Social Work, Toronto, ON M5S 1V4, Canada; [Ho, Mabel; Burnes, David; Fuller-Thomson, Esme] Univ Toronto, Inst Life Course &amp; Aging, Toronto, ON M5S 1V4, Canada; [Pullenayegum, Eleanor] Hosp Sick Children, Res Inst, Child Hlth Evaluat Sci, Toronto, ON M5G 0A4, Canada; [Pullenayegum, Eleanor] Univ Toronto, Dalla Lana Sch Publ Hlth, Toronto, ON M5T 3M7, Canada</t>
        </is>
      </c>
      <c r="Y1586" t="inlineStr">
        <is>
          <t>University of Toronto; University of Toronto; University of Toronto; Hospital for Sick Children (SickKids); University of Toronto</t>
        </is>
      </c>
      <c r="Z1586" t="inlineStr">
        <is>
          <t>Fuller-Thomson, E (corresponding author), Univ Toronto, Factor Inwentash Fac Social Work, Toronto, ON M5S 1V4, Canada.;Fuller-Thomson, E (corresponding author), Univ Toronto, Inst Life Course &amp; Aging, Toronto, ON M5S 1V4, Canada.</t>
        </is>
      </c>
      <c r="AA1586" t="inlineStr">
        <is>
          <t>esme.fuller.thomson@utoronto.ca</t>
        </is>
      </c>
      <c r="AB1586" t="inlineStr">
        <is>
          <t>Pullenayegum, Eleanor/AAT-1712-2020</t>
        </is>
      </c>
      <c r="AC1586" t="inlineStr">
        <is>
          <t>Pullenayegum, Eleanor/0000-0003-4265-1330</t>
        </is>
      </c>
      <c r="AD1586" t="inlineStr">
        <is>
          <t>Government of Canada through the Canadian Institutes of Health Research (CIHR) [LSA 94473]; Canada Foundation</t>
        </is>
      </c>
      <c r="AE1586" t="inlineStr">
        <is>
          <t>Government of Canada through the Canadian Institutes of Health Research (CIHR)(Canadian Institutes of Health Research (CIHR)); Canada Foundation</t>
        </is>
      </c>
      <c r="AF1586" t="inlineStr">
        <is>
          <t>This research was made possible using the data/biospecimens collected by the Canadian Longitudinal Study on Aging (CLSA). Funding for the Canadian Longitudinal Study on Aging (CLSA) is provided by the Government of Canada through the Canadian Institutes of Health Research (CIHR) under grant reference: LSA 94473 and the Canada Foundation for Innovation, as well as the following provinces, Newfoundland, Nova Scotia, Quebec, Ontario, Manitoba, Alberta and British Columbia. This research has been conducted using the CLSA Baseline Comprehensive Dataset version 4.1 and Follow up 1 Comprehensive Dataset version 3.0, under Application ID 1909014. The CLSA is led by Parminder Raina, Christina Wolfson and Susan Kirkland. Mabel Ho, a doctoral student at the University of Toronto, was provided with the CLSA data for free through the CLSA trainee fee waiver. Mabel Ho is deeply grateful to her thesis supervisor Esme Fuller-Thomson for her teaching, guidance and support throughout the study, and is truly thankful to David Burnes and Eleanor Pullenayegum for their help and support. Mabel Ho would also like to thank Karen Davidson and Hongmei Tong for their guidance regarding the creation of the social support and social isolation variables.</t>
        </is>
      </c>
      <c r="AH1586" t="n">
        <v>82</v>
      </c>
      <c r="AI1586" t="n">
        <v>0</v>
      </c>
      <c r="AJ1586" t="n">
        <v>0</v>
      </c>
      <c r="AK1586" t="n">
        <v>2</v>
      </c>
      <c r="AL1586" t="n">
        <v>9</v>
      </c>
      <c r="AM1586" t="inlineStr">
        <is>
          <t>MDPI</t>
        </is>
      </c>
      <c r="AN1586" t="inlineStr">
        <is>
          <t>BASEL</t>
        </is>
      </c>
      <c r="AO1586" t="inlineStr">
        <is>
          <t>ST ALBAN-ANLAGE 66, CH-4052 BASEL, SWITZERLAND</t>
        </is>
      </c>
      <c r="AQ1586" t="inlineStr">
        <is>
          <t>1660-4601</t>
        </is>
      </c>
      <c r="AS1586" t="inlineStr">
        <is>
          <t>INT J ENV RES PUB HE</t>
        </is>
      </c>
      <c r="AT1586" t="inlineStr">
        <is>
          <t>Int. J. Environ. Res. Public Health</t>
        </is>
      </c>
      <c r="AU1586" t="inlineStr">
        <is>
          <t>OCT</t>
        </is>
      </c>
      <c r="AV1586" t="n">
        <v>2022</v>
      </c>
      <c r="AW1586" t="n">
        <v>19</v>
      </c>
      <c r="AX1586" t="n">
        <v>20</v>
      </c>
      <c r="BE1586" t="n">
        <v>13199</v>
      </c>
      <c r="BF1586" t="inlineStr">
        <is>
          <t>10.3390/ijerph192013199</t>
        </is>
      </c>
      <c r="BG1586">
        <f>HYPERLINK("http://dx.doi.org/10.3390/ijerph192013199","http://dx.doi.org/10.3390/ijerph192013199")</f>
        <v/>
      </c>
      <c r="BJ1586" t="n">
        <v>18</v>
      </c>
      <c r="BK1586" t="inlineStr">
        <is>
          <t>Environmental Sciences; Public, Environmental &amp; Occupational Health</t>
        </is>
      </c>
      <c r="BL1586" t="inlineStr">
        <is>
          <t>Science Citation Index Expanded (SCI-EXPANDED); Social Science Citation Index (SSCI)</t>
        </is>
      </c>
      <c r="BM1586" t="inlineStr">
        <is>
          <t>Environmental Sciences &amp; Ecology; Public, Environmental &amp; Occupational Health</t>
        </is>
      </c>
      <c r="BN1586" t="inlineStr">
        <is>
          <t>5P5NW</t>
        </is>
      </c>
      <c r="BO1586" t="n">
        <v>36293780</v>
      </c>
      <c r="BP1586" t="inlineStr">
        <is>
          <t>Green Published, gold</t>
        </is>
      </c>
      <c r="BS1586" t="inlineStr">
        <is>
          <t>2023-10-26</t>
        </is>
      </c>
      <c r="BT1586" t="inlineStr">
        <is>
          <t>WOS:000873198300001</t>
        </is>
      </c>
      <c r="BU1586">
        <f>HYPERLINK("https%3A%2F%2Fwww.webofscience.com%2Fwos%2Fwoscc%2Ffull-record%2FWOS:000873198300001","View Full Record in Web of Science")</f>
        <v/>
      </c>
    </row>
    <row r="1587">
      <c r="A1587" t="inlineStr">
        <is>
          <t>J</t>
        </is>
      </c>
      <c r="B1587" t="inlineStr">
        <is>
          <t>Yang, XL; Wang, ZH; Wang, CH; Lai, YC</t>
        </is>
      </c>
      <c r="F1587" t="inlineStr">
        <is>
          <t>Yang, Xueli; Wang, Zhi-Hua; Wang, Chenghao; Lai, Ying-Cheng</t>
        </is>
      </c>
      <c r="J1587" t="inlineStr">
        <is>
          <t>JOURNAL OF ENVIRONMENTAL MANAGEMENT</t>
        </is>
      </c>
      <c r="M1587" t="inlineStr">
        <is>
          <t>English</t>
        </is>
      </c>
      <c r="N1587" t="inlineStr">
        <is>
          <t>Article</t>
        </is>
      </c>
      <c r="T1587" t="inlineStr">
        <is>
          <t>Detecting the causal influence of thermal environments among climate regions in the United States</t>
        </is>
      </c>
      <c r="U1587" t="inlineStr">
        <is>
          <t>Causality; Complex network; Convergent cross mapping; System dynamics; Thermal environment</t>
        </is>
      </c>
      <c r="V1587" t="inlineStr">
        <is>
          <t>PRECIPITATION; VARIABILITY; DROUGHT</t>
        </is>
      </c>
      <c r="W1587" t="inlineStr">
        <is>
          <t>The quantification of cross-regional interactions for the atmospheric transport processes is of crucial importance to improve the predictive capacity of climatic and environmental system modeling. The dynamic interactions in these complex systems are often nonlinear and non-separable, making conventional approaches of causal inference, such as statistical correlation or Granger causality, infeasible or ineffective. In this study, we applied an advanced approach, based on the convergent cross mapping algorithm, to detect and quantify the causal influence among different climate regions in the contiguous U.S. in response to temperature perturbations using the long-term (1901-2018) climatology of near surface air temperature record. Our results show that the directed causal network constructed by convergent cross mapping algorithm, enables us to distinguish the causal links from spurious ones rendered by statistical correlation. We also find that the Ohio Valley region, as an atmospheric convergent zone, acts as the regional gateway and mediator to the long-term thermal environments in the U.S. In addition, the temporal evolution of dynamic causality of temperature exhibits superposition of periodicities at various time scales, highlighting the impact of prominent low frequency climate variabilities such as El Nin &amp; SIM;o-Southern Oscillation. The proposed method in this work will help to promote novel system-based and data -driven framework in studying the integrated environmental system dynamics.</t>
        </is>
      </c>
      <c r="X1587" t="inlineStr">
        <is>
          <t>[Yang, Xueli; Wang, Zhi-Hua] Arizona State Univ, Sch Sustainable Engn &amp; Built Environm, Tempe, AZ 85287 USA; [Wang, Chenghao] Stanford Univ, Dept Earth Syst Sci, Stanford, CA 94305 USA; [Lai, Ying-Cheng] Arizona State Univ, Sch Elect Comp &amp; Energy Engn, Tempe, AZ 85287 USA; [Lai, Ying-Cheng] Arizona State Univ, Dept Phys, Tempe, AZ 85287 USA</t>
        </is>
      </c>
      <c r="Y1587" t="inlineStr">
        <is>
          <t>Arizona State University; Arizona State University-Tempe; Stanford University; Arizona State University; Arizona State University-Tempe; Arizona State University; Arizona State University-Tempe</t>
        </is>
      </c>
      <c r="Z1587" t="inlineStr">
        <is>
          <t>Wang, ZH (corresponding author), Arizona State Univ, Sch Sustainable Engn &amp; Built Environm, Tempe, AZ 85287 USA.</t>
        </is>
      </c>
      <c r="AA1587" t="inlineStr">
        <is>
          <t>zhwang@asu.edu</t>
        </is>
      </c>
      <c r="AB1587" t="inlineStr">
        <is>
          <t>Wang, Zhi-Hua/A-3391-2008; Wang, Chenghao/O-7961-2017</t>
        </is>
      </c>
      <c r="AC1587" t="inlineStr">
        <is>
          <t>Wang, Zhi-Hua/0000-0001-9155-8605; Wang, Chenghao/0000-0001-8846-4130; Lai, Ying-Cheng/0000-0002-0723-733X; Yang, Xueli/0000-0003-2736-7825</t>
        </is>
      </c>
      <c r="AD1587" t="inlineStr">
        <is>
          <t>U.S. National Science Foundation (NSF) [AGS-1930629, CBET-2028868]; National Aeronautics and Space Administrations (NASA) [80NSSC20K1263]; Of- fice of Naval Research [N00014-21-1-2323]</t>
        </is>
      </c>
      <c r="AE1587" t="inlineStr">
        <is>
          <t>U.S. National Science Foundation (NSF)(National Science Foundation (NSF)); National Aeronautics and Space Administrations (NASA)(National Aeronautics &amp; Space Administration (NASA)); Of- fice of Naval Research(Office of Naval Research)</t>
        </is>
      </c>
      <c r="AF1587" t="inlineStr">
        <is>
          <t>This study is based upon work supported by the U.S. National Science Foundation (NSF) under Grants #AGS-1930629 and CBET-2028868, and the National Aeronautics and Space Administrations (NASA) under Grant No. 80NSSC20K1263. YCL acknowledges the support by the Of- fice of Naval Research under Grant No. N00014-21-1-2323. The authors thank the Associate Editor Dr. Zhiyuan Cong and two anonymous re- viewers for their constructive feedback for improving the quality of the paper.</t>
        </is>
      </c>
      <c r="AH1587" t="n">
        <v>54</v>
      </c>
      <c r="AI1587" t="n">
        <v>6</v>
      </c>
      <c r="AJ1587" t="n">
        <v>6</v>
      </c>
      <c r="AK1587" t="n">
        <v>10</v>
      </c>
      <c r="AL1587" t="n">
        <v>25</v>
      </c>
      <c r="AM1587" t="inlineStr">
        <is>
          <t>ACADEMIC PRESS LTD- ELSEVIER SCIENCE LTD</t>
        </is>
      </c>
      <c r="AN1587" t="inlineStr">
        <is>
          <t>LONDON</t>
        </is>
      </c>
      <c r="AO1587" t="inlineStr">
        <is>
          <t>24-28 OVAL RD, LONDON NW1 7DX, ENGLAND</t>
        </is>
      </c>
      <c r="AP1587" t="inlineStr">
        <is>
          <t>0301-4797</t>
        </is>
      </c>
      <c r="AQ1587" t="inlineStr">
        <is>
          <t>1095-8630</t>
        </is>
      </c>
      <c r="AS1587" t="inlineStr">
        <is>
          <t>J ENVIRON MANAGE</t>
        </is>
      </c>
      <c r="AT1587" t="inlineStr">
        <is>
          <t>J. Environ. Manage.</t>
        </is>
      </c>
      <c r="AU1587" t="inlineStr">
        <is>
          <t>NOV 15</t>
        </is>
      </c>
      <c r="AV1587" t="n">
        <v>2022</v>
      </c>
      <c r="AW1587" t="n">
        <v>322</v>
      </c>
      <c r="BE1587" t="n">
        <v>116001</v>
      </c>
      <c r="BF1587" t="inlineStr">
        <is>
          <t>10.1016/j.jenvman.2022.116001</t>
        </is>
      </c>
      <c r="BG1587">
        <f>HYPERLINK("http://dx.doi.org/10.1016/j.jenvman.2022.116001","http://dx.doi.org/10.1016/j.jenvman.2022.116001")</f>
        <v/>
      </c>
      <c r="BI1587" t="inlineStr">
        <is>
          <t>AUG 2022</t>
        </is>
      </c>
      <c r="BJ1587" t="n">
        <v>9</v>
      </c>
      <c r="BK1587" t="inlineStr">
        <is>
          <t>Environmental Sciences</t>
        </is>
      </c>
      <c r="BL1587" t="inlineStr">
        <is>
          <t>Science Citation Index Expanded (SCI-EXPANDED)</t>
        </is>
      </c>
      <c r="BM1587" t="inlineStr">
        <is>
          <t>Environmental Sciences &amp; Ecology</t>
        </is>
      </c>
      <c r="BN1587" t="inlineStr">
        <is>
          <t>5B0BA</t>
        </is>
      </c>
      <c r="BO1587" t="n">
        <v>36030637</v>
      </c>
      <c r="BP1587" t="inlineStr">
        <is>
          <t>hybrid</t>
        </is>
      </c>
      <c r="BS1587" t="inlineStr">
        <is>
          <t>2023-10-26</t>
        </is>
      </c>
      <c r="BT1587" t="inlineStr">
        <is>
          <t>WOS:000863241000006</t>
        </is>
      </c>
      <c r="BU1587">
        <f>HYPERLINK("https%3A%2F%2Fwww.webofscience.com%2Fwos%2Fwoscc%2Ffull-record%2FWOS:000863241000006","View Full Record in Web of Science")</f>
        <v/>
      </c>
    </row>
    <row r="1588">
      <c r="A1588" t="inlineStr">
        <is>
          <t>J</t>
        </is>
      </c>
      <c r="B1588" t="inlineStr">
        <is>
          <t>Akanni, O; Smith, ML; Ory, MG</t>
        </is>
      </c>
      <c r="F1588" t="inlineStr">
        <is>
          <t>Akanni, Olufolake (Odufuwa); Smith, Matthew Lee; Ory, Marcia G.</t>
        </is>
      </c>
      <c r="J1588" t="inlineStr">
        <is>
          <t>INTERNATIONAL JOURNAL OF ENVIRONMENTAL RESEARCH AND PUBLIC HEALTH</t>
        </is>
      </c>
      <c r="M1588" t="inlineStr">
        <is>
          <t>English</t>
        </is>
      </c>
      <c r="N1588" t="inlineStr">
        <is>
          <t>Article</t>
        </is>
      </c>
      <c r="T1588" t="inlineStr">
        <is>
          <t>Cost-Effectiveness of a Community Exercise and Nutrition Program for Older Adults: Texercise Select</t>
        </is>
      </c>
      <c r="U1588" t="inlineStr">
        <is>
          <t>cost-effectiveness; program dissemination; physical activity; nutrition; Timed Up-and-Go; healthy days; EuroQol</t>
        </is>
      </c>
      <c r="V1588" t="inlineStr">
        <is>
          <t>HEALTH-CARE COSTS; PHYSICAL-ACTIVITY; ENVIRONMENTAL DETERMINANTS; PREVENTION; MOBILITY; FALLS; INTERVENTION; REDUCTION; CANCER; TRIAL</t>
        </is>
      </c>
      <c r="W1588" t="inlineStr">
        <is>
          <t>The wide-spread dissemination of evidence-based programs that can improve health outcomes among older populations often requires an understanding of factors influencing community adoption of such programs. One such program is Texercise Select, a community-based health promotion program previously shown to improve functional health, physical activity, nutritional habits and quality of the life among older adults. This paper assesses the cost-effectiveness of Texercise Select in the context of supportive environments to facilitate its delivery and statewide sustainability. Participants were surveyed using self-reported instruments distributed at program baseline and conclusion. Program costs were based on actual direct costs of program implementation and included costs of recruitment and outreach, personnel costs and participant incentives. Program effectiveness was measured using quality-adjusted life year (QALY) gained, as well as health outcomes, such as healthy days, weekly physical activity and Timed Up-and-Go (TUG) test scores. Preference-based EuroQol (EQ-5D) scores were estimated from the number of healthy days reported by participants and converted into QALYs. There was a significant increase in the number of healthy days (p &lt; 0.05) over the 12-week program. Cost-effectiveness ratios ranged from $1374 to $1452 per QALY gained. The reported cost-effective ratios are well within the common cost-effectiveness threshold of $50,000 for a gained QALY. Some sociodemographic differences were also observed in program impact and cost. Non-Hispanic whites experienced significant improvements in healthy days from baseline to the follow-up period and had higher cost-effectiveness ratios. Results indicate that the Texercise Select program is a cost-effective strategy for increasing physical activity and improving healthy dietary practices among older adults as compared to similar health promotion interventions. In line with the significant improvement in healthy days, physical activity and nutrition-related outcomes among participants, this study supports the use of Texercise Select as an intervention with substantial health and cost benefits.</t>
        </is>
      </c>
      <c r="X1588" t="inlineStr">
        <is>
          <t>[Akanni, Olufolake (Odufuwa)] Univ New Mexico, Dept Econ, Albuquerque, NM 87131 USA; [Smith, Matthew Lee] Univ Georgia, Inst Gerontol, Coll Publ Hlth, Athens, GA 30606 USA; [Smith, Matthew Lee; Ory, Marcia G.] Texas A&amp;M Sch Publ Hlth, Ctr Populat Hlth &amp; Aging, College Stn, TX 77842 USA</t>
        </is>
      </c>
      <c r="Y1588" t="inlineStr">
        <is>
          <t>University of New Mexico; University System of Georgia; University of Georgia; Texas A&amp;M University System; Texas A&amp;M University College Station; Texas A&amp;M Health Science Center</t>
        </is>
      </c>
      <c r="Z1588" t="inlineStr">
        <is>
          <t>Ory, MG (corresponding author), Texas A&amp;M Sch Publ Hlth, Ctr Populat Hlth &amp; Aging, College Stn, TX 77842 USA.</t>
        </is>
      </c>
      <c r="AA1588" t="inlineStr">
        <is>
          <t>folakeodufuwa@gmail.com; health@uga.edu; MOry@sph.tamhsc.edu</t>
        </is>
      </c>
      <c r="AB1588" t="inlineStr">
        <is>
          <t>Ory, Marcia/L-4025-2019</t>
        </is>
      </c>
      <c r="AH1588" t="n">
        <v>62</v>
      </c>
      <c r="AI1588" t="n">
        <v>17</v>
      </c>
      <c r="AJ1588" t="n">
        <v>18</v>
      </c>
      <c r="AK1588" t="n">
        <v>0</v>
      </c>
      <c r="AL1588" t="n">
        <v>12</v>
      </c>
      <c r="AM1588" t="inlineStr">
        <is>
          <t>MDPI</t>
        </is>
      </c>
      <c r="AN1588" t="inlineStr">
        <is>
          <t>BASEL</t>
        </is>
      </c>
      <c r="AO1588" t="inlineStr">
        <is>
          <t>ST ALBAN-ANLAGE 66, CH-4052 BASEL, SWITZERLAND</t>
        </is>
      </c>
      <c r="AQ1588" t="inlineStr">
        <is>
          <t>1660-4601</t>
        </is>
      </c>
      <c r="AS1588" t="inlineStr">
        <is>
          <t>INT J ENV RES PUB HE</t>
        </is>
      </c>
      <c r="AT1588" t="inlineStr">
        <is>
          <t>Int. J. Environ. Res. Public Health</t>
        </is>
      </c>
      <c r="AU1588" t="inlineStr">
        <is>
          <t>MAY</t>
        </is>
      </c>
      <c r="AV1588" t="n">
        <v>2017</v>
      </c>
      <c r="AW1588" t="n">
        <v>14</v>
      </c>
      <c r="AX1588" t="n">
        <v>5</v>
      </c>
      <c r="BE1588" t="n">
        <v>545</v>
      </c>
      <c r="BF1588" t="inlineStr">
        <is>
          <t>10.3390/ijerph14050545</t>
        </is>
      </c>
      <c r="BG1588">
        <f>HYPERLINK("http://dx.doi.org/10.3390/ijerph14050545","http://dx.doi.org/10.3390/ijerph14050545")</f>
        <v/>
      </c>
      <c r="BJ1588" t="n">
        <v>16</v>
      </c>
      <c r="BK1588" t="inlineStr">
        <is>
          <t>Environmental Sciences; Public, Environmental &amp; Occupational Health</t>
        </is>
      </c>
      <c r="BL1588" t="inlineStr">
        <is>
          <t>Science Citation Index Expanded (SCI-EXPANDED); Social Science Citation Index (SSCI)</t>
        </is>
      </c>
      <c r="BM1588" t="inlineStr">
        <is>
          <t>Environmental Sciences &amp; Ecology; Public, Environmental &amp; Occupational Health</t>
        </is>
      </c>
      <c r="BN1588" t="inlineStr">
        <is>
          <t>EY6PT</t>
        </is>
      </c>
      <c r="BO1588" t="n">
        <v>28531094</v>
      </c>
      <c r="BP1588" t="inlineStr">
        <is>
          <t>gold, Green Published, Green Submitted</t>
        </is>
      </c>
      <c r="BS1588" t="inlineStr">
        <is>
          <t>2023-10-26</t>
        </is>
      </c>
      <c r="BT1588" t="inlineStr">
        <is>
          <t>WOS:000404106400092</t>
        </is>
      </c>
      <c r="BU1588">
        <f>HYPERLINK("https%3A%2F%2Fwww.webofscience.com%2Fwos%2Fwoscc%2Ffull-record%2FWOS:000404106400092","View Full Record in Web of Science")</f>
        <v/>
      </c>
    </row>
    <row r="1589">
      <c r="A1589" t="inlineStr">
        <is>
          <t>J</t>
        </is>
      </c>
      <c r="B1589" t="inlineStr">
        <is>
          <t>de Wit, L; Karnaki, P; Dalma, A; Csizmadia, P; Salter, C; de Winter, A; Meijering, L</t>
        </is>
      </c>
      <c r="F1589" t="inlineStr">
        <is>
          <t>de Wit, Liesbeth; Karnaki, Pania; Dalma, Archontoula; Csizmadia, Peter; Salter, Charlotte; de Winter, Andrea; Meijering, Louise</t>
        </is>
      </c>
      <c r="J1589" t="inlineStr">
        <is>
          <t>INTERNATIONAL JOURNAL OF ENVIRONMENTAL RESEARCH AND PUBLIC HEALTH</t>
        </is>
      </c>
      <c r="M1589" t="inlineStr">
        <is>
          <t>English</t>
        </is>
      </c>
      <c r="N1589" t="inlineStr">
        <is>
          <t>Article</t>
        </is>
      </c>
      <c r="T1589" t="inlineStr">
        <is>
          <t>Health Literacy in the Everyday Lives of Older Adults in Greece, Hungary, and the Netherlands</t>
        </is>
      </c>
      <c r="U1589" t="inlineStr">
        <is>
          <t>critical health literacy; lay perspectives; older adults; health care professionals; health care system; qualitative methods</t>
        </is>
      </c>
      <c r="V1589" t="inlineStr">
        <is>
          <t>CARE; CHALLENGE</t>
        </is>
      </c>
      <c r="W1589" t="inlineStr">
        <is>
          <t>Health literacy (HL) encompasses someone's knowledge and abilities to access and use health information in order to make appropriate health decisions in life. HL is particularly valuable in later life when health challenges grow. An individual's HL is typically considered a fixed and skills-based characteristic, without taking into account how these are situated in the context of everyday life. Also, lay perspectives on health literacy are relatively scarce. Therefore, the aim of this article is to explore the context-specific perspectives of older adults and health professionals on HL in later life in Greece, Hungary, and the Netherlands. We adopted a qualitative methodology and conducted 12 focus groups: seven with 50 older adults and five with 30 health professionals to gain insight into individual perspectives on HL as situated in the health care and everyday life contexts. An informed grounded theory approach was used in analyzing the data. The results are structured in three themes: (1) interactions with health professionals, (2) perceived quality of the health care system, and (3) managing health in the context of everyday life. An overarching finding is that, for older adults, HL reflects the demands placed on them when managing their health. In the experience of older adults, these demands are placed upon them by healthcare professionals, the healthcare system, as well as their everyday lives. Our findings underscore the importance of Critical Health Literacy (CHL) as that concept foregrounds that HL is context specific. Also, CHL has been argued to be a community characteristic, which is why we call for community-based approaches to improve HL.</t>
        </is>
      </c>
      <c r="X1589" t="inlineStr">
        <is>
          <t>[de Wit, Liesbeth; Meijering, Louise] Univ Groningen, Populat Res Ctr, Urban &amp; Reg Studies Inst, NL-9700 AD Groningen, Netherlands; [Karnaki, Pania; Dalma, Archontoula] Inst Prevent Med Environm &amp; Occupat Hlth, Athens 15125, Greece; [Csizmadia, Peter] Natl Inst Hlth Dev OEFI, H-1096 Budapest, Hungary; [Salter, Charlotte] Univ East Anglia, Norwich Med Sch, Norwich NR4 6NY, Norfolk, England; [de Winter, Andrea] Univ Groningen, Dept Hlth Sci, Univ Med Ctr Groningen, NL-9700 AD Groningen, Netherlands</t>
        </is>
      </c>
      <c r="Y1589" t="inlineStr">
        <is>
          <t>University of Groningen; University of East Anglia; University of Groningen</t>
        </is>
      </c>
      <c r="Z1589" t="inlineStr">
        <is>
          <t>Meijering, L (corresponding author), Univ Groningen, Populat Res Ctr, Urban &amp; Reg Studies Inst, NL-9700 AD Groningen, Netherlands.</t>
        </is>
      </c>
      <c r="AA1589" t="inlineStr">
        <is>
          <t>liesbeth.s.dewit@gmail.com; p.karnaki@prolepsis.gr; n.dalma@prolepsis.gr; csizmadia.peter@oefi.antsz.hu; c.salter@uea.ac.uk; a.f.de.winter@umcg.nl; l.b.meijering@rug.nl</t>
        </is>
      </c>
      <c r="AB1589" t="inlineStr">
        <is>
          <t>Meijering, Louise/ABB-1464-2020</t>
        </is>
      </c>
      <c r="AC1589" t="inlineStr">
        <is>
          <t>Meijering, Louise/0000-0003-0430-5373</t>
        </is>
      </c>
      <c r="AD1589" t="inlineStr">
        <is>
          <t>European Union [305831]</t>
        </is>
      </c>
      <c r="AE1589" t="inlineStr">
        <is>
          <t>European Union(European Union (EU))</t>
        </is>
      </c>
      <c r="AF1589" t="inlineStr">
        <is>
          <t>This article forms part of the IROHLA (Intervention Research on Health Literacy among Ageing population) project and has received a financial contribution from the European Union through the 7th Framework Programme under Grant Agreement number 305831.</t>
        </is>
      </c>
      <c r="AH1589" t="n">
        <v>42</v>
      </c>
      <c r="AI1589" t="n">
        <v>4</v>
      </c>
      <c r="AJ1589" t="n">
        <v>4</v>
      </c>
      <c r="AK1589" t="n">
        <v>1</v>
      </c>
      <c r="AL1589" t="n">
        <v>5</v>
      </c>
      <c r="AM1589" t="inlineStr">
        <is>
          <t>MDPI</t>
        </is>
      </c>
      <c r="AN1589" t="inlineStr">
        <is>
          <t>BASEL</t>
        </is>
      </c>
      <c r="AO1589" t="inlineStr">
        <is>
          <t>ST ALBAN-ANLAGE 66, CH-4052 BASEL, SWITZERLAND</t>
        </is>
      </c>
      <c r="AQ1589" t="inlineStr">
        <is>
          <t>1660-4601</t>
        </is>
      </c>
      <c r="AS1589" t="inlineStr">
        <is>
          <t>INT J ENV RES PUB HE</t>
        </is>
      </c>
      <c r="AT1589" t="inlineStr">
        <is>
          <t>Int. J. Environ. Res. Public Health</t>
        </is>
      </c>
      <c r="AU1589" t="inlineStr">
        <is>
          <t>APR</t>
        </is>
      </c>
      <c r="AV1589" t="n">
        <v>2020</v>
      </c>
      <c r="AW1589" t="n">
        <v>17</v>
      </c>
      <c r="AX1589" t="n">
        <v>7</v>
      </c>
      <c r="BE1589" t="n">
        <v>2411</v>
      </c>
      <c r="BF1589" t="inlineStr">
        <is>
          <t>10.3390/ijerph17072411</t>
        </is>
      </c>
      <c r="BG1589">
        <f>HYPERLINK("http://dx.doi.org/10.3390/ijerph17072411","http://dx.doi.org/10.3390/ijerph17072411")</f>
        <v/>
      </c>
      <c r="BJ1589" t="n">
        <v>16</v>
      </c>
      <c r="BK1589" t="inlineStr">
        <is>
          <t>Environmental Sciences; Public, Environmental &amp; Occupational Health</t>
        </is>
      </c>
      <c r="BL1589" t="inlineStr">
        <is>
          <t>Science Citation Index Expanded (SCI-EXPANDED); Social Science Citation Index (SSCI)</t>
        </is>
      </c>
      <c r="BM1589" t="inlineStr">
        <is>
          <t>Environmental Sciences &amp; Ecology; Public, Environmental &amp; Occupational Health</t>
        </is>
      </c>
      <c r="BN1589" t="inlineStr">
        <is>
          <t>LK3LI</t>
        </is>
      </c>
      <c r="BO1589" t="n">
        <v>32252281</v>
      </c>
      <c r="BP1589" t="inlineStr">
        <is>
          <t>Green Published, gold, Green Accepted</t>
        </is>
      </c>
      <c r="BS1589" t="inlineStr">
        <is>
          <t>2023-10-26</t>
        </is>
      </c>
      <c r="BT1589" t="inlineStr">
        <is>
          <t>WOS:000530763300243</t>
        </is>
      </c>
      <c r="BU1589">
        <f>HYPERLINK("https%3A%2F%2Fwww.webofscience.com%2Fwos%2Fwoscc%2Ffull-record%2FWOS:000530763300243","View Full Record in Web of Science")</f>
        <v/>
      </c>
    </row>
    <row r="1590">
      <c r="A1590" t="inlineStr">
        <is>
          <t>J</t>
        </is>
      </c>
      <c r="B1590" t="inlineStr">
        <is>
          <t>Jang, HY; Ko, Y; Han, SY</t>
        </is>
      </c>
      <c r="F1590" t="inlineStr">
        <is>
          <t>Jang, Hye-Young; Ko, Young; Han, Song-Yi</t>
        </is>
      </c>
      <c r="J1590" t="inlineStr">
        <is>
          <t>INTERNATIONAL JOURNAL OF ENVIRONMENTAL RESEARCH AND PUBLIC HEALTH</t>
        </is>
      </c>
      <c r="M1590" t="inlineStr">
        <is>
          <t>English</t>
        </is>
      </c>
      <c r="N1590" t="inlineStr">
        <is>
          <t>Article</t>
        </is>
      </c>
      <c r="T1590" t="inlineStr">
        <is>
          <t>The Effects of Social Networks of the Older Adults with Limited Instrumental Activities of Daily Living on Unmet Medical Needs</t>
        </is>
      </c>
      <c r="U1590" t="inlineStr">
        <is>
          <t>older adults; social networks; instrumental activities of daily living; unmet medical needs</t>
        </is>
      </c>
      <c r="V1590" t="inlineStr">
        <is>
          <t>HEALTH-CARE NEEDS; ADOLESCENTS</t>
        </is>
      </c>
      <c r="W1590" t="inlineStr">
        <is>
          <t>This study was conducted to identify the effects of social networks on unmet medical needs among older adults with limited instrumental activities of daily living (IADL) who live in a community. This study analyzed data from 2281 older adults with limited IADL from the 2017 National Survey of Older Koreans. Data were analyzed using descriptive statistics, X2 tests, t-tests, and logistic regression analysis. About 73.0% of the subjects were female and 15.8% of the subjects had experienced unmet medical needs. The predictors of unmet medical needs according to gender are as follows: annual household income, participation in social activities, and physical support for male subjects and annual household income, number of chronic diseases, living alone in a household, living with others in a household, frequency of contacting close friends, and emotional support for female subjects. The findings of this study will be utilized as a basis for establishing relevant measures to enable older adults to receive proper medical services by heightening the understanding of the gap between medical service use and the medical needs of older adults with limited IADL.</t>
        </is>
      </c>
      <c r="X1590" t="inlineStr">
        <is>
          <t>[Jang, Hye-Young] Hanyang Univ, Coll Nursing, Seoul 04763, South Korea; [Ko, Young] Gachon Univ, Coll Nursing, Incheon 21936, South Korea; [Han, Song-Yi] Sunmoon Univ, Dept Nursing Sci, Asan 31460, South Korea</t>
        </is>
      </c>
      <c r="Y1590" t="inlineStr">
        <is>
          <t>Hanyang University; Gachon University; Sun Moon University</t>
        </is>
      </c>
      <c r="Z1590" t="inlineStr">
        <is>
          <t>Han, SY (corresponding author), Sunmoon Univ, Dept Nursing Sci, Asan 31460, South Korea.</t>
        </is>
      </c>
      <c r="AA1590" t="inlineStr">
        <is>
          <t>white0108@hanyang.ac.kr; moodory@gmail.com; syhan@sunmoon.ac.kr</t>
        </is>
      </c>
      <c r="AB1590" t="inlineStr">
        <is>
          <t>ko, young/ABE-8258-2021</t>
        </is>
      </c>
      <c r="AC1590" t="inlineStr">
        <is>
          <t>Ko, Young/0000-0003-2708-8543</t>
        </is>
      </c>
      <c r="AH1590" t="n">
        <v>32</v>
      </c>
      <c r="AI1590" t="n">
        <v>5</v>
      </c>
      <c r="AJ1590" t="n">
        <v>5</v>
      </c>
      <c r="AK1590" t="n">
        <v>1</v>
      </c>
      <c r="AL1590" t="n">
        <v>9</v>
      </c>
      <c r="AM1590" t="inlineStr">
        <is>
          <t>MDPI</t>
        </is>
      </c>
      <c r="AN1590" t="inlineStr">
        <is>
          <t>BASEL</t>
        </is>
      </c>
      <c r="AO1590" t="inlineStr">
        <is>
          <t>ST ALBAN-ANLAGE 66, CH-4052 BASEL, SWITZERLAND</t>
        </is>
      </c>
      <c r="AQ1590" t="inlineStr">
        <is>
          <t>1660-4601</t>
        </is>
      </c>
      <c r="AS1590" t="inlineStr">
        <is>
          <t>INT J ENV RES PUB HE</t>
        </is>
      </c>
      <c r="AT1590" t="inlineStr">
        <is>
          <t>Int. J. Environ. Res. Public Health</t>
        </is>
      </c>
      <c r="AU1590" t="inlineStr">
        <is>
          <t>JAN</t>
        </is>
      </c>
      <c r="AV1590" t="n">
        <v>2021</v>
      </c>
      <c r="AW1590" t="n">
        <v>18</v>
      </c>
      <c r="AX1590" t="n">
        <v>1</v>
      </c>
      <c r="BE1590" t="n">
        <v>27</v>
      </c>
      <c r="BF1590" t="inlineStr">
        <is>
          <t>10.3390/ijerph18010027</t>
        </is>
      </c>
      <c r="BG1590">
        <f>HYPERLINK("http://dx.doi.org/10.3390/ijerph18010027","http://dx.doi.org/10.3390/ijerph18010027")</f>
        <v/>
      </c>
      <c r="BJ1590" t="n">
        <v>10</v>
      </c>
      <c r="BK1590" t="inlineStr">
        <is>
          <t>Environmental Sciences; Public, Environmental &amp; Occupational Health</t>
        </is>
      </c>
      <c r="BL1590" t="inlineStr">
        <is>
          <t>Science Citation Index Expanded (SCI-EXPANDED); Social Science Citation Index (SSCI)</t>
        </is>
      </c>
      <c r="BM1590" t="inlineStr">
        <is>
          <t>Environmental Sciences &amp; Ecology; Public, Environmental &amp; Occupational Health</t>
        </is>
      </c>
      <c r="BN1590" t="inlineStr">
        <is>
          <t>PP7OO</t>
        </is>
      </c>
      <c r="BO1590" t="n">
        <v>33374511</v>
      </c>
      <c r="BP1590" t="inlineStr">
        <is>
          <t>Green Published, gold</t>
        </is>
      </c>
      <c r="BS1590" t="inlineStr">
        <is>
          <t>2023-10-26</t>
        </is>
      </c>
      <c r="BT1590" t="inlineStr">
        <is>
          <t>WOS:000606047800001</t>
        </is>
      </c>
      <c r="BU1590">
        <f>HYPERLINK("https%3A%2F%2Fwww.webofscience.com%2Fwos%2Fwoscc%2Ffull-record%2FWOS:000606047800001","View Full Record in Web of Science")</f>
        <v/>
      </c>
    </row>
    <row r="1591">
      <c r="A1591" t="inlineStr">
        <is>
          <t>J</t>
        </is>
      </c>
      <c r="B1591" t="inlineStr">
        <is>
          <t>Quezada, HC; Martínez-Salazar, C; Fuentealba-Urra, S; Hernández-Mosqueira, C; Garcés, NA; Rodríguez-Rodríguez, F; Concha-Cisternas, Y; Molina-Sotomayor, E</t>
        </is>
      </c>
      <c r="F1591" t="inlineStr">
        <is>
          <t>Castillo Quezada, Humberto; Martinez-Salazar, Cristian; Fuentealba-Urra, Sergio; Hernandez-Mosqueira, Claudio; Araneda Garces, Nelson; Rodriguez-Rodriguez, Fernando; Concha-Cisternas, Yeny; Molina-Sotomayor, Edgardo</t>
        </is>
      </c>
      <c r="J1591" t="inlineStr">
        <is>
          <t>INTERNATIONAL JOURNAL OF ENVIRONMENTAL RESEARCH AND PUBLIC HEALTH</t>
        </is>
      </c>
      <c r="M1591" t="inlineStr">
        <is>
          <t>English</t>
        </is>
      </c>
      <c r="N1591" t="inlineStr">
        <is>
          <t>Article</t>
        </is>
      </c>
      <c r="T1591" t="inlineStr">
        <is>
          <t>Effects of Two Physical Training Programs on the Cognitive Status of a Group of Older Adults in Chile</t>
        </is>
      </c>
      <c r="U1591" t="inlineStr">
        <is>
          <t>older adult; aerobic capacity; muscular strength; cognitive state</t>
        </is>
      </c>
      <c r="W1591" t="inlineStr">
        <is>
          <t>Introduction: The effect of two physical training methods on older adults should be investigated in greater depth and its results shared with the community. Objective: To determine the effects of two types of physical training on the functional features associated with the cognitive state and the effect on a physiological mediator of growth hormone (IGF-1) in older women. Material and Methods: Quasi-experimental study that included 12 weeks of training in two groups divided into resistance and aerobic training. The study included a population of 113 women aged 69.39 +/- 6.48 years from Talcahuano, Chile. All participants were randomly assigned to either group. The MINIMENTAL test was used to examine the executive functions of cognitive state and blood concentration of IGF-1, which was also used to examine neurotrophic factors. For the assessment of physical condition, an indirect test was used for the maximum mass displaced in one repetition (1RM) by the limbs and the TM6 test to estimate maximal oxygen consumption. Results: Significant differences between the groups with respect to the total score obtained in the MINIMENTAL test (EG1 = 28.13 +/- 2.26; EG2 = 28.57 +/- 1.83 and CG = 23.47 +/- 2.80; ANOVA; p = 0.000) were observed. A post hoc analysis revealed no significant differences when examining executive functions individually between groups (Bonferroni; p &gt; 0.05). An increase in the neurotrophic factor IGF-1 was also recorded in the training groups (EG1 p = 0.014 and EG2 p = 0.005). The pre- and post-test showed large differences in magnitude in the resistance training group (ES = 0.9; 20.41% change). Conclusion: Both workouts produce an overall improvement in the functions associated with cognitive status and increase blood concentrations of IGF-1 in older adults.</t>
        </is>
      </c>
      <c r="X1591" t="inlineStr">
        <is>
          <t>[Castillo Quezada, Humberto; Fuentealba-Urra, Sergio] Univ Andres Bello, Carrera Educac Fis, Fac Educ &amp; Ciencias Sociales, Concepcion 4030000, Chile; [Martinez-Salazar, Cristian; Hernandez-Mosqueira, Claudio] Univ La Frontera, Fac Educ &amp; Ciencias Sociales &amp; Humanidades, Pedagogia Educ Fis, Dept Educ Fis Deportes &amp; Recreac, Temuco 4780000, Chile; [Araneda Garces, Nelson] Univ La Frontera, Fac Educ &amp; Ciencias Sociales &amp; Humanidades, Dept Educ, Temuco 4780000, Chile; [Rodriguez-Rodriguez, Fernando] Pontificia Univ Catolica Valparaiso, Sch Phys Educ, IRyS Res Grp, Valparaiso 2374631, Chile; [Concha-Cisternas, Yeny] Univ Santo Tomas, Fac Salud, Escuela Kinesiol, Santiago 7750000, Chile; [Concha-Cisternas, Yeny] Univ Autonoma Chile, Fac Educ, Pedag Educ Fis, Santiago 7750000, Chile; [Molina-Sotomayor, Edgardo] Univ Metropolitana Ciencias Educ, Dept Educ Fis, Pedagogia Educ Fis, Santiago 7750000, Chile</t>
        </is>
      </c>
      <c r="Y1591" t="inlineStr">
        <is>
          <t>Universidad Andres Bello; Universidad de La Frontera; Universidad de La Frontera; Pontificia Universidad Catolica de Valparaiso; Universidad Santo Tomas; Universidad Autonoma de Chile; Universidad Metropolitana de Ciencias de la Educacion (UMCE)</t>
        </is>
      </c>
      <c r="Z1591" t="inlineStr">
        <is>
          <t>Martínez-Salazar, C (corresponding author), Univ La Frontera, Fac Educ &amp; Ciencias Sociales &amp; Humanidades, Pedagogia Educ Fis, Dept Educ Fis Deportes &amp; Recreac, Temuco 4780000, Chile.</t>
        </is>
      </c>
      <c r="AA1591" t="inlineStr">
        <is>
          <t>humberto.castillo@unab.cl; cristian.martinez.s@ufrontera.cl; sergio.fuentealba@unab.cl; claudiomarcelo.hernandez@ufrontera.cl; nelson.araneda@ufrontera.cl; fernando.rodriguez@pucv.cl; yenyf.concha@gmail.com; edgardo.molina@umce.cl</t>
        </is>
      </c>
      <c r="AB1591" t="inlineStr">
        <is>
          <t>Molina-Sotomayor, Edgardo/A-2195-2019; MOSQUEIRA, CLAUDIO HERNÁNDEZ/J-4488-2015; Fuentealba-Urra, Sergio/ABF-8977-2021; RODRIGUEZ, FERNANDO/F-2842-2016</t>
        </is>
      </c>
      <c r="AC1591" t="inlineStr">
        <is>
          <t>Molina-Sotomayor, Edgardo/0000-0002-0362-6960; MOSQUEIRA, CLAUDIO HERNÁNDEZ/0000-0001-9392-2319; RODRIGUEZ, FERNANDO/0000-0002-4999-4857; Fuentealba Urra, Sergio Alejandro/0000-0003-3679-7384</t>
        </is>
      </c>
      <c r="AH1591" t="n">
        <v>41</v>
      </c>
      <c r="AI1591" t="n">
        <v>1</v>
      </c>
      <c r="AJ1591" t="n">
        <v>1</v>
      </c>
      <c r="AK1591" t="n">
        <v>0</v>
      </c>
      <c r="AL1591" t="n">
        <v>4</v>
      </c>
      <c r="AM1591" t="inlineStr">
        <is>
          <t>MDPI</t>
        </is>
      </c>
      <c r="AN1591" t="inlineStr">
        <is>
          <t>BASEL</t>
        </is>
      </c>
      <c r="AO1591" t="inlineStr">
        <is>
          <t>ST ALBAN-ANLAGE 66, CH-4052 BASEL, SWITZERLAND</t>
        </is>
      </c>
      <c r="AQ1591" t="inlineStr">
        <is>
          <t>1660-4601</t>
        </is>
      </c>
      <c r="AS1591" t="inlineStr">
        <is>
          <t>INT J ENV RES PUB HE</t>
        </is>
      </c>
      <c r="AT1591" t="inlineStr">
        <is>
          <t>Int. J. Environ. Res. Public Health</t>
        </is>
      </c>
      <c r="AU1591" t="inlineStr">
        <is>
          <t>APR</t>
        </is>
      </c>
      <c r="AV1591" t="n">
        <v>2021</v>
      </c>
      <c r="AW1591" t="n">
        <v>18</v>
      </c>
      <c r="AX1591" t="n">
        <v>8</v>
      </c>
      <c r="BE1591" t="n">
        <v>4186</v>
      </c>
      <c r="BF1591" t="inlineStr">
        <is>
          <t>10.3390/ijerph18084186</t>
        </is>
      </c>
      <c r="BG1591">
        <f>HYPERLINK("http://dx.doi.org/10.3390/ijerph18084186","http://dx.doi.org/10.3390/ijerph18084186")</f>
        <v/>
      </c>
      <c r="BJ1591" t="n">
        <v>9</v>
      </c>
      <c r="BK1591" t="inlineStr">
        <is>
          <t>Environmental Sciences; Public, Environmental &amp; Occupational Health</t>
        </is>
      </c>
      <c r="BL1591" t="inlineStr">
        <is>
          <t>Science Citation Index Expanded (SCI-EXPANDED); Social Science Citation Index (SSCI)</t>
        </is>
      </c>
      <c r="BM1591" t="inlineStr">
        <is>
          <t>Environmental Sciences &amp; Ecology; Public, Environmental &amp; Occupational Health</t>
        </is>
      </c>
      <c r="BN1591" t="inlineStr">
        <is>
          <t>RT0CO</t>
        </is>
      </c>
      <c r="BO1591" t="n">
        <v>33920935</v>
      </c>
      <c r="BP1591" t="inlineStr">
        <is>
          <t>Green Published, gold</t>
        </is>
      </c>
      <c r="BS1591" t="inlineStr">
        <is>
          <t>2023-10-26</t>
        </is>
      </c>
      <c r="BT1591" t="inlineStr">
        <is>
          <t>WOS:000644136900001</t>
        </is>
      </c>
      <c r="BU1591">
        <f>HYPERLINK("https%3A%2F%2Fwww.webofscience.com%2Fwos%2Fwoscc%2Ffull-record%2FWOS:000644136900001","View Full Record in Web of Science")</f>
        <v/>
      </c>
    </row>
    <row r="1592">
      <c r="A1592" t="inlineStr">
        <is>
          <t>J</t>
        </is>
      </c>
      <c r="B1592" t="inlineStr">
        <is>
          <t>Tiitu, M; Viinikka, A; Ojanen, M; Saarikoski, H</t>
        </is>
      </c>
      <c r="F1592" t="inlineStr">
        <is>
          <t>Tiitu, Maija; Viinikka, Arto; Ojanen, Maria; Saarikoski, Heli</t>
        </is>
      </c>
      <c r="J1592" t="inlineStr">
        <is>
          <t>ENVIRONMENTAL SCIENCE &amp; POLICY</t>
        </is>
      </c>
      <c r="M1592" t="inlineStr">
        <is>
          <t>English</t>
        </is>
      </c>
      <c r="N1592" t="inlineStr">
        <is>
          <t>Article</t>
        </is>
      </c>
      <c r="T1592" t="inlineStr">
        <is>
          <t>Transcending sectoral boundaries? Discovering built-environment indicators through knowledge co-production for enhanced planning for well-being in Finnish cities</t>
        </is>
      </c>
      <c r="U1592" t="inlineStr">
        <is>
          <t>Cities; Well-being; Built environment; Spatial multi-criteria analysis; Knowledge co-production</t>
        </is>
      </c>
      <c r="V1592" t="inlineStr">
        <is>
          <t>MULTICRITERIA DECISION-ANALYSIS; ECOSYSTEM SERVICES; SUPPORT; HEALTH; POLICY; SPACE; GOVERNANCE; SCIENCE; QUALITY; WATER</t>
        </is>
      </c>
      <c r="W1592" t="inlineStr">
        <is>
          <t>Worldwide urbanisation emphasises the importance of planning for cities that sustain and promote the wellbeing of their residents. The planning of a living environment that supports well-being requires both intersectoral cooperation between policy sectors and interaction between researchers and practitioners. With 12 case studies (of 11 Finnish municipalities and one city region), we provide a description of a knowledge co-production process originating from the use of a new planning-support tool called StrateGIS that can be used for discovering built-environment indicators for integrated planning for well-being. Based on spatial multi-criteria analysis, we also investigate how the tool fostered intersectoral discussion among practitioners during the process. Practitioner knowledge was merged with scientific knowledge at different stages of the process: in structuring the value tree, in setting the objectives, in selecting the criteria and in defining the spatial representation for each criterion. Intersectoral discussion during the process was seen as fruitful and relatively easy despite the different types of expertise present in the workshops. Based on our results, the local experts specialised in spatial data have an intermediary role between practitioners since they can build understanding of how data is translated into spatial information when using a spatial planning-support tool.</t>
        </is>
      </c>
      <c r="X1592" t="inlineStr">
        <is>
          <t>[Tiitu, Maija; Viinikka, Arto; Ojanen, Maria; Saarikoski, Heli] Finnish Environm Inst SYKE, Latokartanonkaari 11, Helsinki 00790, Finland</t>
        </is>
      </c>
      <c r="Y1592" t="inlineStr">
        <is>
          <t>Finnish Environment Institute</t>
        </is>
      </c>
      <c r="Z1592" t="inlineStr">
        <is>
          <t>Tiitu, M (corresponding author), Latokartanonkaari 11, Helsinki 00790, Finland.</t>
        </is>
      </c>
      <c r="AA1592" t="inlineStr">
        <is>
          <t>maija.tiitu@syke.fi; arto.viinikka@syke.fi; maria.ojanen@syke.fi; heli.saarikoski@syke.fi</t>
        </is>
      </c>
      <c r="AB1592" t="inlineStr">
        <is>
          <t>Tiitu, Maija/AAE-2497-2021</t>
        </is>
      </c>
      <c r="AC1592" t="inlineStr">
        <is>
          <t>Tiitu, Maija/0000-0003-4759-4670; Ojanen, Maria/0000-0003-2916-2348; Viinikka, Arto/0000-0001-7905-0446</t>
        </is>
      </c>
      <c r="AD1592" t="inlineStr">
        <is>
          <t>Ministry of Social Affairs and Health; Finnish Environment Institute; Strategic Research Council (SRC) at Academy of Finland (STYLE) [320402]; Ministry of the Environment (Lahioohjelma); Academy of Finland (AKA) [320402, 320402] Funding Source: Academy of Finland (AKA)</t>
        </is>
      </c>
      <c r="AE1592" t="inlineStr">
        <is>
          <t>Ministry of Social Affairs and Health; Finnish Environment Institute; Strategic Research Council (SRC) at Academy of Finland (STYLE); Ministry of the Environment (Lahioohjelma); Academy of Finland (AKA)(Research Council of Finland)</t>
        </is>
      </c>
      <c r="AF1592" t="inlineStr">
        <is>
          <t>The authors would like to thank the project manager Heli Suuronen from Tampere City Region for contributing to the literature review and helping organise the workshops. We also thank all the participating practitioners for the fruitful cooperation in testing the StrateGIS tool in the HYMY project funded by the Ministry of Social Affairs and Health. Writing of this article has been funded by the Finnish Environment Institute, by the Strategic Research Council (SRC) at Academy of Finland (STYLE, project number 320402), and by Ministry of the Environment (Lahioohjelma) for the project 'Spatial information and residents' experiences for development of comfortable living environments (HYVIO). We thank our colleague Hanna Nieminen for documenting the workshop discussions and Riikka Paloniemi for providing constructive feedback on the manuscript. Finally, we acknowledge the support by our colleagues at the Environmental Policy Centre during the writing this article.</t>
        </is>
      </c>
      <c r="AH1592" t="n">
        <v>60</v>
      </c>
      <c r="AI1592" t="n">
        <v>2</v>
      </c>
      <c r="AJ1592" t="n">
        <v>2</v>
      </c>
      <c r="AK1592" t="n">
        <v>0</v>
      </c>
      <c r="AL1592" t="n">
        <v>9</v>
      </c>
      <c r="AM1592" t="inlineStr">
        <is>
          <t>ELSEVIER SCI LTD</t>
        </is>
      </c>
      <c r="AN1592" t="inlineStr">
        <is>
          <t>OXFORD</t>
        </is>
      </c>
      <c r="AO1592" t="inlineStr">
        <is>
          <t>THE BOULEVARD, LANGFORD LANE, KIDLINGTON, OXFORD OX5 1GB, OXON, ENGLAND</t>
        </is>
      </c>
      <c r="AP1592" t="inlineStr">
        <is>
          <t>1462-9011</t>
        </is>
      </c>
      <c r="AQ1592" t="inlineStr">
        <is>
          <t>1873-6416</t>
        </is>
      </c>
      <c r="AS1592" t="inlineStr">
        <is>
          <t>ENVIRON SCI POLICY</t>
        </is>
      </c>
      <c r="AT1592" t="inlineStr">
        <is>
          <t>Environ. Sci. Policy</t>
        </is>
      </c>
      <c r="AU1592" t="inlineStr">
        <is>
          <t>DEC</t>
        </is>
      </c>
      <c r="AV1592" t="n">
        <v>2021</v>
      </c>
      <c r="AW1592" t="n">
        <v>126</v>
      </c>
      <c r="BC1592" t="n">
        <v>177</v>
      </c>
      <c r="BD1592" t="n">
        <v>188</v>
      </c>
      <c r="BF1592" t="inlineStr">
        <is>
          <t>10.1016/j.envsci.2021.09.028</t>
        </is>
      </c>
      <c r="BG1592">
        <f>HYPERLINK("http://dx.doi.org/10.1016/j.envsci.2021.09.028","http://dx.doi.org/10.1016/j.envsci.2021.09.028")</f>
        <v/>
      </c>
      <c r="BI1592" t="inlineStr">
        <is>
          <t>OCT 2021</t>
        </is>
      </c>
      <c r="BJ1592" t="n">
        <v>12</v>
      </c>
      <c r="BK1592" t="inlineStr">
        <is>
          <t>Environmental Sciences</t>
        </is>
      </c>
      <c r="BL1592" t="inlineStr">
        <is>
          <t>Science Citation Index Expanded (SCI-EXPANDED)</t>
        </is>
      </c>
      <c r="BM1592" t="inlineStr">
        <is>
          <t>Environmental Sciences &amp; Ecology</t>
        </is>
      </c>
      <c r="BN1592" t="inlineStr">
        <is>
          <t>WJ0RE</t>
        </is>
      </c>
      <c r="BP1592" t="inlineStr">
        <is>
          <t>hybrid, Green Published</t>
        </is>
      </c>
      <c r="BS1592" t="inlineStr">
        <is>
          <t>2023-10-26</t>
        </is>
      </c>
      <c r="BT1592" t="inlineStr">
        <is>
          <t>WOS:000708757200005</t>
        </is>
      </c>
      <c r="BU1592">
        <f>HYPERLINK("https%3A%2F%2Fwww.webofscience.com%2Fwos%2Fwoscc%2Ffull-record%2FWOS:000708757200005","View Full Record in Web of Science")</f>
        <v/>
      </c>
    </row>
    <row r="1593">
      <c r="A1593" t="inlineStr">
        <is>
          <t>J</t>
        </is>
      </c>
      <c r="B1593" t="inlineStr">
        <is>
          <t>Le Gal, C; Dale, MJ; Cargo, M; Daniel, M</t>
        </is>
      </c>
      <c r="F1593" t="inlineStr">
        <is>
          <t>Le Gal, Camille; Dale, Michael J.; Cargo, Margaret; Daniel, Mark</t>
        </is>
      </c>
      <c r="J1593" t="inlineStr">
        <is>
          <t>INTERNATIONAL JOURNAL OF ENVIRONMENTAL RESEARCH AND PUBLIC HEALTH</t>
        </is>
      </c>
      <c r="M1593" t="inlineStr">
        <is>
          <t>English</t>
        </is>
      </c>
      <c r="N1593" t="inlineStr">
        <is>
          <t>Article</t>
        </is>
      </c>
      <c r="T1593" t="inlineStr">
        <is>
          <t>Built Environments and Cardiometabolic Morbidity and Mortality in Remote Indigenous Communities in the Northern Territory, Australia</t>
        </is>
      </c>
      <c r="U1593" t="inlineStr">
        <is>
          <t>epidemiology; built environment; Indigenous health; mortality; morbidity; cardiometabolic disease; remote</t>
        </is>
      </c>
      <c r="V1593" t="inlineStr">
        <is>
          <t>HEALTH; RISK; IMPACTS; PEOPLES; COUNTRY; DISEASE; PLACE</t>
        </is>
      </c>
      <c r="W1593" t="inlineStr">
        <is>
          <t>The health of Indigenous Australians is dramatically poorer than that of the non-Indigenous population. Amelioration of these differences has proven difficult. In part, this is attributable to a conceptualisation which approaches health disparities from the perspective of individual-level health behaviours, less so the environmental conditions that shape collective health behaviours. This ecological study investigated associations between the built environment and cardiometabolic mortality and morbidity in 123 remote Indigenous communities representing 104 Indigenous locations (ILOC) as defined by the Australian Bureau of Statistics. The presence of infrastructure and/or community buildings was used to create a cumulative exposure score (CES). Records of cardiometabolic-related deaths and health service interactions for the period 2010-2015 were sourced from government department records. A quasi-Poisson regression model was used to assess the associations between built environment healthfulness (CES, dichotomised) and cardiometabolic-related outcomes. Low relative to high CES was associated with greater rates of cardiometabolic-related morbidity for two of three morbidity measures (relative risk (RR) 2.41-2.54). Cardiometabolic-related mortality was markedly greater (RR 4.56, 95% confidence interval (CI), 1.74-11.93) for low-CES ILOCs. A lesser extent of healthful building types and infrastructure is associated with greater cardiometabolic-related morbidity and mortality in remote Indigenous locations. Attention to environments stands to improve remote Indigenous health.</t>
        </is>
      </c>
      <c r="X1593" t="inlineStr">
        <is>
          <t>[Le Gal, Camille] Univ Bordeaux, Inst Sante Publ Epidemiol &amp; Dev, F-33000 Bordeaux, France; [Dale, Michael J.; Cargo, Margaret; Daniel, Mark] Univ Canberra, Hlth Res Inst, Bruce, ACT 2617, Australia; [Daniel, Mark] Univ Melbourne, St Vincents Hosp, Dept Med, Fitzroy, Vic 3065, Australia</t>
        </is>
      </c>
      <c r="Y1593" t="inlineStr">
        <is>
          <t>UDICE-French Research Universities; Universite de Bordeaux; University of Canberra; St Vincent's Hospital Melbourne; University of Melbourne</t>
        </is>
      </c>
      <c r="Z1593" t="inlineStr">
        <is>
          <t>Daniel, M (corresponding author), Univ Canberra, Hlth Res Inst, Bruce, ACT 2617, Australia.;Daniel, M (corresponding author), Univ Melbourne, St Vincents Hosp, Dept Med, Fitzroy, Vic 3065, Australia.</t>
        </is>
      </c>
      <c r="AA1593" t="inlineStr">
        <is>
          <t>camille_legal@yahoo.fr; michael.dale@canberra.edu.au; margaret.cargo@canberra.edu.au; mark.daniel@canberra.edu.au</t>
        </is>
      </c>
      <c r="AB1593" t="inlineStr">
        <is>
          <t>Dale, Michael/K-9820-2019</t>
        </is>
      </c>
      <c r="AC1593" t="inlineStr">
        <is>
          <t>Dale, Michael/0000-0003-4285-1842; Daniel, Mark/0000-0001-9112-134X</t>
        </is>
      </c>
      <c r="AD1593" t="inlineStr">
        <is>
          <t>Australian National Health and Medical Research Council (NHMRC) [GNT1051824]</t>
        </is>
      </c>
      <c r="AE1593" t="inlineStr">
        <is>
          <t>Australian National Health and Medical Research Council (NHMRC)(National Health and Medical Research Council (NHMRC) of Australia)</t>
        </is>
      </c>
      <c r="AF1593" t="inlineStr">
        <is>
          <t>This research was funded by an Australian National Health and Medical Research Council (NHMRC) project grant (GNT1051824).</t>
        </is>
      </c>
      <c r="AH1593" t="n">
        <v>46</v>
      </c>
      <c r="AI1593" t="n">
        <v>6</v>
      </c>
      <c r="AJ1593" t="n">
        <v>6</v>
      </c>
      <c r="AK1593" t="n">
        <v>1</v>
      </c>
      <c r="AL1593" t="n">
        <v>9</v>
      </c>
      <c r="AM1593" t="inlineStr">
        <is>
          <t>MDPI</t>
        </is>
      </c>
      <c r="AN1593" t="inlineStr">
        <is>
          <t>BASEL</t>
        </is>
      </c>
      <c r="AO1593" t="inlineStr">
        <is>
          <t>ST ALBAN-ANLAGE 66, CH-4052 BASEL, SWITZERLAND</t>
        </is>
      </c>
      <c r="AQ1593" t="inlineStr">
        <is>
          <t>1660-4601</t>
        </is>
      </c>
      <c r="AS1593" t="inlineStr">
        <is>
          <t>INT J ENV RES PUB HE</t>
        </is>
      </c>
      <c r="AT1593" t="inlineStr">
        <is>
          <t>Int. J. Environ. Res. Public Health</t>
        </is>
      </c>
      <c r="AU1593" t="inlineStr">
        <is>
          <t>FEB 1</t>
        </is>
      </c>
      <c r="AV1593" t="n">
        <v>2020</v>
      </c>
      <c r="AW1593" t="n">
        <v>17</v>
      </c>
      <c r="AX1593" t="n">
        <v>3</v>
      </c>
      <c r="BE1593" t="n">
        <v>769</v>
      </c>
      <c r="BF1593" t="inlineStr">
        <is>
          <t>10.3390/ijerph17030769</t>
        </is>
      </c>
      <c r="BG1593">
        <f>HYPERLINK("http://dx.doi.org/10.3390/ijerph17030769","http://dx.doi.org/10.3390/ijerph17030769")</f>
        <v/>
      </c>
      <c r="BJ1593" t="n">
        <v>9</v>
      </c>
      <c r="BK1593" t="inlineStr">
        <is>
          <t>Environmental Sciences; Public, Environmental &amp; Occupational Health</t>
        </is>
      </c>
      <c r="BL1593" t="inlineStr">
        <is>
          <t>Science Citation Index Expanded (SCI-EXPANDED); Social Science Citation Index (SSCI)</t>
        </is>
      </c>
      <c r="BM1593" t="inlineStr">
        <is>
          <t>Environmental Sciences &amp; Ecology; Public, Environmental &amp; Occupational Health</t>
        </is>
      </c>
      <c r="BN1593" t="inlineStr">
        <is>
          <t>KR7GF</t>
        </is>
      </c>
      <c r="BO1593" t="n">
        <v>31991842</v>
      </c>
      <c r="BP1593" t="inlineStr">
        <is>
          <t>Green Published, gold</t>
        </is>
      </c>
      <c r="BS1593" t="inlineStr">
        <is>
          <t>2023-10-26</t>
        </is>
      </c>
      <c r="BT1593" t="inlineStr">
        <is>
          <t>WOS:000517783300094</t>
        </is>
      </c>
      <c r="BU1593">
        <f>HYPERLINK("https%3A%2F%2Fwww.webofscience.com%2Fwos%2Fwoscc%2Ffull-record%2FWOS:000517783300094","View Full Record in Web of Science")</f>
        <v/>
      </c>
    </row>
    <row r="1594">
      <c r="A1594" t="inlineStr">
        <is>
          <t>J</t>
        </is>
      </c>
      <c r="B1594" t="inlineStr">
        <is>
          <t>Roy, S; Bose, A; Majumder, S; Chowdhury, IR; Abdo, HG; Almohamad, H; Al Dughairi, AA</t>
        </is>
      </c>
      <c r="F1594" t="inlineStr">
        <is>
          <t>Roy, Subham; Bose, Arghadeep; Majumder, Suranjan; Roy Chowdhury, Indrajit; Abdo, Hazem Ghassan; Almohamad, Hussein; Abdullah Al Dughairi, Ahmed</t>
        </is>
      </c>
      <c r="J1594" t="inlineStr">
        <is>
          <t>GEOCARTO INTERNATIONAL</t>
        </is>
      </c>
      <c r="M1594" t="inlineStr">
        <is>
          <t>English</t>
        </is>
      </c>
      <c r="N1594" t="inlineStr">
        <is>
          <t>Article; Early Access</t>
        </is>
      </c>
      <c r="T1594" t="inlineStr">
        <is>
          <t>Evaluating urban environment quality (UEQ) for Class-I Indian city: an integrated RS-GIS based exploratory spatial analysis</t>
        </is>
      </c>
      <c r="U1594" t="inlineStr">
        <is>
          <t>Urban environment quality; remote sensing; GIS; exploratory spatial data analysis; LISA</t>
        </is>
      </c>
      <c r="V1594" t="inlineStr">
        <is>
          <t>LAND-SURFACE TEMPERATURE; URBANIZATION; CITIES; INDEX; PERFORMANCE; MULTICOLLINEARITY; REGRESSION; CHALLENGES; RETRIEVAL; IMPACTS</t>
        </is>
      </c>
      <c r="W1594" t="inlineStr">
        <is>
          <t>Urban environmental quality consisting of ecological, physical, and socio-economic components, often deteriorates due to rapid urbanization. Therefore, using Remote sensing and GIS environment, a composite measure is applied to quantify the spatial heterogeneity of urban environmental quality for the Class-1 Indian city (Siliguri). In this study, the Urban Environmental Quality Index was constructed using 15 indicators and three interconnected dimensions (eco-environment, landscape and built-up, and socio-economy). The three domains and Urban Environmental Quality Index were computed utilizing Principal Component Analysis with average aggregation techniques. Exploratory Spatial Data Analysis includes Moran's I and Local indicator of spatial auto-correlation, were used to leverage the information of spatial clusters, spatial heterogeneity, and outliers based on the Urban Environmental Quality Index. The results show that Siliguri's northern, north-western, and southern parts experience good environmental quality. The effectiveness of the employed model was checked using R-2 (0.832), providing a good fit for the model. Moreover, the spatial pattern of urban environmental quality and the constructed domains (except socio-economy) revealed that the Low-Low values were predominantly clustered in the city centre, while High-High patterns are concentrated towards the periphery. Also, the value of Moran's I indicated the existence of spatial autocorrelation and non-randomness pattern in Siliguri City. The results obtained from the analysis indicate spatial heterogeneity and spatial differentiation across the study area. The study's outcome is relevant for urban planning, frequent monitoring of urban environmental quality, urban governance, and the well-being of urban inhabitants for a sustainable urban space.</t>
        </is>
      </c>
      <c r="X1594" t="inlineStr">
        <is>
          <t>[Roy, Subham; Bose, Arghadeep; Majumder, Suranjan; Roy Chowdhury, Indrajit] Univ North Bengal, Dept Geog &amp; Appl Geog, Siliguri, West Bengal, India; [Abdo, Hazem Ghassan] Univ Tartous, Fac Arts &amp; Humanities, Geog Dept, Tartous, Syria; [Abdo, Hazem Ghassan] Univ Damascus, Fac Arts &amp; Humanities, Geog Dept, Damascus, Syria; [Abdo, Hazem Ghassan] Univ Tishreen, Fac Arts &amp; Humanities, Geog Dept, Latakia, Syria; [Almohamad, Hussein; Abdullah Al Dughairi, Ahmed] Qassim Univ, Coll Arab Language &amp; Social Studies, Dept Geog, Buraydah, Saudi Arabia</t>
        </is>
      </c>
      <c r="Y1594" t="inlineStr">
        <is>
          <t>University of North Bengal; Qassim University</t>
        </is>
      </c>
      <c r="Z1594" t="inlineStr">
        <is>
          <t>Abdo, HG (corresponding author), Univ Tartous, Fac Arts &amp; Humanities, Geog Dept, Tartous, Syria.;Abdo, HG (corresponding author), Univ Damascus, Fac Arts &amp; Humanities, Geog Dept, Damascus, Syria.;Abdo, HG (corresponding author), Univ Tishreen, Fac Arts &amp; Humanities, Geog Dept, Latakia, Syria.</t>
        </is>
      </c>
      <c r="AA1594" t="inlineStr">
        <is>
          <t>hazemabdo@tartous-univ.edu.sy</t>
        </is>
      </c>
      <c r="AB1594" t="inlineStr">
        <is>
          <t>Roy Chowdhury, Indrajit/HME-1342-2023; MAJUMDER, SURANJAN/HLP-9620-2023; Almohamad, Hussein/CAI-1039-2022; BOSE, ARGHADEEP/AAT-2766-2021; Roy, Subham/AAR-3881-2020; Abdo, Hazem Ghassan/Z-3481-2019</t>
        </is>
      </c>
      <c r="AC1594" t="inlineStr">
        <is>
          <t>Almohamad, Hussein/0000-0001-8887-915X; BOSE, ARGHADEEP/0000-0002-3284-4633; Roy, Subham/0000-0003-1685-3860; Abdo, Hazem Ghassan/0000-0001-9283-3947; Majumder, Suranjan/0000-0002-1394-0742</t>
        </is>
      </c>
      <c r="AH1594" t="n">
        <v>142</v>
      </c>
      <c r="AI1594" t="n">
        <v>11</v>
      </c>
      <c r="AJ1594" t="n">
        <v>11</v>
      </c>
      <c r="AK1594" t="n">
        <v>3</v>
      </c>
      <c r="AL1594" t="n">
        <v>13</v>
      </c>
      <c r="AM1594" t="inlineStr">
        <is>
          <t>TAYLOR &amp; FRANCIS LTD</t>
        </is>
      </c>
      <c r="AN1594" t="inlineStr">
        <is>
          <t>ABINGDON</t>
        </is>
      </c>
      <c r="AO1594" t="inlineStr">
        <is>
          <t>2-4 PARK SQUARE, MILTON PARK, ABINGDON OR14 4RN, OXON, ENGLAND</t>
        </is>
      </c>
      <c r="AP1594" t="inlineStr">
        <is>
          <t>1010-6049</t>
        </is>
      </c>
      <c r="AQ1594" t="inlineStr">
        <is>
          <t>1752-0762</t>
        </is>
      </c>
      <c r="AS1594" t="inlineStr">
        <is>
          <t>GEOCARTO INT</t>
        </is>
      </c>
      <c r="AT1594" t="inlineStr">
        <is>
          <t>Geocarto Int.</t>
        </is>
      </c>
      <c r="AU1594" t="inlineStr">
        <is>
          <t>2022 NOV 30</t>
        </is>
      </c>
      <c r="AV1594" t="n">
        <v>2022</v>
      </c>
      <c r="BF1594" t="inlineStr">
        <is>
          <t>10.1080/10106049.2022.2153932</t>
        </is>
      </c>
      <c r="BG1594">
        <f>HYPERLINK("http://dx.doi.org/10.1080/10106049.2022.2153932","http://dx.doi.org/10.1080/10106049.2022.2153932")</f>
        <v/>
      </c>
      <c r="BI1594" t="inlineStr">
        <is>
          <t>NOV 2022</t>
        </is>
      </c>
      <c r="BJ1594" t="n">
        <v>34</v>
      </c>
      <c r="BK1594" t="inlineStr">
        <is>
          <t>Environmental Sciences; Geosciences, Multidisciplinary; Remote Sensing; Imaging Science &amp; Photographic Technology</t>
        </is>
      </c>
      <c r="BL1594" t="inlineStr">
        <is>
          <t>Science Citation Index Expanded (SCI-EXPANDED)</t>
        </is>
      </c>
      <c r="BM1594" t="inlineStr">
        <is>
          <t>Environmental Sciences &amp; Ecology; Geology; Remote Sensing; Imaging Science &amp; Photographic Technology</t>
        </is>
      </c>
      <c r="BN1594" t="inlineStr">
        <is>
          <t>6Y1SZ</t>
        </is>
      </c>
      <c r="BP1594" t="inlineStr">
        <is>
          <t>hybrid</t>
        </is>
      </c>
      <c r="BS1594" t="inlineStr">
        <is>
          <t>2023-10-26</t>
        </is>
      </c>
      <c r="BT1594" t="inlineStr">
        <is>
          <t>WOS:000896883500001</t>
        </is>
      </c>
      <c r="BU1594">
        <f>HYPERLINK("https%3A%2F%2Fwww.webofscience.com%2Fwos%2Fwoscc%2Ffull-record%2FWOS:000896883500001","View Full Record in Web of Science")</f>
        <v/>
      </c>
    </row>
    <row r="1595">
      <c r="A1595" t="inlineStr">
        <is>
          <t>J</t>
        </is>
      </c>
      <c r="B1595" t="inlineStr">
        <is>
          <t>Yoshida, Y; Iwasa, H; Kim, H; Suzuki, T</t>
        </is>
      </c>
      <c r="F1595" t="inlineStr">
        <is>
          <t>Yoshida, Yuko; Iwasa, Hajime; Kim, Hunkyung; Suzuki, Takao</t>
        </is>
      </c>
      <c r="J1595" t="inlineStr">
        <is>
          <t>INTERNATIONAL JOURNAL OF ENVIRONMENTAL RESEARCH AND PUBLIC HEALTH</t>
        </is>
      </c>
      <c r="M1595" t="inlineStr">
        <is>
          <t>English</t>
        </is>
      </c>
      <c r="N1595" t="inlineStr">
        <is>
          <t>Article</t>
        </is>
      </c>
      <c r="T1595" t="inlineStr">
        <is>
          <t>Association between Neutrophil-to-Lymphocyte Ratio and Physical Function in Older Adults: A Community-Based Cross-Sectional Study in Japan</t>
        </is>
      </c>
      <c r="U1595" t="inlineStr">
        <is>
          <t>physical function; neutrophil-to-lymphocyte ratio; community-dwelling older adults</t>
        </is>
      </c>
      <c r="V1595" t="inlineStr">
        <is>
          <t>SERUM-ALBUMIN; INFLAMMATORY MARKERS; DEPRESSIVE SYMPTOMS; MUSCLE STRENGTH; PERFORMANCE; DECLINE; COUNT; WOMEN; FALLS</t>
        </is>
      </c>
      <c r="W1595" t="inlineStr">
        <is>
          <t>Inflammatory responses contribute to physical decline in older adults. Clinical studies have shown that the neutrophil-to-lymphocyte ratio (NLR), a marker of inflammation, is associated with physical decline. However, its association with physical function in community-dwelling older people is still unclear. Hence, we used cross-sectional data to investigate the relationship between NLR and physical function in community-dwelling older adults. Specifically, we analyzed data corresponding to 818 individuals (336 men and 482 women) aged &gt;= 75 years, all of whom participated in comprehensive health examinations, including face-to-face interviews, biochemical analyses, and physical function tests. Using these data, we performed multivariable logistic regression analysis to assess the relationship between NLR and physical function, adjusting for sex, age, education, alcohol consumption, smoking, instrumental activity of daily living, body mass index, chronic disease, physical activity, serum albumin level, and depressive mood. The results showed that a higher NLR was associated with a lower grip strength, lower knee extension strength, and slower walking speed. Importantly, the relationship between NLR and physical function was maintained after adjusting for the confounding factors. Thus, we showed a significant association between NLR and physical function, supporting the use of NLR as a marker of physical function in community-dwelling older adults.</t>
        </is>
      </c>
      <c r="X1595" t="inlineStr">
        <is>
          <t>[Yoshida, Yuko; Iwasa, Hajime; Kim, Hunkyung; Suzuki, Takao] Tokyo Metropolitan Inst Gerontol, Tokyo 1730015, Japan; [Iwasa, Hajime] Fukushima Med Univ, Sch Med, Dept Publ Hlth, Fukushima 9601295, Japan; [Suzuki, Takao] JF Oberlin Univ, Inst Gerontol, Tokyo 1940294, Japan; [Suzuki, Takao] Natl Ctr Geriatr &amp; Gerontol, Obu 4748511, Japan</t>
        </is>
      </c>
      <c r="Y1595" t="inlineStr">
        <is>
          <t>Tokyo Metropolitan Institute of Gerontology; Fukushima Medical University; National Center for Geriatrics &amp; Gerontology</t>
        </is>
      </c>
      <c r="Z1595" t="inlineStr">
        <is>
          <t>Yoshida, Y (corresponding author), Tokyo Metropolitan Inst Gerontol, Tokyo 1730015, Japan.</t>
        </is>
      </c>
      <c r="AA1595" t="inlineStr">
        <is>
          <t>yossy@tmig.or.jp; hajimei@fmu.ac.jp; kimhk@tmig.or.jp; anant501@obirin.ac.jp</t>
        </is>
      </c>
      <c r="AB1595" t="inlineStr">
        <is>
          <t>Iwasa, Hajime/AFQ-6399-2022</t>
        </is>
      </c>
      <c r="AC1595" t="inlineStr">
        <is>
          <t>Iwasa, Hajime/0000-0003-2680-7366</t>
        </is>
      </c>
      <c r="AD1595" t="inlineStr">
        <is>
          <t>Tokyo Metropolitan Institute of Gerontology; JSPS KAKENHI [20K11327]</t>
        </is>
      </c>
      <c r="AE1595" t="inlineStr">
        <is>
          <t>Tokyo Metropolitan Institute of Gerontology; JSPS KAKENHI(Ministry of Education, Culture, Sports, Science and Technology, Japan (MEXT)Japan Society for the Promotion of ScienceGrants-in-Aid for Scientific Research (KAKENHI))</t>
        </is>
      </c>
      <c r="AF1595" t="inlineStr">
        <is>
          <t>This study was funded by a grant from the Tokyo Metropolitan Institute of Gerontology and JSPS KAKENHI (grant number 20K11327).</t>
        </is>
      </c>
      <c r="AH1595" t="n">
        <v>37</v>
      </c>
      <c r="AI1595" t="n">
        <v>1</v>
      </c>
      <c r="AJ1595" t="n">
        <v>1</v>
      </c>
      <c r="AK1595" t="n">
        <v>2</v>
      </c>
      <c r="AL1595" t="n">
        <v>2</v>
      </c>
      <c r="AM1595" t="inlineStr">
        <is>
          <t>MDPI</t>
        </is>
      </c>
      <c r="AN1595" t="inlineStr">
        <is>
          <t>BASEL</t>
        </is>
      </c>
      <c r="AO1595" t="inlineStr">
        <is>
          <t>ST ALBAN-ANLAGE 66, CH-4052 BASEL, SWITZERLAND</t>
        </is>
      </c>
      <c r="AQ1595" t="inlineStr">
        <is>
          <t>1660-4601</t>
        </is>
      </c>
      <c r="AS1595" t="inlineStr">
        <is>
          <t>INT J ENV RES PUB HE</t>
        </is>
      </c>
      <c r="AT1595" t="inlineStr">
        <is>
          <t>Int. J. Environ. Res. Public Health</t>
        </is>
      </c>
      <c r="AU1595" t="inlineStr">
        <is>
          <t>AUG</t>
        </is>
      </c>
      <c r="AV1595" t="n">
        <v>2022</v>
      </c>
      <c r="AW1595" t="n">
        <v>19</v>
      </c>
      <c r="AX1595" t="n">
        <v>15</v>
      </c>
      <c r="BE1595" t="n">
        <v>8996</v>
      </c>
      <c r="BF1595" t="inlineStr">
        <is>
          <t>10.3390/ijerph19158996</t>
        </is>
      </c>
      <c r="BG1595">
        <f>HYPERLINK("http://dx.doi.org/10.3390/ijerph19158996","http://dx.doi.org/10.3390/ijerph19158996")</f>
        <v/>
      </c>
      <c r="BJ1595" t="n">
        <v>10</v>
      </c>
      <c r="BK1595" t="inlineStr">
        <is>
          <t>Environmental Sciences; Public, Environmental &amp; Occupational Health</t>
        </is>
      </c>
      <c r="BL1595" t="inlineStr">
        <is>
          <t>Science Citation Index Expanded (SCI-EXPANDED); Social Science Citation Index (SSCI)</t>
        </is>
      </c>
      <c r="BM1595" t="inlineStr">
        <is>
          <t>Environmental Sciences &amp; Ecology; Public, Environmental &amp; Occupational Health</t>
        </is>
      </c>
      <c r="BN1595" t="inlineStr">
        <is>
          <t>3T3QB</t>
        </is>
      </c>
      <c r="BO1595" t="n">
        <v>35897367</v>
      </c>
      <c r="BP1595" t="inlineStr">
        <is>
          <t>gold, Green Published</t>
        </is>
      </c>
      <c r="BS1595" t="inlineStr">
        <is>
          <t>2023-10-26</t>
        </is>
      </c>
      <c r="BT1595" t="inlineStr">
        <is>
          <t>WOS:000840192100001</t>
        </is>
      </c>
      <c r="BU1595">
        <f>HYPERLINK("https%3A%2F%2Fwww.webofscience.com%2Fwos%2Fwoscc%2Ffull-record%2FWOS:000840192100001","View Full Record in Web of Science")</f>
        <v/>
      </c>
    </row>
    <row r="1596">
      <c r="A1596" t="inlineStr">
        <is>
          <t>J</t>
        </is>
      </c>
      <c r="B1596" t="inlineStr">
        <is>
          <t>Wang, FH; Liang, QQ; Sun, MQ; Ma, YX; Lin, LS; Li, TY; Duan, JC; Sun, ZW</t>
        </is>
      </c>
      <c r="F1596" t="inlineStr">
        <is>
          <t>Wang, Fenghong; Liang, Qingqing; Sun, Mengqi; Ma, Yuexiao; Lin, Lisen; Li, Tianyu; Duan, Junchao; Sun, Zhiwei</t>
        </is>
      </c>
      <c r="J1596" t="inlineStr">
        <is>
          <t>CHEMOSPHERE</t>
        </is>
      </c>
      <c r="M1596" t="inlineStr">
        <is>
          <t>English</t>
        </is>
      </c>
      <c r="N1596" t="inlineStr">
        <is>
          <t>Review</t>
        </is>
      </c>
      <c r="T1596" t="inlineStr">
        <is>
          <t>The relationship between exposure to PM2.5 and heart rate variability in older adults: A systematic review and meta-analysis</t>
        </is>
      </c>
      <c r="U1596" t="inlineStr">
        <is>
          <t>PM2.5; heart rate variability; cardiac autonomic system; older adults</t>
        </is>
      </c>
      <c r="V1596" t="inlineStr">
        <is>
          <t>PARTICULATE AIR-POLLUTION; CARDIAC AUTONOMIC FUNCTION; CORONARY-ARTERY-DISEASE; FINE PARTICULATE; CARDIOVASCULAR HEALTH; AMBIENT ULTRAFINE; ACCUMULATION-MODE; CARBON-MONOXIDE; TERM EXPOSURE; MATTER</t>
        </is>
      </c>
      <c r="W1596" t="inlineStr">
        <is>
          <t>Ambient air pollution is recognized as a major threat to those with cardiovascular disease (CVD), especially among old adults within this high risk group. Heart rate variability (HRV) is a marker of cardiac autonomic system, which links air pollution and CVD. However, the relationship between PM and HRV has been inconsistently reported. To investigate the associations of PM2.5 and HRV in old adults whose average age was 55 years old or above, we conducted a meta-analysis of nineteen longitudinal studies including nine short-term and ten long-term studies. In the short-term exposure group, per 10 mu g/m(3) increase of PM2.5 was associated with decreases in the time-domain measurements, for SDNN -0.39% (95% CI: -0.72%, -0.06%) and for RMSSD -1.20% (95% CI: -2.17%, -0.23%) and in frequency-domain measurements, for LF -2.31% (95% CI: -3.85%, -0.77%) and for HF -1.87% (95% CI: -3.45%, -0.29%); In the long-term exposure group, per 10 mu g/m(3) increase of PM2.5 was associated with decreases in the time-domain measurements, for SDNN -0.92% (95% CI: -2.14%, 0.31%) and for RMSSD -1.96% (95% CI: -3.48%, -0.44%) and in frequency-domain measurements, for LF -2.78% (95% CI: -4.02%, -1.55%) and for HF -1.61% (95% CI: -4.02%, 0.80%). Exposure to PM2.5 is associated with decreased indicators of HRV in older adults suggesting an affected cardiac autonomic system upon exposure, which may explain the association between PM2.5 and risk of CVD in older adults. Long-term exposure to PM2.5 was more strongly associated with indicators of HRV than short-term exposure. (C) 2020 Elsevier Ltd. All rights reserved.</t>
        </is>
      </c>
      <c r="X1596" t="inlineStr">
        <is>
          <t>[Wang, Fenghong; Liang, Qingqing; Sun, Mengqi; Ma, Yuexiao; Lin, Lisen; Li, Tianyu; Duan, Junchao; Sun, Zhiwei] Capital Med Univ, Sch Publ Hlth, Dept Toxicol &amp; Sanit Chem, Beijing 100069, Peoples R China; [Wang, Fenghong; Liang, Qingqing; Sun, Mengqi; Ma, Yuexiao; Lin, Lisen; Li, Tianyu; Duan, Junchao; Sun, Zhiwei] Capital Med Univ, Beijing Key Lab Environm Toxicol, Beijing 100069, Peoples R China</t>
        </is>
      </c>
      <c r="Y1596" t="inlineStr">
        <is>
          <t>Capital Medical University; Capital Medical University</t>
        </is>
      </c>
      <c r="Z1596" t="inlineStr">
        <is>
          <t>Duan, JC; Sun, ZW (corresponding author), Capital Med Univ, Sch Publ Hlth, Beijing 100069, Peoples R China.</t>
        </is>
      </c>
      <c r="AA1596" t="inlineStr">
        <is>
          <t>jcduan@ccmu.edu.cn; zwsun@ccmu.edu.cn</t>
        </is>
      </c>
      <c r="AD1596" t="inlineStr">
        <is>
          <t>National Key Research and Development Program of China [2017YFC0211600, 2017YFC0211602, 2017YFC0211606]; National Natural and Science Foundation of China [91943301]</t>
        </is>
      </c>
      <c r="AE1596" t="inlineStr">
        <is>
          <t>National Key Research and Development Program of China; National Natural and Science Foundation of China(National Natural Science Foundation of China (NSFC))</t>
        </is>
      </c>
      <c r="AF1596" t="inlineStr">
        <is>
          <t>This work was supported by National Key Research and Development Program of China (2017YFC0211600, 2017YFC0211602, 2017YFC0211606) and National Natural and Science Foundation of China (91943301).</t>
        </is>
      </c>
      <c r="AH1596" t="n">
        <v>64</v>
      </c>
      <c r="AI1596" t="n">
        <v>12</v>
      </c>
      <c r="AJ1596" t="n">
        <v>12</v>
      </c>
      <c r="AK1596" t="n">
        <v>1</v>
      </c>
      <c r="AL1596" t="n">
        <v>18</v>
      </c>
      <c r="AM1596" t="inlineStr">
        <is>
          <t>PERGAMON-ELSEVIER SCIENCE LTD</t>
        </is>
      </c>
      <c r="AN1596" t="inlineStr">
        <is>
          <t>OXFORD</t>
        </is>
      </c>
      <c r="AO1596" t="inlineStr">
        <is>
          <t>THE BOULEVARD, LANGFORD LANE, KIDLINGTON, OXFORD OX5 1GB, ENGLAND</t>
        </is>
      </c>
      <c r="AP1596" t="inlineStr">
        <is>
          <t>0045-6535</t>
        </is>
      </c>
      <c r="AQ1596" t="inlineStr">
        <is>
          <t>1879-1298</t>
        </is>
      </c>
      <c r="AS1596" t="inlineStr">
        <is>
          <t>CHEMOSPHERE</t>
        </is>
      </c>
      <c r="AT1596" t="inlineStr">
        <is>
          <t>Chemosphere</t>
        </is>
      </c>
      <c r="AU1596" t="inlineStr">
        <is>
          <t>DEC</t>
        </is>
      </c>
      <c r="AV1596" t="n">
        <v>2020</v>
      </c>
      <c r="AW1596" t="n">
        <v>261</v>
      </c>
      <c r="BE1596" t="n">
        <v>127635</v>
      </c>
      <c r="BF1596" t="inlineStr">
        <is>
          <t>10.1016/j.chemosphere.2020.127635</t>
        </is>
      </c>
      <c r="BG1596">
        <f>HYPERLINK("http://dx.doi.org/10.1016/j.chemosphere.2020.127635","http://dx.doi.org/10.1016/j.chemosphere.2020.127635")</f>
        <v/>
      </c>
      <c r="BJ1596" t="n">
        <v>14</v>
      </c>
      <c r="BK1596" t="inlineStr">
        <is>
          <t>Environmental Sciences</t>
        </is>
      </c>
      <c r="BL1596" t="inlineStr">
        <is>
          <t>Science Citation Index Expanded (SCI-EXPANDED)</t>
        </is>
      </c>
      <c r="BM1596" t="inlineStr">
        <is>
          <t>Environmental Sciences &amp; Ecology</t>
        </is>
      </c>
      <c r="BN1596" t="inlineStr">
        <is>
          <t>OF2FO</t>
        </is>
      </c>
      <c r="BO1596" t="n">
        <v>32768749</v>
      </c>
      <c r="BS1596" t="inlineStr">
        <is>
          <t>2023-10-26</t>
        </is>
      </c>
      <c r="BT1596" t="inlineStr">
        <is>
          <t>WOS:000581030700018</t>
        </is>
      </c>
      <c r="BU1596">
        <f>HYPERLINK("https%3A%2F%2Fwww.webofscience.com%2Fwos%2Fwoscc%2Ffull-record%2FWOS:000581030700018","View Full Record in Web of Science")</f>
        <v/>
      </c>
    </row>
    <row r="1597">
      <c r="A1597" t="inlineStr">
        <is>
          <t>J</t>
        </is>
      </c>
      <c r="B1597" t="inlineStr">
        <is>
          <t>Qiao, M; Li, H; Peng, S</t>
        </is>
      </c>
      <c r="F1597" t="inlineStr">
        <is>
          <t>Qiao, Man; Li, Hong; Peng, Shuai</t>
        </is>
      </c>
      <c r="J1597" t="inlineStr">
        <is>
          <t>FRESENIUS ENVIRONMENTAL BULLETIN</t>
        </is>
      </c>
      <c r="M1597" t="inlineStr">
        <is>
          <t>English</t>
        </is>
      </c>
      <c r="N1597" t="inlineStr">
        <is>
          <t>Article</t>
        </is>
      </c>
      <c r="T1597" t="inlineStr">
        <is>
          <t>RESEARCH ON THE INTEGRATED DEVELOPMENT STRATEGY OF SPORTS EVENTS AND ECO-TOURISM INDUSTRY UNDER RURAL ECOLOGICAL ENVIRONMENT PROTECTION</t>
        </is>
      </c>
      <c r="U1597" t="inlineStr">
        <is>
          <t>Ecological environment protection; eco-tourism industry; integrated development; research strategy; brand image; rural ecosystem</t>
        </is>
      </c>
      <c r="W1597" t="inlineStr">
        <is>
          <t>The concept of ecological environment protection has been widely recognized by people. Good ecological environment is the most important part of building rural ecosystem, especially beneficial to people to carry out daily physical exercises. At present, people's pursuit of tourism has gradually developed into experiential tourism, and sports tourism has gradually become a new direction of eco-tourism development. Research on the integration of sports events and eco-tourism industry can promote the healthy development of eco-tourism industry. Firstly, this paper analyzes the current situation of eco-tourism industry, including brand image and popularity, discusses the dilemma of eco-tourism industry development, puts forward some strategic suggestions to promote the development of eco-tourism industry, and introduces participatory sports events eco-tourism development model and RMP analysis model, so as to promote the integration development of sports events and eco-tourism industry. The results show that: the integration of sports events and eco-tourism is an inevitable trend to promote the development of local ecological economy, which not only makes the growth rate of tourist arrivals reach 23%, but also improves the satisfaction of tourists' experience and brings great significance to the development of ecotourism. Finally, the research can create a good realistic foundation for the construction of rural ecosystem.</t>
        </is>
      </c>
      <c r="X1597" t="inlineStr">
        <is>
          <t>[Qiao, Man; Li, Hong] Henan Univ Anim Husb &amp; Econ, Zhengzhou 450046, Peoples R China; [Peng, Shuai] Guangdong Univ Finance &amp; Econ, Sch Geog &amp; Tourism, Guangzhou 510320, Peoples R China</t>
        </is>
      </c>
      <c r="Y1597" t="inlineStr">
        <is>
          <t>Henan University of Animal Husbandry &amp; Economy; Guangdong University of Finance &amp; Economics</t>
        </is>
      </c>
      <c r="Z1597" t="inlineStr">
        <is>
          <t>Peng, S (corresponding author), Guangdong Univ Finance &amp; Econ, Sch Geog &amp; Tourism, Guangzhou 510320, Peoples R China.</t>
        </is>
      </c>
      <c r="AA1597" t="inlineStr">
        <is>
          <t>pp20201008@163.com</t>
        </is>
      </c>
      <c r="AD1597" t="inlineStr">
        <is>
          <t>Henan University of Animal Husbandry and Economy; Starting Research Funds, China [906/24030111]</t>
        </is>
      </c>
      <c r="AE1597" t="inlineStr">
        <is>
          <t>Henan University of Animal Husbandry and Economy; Starting Research Funds, China</t>
        </is>
      </c>
      <c r="AF1597" t="inlineStr">
        <is>
          <t>We would like to show sincere thanks to all the persons who have helped this research and all the authors of the references. And the author also wants to thank the Henan University of Animal Husbandry and Economy Ph.D. Starting Research Funds, China (Project Number: 906/24030111).</t>
        </is>
      </c>
      <c r="AH1597" t="n">
        <v>23</v>
      </c>
      <c r="AI1597" t="n">
        <v>0</v>
      </c>
      <c r="AJ1597" t="n">
        <v>0</v>
      </c>
      <c r="AK1597" t="n">
        <v>2</v>
      </c>
      <c r="AL1597" t="n">
        <v>17</v>
      </c>
      <c r="AM1597" t="inlineStr">
        <is>
          <t>PARLAR SCIENTIFIC PUBLICATIONS (P S P)</t>
        </is>
      </c>
      <c r="AN1597" t="inlineStr">
        <is>
          <t>FREISING</t>
        </is>
      </c>
      <c r="AO1597" t="inlineStr">
        <is>
          <t>ANGERSTR. 12, 85354 FREISING, GERMANY</t>
        </is>
      </c>
      <c r="AP1597" t="inlineStr">
        <is>
          <t>1018-4619</t>
        </is>
      </c>
      <c r="AQ1597" t="inlineStr">
        <is>
          <t>1610-2304</t>
        </is>
      </c>
      <c r="AS1597" t="inlineStr">
        <is>
          <t>FRESEN ENVIRON BULL</t>
        </is>
      </c>
      <c r="AT1597" t="inlineStr">
        <is>
          <t>Fresenius Environ. Bull.</t>
        </is>
      </c>
      <c r="AV1597" t="n">
        <v>2021</v>
      </c>
      <c r="AW1597" t="n">
        <v>30</v>
      </c>
      <c r="AX1597" t="n">
        <v>10</v>
      </c>
      <c r="BC1597" t="n">
        <v>11316</v>
      </c>
      <c r="BD1597" t="n">
        <v>11323</v>
      </c>
      <c r="BJ1597" t="n">
        <v>8</v>
      </c>
      <c r="BK1597" t="inlineStr">
        <is>
          <t>Environmental Sciences</t>
        </is>
      </c>
      <c r="BL1597" t="inlineStr">
        <is>
          <t>Science Citation Index Expanded (SCI-EXPANDED)</t>
        </is>
      </c>
      <c r="BM1597" t="inlineStr">
        <is>
          <t>Environmental Sciences &amp; Ecology</t>
        </is>
      </c>
      <c r="BN1597" t="inlineStr">
        <is>
          <t>WD5BD</t>
        </is>
      </c>
      <c r="BS1597" t="inlineStr">
        <is>
          <t>2023-10-26</t>
        </is>
      </c>
      <c r="BT1597" t="inlineStr">
        <is>
          <t>WOS:000704955000034</t>
        </is>
      </c>
      <c r="BU1597">
        <f>HYPERLINK("https%3A%2F%2Fwww.webofscience.com%2Fwos%2Fwoscc%2Ffull-record%2FWOS:000704955000034","View Full Record in Web of Science")</f>
        <v/>
      </c>
    </row>
    <row r="1598">
      <c r="A1598" t="inlineStr">
        <is>
          <t>J</t>
        </is>
      </c>
      <c r="B1598" t="inlineStr">
        <is>
          <t>Sun, Q; Lu, N</t>
        </is>
      </c>
      <c r="F1598" t="inlineStr">
        <is>
          <t>Sun, Qian; Lu, Nan</t>
        </is>
      </c>
      <c r="J1598" t="inlineStr">
        <is>
          <t>INTERNATIONAL JOURNAL OF ENVIRONMENTAL RESEARCH AND PUBLIC HEALTH</t>
        </is>
      </c>
      <c r="M1598" t="inlineStr">
        <is>
          <t>English</t>
        </is>
      </c>
      <c r="N1598" t="inlineStr">
        <is>
          <t>Article</t>
        </is>
      </c>
      <c r="T1598" t="inlineStr">
        <is>
          <t>Social Capital and Mental Health among Older Adults Living in Urban China in the Context of COVID-19 Pandemic</t>
        </is>
      </c>
      <c r="U1598" t="inlineStr">
        <is>
          <t>cognitive social capital; structural social capital; life satisfaction; depressive symptoms; older adults; urban China</t>
        </is>
      </c>
      <c r="V1598" t="inlineStr">
        <is>
          <t>DEPRESSIVE SYMPTOMS; LIFE SATISFACTION</t>
        </is>
      </c>
      <c r="W1598" t="inlineStr">
        <is>
          <t>Although social capital has been found to be an important social determinant of mental health in later life, research on social capital in the context of COVID-19 and the interplay among subdimensions of social capital is lacking. The present study examined the mediating role of cognitive social capital on the relationship between structural social capital and mental health among older adults in urban China in the context of the COVID-19 pandemic. Data were collected from the Yangpu district in Shanghai, China, in July-August 2020. A quota sampling approach was used to recruit 472 respondents aged 60 years and older from 23 communities in the Yangpu district. Mental health was measured by depressive symptoms and life satisfaction. Cognitive social capital was assessed through trust and reciprocity, and structural social capital was assessed through organization memberships, and COVID-19 related volunteering and citizenship activity. Structural equation modeling was used to test the mediation model. The results show that cognitive social capital had a full mediation effect on the association between structural social capital and mental health indicators (life satisfaction: b = 0.122, SD = 0.029, p &lt; 0.001; depressive symptoms: b = -0.343, SD = 0.119, p &lt; 0.01). The findings indicate that social capital can play an important role in sustaining and improving mental health in the context of the COVID-19 pandemic. Policy and intervention implications are discussed.</t>
        </is>
      </c>
      <c r="X1598" t="inlineStr">
        <is>
          <t>[Sun, Qian] Hebei Univ Econ &amp; Business, Sch Publ Adm, Dept Social Secur, Shijiazhuang 050061, Hebei, Peoples R China; [Sun, Qian] Univ Hong Kong, Sau Po Ctr Ageing, Hong Kong, Peoples R China; [Lu, Nan] Renmin Univ China, Sch Sociol &amp; Populat Studies, Dept Social Work &amp; Social Policy, Beijing 100872, Peoples R China</t>
        </is>
      </c>
      <c r="Y1598" t="inlineStr">
        <is>
          <t>Hebei University of Economics &amp; Business; University of Hong Kong; Renmin University of China</t>
        </is>
      </c>
      <c r="Z1598" t="inlineStr">
        <is>
          <t>Lu, N (corresponding author), Renmin Univ China, Sch Sociol &amp; Populat Studies, Dept Social Work &amp; Social Policy, Beijing 100872, Peoples R China.</t>
        </is>
      </c>
      <c r="AA1598" t="inlineStr">
        <is>
          <t>sunqian@connect.hku.hk; nalv9728@ruc.edu.cn</t>
        </is>
      </c>
      <c r="AB1598" t="inlineStr">
        <is>
          <t>Lu, Nan/R-7679-2019</t>
        </is>
      </c>
      <c r="AC1598" t="inlineStr">
        <is>
          <t>Lu, Nan/0000-0001-9006-6254</t>
        </is>
      </c>
      <c r="AD1598" t="inlineStr">
        <is>
          <t>Key Project of National Social Science Foundation of China, Social capital and the health among older populations in China: From the perspective of active aging framework [19ASH018]</t>
        </is>
      </c>
      <c r="AE1598" t="inlineStr">
        <is>
          <t>Key Project of National Social Science Foundation of China, Social capital and the health among older populations in China: From the perspective of active aging framework(National Office of Philosophy and Social Sciences)</t>
        </is>
      </c>
      <c r="AF1598" t="inlineStr">
        <is>
          <t>This study was supported by the Key Project of National Social Science Foundation of China, Social capital and the health among older populations in China: From the perspective of active aging framework (Grant No. 19ASH018).</t>
        </is>
      </c>
      <c r="AH1598" t="n">
        <v>54</v>
      </c>
      <c r="AI1598" t="n">
        <v>29</v>
      </c>
      <c r="AJ1598" t="n">
        <v>30</v>
      </c>
      <c r="AK1598" t="n">
        <v>3</v>
      </c>
      <c r="AL1598" t="n">
        <v>66</v>
      </c>
      <c r="AM1598" t="inlineStr">
        <is>
          <t>MDPI</t>
        </is>
      </c>
      <c r="AN1598" t="inlineStr">
        <is>
          <t>BASEL</t>
        </is>
      </c>
      <c r="AO1598" t="inlineStr">
        <is>
          <t>ST ALBAN-ANLAGE 66, CH-4052 BASEL, SWITZERLAND</t>
        </is>
      </c>
      <c r="AQ1598" t="inlineStr">
        <is>
          <t>1660-4601</t>
        </is>
      </c>
      <c r="AS1598" t="inlineStr">
        <is>
          <t>INT J ENV RES PUB HE</t>
        </is>
      </c>
      <c r="AT1598" t="inlineStr">
        <is>
          <t>Int. J. Environ. Res. Public Health</t>
        </is>
      </c>
      <c r="AU1598" t="inlineStr">
        <is>
          <t>NOV</t>
        </is>
      </c>
      <c r="AV1598" t="n">
        <v>2020</v>
      </c>
      <c r="AW1598" t="n">
        <v>17</v>
      </c>
      <c r="AX1598" t="n">
        <v>21</v>
      </c>
      <c r="BE1598" t="n">
        <v>7947</v>
      </c>
      <c r="BF1598" t="inlineStr">
        <is>
          <t>10.3390/ijerph17217947</t>
        </is>
      </c>
      <c r="BG1598">
        <f>HYPERLINK("http://dx.doi.org/10.3390/ijerph17217947","http://dx.doi.org/10.3390/ijerph17217947")</f>
        <v/>
      </c>
      <c r="BJ1598" t="n">
        <v>11</v>
      </c>
      <c r="BK1598" t="inlineStr">
        <is>
          <t>Environmental Sciences; Public, Environmental &amp; Occupational Health</t>
        </is>
      </c>
      <c r="BL1598" t="inlineStr">
        <is>
          <t>Science Citation Index Expanded (SCI-EXPANDED); Social Science Citation Index (SSCI)</t>
        </is>
      </c>
      <c r="BM1598" t="inlineStr">
        <is>
          <t>Environmental Sciences &amp; Ecology; Public, Environmental &amp; Occupational Health</t>
        </is>
      </c>
      <c r="BN1598" t="inlineStr">
        <is>
          <t>OQ7KG</t>
        </is>
      </c>
      <c r="BO1598" t="n">
        <v>33138131</v>
      </c>
      <c r="BP1598" t="inlineStr">
        <is>
          <t>Green Published, gold</t>
        </is>
      </c>
      <c r="BS1598" t="inlineStr">
        <is>
          <t>2023-10-26</t>
        </is>
      </c>
      <c r="BT1598" t="inlineStr">
        <is>
          <t>WOS:000588956800001</t>
        </is>
      </c>
      <c r="BU1598">
        <f>HYPERLINK("https%3A%2F%2Fwww.webofscience.com%2Fwos%2Fwoscc%2Ffull-record%2FWOS:000588956800001","View Full Record in Web of Science")</f>
        <v/>
      </c>
    </row>
    <row r="1599">
      <c r="A1599" t="inlineStr">
        <is>
          <t>J</t>
        </is>
      </c>
      <c r="B1599" t="inlineStr">
        <is>
          <t>Lu, RJ; Xia, D; Ma, X; Zhao, SS; Liu, YS; Sun, YF</t>
        </is>
      </c>
      <c r="F1599" t="inlineStr">
        <is>
          <t>Lu, Rongjing; Xia, Dan; Ma, Xiao; Zhao, Shuangshuang; Liu, Yusong; Sun, Yifei</t>
        </is>
      </c>
      <c r="J1599" t="inlineStr">
        <is>
          <t>SCIENCE OF THE TOTAL ENVIRONMENT</t>
        </is>
      </c>
      <c r="M1599" t="inlineStr">
        <is>
          <t>English</t>
        </is>
      </c>
      <c r="N1599" t="inlineStr">
        <is>
          <t>Article</t>
        </is>
      </c>
      <c r="T1599" t="inlineStr">
        <is>
          <t>Short and medium-chain chlorinated paraffins in indoor dust from a multistory residential building in Beijing, China: Vertical distribution and potential health risks</t>
        </is>
      </c>
      <c r="U1599" t="inlineStr">
        <is>
          <t>Chlorinatedparaffin; Indoor dust; Vertical distribution; Health risks</t>
        </is>
      </c>
      <c r="V1599" t="inlineStr">
        <is>
          <t>POLYCYCLIC AROMATIC-HYDROCARBONS; PARTICULATE MATTER; HUMAN EXPOSURE; OUTDOOR; AIR; INHALATION; GUANGZHOU; PROFILES; PATTERNS; PM2.5</t>
        </is>
      </c>
      <c r="W1599" t="inlineStr">
        <is>
          <t>In this study, we conducted a preliminary investigation of the vertical distribution and potential health risks of short and medium-chain chlorinated paraffins (SCCPs and MCCPs) in indoor dust from a multistory residential building in Beijing, China. Forty-eight SCCP and MCCP congener groups in dust from different floors of the multistory residen-tial building were determined by two-dimensional gas chromatography coupled with electron capture negative ionization mass spectrometry. The concentration ranges for SCCPs and MCCPs in the dust samples were 0.0239-207 mu g/g and 0.135-2903 mu g/g, respectively. MCCPs were the dominant group, on average accounting for 76.8 % of n-ary sumation CPs. Generally, the concentrations of both SCCPs and MCCPs greatly decreased as the floor level increased, which indicated that the CP contamination was attributed to exogenous atmospheric transport and deposition. C13Cl7-8 and C14Cl7-8 were the dominant SCCP and MCCP congener groups, possibly indicating the use of industrial CP-52 products was the main source of CPs. In the worst-case scenario using the maximum concentrations of CPs, the daily intake of SCCPs for toddlers was of the same order of magnitude as the reference dose. It should be noted that CPs exposure may be more serious when indoor decorations, furniture, and various plastic products are taken into consideration. Overall, more attention should be paid to CPs exposure and control measures in high-rise buildings.</t>
        </is>
      </c>
      <c r="X1599" t="inlineStr">
        <is>
          <t>[Lu, Rongjing; Xia, Dan; Ma, Xiao; Zhao, Shuangshuang; Liu, Yusong] Beihang Univ, Sch Space &amp; Environm, Beijing 100191, Peoples R China; [Sun, Yifei] Beihang Univ, Sch Energy &amp; Power Engn, Beijing 100191, Peoples R China</t>
        </is>
      </c>
      <c r="Y1599" t="inlineStr">
        <is>
          <t>Beihang University; Beihang University</t>
        </is>
      </c>
      <c r="Z1599" t="inlineStr">
        <is>
          <t>Xia, D (corresponding author), Beihang Univ, Sch Space &amp; Environm, Beijing 100191, Peoples R China.</t>
        </is>
      </c>
      <c r="AA1599" t="inlineStr">
        <is>
          <t>danxia@buaa.edu.cn</t>
        </is>
      </c>
      <c r="AB1599" t="inlineStr">
        <is>
          <t>lu, rongjing/JBI-8289-2023</t>
        </is>
      </c>
      <c r="AD1599" t="inlineStr">
        <is>
          <t>National Key Project of Research and Development Plan [2019YFC1908401]; National Natural Science Foundation of China [22276008, 21806007]; Beihang University</t>
        </is>
      </c>
      <c r="AE1599" t="inlineStr">
        <is>
          <t>National Key Project of Research and Development Plan; National Natural Science Foundation of China(National Natural Science Foundation of China (NSFC)); Beihang University</t>
        </is>
      </c>
      <c r="AF1599" t="inlineStr">
        <is>
          <t>This research was supported by grants from the National Key Project of Research and Development Plan (2019YFC1908401) , and grants from the National Natural Science Foundation of China (22276008, 21806007) , and the Beihang University.</t>
        </is>
      </c>
      <c r="AH1599" t="n">
        <v>43</v>
      </c>
      <c r="AI1599" t="n">
        <v>0</v>
      </c>
      <c r="AJ1599" t="n">
        <v>0</v>
      </c>
      <c r="AK1599" t="n">
        <v>16</v>
      </c>
      <c r="AL1599" t="n">
        <v>32</v>
      </c>
      <c r="AM1599" t="inlineStr">
        <is>
          <t>ELSEVIER</t>
        </is>
      </c>
      <c r="AN1599" t="inlineStr">
        <is>
          <t>AMSTERDAM</t>
        </is>
      </c>
      <c r="AO1599" t="inlineStr">
        <is>
          <t>RADARWEG 29, 1043 NX AMSTERDAM, NETHERLANDS</t>
        </is>
      </c>
      <c r="AP1599" t="inlineStr">
        <is>
          <t>0048-9697</t>
        </is>
      </c>
      <c r="AQ1599" t="inlineStr">
        <is>
          <t>1879-1026</t>
        </is>
      </c>
      <c r="AS1599" t="inlineStr">
        <is>
          <t>SCI TOTAL ENVIRON</t>
        </is>
      </c>
      <c r="AT1599" t="inlineStr">
        <is>
          <t>Sci. Total Environ.</t>
        </is>
      </c>
      <c r="AU1599" t="inlineStr">
        <is>
          <t>FEB 25</t>
        </is>
      </c>
      <c r="AV1599" t="n">
        <v>2023</v>
      </c>
      <c r="AW1599" t="n">
        <v>861</v>
      </c>
      <c r="BE1599" t="n">
        <v>160642</v>
      </c>
      <c r="BF1599" t="inlineStr">
        <is>
          <t>10.1016/j.scitotenv.2022.160642</t>
        </is>
      </c>
      <c r="BG1599">
        <f>HYPERLINK("http://dx.doi.org/10.1016/j.scitotenv.2022.160642","http://dx.doi.org/10.1016/j.scitotenv.2022.160642")</f>
        <v/>
      </c>
      <c r="BJ1599" t="n">
        <v>8</v>
      </c>
      <c r="BK1599" t="inlineStr">
        <is>
          <t>Environmental Sciences</t>
        </is>
      </c>
      <c r="BL1599" t="inlineStr">
        <is>
          <t>Science Citation Index Expanded (SCI-EXPANDED)</t>
        </is>
      </c>
      <c r="BM1599" t="inlineStr">
        <is>
          <t>Environmental Sciences &amp; Ecology</t>
        </is>
      </c>
      <c r="BN1599" t="inlineStr">
        <is>
          <t>H6BH2</t>
        </is>
      </c>
      <c r="BO1599" t="n">
        <v>36470386</v>
      </c>
      <c r="BS1599" t="inlineStr">
        <is>
          <t>2023-10-26</t>
        </is>
      </c>
      <c r="BT1599" t="inlineStr">
        <is>
          <t>WOS:000996789700001</t>
        </is>
      </c>
      <c r="BU1599">
        <f>HYPERLINK("https%3A%2F%2Fwww.webofscience.com%2Fwos%2Fwoscc%2Ffull-record%2FWOS:000996789700001","View Full Record in Web of Science")</f>
        <v/>
      </c>
    </row>
    <row r="1600">
      <c r="A1600" t="inlineStr">
        <is>
          <t>J</t>
        </is>
      </c>
      <c r="B1600" t="inlineStr">
        <is>
          <t>Mavromatidis, L</t>
        </is>
      </c>
      <c r="F1600" t="inlineStr">
        <is>
          <t>Mavromatidis, Lazaros</t>
        </is>
      </c>
      <c r="J1600" t="inlineStr">
        <is>
          <t>SUSTAINABILITY</t>
        </is>
      </c>
      <c r="M1600" t="inlineStr">
        <is>
          <t>English</t>
        </is>
      </c>
      <c r="N1600" t="inlineStr">
        <is>
          <t>Article</t>
        </is>
      </c>
      <c r="T1600" t="inlineStr">
        <is>
          <t>Constructal Macroscale Thermodynamic Model of Spherical Urban Greenhouse Form with Double Thermal Envelope within Heat Currents</t>
        </is>
      </c>
      <c r="U1600" t="inlineStr">
        <is>
          <t>constructal law; urban agriculture; architecture; sustainable design; thermodynamic optimization; building physics; applied thermal engineering; bioclimatic design; architectural eco-conception; heat transfer</t>
        </is>
      </c>
      <c r="V1600" t="inlineStr">
        <is>
          <t>REGRESSION-MODELS; SOLAR-ENERGY; WIND ENERGY; DESIGN; OPTIMIZATION; TOOL; SUSTAINABILITY; EFFICIENCY; CONVERSION; VICINITY</t>
        </is>
      </c>
      <c r="W1600" t="inlineStr">
        <is>
          <t>Urban agriculture is becoming a timely environmental friendly practice to strengthen cities' resilience to climate change. However, there is a lack of academic literature regarding the thermodynamic potential of interior urban agriculture. Furthermore, there is always a need to develop, from scratch, an updated methodological approach that aims to assist architects of conceiving such specific thermodynamically complex interior environments. In this paper, urban space is identified as a flow system', and Bejan's constructal law of generation of flow structure is used to morph and discover the system flow architecture that offers greater global performance (greater access to what flows). More precisely, a macroscale thermodynamic model of spherical urban greenhouse form with double thermal envelope has been developed while the methodological approach resulted in the definition of a decisional flowchart that can be reproduced by other researchers. On the basis of this macroscale constructal model, the present paper proposes reduced models that link thermodynamic and geometric parameters in an accurate manner and can be used at early design stages for pedagogic and qualitative optimization purposes, integrating urban farming to architectural programming.</t>
        </is>
      </c>
      <c r="X1600" t="inlineStr">
        <is>
          <t>[Mavromatidis, Lazaros] Univ Strasbourg, Sch Architecture, INSA Strasbourg, ICube UMR 7357, 24 Blvd Victoire, F-67084 Strasbourg, France</t>
        </is>
      </c>
      <c r="Y1600" t="inlineStr">
        <is>
          <t>Centre National de la Recherche Scientifique (CNRS); CNRS - Institute for Engineering &amp; Systems Sciences (INSIS); UDICE-French Research Universities; Universites de Strasbourg Etablissements Associes; Universite de Strasbourg</t>
        </is>
      </c>
      <c r="Z1600" t="inlineStr">
        <is>
          <t>Mavromatidis, L (corresponding author), Univ Strasbourg, Sch Architecture, INSA Strasbourg, ICube UMR 7357, 24 Blvd Victoire, F-67084 Strasbourg, France.</t>
        </is>
      </c>
      <c r="AA1600" t="inlineStr">
        <is>
          <t>lazaros.mavromatidis@insa-strasbourg.fr</t>
        </is>
      </c>
      <c r="AD1600" t="inlineStr">
        <is>
          <t>Erasmus + e-FIADE Program [2016-TR01-KA203-034710]; European Union</t>
        </is>
      </c>
      <c r="AE1600" t="inlineStr">
        <is>
          <t>Erasmus + e-FIADE Program; European Union(European Union (EU))</t>
        </is>
      </c>
      <c r="AF1600" t="inlineStr">
        <is>
          <t>This research received no external funding. The APC was funded by the Erasmus + e-FIADE Program (agreement no. 2016-TR01-KA203-034710) of the European Union, which supports innovation and creativity exploring the thresholds of architectural education.</t>
        </is>
      </c>
      <c r="AH1600" t="n">
        <v>60</v>
      </c>
      <c r="AI1600" t="n">
        <v>9</v>
      </c>
      <c r="AJ1600" t="n">
        <v>9</v>
      </c>
      <c r="AK1600" t="n">
        <v>1</v>
      </c>
      <c r="AL1600" t="n">
        <v>5</v>
      </c>
      <c r="AM1600" t="inlineStr">
        <is>
          <t>MDPI</t>
        </is>
      </c>
      <c r="AN1600" t="inlineStr">
        <is>
          <t>BASEL</t>
        </is>
      </c>
      <c r="AO1600" t="inlineStr">
        <is>
          <t>ST ALBAN-ANLAGE 66, CH-4052 BASEL, SWITZERLAND</t>
        </is>
      </c>
      <c r="AQ1600" t="inlineStr">
        <is>
          <t>2071-1050</t>
        </is>
      </c>
      <c r="AS1600" t="inlineStr">
        <is>
          <t>SUSTAINABILITY-BASEL</t>
        </is>
      </c>
      <c r="AT1600" t="inlineStr">
        <is>
          <t>Sustainability</t>
        </is>
      </c>
      <c r="AU1600" t="inlineStr">
        <is>
          <t>JUL 2</t>
        </is>
      </c>
      <c r="AV1600" t="n">
        <v>2019</v>
      </c>
      <c r="AW1600" t="n">
        <v>11</v>
      </c>
      <c r="AX1600" t="n">
        <v>14</v>
      </c>
      <c r="BE1600" t="n">
        <v>3897</v>
      </c>
      <c r="BF1600" t="inlineStr">
        <is>
          <t>10.3390/su11143897</t>
        </is>
      </c>
      <c r="BG1600">
        <f>HYPERLINK("http://dx.doi.org/10.3390/su11143897","http://dx.doi.org/10.3390/su11143897")</f>
        <v/>
      </c>
      <c r="BJ1600" t="n">
        <v>24</v>
      </c>
      <c r="BK1600" t="inlineStr">
        <is>
          <t>Green &amp; Sustainable Science &amp; Technology; Environmental Sciences; Environmental Studies</t>
        </is>
      </c>
      <c r="BL1600" t="inlineStr">
        <is>
          <t>Science Citation Index Expanded (SCI-EXPANDED); Social Science Citation Index (SSCI)</t>
        </is>
      </c>
      <c r="BM1600" t="inlineStr">
        <is>
          <t>Science &amp; Technology - Other Topics; Environmental Sciences &amp; Ecology</t>
        </is>
      </c>
      <c r="BN1600" t="inlineStr">
        <is>
          <t>IS6KX</t>
        </is>
      </c>
      <c r="BP1600" t="inlineStr">
        <is>
          <t>Green Submitted, Green Published, gold</t>
        </is>
      </c>
      <c r="BS1600" t="inlineStr">
        <is>
          <t>2023-10-26</t>
        </is>
      </c>
      <c r="BT1600" t="inlineStr">
        <is>
          <t>WOS:000482261800141</t>
        </is>
      </c>
      <c r="BU1600">
        <f>HYPERLINK("https%3A%2F%2Fwww.webofscience.com%2Fwos%2Fwoscc%2Ffull-record%2FWOS:000482261800141","View Full Record in Web of Science")</f>
        <v/>
      </c>
    </row>
    <row r="1601">
      <c r="A1601" t="inlineStr">
        <is>
          <t>J</t>
        </is>
      </c>
      <c r="B1601" t="inlineStr">
        <is>
          <t>Rostami, R; Naddafi, K; Arfaeinia, H; Nazmara, S; Fazlzadeh, M; Saranjam, B</t>
        </is>
      </c>
      <c r="F1601" t="inlineStr">
        <is>
          <t>Rostami, Roohollah; Naddafi, Kazem; Arfaeinia, Hossein; Nazmara, Shahrokh; Fazlzadeh, Mehdi; Saranjam, Behzad</t>
        </is>
      </c>
      <c r="J1601" t="inlineStr">
        <is>
          <t>JOURNAL OF EXPOSURE SCIENCE AND ENVIRONMENTAL EPIDEMIOLOGY</t>
        </is>
      </c>
      <c r="M1601" t="inlineStr">
        <is>
          <t>English</t>
        </is>
      </c>
      <c r="N1601" t="inlineStr">
        <is>
          <t>Article</t>
        </is>
      </c>
      <c r="T1601" t="inlineStr">
        <is>
          <t>The effects of ventilation and building characteristics on indoor air quality in waterpipe cafes</t>
        </is>
      </c>
      <c r="U1601" t="inlineStr">
        <is>
          <t>Particulate matter; CO; Smoking; Ventilation; Indoor air quality</t>
        </is>
      </c>
      <c r="V1601" t="inlineStr">
        <is>
          <t>CARBON-MONOXIDE; PARTICULATE MATTER; EXPOSURE; SMOKING; NICOTINE; SHISHA; BTEX; RISK; CO</t>
        </is>
      </c>
      <c r="W1601" t="inlineStr">
        <is>
          <t>To determine the concentration of carbon monoxide (CO) and particulate matter (PMs), indoor air samples were collected from 60 waterpipe cafes in Ardabil city of Iran. Moreover, the influence of several structural, operational, and ventilation system were evaluated on the concentration of the selected pollutants. The results showed that the mean concentration of CO (12.0 +/- 7.2 mg/m(3)) and PMs (PM1 = 171.5 +/- 119.6 mu g/m(3), PM2.5 = 303.3 +/- 201.9 mu g/m(3), PM10 = 440.3 +/- 272.2 mu g/m(3)) were notably higher than the guideline levels. According to the results, open face/cafe area was influenced by the natural ventilation rate and the mean air exchange rate was 3.1 +/- 1.1 min(-1). The natural ventilation has a functional role on air quality of the cafes, and fan-type mechanical ventilation was influencing factor on CO concentration when the natural ventilation was restricted. Type of used charcoal had the highest influence on the releasing of pollutants inside the cafes as the pollutant concentrations were lower for simple (raw) charcoal compared with the favored (aromatic) one. The results indicated that the building characteristics and natural ventilation considerably affect air quality of the cafes.</t>
        </is>
      </c>
      <c r="X1601" t="inlineStr">
        <is>
          <t>[Rostami, Roohollah] Semnan Univ Med Sci, Res Ctr Hlth Sci &amp; Technol, Semnan, Iran; [Naddafi, Kazem; Nazmara, Shahrokh; Fazlzadeh, Mehdi] Univ Tehran Med Sci, Sch Publ Hlth, Dept Environm Hlth Engn, Tehran, Iran; [Arfaeinia, Hossein] Bushehr Univ Med Sci, Persian Gulf Biomed Sci Res Inst, Syst Environm Hlth &amp; Energy Res Ctr, Bushehr, Iran; [Arfaeinia, Hossein] Bushehr Univ Med Sci, Sch Hlth &amp; Nutr, Dept Environm Hlth Engn, Bushehr, Iran; [Fazlzadeh, Mehdi] Ardabil Univ Med Sci, Social Determinants Hlth Res Ctr, Ardebil, Iran; [Saranjam, Behzad] Ardabil Univ Med Sci, Sch Publ Hlth, Dept Occupat Hlth Engn, Ardebil, Iran; [Saranjam, Behzad] Ardabil Univ Med Sci, Hlth Sci Res Ctr, Ardebil, Iran</t>
        </is>
      </c>
      <c r="Y1601" t="inlineStr">
        <is>
          <t>Semnan University of Medical Sciences; Tehran University of Medical Sciences; Ardabil University of Medical Sciences; Ardabil University of Medical Sciences; Ardabil University of Medical Sciences</t>
        </is>
      </c>
      <c r="Z1601" t="inlineStr">
        <is>
          <t>Fazlzadeh, M (corresponding author), Univ Tehran Med Sci, Sch Publ Hlth, Dept Environm Hlth Engn, Tehran, Iran.;Fazlzadeh, M (corresponding author), Ardabil Univ Med Sci, Social Determinants Hlth Res Ctr, Ardebil, Iran.;Saranjam, B (corresponding author), Ardabil Univ Med Sci, Sch Publ Hlth, Dept Occupat Hlth Engn, Ardebil, Iran.;Saranjam, B (corresponding author), Ardabil Univ Med Sci, Hlth Sci Res Ctr, Ardebil, Iran.</t>
        </is>
      </c>
      <c r="AA1601" t="inlineStr">
        <is>
          <t>m.fazlzadeh@gmail.com; behzadsaranjam@gmail.com</t>
        </is>
      </c>
      <c r="AB1601" t="inlineStr">
        <is>
          <t>fazlzadeh, mehdi/J-6218-2017; arfaeinia, hossein/Y-2307-2018; Rostami, Roohollah/M-8297-2017</t>
        </is>
      </c>
      <c r="AC1601" t="inlineStr">
        <is>
          <t>fazlzadeh, mehdi/0000-0001-9512-6025; Arfaeinia, Hossein/0000-0002-1186-2496; Rostami, Roohollah/0000-0003-2798-3206</t>
        </is>
      </c>
      <c r="AD1601" t="inlineStr">
        <is>
          <t>Ardabil University of medical sciences</t>
        </is>
      </c>
      <c r="AE1601" t="inlineStr">
        <is>
          <t>Ardabil University of medical sciences</t>
        </is>
      </c>
      <c r="AF1601" t="inlineStr">
        <is>
          <t>The authors declare their gratitude to funding support of this research work by Ardabil University of medical sciences.</t>
        </is>
      </c>
      <c r="AH1601" t="n">
        <v>38</v>
      </c>
      <c r="AI1601" t="n">
        <v>10</v>
      </c>
      <c r="AJ1601" t="n">
        <v>10</v>
      </c>
      <c r="AK1601" t="n">
        <v>0</v>
      </c>
      <c r="AL1601" t="n">
        <v>2</v>
      </c>
      <c r="AM1601" t="inlineStr">
        <is>
          <t>NATURE PUBLISHING GROUP</t>
        </is>
      </c>
      <c r="AN1601" t="inlineStr">
        <is>
          <t>NEW YORK</t>
        </is>
      </c>
      <c r="AO1601" t="inlineStr">
        <is>
          <t>75 VARICK ST, 9TH FLR, NEW YORK, NY 10013-1917 USA</t>
        </is>
      </c>
      <c r="AP1601" t="inlineStr">
        <is>
          <t>1559-0631</t>
        </is>
      </c>
      <c r="AQ1601" t="inlineStr">
        <is>
          <t>1559-064X</t>
        </is>
      </c>
      <c r="AS1601" t="inlineStr">
        <is>
          <t>J EXPO SCI ENV EPID</t>
        </is>
      </c>
      <c r="AT1601" t="inlineStr">
        <is>
          <t>J. Expo. Sci. Environ. Epidemiol.</t>
        </is>
      </c>
      <c r="AU1601" t="inlineStr">
        <is>
          <t>SEP</t>
        </is>
      </c>
      <c r="AV1601" t="n">
        <v>2020</v>
      </c>
      <c r="AW1601" t="n">
        <v>30</v>
      </c>
      <c r="AX1601" t="n">
        <v>5</v>
      </c>
      <c r="BC1601" t="n">
        <v>805</v>
      </c>
      <c r="BD1601" t="n">
        <v>813</v>
      </c>
      <c r="BF1601" t="inlineStr">
        <is>
          <t>10.1038/s41370-020-0240-4</t>
        </is>
      </c>
      <c r="BG1601">
        <f>HYPERLINK("http://dx.doi.org/10.1038/s41370-020-0240-4","http://dx.doi.org/10.1038/s41370-020-0240-4")</f>
        <v/>
      </c>
      <c r="BI1601" t="inlineStr">
        <is>
          <t>JUN 2020</t>
        </is>
      </c>
      <c r="BJ1601" t="n">
        <v>9</v>
      </c>
      <c r="BK1601" t="inlineStr">
        <is>
          <t>Environmental Sciences; Public, Environmental &amp; Occupational Health; Toxicology</t>
        </is>
      </c>
      <c r="BL1601" t="inlineStr">
        <is>
          <t>Science Citation Index Expanded (SCI-EXPANDED)</t>
        </is>
      </c>
      <c r="BM1601" t="inlineStr">
        <is>
          <t>Environmental Sciences &amp; Ecology; Public, Environmental &amp; Occupational Health; Toxicology</t>
        </is>
      </c>
      <c r="BN1601" t="inlineStr">
        <is>
          <t>NH8VY</t>
        </is>
      </c>
      <c r="BO1601" t="n">
        <v>32555400</v>
      </c>
      <c r="BS1601" t="inlineStr">
        <is>
          <t>2023-10-26</t>
        </is>
      </c>
      <c r="BT1601" t="inlineStr">
        <is>
          <t>WOS:000541225800001</t>
        </is>
      </c>
      <c r="BU1601">
        <f>HYPERLINK("https%3A%2F%2Fwww.webofscience.com%2Fwos%2Fwoscc%2Ffull-record%2FWOS:000541225800001","View Full Record in Web of Science")</f>
        <v/>
      </c>
    </row>
    <row r="1602">
      <c r="A1602" t="inlineStr">
        <is>
          <t>J</t>
        </is>
      </c>
      <c r="B1602" t="inlineStr">
        <is>
          <t>Mok, KL; Han, SH; Choi, S</t>
        </is>
      </c>
      <c r="F1602" t="inlineStr">
        <is>
          <t>Mok, Ken L.; Han, Seung H.; Choi, Seokjin</t>
        </is>
      </c>
      <c r="J1602" t="inlineStr">
        <is>
          <t>ENERGY POLICY</t>
        </is>
      </c>
      <c r="M1602" t="inlineStr">
        <is>
          <t>English</t>
        </is>
      </c>
      <c r="N1602" t="inlineStr">
        <is>
          <t>Article</t>
        </is>
      </c>
      <c r="T1602" t="inlineStr">
        <is>
          <t>The implementation of clean development mechanism (CDM) in the construction and built environment industry</t>
        </is>
      </c>
      <c r="U1602" t="inlineStr">
        <is>
          <t>Clean development mechanism; Construction and built environment; Sustainable development</t>
        </is>
      </c>
      <c r="V1602" t="inlineStr">
        <is>
          <t>LIFE-CYCLE; ENERGY USE; EMISSIONS</t>
        </is>
      </c>
      <c r="W1602" t="inlineStr">
        <is>
          <t>Greenhouse gas emissions due to human activities are the main contributors to global climate change, a problem that should not be ignored. Through the clean development mechanism (CDM) introduced under the Kyoto Protocol, developing countries are able to earn certified emission reduction (CER) credits through a myriad of emission reduction projects. This study aims to explore the potential of implementing CDM projects in the construction and built environment (C&amp;BE) industry, which has been criticized for not only consuming an enormous amount of resources, but also for contributing to adverse environmental health. In this research, we limit the boundary of the C&amp;BE industry to include the planning, procurement, construction, occupation and refurbishment/demolition phases of a project's life cycle. Surveys and in-depth follow-up interviews with experts have generated useful insights pertaining to CDM potential and its adaptation into the C&amp;BE industry. From this foundation, this paper evaluates the current obstacles to CDM and presents feasible suggestions to increase CDM projects related to the C&amp;BE industry. (C) 2013 Elsevier Ltd. All rights reserved.</t>
        </is>
      </c>
      <c r="X1602" t="inlineStr">
        <is>
          <t>[Mok, Ken L.; Han, Seung H.; Choi, Seokjin] Yonsei Univ, Dept Civil &amp; Environm Engn, Seoul 120749, South Korea</t>
        </is>
      </c>
      <c r="Y1602" t="inlineStr">
        <is>
          <t>Yonsei University</t>
        </is>
      </c>
      <c r="Z1602" t="inlineStr">
        <is>
          <t>Han, SH (corresponding author), Yonsei Univ, Dept Civil &amp; Environm Engn, Seoul 120749, South Korea.</t>
        </is>
      </c>
      <c r="AA1602" t="inlineStr">
        <is>
          <t>shh6018@yonsei.ac.kr</t>
        </is>
      </c>
      <c r="AB1602" t="inlineStr">
        <is>
          <t>Han, Seung Heon/G-8862-2012; HAN, SEUNGHEON/G-8641-2015</t>
        </is>
      </c>
      <c r="AC1602" t="inlineStr">
        <is>
          <t>Mok, Ken L./0000-0002-0653-2898</t>
        </is>
      </c>
      <c r="AD1602" t="inlineStr">
        <is>
          <t>High-tech Urban Development Program (HUDP) [11High-techUrbanG05]; Ministry of Land, Transport and Maritime Affairs of the Korean government</t>
        </is>
      </c>
      <c r="AE1602" t="inlineStr">
        <is>
          <t>High-tech Urban Development Program (HUDP); Ministry of Land, Transport and Maritime Affairs of the Korean government(Ministry of Land, Transport and Maritime Affairs (MLTM), Republic of Korea)</t>
        </is>
      </c>
      <c r="AF1602" t="inlineStr">
        <is>
          <t>This research was supported by a grant (11High-techUrbanG05) from the High-tech Urban Development Program (HUDP) funded by the Ministry of Land, Transport and Maritime Affairs of the Korean government.</t>
        </is>
      </c>
      <c r="AH1602" t="n">
        <v>48</v>
      </c>
      <c r="AI1602" t="n">
        <v>15</v>
      </c>
      <c r="AJ1602" t="n">
        <v>15</v>
      </c>
      <c r="AK1602" t="n">
        <v>1</v>
      </c>
      <c r="AL1602" t="n">
        <v>20</v>
      </c>
      <c r="AM1602" t="inlineStr">
        <is>
          <t>ELSEVIER SCI LTD</t>
        </is>
      </c>
      <c r="AN1602" t="inlineStr">
        <is>
          <t>OXFORD</t>
        </is>
      </c>
      <c r="AO1602" t="inlineStr">
        <is>
          <t>THE BOULEVARD, LANGFORD LANE, KIDLINGTON, OXFORD OX5 1GB, OXON, ENGLAND</t>
        </is>
      </c>
      <c r="AP1602" t="inlineStr">
        <is>
          <t>0301-4215</t>
        </is>
      </c>
      <c r="AQ1602" t="inlineStr">
        <is>
          <t>1873-6777</t>
        </is>
      </c>
      <c r="AS1602" t="inlineStr">
        <is>
          <t>ENERG POLICY</t>
        </is>
      </c>
      <c r="AT1602" t="inlineStr">
        <is>
          <t>Energy Policy</t>
        </is>
      </c>
      <c r="AU1602" t="inlineStr">
        <is>
          <t>FEB</t>
        </is>
      </c>
      <c r="AV1602" t="n">
        <v>2014</v>
      </c>
      <c r="AW1602" t="n">
        <v>65</v>
      </c>
      <c r="BC1602" t="n">
        <v>512</v>
      </c>
      <c r="BD1602" t="n">
        <v>523</v>
      </c>
      <c r="BF1602" t="inlineStr">
        <is>
          <t>10.1016/j.enpol.2013.10.039</t>
        </is>
      </c>
      <c r="BG1602">
        <f>HYPERLINK("http://dx.doi.org/10.1016/j.enpol.2013.10.039","http://dx.doi.org/10.1016/j.enpol.2013.10.039")</f>
        <v/>
      </c>
      <c r="BJ1602" t="n">
        <v>12</v>
      </c>
      <c r="BK1602" t="inlineStr">
        <is>
          <t>Economics; Energy &amp; Fuels; Environmental Sciences; Environmental Studies</t>
        </is>
      </c>
      <c r="BL1602" t="inlineStr">
        <is>
          <t>Science Citation Index Expanded (SCI-EXPANDED); Social Science Citation Index (SSCI)</t>
        </is>
      </c>
      <c r="BM1602" t="inlineStr">
        <is>
          <t>Business &amp; Economics; Energy &amp; Fuels; Environmental Sciences &amp; Ecology</t>
        </is>
      </c>
      <c r="BN1602" t="inlineStr">
        <is>
          <t>AA0UV</t>
        </is>
      </c>
      <c r="BS1602" t="inlineStr">
        <is>
          <t>2023-10-26</t>
        </is>
      </c>
      <c r="BT1602" t="inlineStr">
        <is>
          <t>WOS:000330813800050</t>
        </is>
      </c>
      <c r="BU1602">
        <f>HYPERLINK("https%3A%2F%2Fwww.webofscience.com%2Fwos%2Fwoscc%2Ffull-record%2FWOS:000330813800050","View Full Record in Web of Science")</f>
        <v/>
      </c>
    </row>
    <row r="1603">
      <c r="A1603" t="inlineStr">
        <is>
          <t>J</t>
        </is>
      </c>
      <c r="B1603" t="inlineStr">
        <is>
          <t>Nair, AN; Anand, P; George, A; Mondal, N</t>
        </is>
      </c>
      <c r="F1603" t="inlineStr">
        <is>
          <t>Nair, Ajith N.; Anand, Prashant; George, Abraham; Mondal, Nilabhra</t>
        </is>
      </c>
      <c r="J1603" t="inlineStr">
        <is>
          <t>ENVIRONMENTAL RESEARCH</t>
        </is>
      </c>
      <c r="M1603" t="inlineStr">
        <is>
          <t>English</t>
        </is>
      </c>
      <c r="N1603" t="inlineStr">
        <is>
          <t>Review</t>
        </is>
      </c>
      <c r="T1603" t="inlineStr">
        <is>
          <t>A review of strategies and their effectiveness in reducing indoor airborne transmission and improving indoor air quality</t>
        </is>
      </c>
      <c r="U1603" t="inlineStr">
        <is>
          <t>COVID-19; Indoor air quality; SARS-CoV-2; Ventilation; Airborne transmission; Indoor environmental quality; Health policy</t>
        </is>
      </c>
      <c r="V1603" t="inlineStr">
        <is>
          <t>VENTILATION STRATEGIES; COVID-19; RISK; HUMIDITY; ENVIRONMENTS; TEMPERATURE; BUILDINGS; POLLUTION; SPREAD</t>
        </is>
      </c>
      <c r="W1603" t="inlineStr">
        <is>
          <t>Airborne transmission arises through the inhalation of aerosol droplets exhaled by an infected person and is now thought to be the primary transmission route of COVID-19. Thus, maintaining adequate indoor air quality levels is vital in mitigating the spread of the airborne virus. The cause-and-effect flow of various agents involved in airborne transmission of viruses has been investigated through a systematic literature review. It has been identified that the airborne virus can stay infectious in the air for hours, and pollutants such as particulate matter (PM10, PM2.5), Nitrogen dioxide (NO2), Sulphur dioxide (SO2), Carbon monoxide (CO), Ozone (O-3), Carbon dioxide (CO2), and Total Volatile Organic Compounds (TVOCs) and other air pollutants can enhance the incidence, spread and mortality rates of viral disease. Also, environmental quality parameters such as humidity and temperature have shown considerable influence in virus transmission in indoor spaces. The measures adopted in different research studies that can curb airborne transmission of viruses for an improved Indoor Air Quality (IAQ) have been collated for their effectiveness and limitations. A diverse set of building strategies, components, and operation techniques from the recent literature pertaining to the ongoing spread of COVID-19 disease has been systematically presented to understand the current state of techniques and building systems that can minimize the viral spread in built spaces This comprehensive review will help architects, builders, realtors, and other organizations improve or design a resilient building system to deal with COVID-19 or any such pandemic in the future.</t>
        </is>
      </c>
      <c r="X1603" t="inlineStr">
        <is>
          <t>[Nair, Ajith N.; Anand, Prashant; George, Abraham; Mondal, Nilabhra] IIT, Dept Architecture &amp; Reg Planning, Kharagpur, W Bengal, India</t>
        </is>
      </c>
      <c r="Y1603" t="inlineStr">
        <is>
          <t>Indian Institute of Technology System (IIT System); Indian Institute of Technology (IIT) - Kharagpur</t>
        </is>
      </c>
      <c r="Z1603" t="inlineStr">
        <is>
          <t>Anand, P (corresponding author), IIT, Dept Architecture &amp; Reg Planning, Kharagpur, W Bengal, India.</t>
        </is>
      </c>
      <c r="AA1603" t="inlineStr">
        <is>
          <t>prashantanand@arp.iitkgp.ac.in</t>
        </is>
      </c>
      <c r="AB1603" t="inlineStr">
        <is>
          <t>Anand, Prashant/Z-2248-2019</t>
        </is>
      </c>
      <c r="AC1603" t="inlineStr">
        <is>
          <t>Anand, Prashant/0000-0002-1049-082X</t>
        </is>
      </c>
      <c r="AD1603" t="inlineStr">
        <is>
          <t>Indian Institute of Technology (IIT) Kharagpur, India under Sponsored Research and Industrial Consultancy (SRIC) [IIT/SRIC/AR/MWS/2021-2022/057]</t>
        </is>
      </c>
      <c r="AE1603" t="inlineStr">
        <is>
          <t>Indian Institute of Technology (IIT) Kharagpur, India under Sponsored Research and Industrial Consultancy (SRIC)</t>
        </is>
      </c>
      <c r="AF1603" t="inlineStr">
        <is>
          <t>The study was funded by the Indian Institute of Technology (IIT) Kharagpur, India under Sponsored Research and Industrial Consultancy (SRIC), through grant No: IIT/SRIC/AR/MWS/2021-2022/057.</t>
        </is>
      </c>
      <c r="AH1603" t="n">
        <v>163</v>
      </c>
      <c r="AI1603" t="n">
        <v>19</v>
      </c>
      <c r="AJ1603" t="n">
        <v>19</v>
      </c>
      <c r="AK1603" t="n">
        <v>8</v>
      </c>
      <c r="AL1603" t="n">
        <v>46</v>
      </c>
      <c r="AM1603" t="inlineStr">
        <is>
          <t>ACADEMIC PRESS INC ELSEVIER SCIENCE</t>
        </is>
      </c>
      <c r="AN1603" t="inlineStr">
        <is>
          <t>SAN DIEGO</t>
        </is>
      </c>
      <c r="AO1603" t="inlineStr">
        <is>
          <t>525 B ST, STE 1900, SAN DIEGO, CA 92101-4495 USA</t>
        </is>
      </c>
      <c r="AP1603" t="inlineStr">
        <is>
          <t>0013-9351</t>
        </is>
      </c>
      <c r="AQ1603" t="inlineStr">
        <is>
          <t>1096-0953</t>
        </is>
      </c>
      <c r="AS1603" t="inlineStr">
        <is>
          <t>ENVIRON RES</t>
        </is>
      </c>
      <c r="AT1603" t="inlineStr">
        <is>
          <t>Environ. Res.</t>
        </is>
      </c>
      <c r="AU1603" t="inlineStr">
        <is>
          <t>OCT</t>
        </is>
      </c>
      <c r="AV1603" t="n">
        <v>2022</v>
      </c>
      <c r="AW1603" t="n">
        <v>213</v>
      </c>
      <c r="BE1603" t="n">
        <v>113579</v>
      </c>
      <c r="BF1603" t="inlineStr">
        <is>
          <t>10.1016/j.envres.2022.113579</t>
        </is>
      </c>
      <c r="BG1603">
        <f>HYPERLINK("http://dx.doi.org/10.1016/j.envres.2022.113579","http://dx.doi.org/10.1016/j.envres.2022.113579")</f>
        <v/>
      </c>
      <c r="BJ1603" t="n">
        <v>20</v>
      </c>
      <c r="BK1603" t="inlineStr">
        <is>
          <t>Environmental Sciences; Public, Environmental &amp; Occupational Health</t>
        </is>
      </c>
      <c r="BL1603" t="inlineStr">
        <is>
          <t>Science Citation Index Expanded (SCI-EXPANDED)</t>
        </is>
      </c>
      <c r="BM1603" t="inlineStr">
        <is>
          <t>Environmental Sciences &amp; Ecology; Public, Environmental &amp; Occupational Health</t>
        </is>
      </c>
      <c r="BN1603" t="inlineStr">
        <is>
          <t>3J6QU</t>
        </is>
      </c>
      <c r="BO1603" t="n">
        <v>35714688</v>
      </c>
      <c r="BP1603" t="inlineStr">
        <is>
          <t>Green Published</t>
        </is>
      </c>
      <c r="BS1603" t="inlineStr">
        <is>
          <t>2023-10-26</t>
        </is>
      </c>
      <c r="BT1603" t="inlineStr">
        <is>
          <t>WOS:000833519300007</t>
        </is>
      </c>
      <c r="BU1603">
        <f>HYPERLINK("https%3A%2F%2Fwww.webofscience.com%2Fwos%2Fwoscc%2Ffull-record%2FWOS:000833519300007","View Full Record in Web of Science")</f>
        <v/>
      </c>
    </row>
    <row r="1604">
      <c r="A1604" t="inlineStr">
        <is>
          <t>J</t>
        </is>
      </c>
      <c r="B1604" t="inlineStr">
        <is>
          <t>Stamp, S; Burman, E; Chatzidiakou, L; Cooper, E; Wang, Y; Mumovic, D</t>
        </is>
      </c>
      <c r="F1604" t="inlineStr">
        <is>
          <t>Stamp, Samuel; Burman, Esfand; Chatzidiakou, Lia; Cooper, Elizabeth; Wang, Yan; Mumovic, Dejan</t>
        </is>
      </c>
      <c r="J1604" t="inlineStr">
        <is>
          <t>ATMOSPHERIC ENVIRONMENT</t>
        </is>
      </c>
      <c r="M1604" t="inlineStr">
        <is>
          <t>English</t>
        </is>
      </c>
      <c r="N1604" t="inlineStr">
        <is>
          <t>Article</t>
        </is>
      </c>
      <c r="T1604" t="inlineStr">
        <is>
          <t>A critical evaluation of the dynamic nature of indoor-outdoor air quality ratios</t>
        </is>
      </c>
      <c r="V1604" t="inlineStr">
        <is>
          <t>PARTICULATE MATTER; INDOOR/OUTDOOR RELATIONSHIPS; INFILTRATION FACTOR; PERSONAL EXPOSURE; COARSE PARTICLES; OFFICE BUILDINGS; PM2.5; POLLUTION; URBAN; FINE</t>
        </is>
      </c>
      <c r="W1604" t="inlineStr">
        <is>
          <t>Long term, continuous indoor and outdoor pollutant monitoring was evaluated from a case study hospital, school, office and 18 apartments in the UK. Data was examined in order to explore the dynamic behaviour of indoor-outdoor ratios (I/O) for both particulate matter and nitrogen dioxide. Traditionally I/O ratios have been determined as single aggregate values or static parameters, from passive sampling or short periods of continuous monitoring. Whilst widely reported, I/O ratios are seen as too variable to be of wider use. However, this work reveals the dynamic nature of I/O ratios, with strong diurnal and seasonal variation observed for both particulate matter and nitrogen dioxide. Higher I/O ratios tended to be seen during core or occupied hours, associated with increased human activity and higher ventilation rates. This means that static I/O ratios determined by passive sampling techniques, rather than continuous measurements filtered to core hours, may underestimate I/O ratios associated with occupant exposure. Further, the I/O ratio is shown to be strongly influenced by occupant activity and window opening behaviour. As such, it may represent a personal variable as much as one associated with a building. It is argued that traditionally reported static I/O ratios simplify these dynamic behaviour and modes of operation into a single aggregate value, losing key information in the process. Further, without contextual information on the operation and use of a building during measurements a reported I/O ratio may be hard to interpret or compare to wider studies. Finally, it is argued that the I/O ratio, whilst a limited metric, when evaluated dynamically provides a useful building operation parameter, describing the relationship the building has with the outdoor environment. This can help better define ventilation strategies, schedules, the influence of occupant behaviour and significance of indoor sources.</t>
        </is>
      </c>
      <c r="X1604" t="inlineStr">
        <is>
          <t>[Stamp, Samuel; Burman, Esfand; Cooper, Elizabeth; Wang, Yan; Mumovic, Dejan] Univ Coll London UCL, Inst Environm Design &amp; Engn, Cent House,14 Upper Woburn Pl, London WC1H 0NN, England; [Chatzidiakou, Lia] Univ Cambridge, Dept Chem, Cambridge CB2 1EW, England</t>
        </is>
      </c>
      <c r="Y1604" t="inlineStr">
        <is>
          <t>University of London; University College London; University of Cambridge</t>
        </is>
      </c>
      <c r="Z1604" t="inlineStr">
        <is>
          <t>Stamp, S (corresponding author), Univ Coll London UCL, Inst Environm Design &amp; Engn, Cent House,14 Upper Woburn Pl, London WC1H 0NN, England.</t>
        </is>
      </c>
      <c r="AA1604" t="inlineStr">
        <is>
          <t>samuel.stamp@ucl.ac.uk</t>
        </is>
      </c>
      <c r="AC1604" t="inlineStr">
        <is>
          <t>Chatzidiakou, Lia/0000-0002-8753-1386; Mumovic, Dejan/0000-0002-4914-9004; Stamp, Samuel/0000-0002-0719-6734; Cooper, Elizabeth/0000-0002-1540-6607</t>
        </is>
      </c>
      <c r="AD1604" t="inlineStr">
        <is>
          <t>European Institute of Technology-Digital (EIT-Digital) [19144]; Total Performance of Low Carbon Buildings in China; UK (TOP) project - UK EPSRC [EP/N009703/1]; EPSRC [EP/N009703/1] Funding Source: UKRI</t>
        </is>
      </c>
      <c r="AE1604" t="inlineStr">
        <is>
          <t>European Institute of Technology-Digital (EIT-Digital); Total Performance of Low Carbon Buildings in China; UK (TOP) project - UK EPSRC(UK Research &amp; Innovation (UKRI)Engineering &amp; Physical Sciences Research Council (EPSRC)); EPSRC(UK Research &amp; Innovation (UKRI)Engineering &amp; Physical Sciences Research Council (EPSRC))</t>
        </is>
      </c>
      <c r="AF1604" t="inlineStr">
        <is>
          <t>Funding for this work was provided by the European Institute of Technology-Digital (EIT-Digital), activity number 19144. This work was part of the EIT project Quasimodo and the study described was carried out in partnership with Philips, IMEC and Forum Virium Helsinki. Additionally, the authors gratefully acknowledge the financial support from The Total Performance of Low Carbon Buildings in China and the UK (TOP) project funded by the UK EPSRC (grant number EP/N009703/1).</t>
        </is>
      </c>
      <c r="AH1604" t="n">
        <v>72</v>
      </c>
      <c r="AI1604" t="n">
        <v>3</v>
      </c>
      <c r="AJ1604" t="n">
        <v>3</v>
      </c>
      <c r="AK1604" t="n">
        <v>2</v>
      </c>
      <c r="AL1604" t="n">
        <v>9</v>
      </c>
      <c r="AM1604" t="inlineStr">
        <is>
          <t>PERGAMON-ELSEVIER SCIENCE LTD</t>
        </is>
      </c>
      <c r="AN1604" t="inlineStr">
        <is>
          <t>OXFORD</t>
        </is>
      </c>
      <c r="AO1604" t="inlineStr">
        <is>
          <t>THE BOULEVARD, LANGFORD LANE, KIDLINGTON, OXFORD OX5 1GB, ENGLAND</t>
        </is>
      </c>
      <c r="AP1604" t="inlineStr">
        <is>
          <t>1352-2310</t>
        </is>
      </c>
      <c r="AQ1604" t="inlineStr">
        <is>
          <t>1873-2844</t>
        </is>
      </c>
      <c r="AS1604" t="inlineStr">
        <is>
          <t>ATMOS ENVIRON</t>
        </is>
      </c>
      <c r="AT1604" t="inlineStr">
        <is>
          <t>Atmos. Environ.</t>
        </is>
      </c>
      <c r="AU1604" t="inlineStr">
        <is>
          <t>MAR 15</t>
        </is>
      </c>
      <c r="AV1604" t="n">
        <v>2022</v>
      </c>
      <c r="AW1604" t="n">
        <v>273</v>
      </c>
      <c r="BE1604" t="n">
        <v>118955</v>
      </c>
      <c r="BF1604" t="inlineStr">
        <is>
          <t>10.1016/j.atmosenv.2022.118955</t>
        </is>
      </c>
      <c r="BG1604">
        <f>HYPERLINK("http://dx.doi.org/10.1016/j.atmosenv.2022.118955","http://dx.doi.org/10.1016/j.atmosenv.2022.118955")</f>
        <v/>
      </c>
      <c r="BI1604" t="inlineStr">
        <is>
          <t>FEB 2022</t>
        </is>
      </c>
      <c r="BJ1604" t="n">
        <v>13</v>
      </c>
      <c r="BK1604" t="inlineStr">
        <is>
          <t>Environmental Sciences; Meteorology &amp; Atmospheric Sciences</t>
        </is>
      </c>
      <c r="BL1604" t="inlineStr">
        <is>
          <t>Science Citation Index Expanded (SCI-EXPANDED)</t>
        </is>
      </c>
      <c r="BM1604" t="inlineStr">
        <is>
          <t>Environmental Sciences &amp; Ecology; Meteorology &amp; Atmospheric Sciences</t>
        </is>
      </c>
      <c r="BN1604" t="inlineStr">
        <is>
          <t>0V3VF</t>
        </is>
      </c>
      <c r="BP1604" t="inlineStr">
        <is>
          <t>Green Published, hybrid</t>
        </is>
      </c>
      <c r="BS1604" t="inlineStr">
        <is>
          <t>2023-10-26</t>
        </is>
      </c>
      <c r="BT1604" t="inlineStr">
        <is>
          <t>WOS:000788273100005</t>
        </is>
      </c>
      <c r="BU1604">
        <f>HYPERLINK("https%3A%2F%2Fwww.webofscience.com%2Fwos%2Fwoscc%2Ffull-record%2FWOS:000788273100005","View Full Record in Web of Science")</f>
        <v/>
      </c>
    </row>
    <row r="1605">
      <c r="A1605" t="inlineStr">
        <is>
          <t>J</t>
        </is>
      </c>
      <c r="B1605" t="inlineStr">
        <is>
          <t>Markevych, I; Smith, MP; Jochner, S; Standl, M; Brüske, I; von Berg, A; Bauer, CP; Fuks, K; Koletzko, S; Berdel, D; Heinrich, J; Schulz, H</t>
        </is>
      </c>
      <c r="F1605" t="inlineStr">
        <is>
          <t>Markevych, Iana; Smith, Maia P.; Jochner, Susanne; Standl, Marie; Brueske, Irene; von Berg, Andrea; Bauer, Carl-Peter; Fuks, Kateryna; Koletzko, Sibylle; Berdel, Dietrich; Heinrich, Joachim; Schulz, Holger</t>
        </is>
      </c>
      <c r="J1605" t="inlineStr">
        <is>
          <t>ENVIRONMENTAL RESEARCH</t>
        </is>
      </c>
      <c r="M1605" t="inlineStr">
        <is>
          <t>English</t>
        </is>
      </c>
      <c r="N1605" t="inlineStr">
        <is>
          <t>Article</t>
        </is>
      </c>
      <c r="T1605" t="inlineStr">
        <is>
          <t>Neighbourhood and physical activity in German adolescents: GINIplus and LISAplus</t>
        </is>
      </c>
      <c r="U1605" t="inlineStr">
        <is>
          <t>Accelerometry; Built environment; Greenness; Green spaces; Sport facilities</t>
        </is>
      </c>
      <c r="V1605" t="inlineStr">
        <is>
          <t>URBAN GREEN SPACE; BUILT-ENVIRONMENT; CHILDREN; OBESITY; ASSOCIATIONS; HEALTH; ACCELEROMETER; IMPACT; CALIBRATION; PROXIMITY</t>
        </is>
      </c>
      <c r="W1605" t="inlineStr">
        <is>
          <t>Introduction: Impact of neighbourhood on physical activity (PA) is under-investigated in European adolescents, and few studies have used objective data on both exposures and outcomes. Therefore we investigated the association between objectively measured neighbourhood characteristics and PA in 15 year-old German adolescents. Methods: Study populations comprised of 688 adolescents residing in the urban Munich area and 504 from the rural Wesel area from the GINIplus and LISAplus birth cohorts. Neighbourhood was defined as a circular 500-m buffer around the residence. Greenness was calculated 1) as the mean Normalized Difference Vegetation Index (NDVI), and 2) as percent tree cover. Neighbourhood green spaces and sport and leisure facilities were defined as present or absent in a neighbourhood (data only available for Munich). Data on PA were collected from one-week triaxial accelerometry (hip-worn ActiGraph GT3X). Minutes of PA were classified into moderate-to-vigorous (MVPA), light and sedentary using Romanzini's et al, triaxial cutoffs, and averaged over the recording period. Activity diaries were used for differentiation between school and leisure (total minus school) PA. Area-specific associations were assessed by adjusted negative binomial regressions. Results: In the Wesel area, residing in a neighbourhood with higher NDVI was associated with 9% more leisure MVPA among females and with 8% more leisure MVPA in rural dwellers. In the Munich area, residing in a neighbourhood with sport facilities was associated with 9% more leisure MVPA. The latter association was only significant in urban dwellers while neighbourhood leisure facilities increased MVPA in rural dwellers. Estimates were very similar when total MVPA was considered rather than solely leisure. Conclusion: There is indication that neighbourhood features could be associated with MVPA in German adolescents. However, different features seem to be important across sexes and in rural/urban settings, which need to be specifically addressed in future studies. (C) 2016 Elsevier Inc. All rights reserved.</t>
        </is>
      </c>
      <c r="X1605" t="inlineStr">
        <is>
          <t>[Markevych, Iana; Smith, Maia P.; Standl, Marie; Brueske, Irene; Heinrich, Joachim; Schulz, Holger] German Res Ctr Environm Hlth, Helmholtz Zentrum Munchen, Inst Epidemiol 1, Ingolstadter Landstr 1, D-85764 Neuherberg, Germany; [Markevych, Iana] Univ Munich, Div Metab &amp; Nutr Med, Dr von Hauner Childrens Hosp, Munich, Germany; [Jochner, Susanne] Catholic Univ Eichstatt Ingolstadt, Phys Geog Landscape Ecol &amp; Sustainable Ecosyst De, Eichstatt, Germany; [von Berg, Andrea; Berdel, Dietrich] Marien Hosp, Res Inst, Dept Pediat, Wesel, Germany; [Bauer, Carl-Peter] Tech Univ Munich, Dept Pediat, D-80290 Munich, Germany; [Fuks, Kateryna] IUF Leibniz Res Inst Environm Med, Dusseldorf, Germany; [Koletzko, Sibylle] Univ Munich, Div Pediat Gastroenterol &amp; Hepatol, Dr von Hauner Childrens Hosp Munich, Munich, Germany; [Heinrich, Joachim] Univ Hosp Munich LMU, Inst &amp; Outpatient Clin Occupat Social &amp; Environm, Inner City Clin, Munich, Germany; [Schulz, Holger] CPC M, Dresden, Germany</t>
        </is>
      </c>
      <c r="Y1605" t="inlineStr">
        <is>
          <t>Helmholtz Association; Helmholtz-Center Munich - German Research Center for Environmental Health; University of Munich; St. Marien Hospital; Technical University of Munich; Leibniz Institut fur Umweltmedizinische Forschung (IUF); University of Munich; University of Munich</t>
        </is>
      </c>
      <c r="Z1605" t="inlineStr">
        <is>
          <t>Markevych, I (corresponding author), German Res Ctr Environm Hlth, Helmholtz Zentrum Munchen, Inst Epidemiol 1, Ingolstadter Landstr 1, D-85764 Neuherberg, Germany.</t>
        </is>
      </c>
      <c r="AA1605" t="inlineStr">
        <is>
          <t>iana.markevych@helmholtz-muenchen.de</t>
        </is>
      </c>
      <c r="AB1605" t="inlineStr">
        <is>
          <t>Jochner-Oette, Susanne/D-4201-2017; Markevych, Iana/AAQ-3332-2020; Heinrich, Joachim/N-1720-2013; Schulz, Holger/J-5643-2015</t>
        </is>
      </c>
      <c r="AC1605" t="inlineStr">
        <is>
          <t>Markevych, Iana/0000-0002-5214-0748; Heinrich, Joachim/0000-0002-9620-1629; Schulz, Holger/0000-0002-1157-200X; Standl, Marie/0000-0002-5345-2049; Jochner-Oette, Susanne/0000-0002-5371-9516; Fuks, Kateryna/0000-0003-1860-0197; Smith, Maia Phillips/0000-0002-1154-1158</t>
        </is>
      </c>
      <c r="AD1605" t="inlineStr">
        <is>
          <t>Commission of the European Communities; 7th Framework Program (MeDALL project) [261357]; Helmholtz Zentrum Munchen - German Research Center for Environmental Health; Mead Johnson company; Nestle company</t>
        </is>
      </c>
      <c r="AE1605" t="inlineStr">
        <is>
          <t>Commission of the European Communities(European Union (EU)); 7th Framework Program (MeDALL project)(European Union (EU)); Helmholtz Zentrum Munchen - German Research Center for Environmental Health(Helmholtz Association); Mead Johnson company; Nestle company(Nestle SA)</t>
        </is>
      </c>
      <c r="AF1605" t="inlineStr">
        <is>
          <t>The recent 15-year follow-up examinations of the GINIplus and LISAplus studies were supported by the Commission of the European Communities, the 7th Framework Program (MeDALL project, #261357) and the Mead Johnson and Nestle companies (GINIplus only). Physical activity assessment by accelerometry was funded by the Helmholtz Zentrum Munchen - German Research Center for Environmental Health. The aforementioned funding sources had no involvement in the design of the study, collection, analysis and interpretation of data, writing of the report and decision to submit the article for publication.</t>
        </is>
      </c>
      <c r="AH1605" t="n">
        <v>47</v>
      </c>
      <c r="AI1605" t="n">
        <v>32</v>
      </c>
      <c r="AJ1605" t="n">
        <v>33</v>
      </c>
      <c r="AK1605" t="n">
        <v>2</v>
      </c>
      <c r="AL1605" t="n">
        <v>46</v>
      </c>
      <c r="AM1605" t="inlineStr">
        <is>
          <t>ACADEMIC PRESS INC ELSEVIER SCIENCE</t>
        </is>
      </c>
      <c r="AN1605" t="inlineStr">
        <is>
          <t>SAN DIEGO</t>
        </is>
      </c>
      <c r="AO1605" t="inlineStr">
        <is>
          <t>525 B ST, STE 1900, SAN DIEGO, CA 92101-4495 USA</t>
        </is>
      </c>
      <c r="AP1605" t="inlineStr">
        <is>
          <t>0013-9351</t>
        </is>
      </c>
      <c r="AQ1605" t="inlineStr">
        <is>
          <t>1096-0953</t>
        </is>
      </c>
      <c r="AS1605" t="inlineStr">
        <is>
          <t>ENVIRON RES</t>
        </is>
      </c>
      <c r="AT1605" t="inlineStr">
        <is>
          <t>Environ. Res.</t>
        </is>
      </c>
      <c r="AU1605" t="inlineStr">
        <is>
          <t>MAY</t>
        </is>
      </c>
      <c r="AV1605" t="n">
        <v>2016</v>
      </c>
      <c r="AW1605" t="n">
        <v>147</v>
      </c>
      <c r="BC1605" t="n">
        <v>284</v>
      </c>
      <c r="BD1605" t="n">
        <v>293</v>
      </c>
      <c r="BF1605" t="inlineStr">
        <is>
          <t>10.1016/j.envres.2016.02.023</t>
        </is>
      </c>
      <c r="BG1605">
        <f>HYPERLINK("http://dx.doi.org/10.1016/j.envres.2016.02.023","http://dx.doi.org/10.1016/j.envres.2016.02.023")</f>
        <v/>
      </c>
      <c r="BJ1605" t="n">
        <v>10</v>
      </c>
      <c r="BK1605" t="inlineStr">
        <is>
          <t>Environmental Sciences; Public, Environmental &amp; Occupational Health</t>
        </is>
      </c>
      <c r="BL1605" t="inlineStr">
        <is>
          <t>Science Citation Index Expanded (SCI-EXPANDED); Social Science Citation Index (SSCI)</t>
        </is>
      </c>
      <c r="BM1605" t="inlineStr">
        <is>
          <t>Environmental Sciences &amp; Ecology; Public, Environmental &amp; Occupational Health</t>
        </is>
      </c>
      <c r="BN1605" t="inlineStr">
        <is>
          <t>DJ5UN</t>
        </is>
      </c>
      <c r="BO1605" t="n">
        <v>26918842</v>
      </c>
      <c r="BS1605" t="inlineStr">
        <is>
          <t>2023-10-26</t>
        </is>
      </c>
      <c r="BT1605" t="inlineStr">
        <is>
          <t>WOS:000374275700034</t>
        </is>
      </c>
      <c r="BU1605">
        <f>HYPERLINK("https%3A%2F%2Fwww.webofscience.com%2Fwos%2Fwoscc%2Ffull-record%2FWOS:000374275700034","View Full Record in Web of Science")</f>
        <v/>
      </c>
    </row>
    <row r="1606">
      <c r="A1606" t="inlineStr">
        <is>
          <t>J</t>
        </is>
      </c>
      <c r="B1606" t="inlineStr">
        <is>
          <t>Ye, LP; Zhang, XP</t>
        </is>
      </c>
      <c r="F1606" t="inlineStr">
        <is>
          <t>Ye, Liping; Zhang, Xinping</t>
        </is>
      </c>
      <c r="J1606" t="inlineStr">
        <is>
          <t>INTERNATIONAL JOURNAL OF ENVIRONMENTAL RESEARCH AND PUBLIC HEALTH</t>
        </is>
      </c>
      <c r="M1606" t="inlineStr">
        <is>
          <t>English</t>
        </is>
      </c>
      <c r="N1606" t="inlineStr">
        <is>
          <t>Article</t>
        </is>
      </c>
      <c r="T1606" t="inlineStr">
        <is>
          <t>Social Network Types and Health among Older Adults in Rural China: The Mediating Role of Social Support</t>
        </is>
      </c>
      <c r="U1606" t="inlineStr">
        <is>
          <t>social network types; depressive symptoms; self-rated health; social support; rural older adults; cross-sectional study</t>
        </is>
      </c>
      <c r="V1606" t="inlineStr">
        <is>
          <t>NATIONAL SAMPLE; MENTAL-HEALTH; ASSOCIATION; INTEGRATION; DEPRESSION; MECHANISMS; BEHAVIORS; LIFE</t>
        </is>
      </c>
      <c r="W1606" t="inlineStr">
        <is>
          <t>This study aimed to identify social network types among older adults in rural China, to explore the relationship between social network types and the health of the older adults, and further, to examine the mediating role of social support in this relationship. A cross-sectional survey method was employed to investigate the health of adults aged 60 or older in rural areas of Hubei Province from 5 September 2018 to 15 October 2018; 405 samples were obtained. First, using k-means clustering analysis, we found five robust network types: diverse, restricted, family, friends and a specific typefamily-restricted. Second, the results of multiple linear regression analysis showed that social network types were significantly associated with depressive symptoms and self-rated health in older adults. Older people with diverse friend networks were significantly associated with lower levels of depressive symptoms, whereas those with restricted and family-restricted networks were significantly associated with higher levels of depressive symptoms and lower levels of self-rated health. Finally, the results of multiple linear regression analysis confirmed that social support partially mediated the association of the identified social network types with depressive symptoms and self-rated health. Enriching the social network relationships of older adults and providing them with more social support should be conducive to promoting their mental and physical health.</t>
        </is>
      </c>
      <c r="X1606" t="inlineStr">
        <is>
          <t>[Ye, Liping; Zhang, Xinping] Huazhong Univ Sci &amp; Technol, Sch Med &amp; Hlth Management, Tongji Med Coll, Wuhan 430030, Hubei, Peoples R China</t>
        </is>
      </c>
      <c r="Y1606" t="inlineStr">
        <is>
          <t>Huazhong University of Science &amp; Technology</t>
        </is>
      </c>
      <c r="Z1606" t="inlineStr">
        <is>
          <t>Zhang, XP (corresponding author), Huazhong Univ Sci &amp; Technol, Sch Med &amp; Hlth Management, Tongji Med Coll, Wuhan 430030, Hubei, Peoples R China.</t>
        </is>
      </c>
      <c r="AA1606" t="inlineStr">
        <is>
          <t>xiaoye3531@126.com; xpzhang602@hust.edu.cn</t>
        </is>
      </c>
      <c r="AC1606" t="inlineStr">
        <is>
          <t>Zhang, Xinping/0000-0002-0688-2417</t>
        </is>
      </c>
      <c r="AD1606" t="inlineStr">
        <is>
          <t>National Natural Science Foundation of China [71774059]; Major Program of National Fund of Philosophy and Social Science of China [15ZDC037]</t>
        </is>
      </c>
      <c r="AE1606" t="inlineStr">
        <is>
          <t>National Natural Science Foundation of China(National Natural Science Foundation of China (NSFC)); Major Program of National Fund of Philosophy and Social Science of China</t>
        </is>
      </c>
      <c r="AF1606" t="inlineStr">
        <is>
          <t>Supports from the National Natural Science Foundation of China (Grant No. 71774059) and the Major Program of National Fund of Philosophy and Social Science of China (Grant No. 15ZDC037) are acknowledged.</t>
        </is>
      </c>
      <c r="AH1606" t="n">
        <v>47</v>
      </c>
      <c r="AI1606" t="n">
        <v>17</v>
      </c>
      <c r="AJ1606" t="n">
        <v>17</v>
      </c>
      <c r="AK1606" t="n">
        <v>6</v>
      </c>
      <c r="AL1606" t="n">
        <v>56</v>
      </c>
      <c r="AM1606" t="inlineStr">
        <is>
          <t>MDPI</t>
        </is>
      </c>
      <c r="AN1606" t="inlineStr">
        <is>
          <t>BASEL</t>
        </is>
      </c>
      <c r="AO1606" t="inlineStr">
        <is>
          <t>ST ALBAN-ANLAGE 66, CH-4052 BASEL, SWITZERLAND</t>
        </is>
      </c>
      <c r="AQ1606" t="inlineStr">
        <is>
          <t>1660-4601</t>
        </is>
      </c>
      <c r="AS1606" t="inlineStr">
        <is>
          <t>INT J ENV RES PUB HE</t>
        </is>
      </c>
      <c r="AT1606" t="inlineStr">
        <is>
          <t>Int. J. Environ. Res. Public Health</t>
        </is>
      </c>
      <c r="AU1606" t="inlineStr">
        <is>
          <t>FEB 1</t>
        </is>
      </c>
      <c r="AV1606" t="n">
        <v>2019</v>
      </c>
      <c r="AW1606" t="n">
        <v>16</v>
      </c>
      <c r="AX1606" t="n">
        <v>3</v>
      </c>
      <c r="BE1606" t="n">
        <v>410</v>
      </c>
      <c r="BF1606" t="inlineStr">
        <is>
          <t>10.3390/ijerph16030410</t>
        </is>
      </c>
      <c r="BG1606">
        <f>HYPERLINK("http://dx.doi.org/10.3390/ijerph16030410","http://dx.doi.org/10.3390/ijerph16030410")</f>
        <v/>
      </c>
      <c r="BJ1606" t="n">
        <v>14</v>
      </c>
      <c r="BK1606" t="inlineStr">
        <is>
          <t>Environmental Sciences; Public, Environmental &amp; Occupational Health</t>
        </is>
      </c>
      <c r="BL1606" t="inlineStr">
        <is>
          <t>Science Citation Index Expanded (SCI-EXPANDED); Social Science Citation Index (SSCI)</t>
        </is>
      </c>
      <c r="BM1606" t="inlineStr">
        <is>
          <t>Environmental Sciences &amp; Ecology; Public, Environmental &amp; Occupational Health</t>
        </is>
      </c>
      <c r="BN1606" t="inlineStr">
        <is>
          <t>HM0CQ</t>
        </is>
      </c>
      <c r="BO1606" t="n">
        <v>30709015</v>
      </c>
      <c r="BP1606" t="inlineStr">
        <is>
          <t>Green Submitted, gold, Green Published</t>
        </is>
      </c>
      <c r="BS1606" t="inlineStr">
        <is>
          <t>2023-10-26</t>
        </is>
      </c>
      <c r="BT1606" t="inlineStr">
        <is>
          <t>WOS:000459113600116</t>
        </is>
      </c>
      <c r="BU1606">
        <f>HYPERLINK("https%3A%2F%2Fwww.webofscience.com%2Fwos%2Fwoscc%2Ffull-record%2FWOS:000459113600116","View Full Record in Web of Science")</f>
        <v/>
      </c>
    </row>
    <row r="1607">
      <c r="A1607" t="inlineStr">
        <is>
          <t>J</t>
        </is>
      </c>
      <c r="B1607" t="inlineStr">
        <is>
          <t>AshaRani, PV; Lai, D; Koh, J; Subramaniam, M</t>
        </is>
      </c>
      <c r="F1607" t="inlineStr">
        <is>
          <t>AshaRani, P., V; Lai, Damien; Koh, JingXuan; Subramaniam, Mythily</t>
        </is>
      </c>
      <c r="J1607" t="inlineStr">
        <is>
          <t>INTERNATIONAL JOURNAL OF ENVIRONMENTAL RESEARCH AND PUBLIC HEALTH</t>
        </is>
      </c>
      <c r="M1607" t="inlineStr">
        <is>
          <t>English</t>
        </is>
      </c>
      <c r="N1607" t="inlineStr">
        <is>
          <t>Review</t>
        </is>
      </c>
      <c r="T1607" t="inlineStr">
        <is>
          <t>Purpose in Life in Older Adults: A Systematic Review on Conceptualization, Measures, and Determinants</t>
        </is>
      </c>
      <c r="U1607" t="inlineStr">
        <is>
          <t>purpose in life; older adults; conceptualization; measures; determinants</t>
        </is>
      </c>
      <c r="V1607" t="inlineStr">
        <is>
          <t>AGED 85 YEARS; SOCIAL RELATIONSHIPS; COGNITIVE DECLINE; SUICIDE IDEATION; ENGAGEMENT TEST; REDUCED RISK; HEALTH; COMMUNITY; DEPRESSION; DISEASE</t>
        </is>
      </c>
      <c r="W1607" t="inlineStr">
        <is>
          <t>Purpose in life (PIL) is a psychological construct that reflects one's life goals and the desire or determination to pursue them. Having a purpose provides an intrinsic motivation to adopt healthy behaviors as we age, which will help us to achieve positive health outcomes. Thus, promoting PIL is the cornerstone for successful aging and better health outcomes. This systematic review aims to identify how PIL is conceptualized, measured in the existing literature and what are the determinants of PIL in older adults (&gt;= 65 years). Electronic searches were conducted in five databases (Medline, PsychInfo, Embase, CINAHL and Web of Science). A total of 44 studies were included in the review. PIL was conceptualized in six different ways: health and well-being, meaningful goals and purpose, inner strength, social relationships, mattering to others, and spirituality and religiousness. There were six main questionnaires and semi structured interviews used to capture PIL. Female gender, higher education and income, being married, ethnicity, health and well-being, inner strength, social integration and spirituality were associated with PIL. Majority of the included studies had low to moderate Risk of Bias (RoB) assuring confidence in the results. The conceptual frameworks of PIL identified in the review underscore the complexity of the construct. Several sociodemographic and other determinants of PIL were identified.</t>
        </is>
      </c>
      <c r="X1607" t="inlineStr">
        <is>
          <t>[AshaRani, P., V; Subramaniam, Mythily] Inst Mental Hlth, Res Div, 10 Buangkok View, Singapore 539747, Singapore; [Lai, Damien] Inst Mental Hlth, Geriatr Psychiat, 10 Buangkok View, Singapore 539747, Singapore; [Koh, JingXuan] Nanyang Technol Univ, Lee Kong Chian Sch Med, Clin Sci Bldg, Singapore 308207, Singapore; [Subramaniam, Mythily] Natl Univ Singapore, Saw Swee Hock Sch Publ Hlth, Singapore 117549, Singapore</t>
        </is>
      </c>
      <c r="Y1607" t="inlineStr">
        <is>
          <t>Nanyang Technological University &amp; National Institute of Education (NIE) Singapore; Nanyang Technological University; National University of Singapore</t>
        </is>
      </c>
      <c r="Z1607" t="inlineStr">
        <is>
          <t>AshaRani, PV (corresponding author), Inst Mental Hlth, Res Div, 10 Buangkok View, Singapore 539747, Singapore.</t>
        </is>
      </c>
      <c r="AA1607" t="inlineStr">
        <is>
          <t>asharani_pezhummoottil_vasudevan_n@imh.com.sg; damien_pl_lai@imh.com.sg; kohj0056@e.ntu.edu.sg; mythily@imh.com.sg</t>
        </is>
      </c>
      <c r="AB1607" t="inlineStr">
        <is>
          <t>RANI, ASHA/AAF-8641-2019</t>
        </is>
      </c>
      <c r="AC1607" t="inlineStr">
        <is>
          <t>RANI, ASHA/0000-0001-8215-5214; Subramaniam, Mythily/0000-0003-4530-1096</t>
        </is>
      </c>
      <c r="AH1607" t="n">
        <v>102</v>
      </c>
      <c r="AI1607" t="n">
        <v>5</v>
      </c>
      <c r="AJ1607" t="n">
        <v>5</v>
      </c>
      <c r="AK1607" t="n">
        <v>6</v>
      </c>
      <c r="AL1607" t="n">
        <v>19</v>
      </c>
      <c r="AM1607" t="inlineStr">
        <is>
          <t>MDPI</t>
        </is>
      </c>
      <c r="AN1607" t="inlineStr">
        <is>
          <t>BASEL</t>
        </is>
      </c>
      <c r="AO1607" t="inlineStr">
        <is>
          <t>ST ALBAN-ANLAGE 66, CH-4052 BASEL, SWITZERLAND</t>
        </is>
      </c>
      <c r="AQ1607" t="inlineStr">
        <is>
          <t>1660-4601</t>
        </is>
      </c>
      <c r="AS1607" t="inlineStr">
        <is>
          <t>INT J ENV RES PUB HE</t>
        </is>
      </c>
      <c r="AT1607" t="inlineStr">
        <is>
          <t>Int. J. Environ. Res. Public Health</t>
        </is>
      </c>
      <c r="AU1607" t="inlineStr">
        <is>
          <t>MAY</t>
        </is>
      </c>
      <c r="AV1607" t="n">
        <v>2022</v>
      </c>
      <c r="AW1607" t="n">
        <v>19</v>
      </c>
      <c r="AX1607" t="n">
        <v>10</v>
      </c>
      <c r="BE1607" t="n">
        <v>5860</v>
      </c>
      <c r="BF1607" t="inlineStr">
        <is>
          <t>10.3390/ijerph19105860</t>
        </is>
      </c>
      <c r="BG1607">
        <f>HYPERLINK("http://dx.doi.org/10.3390/ijerph19105860","http://dx.doi.org/10.3390/ijerph19105860")</f>
        <v/>
      </c>
      <c r="BJ1607" t="n">
        <v>25</v>
      </c>
      <c r="BK1607" t="inlineStr">
        <is>
          <t>Environmental Sciences; Public, Environmental &amp; Occupational Health</t>
        </is>
      </c>
      <c r="BL1607" t="inlineStr">
        <is>
          <t>Science Citation Index Expanded (SCI-EXPANDED); Social Science Citation Index (SSCI)</t>
        </is>
      </c>
      <c r="BM1607" t="inlineStr">
        <is>
          <t>Environmental Sciences &amp; Ecology; Public, Environmental &amp; Occupational Health</t>
        </is>
      </c>
      <c r="BN1607" t="inlineStr">
        <is>
          <t>1O4BM</t>
        </is>
      </c>
      <c r="BO1607" t="n">
        <v>35627396</v>
      </c>
      <c r="BP1607" t="inlineStr">
        <is>
          <t>gold, Green Published</t>
        </is>
      </c>
      <c r="BS1607" t="inlineStr">
        <is>
          <t>2023-10-26</t>
        </is>
      </c>
      <c r="BT1607" t="inlineStr">
        <is>
          <t>WOS:000801280000001</t>
        </is>
      </c>
      <c r="BU1607">
        <f>HYPERLINK("https%3A%2F%2Fwww.webofscience.com%2Fwos%2Fwoscc%2Ffull-record%2FWOS:000801280000001","View Full Record in Web of Science")</f>
        <v/>
      </c>
    </row>
    <row r="1608">
      <c r="A1608" t="inlineStr">
        <is>
          <t>J</t>
        </is>
      </c>
      <c r="B1608" t="inlineStr">
        <is>
          <t>García-Esquinas, E; Ortolá, R; Buño, A; Olmedo, P; Gil, F; Banegas, JR; Pérez-Gómez, B; Navas-Acién, A; Rodríguez-Artalejo, F</t>
        </is>
      </c>
      <c r="F1608" t="inlineStr">
        <is>
          <t>Garcia-Esquinas, Esther; Ortola, Rosario; Buno, Antonio; Olmedo, Pablo; Gil, Fernando; Banegas, Jose R.; Perez-Gomez, Beatriz; Navas-Acien, Ana; Rodriguez-Artalejo, Fernando</t>
        </is>
      </c>
      <c r="J1608" t="inlineStr">
        <is>
          <t>ENVIRONMENTAL RESEARCH</t>
        </is>
      </c>
      <c r="M1608" t="inlineStr">
        <is>
          <t>English</t>
        </is>
      </c>
      <c r="N1608" t="inlineStr">
        <is>
          <t>Article</t>
        </is>
      </c>
      <c r="T1608" t="inlineStr">
        <is>
          <t>Cadmium exposure and growth differentiation factor-15 (GDF-15) levels in non-smoking older adults</t>
        </is>
      </c>
      <c r="U1608" t="inlineStr">
        <is>
          <t>Cadmium; Growth differentiation factor-15; Older adults</t>
        </is>
      </c>
      <c r="V1608" t="inlineStr">
        <is>
          <t>LEAD; PHOSPHORYLATION; DISEASE; BLOOD</t>
        </is>
      </c>
      <c r="W1608" t="inlineStr">
        <is>
          <t>Background: Cadmium (Cd) exposure is a risk factor for cardiovascular disease (CVD); however, understanding the effects of Cd at the cellular level remains incomplete. Since growth differentiation factor-15 (GDF-15) is a cytokine produced in many cell types in response to tissue injury and inflammation that may capture several pathways between Cd and CVD, this study examined the relationship between blood Cd levels and serum GDF-15 concentrations in community-dwelling older adults. Methods: Cd and GDF-15 were measured in 1942 non-smoking individuals aged 65+ with no previous history of CVD. The association of Cd with GDF-15 was evaluated in linear regression models that adjusted for sociodemographic, lifestyle and biological risk factors, inflammatory biomarkers (IL-6, C-reactive protein and neutrophil to lymphocyte ratio), and markers of vascular damage (NTproBNP and cTnT-hs). Results: Geometric mean Cd exposure was 0.11 mu g/L (0.09 in never- and 0.15 in former-smokers) and geometric mean GDF-15 was 1186.21 mu g/mL (1182.67 in never- and 1191.66 in former-smokers). In multivariable analyses, we found a dose-response association between Cd levels and GDF-15: adjusted mean percentage differences in GDF-15 (95% confidence interval) per 2-fold increase in Cd concentrations in the overall non-smoking population and in never smokers were, respectively, 2.54% (1.01, 4.06) and 2.50% (0.47, 4.54). In spline regression, the dose-response relationship was progressive over the range of Cd concentrations with no significant departures from linearity. Conclusions: Cd exposure may be related to enhanced GDF-15 expression. Future studies with repeated GDF-15 measurements should confirm the present findings to better understand the biological mechanisms underlying this association.</t>
        </is>
      </c>
      <c r="X1608" t="inlineStr">
        <is>
          <t>[Garcia-Esquinas, Esther; Ortola, Rosario; Banegas, Jose R.; Rodriguez-Artalejo, Fernando] Univ Autonoma Madrid, Sch Med, Dept Prevent Med &amp; Publ Hlth, Madrid, Spain; [Garcia-Esquinas, Esther; Ortola, Rosario; Banegas, Jose R.; Rodriguez-Artalejo, Fernando] Hosp Univ La Paz, IdiPaz Inst Invest Sanitaria, Madrid, Spain; [Garcia-Esquinas, Esther; Ortola, Rosario; Buno, Antonio; Banegas, Jose R.; Perez-Gomez, Beatriz; Rodriguez-Artalejo, Fernando] CIBERESP CIBER Epidemiol &amp; Publ Hlth, Madrid, Spain; [Buno, Antonio] La Paz Univ Hosp, Dept Lab Med, Madrid, Spain; [Olmedo, Pablo; Gil, Fernando] Univ Granada, Sch Med, Dept Legal Med Toxicol &amp; Phys Anthropol, Granada, Spain; [Perez-Gomez, Beatriz] Inst Salud Carlos III, Natl Ctr Epidemiol, Madrid, Spain; [Navas-Acien, Ana] Columbia Univ, Mailman Sch Publ Hlth, Dept Environm Hlth Sci, New York, NY USA; [Rodriguez-Artalejo, Fernando] CEI UAM CSIC, IMDEA Food Inst, Madrid, Spain</t>
        </is>
      </c>
      <c r="Y1608" t="inlineStr">
        <is>
          <t>Autonomous University of Madrid; Hospital Universitario La Paz; CIBER - Centro de Investigacion Biomedica en Red; CIBERESP; Hospital Universitario La Paz; University of Granada; Instituto de Salud Carlos III; Columbia University; IMDEA Food Institute; Consejo Superior de Investigaciones Cientificas (CSIC)</t>
        </is>
      </c>
      <c r="Z1608" t="inlineStr">
        <is>
          <t>García-Esquinas, E (corresponding author), Univ Autonoma Madrid Spain, Dept Med Prevent &amp; Salud Publ, Calle Arzobispo Morcillo 4, Madrid 28029, Spain.</t>
        </is>
      </c>
      <c r="AA1608" t="inlineStr">
        <is>
          <t>esthergge@gmail.com</t>
        </is>
      </c>
      <c r="AB1608" t="inlineStr">
        <is>
          <t>garcia, esther/AAR-8372-2021; Perez-Gomez, Beatriz/C-4715-2012; n, a/HRA-1392-2023; Ortolá, Rosario/V-4807-2019; Gil, Fernando/AAS-6458-2020</t>
        </is>
      </c>
      <c r="AC1608" t="inlineStr">
        <is>
          <t>Perez-Gomez, Beatriz/0000-0002-4299-8214; Ortolá, Rosario/0000-0001-6952-9533; garcia-esquinas, Esther/0000-0002-8688-5174; BUNO SOTO, ANTONIO/0000-0002-8306-889X; Rodriguez Artalejo, Fernando/0000-0001-9317-5755; Olmedo Palma, Pablo/0000-0001-5022-6495</t>
        </is>
      </c>
      <c r="AD1608" t="inlineStr">
        <is>
          <t>Instituto de Salud Carlos III, State Secretary of R+D+I; FEDER/FSE (FIS) [16/609, 18/287, 19/319]; Fundacion Francisco Soria Melguizo</t>
        </is>
      </c>
      <c r="AE1608" t="inlineStr">
        <is>
          <t>Instituto de Salud Carlos III, State Secretary of R+D+I; FEDER/FSE (FIS); Fundacion Francisco Soria Melguizo</t>
        </is>
      </c>
      <c r="AF1608" t="inlineStr">
        <is>
          <t>This work was supported by the Instituto de Salud Carlos III, State Secretary of R+D+I and FEDER/FSE (FIS grants 16/609, 18/287, 19/319), and the MITOFUN project from the Fundacion Francisco Soria Melguizo. Reagents for measuring Growth Differentiation Factor 15 have been provided by Roche Diagnostics International through a Research Agreement with the FUAM (Fundacion de la Universidad Autonoma de Madrid). The funding agencies had no role in study design, data collection and analysis, interpretation of results, manuscript preparation or the decision to submit this manuscript for publication.</t>
        </is>
      </c>
      <c r="AH1608" t="n">
        <v>46</v>
      </c>
      <c r="AI1608" t="n">
        <v>1</v>
      </c>
      <c r="AJ1608" t="n">
        <v>1</v>
      </c>
      <c r="AK1608" t="n">
        <v>0</v>
      </c>
      <c r="AL1608" t="n">
        <v>8</v>
      </c>
      <c r="AM1608" t="inlineStr">
        <is>
          <t>ACADEMIC PRESS INC ELSEVIER SCIENCE</t>
        </is>
      </c>
      <c r="AN1608" t="inlineStr">
        <is>
          <t>SAN DIEGO</t>
        </is>
      </c>
      <c r="AO1608" t="inlineStr">
        <is>
          <t>525 B ST, STE 1900, SAN DIEGO, CA 92101-4495 USA</t>
        </is>
      </c>
      <c r="AP1608" t="inlineStr">
        <is>
          <t>0013-9351</t>
        </is>
      </c>
      <c r="AQ1608" t="inlineStr">
        <is>
          <t>1096-0953</t>
        </is>
      </c>
      <c r="AS1608" t="inlineStr">
        <is>
          <t>ENVIRON RES</t>
        </is>
      </c>
      <c r="AT1608" t="inlineStr">
        <is>
          <t>Environ. Res.</t>
        </is>
      </c>
      <c r="AU1608" t="inlineStr">
        <is>
          <t>APR 15</t>
        </is>
      </c>
      <c r="AV1608" t="n">
        <v>2022</v>
      </c>
      <c r="AW1608" t="n">
        <v>206</v>
      </c>
      <c r="BE1608" t="n">
        <v>112250</v>
      </c>
      <c r="BF1608" t="inlineStr">
        <is>
          <t>10.1016/j.envres.2021.112250</t>
        </is>
      </c>
      <c r="BG1608">
        <f>HYPERLINK("http://dx.doi.org/10.1016/j.envres.2021.112250","http://dx.doi.org/10.1016/j.envres.2021.112250")</f>
        <v/>
      </c>
      <c r="BI1608" t="inlineStr">
        <is>
          <t>JAN 2022</t>
        </is>
      </c>
      <c r="BJ1608" t="n">
        <v>6</v>
      </c>
      <c r="BK1608" t="inlineStr">
        <is>
          <t>Environmental Sciences; Public, Environmental &amp; Occupational Health</t>
        </is>
      </c>
      <c r="BL1608" t="inlineStr">
        <is>
          <t>Science Citation Index Expanded (SCI-EXPANDED)</t>
        </is>
      </c>
      <c r="BM1608" t="inlineStr">
        <is>
          <t>Environmental Sciences &amp; Ecology; Public, Environmental &amp; Occupational Health</t>
        </is>
      </c>
      <c r="BN1608" t="inlineStr">
        <is>
          <t>ZP4YF</t>
        </is>
      </c>
      <c r="BO1608" t="n">
        <v>34695433</v>
      </c>
      <c r="BS1608" t="inlineStr">
        <is>
          <t>2023-10-26</t>
        </is>
      </c>
      <c r="BT1608" t="inlineStr">
        <is>
          <t>WOS:000766429300003</t>
        </is>
      </c>
      <c r="BU1608">
        <f>HYPERLINK("https%3A%2F%2Fwww.webofscience.com%2Fwos%2Fwoscc%2Ffull-record%2FWOS:000766429300003","View Full Record in Web of Science")</f>
        <v/>
      </c>
    </row>
    <row r="1609">
      <c r="A1609" t="inlineStr">
        <is>
          <t>J</t>
        </is>
      </c>
      <c r="B1609" t="inlineStr">
        <is>
          <t>Wu, S; Hayati, SK; Kim, E; de la Mata, AP; Harynuk, JJ; Wang, C; Zhao, R</t>
        </is>
      </c>
      <c r="F1609" t="inlineStr">
        <is>
          <t>Wu, Shuang; Hayati, Siti K.; Kim, Erica; de la Mata, A. Paulina; Harynuk, James J.; Wang, Chen; Zhao, Ran</t>
        </is>
      </c>
      <c r="J1609" t="inlineStr">
        <is>
          <t>ENVIRONMENTAL SCIENCE &amp; TECHNOLOGY</t>
        </is>
      </c>
      <c r="M1609" t="inlineStr">
        <is>
          <t>English</t>
        </is>
      </c>
      <c r="N1609" t="inlineStr">
        <is>
          <t>Article</t>
        </is>
      </c>
      <c r="T1609" t="inlineStr">
        <is>
          <t>Henry?s Law Constants and Indoor Partitioning of Microbial VolatileOrganic Compounds</t>
        </is>
      </c>
      <c r="U1609" t="inlineStr">
        <is>
          <t>Henry?s law constant; equilibrium partitioning; microbial volatile organic compounds; indoor environment; chemical partitioning; indoor air quality; chemical exposure</t>
        </is>
      </c>
      <c r="V1609" t="inlineStr">
        <is>
          <t>SEMIVOLATILE ORGANIC-COMPOUNDS; SICK BUILDING SYNDROME; GAS-EXCHANGE; WATER; COEFFICIENTS; HEADSPACE; 1-OCTEN-3-OL; TEMPERATURE; ADSORPTION; CONGENERS</t>
        </is>
      </c>
      <c r="W1609" t="inlineStr">
        <is>
          <t>Microbial volatile organic compounds (MVOCs)play an essential role in many environmentalfields, such as indoorair quality. Long-term exposure to odorous and toxic MVOCs cannegatively affect the health of occupants. Recently, the involvementof surface reservoirs in indoor chemistry has been realized, whichsignifies the importance of the phase partitioning of volatileorganic pollutants. However, reliable partition coefficients of manyMVOCs are currently lacking. Equilibrium partition coefficients,such as Henry's law constant,H, are crucial for understanding theenvironmental behavior of chemicals. This study aims toexperimentally determine theHvalues and their temperaturedependence for key MVOCs under temperature relevant to theindoor environment. TheHvalues were determined with the inert gas-stripping (IGS) method and variable phase ratio headspace(VPR-HS) technique. A two-dimensional partitioning model was applied to predict the indoor phase distribution of MVOCs andpotential exposure pathways to the residences. Thefindings show that the MVOCs are likely distributed between the gas and weaklypolar (e.g., organic-rich) reservoirs indoors. Temperature and the volume of reservoirs can sensitively affect indoor partitioning. Ourresults give a more comprehensive view of indoor chemical partitioning and exposure.</t>
        </is>
      </c>
      <c r="X1609" t="inlineStr">
        <is>
          <t>[Wu, Shuang; Hayati, Siti K.; Kim, Erica; de la Mata, A. Paulina; Harynuk, James J.; Zhao, Ran] Univ Alberta, Dept Chem, Edmonton, AB T6G 2G2, Canada; [Wang, Chen] Southern Univ Sci &amp; Technol, Sch Environm Sci &amp; Engn, Shenzhen 518055, Guangdong, Peoples R China</t>
        </is>
      </c>
      <c r="Y1609" t="inlineStr">
        <is>
          <t>University of Alberta; Southern University of Science &amp; Technology</t>
        </is>
      </c>
      <c r="Z1609" t="inlineStr">
        <is>
          <t>Zhao, R (corresponding author), Univ Alberta, Dept Chem, Edmonton, AB T6G 2G2, Canada.</t>
        </is>
      </c>
      <c r="AA1609" t="inlineStr">
        <is>
          <t>rz@ualberta.ca</t>
        </is>
      </c>
      <c r="AB1609" t="inlineStr">
        <is>
          <t>Wang, Chen/A-5674-2018; Harynuk, James/F-5405-2012</t>
        </is>
      </c>
      <c r="AC1609" t="inlineStr">
        <is>
          <t>Wang, Chen/0000-0001-9565-8777; Wu, Shuang/0000-0001-6374-198X; Harynuk, James/0000-0002-9627-5206; Zhao, Ran/0000-0002-1096-7632</t>
        </is>
      </c>
      <c r="AD1609" t="inlineStr">
        <is>
          <t>Natural Sciences and Engineering Research Council of Canada [RGPIN-2018-03814]; University of Alberta; Alberta Graduate Excellence Scholarship; NSERC USRA; Lloyd and Margaret Cooley Memorial Studentship in Analytical Chemistry</t>
        </is>
      </c>
      <c r="AE1609" t="inlineStr">
        <is>
          <t>Natural Sciences and Engineering Research Council of Canada(Natural Sciences and Engineering Research Council of Canada (NSERC)CGIAR); University of Alberta(University of Alberta); Alberta Graduate Excellence Scholarship; NSERC USRA(Natural Sciences and Engineering Research Council of Canada (NSERC)); Lloyd and Margaret Cooley Memorial Studentship in Analytical Chemistry</t>
        </is>
      </c>
      <c r="AF1609" t="inlineStr">
        <is>
          <t>This research was supported by the Natural Sciences and Engineering Research Council of Canada (Award Number: RGPIN-2018-03814) and the University of Alberta. The authors thank the Harynuk Group members (Ryan Dias, Trevor Johnson) for assistance in GC-FID, Jason Dibbs and the Glass Shop for assistance in glassware, and Dr. Frank Wania and Sivani Baskaran for helpful discussions. S.W. thanks the Alberta Graduate Excellence Scholarship for funding. E.K. thanks the NSERC USRA and the Lloyd and Margaret Cooley Memorial Studentship in Analytical Chemistry for funding.</t>
        </is>
      </c>
      <c r="AH1609" t="n">
        <v>73</v>
      </c>
      <c r="AI1609" t="n">
        <v>6</v>
      </c>
      <c r="AJ1609" t="n">
        <v>6</v>
      </c>
      <c r="AK1609" t="n">
        <v>7</v>
      </c>
      <c r="AL1609" t="n">
        <v>24</v>
      </c>
      <c r="AM1609" t="inlineStr">
        <is>
          <t>AMER CHEMICAL SOC</t>
        </is>
      </c>
      <c r="AN1609" t="inlineStr">
        <is>
          <t>WASHINGTON</t>
        </is>
      </c>
      <c r="AO1609" t="inlineStr">
        <is>
          <t>1155 16TH ST, NW, WASHINGTON, DC 20036 USA</t>
        </is>
      </c>
      <c r="AP1609" t="inlineStr">
        <is>
          <t>0013-936X</t>
        </is>
      </c>
      <c r="AQ1609" t="inlineStr">
        <is>
          <t>1520-5851</t>
        </is>
      </c>
      <c r="AS1609" t="inlineStr">
        <is>
          <t>ENVIRON SCI TECHNOL</t>
        </is>
      </c>
      <c r="AT1609" t="inlineStr">
        <is>
          <t>Environ. Sci. Technol.</t>
        </is>
      </c>
      <c r="AU1609" t="inlineStr">
        <is>
          <t>JUN 7</t>
        </is>
      </c>
      <c r="AV1609" t="n">
        <v>2022</v>
      </c>
      <c r="AW1609" t="n">
        <v>56</v>
      </c>
      <c r="AX1609" t="n">
        <v>11</v>
      </c>
      <c r="BC1609" t="n">
        <v>7143</v>
      </c>
      <c r="BD1609" t="n">
        <v>7152</v>
      </c>
      <c r="BF1609" t="inlineStr">
        <is>
          <t>10.1021/acs.est.1c07882</t>
        </is>
      </c>
      <c r="BG1609">
        <f>HYPERLINK("http://dx.doi.org/10.1021/acs.est.1c07882","http://dx.doi.org/10.1021/acs.est.1c07882")</f>
        <v/>
      </c>
      <c r="BJ1609" t="n">
        <v>10</v>
      </c>
      <c r="BK1609" t="inlineStr">
        <is>
          <t>Engineering, Environmental; Environmental Sciences</t>
        </is>
      </c>
      <c r="BL1609" t="inlineStr">
        <is>
          <t>Science Citation Index Expanded (SCI-EXPANDED)</t>
        </is>
      </c>
      <c r="BM1609" t="inlineStr">
        <is>
          <t>Engineering; Environmental Sciences &amp; Ecology</t>
        </is>
      </c>
      <c r="BN1609" t="inlineStr">
        <is>
          <t>2C2DB</t>
        </is>
      </c>
      <c r="BO1609" t="n">
        <v>35522906</v>
      </c>
      <c r="BS1609" t="inlineStr">
        <is>
          <t>2023-10-26</t>
        </is>
      </c>
      <c r="BT1609" t="inlineStr">
        <is>
          <t>WOS:000810684000032</t>
        </is>
      </c>
      <c r="BU1609">
        <f>HYPERLINK("https%3A%2F%2Fwww.webofscience.com%2Fwos%2Fwoscc%2Ffull-record%2FWOS:000810684000032","View Full Record in Web of Science")</f>
        <v/>
      </c>
    </row>
    <row r="1610">
      <c r="A1610" t="inlineStr">
        <is>
          <t>J</t>
        </is>
      </c>
      <c r="B1610" t="inlineStr">
        <is>
          <t>Munaro, MR; Tavares, SF; Bragança, L</t>
        </is>
      </c>
      <c r="F1610" t="inlineStr">
        <is>
          <t>Munaro, Mayara Regina; Tavares, Sergio Fernando; Braganca, Luis</t>
        </is>
      </c>
      <c r="J1610" t="inlineStr">
        <is>
          <t>JOURNAL OF CLEANER PRODUCTION</t>
        </is>
      </c>
      <c r="M1610" t="inlineStr">
        <is>
          <t>English</t>
        </is>
      </c>
      <c r="N1610" t="inlineStr">
        <is>
          <t>Review</t>
        </is>
      </c>
      <c r="T1610" t="inlineStr">
        <is>
          <t>Towards circular and more sustainable buildings: A systematic literature review on the circular economy in the built environment</t>
        </is>
      </c>
      <c r="U1610" t="inlineStr">
        <is>
          <t>Circular economy; Construction; Built environment; Systematic literature review</t>
        </is>
      </c>
      <c r="V1610" t="inlineStr">
        <is>
          <t>DEMOLITION WASTE; MATERIAL STOCKS; CONSTRUCTION; MANAGEMENT; KNOWLEDGE; FRAMEWORK</t>
        </is>
      </c>
      <c r="W1610" t="inlineStr">
        <is>
          <t>The built environment exerts great pressure on natural resources. Its role in the transition to a circular economy (CE) is critical. However, research from a holistic perspective, including how new business models can enable materials to increase their residual values, need to be deepened. This study provides a comprehensive and holistic overview of how the built environment approaches the study and the actions of the circular economy. Through a systematic literature review, 318 papers were selected and evaluated by two optics: i) a descriptive analysis and ii) a thematic analysis. The descriptive analysis highlights the relevance and incipient nature of circular thinking, the qualitative nature of the research, and the predominance of European countries and China at the forefront of circular research. In the thematic analysis, five axes were established as guiding lines of research, which evidenced the focus of research on minimizing and reusing construction and demolition waste. This study aims to provide the state of the art on CE research through a literature review. The results show research gaps and a theoretical framework was proposed to guide future research. The need for more explanations about CE and circular business models is highlighted, as well as greater integration between stakeholders in the construction value chain. Government support, such as subsidies, laws and tax incentives, is crucial to the strategic performance of decision-makers to introduce circular principles and make buildings and the built environment more sustainable. (C) 2020 Elsevier Ltd. All rights reserved.</t>
        </is>
      </c>
      <c r="X1610" t="inlineStr">
        <is>
          <t>[Munaro, Mayara Regina; Tavares, Sergio Fernando] Univ Fed Parana, Dept Civil Construct Engn, Ctr Politecn, BR-81531980 Curitiba, PR, Brazil; [Braganca, Luis] Univ Minho, Dept Civil Engn, Campus Azurem, P-4800048 Guimaraes, Portugal</t>
        </is>
      </c>
      <c r="Y1610" t="inlineStr">
        <is>
          <t>Universidade Federal do Parana; Universidade do Minho</t>
        </is>
      </c>
      <c r="Z1610" t="inlineStr">
        <is>
          <t>Munaro, MR (corresponding author), Univ Fed Parana, Dept Civil Construct Engn, Ctr Politecn, BR-81531980 Curitiba, PR, Brazil.</t>
        </is>
      </c>
      <c r="AA1610" t="inlineStr">
        <is>
          <t>mayara.munaro@ufpr.br</t>
        </is>
      </c>
      <c r="AB1610" t="inlineStr">
        <is>
          <t>Tavares, Sergio Fernando/N-5891-2016; Braganca, Luis/A-7009-2013</t>
        </is>
      </c>
      <c r="AC1610" t="inlineStr">
        <is>
          <t>Braganca, Luis/0000-0003-4246-8157; Munaro, Mayara Regina/0000-0002-5301-4946; Tavares, Sergio Fernando/0000-0001-6492-7911</t>
        </is>
      </c>
      <c r="AD1610" t="inlineStr">
        <is>
          <t>Federal University of Parana (UFPR); Postgraduate Program in Civil Construction Engineering (PPGECC); Personnel Improvement Coordination of High Level (CAPES)</t>
        </is>
      </c>
      <c r="AE1610" t="inlineStr">
        <is>
          <t>Federal University of Parana (UFPR); Postgraduate Program in Civil Construction Engineering (PPGECC); Personnel Improvement Coordination of High Level (CAPES)(Coordenacao de Aperfeicoamento de Pessoal de Nivel Superior (CAPES))</t>
        </is>
      </c>
      <c r="AF1610" t="inlineStr">
        <is>
          <t>The authors wish to acknowledge the Federal University of Parana (UFPR), Postgraduate Program in Civil Construction Engineering (PPGECC), and Personnel Improvement Coordination of High Level (CAPES) for financial support.</t>
        </is>
      </c>
      <c r="AH1610" t="n">
        <v>46</v>
      </c>
      <c r="AI1610" t="n">
        <v>131</v>
      </c>
      <c r="AJ1610" t="n">
        <v>132</v>
      </c>
      <c r="AK1610" t="n">
        <v>22</v>
      </c>
      <c r="AL1610" t="n">
        <v>120</v>
      </c>
      <c r="AM1610" t="inlineStr">
        <is>
          <t>ELSEVIER SCI LTD</t>
        </is>
      </c>
      <c r="AN1610" t="inlineStr">
        <is>
          <t>OXFORD</t>
        </is>
      </c>
      <c r="AO1610" t="inlineStr">
        <is>
          <t>THE BOULEVARD, LANGFORD LANE, KIDLINGTON, OXFORD OX5 1GB, OXON, ENGLAND</t>
        </is>
      </c>
      <c r="AP1610" t="inlineStr">
        <is>
          <t>0959-6526</t>
        </is>
      </c>
      <c r="AQ1610" t="inlineStr">
        <is>
          <t>1879-1786</t>
        </is>
      </c>
      <c r="AS1610" t="inlineStr">
        <is>
          <t>J CLEAN PROD</t>
        </is>
      </c>
      <c r="AT1610" t="inlineStr">
        <is>
          <t>J. Clean Prod.</t>
        </is>
      </c>
      <c r="AU1610" t="inlineStr">
        <is>
          <t>JUL 1</t>
        </is>
      </c>
      <c r="AV1610" t="n">
        <v>2020</v>
      </c>
      <c r="AW1610" t="n">
        <v>260</v>
      </c>
      <c r="BE1610" t="n">
        <v>121134</v>
      </c>
      <c r="BF1610" t="inlineStr">
        <is>
          <t>10.1016/j.jclepro.2020.121134</t>
        </is>
      </c>
      <c r="BG1610">
        <f>HYPERLINK("http://dx.doi.org/10.1016/j.jclepro.2020.121134","http://dx.doi.org/10.1016/j.jclepro.2020.121134")</f>
        <v/>
      </c>
      <c r="BJ1610" t="n">
        <v>25</v>
      </c>
      <c r="BK1610" t="inlineStr">
        <is>
          <t>Green &amp; Sustainable Science &amp; Technology; Engineering, Environmental; Environmental Sciences</t>
        </is>
      </c>
      <c r="BL1610" t="inlineStr">
        <is>
          <t>Science Citation Index Expanded (SCI-EXPANDED)</t>
        </is>
      </c>
      <c r="BM1610" t="inlineStr">
        <is>
          <t>Science &amp; Technology - Other Topics; Engineering; Environmental Sciences &amp; Ecology</t>
        </is>
      </c>
      <c r="BN1610" t="inlineStr">
        <is>
          <t>LL4XZ</t>
        </is>
      </c>
      <c r="BS1610" t="inlineStr">
        <is>
          <t>2023-10-26</t>
        </is>
      </c>
      <c r="BT1610" t="inlineStr">
        <is>
          <t>WOS:000531562000001</t>
        </is>
      </c>
      <c r="BU1610">
        <f>HYPERLINK("https%3A%2F%2Fwww.webofscience.com%2Fwos%2Fwoscc%2Ffull-record%2FWOS:000531562000001","View Full Record in Web of Science")</f>
        <v/>
      </c>
    </row>
    <row r="1611">
      <c r="A1611" t="inlineStr">
        <is>
          <t>J</t>
        </is>
      </c>
      <c r="B1611" t="inlineStr">
        <is>
          <t>Wu, SZ; Pan, C; Yao, LH; Wu, XJ</t>
        </is>
      </c>
      <c r="F1611" t="inlineStr">
        <is>
          <t>Wu, Shengzhen; Pan, Chen; Yao, Lihao; Wu, Xiaojing</t>
        </is>
      </c>
      <c r="J1611" t="inlineStr">
        <is>
          <t>INTERNATIONAL JOURNAL OF ENVIRONMENTAL RESEARCH AND PUBLIC HEALTH</t>
        </is>
      </c>
      <c r="M1611" t="inlineStr">
        <is>
          <t>English</t>
        </is>
      </c>
      <c r="N1611" t="inlineStr">
        <is>
          <t>Article</t>
        </is>
      </c>
      <c r="T1611" t="inlineStr">
        <is>
          <t>The Impact of the Urban Built Environment on the Play Behavior of Children with ASD</t>
        </is>
      </c>
      <c r="U1611" t="inlineStr">
        <is>
          <t>children with ASD; social anxiety; play behavior; urban built environment</t>
        </is>
      </c>
      <c r="V1611" t="inlineStr">
        <is>
          <t>INDEPENDENT MOBILITY; SOCIAL-COMMUNICATION; YOUNG-CHILDREN; GREEN SPACE; AUTISM; TRAVEL; YOUTH</t>
        </is>
      </c>
      <c r="W1611" t="inlineStr">
        <is>
          <t>Anxiety caused by the lack of social skills is the biggest problem faced by children with ASD. Playing can improve children's social skills and relieve anxiety. This study aimed to explore the influence of urban built environments on ASD children's play behavior. The participants in this study were 57 parents of children with ASD. An anonymous questionnaire was used to collect and analyze data. At the same time, retrospective semi-structured interviews with 31 parents of ASD children were performed to validate the data analysis results. The results showed that lower residential building density, higher residential greening and higher destination accessibility have positive effects on ASD children's play behavior. Excellent transportation facilities and high NDVI vegetation coverage have positive effects on the play behavior of children with ASD. More recreational facilities and recreational playability have positive impacts on the play behavior of children with ASD. The population density and number of children in the destination, as well as public facilities, influence the play behavior of children with ASD. The research results can promote the integration of this group into urban life and further promote social equity. At the same time, with the social needs of autistic children as an intermediary, it is expected to further explore new directions for sustainable urban development. Finally, combined with the research results, parents of ASD children are given proposals for how to increase the likelihood of children's play behavior by choosing appropriate urban built environments.</t>
        </is>
      </c>
      <c r="X1611" t="inlineStr">
        <is>
          <t>[Wu, Shengzhen] Jimei Univ, Coll Arts &amp; Design, Xiamen 361000, Peoples R China; [Pan, Chen] Guangdong Univ Petrochem Technol, Sch Art &amp; Design, Maoming 525000, Peoples R China; [Yao, Lihao] Guangdong Ocean Univ, Coll Coastal Agr Sci, Zhanjiang 524000, Peoples R China; [Yao, Lihao] Zhuhai Coll Sci &amp; Technol, Sch Architecture &amp; Urban Planning, Zhuhai 519041, Peoples R China; [Wu, Xiaojing] Fujian Econ &amp; Trade Sch, Dept Econ Management, Quanzhou 362000, Peoples R China</t>
        </is>
      </c>
      <c r="Y1611" t="inlineStr">
        <is>
          <t>Jimei University; Guangdong University of Petrochemical Technology; Guangdong Ocean University</t>
        </is>
      </c>
      <c r="Z1611" t="inlineStr">
        <is>
          <t>Pan, C (corresponding author), Guangdong Univ Petrochem Technol, Sch Art &amp; Design, Maoming 525000, Peoples R China.;Yao, LH (corresponding author), Guangdong Ocean Univ, Coll Coastal Agr Sci, Zhanjiang 524000, Peoples R China.;Yao, LH (corresponding author), Zhuhai Coll Sci &amp; Technol, Sch Architecture &amp; Urban Planning, Zhuhai 519041, Peoples R China.</t>
        </is>
      </c>
      <c r="AA1611" t="inlineStr">
        <is>
          <t>u19092100017@cityu.mo; ylh@zcst.edu.cn</t>
        </is>
      </c>
      <c r="AB1611" t="inlineStr">
        <is>
          <t>Lihao, Yao/GWZ-3613-2022</t>
        </is>
      </c>
      <c r="AC1611" t="inlineStr">
        <is>
          <t>Lihao, Yao/0000-0001-7175-0042</t>
        </is>
      </c>
      <c r="AH1611" t="n">
        <v>31</v>
      </c>
      <c r="AI1611" t="n">
        <v>0</v>
      </c>
      <c r="AJ1611" t="n">
        <v>0</v>
      </c>
      <c r="AK1611" t="n">
        <v>10</v>
      </c>
      <c r="AL1611" t="n">
        <v>15</v>
      </c>
      <c r="AM1611" t="inlineStr">
        <is>
          <t>MDPI</t>
        </is>
      </c>
      <c r="AN1611" t="inlineStr">
        <is>
          <t>BASEL</t>
        </is>
      </c>
      <c r="AO1611" t="inlineStr">
        <is>
          <t>ST ALBAN-ANLAGE 66, CH-4052 BASEL, SWITZERLAND</t>
        </is>
      </c>
      <c r="AQ1611" t="inlineStr">
        <is>
          <t>1660-4601</t>
        </is>
      </c>
      <c r="AS1611" t="inlineStr">
        <is>
          <t>INT J ENV RES PUB HE</t>
        </is>
      </c>
      <c r="AT1611" t="inlineStr">
        <is>
          <t>Int. J. Environ. Res. Public Health</t>
        </is>
      </c>
      <c r="AU1611" t="inlineStr">
        <is>
          <t>NOV</t>
        </is>
      </c>
      <c r="AV1611" t="n">
        <v>2022</v>
      </c>
      <c r="AW1611" t="n">
        <v>19</v>
      </c>
      <c r="AX1611" t="n">
        <v>22</v>
      </c>
      <c r="BE1611" t="n">
        <v>14752</v>
      </c>
      <c r="BF1611" t="inlineStr">
        <is>
          <t>10.3390/ijerph192214752</t>
        </is>
      </c>
      <c r="BG1611">
        <f>HYPERLINK("http://dx.doi.org/10.3390/ijerph192214752","http://dx.doi.org/10.3390/ijerph192214752")</f>
        <v/>
      </c>
      <c r="BJ1611" t="n">
        <v>14</v>
      </c>
      <c r="BK1611" t="inlineStr">
        <is>
          <t>Environmental Sciences; Public, Environmental &amp; Occupational Health</t>
        </is>
      </c>
      <c r="BL1611" t="inlineStr">
        <is>
          <t>Science Citation Index Expanded (SCI-EXPANDED); Social Science Citation Index (SSCI)</t>
        </is>
      </c>
      <c r="BM1611" t="inlineStr">
        <is>
          <t>Environmental Sciences &amp; Ecology; Public, Environmental &amp; Occupational Health</t>
        </is>
      </c>
      <c r="BN1611" t="inlineStr">
        <is>
          <t>6K1NC</t>
        </is>
      </c>
      <c r="BO1611" t="n">
        <v>36429471</v>
      </c>
      <c r="BP1611" t="inlineStr">
        <is>
          <t>Green Published, gold</t>
        </is>
      </c>
      <c r="BS1611" t="inlineStr">
        <is>
          <t>2023-10-26</t>
        </is>
      </c>
      <c r="BT1611" t="inlineStr">
        <is>
          <t>WOS:000887277100001</t>
        </is>
      </c>
      <c r="BU1611">
        <f>HYPERLINK("https%3A%2F%2Fwww.webofscience.com%2Fwos%2Fwoscc%2Ffull-record%2FWOS:000887277100001","View Full Record in Web of Science")</f>
        <v/>
      </c>
    </row>
    <row r="1612">
      <c r="A1612" t="inlineStr">
        <is>
          <t>J</t>
        </is>
      </c>
      <c r="B1612" t="inlineStr">
        <is>
          <t>Zumelzu, A; Herrmann-Lunecke, MG</t>
        </is>
      </c>
      <c r="F1612" t="inlineStr">
        <is>
          <t>Zumelzu, Antonio; Herrmann-Lunecke, Marie Geraldine</t>
        </is>
      </c>
      <c r="J1612" t="inlineStr">
        <is>
          <t>SUSTAINABILITY</t>
        </is>
      </c>
      <c r="M1612" t="inlineStr">
        <is>
          <t>English</t>
        </is>
      </c>
      <c r="N1612" t="inlineStr">
        <is>
          <t>Article</t>
        </is>
      </c>
      <c r="T1612" t="inlineStr">
        <is>
          <t>Mental Well-Being and the Influence of Place: Conceptual Approaches for the Built Environment for Planning Healthy and Walkable Cities</t>
        </is>
      </c>
      <c r="U1612" t="inlineStr">
        <is>
          <t>urban sustainability; mental well-being; built environment; urban planning; walkability</t>
        </is>
      </c>
      <c r="V1612" t="inlineStr">
        <is>
          <t>QUALITY-OF-LIFE; URBAN FORM; PEDESTRIAN ACCESSIBILITY; COMPACT CITY; NEIGHBORHOODS; SATISFACTION; WALKABILITY; WALKING; IDENTIFICATION; SOUNDSCAPE</t>
        </is>
      </c>
      <c r="W1612" t="inlineStr">
        <is>
          <t>Promotion of healthy cities has prompted urban planners and designers to build new conceptual frameworks to improve the design of public spaces, in which mental well-being emerges as a fundamental concept. Mental well-being is related to spatial design, with increasing attention being paid to the built environment as an important predictor of mental well-being. The objective of this article is to advance and contribute new knowledge about the characteristics of the built environment and its potential benefits for mental well-being. A meta-analysis is carried out on various empirical and theoretical approaches from the literature. Using a WOS database as a case study, a methodology based on a bibliometric analysis is proposed to examine which elements of the built environment impact mental well-being in research between 1975 and 2020, using the HistCites and VOSviewer tools. The results show that there are six thematic axes related to the built environment that would favor greater mental well-being in public spaces: walkability, density, spatial design, environmental noise, green areas and social interaction. The six thematic axes are critically analyzed and integrated into a conceptual framework to address the impacts of the built environment on mental well-being in the planning of cities. It concludes with a discussion on the implications of these concepts for urban public policy and the promotion of healthier and more sustainable and walkable environments in Latin American cities.</t>
        </is>
      </c>
      <c r="X1612" t="inlineStr">
        <is>
          <t>[Zumelzu, Antonio] Univ Austral Chile, Nucleo Invest Riesgos Nat &amp; Antropogen, Inst Arquitectura &amp; Urbanismo, Valdivia 5091000, Chile; [Herrmann-Lunecke, Marie Geraldine] Univ Chile, Fac Arquitectura &amp; Urbanismo, Dept Urbanismo, Santiago 8331051, Chile</t>
        </is>
      </c>
      <c r="Y1612" t="inlineStr">
        <is>
          <t>Universidad Austral de Chile; Universidad de Chile</t>
        </is>
      </c>
      <c r="Z1612" t="inlineStr">
        <is>
          <t>Zumelzu, A (corresponding author), Univ Austral Chile, Nucleo Invest Riesgos Nat &amp; Antropogen, Inst Arquitectura &amp; Urbanismo, Valdivia 5091000, Chile.</t>
        </is>
      </c>
      <c r="AA1612" t="inlineStr">
        <is>
          <t>antonio.zumelzu@uach.cl; mherrmann@uchile.cl</t>
        </is>
      </c>
      <c r="AC1612" t="inlineStr">
        <is>
          <t>Zumelzu, Antonio/0000-0003-0257-1766</t>
        </is>
      </c>
      <c r="AD1612" t="inlineStr">
        <is>
          <t>ANID Fondecyt [1200527]</t>
        </is>
      </c>
      <c r="AE1612" t="inlineStr">
        <is>
          <t>ANID Fondecyt</t>
        </is>
      </c>
      <c r="AF1612" t="inlineStr">
        <is>
          <t>This research was funded by ANID Fondecyt Regular No 1200527.</t>
        </is>
      </c>
      <c r="AH1612" t="n">
        <v>165</v>
      </c>
      <c r="AI1612" t="n">
        <v>8</v>
      </c>
      <c r="AJ1612" t="n">
        <v>8</v>
      </c>
      <c r="AK1612" t="n">
        <v>5</v>
      </c>
      <c r="AL1612" t="n">
        <v>52</v>
      </c>
      <c r="AM1612" t="inlineStr">
        <is>
          <t>MDPI</t>
        </is>
      </c>
      <c r="AN1612" t="inlineStr">
        <is>
          <t>BASEL</t>
        </is>
      </c>
      <c r="AO1612" t="inlineStr">
        <is>
          <t>ST ALBAN-ANLAGE 66, CH-4052 BASEL, SWITZERLAND</t>
        </is>
      </c>
      <c r="AQ1612" t="inlineStr">
        <is>
          <t>2071-1050</t>
        </is>
      </c>
      <c r="AS1612" t="inlineStr">
        <is>
          <t>SUSTAINABILITY-BASEL</t>
        </is>
      </c>
      <c r="AT1612" t="inlineStr">
        <is>
          <t>Sustainability</t>
        </is>
      </c>
      <c r="AU1612" t="inlineStr">
        <is>
          <t>JUN</t>
        </is>
      </c>
      <c r="AV1612" t="n">
        <v>2021</v>
      </c>
      <c r="AW1612" t="n">
        <v>13</v>
      </c>
      <c r="AX1612" t="n">
        <v>11</v>
      </c>
      <c r="BE1612" t="n">
        <v>6395</v>
      </c>
      <c r="BF1612" t="inlineStr">
        <is>
          <t>10.3390/su13116395</t>
        </is>
      </c>
      <c r="BG1612">
        <f>HYPERLINK("http://dx.doi.org/10.3390/su13116395","http://dx.doi.org/10.3390/su13116395")</f>
        <v/>
      </c>
      <c r="BJ1612" t="n">
        <v>21</v>
      </c>
      <c r="BK1612" t="inlineStr">
        <is>
          <t>Green &amp; Sustainable Science &amp; Technology; Environmental Sciences; Environmental Studies</t>
        </is>
      </c>
      <c r="BL1612" t="inlineStr">
        <is>
          <t>Science Citation Index Expanded (SCI-EXPANDED); Social Science Citation Index (SSCI)</t>
        </is>
      </c>
      <c r="BM1612" t="inlineStr">
        <is>
          <t>Science &amp; Technology - Other Topics; Environmental Sciences &amp; Ecology</t>
        </is>
      </c>
      <c r="BN1612" t="inlineStr">
        <is>
          <t>SR0OV</t>
        </is>
      </c>
      <c r="BP1612" t="inlineStr">
        <is>
          <t>gold</t>
        </is>
      </c>
      <c r="BS1612" t="inlineStr">
        <is>
          <t>2023-10-26</t>
        </is>
      </c>
      <c r="BT1612" t="inlineStr">
        <is>
          <t>WOS:000660745700001</t>
        </is>
      </c>
      <c r="BU1612">
        <f>HYPERLINK("https%3A%2F%2Fwww.webofscience.com%2Fwos%2Fwoscc%2Ffull-record%2FWOS:000660745700001","View Full Record in Web of Science")</f>
        <v/>
      </c>
    </row>
    <row r="1613">
      <c r="A1613" t="inlineStr">
        <is>
          <t>J</t>
        </is>
      </c>
      <c r="B1613" t="inlineStr">
        <is>
          <t>Ojeda, AH; Toro-Zepeda, V; Jofré-Saldía, E; Bravo, M; Parra, C; Campos-Armijo, G; Jorquera-Aguilera, C; Hernández, MA; Yeomans-Cabrera, MM; Maliqueo, SG</t>
        </is>
      </c>
      <c r="F1613" t="inlineStr">
        <is>
          <t>Ojeda, Alvaro Huerta; Toro-Zepeda, Vanieska; Jofre-Saldia, Emilio; Bravo, Maximiliano; Parra, Carol; Campos-Armijo, Gaspar; Jorquera-Aguilera, Carlos; Albornoz Hernandez, Makarena; Yeomans-Cabrera, Maria-Mercedes; Galdames Maliqueo, Sergio</t>
        </is>
      </c>
      <c r="J1613" t="inlineStr">
        <is>
          <t>INTERNATIONAL JOURNAL OF ENVIRONMENTAL RESEARCH AND PUBLIC HEALTH</t>
        </is>
      </c>
      <c r="M1613" t="inlineStr">
        <is>
          <t>English</t>
        </is>
      </c>
      <c r="N1613" t="inlineStr">
        <is>
          <t>Article</t>
        </is>
      </c>
      <c r="T1613" t="inlineStr">
        <is>
          <t>Relationship between Asymmetries and Functional Autonomy in Older Chilean Adults</t>
        </is>
      </c>
      <c r="U1613" t="inlineStr">
        <is>
          <t>asymmetries; functional autonomy; Latin American Group for maturity protocol; older people</t>
        </is>
      </c>
      <c r="V1613" t="inlineStr">
        <is>
          <t>SIT-TO-STAND; PHYSICAL-ACTIVITY; EXERCISE; STRENGTH; PLASTICITY; HEALTHY; WOMEN; GAIT</t>
        </is>
      </c>
      <c r="W1613" t="inlineStr">
        <is>
          <t>The objectives of this study were: (a) to determine asymmetries, both lower limb (LL) and upper limb (UL), in Chilean older adults, and (b) to relate asymmetries to FA in both LL and UL. Forty-one older adults voluntarily participated in this study (mean +/- standard deviation [SD]: age 72.0 +/- 8.0 years, LL asymmetries 13.78 +/- 14.87%, UL asymmetries 10.70 +/- 8.85%, FA 40.35 +/- 16.26 points). The variables were: (1) asymmetries of LL and UL, assessed through a force platform and handgrip, respectively; (2) FA, assessed through the Latin American Group for Maturity (GDLAM) and the GDLAM index of autonomy (GI) protocol. The relationship between the variables was performed through Spearman's correlation. The analysis showed that 39% of the participants presented asymmetries above 15% in the LL. Likewise, this 39% of older adults presented a lower FA than their peers with asymmetries below 15% in the LL (&lt;= 15%: 35.64 +/- 12.26 points vs. &gt;15%: 47.69 +/- 19.23 points, p = 0.003). The analysis showed a small correlation between LL and GI asymmetries (r = 0.27, p = 0.07) and a small but negative correlation between UL and GI (r = -0.21). The mean values of asymmetries of both LL and UL are within 'normal' parameters. However, several older adults were identified as being at risk. In parallel, older adults who presented a higher level of asymmetries in LL showed a lower level of FA.</t>
        </is>
      </c>
      <c r="X1613" t="inlineStr">
        <is>
          <t>[Ojeda, Alvaro Huerta; Campos-Armijo, Gaspar] Univ Amer, Nucleo Invest Salud Actividad Fis &amp; Deporte ISAFY, Vina Del Mar 2531098, Chile; [Toro-Zepeda, Vanieska] Univ Mayor, Fac Ciencias, Nutr Actividad Fis &amp; El Deporte, Escuela Nutr &amp; Dietet, Santiago 8580745, Chile; [Jofre-Saldia, Emilio] Univ Andres Bello, Fac Educ &amp; Ciencias Sociales, Inst Deporte &amp; Bienestar, Santiago 7550000, Chile; [Jofre-Saldia, Emilio] Univ OHiggins, Inst Ciencias Salud, Rancagua 2841935, Chile; [Bravo, Maximiliano] Hosp Carlos Van Buren, Dept Geriatria, Serv Med Interna, Valparaiso 2341131, Chile; [Parra, Carol] Univ Playa Ancha, Fac Ciencias Salud, Dept Salud Comunidad &amp; Gest, Lab Invest Nutr &amp; Alimentos LINA, Valparaiso 2340000, Chile; [Jorquera-Aguilera, Carlos] Univ Mayor, Fac Ciencias, Escuela Nutr &amp; Dietet, Santiago 8580745, Chile; [Albornoz Hernandez, Makarena; Galdames Maliqueo, Sergio] Univ Playa Ancha Ciencias Educ, Fac Ciencias Actividad Fis &amp; Deporte, Valparaiso 2340000, Chile; [Yeomans-Cabrera, Maria-Mercedes] Univ Amer, Fac Educ, Vina Del Mar 2531098, Chile</t>
        </is>
      </c>
      <c r="Y1613" t="inlineStr">
        <is>
          <t>Universidad de Las Americas - Chile; Universidad Mayor; Universidad Andres Bello; Universidad de O'Higgins; Universidad de Playa Ancha; Universidad Mayor; Universidad de Las Americas - Chile</t>
        </is>
      </c>
      <c r="Z1613" t="inlineStr">
        <is>
          <t>Ojeda, AH (corresponding author), Univ Amer, Nucleo Invest Salud Actividad Fis &amp; Deporte ISAFY, Vina Del Mar 2531098, Chile.</t>
        </is>
      </c>
      <c r="AA1613" t="inlineStr">
        <is>
          <t>achuertao@yahoo.es</t>
        </is>
      </c>
      <c r="AB1613" t="inlineStr">
        <is>
          <t>Ojeda, Alvaro Huerta/AAE-7104-2021; Yeomans Cabrera, María Mercedes/AAT-2280-2021</t>
        </is>
      </c>
      <c r="AC1613" t="inlineStr">
        <is>
          <t>Ojeda, Alvaro Huerta/0000-0001-6871-098X; Yeomans Cabrera, María Mercedes/0000-0003-2138-3007</t>
        </is>
      </c>
      <c r="AD1613" t="inlineStr">
        <is>
          <t>Fondo de Aceleracion de Proyectos 2022, Laboratorio de Innovacion Social y Creatividad 'SocialCrealab', Direccion General de Vinculacion con el Medio, Universidad de Playa Ancha de Ciencias de la Educacion</t>
        </is>
      </c>
      <c r="AE1613" t="inlineStr">
        <is>
          <t>Fondo de Aceleracion de Proyectos 2022, Laboratorio de Innovacion Social y Creatividad 'SocialCrealab', Direccion General de Vinculacion con el Medio, Universidad de Playa Ancha de Ciencias de la Educacion</t>
        </is>
      </c>
      <c r="AF1613" t="inlineStr">
        <is>
          <t>Project financed by Fondo de Aceleracion de Proyectos 2022, Laboratorio de Innovacion Social y Creatividad 'SocialCrealab', Direccion General de Vinculacion con el Medio, Universidad de Playa Ancha de Ciencias de la Educacion.</t>
        </is>
      </c>
      <c r="AH1613" t="n">
        <v>46</v>
      </c>
      <c r="AI1613" t="n">
        <v>0</v>
      </c>
      <c r="AJ1613" t="n">
        <v>0</v>
      </c>
      <c r="AK1613" t="n">
        <v>1</v>
      </c>
      <c r="AL1613" t="n">
        <v>1</v>
      </c>
      <c r="AM1613" t="inlineStr">
        <is>
          <t>MDPI</t>
        </is>
      </c>
      <c r="AN1613" t="inlineStr">
        <is>
          <t>BASEL</t>
        </is>
      </c>
      <c r="AO1613" t="inlineStr">
        <is>
          <t>ST ALBAN-ANLAGE 66, CH-4052 BASEL, SWITZERLAND</t>
        </is>
      </c>
      <c r="AQ1613" t="inlineStr">
        <is>
          <t>1660-4601</t>
        </is>
      </c>
      <c r="AS1613" t="inlineStr">
        <is>
          <t>INT J ENV RES PUB HE</t>
        </is>
      </c>
      <c r="AT1613" t="inlineStr">
        <is>
          <t>Int. J. Environ. Res. Public Health</t>
        </is>
      </c>
      <c r="AU1613" t="inlineStr">
        <is>
          <t>NOV</t>
        </is>
      </c>
      <c r="AV1613" t="n">
        <v>2022</v>
      </c>
      <c r="AW1613" t="n">
        <v>19</v>
      </c>
      <c r="AX1613" t="n">
        <v>22</v>
      </c>
      <c r="BE1613" t="n">
        <v>15063</v>
      </c>
      <c r="BF1613" t="inlineStr">
        <is>
          <t>10.3390/ijerph192215063</t>
        </is>
      </c>
      <c r="BG1613">
        <f>HYPERLINK("http://dx.doi.org/10.3390/ijerph192215063","http://dx.doi.org/10.3390/ijerph192215063")</f>
        <v/>
      </c>
      <c r="BJ1613" t="n">
        <v>12</v>
      </c>
      <c r="BK1613" t="inlineStr">
        <is>
          <t>Environmental Sciences; Public, Environmental &amp; Occupational Health</t>
        </is>
      </c>
      <c r="BL1613" t="inlineStr">
        <is>
          <t>Science Citation Index Expanded (SCI-EXPANDED); Social Science Citation Index (SSCI)</t>
        </is>
      </c>
      <c r="BM1613" t="inlineStr">
        <is>
          <t>Environmental Sciences &amp; Ecology; Public, Environmental &amp; Occupational Health</t>
        </is>
      </c>
      <c r="BN1613" t="inlineStr">
        <is>
          <t>6K5HT</t>
        </is>
      </c>
      <c r="BO1613" t="n">
        <v>36429784</v>
      </c>
      <c r="BP1613" t="inlineStr">
        <is>
          <t>gold, Green Published</t>
        </is>
      </c>
      <c r="BS1613" t="inlineStr">
        <is>
          <t>2023-10-26</t>
        </is>
      </c>
      <c r="BT1613" t="inlineStr">
        <is>
          <t>WOS:000887533700001</t>
        </is>
      </c>
      <c r="BU1613">
        <f>HYPERLINK("https%3A%2F%2Fwww.webofscience.com%2Fwos%2Fwoscc%2Ffull-record%2FWOS:000887533700001","View Full Record in Web of Science")</f>
        <v/>
      </c>
    </row>
    <row r="1614">
      <c r="A1614" t="inlineStr">
        <is>
          <t>J</t>
        </is>
      </c>
      <c r="B1614" t="inlineStr">
        <is>
          <t>Contreras-Osorio, F; Ramirez-Campillo, R; Cerda-Vega, E; Campos-Jara, R; Martínez-Salazar, C; Araneda, R; Ebner-Karestinos, D; Arellano-Roco, C; Campos-Jara, C</t>
        </is>
      </c>
      <c r="F1614" t="inlineStr">
        <is>
          <t>Contreras-Osorio, Falonn; Ramirez-Campillo, Rodrigo; Cerda-Vega, Enrique; Campos-Jara, Rodrigo; Martinez-Salazar, Cristian; Araneda, Rodrigo; Ebner-Karestinos, Daniela; Arellano-Roco, Cristian; Campos-Jara, Christian</t>
        </is>
      </c>
      <c r="J1614" t="inlineStr">
        <is>
          <t>INTERNATIONAL JOURNAL OF ENVIRONMENTAL RESEARCH AND PUBLIC HEALTH</t>
        </is>
      </c>
      <c r="M1614" t="inlineStr">
        <is>
          <t>English</t>
        </is>
      </c>
      <c r="N1614" t="inlineStr">
        <is>
          <t>Review</t>
        </is>
      </c>
      <c r="T1614" t="inlineStr">
        <is>
          <t>Effects of Sport-Based Exercise Interventions on Executive Function in Older Adults: A Systematic Review and Meta-Analysis</t>
        </is>
      </c>
      <c r="U1614" t="inlineStr">
        <is>
          <t>executive function; inhibitory control; working memory; cognitive flexibility; sport; older adults</t>
        </is>
      </c>
      <c r="V1614" t="inlineStr">
        <is>
          <t>PHYSICAL-ACTIVITY; COGNITIVE FUNCTION; PEDRO SCALE; METHODOLOGICAL QUALITY; INTERFERENCE CONTROL; CHILDRENS COGNITION; BRAIN PLASTICITY; MOTOR CONTROL; PERFORMANCE; FITNESS</t>
        </is>
      </c>
      <c r="W1614" t="inlineStr">
        <is>
          <t>Exercise programs of moderate-to-vigorous intensity have been shown to improve the cognitive performance of older people. However, the specific effects of sports-based exercise programs on cognitive performance, particularly executive functions, remain unclear. Therefore, the purpose of this study is to clarify the effects of sports-based exercise programs on executive functions in older adults using a systematic review and meta-analysis of the scientific literature. A systematic review was conducted between 1 March and 1 July 2022, to look for published scientific evidence that analyzed different sports programs that may have affected executive function in healthy older adults. Longitudinal studies, which assessed the effects of sports interventions on healthy older adults, were identified through a systematic search of the four principal electronic databases: Web of Science, PubMed, Scopus, and EBSCO. A total of nine studies with a total of 398 subjects met the inclusion criteria and were classified based on one or more of the following categories: working memory, inhibition, and cognitive flexibility. The DerSimonian and Laird random-effects model was performed using the Comprehensive Meta-Analysis software to facilitate the analysis of the studies. Statistical significance was set at p &lt;= 0.05. In terms of working memory, a small but positive significant effect was noted for the intervention group compared to the control group (effect size (ES) = 0.35, 95% confidence interval (CI) = 0.04-0.67; p = 0.029; I-2 = 36.7%); in terms of inhibition, the intervention had a small favoring but no significant effect compared to the control group (ES = 0.20, 95% CI = -0.42-0.84; p = 0.517; I-2 = 78.8%); and in terms of cognitive flexibility, the intervention had a small favoring but no significant effect compared to the control group (ES = 0.39, 95% CI = -0.11-0.89; p = 0.131; I-2 = 75.5%). Our findings suggest that healthy older adults should be encouraged to participate in sports to improve their working memory; however, more studies are required in this area to reach more robust conclusions. This systematic review was registered with the International Prospective Register of Systematic Reviews (registration number: CRD42022284788).</t>
        </is>
      </c>
      <c r="X1614" t="inlineStr">
        <is>
          <t>[Contreras-Osorio, Falonn; Campos-Jara, Christian] Univ Andres Bello, Fac Rehabil Sci, Exercise &amp; Rehabil Sci Inst, Santiago 7591538, Chile; [Ramirez-Campillo, Rodrigo; Araneda, Rodrigo; Ebner-Karestinos, Daniela; Arellano-Roco, Cristian] Univ Andres Bello, Fac Rehabil Sci, Sch Phys Therapy, Exercise &amp; Rehabil Sci Inst, Santiago 7591538, Chile; [Cerda-Vega, Enrique] Pontificia Univ Catolica Chile, Fac Med, Dept Hlth Sci, Pedag Phys Educ &amp; Hlth Career, Santiago 7820436, Chile; [Campos-Jara, Rodrigo] Hosp Mauricio Heyermann, Serv Psiquiatria, Angol 4650207, Chile; [Martinez-Salazar, Cristian] Univ La Frontera, Fac Educ &amp; Ciencias Sociales &amp; Humanidades, Dept Educ Fis Deportes &amp; Recreac, Pedag Educ Fis, Temuco 4780000, Chile</t>
        </is>
      </c>
      <c r="Y1614" t="inlineStr">
        <is>
          <t>Universidad Andres Bello; Universidad Andres Bello; Pontificia Universidad Catolica de Chile; Universidad de La Frontera</t>
        </is>
      </c>
      <c r="Z1614" t="inlineStr">
        <is>
          <t>Campos-Jara, C (corresponding author), Univ Andres Bello, Fac Rehabil Sci, Exercise &amp; Rehabil Sci Inst, Santiago 7591538, Chile.</t>
        </is>
      </c>
      <c r="AA1614" t="inlineStr">
        <is>
          <t>christian.campos@unab.cl</t>
        </is>
      </c>
      <c r="AB1614" t="inlineStr">
        <is>
          <t>Campos, Christian Campos-Jara/H-9347-2016; Ebner-Karestinos, Daniela/IAP-6326-2023; Cerda-Vega, Enrique/GWN-0106-2022; Ramirez-Campillo, Rodrigo/M-1258-2016</t>
        </is>
      </c>
      <c r="AC1614" t="inlineStr">
        <is>
          <t>Campos, Christian Campos-Jara/0000-0002-0298-837X; Ebner-Karestinos, Daniela/0000-0002-5941-8706; Ramirez-Campillo, Rodrigo/0000-0003-2035-3279; Contreras-Osorio, Falonn/0000-0002-7161-0071; Cerda Vega, Enrique/0000-0003-0813-3695; CAMPOS, RODRIGO/0000-0003-3844-9543</t>
        </is>
      </c>
      <c r="AH1614" t="n">
        <v>110</v>
      </c>
      <c r="AI1614" t="n">
        <v>0</v>
      </c>
      <c r="AJ1614" t="n">
        <v>0</v>
      </c>
      <c r="AK1614" t="n">
        <v>11</v>
      </c>
      <c r="AL1614" t="n">
        <v>26</v>
      </c>
      <c r="AM1614" t="inlineStr">
        <is>
          <t>MDPI</t>
        </is>
      </c>
      <c r="AN1614" t="inlineStr">
        <is>
          <t>BASEL</t>
        </is>
      </c>
      <c r="AO1614" t="inlineStr">
        <is>
          <t>ST ALBAN-ANLAGE 66, CH-4052 BASEL, SWITZERLAND</t>
        </is>
      </c>
      <c r="AQ1614" t="inlineStr">
        <is>
          <t>1660-4601</t>
        </is>
      </c>
      <c r="AS1614" t="inlineStr">
        <is>
          <t>INT J ENV RES PUB HE</t>
        </is>
      </c>
      <c r="AT1614" t="inlineStr">
        <is>
          <t>Int. J. Environ. Res. Public Health</t>
        </is>
      </c>
      <c r="AU1614" t="inlineStr">
        <is>
          <t>OCT</t>
        </is>
      </c>
      <c r="AV1614" t="n">
        <v>2022</v>
      </c>
      <c r="AW1614" t="n">
        <v>19</v>
      </c>
      <c r="AX1614" t="n">
        <v>19</v>
      </c>
      <c r="BE1614" t="n">
        <v>12573</v>
      </c>
      <c r="BF1614" t="inlineStr">
        <is>
          <t>10.3390/ijerph191912573</t>
        </is>
      </c>
      <c r="BG1614">
        <f>HYPERLINK("http://dx.doi.org/10.3390/ijerph191912573","http://dx.doi.org/10.3390/ijerph191912573")</f>
        <v/>
      </c>
      <c r="BJ1614" t="n">
        <v>19</v>
      </c>
      <c r="BK1614" t="inlineStr">
        <is>
          <t>Environmental Sciences; Public, Environmental &amp; Occupational Health</t>
        </is>
      </c>
      <c r="BL1614" t="inlineStr">
        <is>
          <t>Science Citation Index Expanded (SCI-EXPANDED); Social Science Citation Index (SSCI)</t>
        </is>
      </c>
      <c r="BM1614" t="inlineStr">
        <is>
          <t>Environmental Sciences &amp; Ecology; Public, Environmental &amp; Occupational Health</t>
        </is>
      </c>
      <c r="BN1614" t="inlineStr">
        <is>
          <t>5G0XX</t>
        </is>
      </c>
      <c r="BO1614" t="n">
        <v>36231873</v>
      </c>
      <c r="BP1614" t="inlineStr">
        <is>
          <t>gold, Green Published</t>
        </is>
      </c>
      <c r="BS1614" t="inlineStr">
        <is>
          <t>2023-10-26</t>
        </is>
      </c>
      <c r="BT1614" t="inlineStr">
        <is>
          <t>WOS:000866732100001</t>
        </is>
      </c>
      <c r="BU1614">
        <f>HYPERLINK("https%3A%2F%2Fwww.webofscience.com%2Fwos%2Fwoscc%2Ffull-record%2FWOS:000866732100001","View Full Record in Web of Science")</f>
        <v/>
      </c>
    </row>
    <row r="1615">
      <c r="A1615" t="inlineStr">
        <is>
          <t>J</t>
        </is>
      </c>
      <c r="B1615" t="inlineStr">
        <is>
          <t>Zhang, TQ; Tian, GX; Wang, X</t>
        </is>
      </c>
      <c r="F1615" t="inlineStr">
        <is>
          <t>Zhang, Tianqi; Tian, Guixian; Wang, Xing</t>
        </is>
      </c>
      <c r="J1615" t="inlineStr">
        <is>
          <t>INTERNATIONAL JOURNAL OF ENVIRONMENTAL RESEARCH AND PUBLIC HEALTH</t>
        </is>
      </c>
      <c r="M1615" t="inlineStr">
        <is>
          <t>English</t>
        </is>
      </c>
      <c r="N1615" t="inlineStr">
        <is>
          <t>Review</t>
        </is>
      </c>
      <c r="T1615" t="inlineStr">
        <is>
          <t>Effects of Low-Load Blood Flow Restriction Training on Hemodynamic Responses and Vascular Function in Older Adults: A Meta-Analysis</t>
        </is>
      </c>
      <c r="U1615" t="inlineStr">
        <is>
          <t>cardiovascular; older adults; blood flow restriction training; arterial stiffness</t>
        </is>
      </c>
      <c r="V1615" t="inlineStr">
        <is>
          <t>RESISTANCE EXERCISE; VENOUS COMPLIANCE; CARDIOVASCULAR HEALTH; MUSCLE METABOREFLEX; CARDIAC-OUTPUT; HEART-RATE; PRESSURE; DISEASE; ASSOCIATIONS; ADAPTATIONS</t>
        </is>
      </c>
      <c r="W1615" t="inlineStr">
        <is>
          <t>Background: The combination of low-load (LL) training with blood flow restriction (BFR) has recently been shown to trigger a series of hemodynamic responses and promote vascular function in various populations. To date, however, evidence is sparse as to how this training regimen influences hemodynamic response and vascular function in older adults. Objective: To systematically evaluate the effects of LL-BFR training on hemodynamic response and vascular function in older adults. Methods: A PRISMA-compliant systematic review and meta-analysis were conducted. The systematic literature research was performed in the following electronic databases from their inception to 30 February 2022: PubMed, Web of Science, Scopus, EBSCO host, the Cochrane Library and CNKI. Subsequently, a meta-analysis with inverse variance weighting was conducted. Results: A total of 1437 articles were screened, and 12 randomized controlled trials with a total 378 subjects were included in the meta-analysis. The meta-analysis results showed that LL-BFR training caused a significant acute increase in heart rate (WMD: 4.02, 95% CI: 0.93, 7.10, p &lt; 0.05), systolic blood pressure (WMD: 5.05, 95% CI: 0.63, 9.48, p &lt; 0.05) and diastolic blood pressure (WMD: 4.87, 95% CI: 1.37, 8.37, p &lt; 0.01). The acute hemodynamic response induced by LL-BFR training is similar to that elicited by high-load (HL) training. Training volume, cuff pressure and width were identified as significant moderators in our subgroup and meta-regression analyses. After 30 min of training, resting systolic blood pressure significantly decreased (WMD: -6.595, 95% CI: -8.88, -3.31, p &lt; 0.01) in the LL-BFR training group, but resting hemodynamic indexes exhibited no significant differences compared with common LL and HL training; long-term LL-BFR training resulted in significant improvements in flow-mediated vasodilation (FMD) (WMD: 1.30, 95% CI: 0.50, 2.10, p &lt; 0.01), cardio ankle vascular index (CAVI) (WMD: 0.55, 95% CI: 0.11, 0.99, p &lt; 0.05) and ankle brachial index (ABI) (WMD: 0.03, 95% CI: 0.00, 0.06, p &lt; 0.05) in older adults. Conclusion: This systematic review and meta-analysis reveals that LL-BFR training will cause an acute hemodynamic response in older adults, which can return to normal levels 30 min after training, and systolic blood pressure significantly decreased. Furthermore, the beneficial effect of LL-BFR training on vascular function is to improve FMD, CAVI and ABI of older adults. However, due to the influence of the quality of the included studies and the sample size, more high-quality studies are needed to confirm such issues as BFR pressure and training risk.</t>
        </is>
      </c>
      <c r="X1615" t="inlineStr">
        <is>
          <t>[Zhang, Tianqi] Shanghai Univ Polit Sci &amp; Law, Dept Phys Educ, Shanghai 201701, Peoples R China; [Tian, Guixian] Pingxiang Coll, Dept Business, Pingxiang 337055, Peoples R China; [Wang, Xing] Shanghai Univ Sport, Dept Phys Educ &amp; Training, Shanghai 200438, Peoples R China</t>
        </is>
      </c>
      <c r="Y1615" t="inlineStr">
        <is>
          <t>Shanghai University of Political Science &amp; Law; Pingxiang University; Shanghai University of Sport</t>
        </is>
      </c>
      <c r="Z1615" t="inlineStr">
        <is>
          <t>Wang, X (corresponding author), Shanghai Univ Sport, Dept Phys Educ &amp; Training, Shanghai 200438, Peoples R China.</t>
        </is>
      </c>
      <c r="AA1615" t="inlineStr">
        <is>
          <t>ztq7999@163.com; tianguixian@zwu.edu.cn; wangxing1933@sus.edu.cn</t>
        </is>
      </c>
      <c r="AH1615" t="n">
        <v>46</v>
      </c>
      <c r="AI1615" t="n">
        <v>2</v>
      </c>
      <c r="AJ1615" t="n">
        <v>2</v>
      </c>
      <c r="AK1615" t="n">
        <v>3</v>
      </c>
      <c r="AL1615" t="n">
        <v>12</v>
      </c>
      <c r="AM1615" t="inlineStr">
        <is>
          <t>MDPI</t>
        </is>
      </c>
      <c r="AN1615" t="inlineStr">
        <is>
          <t>BASEL</t>
        </is>
      </c>
      <c r="AO1615" t="inlineStr">
        <is>
          <t>ST ALBAN-ANLAGE 66, CH-4052 BASEL, SWITZERLAND</t>
        </is>
      </c>
      <c r="AQ1615" t="inlineStr">
        <is>
          <t>1660-4601</t>
        </is>
      </c>
      <c r="AS1615" t="inlineStr">
        <is>
          <t>INT J ENV RES PUB HE</t>
        </is>
      </c>
      <c r="AT1615" t="inlineStr">
        <is>
          <t>Int. J. Environ. Res. Public Health</t>
        </is>
      </c>
      <c r="AU1615" t="inlineStr">
        <is>
          <t>JUN</t>
        </is>
      </c>
      <c r="AV1615" t="n">
        <v>2022</v>
      </c>
      <c r="AW1615" t="n">
        <v>19</v>
      </c>
      <c r="AX1615" t="n">
        <v>11</v>
      </c>
      <c r="BE1615" t="n">
        <v>6750</v>
      </c>
      <c r="BF1615" t="inlineStr">
        <is>
          <t>10.3390/ijerph19116750</t>
        </is>
      </c>
      <c r="BG1615">
        <f>HYPERLINK("http://dx.doi.org/10.3390/ijerph19116750","http://dx.doi.org/10.3390/ijerph19116750")</f>
        <v/>
      </c>
      <c r="BJ1615" t="n">
        <v>19</v>
      </c>
      <c r="BK1615" t="inlineStr">
        <is>
          <t>Environmental Sciences; Public, Environmental &amp; Occupational Health</t>
        </is>
      </c>
      <c r="BL1615" t="inlineStr">
        <is>
          <t>Science Citation Index Expanded (SCI-EXPANDED); Social Science Citation Index (SSCI)</t>
        </is>
      </c>
      <c r="BM1615" t="inlineStr">
        <is>
          <t>Environmental Sciences &amp; Ecology; Public, Environmental &amp; Occupational Health</t>
        </is>
      </c>
      <c r="BN1615" t="inlineStr">
        <is>
          <t>1Z2HF</t>
        </is>
      </c>
      <c r="BO1615" t="n">
        <v>35682336</v>
      </c>
      <c r="BP1615" t="inlineStr">
        <is>
          <t>Green Published, gold</t>
        </is>
      </c>
      <c r="BS1615" t="inlineStr">
        <is>
          <t>2023-10-26</t>
        </is>
      </c>
      <c r="BT1615" t="inlineStr">
        <is>
          <t>WOS:000808651000001</t>
        </is>
      </c>
      <c r="BU1615">
        <f>HYPERLINK("https%3A%2F%2Fwww.webofscience.com%2Fwos%2Fwoscc%2Ffull-record%2FWOS:000808651000001","View Full Record in Web of Science")</f>
        <v/>
      </c>
    </row>
    <row r="1616">
      <c r="A1616" t="inlineStr">
        <is>
          <t>J</t>
        </is>
      </c>
      <c r="B1616" t="inlineStr">
        <is>
          <t>Kropat, G; Bochud, F; Jaboyedoff, M; Laedermann, JP; Murith, C; Palacios, M; Baechler, S</t>
        </is>
      </c>
      <c r="F1616" t="inlineStr">
        <is>
          <t>Kropat, Georg; Bochud, Francois; Jaboyedoff, Michel; Laedermann, Jean-Pascal; Murith, Christophe; Palacios, Martha; Baechler, Sebastien</t>
        </is>
      </c>
      <c r="J1616" t="inlineStr">
        <is>
          <t>JOURNAL OF ENVIRONMENTAL RADIOACTIVITY</t>
        </is>
      </c>
      <c r="M1616" t="inlineStr">
        <is>
          <t>English</t>
        </is>
      </c>
      <c r="N1616" t="inlineStr">
        <is>
          <t>Article</t>
        </is>
      </c>
      <c r="T1616" t="inlineStr">
        <is>
          <t>Major influencing factors of indoor radon concentrations in Switzerland</t>
        </is>
      </c>
      <c r="U1616" t="inlineStr">
        <is>
          <t>Indoor radon; Univariate analysis; Building characteristics; Outdoor temperature; Lithology</t>
        </is>
      </c>
      <c r="V1616" t="inlineStr">
        <is>
          <t>SEASONAL CORRECTION FACTORS; RESIDENTIAL RADON; DOMESTIC RADON; LUNG-CANCER; SOIL-GAS; RN-222; PREDICTION; IMPROVE; RISK; NORTHAMPTONSHIRE</t>
        </is>
      </c>
      <c r="W1616" t="inlineStr">
        <is>
          <t>Purpose: In Switzerland, nationwide large-scale radon surveys have been conducted since the early 1980s to establish the distribution of indoor radon concentrations (IRC). The aim of this work was to study the factors influencing IRC in Switzerland using univariate analyses that take into account biases caused by spatial irregularities of sampling. Methods: About 212,000 IRC measurements carried out in more than 136,000 dwellings were available for this study. A probability map to assess risk of exceeding an 1RC of 300 Bq/m(3) was produced using basic geostatistical techniques. Univariate analyses of IRC for different variables, namely the type of radon detector, various building characteristics such as foundation type, year of construction and building type, as well as the altitude, the average outdoor temperature during measurement and the lithology, were performed comparing 95% confidence intervals among classes of each variable. Furthermore, a map showing the spatial aggregation of the number of measurements was generated for each class of variable in order to assess biases due to spatially irregular sampling. Results: 1RC measurements carried out with electret detectors were 35% higher than measurements performed with track detectors. Regarding building characteristics, the IRC of apartments are significantly lower than individual houses. Furthermore, buildings with concrete foundations have the lowest IRC. A significant decrease in IRC was found in buildings constructed after 1900 and again after 1970. Moreover,1RC decreases at higher outdoor temperatures. There is also a tendency to have higher 1RC with altitude. Regarding lithology, carbonate rock in the Jura Mountains produces significantly higher IRC, almost by a factor of 2, than carbonate rock in the Alps. Sedimentary rock and sediment produce the lowest IRC while carbonate rock from the Jura Mountains and igneous rock produce the highest IRC. Potential biases due to spatially unbalanced sampling of measurements were identified for several influencing factors. Conclusions: Significant associations were found between IRC and all variables under study. However, we showed that the spatial distribution of samples strongly affected the relevance of those associations. Therefore, future methods to estimate local radon hazards should take the multidimensionality of the process of 1RC into account. (C) 2013 Elsevier Ltd. All rights reserved.</t>
        </is>
      </c>
      <c r="X1616" t="inlineStr">
        <is>
          <t>[Kropat, Georg; Bochud, Francois; Laedermann, Jean-Pascal; Baechler, Sebastien] Univ Hosp Ctr Lausanne CHUV, Inst Radiat Phys, CH-1007 Lausanne, Switzerland; [Murith, Christophe; Palacios, Martha] Swiss Fed Off Publ Hlth, CH-3003 Bern, Switzerland; [Jaboyedoff, Michel] Univ Lausanne, Quartier UNIL Mouline, Ctr Res Terr Environm, CH-1015 Lausanne, Switzerland</t>
        </is>
      </c>
      <c r="Z1616" t="inlineStr">
        <is>
          <t>Kropat, G (corresponding author), Univ Hosp Ctr Lausanne CHUV, Inst Radiat Phys, Rue Grand Pre 1, CH-1007 Lausanne, Switzerland.</t>
        </is>
      </c>
      <c r="AA1616" t="inlineStr">
        <is>
          <t>georg.kropat@chuv.ch</t>
        </is>
      </c>
      <c r="AB1616" t="inlineStr">
        <is>
          <t>Bochud, François O./D-1324-2009</t>
        </is>
      </c>
      <c r="AC1616" t="inlineStr">
        <is>
          <t>Bochud, Francois/0000-0003-2076-0296; Kropat, Georg/0000-0001-7523-2613; Jaboyedoff, Michel/0000-0002-6419-695X</t>
        </is>
      </c>
      <c r="AD1616" t="inlineStr">
        <is>
          <t>Federal Office of Public Health Switzerland</t>
        </is>
      </c>
      <c r="AE1616" t="inlineStr">
        <is>
          <t>Federal Office of Public Health Switzerland</t>
        </is>
      </c>
      <c r="AF1616" t="inlineStr">
        <is>
          <t>We thank Milan Beres of Swisstopo for providing us with the geological data that was used in this study. This study was supported by the Federal Office of Public Health Switzerland.</t>
        </is>
      </c>
      <c r="AH1616" t="n">
        <v>54</v>
      </c>
      <c r="AI1616" t="n">
        <v>60</v>
      </c>
      <c r="AJ1616" t="n">
        <v>60</v>
      </c>
      <c r="AK1616" t="n">
        <v>0</v>
      </c>
      <c r="AL1616" t="n">
        <v>21</v>
      </c>
      <c r="AM1616" t="inlineStr">
        <is>
          <t>ELSEVIER SCI LTD</t>
        </is>
      </c>
      <c r="AN1616" t="inlineStr">
        <is>
          <t>OXFORD</t>
        </is>
      </c>
      <c r="AO1616" t="inlineStr">
        <is>
          <t>THE BOULEVARD, LANGFORD LANE, KIDLINGTON, OXFORD OX5 1GB, OXON, ENGLAND</t>
        </is>
      </c>
      <c r="AP1616" t="inlineStr">
        <is>
          <t>0265-931X</t>
        </is>
      </c>
      <c r="AQ1616" t="inlineStr">
        <is>
          <t>1879-1700</t>
        </is>
      </c>
      <c r="AS1616" t="inlineStr">
        <is>
          <t>J ENVIRON RADIOACTIV</t>
        </is>
      </c>
      <c r="AT1616" t="inlineStr">
        <is>
          <t>J. Environ. Radioact.</t>
        </is>
      </c>
      <c r="AU1616" t="inlineStr">
        <is>
          <t>MAR</t>
        </is>
      </c>
      <c r="AV1616" t="n">
        <v>2014</v>
      </c>
      <c r="AW1616" t="n">
        <v>129</v>
      </c>
      <c r="BC1616" t="n">
        <v>7</v>
      </c>
      <c r="BD1616" t="n">
        <v>22</v>
      </c>
      <c r="BF1616" t="inlineStr">
        <is>
          <t>10.1016/j.jenvrad.2013.11.010</t>
        </is>
      </c>
      <c r="BG1616">
        <f>HYPERLINK("http://dx.doi.org/10.1016/j.jenvrad.2013.11.010","http://dx.doi.org/10.1016/j.jenvrad.2013.11.010")</f>
        <v/>
      </c>
      <c r="BJ1616" t="n">
        <v>16</v>
      </c>
      <c r="BK1616" t="inlineStr">
        <is>
          <t>Environmental Sciences</t>
        </is>
      </c>
      <c r="BL1616" t="inlineStr">
        <is>
          <t>Science Citation Index Expanded (SCI-EXPANDED)</t>
        </is>
      </c>
      <c r="BM1616" t="inlineStr">
        <is>
          <t>Environmental Sciences &amp; Ecology</t>
        </is>
      </c>
      <c r="BN1616" t="inlineStr">
        <is>
          <t>AF1OX</t>
        </is>
      </c>
      <c r="BO1616" t="n">
        <v>24333637</v>
      </c>
      <c r="BS1616" t="inlineStr">
        <is>
          <t>2023-10-26</t>
        </is>
      </c>
      <c r="BT1616" t="inlineStr">
        <is>
          <t>WOS:000334484300002</t>
        </is>
      </c>
      <c r="BU1616">
        <f>HYPERLINK("https%3A%2F%2Fwww.webofscience.com%2Fwos%2Fwoscc%2Ffull-record%2FWOS:000334484300002","View Full Record in Web of Science")</f>
        <v/>
      </c>
    </row>
    <row r="1617">
      <c r="A1617" t="inlineStr">
        <is>
          <t>J</t>
        </is>
      </c>
      <c r="B1617" t="inlineStr">
        <is>
          <t>Lei, YR; Liu, JW; Wang, XY; Deng, ZQ; Gao, QF</t>
        </is>
      </c>
      <c r="F1617" t="inlineStr">
        <is>
          <t>Lei, Yuruo; Liu, Jiawei; Wang, Xinyu; Deng, Zhiqi; Gao, Qiufeng</t>
        </is>
      </c>
      <c r="J1617" t="inlineStr">
        <is>
          <t>INTERNATIONAL JOURNAL OF ENVIRONMENTAL RESEARCH AND PUBLIC HEALTH</t>
        </is>
      </c>
      <c r="M1617" t="inlineStr">
        <is>
          <t>English</t>
        </is>
      </c>
      <c r="N1617" t="inlineStr">
        <is>
          <t>Article</t>
        </is>
      </c>
      <c r="T1617" t="inlineStr">
        <is>
          <t>Trait Mindfulness and Physical Health among Chinese Middle-Older Adults: The Mediating Role of Mental Health</t>
        </is>
      </c>
      <c r="U1617" t="inlineStr">
        <is>
          <t>trait mindfulness; physical health status; mental health; middle-older adults; urban China</t>
        </is>
      </c>
      <c r="V1617" t="inlineStr">
        <is>
          <t>SELF-RATED HEALTH; STRESS REDUCTION; DISPOSITIONAL MINDFULNESS; COGNITIVE IMPAIRMENT; PSYCHOLOGICAL HEALTH; BENEFITS; DISEASE</t>
        </is>
      </c>
      <c r="W1617" t="inlineStr">
        <is>
          <t>Few studies have focused on the specific effects of trait mindfulness on physical health status, especially from a resilient aging perspective. This study examined the mediating role of mental health in the association between trait mindfulness and physical health status among middle-older adults in urban China. The participants included 188 individuals who were recruited from a community senior university and five community senior care centers. The findings reveal: (1) trait mindfulness has a strong effect on two physical health indicators (self-rated physical health and subjective sleep quality); (2) mental health is a significant mediator in the relationship between trait mindfulness and physical health status; and (3) the mediation role of mental health is more evident in the self-rated physical health model (24.15%) than subjective sleep quality (18.10%). This study improves our knowledge of how trait mindfulness can lead to a better physical health in middle-older adults and can lead to the development of social value communication and effective prevention.</t>
        </is>
      </c>
      <c r="X1617" t="inlineStr">
        <is>
          <t>[Lei, Yuruo; Liu, Jiawei] Shenzhen Univ, Global Megac Governance Inst, Sch Govt, Shenzhen 518060, Peoples R China; [Wang, Xinyu; Gao, Qiufeng] Shenzhen Univ, Sch Govt, Dept Sociol, Shenzhen 518060, Peoples R China; [Deng, Zhiqi] Shenzhen Univ, Sch Basic Med Sci, Dept Clin Med, Shenzhen 518060, Peoples R China</t>
        </is>
      </c>
      <c r="Y1617" t="inlineStr">
        <is>
          <t>Shenzhen University; Shenzhen University; Shenzhen University</t>
        </is>
      </c>
      <c r="Z1617" t="inlineStr">
        <is>
          <t>Gao, QF (corresponding author), Shenzhen Univ, Sch Govt, Dept Sociol, Shenzhen 518060, Peoples R China.</t>
        </is>
      </c>
      <c r="AA1617" t="inlineStr">
        <is>
          <t>gqf_psy@szu.edu.cn</t>
        </is>
      </c>
      <c r="AD1617" t="inlineStr">
        <is>
          <t>National Social Science Foundation of China [18BZZ026]</t>
        </is>
      </c>
      <c r="AE1617" t="inlineStr">
        <is>
          <t>National Social Science Foundation of China(National Office of Philosophy and Social Sciences)</t>
        </is>
      </c>
      <c r="AF1617" t="inlineStr">
        <is>
          <t>This research was funded by Y.L. through the National Social Science Foundation of China, grant number 18BZZ026. The content is solely the responsibility of the authors and does not necessarily represent the official views of the National Social Science Foundation of China or Shenzhen University.</t>
        </is>
      </c>
      <c r="AH1617" t="n">
        <v>65</v>
      </c>
      <c r="AI1617" t="n">
        <v>0</v>
      </c>
      <c r="AJ1617" t="n">
        <v>0</v>
      </c>
      <c r="AK1617" t="n">
        <v>10</v>
      </c>
      <c r="AL1617" t="n">
        <v>18</v>
      </c>
      <c r="AM1617" t="inlineStr">
        <is>
          <t>MDPI</t>
        </is>
      </c>
      <c r="AN1617" t="inlineStr">
        <is>
          <t>BASEL</t>
        </is>
      </c>
      <c r="AO1617" t="inlineStr">
        <is>
          <t>ST ALBAN-ANLAGE 66, CH-4052 BASEL, SWITZERLAND</t>
        </is>
      </c>
      <c r="AQ1617" t="inlineStr">
        <is>
          <t>1660-4601</t>
        </is>
      </c>
      <c r="AS1617" t="inlineStr">
        <is>
          <t>INT J ENV RES PUB HE</t>
        </is>
      </c>
      <c r="AT1617" t="inlineStr">
        <is>
          <t>Int. J. Environ. Res. Public Health</t>
        </is>
      </c>
      <c r="AU1617" t="inlineStr">
        <is>
          <t>DEC</t>
        </is>
      </c>
      <c r="AV1617" t="n">
        <v>2022</v>
      </c>
      <c r="AW1617" t="n">
        <v>19</v>
      </c>
      <c r="AX1617" t="n">
        <v>23</v>
      </c>
      <c r="BE1617" t="n">
        <v>16088</v>
      </c>
      <c r="BF1617" t="inlineStr">
        <is>
          <t>10.3390/ijerph192316088</t>
        </is>
      </c>
      <c r="BG1617">
        <f>HYPERLINK("http://dx.doi.org/10.3390/ijerph192316088","http://dx.doi.org/10.3390/ijerph192316088")</f>
        <v/>
      </c>
      <c r="BJ1617" t="n">
        <v>13</v>
      </c>
      <c r="BK1617" t="inlineStr">
        <is>
          <t>Environmental Sciences; Public, Environmental &amp; Occupational Health</t>
        </is>
      </c>
      <c r="BL1617" t="inlineStr">
        <is>
          <t>Science Citation Index Expanded (SCI-EXPANDED); Social Science Citation Index (SSCI)</t>
        </is>
      </c>
      <c r="BM1617" t="inlineStr">
        <is>
          <t>Environmental Sciences &amp; Ecology; Public, Environmental &amp; Occupational Health</t>
        </is>
      </c>
      <c r="BN1617" t="inlineStr">
        <is>
          <t>6Y7BM</t>
        </is>
      </c>
      <c r="BO1617" t="n">
        <v>36498162</v>
      </c>
      <c r="BP1617" t="inlineStr">
        <is>
          <t>gold, Green Published</t>
        </is>
      </c>
      <c r="BS1617" t="inlineStr">
        <is>
          <t>2023-10-26</t>
        </is>
      </c>
      <c r="BT1617" t="inlineStr">
        <is>
          <t>WOS:000897246100001</t>
        </is>
      </c>
      <c r="BU1617">
        <f>HYPERLINK("https%3A%2F%2Fwww.webofscience.com%2Fwos%2Fwoscc%2Ffull-record%2FWOS:000897246100001","View Full Record in Web of Science")</f>
        <v/>
      </c>
    </row>
    <row r="1618">
      <c r="A1618" t="inlineStr">
        <is>
          <t>J</t>
        </is>
      </c>
      <c r="B1618" t="inlineStr">
        <is>
          <t>Serrat-Graboleda, E; González-Carrasco, M; Aznar, FC; Cerrato, SM; Liebana, DC; Roqueta-Vall-Llosera, M</t>
        </is>
      </c>
      <c r="F1618" t="inlineStr">
        <is>
          <t>Serrat-Graboleda, Eva; Gonzalez-Carrasco, Monica; Casas Aznar, Ferran; Malo Cerrato, Sara; Camara Liebana, David; Roqueta-Vall-Llosera, Marta</t>
        </is>
      </c>
      <c r="J1618" t="inlineStr">
        <is>
          <t>INTERNATIONAL JOURNAL OF ENVIRONMENTAL RESEARCH AND PUBLIC HEALTH</t>
        </is>
      </c>
      <c r="M1618" t="inlineStr">
        <is>
          <t>English</t>
        </is>
      </c>
      <c r="N1618" t="inlineStr">
        <is>
          <t>Article</t>
        </is>
      </c>
      <c r="T1618" t="inlineStr">
        <is>
          <t>Factors Favoring and Hindering Volunteering by Older Adults and Their Relationship with Subjective Well-Being: A Mixed-Method Approach</t>
        </is>
      </c>
      <c r="U1618" t="inlineStr">
        <is>
          <t>volunteering; subjective well-being; older adults; predictive factors; mixed methodology</t>
        </is>
      </c>
      <c r="V1618" t="inlineStr">
        <is>
          <t>LIFE; INDEX</t>
        </is>
      </c>
      <c r="W1618" t="inlineStr">
        <is>
          <t>A mixed methodology was used through the triangulation of quantitative and qualitative data to determine older adults' perspectives regarding volunteering and identify what factors can contribute to promoting it, with special emphasis on the role that their own well-being plays in this behavior. The results reveal that satisfaction with life as a whole contributes positively to volunteer behavior and satisfaction with the groups one belongs to contributes negatively. The volunteers were less satisfied than non-volunteers with interpersonal relationships and with the groups they belong to. Knowing the opinion of the older adults with regard to volunteering and understanding how this prosocial behavior relates to their own well-being is very useful for developing strategic plans that allow future volunteers to be captured.</t>
        </is>
      </c>
      <c r="X1618" t="inlineStr">
        <is>
          <t>[Serrat-Graboleda, Eva; Camara Liebana, David; Roqueta-Vall-Llosera, Marta] Univ Girona, Fac Nursing, Girona 17004, Spain; [Serrat-Graboleda, Eva; Camara Liebana, David] Nurse Parc Hosp Marti &amp; Julia, Girona 17190, Spain; [Gonzalez-Carrasco, Monica; Casas Aznar, Ferran; Malo Cerrato, Sara] Univ Girona, Fac Educ &amp; Psychol, Girona 17004, Spain; [Roqueta-Vall-Llosera, Marta] Midwife Hosp Univ Josep Trueta, Girona 17007, Spain</t>
        </is>
      </c>
      <c r="Y1618" t="inlineStr">
        <is>
          <t>Universitat de Girona; Universitat de Girona</t>
        </is>
      </c>
      <c r="Z1618" t="inlineStr">
        <is>
          <t>Serrat-Graboleda, E (corresponding author), Univ Girona, Fac Nursing, Girona 17004, Spain.;Serrat-Graboleda, E (corresponding author), Nurse Parc Hosp Marti &amp; Julia, Girona 17190, Spain.</t>
        </is>
      </c>
      <c r="AA1618" t="inlineStr">
        <is>
          <t>eva.serrat@udg.edu; monica.gonzalez@udg.edu; ferran.casas@udg.edu; sara.malo@udg.edu; david.camara@udg.edu; marta.roqueta@udg.edu</t>
        </is>
      </c>
      <c r="AB1618" t="inlineStr">
        <is>
          <t>Cerrato, Sara Malo/AAQ-4097-2021; González Carrasco, Mònica/H-2581-2012; Serrat-Graboleda, Eva/O-7859-2018; Roqueta Vall-llosera, Marta/HPE-7093-2023; , David Camara Liebana/ABF-7368-2021</t>
        </is>
      </c>
      <c r="AC1618" t="inlineStr">
        <is>
          <t>Cerrato, Sara Malo/0000-0003-3561-0610; González Carrasco, Mònica/0000-0003-3677-8175; Serrat-Graboleda, Eva/0000-0002-5781-6890; Roqueta Vall-llosera, Marta/0000-0002-9811-3315; , David Camara Liebana/0000-0002-8948-6902</t>
        </is>
      </c>
      <c r="AD1618" t="inlineStr">
        <is>
          <t>Department of Health of the Government of Catalonia</t>
        </is>
      </c>
      <c r="AE1618" t="inlineStr">
        <is>
          <t>Department of Health of the Government of Catalonia</t>
        </is>
      </c>
      <c r="AF1618" t="inlineStr">
        <is>
          <t>This study was carried out due to the financial support of the Department of Health of the Government of Catalonia.</t>
        </is>
      </c>
      <c r="AH1618" t="n">
        <v>46</v>
      </c>
      <c r="AI1618" t="n">
        <v>1</v>
      </c>
      <c r="AJ1618" t="n">
        <v>1</v>
      </c>
      <c r="AK1618" t="n">
        <v>0</v>
      </c>
      <c r="AL1618" t="n">
        <v>8</v>
      </c>
      <c r="AM1618" t="inlineStr">
        <is>
          <t>MDPI</t>
        </is>
      </c>
      <c r="AN1618" t="inlineStr">
        <is>
          <t>BASEL</t>
        </is>
      </c>
      <c r="AO1618" t="inlineStr">
        <is>
          <t>ST ALBAN-ANLAGE 66, CH-4052 BASEL, SWITZERLAND</t>
        </is>
      </c>
      <c r="AQ1618" t="inlineStr">
        <is>
          <t>1660-4601</t>
        </is>
      </c>
      <c r="AS1618" t="inlineStr">
        <is>
          <t>INT J ENV RES PUB HE</t>
        </is>
      </c>
      <c r="AT1618" t="inlineStr">
        <is>
          <t>Int. J. Environ. Res. Public Health</t>
        </is>
      </c>
      <c r="AU1618" t="inlineStr">
        <is>
          <t>JUL</t>
        </is>
      </c>
      <c r="AV1618" t="n">
        <v>2021</v>
      </c>
      <c r="AW1618" t="n">
        <v>18</v>
      </c>
      <c r="AX1618" t="n">
        <v>13</v>
      </c>
      <c r="BE1618" t="n">
        <v>6704</v>
      </c>
      <c r="BF1618" t="inlineStr">
        <is>
          <t>10.3390/ijerph18136704</t>
        </is>
      </c>
      <c r="BG1618">
        <f>HYPERLINK("http://dx.doi.org/10.3390/ijerph18136704","http://dx.doi.org/10.3390/ijerph18136704")</f>
        <v/>
      </c>
      <c r="BJ1618" t="n">
        <v>16</v>
      </c>
      <c r="BK1618" t="inlineStr">
        <is>
          <t>Environmental Sciences; Public, Environmental &amp; Occupational Health</t>
        </is>
      </c>
      <c r="BL1618" t="inlineStr">
        <is>
          <t>Science Citation Index Expanded (SCI-EXPANDED); Social Science Citation Index (SSCI)</t>
        </is>
      </c>
      <c r="BM1618" t="inlineStr">
        <is>
          <t>Environmental Sciences &amp; Ecology; Public, Environmental &amp; Occupational Health</t>
        </is>
      </c>
      <c r="BN1618" t="inlineStr">
        <is>
          <t>TG0UJ</t>
        </is>
      </c>
      <c r="BO1618" t="n">
        <v>34206359</v>
      </c>
      <c r="BP1618" t="inlineStr">
        <is>
          <t>Green Published, gold</t>
        </is>
      </c>
      <c r="BS1618" t="inlineStr">
        <is>
          <t>2023-10-26</t>
        </is>
      </c>
      <c r="BT1618" t="inlineStr">
        <is>
          <t>WOS:000671128100001</t>
        </is>
      </c>
      <c r="BU1618">
        <f>HYPERLINK("https%3A%2F%2Fwww.webofscience.com%2Fwos%2Fwoscc%2Ffull-record%2FWOS:000671128100001","View Full Record in Web of Science")</f>
        <v/>
      </c>
    </row>
    <row r="1619">
      <c r="A1619" t="inlineStr">
        <is>
          <t>J</t>
        </is>
      </c>
      <c r="B1619" t="inlineStr">
        <is>
          <t>Cwirlej-Sozanska, A; Sozanski, B; Wilmowska-Pietruszynska, A; Kizowska-Lepiejza, B; Wisniowska-Szurlej, A</t>
        </is>
      </c>
      <c r="F1619" t="inlineStr">
        <is>
          <t>Cwirlej-Sozanska, Agnieszka; Sozanski, Bernard; Wilmowska-Pietruszynska, Anna; Kizowska-Lepiejza, Beata; Wisniowska-Szurlej, Agnieszka</t>
        </is>
      </c>
      <c r="J1619" t="inlineStr">
        <is>
          <t>INTERNATIONAL JOURNAL OF ENVIRONMENTAL RESEARCH AND PUBLIC HEALTH</t>
        </is>
      </c>
      <c r="M1619" t="inlineStr">
        <is>
          <t>English</t>
        </is>
      </c>
      <c r="N1619" t="inlineStr">
        <is>
          <t>Article</t>
        </is>
      </c>
      <c r="T1619" t="inlineStr">
        <is>
          <t>Development of the Polish Version of the ICF Core Set for the Environment of Older People</t>
        </is>
      </c>
      <c r="U1619" t="inlineStr">
        <is>
          <t>ICF; environment; core set; aged</t>
        </is>
      </c>
      <c r="V1619" t="inlineStr">
        <is>
          <t>INTERNATIONAL CLASSIFICATION; INTUITIVE DESCRIPTIONS; PHYSICAL-ACTIVITY; DISABILITY; HEALTH; FRAILTY; REHABILITATION; HOSPITALIZATION; PARTICIPATION; FACILITATORS</t>
        </is>
      </c>
      <c r="W1619" t="inlineStr">
        <is>
          <t>Introduction: The percentage of older people in Polish society increases every year. The interaction between the individual health condition and the barriers in the environment of the elderly leads to the development of disability and the limitation of activity and participation in daily activities. Aim: This study was aimed at selecting the category of the International Classification of Functioning, Disability, and Health (ICF) to assess the environment of older adults in Poland in the context of their daily functioning. Materials and methods: The study was designed to develop a user-friendly tool collecting ICF-based data on the living environment of older people, consisting of five phases: (1) the systematic review of the literature, (2) the empirical multicenter study, (3) the qualitative study based on interviews conducted among the elderly, (4) the experts' study-an assessment of selected codes from the perspective of experts, (5) the consensus conference. Results: Consensus was reached for 20 ICF categories, creating a comprehensive core set for the assessment of the living environment of older people, which included six codes from chapter 1, Products and technology, three codes from chapter 2, Natural environment and human-made changes to the environment, four codes from chapter 3, Support and relationships, four codes from Chapter 4, Attitudes, and three codes from Chapter 5, Services, systems, and policies. Conclusions: The core set for the assessment of the living environment of older people living in Poland is a comprehensive and important set of 20 ICF codes that reflect the most important elements of the environment affecting the health and functioning of the elderly. This set can contribute to the optimal management of care services and support in the area of adapting the environment to the older population. The core set for environmental assessment was developed for use by medical and care facilities, as well as by social workers, who should also pay attention to the elements of the environment that affect the level of functioning of older people. In the future, it may also form the basis of national surveys and screening tests for the assessment of the living environment of older people. Optimizing and enhancing the surrounding environment can contribute to a greater degree of independence, even with existing health problems in the older population.</t>
        </is>
      </c>
      <c r="X1619" t="inlineStr">
        <is>
          <t>[Cwirlej-Sozanska, Agnieszka; Wisniowska-Szurlej, Agnieszka] Univ Rzeszow, Inst Hlth Sci, Coll Med Sci, Rejtana St 16C, PL-35959 Rzeszow, Poland; [Cwirlej-Sozanska, Agnieszka; Wisniowska-Szurlej, Agnieszka] Rzeszow Univ, Ctr Innovat Res Med &amp; Nat Sci, Lab Geronto Prophylaxis, Warzywna St 1A, PL-35310 Rzeszow, Poland; [Sozanski, Bernard] Univ Rzeszow, Inst Med Sci, Coll Med Sci, Rejtana St 16C, PL-35959 Rzeszow, Poland; [Wilmowska-Pietruszynska, Anna] Lazarski Univ, Fac Med, Swieradowska St 43, PL-02662 Warsaw, Poland; [Kizowska-Lepiejza, Beata] Univ Rzeszow, Ctr Foreign Language Studies, Rejtana St 16C, PL-35959 Rzeszow, Poland</t>
        </is>
      </c>
      <c r="Y1619" t="inlineStr">
        <is>
          <t>University of Rzeszow; University of Rzeszow; University of Rzeszow; Uczelnia Lazarskiego w Warszawie; University of Rzeszow</t>
        </is>
      </c>
      <c r="Z1619" t="inlineStr">
        <is>
          <t>Cwirlej-Sozanska, A (corresponding author), Univ Rzeszow, Inst Hlth Sci, Coll Med Sci, Rejtana St 16C, PL-35959 Rzeszow, Poland.;Cwirlej-Sozanska, A (corresponding author), Rzeszow Univ, Ctr Innovat Res Med &amp; Nat Sci, Lab Geronto Prophylaxis, Warzywna St 1A, PL-35310 Rzeszow, Poland.</t>
        </is>
      </c>
      <c r="AA1619" t="inlineStr">
        <is>
          <t>asozanska@ur.edu.pl</t>
        </is>
      </c>
      <c r="AB1619" t="inlineStr">
        <is>
          <t>Wisniowska-Szurlej, Agnieszka/F-1877-2019</t>
        </is>
      </c>
      <c r="AC1619" t="inlineStr">
        <is>
          <t>Wisniowska-Szurlej, Agnieszka/0000-0001-6651-0861</t>
        </is>
      </c>
      <c r="AH1619" t="n">
        <v>53</v>
      </c>
      <c r="AI1619" t="n">
        <v>0</v>
      </c>
      <c r="AJ1619" t="n">
        <v>0</v>
      </c>
      <c r="AK1619" t="n">
        <v>2</v>
      </c>
      <c r="AL1619" t="n">
        <v>5</v>
      </c>
      <c r="AM1619" t="inlineStr">
        <is>
          <t>MDPI</t>
        </is>
      </c>
      <c r="AN1619" t="inlineStr">
        <is>
          <t>BASEL</t>
        </is>
      </c>
      <c r="AO1619" t="inlineStr">
        <is>
          <t>ST ALBAN-ANLAGE 66, CH-4052 BASEL, SWITZERLAND</t>
        </is>
      </c>
      <c r="AQ1619" t="inlineStr">
        <is>
          <t>1660-4601</t>
        </is>
      </c>
      <c r="AS1619" t="inlineStr">
        <is>
          <t>INT J ENV RES PUB HE</t>
        </is>
      </c>
      <c r="AT1619" t="inlineStr">
        <is>
          <t>Int. J. Environ. Res. Public Health</t>
        </is>
      </c>
      <c r="AU1619" t="inlineStr">
        <is>
          <t>DEC</t>
        </is>
      </c>
      <c r="AV1619" t="n">
        <v>2022</v>
      </c>
      <c r="AW1619" t="n">
        <v>19</v>
      </c>
      <c r="AX1619" t="n">
        <v>23</v>
      </c>
      <c r="BE1619" t="n">
        <v>16341</v>
      </c>
      <c r="BF1619" t="inlineStr">
        <is>
          <t>10.3390/ijerph192316341</t>
        </is>
      </c>
      <c r="BG1619">
        <f>HYPERLINK("http://dx.doi.org/10.3390/ijerph192316341","http://dx.doi.org/10.3390/ijerph192316341")</f>
        <v/>
      </c>
      <c r="BJ1619" t="n">
        <v>22</v>
      </c>
      <c r="BK1619" t="inlineStr">
        <is>
          <t>Environmental Sciences; Public, Environmental &amp; Occupational Health</t>
        </is>
      </c>
      <c r="BL1619" t="inlineStr">
        <is>
          <t>Science Citation Index Expanded (SCI-EXPANDED); Social Science Citation Index (SSCI)</t>
        </is>
      </c>
      <c r="BM1619" t="inlineStr">
        <is>
          <t>Environmental Sciences &amp; Ecology; Public, Environmental &amp; Occupational Health</t>
        </is>
      </c>
      <c r="BN1619" t="inlineStr">
        <is>
          <t>6W9IY</t>
        </is>
      </c>
      <c r="BO1619" t="n">
        <v>36498407</v>
      </c>
      <c r="BP1619" t="inlineStr">
        <is>
          <t>Green Published, gold</t>
        </is>
      </c>
      <c r="BS1619" t="inlineStr">
        <is>
          <t>2023-10-26</t>
        </is>
      </c>
      <c r="BT1619" t="inlineStr">
        <is>
          <t>WOS:000896041000001</t>
        </is>
      </c>
      <c r="BU1619">
        <f>HYPERLINK("https%3A%2F%2Fwww.webofscience.com%2Fwos%2Fwoscc%2Ffull-record%2FWOS:000896041000001","View Full Record in Web of Science")</f>
        <v/>
      </c>
    </row>
    <row r="1620">
      <c r="A1620" t="inlineStr">
        <is>
          <t>J</t>
        </is>
      </c>
      <c r="B1620" t="inlineStr">
        <is>
          <t>Li, X; Guo, YF; Xiao, JP; Liu, T; Zeng, WL; Hu, JX; He, GH; Rong, ZH; Zhu, ZH; Wu, F; Ma, WJ</t>
        </is>
      </c>
      <c r="F1620" t="inlineStr">
        <is>
          <t>Li, Xing; Guo, Yanfei; Xiao, Jianpeng; Liu, Tao; Zeng, Weilin; Hu, Jianxiong; He, Guanhao; Rong, Zuhua; Zhu, Zhihua; Wu, Fan; Ma, Wenjun</t>
        </is>
      </c>
      <c r="J1620" t="inlineStr">
        <is>
          <t>SCIENCE OF THE TOTAL ENVIRONMENT</t>
        </is>
      </c>
      <c r="M1620" t="inlineStr">
        <is>
          <t>English</t>
        </is>
      </c>
      <c r="N1620" t="inlineStr">
        <is>
          <t>Article</t>
        </is>
      </c>
      <c r="T1620" t="inlineStr">
        <is>
          <t>The effect of polluting cooking fuels on depression among older adults in six low- and middle-income countries</t>
        </is>
      </c>
      <c r="U1620" t="inlineStr">
        <is>
          <t>Polluting cooking fuel; Solid fuel; Depression; Low-and middle-income countries; Older adults</t>
        </is>
      </c>
      <c r="V1620" t="inlineStr">
        <is>
          <t>WORLD-HEALTH-ORGANIZATION; ANXIETY SYMPTOMS; AIR-POLLUTION; ASSOCIATION; PREVALENCE; DISORDER; MODELS; WOMEN</t>
        </is>
      </c>
      <c r="W1620" t="inlineStr">
        <is>
          <t>Background: Little is known about the association between polluting cooking fuel and depression among older adults living in low-and middle-income countries (LMICs).Objective: To evaluate the association between polluting cooking fuel and depression in older population of LMICs.Methods: We derived data from WHO Study on global AGEing and adult health (SAGE), which was conducted in six LMICs including China, India, Ghana, South Africa, Mexico and Russia. We applied logistic regression with the propensity score method to examine the relationship of polluting cooking fuel and depression among adults &gt;= 50 years old.Results: Overall, the odds ratio (OR) of depression was 1.57 [95% confidence intervals (CIs), 1.26-1.93] for older adults relying on polluting cooking fuel in six LMICs. In India and China, polluting cooking fuel was associated with depression with ORs of 2.06 (95%CI, 1.44-2.94) and 1.59 (95%CI, 1.01-2.49), respectively. Positive OR of depression was identified for those polluting cooking fuel users aged over 65 years old (OR, 1.65; 95%CI,1.16-2.36) and those aged 50-65 (OR, 1.50; 95%CI,1.14-1.97). Polluting cooking fuel was associated with depression for females (OR, 1.80; 95%CI, 1.32-2.46), however we did not observe significant association for males. Positive effect of polluting cooking fuel was identified in both rural (OR, 1.72; 95%CI, 1.26-2.34) and urban areas (OR, 1.44; 95%CI, 1.07-1.95). For individuals relying on solid fuel, cooking in a room used for living/sleeping and using open stove/ fire was associated with depression with ORs of 1.30 (95%CI, 1.14-1.48) and 1.15 (95%CI, 1.01-1.31), respectively. However, no significant effect was identified for hood.Conclusion: Polluting cooking fuel was related to depressive symptoms among older adults in LMICs. In addition, cooking ventilation could be useful intervention to control health hazard of solid fuel.</t>
        </is>
      </c>
      <c r="X1620" t="inlineStr">
        <is>
          <t>[Li, Xing; Xiao, Jianpeng; Zeng, Weilin; Hu, Jianxiong; He, Guanhao; Rong, Zuhua; Zhu, Zhihua] Guangdong Prov Ctr Dis Control &amp; Prevent, Guangdong Prov Inst Publ Hlth, Guangzhou 511430, Peoples R China; [Guo, Yanfei] Shanghai Municipal Ctr Dis Control &amp; Prevent, Shanghai 200336, Peoples R China; [Guo, Yanfei] Univ Gothenburg, Inst Med, Sahlgrenska Acad, Dept Publ Hlth &amp; Community Med, Gothenburg, Sweden; [Liu, Tao; Ma, Wenjun] Jinan Univ, Sch Med, Guangzhou 511436, Peoples R China; [Wu, Fan] Fudan Univ, Shanghai Med Coll, Shanghai 200433, Peoples R China</t>
        </is>
      </c>
      <c r="Y1620" t="inlineStr">
        <is>
          <t>Chinese Center for Disease Control &amp; Prevention; Guangdong Provincial Center for Disease Control &amp; Prevention; Shanghai Center for Disease Control &amp; Prevention; University of Gothenburg; Jinan University; Fudan University</t>
        </is>
      </c>
      <c r="Z1620" t="inlineStr">
        <is>
          <t>Ma, WJ (corresponding author), Jinan Univ, Sch Med, Guangzhou 511436, Peoples R China.;Wu, F (corresponding author), Fudan Univ, Shanghai Med Coll, Shanghai 200433, Peoples R China.</t>
        </is>
      </c>
      <c r="AA1620" t="inlineStr">
        <is>
          <t>wufan@shmu.edu.cn; mawj@gdiph.org.cn</t>
        </is>
      </c>
      <c r="AB1620" t="inlineStr">
        <is>
          <t>Liu, Shao/JFK-0166-2023; Wang, He/JCO-3900-2023; lu, yang/IWE-3635-2023; zhang, wb/JGM-5316-2023; Xiao, Jianpeng/GRY-5231-2022; Ma, Xiaodong/JAN-7473-2023; Xiao, Jian/GYU-4351-2022; JIN, LIYING/JFB-1980-2023; LI, QI/IUM-8577-2023; lu, qian/IUN-7445-2023; Wu, Wenli/IYJ-1598-2023; Zhou, heng/JCN-6493-2023; Liu, Ying/ISU-1216-2023; Liu, Yuxin/JCP-4002-2023</t>
        </is>
      </c>
      <c r="AH1620" t="n">
        <v>41</v>
      </c>
      <c r="AI1620" t="n">
        <v>7</v>
      </c>
      <c r="AJ1620" t="n">
        <v>7</v>
      </c>
      <c r="AK1620" t="n">
        <v>2</v>
      </c>
      <c r="AL1620" t="n">
        <v>11</v>
      </c>
      <c r="AM1620" t="inlineStr">
        <is>
          <t>ELSEVIER</t>
        </is>
      </c>
      <c r="AN1620" t="inlineStr">
        <is>
          <t>AMSTERDAM</t>
        </is>
      </c>
      <c r="AO1620" t="inlineStr">
        <is>
          <t>RADARWEG 29, 1043 NX AMSTERDAM, NETHERLANDS</t>
        </is>
      </c>
      <c r="AP1620" t="inlineStr">
        <is>
          <t>0048-9697</t>
        </is>
      </c>
      <c r="AQ1620" t="inlineStr">
        <is>
          <t>1879-1026</t>
        </is>
      </c>
      <c r="AS1620" t="inlineStr">
        <is>
          <t>SCI TOTAL ENVIRON</t>
        </is>
      </c>
      <c r="AT1620" t="inlineStr">
        <is>
          <t>Sci. Total Environ.</t>
        </is>
      </c>
      <c r="AU1620" t="inlineStr">
        <is>
          <t>SEP 10</t>
        </is>
      </c>
      <c r="AV1620" t="n">
        <v>2022</v>
      </c>
      <c r="AW1620" t="n">
        <v>838</v>
      </c>
      <c r="AY1620" t="n">
        <v>2</v>
      </c>
      <c r="BE1620" t="n">
        <v>155690</v>
      </c>
      <c r="BF1620" t="inlineStr">
        <is>
          <t>10.1016/j.scitotenv.2022.155690</t>
        </is>
      </c>
      <c r="BG1620">
        <f>HYPERLINK("http://dx.doi.org/10.1016/j.scitotenv.2022.155690","http://dx.doi.org/10.1016/j.scitotenv.2022.155690")</f>
        <v/>
      </c>
      <c r="BI1620" t="inlineStr">
        <is>
          <t>MAY 2022</t>
        </is>
      </c>
      <c r="BJ1620" t="n">
        <v>6</v>
      </c>
      <c r="BK1620" t="inlineStr">
        <is>
          <t>Environmental Sciences</t>
        </is>
      </c>
      <c r="BL1620" t="inlineStr">
        <is>
          <t>Science Citation Index Expanded (SCI-EXPANDED)</t>
        </is>
      </c>
      <c r="BM1620" t="inlineStr">
        <is>
          <t>Environmental Sciences &amp; Ecology</t>
        </is>
      </c>
      <c r="BN1620" t="inlineStr">
        <is>
          <t>2A6ZZ</t>
        </is>
      </c>
      <c r="BO1620" t="n">
        <v>35533871</v>
      </c>
      <c r="BS1620" t="inlineStr">
        <is>
          <t>2023-10-26</t>
        </is>
      </c>
      <c r="BT1620" t="inlineStr">
        <is>
          <t>WOS:000809649000014</t>
        </is>
      </c>
      <c r="BU1620">
        <f>HYPERLINK("https%3A%2F%2Fwww.webofscience.com%2Fwos%2Fwoscc%2Ffull-record%2FWOS:000809649000014","View Full Record in Web of Science")</f>
        <v/>
      </c>
    </row>
    <row r="1621">
      <c r="A1621" t="inlineStr">
        <is>
          <t>J</t>
        </is>
      </c>
      <c r="B1621" t="inlineStr">
        <is>
          <t>He, ZC; Xiong, JY; Kumagai, K; Chen, WH</t>
        </is>
      </c>
      <c r="F1621" t="inlineStr">
        <is>
          <t>He, Zhangcan; Xiong, Jianyin; Kumagai, Kazukiyo; Chen, Wenhao</t>
        </is>
      </c>
      <c r="J1621" t="inlineStr">
        <is>
          <t>ENVIRONMENT INTERNATIONAL</t>
        </is>
      </c>
      <c r="M1621" t="inlineStr">
        <is>
          <t>English</t>
        </is>
      </c>
      <c r="N1621" t="inlineStr">
        <is>
          <t>Article</t>
        </is>
      </c>
      <c r="T1621" t="inlineStr">
        <is>
          <t>An improved mechanism-based model for predicting the long-term formaldehyde emissions from composite wood products with exposed edges and seams</t>
        </is>
      </c>
      <c r="U1621" t="inlineStr">
        <is>
          <t>Building material; Formaldehyde; Mechanism-based model; Long-term emission; Indoor air quality</t>
        </is>
      </c>
      <c r="V1621" t="inlineStr">
        <is>
          <t>VOC EMISSIONS; BUILDING-MATERIALS; TEMPERATURE; PARAMETERS; RATIO</t>
        </is>
      </c>
      <c r="W1621" t="inlineStr">
        <is>
          <t>Emissions of formaldehyde from building materials and furniture can cause adverse health effects. Traditional models generally only consider emissions as a physical process that can be characterized by three key parameters: the initial emittable concentration, the diffusion coefficient and the partition coefficient. However, the physical-based model causes discrepancy in predicting long-term formaldehyde emissions for the cases where chemical reaction (i.e., hydrolysis) occurs over time. In this study, an improved mechanism-based model was developed by combining the chemical reaction process with a physical mass transfer process to more accurately predict the long-term emission behaviors. The chamber testing data of formaldehyde emissions from exposed edges and seams of a laminate flooring product made with composite wood core for about 1.5 year was used to validate the model. Results indicate that the mechanism-based model characterizes well the long-term formaldehyde emissions from the tested material. Predictions of different models further demonstrate the advantages of this improved model compared with the physical model or with empirical models. This study is the first attempt to check the feasibility of including the chemical reaction term in emission modeling and to quantitatively explore the importance of its contribution to long-term formaldehyde emissions, which includes most of the indoor emissions from materials and furniture.</t>
        </is>
      </c>
      <c r="X1621" t="inlineStr">
        <is>
          <t>[He, Zhangcan; Xiong, Jianyin] Beijing Inst Technol, Sch Mech Engn, Beijing 100081, Peoples R China; [Kumagai, Kazukiyo; Chen, Wenhao] Calif Dept Publ Hlth, Environm Hlth Lab, Indoor Air Qual Program, Richmond, CA 94804 USA</t>
        </is>
      </c>
      <c r="Y1621" t="inlineStr">
        <is>
          <t>Beijing Institute of Technology; California Department of Public Health</t>
        </is>
      </c>
      <c r="Z1621" t="inlineStr">
        <is>
          <t>Xiong, JY (corresponding author), Beijing Inst Technol, Sch Mech Engn, Beijing 100081, Peoples R China.;Chen, WH (corresponding author), Calif Dept Publ Hlth, Environm Hlth Lab, Indoor Air Qual Program, Richmond, CA 94804 USA.</t>
        </is>
      </c>
      <c r="AA1621" t="inlineStr">
        <is>
          <t>xiongjy@bit.edu.cn; Wenhao.Chen@cdph.ca.gov</t>
        </is>
      </c>
      <c r="AB1621" t="inlineStr">
        <is>
          <t>Xiong, Jianyin/F-8562-2012</t>
        </is>
      </c>
      <c r="AD1621" t="inlineStr">
        <is>
          <t>National Key Research and Development Program of China [2016YFF0204503]; National Natural Science Foundation of China [51778053, 51476013]</t>
        </is>
      </c>
      <c r="AE1621" t="inlineStr">
        <is>
          <t>National Key Research and Development Program of China; National Natural Science Foundation of China(National Natural Science Foundation of China (NSFC))</t>
        </is>
      </c>
      <c r="AF1621" t="inlineStr">
        <is>
          <t>This research was partly supported by the National Key Research and Development Program of China (No. 2016YFF0204503), and the National Natural Science Foundation of China (No. 51778053, No. 51476013). Part of this research was performed at the California Department of Public Health (CDPH). We thank Berkeley Analytical for their assistance in cutting the test specimens. We also thank other members of the Indoor Air Quality Section at CDPH (Mark Mendell, Na Li, Ping Wang, and Flavia Wong) for their help in reviewing the manuscript or conducting HPLC analysis.</t>
        </is>
      </c>
      <c r="AH1621" t="n">
        <v>38</v>
      </c>
      <c r="AI1621" t="n">
        <v>24</v>
      </c>
      <c r="AJ1621" t="n">
        <v>25</v>
      </c>
      <c r="AK1621" t="n">
        <v>2</v>
      </c>
      <c r="AL1621" t="n">
        <v>22</v>
      </c>
      <c r="AM1621" t="inlineStr">
        <is>
          <t>PERGAMON-ELSEVIER SCIENCE LTD</t>
        </is>
      </c>
      <c r="AN1621" t="inlineStr">
        <is>
          <t>OXFORD</t>
        </is>
      </c>
      <c r="AO1621" t="inlineStr">
        <is>
          <t>THE BOULEVARD, LANGFORD LANE, KIDLINGTON, OXFORD OX5 1GB, ENGLAND</t>
        </is>
      </c>
      <c r="AP1621" t="inlineStr">
        <is>
          <t>0160-4120</t>
        </is>
      </c>
      <c r="AQ1621" t="inlineStr">
        <is>
          <t>1873-6750</t>
        </is>
      </c>
      <c r="AS1621" t="inlineStr">
        <is>
          <t>ENVIRON INT</t>
        </is>
      </c>
      <c r="AT1621" t="inlineStr">
        <is>
          <t>Environ. Int.</t>
        </is>
      </c>
      <c r="AU1621" t="inlineStr">
        <is>
          <t>NOV</t>
        </is>
      </c>
      <c r="AV1621" t="n">
        <v>2019</v>
      </c>
      <c r="AW1621" t="n">
        <v>132</v>
      </c>
      <c r="BE1621" t="n">
        <v>105086</v>
      </c>
      <c r="BF1621" t="inlineStr">
        <is>
          <t>10.1016/j.envint.2019.105086</t>
        </is>
      </c>
      <c r="BG1621">
        <f>HYPERLINK("http://dx.doi.org/10.1016/j.envint.2019.105086","http://dx.doi.org/10.1016/j.envint.2019.105086")</f>
        <v/>
      </c>
      <c r="BJ1621" t="n">
        <v>10</v>
      </c>
      <c r="BK1621" t="inlineStr">
        <is>
          <t>Environmental Sciences</t>
        </is>
      </c>
      <c r="BL1621" t="inlineStr">
        <is>
          <t>Science Citation Index Expanded (SCI-EXPANDED)</t>
        </is>
      </c>
      <c r="BM1621" t="inlineStr">
        <is>
          <t>Environmental Sciences &amp; Ecology</t>
        </is>
      </c>
      <c r="BN1621" t="inlineStr">
        <is>
          <t>JI6BQ</t>
        </is>
      </c>
      <c r="BO1621" t="n">
        <v>31421385</v>
      </c>
      <c r="BP1621" t="inlineStr">
        <is>
          <t>gold</t>
        </is>
      </c>
      <c r="BS1621" t="inlineStr">
        <is>
          <t>2023-10-26</t>
        </is>
      </c>
      <c r="BT1621" t="inlineStr">
        <is>
          <t>WOS:000493552400046</t>
        </is>
      </c>
      <c r="BU1621">
        <f>HYPERLINK("https%3A%2F%2Fwww.webofscience.com%2Fwos%2Fwoscc%2Ffull-record%2FWOS:000493552400046","View Full Record in Web of Science")</f>
        <v/>
      </c>
    </row>
    <row r="1622">
      <c r="A1622" t="inlineStr">
        <is>
          <t>J</t>
        </is>
      </c>
      <c r="B1622" t="inlineStr">
        <is>
          <t>Zucca, M; Albera, A; Albera, R; Montuschi, C; Della Gatta, B; Canale, A; Rainero, I</t>
        </is>
      </c>
      <c r="F1622" t="inlineStr">
        <is>
          <t>Zucca, Milena; Albera, Andrea; Albera, Roberto; Montuschi, Carla; Della Gatta, Beatrice; Canale, Andrea; Rainero, Innocenzo</t>
        </is>
      </c>
      <c r="J1622" t="inlineStr">
        <is>
          <t>INTERNATIONAL JOURNAL OF ENVIRONMENTAL RESEARCH AND PUBLIC HEALTH</t>
        </is>
      </c>
      <c r="M1622" t="inlineStr">
        <is>
          <t>English</t>
        </is>
      </c>
      <c r="N1622" t="inlineStr">
        <is>
          <t>Article</t>
        </is>
      </c>
      <c r="T1622" t="inlineStr">
        <is>
          <t>Cochlear Implant Results in Older Adults with Post-Lingual Deafness: The Role of Top-Down Neurocognitive Mechanisms</t>
        </is>
      </c>
      <c r="U1622" t="inlineStr">
        <is>
          <t>cochlear implant; hearing impairment; older adults; neurocognition; processing speed; speech recognition</t>
        </is>
      </c>
      <c r="V1622" t="inlineStr">
        <is>
          <t>SPEECH RECOGNITION; HEARING-LOSS; WORKING-MEMORY; SOUND-DEPRIVATION; NORMATIVE DATA; PREDICTORS; OUTCOMES; PERFORMANCE; CAPACITY; SKILLS</t>
        </is>
      </c>
      <c r="W1622" t="inlineStr">
        <is>
          <t>To date, no clear specific cognitive predictors of speech perception outcome in older adult cochlear implant (CI) users have yet emerged. The aim of this prospective study was to increase knowledge on cognitive and clinical predictors of the audiological outcome in adult cochlear implant users. A total of 21 patients with post-lingual deafness, who were candidates for cochlear implantation, were recruited at the Department of Ear, Nose and Throat, University of Torino (Italy) and subjected to a pre-operatory neuropsychological assessment (T0) and an audiological examination after 12 months of implantation (T12). Patients who, at T12, had a 60 dB verbal recognition above 80%, were younger (z = -2.131, p = 0.033) and performed better in the Verbal Semantic Fluency Test at T0 (z = -1.941, p = 0.052) than subjects who had a 60 dB verbal recognition at T12 below 80%. The most significant predictors of the CI audiological outcome at T12 were age (beta = -0.492, p = 0.024) and patients' TMT-A performance at baseline (beta = -0.486, p = 0.035). We conclude that cognitive processing speed might be a good predictor of the level of speech understanding in older adult patients with CI after one year of implantation.</t>
        </is>
      </c>
      <c r="X1622" t="inlineStr">
        <is>
          <t>[Zucca, Milena; Rainero, Innocenzo] Univ Torino, Dept Neurosci, Aging Brain &amp; Memory Clin, I-10126 Turin, Italy; [Albera, Andrea; Albera, Roberto; Della Gatta, Beatrice; Canale, Andrea] Univ Torino, ENT Div, Dept Surg Sci, I-10126 Turin, Italy; [Montuschi, Carla] Osped Inferm Biella, Dept Surg, Sect Otorhinolaryngol, I-13875 Biella, Italy</t>
        </is>
      </c>
      <c r="Y1622" t="inlineStr">
        <is>
          <t>University of Turin; University of Turin</t>
        </is>
      </c>
      <c r="Z1622" t="inlineStr">
        <is>
          <t>Zucca, M (corresponding author), Univ Torino, Dept Neurosci, Aging Brain &amp; Memory Clin, I-10126 Turin, Italy.</t>
        </is>
      </c>
      <c r="AA1622" t="inlineStr">
        <is>
          <t>milena.zucca@unito.it; aalbera@hotmail.com; roberto.albera@unito.it; carla.montuschi@aslbi.piemonte.it; beatrice.dellagatta@unito.it; andrea.canale@unito.it; innocenzo.rainero@unito.it</t>
        </is>
      </c>
      <c r="AB1622" t="inlineStr">
        <is>
          <t>Albera, Andrea/GOH-1123-2022; Canale, Andrea/HMD-2637-2023</t>
        </is>
      </c>
      <c r="AC1622" t="inlineStr">
        <is>
          <t>Albera, Andrea/0000-0001-9608-5149; rainero, innocenzo/0000-0001-6074-9628; Albera, Roberto/0000-0003-3312-6614; ZUCCA, MILENA/0000-0001-6383-5548</t>
        </is>
      </c>
      <c r="AH1622" t="n">
        <v>65</v>
      </c>
      <c r="AI1622" t="n">
        <v>3</v>
      </c>
      <c r="AJ1622" t="n">
        <v>3</v>
      </c>
      <c r="AK1622" t="n">
        <v>0</v>
      </c>
      <c r="AL1622" t="n">
        <v>2</v>
      </c>
      <c r="AM1622" t="inlineStr">
        <is>
          <t>MDPI</t>
        </is>
      </c>
      <c r="AN1622" t="inlineStr">
        <is>
          <t>BASEL</t>
        </is>
      </c>
      <c r="AO1622" t="inlineStr">
        <is>
          <t>ST ALBAN-ANLAGE 66, CH-4052 BASEL, SWITZERLAND</t>
        </is>
      </c>
      <c r="AQ1622" t="inlineStr">
        <is>
          <t>1660-4601</t>
        </is>
      </c>
      <c r="AS1622" t="inlineStr">
        <is>
          <t>INT J ENV RES PUB HE</t>
        </is>
      </c>
      <c r="AT1622" t="inlineStr">
        <is>
          <t>Int. J. Environ. Res. Public Health</t>
        </is>
      </c>
      <c r="AU1622" t="inlineStr">
        <is>
          <t>FEB</t>
        </is>
      </c>
      <c r="AV1622" t="n">
        <v>2022</v>
      </c>
      <c r="AW1622" t="n">
        <v>19</v>
      </c>
      <c r="AX1622" t="n">
        <v>3</v>
      </c>
      <c r="BE1622" t="n">
        <v>1343</v>
      </c>
      <c r="BF1622" t="inlineStr">
        <is>
          <t>10.3390/ijerph19031343</t>
        </is>
      </c>
      <c r="BG1622">
        <f>HYPERLINK("http://dx.doi.org/10.3390/ijerph19031343","http://dx.doi.org/10.3390/ijerph19031343")</f>
        <v/>
      </c>
      <c r="BJ1622" t="n">
        <v>13</v>
      </c>
      <c r="BK1622" t="inlineStr">
        <is>
          <t>Environmental Sciences; Public, Environmental &amp; Occupational Health</t>
        </is>
      </c>
      <c r="BL1622" t="inlineStr">
        <is>
          <t>Science Citation Index Expanded (SCI-EXPANDED); Social Science Citation Index (SSCI)</t>
        </is>
      </c>
      <c r="BM1622" t="inlineStr">
        <is>
          <t>Environmental Sciences &amp; Ecology; Public, Environmental &amp; Occupational Health</t>
        </is>
      </c>
      <c r="BN1622" t="inlineStr">
        <is>
          <t>ZG4IU</t>
        </is>
      </c>
      <c r="BO1622" t="n">
        <v>35162365</v>
      </c>
      <c r="BP1622" t="inlineStr">
        <is>
          <t>Green Published, gold</t>
        </is>
      </c>
      <c r="BS1622" t="inlineStr">
        <is>
          <t>2023-10-26</t>
        </is>
      </c>
      <c r="BT1622" t="inlineStr">
        <is>
          <t>WOS:000760223800001</t>
        </is>
      </c>
      <c r="BU1622">
        <f>HYPERLINK("https%3A%2F%2Fwww.webofscience.com%2Fwos%2Fwoscc%2Ffull-record%2FWOS:000760223800001","View Full Record in Web of Science")</f>
        <v/>
      </c>
    </row>
    <row r="1623">
      <c r="A1623" t="inlineStr">
        <is>
          <t>J</t>
        </is>
      </c>
      <c r="B1623" t="inlineStr">
        <is>
          <t>Wang, SQ; Cai, WH; Tao, YG; Sun, QC; Wong, PPY; Huang, X; Liu, Y</t>
        </is>
      </c>
      <c r="F1623" t="inlineStr">
        <is>
          <t>Wang, Siqin; Cai, Wenhui; Tao, Yaguang; Sun, Qian Chayn; Wong, Paulina Pui Yun; Huang, Xiao; Liu, Yan</t>
        </is>
      </c>
      <c r="J1623" t="inlineStr">
        <is>
          <t>SCIENCE OF THE TOTAL ENVIRONMENT</t>
        </is>
      </c>
      <c r="M1623" t="inlineStr">
        <is>
          <t>English</t>
        </is>
      </c>
      <c r="N1623" t="inlineStr">
        <is>
          <t>Article</t>
        </is>
      </c>
      <c r="T1623" t="inlineStr">
        <is>
          <t>Unpacking the inter- and intra-urban differences of the association between health and exposure to heat and air quality in Australia using global and local machine learning models</t>
        </is>
      </c>
      <c r="U1623" t="inlineStr">
        <is>
          <t>Self -reported physical health; Mental health; Social environment; Built environment; Heat; Air quality; Geographically weighted random forest</t>
        </is>
      </c>
      <c r="V1623" t="inlineStr">
        <is>
          <t>CLIMATE-CHANGE; URBAN HEAT; POLLUTION; VULNERABILITY; CITIES; TEMPERATURE; MORTALITY; STRESS</t>
        </is>
      </c>
      <c r="W1623" t="inlineStr">
        <is>
          <t>Environmental stressors including high temperature and air pollution cause health problems. However, understanding how the combined exposure to heat and air pollution affects both physical and mental health remains insufficient due to the complexity of such effects mingling with human society, urban and natural environments. Our study roots in the Social Ecological Theory and employs a tri-environmental conceptual framework (i.e., across social, built and natural environment) to examine how the combined exposure to heat and air pollution affect self-reported physical and mental health via, for the first time, the fine-grained nationwide investigation in Australia and highlight how such effects vary across inter- and intra-urban areas. We conducted an ecological study to explore the importance of heat and air quality to physical and mental health by considering 48 tri-environmental confounders through the global and local random forest regression models, as advanced machine learning methods with the advantage of revealing the spatial heterogeneity of variables. Our key findings are threefold. First, the social and built environmental factors are important to physical and mental health in both urban and rural areas, and even more important than exposure to heat and air pollution. Second, the relationship between temperature and air quality and health follows a V-shape, reflecting people's different adaptation and tolerance to temperature and air quality. Third, the important roles that heat and air pollution play in physical and mental health are most obvious in the inner-city and near inner-city areas of the major capital cities, as well as in the industrial zones in peri-urban regions and in Darwin city with a low-latitude. We draw several policy implications to minimise the inter- and intra-urban differences in healthcare access and service distribution to populations with different sensitivity to heat and air quality across urban and rural areas. Our conceptual framework can also be applied to examine the relationship between other environmental problems and health outcomes in the era of a warming climate.</t>
        </is>
      </c>
      <c r="X1623" t="inlineStr">
        <is>
          <t>[Wang, Siqin] Univ Queensland, Sch Earth &amp; Environm Sci, Bldg 35, Brisbane, Qld, Australia; [Cai, Wenhui] Univ Tokyo, Grad Sch Interdisciplinary Informat Studies, Tokyo, Japan; [Tao, Yaguang; Sun, Qian Chayn] Lingnan Univ, Ctr Social Policy &amp; Social Change, Hong Kong, Peoples R China; [Huang, Xiao] RMIT Univ, Sch Sci, Melbourne, Vic, Australia; Univ Arkansas, Dept Geosci, Fayetteville, AR USA; [Sun, Qian Chayn] RMIT Univ, Geospatial Sci, Room 16,Level 12,Bldg 12,124 La Trobe St, Melbourne, Vic 3000, Australia</t>
        </is>
      </c>
      <c r="Y1623" t="inlineStr">
        <is>
          <t>University of Queensland; University of Tokyo; Lingnan University; Royal Melbourne Institute of Technology (RMIT); University of Arkansas System; University of Arkansas Fayetteville; Royal Melbourne Institute of Technology (RMIT)</t>
        </is>
      </c>
      <c r="Z1623" t="inlineStr">
        <is>
          <t>Wang, SQ (corresponding author), Univ Queensland, Sch Earth &amp; Environm Sci, Bldg 35, Brisbane, Qld, Australia.;Sun, QC (corresponding author), Lingnan Univ, Ctr Social Policy &amp; Social Change, Hong Kong, Peoples R China.;Sun, QC (corresponding author), RMIT Univ, Geospatial Sci, Room 16,Level 12,Bldg 12,124 La Trobe St, Melbourne, Vic 3000, Australia.</t>
        </is>
      </c>
      <c r="AA1623" t="inlineStr">
        <is>
          <t>s.wang6@uq.edu.au; wenhuicai@ln.edu.hk; yaguang.tao@rmit.edu.au; chayn.sun@rmit.edu.au; paulinawong@ln.edu.hk; xh010@uark.edu; yan.liu@uq.edu.au</t>
        </is>
      </c>
      <c r="AB1623" t="inlineStr">
        <is>
          <t>Huang, Xiao/AAS-4608-2020; Liu, Yan/F-9930-2010</t>
        </is>
      </c>
      <c r="AC1623" t="inlineStr">
        <is>
          <t>Huang, Xiao/0000-0002-4323-382X; Sun, Qian/0000-0002-5421-5838; CAI, Wenhui/0000-0001-5033-3266; Liu, Yan/0000-0002-1612-779X; Wong, Paulina/0000-0003-3804-3041</t>
        </is>
      </c>
      <c r="AD1623" t="inlineStr">
        <is>
          <t>Australian Urban Research Infrastructure Network (AURIN) High Impact Project 2022 Nationwide Longitudinal Database for Emerging CALD Communities and Social-Environmental Inequities</t>
        </is>
      </c>
      <c r="AE1623" t="inlineStr">
        <is>
          <t>Australian Urban Research Infrastructure Network (AURIN) High Impact Project 2022 Nationwide Longitudinal Database for Emerging CALD Communities and Social-Environmental Inequities</t>
        </is>
      </c>
      <c r="AF1623" t="inlineStr">
        <is>
          <t>This study is supported by the Australian Urban Research Infrastructure Network (AURIN) High Impact Project 2022 Nationwide Longitudinal Database for Emerging CALD Communities and Social-Environmental Inequities.</t>
        </is>
      </c>
      <c r="AH1623" t="n">
        <v>64</v>
      </c>
      <c r="AI1623" t="n">
        <v>0</v>
      </c>
      <c r="AJ1623" t="n">
        <v>0</v>
      </c>
      <c r="AK1623" t="n">
        <v>16</v>
      </c>
      <c r="AL1623" t="n">
        <v>20</v>
      </c>
      <c r="AM1623" t="inlineStr">
        <is>
          <t>ELSEVIER</t>
        </is>
      </c>
      <c r="AN1623" t="inlineStr">
        <is>
          <t>AMSTERDAM</t>
        </is>
      </c>
      <c r="AO1623" t="inlineStr">
        <is>
          <t>RADARWEG 29, 1043 NX AMSTERDAM, NETHERLANDS</t>
        </is>
      </c>
      <c r="AP1623" t="inlineStr">
        <is>
          <t>0048-9697</t>
        </is>
      </c>
      <c r="AQ1623" t="inlineStr">
        <is>
          <t>1879-1026</t>
        </is>
      </c>
      <c r="AS1623" t="inlineStr">
        <is>
          <t>SCI TOTAL ENVIRON</t>
        </is>
      </c>
      <c r="AT1623" t="inlineStr">
        <is>
          <t>Sci. Total Environ.</t>
        </is>
      </c>
      <c r="AU1623" t="inlineStr">
        <is>
          <t>MAY 1</t>
        </is>
      </c>
      <c r="AV1623" t="n">
        <v>2023</v>
      </c>
      <c r="AW1623" t="n">
        <v>871</v>
      </c>
      <c r="BE1623" t="n">
        <v>162005</v>
      </c>
      <c r="BF1623" t="inlineStr">
        <is>
          <t>10.1016/j.scitotenv.2023.162005</t>
        </is>
      </c>
      <c r="BG1623">
        <f>HYPERLINK("http://dx.doi.org/10.1016/j.scitotenv.2023.162005","http://dx.doi.org/10.1016/j.scitotenv.2023.162005")</f>
        <v/>
      </c>
      <c r="BI1623" t="inlineStr">
        <is>
          <t>FEB 2023</t>
        </is>
      </c>
      <c r="BJ1623" t="n">
        <v>13</v>
      </c>
      <c r="BK1623" t="inlineStr">
        <is>
          <t>Environmental Sciences</t>
        </is>
      </c>
      <c r="BL1623" t="inlineStr">
        <is>
          <t>Science Citation Index Expanded (SCI-EXPANDED)</t>
        </is>
      </c>
      <c r="BM1623" t="inlineStr">
        <is>
          <t>Environmental Sciences &amp; Ecology</t>
        </is>
      </c>
      <c r="BN1623" t="inlineStr">
        <is>
          <t>9Q6IP</t>
        </is>
      </c>
      <c r="BO1623" t="n">
        <v>36758700</v>
      </c>
      <c r="BP1623" t="inlineStr">
        <is>
          <t>hybrid</t>
        </is>
      </c>
      <c r="BS1623" t="inlineStr">
        <is>
          <t>2023-10-26</t>
        </is>
      </c>
      <c r="BT1623" t="inlineStr">
        <is>
          <t>WOS:000945065900001</t>
        </is>
      </c>
      <c r="BU1623">
        <f>HYPERLINK("https%3A%2F%2Fwww.webofscience.com%2Fwos%2Fwoscc%2Ffull-record%2FWOS:000945065900001","View Full Record in Web of Science")</f>
        <v/>
      </c>
    </row>
    <row r="1624">
      <c r="A1624" t="inlineStr">
        <is>
          <t>J</t>
        </is>
      </c>
      <c r="B1624" t="inlineStr">
        <is>
          <t>Jeon, BJ; Park, KH</t>
        </is>
      </c>
      <c r="F1624" t="inlineStr">
        <is>
          <t>Jeon, Byoung-Jin; Park, Kang-Hyun</t>
        </is>
      </c>
      <c r="J1624" t="inlineStr">
        <is>
          <t>INTERNATIONAL JOURNAL OF ENVIRONMENTAL RESEARCH AND PUBLIC HEALTH</t>
        </is>
      </c>
      <c r="M1624" t="inlineStr">
        <is>
          <t>English</t>
        </is>
      </c>
      <c r="N1624" t="inlineStr">
        <is>
          <t>Article</t>
        </is>
      </c>
      <c r="T1624" t="inlineStr">
        <is>
          <t>The Impact of Social Network Characteristics on Health among Community-Dwelling Older Adults in Korea: Application of Social Network Analysis</t>
        </is>
      </c>
      <c r="U1624" t="inlineStr">
        <is>
          <t>community-dwelling older adults; friend network; social network analysis; health</t>
        </is>
      </c>
      <c r="V1624" t="inlineStr">
        <is>
          <t>SELF-RATED HEALTH; LATER LIFE; WELL; MORTALITY; FRIENDSHIP; SUPPORT; PEOPLE</t>
        </is>
      </c>
      <c r="W1624" t="inlineStr">
        <is>
          <t>Objectives: Population aging is a reality in most developed countries. In this era, an important health issue for these countries is promoting health and quality of life in the elderly population. Older adults' social networks are associated with health and quality of life. Therefore, this study examines the association between the characteristics of social networks (friendship networks) and the subjective well-being of community-dwelling older adults. Methods: This study was conducted between June 2015 and August 2015 with a total of 146 participants. The size and density of social networks were analyzed using social network analysis. Additionally, to investigate the impact of social networks on health, a multiple linear regression analysis was performed using NetMiner 4.0. Statistical significance was set at p &lt; 0.05. Results: In terms of Model 1, which used social network characteristics as variables, the higher the out-degree (376.161) and in-closeness (201.825), the better the health. In contrast, the higher the in-degree (-279.167) and out-closeness (-52.620), the poorer the health. Regarding Model 2, which used sociodemographic characteristics as variables, the higher the out-degree (218.747) and in-closeness (170.075), the better the health. In addition, religion had a negative effect on health, and a high level of education had a positive effect on health. Conclusions: The findings suggest that higher out-degree and in-closeness intensity positively affect the health of older adults, but higher in-degree and out-closeness intensity negatively affect health. Therefore, health professionals should use appropriate strategies to increase the strength of social networks to improve the health of older adults living in the community.</t>
        </is>
      </c>
      <c r="X1624" t="inlineStr">
        <is>
          <t>[Jeon, Byoung-Jin] Kangwon Natl Univ, Dept Occupat Therapy, Samcheok Si 25947, South Korea; [Park, Kang-Hyun] Baekseok Univ, Dept Occupat Therapy, Cheonan Si 31065, South Korea</t>
        </is>
      </c>
      <c r="Y1624" t="inlineStr">
        <is>
          <t>Kangwon National University; Baekseok University</t>
        </is>
      </c>
      <c r="Z1624" t="inlineStr">
        <is>
          <t>Park, KH (corresponding author), Baekseok Univ, Dept Occupat Therapy, Cheonan Si 31065, South Korea.</t>
        </is>
      </c>
      <c r="AA1624" t="inlineStr">
        <is>
          <t>nomadot@daum.net; kanghyun@bu.ac.kr</t>
        </is>
      </c>
      <c r="AC1624" t="inlineStr">
        <is>
          <t>Park, Kanghyun/0000-0002-8658-0274</t>
        </is>
      </c>
      <c r="AH1624" t="n">
        <v>52</v>
      </c>
      <c r="AI1624" t="n">
        <v>2</v>
      </c>
      <c r="AJ1624" t="n">
        <v>2</v>
      </c>
      <c r="AK1624" t="n">
        <v>4</v>
      </c>
      <c r="AL1624" t="n">
        <v>20</v>
      </c>
      <c r="AM1624" t="inlineStr">
        <is>
          <t>MDPI</t>
        </is>
      </c>
      <c r="AN1624" t="inlineStr">
        <is>
          <t>BASEL</t>
        </is>
      </c>
      <c r="AO1624" t="inlineStr">
        <is>
          <t>ST ALBAN-ANLAGE 66, CH-4052 BASEL, SWITZERLAND</t>
        </is>
      </c>
      <c r="AQ1624" t="inlineStr">
        <is>
          <t>1660-4601</t>
        </is>
      </c>
      <c r="AS1624" t="inlineStr">
        <is>
          <t>INT J ENV RES PUB HE</t>
        </is>
      </c>
      <c r="AT1624" t="inlineStr">
        <is>
          <t>Int. J. Environ. Res. Public Health</t>
        </is>
      </c>
      <c r="AU1624" t="inlineStr">
        <is>
          <t>APR</t>
        </is>
      </c>
      <c r="AV1624" t="n">
        <v>2022</v>
      </c>
      <c r="AW1624" t="n">
        <v>19</v>
      </c>
      <c r="AX1624" t="n">
        <v>7</v>
      </c>
      <c r="BE1624" t="n">
        <v>4013</v>
      </c>
      <c r="BF1624" t="inlineStr">
        <is>
          <t>10.3390/ijerph19074013</t>
        </is>
      </c>
      <c r="BG1624">
        <f>HYPERLINK("http://dx.doi.org/10.3390/ijerph19074013","http://dx.doi.org/10.3390/ijerph19074013")</f>
        <v/>
      </c>
      <c r="BJ1624" t="n">
        <v>9</v>
      </c>
      <c r="BK1624" t="inlineStr">
        <is>
          <t>Environmental Sciences; Public, Environmental &amp; Occupational Health</t>
        </is>
      </c>
      <c r="BL1624" t="inlineStr">
        <is>
          <t>Science Citation Index Expanded (SCI-EXPANDED); Social Science Citation Index (SSCI)</t>
        </is>
      </c>
      <c r="BM1624" t="inlineStr">
        <is>
          <t>Environmental Sciences &amp; Ecology; Public, Environmental &amp; Occupational Health</t>
        </is>
      </c>
      <c r="BN1624" t="inlineStr">
        <is>
          <t>0K2FS</t>
        </is>
      </c>
      <c r="BO1624" t="n">
        <v>35409696</v>
      </c>
      <c r="BP1624" t="inlineStr">
        <is>
          <t>Green Published, gold</t>
        </is>
      </c>
      <c r="BS1624" t="inlineStr">
        <is>
          <t>2023-10-26</t>
        </is>
      </c>
      <c r="BT1624" t="inlineStr">
        <is>
          <t>WOS:000780609700001</t>
        </is>
      </c>
      <c r="BU1624">
        <f>HYPERLINK("https%3A%2F%2Fwww.webofscience.com%2Fwos%2Fwoscc%2Ffull-record%2FWOS:000780609700001","View Full Record in Web of Science")</f>
        <v/>
      </c>
    </row>
    <row r="1625">
      <c r="A1625" t="inlineStr">
        <is>
          <t>J</t>
        </is>
      </c>
      <c r="B1625" t="inlineStr">
        <is>
          <t>Danielski, I; Svensson, Å; Weimer, K; Lorentzen, L; Warne, M</t>
        </is>
      </c>
      <c r="F1625" t="inlineStr">
        <is>
          <t>Danielski, Itai; Svensson, Asa; Weimer, Kerstin; Lorentzen, Lena; Warne, Maria</t>
        </is>
      </c>
      <c r="J1625" t="inlineStr">
        <is>
          <t>SUSTAINABILITY</t>
        </is>
      </c>
      <c r="M1625" t="inlineStr">
        <is>
          <t>English</t>
        </is>
      </c>
      <c r="N1625" t="inlineStr">
        <is>
          <t>Article</t>
        </is>
      </c>
      <c r="T1625" t="inlineStr">
        <is>
          <t>Effects of Green Plants on the Indoor Environment and Wellbeing in Classrooms-A Case Study in a Swedish School</t>
        </is>
      </c>
      <c r="U1625" t="inlineStr">
        <is>
          <t>CO2; indoor temperature; plant stand design; psychosomatic symptoms; pupils; school stress; truancy; worry</t>
        </is>
      </c>
      <c r="V1625" t="inlineStr">
        <is>
          <t>AIR-QUALITY; PERCEPTIONS; PERFORMANCE; PSYCHOLOGY; STUDENTS; HEALTH</t>
        </is>
      </c>
      <c r="W1625" t="inlineStr">
        <is>
          <t>Many schools in Sweden lack a proper indoor environment due to, e.g., poor thermal-envelope properties, overcrowded classes, poor visual appearance and insufficient ventilation. This study aims to explore the integration of a large number of indoor green plants into classrooms' environments. This case study consists of three parts: measurements of the indoor environment including a final energy model, a questionnaire to the pupils with questions about their well-being and qualitative interviews with teachers. The case was two classrooms in a secondary education facility in central Sweden with an average annual temperature of 3 degrees C and a long and dark winter period with snow. The results showed 10% lower CO2 and slightly higher and more stable temperatures due to the green plants. Worries about climate change and war among the pupils decreased after several months with the plants and worry about infectious disease increased. The teachers experienced fresher air from the plants and used the plant stands for a flexible classroom design. The conclusion is that indoor plants have the potential to contribute to a better indoor environment, but due to the high number of uncontrolled variables (including the effect of COVID-19) in measurements of real-life conditions, more studies are needed.</t>
        </is>
      </c>
      <c r="X1625" t="inlineStr">
        <is>
          <t>[Danielski, Itai] Umea Univ, Dept Appl Phys &amp; Elect, S-90187 Umea, Sweden; [Svensson, Asa; Warne, Maria] Mid Sweden Univ, Dept Hlth Sci, S-83125 Ostersund, Sweden; [Weimer, Kerstin] Mid Sweden Univ, Dept Psychol &amp; Social Work, S-83125 Ostersund, Sweden; [Lorentzen, Lena] Design AB, S-82891 Edsbyn, Sweden</t>
        </is>
      </c>
      <c r="Y1625" t="inlineStr">
        <is>
          <t>Umea University; Mid-Sweden University; Mid-Sweden University</t>
        </is>
      </c>
      <c r="Z1625" t="inlineStr">
        <is>
          <t>Danielski, I (corresponding author), Umea Univ, Dept Appl Phys &amp; Elect, S-90187 Umea, Sweden.</t>
        </is>
      </c>
      <c r="AA1625" t="inlineStr">
        <is>
          <t>itai.danielski@umu.se; asa.m.svensson@miun.se; kerstin.weimer@miun.se; lena@lenalorentzendesign.se; maria.warne@miun.se</t>
        </is>
      </c>
      <c r="AC1625" t="inlineStr">
        <is>
          <t>Warne, Maria/0000-0003-2239-5683; Danielski, Itai/0000-0001-5356-7471</t>
        </is>
      </c>
      <c r="AD1625" t="inlineStr">
        <is>
          <t>Swedish Energy Agency (Energimyndigheten) [47016-1]</t>
        </is>
      </c>
      <c r="AE1625" t="inlineStr">
        <is>
          <t>Swedish Energy Agency (Energimyndigheten)(Swedish Energy Agency)</t>
        </is>
      </c>
      <c r="AF1625" t="inlineStr">
        <is>
          <t>This research was funded by the Swedish Energy Agency (Energimyndigheten), project number 47016-1.</t>
        </is>
      </c>
      <c r="AH1625" t="n">
        <v>42</v>
      </c>
      <c r="AI1625" t="n">
        <v>3</v>
      </c>
      <c r="AJ1625" t="n">
        <v>3</v>
      </c>
      <c r="AK1625" t="n">
        <v>8</v>
      </c>
      <c r="AL1625" t="n">
        <v>32</v>
      </c>
      <c r="AM1625" t="inlineStr">
        <is>
          <t>MDPI</t>
        </is>
      </c>
      <c r="AN1625" t="inlineStr">
        <is>
          <t>BASEL</t>
        </is>
      </c>
      <c r="AO1625" t="inlineStr">
        <is>
          <t>ST ALBAN-ANLAGE 66, CH-4052 BASEL, SWITZERLAND</t>
        </is>
      </c>
      <c r="AQ1625" t="inlineStr">
        <is>
          <t>2071-1050</t>
        </is>
      </c>
      <c r="AS1625" t="inlineStr">
        <is>
          <t>SUSTAINABILITY-BASEL</t>
        </is>
      </c>
      <c r="AT1625" t="inlineStr">
        <is>
          <t>Sustainability</t>
        </is>
      </c>
      <c r="AU1625" t="inlineStr">
        <is>
          <t>APR</t>
        </is>
      </c>
      <c r="AV1625" t="n">
        <v>2022</v>
      </c>
      <c r="AW1625" t="n">
        <v>14</v>
      </c>
      <c r="AX1625" t="n">
        <v>7</v>
      </c>
      <c r="BE1625" t="n">
        <v>3777</v>
      </c>
      <c r="BF1625" t="inlineStr">
        <is>
          <t>10.3390/su14073777</t>
        </is>
      </c>
      <c r="BG1625">
        <f>HYPERLINK("http://dx.doi.org/10.3390/su14073777","http://dx.doi.org/10.3390/su14073777")</f>
        <v/>
      </c>
      <c r="BJ1625" t="n">
        <v>23</v>
      </c>
      <c r="BK1625" t="inlineStr">
        <is>
          <t>Green &amp; Sustainable Science &amp; Technology; Environmental Sciences; Environmental Studies</t>
        </is>
      </c>
      <c r="BL1625" t="inlineStr">
        <is>
          <t>Science Citation Index Expanded (SCI-EXPANDED); Social Science Citation Index (SSCI)</t>
        </is>
      </c>
      <c r="BM1625" t="inlineStr">
        <is>
          <t>Science &amp; Technology - Other Topics; Environmental Sciences &amp; Ecology</t>
        </is>
      </c>
      <c r="BN1625" t="inlineStr">
        <is>
          <t>0Y8RQ</t>
        </is>
      </c>
      <c r="BP1625" t="inlineStr">
        <is>
          <t>Green Published, gold</t>
        </is>
      </c>
      <c r="BS1625" t="inlineStr">
        <is>
          <t>2023-10-26</t>
        </is>
      </c>
      <c r="BT1625" t="inlineStr">
        <is>
          <t>WOS:000790652300001</t>
        </is>
      </c>
      <c r="BU1625">
        <f>HYPERLINK("https%3A%2F%2Fwww.webofscience.com%2Fwos%2Fwoscc%2Ffull-record%2FWOS:000790652300001","View Full Record in Web of Science")</f>
        <v/>
      </c>
    </row>
    <row r="1626">
      <c r="A1626" t="inlineStr">
        <is>
          <t>J</t>
        </is>
      </c>
      <c r="B1626" t="inlineStr">
        <is>
          <t>Moreno-Rangel, A; Musau, F; Sharpe, T; McGill, G</t>
        </is>
      </c>
      <c r="F1626" t="inlineStr">
        <is>
          <t>Moreno-Rangel, Alejandro; Musau, Filbert; Sharpe, Tim; McGill, Grainne</t>
        </is>
      </c>
      <c r="J1626" t="inlineStr">
        <is>
          <t>ATMOSPHERE</t>
        </is>
      </c>
      <c r="M1626" t="inlineStr">
        <is>
          <t>English</t>
        </is>
      </c>
      <c r="N1626" t="inlineStr">
        <is>
          <t>Article</t>
        </is>
      </c>
      <c r="T1626" t="inlineStr">
        <is>
          <t>Indoor Air Quality Assessment of Latin America's First Passivhaus Home</t>
        </is>
      </c>
      <c r="U1626" t="inlineStr">
        <is>
          <t>Passivhaus; indoor air quality (IAQ); Latin America; particulate matter (PM2.5); carbon dioxide (CO2); total volatile organic compounds (tVOC)</t>
        </is>
      </c>
      <c r="V1626" t="inlineStr">
        <is>
          <t>RESIDENTIAL BUILDINGS; ENVIRONMENT QUALITY; HOUSE; PERFORMANCE; VENTILATION; POLLUTION; DESIGN; DWELLINGS; HEALTH</t>
        </is>
      </c>
      <c r="W1626" t="inlineStr">
        <is>
          <t>Sustainable building design, such as the Passivhaus standard, seeks to minimise energy consumption, while improving indoor environmental comfort. Very few studies have studied the indoor air quality (IAQ) in Passivhaus homes outside of Europe. This paper presents the indoor particulate matter (PM2.5), carbon dioxide (CO2), and total volatile organic compounds (tVOC) measurements of the first residential Passivhaus in Latin America. It compares them to a standard home in Mexico City. Low-cost monitors were installed in the bedroom, living room, and kitchen spaces of both homes, to collect data at five-minute intervals for one year. The physical measurements from each home were also compared to the occupants' IAQ perceptions. The measurements demonstrated that the Passivhaus CO2 and tVOC annual average levels were 143.8 ppm and 81.47 mu g/m(3) lower than the standard home. The PM2.5 in the Passivhaus was 11.13 mu g/m(3) lower than the standard home and 5.75 mu g/m(3) lower than outdoors. While the results presented here cannot be generalised, the results suggest that Passivhaus dwellings can provide better and healthier indoor air quality in Latin America. Further, large-scale studies should look at the indoor environmental conditions, energy performance, and dwelling design of Passivhaus dwellings in Latin America.</t>
        </is>
      </c>
      <c r="X1626" t="inlineStr">
        <is>
          <t>[Moreno-Rangel, Alejandro; Musau, Filbert; Sharpe, Tim; McGill, Grainne] Glasgow Sch Art, Mackintosh Environm Architecture Res Unit, Glasgow G3 6RQ, Lanark, Scotland; [Moreno-Rangel, Alejandro] Univ Lancaster, Lancaster Inst Contemporary, Lancaster LA1 4YW, England; [Sharpe, Tim; McGill, Grainne] Univ Strathclyde, Dept Architecture, Glasgow G1 1XJ, Lanark, Scotland</t>
        </is>
      </c>
      <c r="Y1626" t="inlineStr">
        <is>
          <t>Glasgow School of Art; Lancaster University; University of Strathclyde</t>
        </is>
      </c>
      <c r="Z1626" t="inlineStr">
        <is>
          <t>Moreno-Rangel, A (corresponding author), Glasgow Sch Art, Mackintosh Environm Architecture Res Unit, Glasgow G3 6RQ, Lanark, Scotland.;Moreno-Rangel, A (corresponding author), Univ Lancaster, Lancaster Inst Contemporary, Lancaster LA1 4YW, England.</t>
        </is>
      </c>
      <c r="AA1626" t="inlineStr">
        <is>
          <t>a.morenorangel@lancaster.ac.uk; f.musau@gsa.ac.uk; tim.sharpe@strath.ac.uk; grainne.mcgill@strath.ac.uk</t>
        </is>
      </c>
      <c r="AC1626" t="inlineStr">
        <is>
          <t>McGill, Grainne/0000-0002-8716-9567; Moreno-Rangel, Alejandro/0000-0001-6405-4233; Sharpe, Tim/0000-0002-4275-5351</t>
        </is>
      </c>
      <c r="AD1626" t="inlineStr">
        <is>
          <t>CONACyT; AirBoxLab (Foobot); Research England Expanding, Excellence in England (E3)</t>
        </is>
      </c>
      <c r="AE1626" t="inlineStr">
        <is>
          <t>CONACyT(Consejo Nacional de Ciencia y Tecnologia (CONACyT)); AirBoxLab (Foobot); Research England Expanding, Excellence in England (E3)(UK Research &amp; Innovation (UKRI))</t>
        </is>
      </c>
      <c r="AF1626" t="inlineStr">
        <is>
          <t>CONACyT partially funded this research through a PhD grant. AirBoxLab (Foobot) partially funded this study, offering a discount on the monitors used in this research. The development of this article was supported by the Research England Expanding, Excellence in England (E3).</t>
        </is>
      </c>
      <c r="AH1626" t="n">
        <v>68</v>
      </c>
      <c r="AI1626" t="n">
        <v>4</v>
      </c>
      <c r="AJ1626" t="n">
        <v>4</v>
      </c>
      <c r="AK1626" t="n">
        <v>1</v>
      </c>
      <c r="AL1626" t="n">
        <v>9</v>
      </c>
      <c r="AM1626" t="inlineStr">
        <is>
          <t>MDPI</t>
        </is>
      </c>
      <c r="AN1626" t="inlineStr">
        <is>
          <t>BASEL</t>
        </is>
      </c>
      <c r="AO1626" t="inlineStr">
        <is>
          <t>ST ALBAN-ANLAGE 66, CH-4052 BASEL, SWITZERLAND</t>
        </is>
      </c>
      <c r="AQ1626" t="inlineStr">
        <is>
          <t>2073-4433</t>
        </is>
      </c>
      <c r="AS1626" t="inlineStr">
        <is>
          <t>ATMOSPHERE-BASEL</t>
        </is>
      </c>
      <c r="AT1626" t="inlineStr">
        <is>
          <t>Atmosphere</t>
        </is>
      </c>
      <c r="AU1626" t="inlineStr">
        <is>
          <t>NOV</t>
        </is>
      </c>
      <c r="AV1626" t="n">
        <v>2021</v>
      </c>
      <c r="AW1626" t="n">
        <v>12</v>
      </c>
      <c r="AX1626" t="n">
        <v>11</v>
      </c>
      <c r="BE1626" t="n">
        <v>1477</v>
      </c>
      <c r="BF1626" t="inlineStr">
        <is>
          <t>10.3390/atmos12111477</t>
        </is>
      </c>
      <c r="BG1626">
        <f>HYPERLINK("http://dx.doi.org/10.3390/atmos12111477","http://dx.doi.org/10.3390/atmos12111477")</f>
        <v/>
      </c>
      <c r="BJ1626" t="n">
        <v>18</v>
      </c>
      <c r="BK1626" t="inlineStr">
        <is>
          <t>Environmental Sciences; Meteorology &amp; Atmospheric Sciences</t>
        </is>
      </c>
      <c r="BL1626" t="inlineStr">
        <is>
          <t>Science Citation Index Expanded (SCI-EXPANDED)</t>
        </is>
      </c>
      <c r="BM1626" t="inlineStr">
        <is>
          <t>Environmental Sciences &amp; Ecology; Meteorology &amp; Atmospheric Sciences</t>
        </is>
      </c>
      <c r="BN1626" t="inlineStr">
        <is>
          <t>XI3ED</t>
        </is>
      </c>
      <c r="BP1626" t="inlineStr">
        <is>
          <t>Green Accepted, gold</t>
        </is>
      </c>
      <c r="BS1626" t="inlineStr">
        <is>
          <t>2023-10-26</t>
        </is>
      </c>
      <c r="BT1626" t="inlineStr">
        <is>
          <t>WOS:000725998500001</t>
        </is>
      </c>
      <c r="BU1626">
        <f>HYPERLINK("https%3A%2F%2Fwww.webofscience.com%2Fwos%2Fwoscc%2Ffull-record%2FWOS:000725998500001","View Full Record in Web of Science")</f>
        <v/>
      </c>
    </row>
    <row r="1627">
      <c r="A1627" t="inlineStr">
        <is>
          <t>J</t>
        </is>
      </c>
      <c r="B1627" t="inlineStr">
        <is>
          <t>Fukuoka, R; Kimura, S; Nabika, T</t>
        </is>
      </c>
      <c r="F1627" t="inlineStr">
        <is>
          <t>Fukuoka, Rie; Kimura, Shinji; Nabika, Toru</t>
        </is>
      </c>
      <c r="J1627" t="inlineStr">
        <is>
          <t>INTERNATIONAL JOURNAL OF ENVIRONMENTAL RESEARCH AND PUBLIC HEALTH</t>
        </is>
      </c>
      <c r="M1627" t="inlineStr">
        <is>
          <t>English</t>
        </is>
      </c>
      <c r="N1627" t="inlineStr">
        <is>
          <t>Article</t>
        </is>
      </c>
      <c r="T1627" t="inlineStr">
        <is>
          <t>Effectiveness of Intergenerational Interaction on Older Adults Depends on Children's Developmental Stages; Observational Evaluation in Facilities for Geriatric Health Service</t>
        </is>
      </c>
      <c r="U1627" t="inlineStr">
        <is>
          <t>intergenerational exchange; older adult; staff; geriatric health services facility</t>
        </is>
      </c>
      <c r="V1627" t="inlineStr">
        <is>
          <t>PROGRAM</t>
        </is>
      </c>
      <c r="W1627" t="inlineStr">
        <is>
          <t>The demand for intergenerational exchange is growing in the world, where the size of a family is becoming smaller. To promote intergenerational exchange, it is important to know whether different stages of child age have different effects. This study aimed to examine effects of intergenerational exchange using children at different developmental stages through a questionnaire survey. The subjects were 296 employees of 116 facilities for geriatric health services that routinely conduct intergenerational exchanges. A questionnaire was designed to ask the employees what effects were observed on old adults and on the employees themselves after intergenerational exchanges were conducted. The results indicated that younger children caused better effects both for older adults and for the employees regarding some of the items, while older children caused equal or lesser effects for all items. It was suggested that the developmental stage of children should be considered according to the purpose of intergenerational exchange.</t>
        </is>
      </c>
      <c r="X1627" t="inlineStr">
        <is>
          <t>[Fukuoka, Rie] Shimane Univ, Fac Med, Dept Community Hlth &amp; Gerontol Nursing, Izumo, Shimane 6938501, Japan; [Kimura, Shinji] Shimane Univ, Fac Med, Dept Clin Nursing, Izumo, Shimane 6938501, Japan; [Nabika, Toru] Shimane Univ, Fac Med, Izumo, Shimane 6938501, Japan</t>
        </is>
      </c>
      <c r="Y1627" t="inlineStr">
        <is>
          <t>Shimane University; Shimane University; Shimane University</t>
        </is>
      </c>
      <c r="Z1627" t="inlineStr">
        <is>
          <t>Fukuoka, R (corresponding author), Shimane Univ, Fac Med, Dept Community Hlth &amp; Gerontol Nursing, Izumo, Shimane 6938501, Japan.</t>
        </is>
      </c>
      <c r="AA1627" t="inlineStr">
        <is>
          <t>fukuoka@med.shimane-u.ac.jp</t>
        </is>
      </c>
      <c r="AH1627" t="n">
        <v>20</v>
      </c>
      <c r="AI1627" t="n">
        <v>0</v>
      </c>
      <c r="AJ1627" t="n">
        <v>0</v>
      </c>
      <c r="AK1627" t="n">
        <v>5</v>
      </c>
      <c r="AL1627" t="n">
        <v>8</v>
      </c>
      <c r="AM1627" t="inlineStr">
        <is>
          <t>MDPI</t>
        </is>
      </c>
      <c r="AN1627" t="inlineStr">
        <is>
          <t>BASEL</t>
        </is>
      </c>
      <c r="AO1627" t="inlineStr">
        <is>
          <t>ST ALBAN-ANLAGE 66, CH-4052 BASEL, SWITZERLAND</t>
        </is>
      </c>
      <c r="AQ1627" t="inlineStr">
        <is>
          <t>1660-4601</t>
        </is>
      </c>
      <c r="AS1627" t="inlineStr">
        <is>
          <t>INT J ENV RES PUB HE</t>
        </is>
      </c>
      <c r="AT1627" t="inlineStr">
        <is>
          <t>Int. J. Environ. Res. Public Health</t>
        </is>
      </c>
      <c r="AU1627" t="inlineStr">
        <is>
          <t>JAN</t>
        </is>
      </c>
      <c r="AV1627" t="n">
        <v>2023</v>
      </c>
      <c r="AW1627" t="n">
        <v>20</v>
      </c>
      <c r="AX1627" t="n">
        <v>1</v>
      </c>
      <c r="BE1627" t="n">
        <v>836</v>
      </c>
      <c r="BF1627" t="inlineStr">
        <is>
          <t>10.3390/ijerph20010836</t>
        </is>
      </c>
      <c r="BG1627">
        <f>HYPERLINK("http://dx.doi.org/10.3390/ijerph20010836","http://dx.doi.org/10.3390/ijerph20010836")</f>
        <v/>
      </c>
      <c r="BJ1627" t="n">
        <v>8</v>
      </c>
      <c r="BK1627" t="inlineStr">
        <is>
          <t>Environmental Sciences; Public, Environmental &amp; Occupational Health</t>
        </is>
      </c>
      <c r="BL1627" t="inlineStr">
        <is>
          <t>Science Citation Index Expanded (SCI-EXPANDED); Social Science Citation Index (SSCI)</t>
        </is>
      </c>
      <c r="BM1627" t="inlineStr">
        <is>
          <t>Environmental Sciences &amp; Ecology; Public, Environmental &amp; Occupational Health</t>
        </is>
      </c>
      <c r="BN1627" t="inlineStr">
        <is>
          <t>7P8LL</t>
        </is>
      </c>
      <c r="BO1627" t="n">
        <v>36613159</v>
      </c>
      <c r="BP1627" t="inlineStr">
        <is>
          <t>Green Published, gold</t>
        </is>
      </c>
      <c r="BS1627" t="inlineStr">
        <is>
          <t>2023-10-26</t>
        </is>
      </c>
      <c r="BT1627" t="inlineStr">
        <is>
          <t>WOS:000908950500001</t>
        </is>
      </c>
      <c r="BU1627">
        <f>HYPERLINK("https%3A%2F%2Fwww.webofscience.com%2Fwos%2Fwoscc%2Ffull-record%2FWOS:000908950500001","View Full Record in Web of Science")</f>
        <v/>
      </c>
    </row>
    <row r="1628">
      <c r="A1628" t="inlineStr">
        <is>
          <t>J</t>
        </is>
      </c>
      <c r="B1628" t="inlineStr">
        <is>
          <t>Newton, P; Newman, P</t>
        </is>
      </c>
      <c r="F1628" t="inlineStr">
        <is>
          <t>Newton, Peter; Newman, Peter</t>
        </is>
      </c>
      <c r="J1628" t="inlineStr">
        <is>
          <t>SUSTAINABILITY</t>
        </is>
      </c>
      <c r="M1628" t="inlineStr">
        <is>
          <t>English</t>
        </is>
      </c>
      <c r="N1628" t="inlineStr">
        <is>
          <t>Article</t>
        </is>
      </c>
      <c r="T1628" t="inlineStr">
        <is>
          <t>Critical Connections: The Role of the Built Environment Sector in Delivering Green Cities and a Green Economy</t>
        </is>
      </c>
      <c r="U1628" t="inlineStr">
        <is>
          <t>green economy; built environment sector; eco-cities; sustainable urban development; green innovation; low carbon economy; socio-technical transition</t>
        </is>
      </c>
      <c r="W1628" t="inlineStr">
        <is>
          <t>The green agenda for cities and the economy in general is a major focus of global institutions and is increasingly a major national and urban priority. Core issues and best practice for built environment businesses were collated from published studies and used in a survey of Australian firms to see how committed they were to the green economy. The results show high awareness of the challenges and opportunities with 85% of firms having sustainability as an established agenda with senior management and over 20% of built environment firms deriving more than 50% of their sales from green products and services. This is much higher in design firms and is globally high. Whilst recognizing the scope for more engagement by industry in transitioning to a low carbon green economy, there is doubt within the built environment sector about how to create a business case for innovative green ventures and a lack of certainty or encouragement from government about how to proceed.</t>
        </is>
      </c>
      <c r="X1628" t="inlineStr">
        <is>
          <t>[Newton, Peter] Swinburne Univ Technol, Inst Social Res, Melbourne, Vic 3122, Australia; [Newman, Peter] Curtin Univ, CUSP Inst, Perth, WA 6102, Australia</t>
        </is>
      </c>
      <c r="Y1628" t="inlineStr">
        <is>
          <t>Swinburne University of Technology; Curtin University</t>
        </is>
      </c>
      <c r="Z1628" t="inlineStr">
        <is>
          <t>Newton, P (corresponding author), Swinburne Univ Technol, Inst Social Res, Melbourne, Vic 3122, Australia.</t>
        </is>
      </c>
      <c r="AA1628" t="inlineStr">
        <is>
          <t>pnewton@swin.edu.au; p.newman@curtin.edu.au</t>
        </is>
      </c>
      <c r="AC1628" t="inlineStr">
        <is>
          <t>Newman, Peter/0000-0002-8668-2764</t>
        </is>
      </c>
      <c r="AD1628" t="inlineStr">
        <is>
          <t>Australian Research Council [DP110100543]</t>
        </is>
      </c>
      <c r="AE1628" t="inlineStr">
        <is>
          <t>Australian Research Council(Australian Research Council)</t>
        </is>
      </c>
      <c r="AF1628" t="inlineStr">
        <is>
          <t>Funding support for this study has been provided by the Australian Research Council Discovery Project DP110100543: Green Shoots? Exploring the Genesis and Development of a Green Economy in Australia. The authors also gratefully acknowledge the support of the Green Building Council of Australia (GBCA), Infrastructure Partnerships Australia (IPA), Infrastructure Sustainability Council of Australia ISCA) and Engineers Australia (EA; more specifically, members of the Environmental College and the Society of Sustainability and Environmental Engineers) in identifying senior managers for interview. All are organisations whose objectives are directed towards evolving a more sustainable built environment industry in Australia for their members.</t>
        </is>
      </c>
      <c r="AH1628" t="n">
        <v>74</v>
      </c>
      <c r="AI1628" t="n">
        <v>16</v>
      </c>
      <c r="AJ1628" t="n">
        <v>17</v>
      </c>
      <c r="AK1628" t="n">
        <v>0</v>
      </c>
      <c r="AL1628" t="n">
        <v>46</v>
      </c>
      <c r="AM1628" t="inlineStr">
        <is>
          <t>MDPI</t>
        </is>
      </c>
      <c r="AN1628" t="inlineStr">
        <is>
          <t>BASEL</t>
        </is>
      </c>
      <c r="AO1628" t="inlineStr">
        <is>
          <t>ST ALBAN-ANLAGE 66, CH-4052 BASEL, SWITZERLAND</t>
        </is>
      </c>
      <c r="AP1628" t="inlineStr">
        <is>
          <t>2071-1050</t>
        </is>
      </c>
      <c r="AS1628" t="inlineStr">
        <is>
          <t>SUSTAINABILITY-BASEL</t>
        </is>
      </c>
      <c r="AT1628" t="inlineStr">
        <is>
          <t>Sustainability</t>
        </is>
      </c>
      <c r="AU1628" t="inlineStr">
        <is>
          <t>JUL</t>
        </is>
      </c>
      <c r="AV1628" t="n">
        <v>2015</v>
      </c>
      <c r="AW1628" t="n">
        <v>7</v>
      </c>
      <c r="AX1628" t="n">
        <v>7</v>
      </c>
      <c r="BC1628" t="n">
        <v>9417</v>
      </c>
      <c r="BD1628" t="n">
        <v>9443</v>
      </c>
      <c r="BF1628" t="inlineStr">
        <is>
          <t>10.3390/su7079417</t>
        </is>
      </c>
      <c r="BG1628">
        <f>HYPERLINK("http://dx.doi.org/10.3390/su7079417","http://dx.doi.org/10.3390/su7079417")</f>
        <v/>
      </c>
      <c r="BJ1628" t="n">
        <v>27</v>
      </c>
      <c r="BK1628" t="inlineStr">
        <is>
          <t>Green &amp; Sustainable Science &amp; Technology; Environmental Sciences; Environmental Studies</t>
        </is>
      </c>
      <c r="BL1628" t="inlineStr">
        <is>
          <t>Science Citation Index Expanded (SCI-EXPANDED); Social Science Citation Index (SSCI)</t>
        </is>
      </c>
      <c r="BM1628" t="inlineStr">
        <is>
          <t>Science &amp; Technology - Other Topics; Environmental Sciences &amp; Ecology</t>
        </is>
      </c>
      <c r="BN1628" t="inlineStr">
        <is>
          <t>CQ1JU</t>
        </is>
      </c>
      <c r="BP1628" t="inlineStr">
        <is>
          <t>gold, Green Submitted, Green Published</t>
        </is>
      </c>
      <c r="BS1628" t="inlineStr">
        <is>
          <t>2023-10-26</t>
        </is>
      </c>
      <c r="BT1628" t="inlineStr">
        <is>
          <t>WOS:000360354500066</t>
        </is>
      </c>
      <c r="BU1628">
        <f>HYPERLINK("https%3A%2F%2Fwww.webofscience.com%2Fwos%2Fwoscc%2Ffull-record%2FWOS:000360354500066","View Full Record in Web of Science")</f>
        <v/>
      </c>
    </row>
    <row r="1629">
      <c r="A1629" t="inlineStr">
        <is>
          <t>J</t>
        </is>
      </c>
      <c r="B1629" t="inlineStr">
        <is>
          <t>Roemmich, JN; Johnson, L; Oberg, G; Beeler, JE; Ufholz, KE</t>
        </is>
      </c>
      <c r="F1629" t="inlineStr">
        <is>
          <t>Roemmich, James N.; Johnson, LuAnn; Oberg, Grace; Beeler, Joley E.; Ufholz, Kelsey E.</t>
        </is>
      </c>
      <c r="J1629" t="inlineStr">
        <is>
          <t>INTERNATIONAL JOURNAL OF ENVIRONMENTAL RESEARCH AND PUBLIC HEALTH</t>
        </is>
      </c>
      <c r="M1629" t="inlineStr">
        <is>
          <t>English</t>
        </is>
      </c>
      <c r="N1629" t="inlineStr">
        <is>
          <t>Article</t>
        </is>
      </c>
      <c r="T1629" t="inlineStr">
        <is>
          <t>Youth and Adult Visitation and Physical Activity Intensity at Rural and Urban Parks</t>
        </is>
      </c>
      <c r="U1629" t="inlineStr">
        <is>
          <t>built environment; exercise; children; adolescents; adults; physical activity; rural; urban</t>
        </is>
      </c>
      <c r="V1629" t="inlineStr">
        <is>
          <t>IRVINE-MINNESOTA INVENTORY; MEASURE BUILT ENVIRONMENTS; RECREATIONAL FACILITIES; NEIGHBORHOOD; OBESITY; HEALTH; YOUNG; COMPENDIUM; BEHAVIORS; CHILDREN</t>
        </is>
      </c>
      <c r="W1629" t="inlineStr">
        <is>
          <t>Less physical activity among rural residents may contribute to rural-urban health disparities. Parks can be ideal community resources for promoting physical activity. This study compared park visitation and activity intensity at 15 urban and 15 rural parks matched for acreage and amenities. Parks were observed in the morning, afternoon, and evening on 4 days to determine number of visitors, activity intensity, and amenity use. A total of 5486 visitors were observed with no differences in percentages of males (55.5% vs. 53.9%) and females (44.5% vs. 46.1%) or percentages of weekday (82.4% vs. 81.9%) and weekend (17.6% vs. 18.1%) visitors. The probability of visitors sitting was greater and in moderate intensity activity lower at rural parks. A greater proportion of children (25.0% vs. 14.5%) in rural parks, and teens in urban parks (8.0% vs. 69.6%), were observed on sport fields. A greater proportion of adults in urban areas (12.5% vs. 46.0%) were observed spectating sports. Greater proportions of rural children (10.9% vs. 3.5%), teens (34.1% vs. 12.4%), and adults (38.9% vs. 10.1%) were observed using shelters. Thus, when similar amenities are available, rural and urban parks are used differently, especially by youth. The urban park study results cannot be wholly applied to rural parks.</t>
        </is>
      </c>
      <c r="X1629" t="inlineStr">
        <is>
          <t>[Roemmich, James N.; Johnson, LuAnn; Oberg, Grace; Beeler, Joley E.; Ufholz, Kelsey E.] USDA ARS, Grand Forks Human Nutr Res Ctr, Grand Forks, ND 58203 USA</t>
        </is>
      </c>
      <c r="Y1629" t="inlineStr">
        <is>
          <t>United States Department of Agriculture (USDA)</t>
        </is>
      </c>
      <c r="Z1629" t="inlineStr">
        <is>
          <t>Ufholz, KE (corresponding author), USDA ARS, Grand Forks Human Nutr Res Ctr, Grand Forks, ND 58203 USA.</t>
        </is>
      </c>
      <c r="AA1629" t="inlineStr">
        <is>
          <t>james.roemmich@ars.usda.gov; luann.johnson@ars.usda.gov; gpuppe@grandforksgov.com; joley.beeler@my.und.edu; Kelsey.Ufholz@ars.usda.gov</t>
        </is>
      </c>
      <c r="AC1629" t="inlineStr">
        <is>
          <t>Roemmich, James/0000-0002-6270-9678</t>
        </is>
      </c>
      <c r="AD1629" t="inlineStr">
        <is>
          <t>USDA/Agricultural Research Service [5450-51000-051-00D, 3062-51000-051-00D]</t>
        </is>
      </c>
      <c r="AE1629" t="inlineStr">
        <is>
          <t>USDA/Agricultural Research Service(United States Department of Agriculture (USDA)USDA Agricultural Research Service)</t>
        </is>
      </c>
      <c r="AF1629" t="inlineStr">
        <is>
          <t>We thank the Park Districts for allowing access to their facilities. We thank Angelique Moore, B.S. for assistance with study coordination and data collection. Everyone who contributed significantly to the work is listed in the acknowledgments. This research was presented in poster form at the 2015 Federations of American Societies Experimental Biology meeting. This research was supported by the USDA/Agricultural Research Service, Project 5450-51000-051-00D and 3062-51000-051-00D. The mention of trade names, commercial products, or organizations does not imply endorsement from the U.S. government. The founding sponsors had no role in the design of the study; in the collection, analyses, or interpretation of data; in the writing of the manuscript, and in the decision to publish the results.</t>
        </is>
      </c>
      <c r="AH1629" t="n">
        <v>46</v>
      </c>
      <c r="AI1629" t="n">
        <v>18</v>
      </c>
      <c r="AJ1629" t="n">
        <v>19</v>
      </c>
      <c r="AK1629" t="n">
        <v>5</v>
      </c>
      <c r="AL1629" t="n">
        <v>48</v>
      </c>
      <c r="AM1629" t="inlineStr">
        <is>
          <t>MDPI</t>
        </is>
      </c>
      <c r="AN1629" t="inlineStr">
        <is>
          <t>BASEL</t>
        </is>
      </c>
      <c r="AO1629" t="inlineStr">
        <is>
          <t>ST ALBAN-ANLAGE 66, CH-4052 BASEL, SWITZERLAND</t>
        </is>
      </c>
      <c r="AQ1629" t="inlineStr">
        <is>
          <t>1660-4601</t>
        </is>
      </c>
      <c r="AS1629" t="inlineStr">
        <is>
          <t>INT J ENV RES PUB HE</t>
        </is>
      </c>
      <c r="AT1629" t="inlineStr">
        <is>
          <t>Int. J. Environ. Res. Public Health</t>
        </is>
      </c>
      <c r="AU1629" t="inlineStr">
        <is>
          <t>AUG</t>
        </is>
      </c>
      <c r="AV1629" t="n">
        <v>2018</v>
      </c>
      <c r="AW1629" t="n">
        <v>15</v>
      </c>
      <c r="AX1629" t="n">
        <v>8</v>
      </c>
      <c r="BE1629" t="n">
        <v>1760</v>
      </c>
      <c r="BF1629" t="inlineStr">
        <is>
          <t>10.3390/ijerph15081760</t>
        </is>
      </c>
      <c r="BG1629">
        <f>HYPERLINK("http://dx.doi.org/10.3390/ijerph15081760","http://dx.doi.org/10.3390/ijerph15081760")</f>
        <v/>
      </c>
      <c r="BJ1629" t="n">
        <v>12</v>
      </c>
      <c r="BK1629" t="inlineStr">
        <is>
          <t>Environmental Sciences; Public, Environmental &amp; Occupational Health</t>
        </is>
      </c>
      <c r="BL1629" t="inlineStr">
        <is>
          <t>Science Citation Index Expanded (SCI-EXPANDED); Social Science Citation Index (SSCI)</t>
        </is>
      </c>
      <c r="BM1629" t="inlineStr">
        <is>
          <t>Environmental Sciences &amp; Ecology; Public, Environmental &amp; Occupational Health</t>
        </is>
      </c>
      <c r="BN1629" t="inlineStr">
        <is>
          <t>GS0GQ</t>
        </is>
      </c>
      <c r="BO1629" t="n">
        <v>30115825</v>
      </c>
      <c r="BP1629" t="inlineStr">
        <is>
          <t>Green Published, gold</t>
        </is>
      </c>
      <c r="BS1629" t="inlineStr">
        <is>
          <t>2023-10-26</t>
        </is>
      </c>
      <c r="BT1629" t="inlineStr">
        <is>
          <t>WOS:000443168200200</t>
        </is>
      </c>
      <c r="BU1629">
        <f>HYPERLINK("https%3A%2F%2Fwww.webofscience.com%2Fwos%2Fwoscc%2Ffull-record%2FWOS:000443168200200","View Full Record in Web of Science")</f>
        <v/>
      </c>
    </row>
    <row r="1630">
      <c r="A1630" t="inlineStr">
        <is>
          <t>J</t>
        </is>
      </c>
      <c r="B1630" t="inlineStr">
        <is>
          <t>Chauhan, N; Chauhan, RP; Joshi, M; Agarwal, TK; Aggarwal, P; Sahoo, BK</t>
        </is>
      </c>
      <c r="F1630" t="inlineStr">
        <is>
          <t>Chauhan, Neetika; Chauhan, R. P.; Joshi, M.; Agarwal, T. K.; Aggarwal, Praveen; Sahoo, B. K.</t>
        </is>
      </c>
      <c r="J1630" t="inlineStr">
        <is>
          <t>JOURNAL OF ENVIRONMENTAL RADIOACTIVITY</t>
        </is>
      </c>
      <c r="M1630" t="inlineStr">
        <is>
          <t>English</t>
        </is>
      </c>
      <c r="N1630" t="inlineStr">
        <is>
          <t>Article</t>
        </is>
      </c>
      <c r="T1630" t="inlineStr">
        <is>
          <t>Study of indoor radon distribution using measurements and CFD modeling</t>
        </is>
      </c>
      <c r="U1630" t="inlineStr">
        <is>
          <t>Indoor radon; Radon flux; Ventilation rate; Radon monitoring; Computational fluid dynamics</t>
        </is>
      </c>
      <c r="V1630" t="inlineStr">
        <is>
          <t>BUILDING-MATERIALS; EXHALATION RATE; ENTRY; AIR; HOUSES; RATES; SAMPLES; THORON</t>
        </is>
      </c>
      <c r="W1630" t="inlineStr">
        <is>
          <t>Measurement and/or prediction of indoor radon (Rn-222) concentration are important due to the impact of radon on indoor air quality and consequent inhalation hazard. In recent times, computational fluid dynamics (CFD) based modeling has become the cost effective replacement of experimental methods for the prediction and visualization of indoor pollutant distribution. The aim of this study is to implement CFD based modeling for studying indoor radon gas distribution. This study focuses on comparison of experimentally measured and CFD modeling predicted spatial distribution of radon concentration for a model test room. The key inputs for simulation viz, radon exhalation rate and ventilation rate were measured as a part of this study. Validation experiments were performed by measuring radon concentration at different locations of test room using active (continuous radon monitor) and passive (pin-hole dosimeters) techniques. Modeling predictions have been found to be reasonably matching with the measurement results. The validated model can be used to understand and study factors affecting indoor radon distribution for more realistic indoor environment. (C) 2014 Elsevier Ltd. All rights reserved.</t>
        </is>
      </c>
      <c r="X1630" t="inlineStr">
        <is>
          <t>[Chauhan, Neetika; Chauhan, R. P.] Natl Inst Technol, Dept Phys, Kurukshetra 136119, Haryana, India; [Joshi, M.; Agarwal, T. K.; Sahoo, B. K.] Bhabha Atom Res Ctr, Radiol Phys &amp; Advisory Div, Bombay 400085, Maharashtra, India; [Aggarwal, Praveen] Natl Inst Technol, Dept Civil Engn, Kurukshetra 136119, Haryana, India</t>
        </is>
      </c>
      <c r="Y1630" t="inlineStr">
        <is>
          <t>National Institute of Technology (NIT System); National Institute of Technology Kurukshetra; Bhabha Atomic Research Center (BARC); National Institute of Technology (NIT System); National Institute of Technology Kurukshetra</t>
        </is>
      </c>
      <c r="Z1630" t="inlineStr">
        <is>
          <t>Chauhan, N (corresponding author), Natl Inst Technol, Dept Phys, Kurukshetra 136119, Haryana, India.</t>
        </is>
      </c>
      <c r="AA1630" t="inlineStr">
        <is>
          <t>neetika.nit@gmail.com</t>
        </is>
      </c>
      <c r="AC1630" t="inlineStr">
        <is>
          <t>AGARWAL, TARUN KUMAR/0000-0002-1266-0685; Sahoo, Bijay Kumar/0000-0003-0483-3192</t>
        </is>
      </c>
      <c r="AD1630" t="inlineStr">
        <is>
          <t>Board of Research in Nuclear Science, Department of Atomic Energy, Mumbai, India [2011/36/25-BRNS]</t>
        </is>
      </c>
      <c r="AE1630" t="inlineStr">
        <is>
          <t>Board of Research in Nuclear Science, Department of Atomic Energy, Mumbai, India(Department of Atomic Energy (DAE)Board of Research in Nuclear Sciences (BRNS))</t>
        </is>
      </c>
      <c r="AF1630" t="inlineStr">
        <is>
          <t>The authors are thankful to Board of Research in Nuclear Science, Department of Atomic Energy, Mumbai, India, for providing the financial support in term of major research project No. 2011/36/25-BRNS and instruments to carry out this work.</t>
        </is>
      </c>
      <c r="AH1630" t="n">
        <v>32</v>
      </c>
      <c r="AI1630" t="n">
        <v>42</v>
      </c>
      <c r="AJ1630" t="n">
        <v>42</v>
      </c>
      <c r="AK1630" t="n">
        <v>2</v>
      </c>
      <c r="AL1630" t="n">
        <v>53</v>
      </c>
      <c r="AM1630" t="inlineStr">
        <is>
          <t>ELSEVIER SCI LTD</t>
        </is>
      </c>
      <c r="AN1630" t="inlineStr">
        <is>
          <t>OXFORD</t>
        </is>
      </c>
      <c r="AO1630" t="inlineStr">
        <is>
          <t>THE BOULEVARD, LANGFORD LANE, KIDLINGTON, OXFORD OX5 1GB, OXON, ENGLAND</t>
        </is>
      </c>
      <c r="AP1630" t="inlineStr">
        <is>
          <t>0265-931X</t>
        </is>
      </c>
      <c r="AQ1630" t="inlineStr">
        <is>
          <t>1879-1700</t>
        </is>
      </c>
      <c r="AS1630" t="inlineStr">
        <is>
          <t>J ENVIRON RADIOACTIV</t>
        </is>
      </c>
      <c r="AT1630" t="inlineStr">
        <is>
          <t>J. Environ. Radioact.</t>
        </is>
      </c>
      <c r="AU1630" t="inlineStr">
        <is>
          <t>OCT</t>
        </is>
      </c>
      <c r="AV1630" t="n">
        <v>2014</v>
      </c>
      <c r="AW1630" t="n">
        <v>136</v>
      </c>
      <c r="BC1630" t="n">
        <v>105</v>
      </c>
      <c r="BD1630" t="n">
        <v>111</v>
      </c>
      <c r="BF1630" t="inlineStr">
        <is>
          <t>10.1016/j.jenvrad.2014.05.020</t>
        </is>
      </c>
      <c r="BG1630">
        <f>HYPERLINK("http://dx.doi.org/10.1016/j.jenvrad.2014.05.020","http://dx.doi.org/10.1016/j.jenvrad.2014.05.020")</f>
        <v/>
      </c>
      <c r="BJ1630" t="n">
        <v>7</v>
      </c>
      <c r="BK1630" t="inlineStr">
        <is>
          <t>Environmental Sciences</t>
        </is>
      </c>
      <c r="BL1630" t="inlineStr">
        <is>
          <t>Science Citation Index Expanded (SCI-EXPANDED)</t>
        </is>
      </c>
      <c r="BM1630" t="inlineStr">
        <is>
          <t>Environmental Sciences &amp; Ecology</t>
        </is>
      </c>
      <c r="BN1630" t="inlineStr">
        <is>
          <t>AM9SK</t>
        </is>
      </c>
      <c r="BO1630" t="n">
        <v>24929505</v>
      </c>
      <c r="BS1630" t="inlineStr">
        <is>
          <t>2023-10-26</t>
        </is>
      </c>
      <c r="BT1630" t="inlineStr">
        <is>
          <t>WOS:000340221100013</t>
        </is>
      </c>
      <c r="BU1630">
        <f>HYPERLINK("https%3A%2F%2Fwww.webofscience.com%2Fwos%2Fwoscc%2Ffull-record%2FWOS:000340221100013","View Full Record in Web of Science")</f>
        <v/>
      </c>
    </row>
    <row r="1631">
      <c r="A1631" t="inlineStr">
        <is>
          <t>J</t>
        </is>
      </c>
      <c r="B1631" t="inlineStr">
        <is>
          <t>Gu, HY; Tong, GY; Liu, F; Liu, X</t>
        </is>
      </c>
      <c r="F1631" t="inlineStr">
        <is>
          <t>Gu, Hongyan; Tong, Guoyun; Liu, Fang; Liu, Xing</t>
        </is>
      </c>
      <c r="J1631" t="inlineStr">
        <is>
          <t>FRESENIUS ENVIRONMENTAL BULLETIN</t>
        </is>
      </c>
      <c r="M1631" t="inlineStr">
        <is>
          <t>English</t>
        </is>
      </c>
      <c r="N1631" t="inlineStr">
        <is>
          <t>Article</t>
        </is>
      </c>
      <c r="T1631" t="inlineStr">
        <is>
          <t>CONSTRUCTION OF COST BUDGET MODEL OF LOW ENERGY CONSUMPTION BUILDING PROJECT BASED ON SPACE RECONSTRUCTION THEORY</t>
        </is>
      </c>
      <c r="U1631" t="inlineStr">
        <is>
          <t>Low energy consumption; space reconstruction; architectural engineering; cost budget; influence factors; atmospheric environment</t>
        </is>
      </c>
      <c r="W1631" t="inlineStr">
        <is>
          <t>In the new situation, it is of great significance to effectively carry out construction engineering management to promote the development of construction engineering. In order to improve the quality of atmospheric environment around the construction and reduce the cost budget of low-energy construction project, the paper constructs the cost budget model of low-energy construction project based on space reconstruction theory. According to the theory of space reconstruction, the influencing factors of low energy consumption building engineering cost are obtained, and the factors are used as the input of the model to establish the cost budget model of low energy consumption building engineering, and the cost budget results are output; The wave guide method is used to establish the cost gain balance model of low energy consumption of building engineering, and the gain equalizer in the model is used to reduce the deviation of engineering cost budget; According to the result of minimum deviation of engineering cost, energy consumption function and optimization decision function are established to obtain building energy consumption capacity, so as to realize low energy consumption optimization of construction engineering. The experimental results show that the deviation between the predicted project cost value and the actual value is small, and it can be accurate to three decimal places, so the project cost budget ability is strong; After the application of the model, the pollutant concentration is reduced by about 1.02 mg.m(-3), which can effectively improve the atmospheric environment quality near the construction site.</t>
        </is>
      </c>
      <c r="X1631" t="inlineStr">
        <is>
          <t>[Gu, Hongyan; Tong, Guoyun; Liu, Fang; Liu, Xing] Hebei Vocat Univ Ind &amp; Technol, Shijiazhuang 050000, Hebei, Peoples R China</t>
        </is>
      </c>
      <c r="Y1631" t="inlineStr">
        <is>
          <t>Hebei Vocational University of Industry &amp; Technology</t>
        </is>
      </c>
      <c r="Z1631" t="inlineStr">
        <is>
          <t>Liu, X (corresponding author), Hebei Vocat Univ Ind &amp; Technol, Shijiazhuang 050000, Hebei, Peoples R China.</t>
        </is>
      </c>
      <c r="AA1631" t="inlineStr">
        <is>
          <t>risheng1022@163.com</t>
        </is>
      </c>
      <c r="AH1631" t="n">
        <v>21</v>
      </c>
      <c r="AI1631" t="n">
        <v>0</v>
      </c>
      <c r="AJ1631" t="n">
        <v>0</v>
      </c>
      <c r="AK1631" t="n">
        <v>9</v>
      </c>
      <c r="AL1631" t="n">
        <v>12</v>
      </c>
      <c r="AM1631" t="inlineStr">
        <is>
          <t>PARLAR SCIENTIFIC PUBLICATIONS (P S P)</t>
        </is>
      </c>
      <c r="AN1631" t="inlineStr">
        <is>
          <t>FREISING</t>
        </is>
      </c>
      <c r="AO1631" t="inlineStr">
        <is>
          <t>ANGERSTR. 12, 85354 FREISING, GERMANY</t>
        </is>
      </c>
      <c r="AP1631" t="inlineStr">
        <is>
          <t>1018-4619</t>
        </is>
      </c>
      <c r="AQ1631" t="inlineStr">
        <is>
          <t>1610-2304</t>
        </is>
      </c>
      <c r="AS1631" t="inlineStr">
        <is>
          <t>FRESEN ENVIRON BULL</t>
        </is>
      </c>
      <c r="AT1631" t="inlineStr">
        <is>
          <t>Fresenius Environ. Bull.</t>
        </is>
      </c>
      <c r="AV1631" t="n">
        <v>2022</v>
      </c>
      <c r="AW1631" t="n">
        <v>31</v>
      </c>
      <c r="AX1631" t="inlineStr">
        <is>
          <t>3A</t>
        </is>
      </c>
      <c r="BC1631" t="n">
        <v>3134</v>
      </c>
      <c r="BD1631" t="n">
        <v>3141</v>
      </c>
      <c r="BJ1631" t="n">
        <v>8</v>
      </c>
      <c r="BK1631" t="inlineStr">
        <is>
          <t>Environmental Sciences</t>
        </is>
      </c>
      <c r="BL1631" t="inlineStr">
        <is>
          <t>Science Citation Index Expanded (SCI-EXPANDED)</t>
        </is>
      </c>
      <c r="BM1631" t="inlineStr">
        <is>
          <t>Environmental Sciences &amp; Ecology</t>
        </is>
      </c>
      <c r="BN1631" t="inlineStr">
        <is>
          <t>0L7CI</t>
        </is>
      </c>
      <c r="BS1631" t="inlineStr">
        <is>
          <t>2023-10-26</t>
        </is>
      </c>
      <c r="BT1631" t="inlineStr">
        <is>
          <t>WOS:000781628000011</t>
        </is>
      </c>
      <c r="BU1631">
        <f>HYPERLINK("https%3A%2F%2Fwww.webofscience.com%2Fwos%2Fwoscc%2Ffull-record%2FWOS:000781628000011","View Full Record in Web of Science")</f>
        <v/>
      </c>
    </row>
    <row r="1632">
      <c r="A1632" t="inlineStr">
        <is>
          <t>J</t>
        </is>
      </c>
      <c r="B1632" t="inlineStr">
        <is>
          <t>Yevu, SK; Yu, ATW; Darko, A</t>
        </is>
      </c>
      <c r="F1632" t="inlineStr">
        <is>
          <t>Yevu, Sitsofe Kwame; Yu, Ann T. W.; Darko, Amos</t>
        </is>
      </c>
      <c r="J1632" t="inlineStr">
        <is>
          <t>JOURNAL OF CLEANER PRODUCTION</t>
        </is>
      </c>
      <c r="M1632" t="inlineStr">
        <is>
          <t>English</t>
        </is>
      </c>
      <c r="N1632" t="inlineStr">
        <is>
          <t>Article</t>
        </is>
      </c>
      <c r="T1632" t="inlineStr">
        <is>
          <t>Digitalization of construction supply chain and procurement in the built environment: Emerging technologies and opportunities for sustainable processes</t>
        </is>
      </c>
      <c r="U1632" t="inlineStr">
        <is>
          <t>Digitalization; Industry 4.0; Blockchain; Construction supply chain; Sustainability; Built environment</t>
        </is>
      </c>
      <c r="V1632" t="inlineStr">
        <is>
          <t>BLOCKCHAIN TECHNOLOGY; SMART CONTRACTS; FRAMEWORK; INDUSTRY; MANAGEMENT; SYSTEM; PERFORMANCE; SOFTWARE; IMPACT; TOOLS</t>
        </is>
      </c>
      <c r="W1632" t="inlineStr">
        <is>
          <t>With rapid advances in digitalization, the application of digital technologies for supply chain and procurement processes have been advocated to facilitate revolutionary innovations in the built environment. Therefore, over the past decades, substantial research has been conducted on digital supply chain and procurement technologies (DCSP-technologies) in the built environment, resulting in a vast, fragmented and diverse body of knowledge. In this study, a comprehensive state-of-the-art research on DSCP-technologies in the built environment is presented through mixed review methods, to reveal knowledge areas that are needed to advance digitalization in construction supply chains. The science mapping analysis and qualitative discussions were used to provide insights into the research activities, challenges and opportunities regarding the digitalization of construction supply chains. Six themes including digital construction, digital integration concepts and security were identified, with blockchain-smart contracts being the most recent trend in construction supply chains. Further, future research opportunities including building information modeling (BIM) system integration, Industry 4.0 and emerging DSCP-technologies, cybersecurity and sustainability relationships with DCSP-technologies were provided. This study adds value to construction digitalization literature by providing the comprehensive picture of research explorations, and revealing the research needs essential for researchers and practitioners to develop and advance DSCP-technologies in a digitalized and sustainable built environment.</t>
        </is>
      </c>
      <c r="X1632" t="inlineStr">
        <is>
          <t>[Yevu, Sitsofe Kwame; Yu, Ann T. W.; Darko, Amos] Hong Kong Polytech Univ, Dept Bldg &amp; Real Estate, Kowloon, Hong Kong, Peoples R China</t>
        </is>
      </c>
      <c r="Y1632" t="inlineStr">
        <is>
          <t>Hong Kong Polytechnic University</t>
        </is>
      </c>
      <c r="Z1632" t="inlineStr">
        <is>
          <t>Yevu, SK (corresponding author), Hong Kong Polytech Univ, Dept Bldg &amp; Real Estate, Kowloon, Hong Kong, Peoples R China.</t>
        </is>
      </c>
      <c r="AA1632" t="inlineStr">
        <is>
          <t>sitsofe-k.yevu@connect.polyu.hk; bsannyu@polyu.edu.hk; amos.darko@connect.polyu.hk</t>
        </is>
      </c>
      <c r="AB1632" t="inlineStr">
        <is>
          <t>Yevu, Sitsofe/ABE-1784-2020; Darko, Amos/C-4721-2018</t>
        </is>
      </c>
      <c r="AC1632" t="inlineStr">
        <is>
          <t>Darko, Amos/0000-0002-7978-6039; Yevu, Sitsofe Kwame/0000-0002-4461-1765</t>
        </is>
      </c>
      <c r="AD1632" t="inlineStr">
        <is>
          <t>Department of Building and Real Estate of The Hong Kong Polytechnic University</t>
        </is>
      </c>
      <c r="AE1632" t="inlineStr">
        <is>
          <t>Department of Building and Real Estate of The Hong Kong Polytechnic University</t>
        </is>
      </c>
      <c r="AF1632" t="inlineStr">
        <is>
          <t>This study forms part of a PhD research study on electronic procurement adoption, which might share similar background with other papers but with different objectives and scopes. The authors are grateful to the Department of Building and Real Estate of The Hong Kong Polytechnic University for funding this research.</t>
        </is>
      </c>
      <c r="AH1632" t="n">
        <v>105</v>
      </c>
      <c r="AI1632" t="n">
        <v>37</v>
      </c>
      <c r="AJ1632" t="n">
        <v>37</v>
      </c>
      <c r="AK1632" t="n">
        <v>30</v>
      </c>
      <c r="AL1632" t="n">
        <v>194</v>
      </c>
      <c r="AM1632" t="inlineStr">
        <is>
          <t>ELSEVIER SCI LTD</t>
        </is>
      </c>
      <c r="AN1632" t="inlineStr">
        <is>
          <t>OXFORD</t>
        </is>
      </c>
      <c r="AO1632" t="inlineStr">
        <is>
          <t>THE BOULEVARD, LANGFORD LANE, KIDLINGTON, OXFORD OX5 1GB, OXON, ENGLAND</t>
        </is>
      </c>
      <c r="AP1632" t="inlineStr">
        <is>
          <t>0959-6526</t>
        </is>
      </c>
      <c r="AQ1632" t="inlineStr">
        <is>
          <t>1879-1786</t>
        </is>
      </c>
      <c r="AS1632" t="inlineStr">
        <is>
          <t>J CLEAN PROD</t>
        </is>
      </c>
      <c r="AT1632" t="inlineStr">
        <is>
          <t>J. Clean Prod.</t>
        </is>
      </c>
      <c r="AU1632" t="inlineStr">
        <is>
          <t>NOV 1</t>
        </is>
      </c>
      <c r="AV1632" t="n">
        <v>2021</v>
      </c>
      <c r="AW1632" t="n">
        <v>322</v>
      </c>
      <c r="BE1632" t="n">
        <v>129093</v>
      </c>
      <c r="BF1632" t="inlineStr">
        <is>
          <t>10.1016/j.jclepro.2021.129093</t>
        </is>
      </c>
      <c r="BG1632">
        <f>HYPERLINK("http://dx.doi.org/10.1016/j.jclepro.2021.129093","http://dx.doi.org/10.1016/j.jclepro.2021.129093")</f>
        <v/>
      </c>
      <c r="BI1632" t="inlineStr">
        <is>
          <t>SEP 2021</t>
        </is>
      </c>
      <c r="BJ1632" t="n">
        <v>14</v>
      </c>
      <c r="BK1632" t="inlineStr">
        <is>
          <t>Green &amp; Sustainable Science &amp; Technology; Engineering, Environmental; Environmental Sciences</t>
        </is>
      </c>
      <c r="BL1632" t="inlineStr">
        <is>
          <t>Science Citation Index Expanded (SCI-EXPANDED); Social Science Citation Index (SSCI)</t>
        </is>
      </c>
      <c r="BM1632" t="inlineStr">
        <is>
          <t>Science &amp; Technology - Other Topics; Engineering; Environmental Sciences &amp; Ecology</t>
        </is>
      </c>
      <c r="BN1632" t="inlineStr">
        <is>
          <t>WE5KW</t>
        </is>
      </c>
      <c r="BS1632" t="inlineStr">
        <is>
          <t>2023-10-26</t>
        </is>
      </c>
      <c r="BT1632" t="inlineStr">
        <is>
          <t>WOS:000705665400010</t>
        </is>
      </c>
      <c r="BU1632">
        <f>HYPERLINK("https%3A%2F%2Fwww.webofscience.com%2Fwos%2Fwoscc%2Ffull-record%2FWOS:000705665400010","View Full Record in Web of Science")</f>
        <v/>
      </c>
    </row>
    <row r="1633">
      <c r="A1633" t="inlineStr">
        <is>
          <t>J</t>
        </is>
      </c>
      <c r="B1633" t="inlineStr">
        <is>
          <t>Zhang, H; Srinivasan, R; Ganesan, V</t>
        </is>
      </c>
      <c r="F1633" t="inlineStr">
        <is>
          <t>Zhang, He; Srinivasan, Ravi; Ganesan, Vikram</t>
        </is>
      </c>
      <c r="J1633" t="inlineStr">
        <is>
          <t>SUSTAINABILITY</t>
        </is>
      </c>
      <c r="M1633" t="inlineStr">
        <is>
          <t>English</t>
        </is>
      </c>
      <c r="N1633" t="inlineStr">
        <is>
          <t>Article</t>
        </is>
      </c>
      <c r="T1633" t="inlineStr">
        <is>
          <t>Low Cost, Multi-Pollutant Sensing System Using Raspberry Pi for Indoor Air Quality Monitoring</t>
        </is>
      </c>
      <c r="U1633" t="inlineStr">
        <is>
          <t>indoor air quality; smart environment monitoring (SEM); sensors; raspberry Pi</t>
        </is>
      </c>
      <c r="V1633" t="inlineStr">
        <is>
          <t>HEALTH; EXPOSURE; SCHOOLS; HOMES; PM10; VOCS; NO2; CO2</t>
        </is>
      </c>
      <c r="W1633" t="inlineStr">
        <is>
          <t>Deteriorating levels of indoor air quality is a prominent environmental issue that results in long-lasting harmful effects on human health and wellbeing. A concurrent multi-parameter monitoring approach accounting for most crucial indoor pollutants is critical and essential. The challenges faced by existing conventional equipment in measuring multiple real-time pollutant concentrations include high cost, limited deployability, and detectability of only select pollutants. The aim of this paper is to present a comprehensive indoor air quality monitoring system using a low-cost Raspberry Pi-based air quality sensor module. The custom-built system measures 10 indoor environmental conditions including pollutants: temperature, relative humidity, Particulate Matter (PM)(2.5), PM10, Nitrogen dioxide (NO2), Sulfur dioxide (SO2), Carbon monoxide (CO), Ozone (O-3), Carbon dioxide (CO2), and Total Volatile Organic Compounds (TVOCs). A residential unit and an educational office building was selected and monitored over a span of seven days. The recorded mean PM2.5, and PM10 concentrations were significantly higher in the residential unit compared to the office building. The mean NO2, SO2, and TVOC concentrations were comparatively similar for both locations. Spearman rank-order analysis displayed a strong correlation between particulate matter and SO2 for both residential unit and the office building while the latter depicted strong temperature and humidity correlation with O-3, SO2, PM2.5, and PM10 when compared to the former.</t>
        </is>
      </c>
      <c r="X1633" t="inlineStr">
        <is>
          <t>[Zhang, He; Srinivasan, Ravi] Univ Florida, UrbSys Urban Bldg Energy Sensing Controls Big Dat, ME Rinker Sr Sch Construct Management, Gainesville, FL 32603 USA; [Ganesan, Vikram] Univ Florida, Dept Mech &amp; Aerosp Engn, Herbert Wertheim Coll Engn, Gainesville, FL 32603 USA</t>
        </is>
      </c>
      <c r="Y1633" t="inlineStr">
        <is>
          <t>State University System of Florida; University of Florida; State University System of Florida; University of Florida</t>
        </is>
      </c>
      <c r="Z1633" t="inlineStr">
        <is>
          <t>Zhang, H (corresponding author), Univ Florida, UrbSys Urban Bldg Energy Sensing Controls Big Dat, ME Rinker Sr Sch Construct Management, Gainesville, FL 32603 USA.</t>
        </is>
      </c>
      <c r="AA1633" t="inlineStr">
        <is>
          <t>rupta00@ufl.edu; sravi@ufl.edu; vikram.ganesan@ufl.edu</t>
        </is>
      </c>
      <c r="AB1633" t="inlineStr">
        <is>
          <t>ZHANG, HE/ACE-9818-2022</t>
        </is>
      </c>
      <c r="AC1633" t="inlineStr">
        <is>
          <t>ZHANG, HE/0000-0001-7604-9562</t>
        </is>
      </c>
      <c r="AH1633" t="n">
        <v>70</v>
      </c>
      <c r="AI1633" t="n">
        <v>32</v>
      </c>
      <c r="AJ1633" t="n">
        <v>32</v>
      </c>
      <c r="AK1633" t="n">
        <v>6</v>
      </c>
      <c r="AL1633" t="n">
        <v>49</v>
      </c>
      <c r="AM1633" t="inlineStr">
        <is>
          <t>MDPI</t>
        </is>
      </c>
      <c r="AN1633" t="inlineStr">
        <is>
          <t>BASEL</t>
        </is>
      </c>
      <c r="AO1633" t="inlineStr">
        <is>
          <t>ST ALBAN-ANLAGE 66, CH-4052 BASEL, SWITZERLAND</t>
        </is>
      </c>
      <c r="AQ1633" t="inlineStr">
        <is>
          <t>2071-1050</t>
        </is>
      </c>
      <c r="AS1633" t="inlineStr">
        <is>
          <t>SUSTAINABILITY-BASEL</t>
        </is>
      </c>
      <c r="AT1633" t="inlineStr">
        <is>
          <t>Sustainability</t>
        </is>
      </c>
      <c r="AU1633" t="inlineStr">
        <is>
          <t>JAN</t>
        </is>
      </c>
      <c r="AV1633" t="n">
        <v>2021</v>
      </c>
      <c r="AW1633" t="n">
        <v>13</v>
      </c>
      <c r="AX1633" t="n">
        <v>1</v>
      </c>
      <c r="BE1633" t="n">
        <v>370</v>
      </c>
      <c r="BF1633" t="inlineStr">
        <is>
          <t>10.3390/su13010370</t>
        </is>
      </c>
      <c r="BG1633">
        <f>HYPERLINK("http://dx.doi.org/10.3390/su13010370","http://dx.doi.org/10.3390/su13010370")</f>
        <v/>
      </c>
      <c r="BJ1633" t="n">
        <v>15</v>
      </c>
      <c r="BK1633" t="inlineStr">
        <is>
          <t>Green &amp; Sustainable Science &amp; Technology; Environmental Sciences; Environmental Studies</t>
        </is>
      </c>
      <c r="BL1633" t="inlineStr">
        <is>
          <t>Science Citation Index Expanded (SCI-EXPANDED); Social Science Citation Index (SSCI)</t>
        </is>
      </c>
      <c r="BM1633" t="inlineStr">
        <is>
          <t>Science &amp; Technology - Other Topics; Environmental Sciences &amp; Ecology</t>
        </is>
      </c>
      <c r="BN1633" t="inlineStr">
        <is>
          <t>PQ2GQ</t>
        </is>
      </c>
      <c r="BP1633" t="inlineStr">
        <is>
          <t>Green Published, gold</t>
        </is>
      </c>
      <c r="BS1633" t="inlineStr">
        <is>
          <t>2023-10-26</t>
        </is>
      </c>
      <c r="BT1633" t="inlineStr">
        <is>
          <t>WOS:000606368500001</t>
        </is>
      </c>
      <c r="BU1633">
        <f>HYPERLINK("https%3A%2F%2Fwww.webofscience.com%2Fwos%2Fwoscc%2Ffull-record%2FWOS:000606368500001","View Full Record in Web of Science")</f>
        <v/>
      </c>
    </row>
    <row r="1634">
      <c r="A1634" t="inlineStr">
        <is>
          <t>J</t>
        </is>
      </c>
      <c r="B1634" t="inlineStr">
        <is>
          <t>Alderton, A; Villanueva, K; O'Connor, M; Boulangé, C; Badland, H</t>
        </is>
      </c>
      <c r="F1634" t="inlineStr">
        <is>
          <t>Alderton, Amanda; Villanueva, Karen; O'Connor, Meredith; Boulange, Claire; Badland, Hannah</t>
        </is>
      </c>
      <c r="J1634" t="inlineStr">
        <is>
          <t>INTERNATIONAL JOURNAL OF ENVIRONMENTAL RESEARCH AND PUBLIC HEALTH</t>
        </is>
      </c>
      <c r="M1634" t="inlineStr">
        <is>
          <t>English</t>
        </is>
      </c>
      <c r="N1634" t="inlineStr">
        <is>
          <t>Review</t>
        </is>
      </c>
      <c r="T1634" t="inlineStr">
        <is>
          <t>Reducing Inequities in Early Childhood Mental Health: How Might the Neighborhood Built Environment Help Close the Gap? A Systematic Search and Critical Review</t>
        </is>
      </c>
      <c r="U1634" t="inlineStr">
        <is>
          <t>children; health inequalities; mental health; neighborhood effects; social determinants; socio-ecological model; urban planning</t>
        </is>
      </c>
      <c r="V1634" t="inlineStr">
        <is>
          <t>PRESCHOOL-CHILDREN; GREEN SPACE; BEHAVIORAL-DEVELOPMENT; RESIDENTIAL GREEN; PUBLIC-HEALTH; RISK-FACTORS; BLUE SPACES; PREDICTORS; EXPOSURE; QUALITY</t>
        </is>
      </c>
      <c r="W1634" t="inlineStr">
        <is>
          <t>Background: Optimal mental health in early childhood is key to later mental health, physical health, education, and social outcomes; yet, children facing disadvantage tend to have worse mental health and fewer opportunities to develop this foundation. An emerging body of research shows that neighborhoods provide important opportunities for the development of children's mental health. Synthesizing this evidence can advance understandings of the features of the neighborhood built environment (e.g., housing, parks) that (1) promote optimal mental health in childhood and (2) reduce mental health inequities. Methods: We systematically searched and critically reviewed the international quantitative literature investigating associations between the neighborhood built environment and young children's mental health. Results: 14 articles met inclusion criteria; most examined nature or public open space. Studies tended to find greater access to or quantity of neighborhood nature or public open space were associated with better mental health. Significant gaps included a lack of studies investigating social infrastructure, and few studies examined how the built environment related to positive mental health (i.e., functioning, rather than problems). Conclusions: Current evidence suggests there is some relationship, but additional research is needed that addresses these gaps and examines differences in associations between child subgroups (e.g., diverse socioeconomic backgrounds).</t>
        </is>
      </c>
      <c r="X1634" t="inlineStr">
        <is>
          <t>[Alderton, Amanda; Villanueva, Karen; Boulange, Claire; Badland, Hannah] RMIT Univ, Ctr Urban Res, Melbourne, Vic 3000, Australia; [Alderton, Amanda; Villanueva, Karen; O'Connor, Meredith] Royal Childrens Hosp, Murdoch Childrens Res Inst, Ctr Community Child Hlth, Melbourne, Vic 3052, Australia; [O'Connor, Meredith] Univ Melbourne, Dept Paediat, Melbourne, Vic 3052, Australia; [O'Connor, Meredith] Australian Natl Univ, ANU Ctr Social Res &amp; Methods, Canberra, ACT 0200, Australia</t>
        </is>
      </c>
      <c r="Y1634" t="inlineStr">
        <is>
          <t>Royal Melbourne Institute of Technology (RMIT); Royal Children's Hospital Melbourne; Murdoch Children's Research Institute; University of Melbourne; Australian National University</t>
        </is>
      </c>
      <c r="Z1634" t="inlineStr">
        <is>
          <t>Alderton, A (corresponding author), RMIT Univ, Ctr Urban Res, Melbourne, Vic 3000, Australia.;Alderton, A (corresponding author), Royal Childrens Hosp, Murdoch Childrens Res Inst, Ctr Community Child Hlth, Melbourne, Vic 3052, Australia.</t>
        </is>
      </c>
      <c r="AA1634" t="inlineStr">
        <is>
          <t>amanda.alderton@student.rmit.edu.au; karen.villanueva@rmit.edu.au; meredith.oconnor@mcri.edu.au; claire.boulange@rmit.edu.au; hannah.badland@rmit.edu.au</t>
        </is>
      </c>
      <c r="AB1634" t="inlineStr">
        <is>
          <t>Badland, Hannah/AAY-3329-2021; O'Connor, Meredith/P-3308-2016</t>
        </is>
      </c>
      <c r="AC1634" t="inlineStr">
        <is>
          <t>Badland, Hannah/0000-0002-8936-2715; Boulange, Claire/0000-0002-0610-7496; Alderton, Amanda/0000-0002-4598-2381; O'Connor, Meredith/0000-0002-8787-7352</t>
        </is>
      </c>
      <c r="AD1634" t="inlineStr">
        <is>
          <t>Australian Government Research Training Program (RTP) Scholarship; RMIT Vice Chancellor's Senior Research Fellowship; Australian National Health and Medical Research [9100003]</t>
        </is>
      </c>
      <c r="AE1634" t="inlineStr">
        <is>
          <t>Australian Government Research Training Program (RTP) Scholarship(Australian GovernmentDepartment of Industry, Innovation and Science); RMIT Vice Chancellor's Senior Research Fellowship; Australian National Health and Medical Research</t>
        </is>
      </c>
      <c r="AF1634" t="inlineStr">
        <is>
          <t>A.A. is supported by an Australian Government Research Training Program (RTP) Scholarship. H.B. is supported by an RMIT Vice Chancellor's Senior Research Fellowship and is the Australian Health Promotion Association Thinker in Residence. C.B. is supported by an Australian National Health and Medical Research Grant (#9100003).</t>
        </is>
      </c>
      <c r="AH1634" t="n">
        <v>74</v>
      </c>
      <c r="AI1634" t="n">
        <v>31</v>
      </c>
      <c r="AJ1634" t="n">
        <v>31</v>
      </c>
      <c r="AK1634" t="n">
        <v>15</v>
      </c>
      <c r="AL1634" t="n">
        <v>72</v>
      </c>
      <c r="AM1634" t="inlineStr">
        <is>
          <t>MDPI</t>
        </is>
      </c>
      <c r="AN1634" t="inlineStr">
        <is>
          <t>BASEL</t>
        </is>
      </c>
      <c r="AO1634" t="inlineStr">
        <is>
          <t>ST ALBAN-ANLAGE 66, CH-4052 BASEL, SWITZERLAND</t>
        </is>
      </c>
      <c r="AQ1634" t="inlineStr">
        <is>
          <t>1660-4601</t>
        </is>
      </c>
      <c r="AS1634" t="inlineStr">
        <is>
          <t>INT J ENV RES PUB HE</t>
        </is>
      </c>
      <c r="AT1634" t="inlineStr">
        <is>
          <t>Int. J. Environ. Res. Public Health</t>
        </is>
      </c>
      <c r="AU1634" t="inlineStr">
        <is>
          <t>MAY 1</t>
        </is>
      </c>
      <c r="AV1634" t="n">
        <v>2019</v>
      </c>
      <c r="AW1634" t="n">
        <v>16</v>
      </c>
      <c r="AX1634" t="n">
        <v>9</v>
      </c>
      <c r="BE1634" t="n">
        <v>1516</v>
      </c>
      <c r="BF1634" t="inlineStr">
        <is>
          <t>10.3390/ijerph16091516</t>
        </is>
      </c>
      <c r="BG1634">
        <f>HYPERLINK("http://dx.doi.org/10.3390/ijerph16091516","http://dx.doi.org/10.3390/ijerph16091516")</f>
        <v/>
      </c>
      <c r="BJ1634" t="n">
        <v>23</v>
      </c>
      <c r="BK1634" t="inlineStr">
        <is>
          <t>Environmental Sciences; Public, Environmental &amp; Occupational Health</t>
        </is>
      </c>
      <c r="BL1634" t="inlineStr">
        <is>
          <t>Science Citation Index Expanded (SCI-EXPANDED); Social Science Citation Index (SSCI)</t>
        </is>
      </c>
      <c r="BM1634" t="inlineStr">
        <is>
          <t>Environmental Sciences &amp; Ecology; Public, Environmental &amp; Occupational Health</t>
        </is>
      </c>
      <c r="BN1634" t="inlineStr">
        <is>
          <t>IA4ER</t>
        </is>
      </c>
      <c r="BO1634" t="n">
        <v>31035699</v>
      </c>
      <c r="BP1634" t="inlineStr">
        <is>
          <t>Green Published, Green Submitted, gold</t>
        </is>
      </c>
      <c r="BS1634" t="inlineStr">
        <is>
          <t>2023-10-26</t>
        </is>
      </c>
      <c r="BT1634" t="inlineStr">
        <is>
          <t>WOS:000469517300041</t>
        </is>
      </c>
      <c r="BU1634">
        <f>HYPERLINK("https%3A%2F%2Fwww.webofscience.com%2Fwos%2Fwoscc%2Ffull-record%2FWOS:000469517300041","View Full Record in Web of Science")</f>
        <v/>
      </c>
    </row>
    <row r="1635">
      <c r="A1635" t="inlineStr">
        <is>
          <t>J</t>
        </is>
      </c>
      <c r="B1635" t="inlineStr">
        <is>
          <t>Murayama, Y; Yamazaki, S; Hasebe, M; Takahashi, T; Yamaguchi, J; Kobayashi, E</t>
        </is>
      </c>
      <c r="F1635" t="inlineStr">
        <is>
          <t>Murayama, Yoh; Yamazaki, Sachiko; Hasebe, Masami; Takahashi, Tomoya; Yamaguchi, Jun; Kobayashi, Erika</t>
        </is>
      </c>
      <c r="J1635" t="inlineStr">
        <is>
          <t>INTERNATIONAL JOURNAL OF ENVIRONMENTAL RESEARCH AND PUBLIC HEALTH</t>
        </is>
      </c>
      <c r="M1635" t="inlineStr">
        <is>
          <t>English</t>
        </is>
      </c>
      <c r="N1635" t="inlineStr">
        <is>
          <t>Article</t>
        </is>
      </c>
      <c r="T1635" t="inlineStr">
        <is>
          <t>Psychological Factors That Suppress Help-Seeking among Middle-Aged and Older Adults Living Alone</t>
        </is>
      </c>
      <c r="U1635" t="inlineStr">
        <is>
          <t>help-seeking; middle-aged and older adults; future time perspective; resignation to future; living alone</t>
        </is>
      </c>
      <c r="V1635" t="inlineStr">
        <is>
          <t>EMOTIONAL SUPPRESSION; MEN; BARRIERS; GENDER; MASCULINITY; DEPRESSION; ATTITUDES; BEHAVIOR; RISK</t>
        </is>
      </c>
      <c r="W1635" t="inlineStr">
        <is>
          <t>Help-seeking among destitute adults has not been adequately investigated. Therefore, this study clarifies the mechanisms that suppress help-seeking in middle-aged and older adults living alone. Data were collected from 1274 individuals (aged 50-79 years) who were living alone, using a survey that measured future time perspective, barriers to help-seeking, help-seeking intentions, and current and childhood economic statuses. Men living alone experienced lower help-seeking intention than women, were more likely to try to solve problems by themselves, and experienced greater distrust in others. No sex differences were observed in future anxiety and resignation to the future. Poor economic status was associated with high resignation to the future, future anxiety, and distrust of others for both sexes. Resignation to the future was particularly higher among men with a poorer current economic status, which suppressed help-seeking. Abandoning hope for the future, which is characteristic of middle-aged and older men living alone, may inhibit help-seeking behavior.</t>
        </is>
      </c>
      <c r="X1635" t="inlineStr">
        <is>
          <t>[Murayama, Yoh; Takahashi, Tomoya; Yamaguchi, Jun; Kobayashi, Erika] Tokyo Metropolitan Inst Gerontol, Res Team Social Participat &amp; Community Hlth, Tokyo 1730015, Japan; [Yamazaki, Sachiko] Bunkyo Gakuin Univ, Dept Human Studies, Saitama 3568533, Japan; [Hasebe, Masami] Seigakuin Univ, Dept Human Welf, Saitama 3628585, Japan</t>
        </is>
      </c>
      <c r="Y1635" t="inlineStr">
        <is>
          <t>Tokyo Metropolitan Institute of Gerontology</t>
        </is>
      </c>
      <c r="Z1635" t="inlineStr">
        <is>
          <t>Murayama, Y (corresponding author), Tokyo Metropolitan Inst Gerontol, Res Team Social Participat &amp; Community Hlth, Tokyo 1730015, Japan.</t>
        </is>
      </c>
      <c r="AA1635" t="inlineStr">
        <is>
          <t>yhoyho05@tmig.or.jp</t>
        </is>
      </c>
      <c r="AC1635" t="inlineStr">
        <is>
          <t>Takahashi, Tomoya/0000-0002-1610-3552</t>
        </is>
      </c>
      <c r="AD1635" t="inlineStr">
        <is>
          <t>Japan Society for the Promotion of Science KAKENHI [JP19H01604]</t>
        </is>
      </c>
      <c r="AE1635" t="inlineStr">
        <is>
          <t>Japan Society for the Promotion of Science KAKENHI(Ministry of Education, Culture, Sports, Science and Technology, Japan (MEXT)Japan Society for the Promotion of ScienceGrants-in-Aid for Scientific Research (KAKENHI))</t>
        </is>
      </c>
      <c r="AF1635" t="inlineStr">
        <is>
          <t>This research was funded by the Japan Society for the Promotion of Science KAKENHI, grant number JP19H01604.</t>
        </is>
      </c>
      <c r="AH1635" t="n">
        <v>54</v>
      </c>
      <c r="AI1635" t="n">
        <v>1</v>
      </c>
      <c r="AJ1635" t="n">
        <v>1</v>
      </c>
      <c r="AK1635" t="n">
        <v>2</v>
      </c>
      <c r="AL1635" t="n">
        <v>8</v>
      </c>
      <c r="AM1635" t="inlineStr">
        <is>
          <t>MDPI</t>
        </is>
      </c>
      <c r="AN1635" t="inlineStr">
        <is>
          <t>BASEL</t>
        </is>
      </c>
      <c r="AO1635" t="inlineStr">
        <is>
          <t>ST ALBAN-ANLAGE 66, CH-4052 BASEL, SWITZERLAND</t>
        </is>
      </c>
      <c r="AQ1635" t="inlineStr">
        <is>
          <t>1660-4601</t>
        </is>
      </c>
      <c r="AS1635" t="inlineStr">
        <is>
          <t>INT J ENV RES PUB HE</t>
        </is>
      </c>
      <c r="AT1635" t="inlineStr">
        <is>
          <t>Int. J. Environ. Res. Public Health</t>
        </is>
      </c>
      <c r="AU1635" t="inlineStr">
        <is>
          <t>SEP</t>
        </is>
      </c>
      <c r="AV1635" t="n">
        <v>2022</v>
      </c>
      <c r="AW1635" t="n">
        <v>19</v>
      </c>
      <c r="AX1635" t="n">
        <v>17</v>
      </c>
      <c r="BE1635" t="n">
        <v>10620</v>
      </c>
      <c r="BF1635" t="inlineStr">
        <is>
          <t>10.3390/ijerph191710620</t>
        </is>
      </c>
      <c r="BG1635">
        <f>HYPERLINK("http://dx.doi.org/10.3390/ijerph191710620","http://dx.doi.org/10.3390/ijerph191710620")</f>
        <v/>
      </c>
      <c r="BJ1635" t="n">
        <v>13</v>
      </c>
      <c r="BK1635" t="inlineStr">
        <is>
          <t>Environmental Sciences; Public, Environmental &amp; Occupational Health</t>
        </is>
      </c>
      <c r="BL1635" t="inlineStr">
        <is>
          <t>Science Citation Index Expanded (SCI-EXPANDED); Social Science Citation Index (SSCI)</t>
        </is>
      </c>
      <c r="BM1635" t="inlineStr">
        <is>
          <t>Environmental Sciences &amp; Ecology; Public, Environmental &amp; Occupational Health</t>
        </is>
      </c>
      <c r="BN1635" t="inlineStr">
        <is>
          <t>4J2SK</t>
        </is>
      </c>
      <c r="BO1635" t="n">
        <v>36078335</v>
      </c>
      <c r="BP1635" t="inlineStr">
        <is>
          <t>Green Published, gold</t>
        </is>
      </c>
      <c r="BS1635" t="inlineStr">
        <is>
          <t>2023-10-26</t>
        </is>
      </c>
      <c r="BT1635" t="inlineStr">
        <is>
          <t>WOS:000851118300001</t>
        </is>
      </c>
      <c r="BU1635">
        <f>HYPERLINK("https%3A%2F%2Fwww.webofscience.com%2Fwos%2Fwoscc%2Ffull-record%2FWOS:000851118300001","View Full Record in Web of Science")</f>
        <v/>
      </c>
    </row>
    <row r="1636">
      <c r="A1636" t="inlineStr">
        <is>
          <t>J</t>
        </is>
      </c>
      <c r="B1636" t="inlineStr">
        <is>
          <t>Gabriel, MF; Felgueiras, F; Fernandes, M; Ribeiro, C; Ramos, E; Mourao, Z; Fernandes, ED</t>
        </is>
      </c>
      <c r="F1636" t="inlineStr">
        <is>
          <t>Gabriel, Marta F.; Felgueiras, Fatima; Fernandes, Miguel; Ribeiro, Claudia; Ramos, Elisabete; Mourao, Zenaida; Fernandes, Eduardo de Oliveira</t>
        </is>
      </c>
      <c r="J1636" t="inlineStr">
        <is>
          <t>ENVIRONMENTAL RESEARCH</t>
        </is>
      </c>
      <c r="M1636" t="inlineStr">
        <is>
          <t>English</t>
        </is>
      </c>
      <c r="N1636" t="inlineStr">
        <is>
          <t>Article</t>
        </is>
      </c>
      <c r="T1636" t="inlineStr">
        <is>
          <t>Assessment of indoor air conditions in households of Portuguese families with newborn children. Implementation of the HEALS IAQ checklist</t>
        </is>
      </c>
      <c r="U1636" t="inlineStr">
        <is>
          <t>Building checklist; Early-life exposures; Exposome; Household air pollution sources; Indoor air quality assessment</t>
        </is>
      </c>
      <c r="V1636" t="inlineStr">
        <is>
          <t>ORGANOPHOSPHORUS FLAME RETARDANTS; LOW-INCOME HOMES; BUILDING CHARACTERISTICS; ULTRAFINE PARTICLES; ALLERGIC SYMPTOMS; E-CIGARETTE; EXPOSURE; ASTHMA; QUALITY; CHILDHOOD</t>
        </is>
      </c>
      <c r="W1636" t="inlineStr">
        <is>
          <t>Conducting epidemiological and risk assessment research that considers the exposome concept, as in the case of HEALS project, requires the acquisition of higher dimension data sets of an increased complexity. In this context, new methods that provide accurate and interpretable data summary on relevant environmental factors are of major importance. In this work, a questionnaire was developed to collect harmonized data on potential pollutant sources to air in the indoor environment where children spend an important part of their early life. The questionnaire was designed in a user friendly checklist format to be filled out at the maternity in ten European cities. This paper presents and discusses the rationale for the selection of the questionnaire contents and the results obtained from its application in the households of 309 HEALS-enrolled families with babies recently born in Porto, Portugal. The tool was very effective in providing data on the putative air pollution sources in homes, with special focus on the bedroom of the newborns. The data collected is part of a wider effort to build the databases and risk assessment models of the HEALS project. The results of the analysis of the collected data suggest that, for the population under study, the main concerns on early life exposures at home can be related to emissions from the use of household solid fuels, indoor tobacco, household cleaning products, fragranced consumer products (e.g. air fresheners, incense and candles), moisture-related pathologies and traffic-related outdoor pollution. Furthermore, it is anticipated that the tool can be a valuable means to empower citizens to actively participate in the control of their own exposures at home. Within this context, the application of the checklist will also allow local stakeholders to identify buildings presenting most evident IAQ problems for sampling or intervention as well as to guide them in preparing evidence-based educational/awareness campaigns to promote public health through creating healthy households.</t>
        </is>
      </c>
      <c r="X1636" t="inlineStr">
        <is>
          <t>[Gabriel, Marta F.; Felgueiras, Fatima; Fernandes, Miguel; Mourao, Zenaida] Inst Sci &amp; Innovat Mech &amp; Ind Engn, INEGI, Porto, Portugal; [Ribeiro, Claudia; Ramos, Elisabete] Univ Porto, EPIUnit, Inst Publ Hlth, Porto, Portugal; [Ribeiro, Claudia; Ramos, Elisabete] Univ Porto, Dept Clin Epidemiol Predict Med &amp; Publ Hlth, Med Sch, Porto, Portugal; [Fernandes, Eduardo de Oliveira] Univ Porto, Porto, Portugal</t>
        </is>
      </c>
      <c r="Y1636" t="inlineStr">
        <is>
          <t>Universidade do Porto; Universidade do Porto; Universidade do Porto; Universidade do Porto</t>
        </is>
      </c>
      <c r="Z1636" t="inlineStr">
        <is>
          <t>Gabriel, MF (corresponding author), Inst Sci &amp; Innovat Mech &amp; Ind Engn INEGI, Energy Grp, Porto, Portugal.</t>
        </is>
      </c>
      <c r="AA1636" t="inlineStr">
        <is>
          <t>mgabriel20023@gmail.com</t>
        </is>
      </c>
      <c r="AB1636" t="inlineStr">
        <is>
          <t>Ramos, Elisabete/F-3473-2013; Ribeiro, Cláudia P/E-6906-2015; Gabriel, Marta/J-2741-2014; Fazli, Ghazal/AAE-8320-2022</t>
        </is>
      </c>
      <c r="AC1636" t="inlineStr">
        <is>
          <t>Ramos, Elisabete/0000-0001-6573-218X; Ribeiro, Cláudia P/0000-0002-1723-5055; Gabriel, Marta/0000-0001-6920-9038; Sobral Mourao, Zenaida/0000-0002-6499-3596; Felgueiras, Fatima/0000-0002-8932-4268; Fernandes, Miguel/0000-0002-1634-4655</t>
        </is>
      </c>
      <c r="AD1636" t="inlineStr">
        <is>
          <t>Project HEALS 'Health and Environment-Wide Associations based on Large population Surveys', through the European Union's Seventh Program for research, technological development and demonstration [603946]; Health, Comfort and Energy in the Built Environment (HEBE) [NORTE-01-0145-FEDER-000010]; Programa Operacional Regional do Norte (NORTE 2020), through Fundo Europeu de Desenvolvimento Regional (FEDER); Foundation for Science and Technology (FCT) -Portuguese Ministry of Science, Technology and Higher Education [PD/BD/135925/2018]; Fundação para a Ciência e a Tecnologia [PD/BD/135925/2018] Funding Source: FCT</t>
        </is>
      </c>
      <c r="AE1636" t="inlineStr">
        <is>
          <t>Project HEALS 'Health and Environment-Wide Associations based on Large population Surveys', through the European Union's Seventh Program for research, technological development and demonstration; Health, Comfort and Energy in the Built Environment (HEBE); Programa Operacional Regional do Norte (NORTE 2020), through Fundo Europeu de Desenvolvimento Regional (FEDER); Foundation for Science and Technology (FCT) -Portuguese Ministry of Science, Technology and Higher Education(Fundacao para a Ciencia e a Tecnologia (FCT)); Fundação para a Ciência e a Tecnologia(Fundacao para a Ciencia e a Tecnologia (FCT))</t>
        </is>
      </c>
      <c r="AF1636" t="inlineStr">
        <is>
          <t>The authors gratefully acknowledge the funding of Project HEALS 'Health and Environment-Wide Associations based on Large population Surveys', through the European Union's Seventh Program for research, technological development and demonstration under grant agreement No 603946. MFG, FF and ZM also gratefully acknowledge the funding of Project NORTE-01-0145-FEDER-000010, Health, Comfort and Energy in the Built Environment (HEBE), cofinanced by Programa Operacional Regional do Norte (NORTE 2020), through Fundo Europeu de Desenvolvimento Regional (FEDER). CR was supported by a PhD Grant PD/BD/135925/2018 funded by the Foundation for Science and Technology (FCT) -Portuguese Ministry of Science, Technology and Higher Education. The authors would like also to express their gratitude to the families enrolled in BiTwin for their kindness, all members of the research team and the participating hospitals and their staff for their help and support.</t>
        </is>
      </c>
      <c r="AH1636" t="n">
        <v>79</v>
      </c>
      <c r="AI1636" t="n">
        <v>7</v>
      </c>
      <c r="AJ1636" t="n">
        <v>7</v>
      </c>
      <c r="AK1636" t="n">
        <v>3</v>
      </c>
      <c r="AL1636" t="n">
        <v>27</v>
      </c>
      <c r="AM1636" t="inlineStr">
        <is>
          <t>ACADEMIC PRESS INC ELSEVIER SCIENCE</t>
        </is>
      </c>
      <c r="AN1636" t="inlineStr">
        <is>
          <t>SAN DIEGO</t>
        </is>
      </c>
      <c r="AO1636" t="inlineStr">
        <is>
          <t>525 B ST, STE 1900, SAN DIEGO, CA 92101-4495 USA</t>
        </is>
      </c>
      <c r="AP1636" t="inlineStr">
        <is>
          <t>0013-9351</t>
        </is>
      </c>
      <c r="AQ1636" t="inlineStr">
        <is>
          <t>1096-0953</t>
        </is>
      </c>
      <c r="AS1636" t="inlineStr">
        <is>
          <t>ENVIRON RES</t>
        </is>
      </c>
      <c r="AT1636" t="inlineStr">
        <is>
          <t>Environ. Res.</t>
        </is>
      </c>
      <c r="AU1636" t="inlineStr">
        <is>
          <t>MAR</t>
        </is>
      </c>
      <c r="AV1636" t="n">
        <v>2020</v>
      </c>
      <c r="AW1636" t="n">
        <v>182</v>
      </c>
      <c r="BE1636" t="n">
        <v>108966</v>
      </c>
      <c r="BF1636" t="inlineStr">
        <is>
          <t>10.1016/j.envres.2019.108966</t>
        </is>
      </c>
      <c r="BG1636">
        <f>HYPERLINK("http://dx.doi.org/10.1016/j.envres.2019.108966","http://dx.doi.org/10.1016/j.envres.2019.108966")</f>
        <v/>
      </c>
      <c r="BJ1636" t="n">
        <v>10</v>
      </c>
      <c r="BK1636" t="inlineStr">
        <is>
          <t>Environmental Sciences; Public, Environmental &amp; Occupational Health</t>
        </is>
      </c>
      <c r="BL1636" t="inlineStr">
        <is>
          <t>Science Citation Index Expanded (SCI-EXPANDED)</t>
        </is>
      </c>
      <c r="BM1636" t="inlineStr">
        <is>
          <t>Environmental Sciences &amp; Ecology; Public, Environmental &amp; Occupational Health</t>
        </is>
      </c>
      <c r="BN1636" t="inlineStr">
        <is>
          <t>KP2TP</t>
        </is>
      </c>
      <c r="BO1636" t="n">
        <v>31816588</v>
      </c>
      <c r="BS1636" t="inlineStr">
        <is>
          <t>2023-10-26</t>
        </is>
      </c>
      <c r="BT1636" t="inlineStr">
        <is>
          <t>WOS:000516094400113</t>
        </is>
      </c>
      <c r="BU1636">
        <f>HYPERLINK("https%3A%2F%2Fwww.webofscience.com%2Fwos%2Fwoscc%2Ffull-record%2FWOS:000516094400113","View Full Record in Web of Science")</f>
        <v/>
      </c>
    </row>
    <row r="1637">
      <c r="A1637" t="inlineStr">
        <is>
          <t>J</t>
        </is>
      </c>
      <c r="B1637" t="inlineStr">
        <is>
          <t>Rivas, I; Viana, M; Moreno, T; Bouso, L; Pandolfi, M; Alvarez-Pedrerol, M; Forns, J; Alastuey, A; Sunyer, J; Querol, X</t>
        </is>
      </c>
      <c r="F1637" t="inlineStr">
        <is>
          <t>Rivas, I.; Viana, M.; Moreno, T.; Bouso, L.; Pandolfi, M.; Alvarez-Pedrerol, M.; Forns, J.; Alastuey, A.; Sunyer, J.; Querol, X.</t>
        </is>
      </c>
      <c r="J1637" t="inlineStr">
        <is>
          <t>ATMOSPHERIC ENVIRONMENT</t>
        </is>
      </c>
      <c r="M1637" t="inlineStr">
        <is>
          <t>English</t>
        </is>
      </c>
      <c r="N1637" t="inlineStr">
        <is>
          <t>Article</t>
        </is>
      </c>
      <c r="T1637" t="inlineStr">
        <is>
          <t>Outdoor infiltration and indoor contribution of UFP and BC, OC, secondary inorganic ions and metals in PM2.5 in schools</t>
        </is>
      </c>
      <c r="U1637" t="inlineStr">
        <is>
          <t>Particulate matter; Black carbon; Ultrafine particles; Road traffic; Indoor air quality</t>
        </is>
      </c>
      <c r="V1637" t="inlineStr">
        <is>
          <t>PARTICULATE MATTER; AIR-QUALITY; PARTICLE CONCENTRATIONS; SOURCE APPORTIONMENT; ULTRAFINE PARTICLES; RESIDENTIAL INDOOR; ELEMENTARY-SCHOOLS; QUASI-ULTRAFINE; EXPOSURES; BARCELONA</t>
        </is>
      </c>
      <c r="W1637" t="inlineStr">
        <is>
          <t>Infiltration of outdoor-sourced particles into indoor environments in 39 schools in Barcelona was assessed during school hours. Tracers of road traffic emissions (NO2, Equivalent Black Carbon (EBC), Ultrafine Particles (UFP), Sb), secondary inorganic aerosols (SO42-, NO3-, NH4+) and a number of PM2.5 trace elements showed median indoor/outdoor (I/O) ratios &lt;= 1, indicating that outdoor sources importantly contributed to indoor concentrations. Conversely, OC and mineral components had I/O ratios&gt;1. Different infiltration factors were found for traffic and secondary components (0.31-0.75 and 0.50-0.92, cold and warm season respectively), with maxima corresponding to EBC and Cd. Higher concentrations of indoor-generated particles were observed when closed windows hindered dispersion (cold season). Building age was not a major determinant of indoor levels. Neither were the window's material, except for NO2 (with an increase of 8 mu g m(-3) for wood framed windows) and the mineral components (also dependent on the presence of sand in a distance &lt;20 m) that reach the indoor environment via soil adhering to footwear with their dispersion being more barred by Aluminium/PVC framed windows than the wooden ones. Enlarged indoor concentrations of some trace elements suggest the presence of indoor sources that should be further investigated in order to achieve a healthier school indoor environment. (C) 2015 The Authors. Published by Elsevier Ltd. This is an open access article under the CC BY-NC-ND license</t>
        </is>
      </c>
      <c r="X1637" t="inlineStr">
        <is>
          <t>[Rivas, I.; Viana, M.; Moreno, T.; Pandolfi, M.; Alastuey, A.; Querol, X.] CSIC, IDAEA, Inst Environm Assessment &amp; Water Res, ES-08034 Barcelona, Spain; [Rivas, I.; Bouso, L.; Alvarez-Pedrerol, M.; Forns, J.; Sunyer, J.] Ctr Res Environm Epidemiol CREAL, Barcelona 08003, Spain; [Sunyer, J.] Hosp Mar Res Inst IMIM, Barcelona 08003, Spain; [Rivas, I.; Bouso, L.; Alvarez-Pedrerol, M.; Forns, J.; Sunyer, J.] UPF, Barcelona 08003, Spain; [Rivas, I.; Bouso, L.; Alvarez-Pedrerol, M.; Forns, J.; Sunyer, J.] CIBERESP, Madrid 28029, Spain; [Rivas, I.] Univ Autonoma Barcelona, Inst Ciencia &amp; Tecnol Ambientals, Bellaterra Cerdanyola 08193, Spain; [Forns, J.] Norwegian Inst Publ Hlth, Div Epidemiol, Dept Genes &amp; Environm, Oslo, Norway</t>
        </is>
      </c>
      <c r="Y1637" t="inlineStr">
        <is>
          <t>Consejo Superior de Investigaciones Cientificas (CSIC); CSIC - Centro de Investigacion y Desarrollo Pascual Vila (CID-CSIC); CSIC - Instituto de Diagnostico Ambiental y Estudios del Agua (IDAEA); Pompeu Fabra University; Hospital del Mar Research Institute; Hospital del Mar; Pompeu Fabra University; CIBER - Centro de Investigacion Biomedica en Red; CIBERESP; Autonomous University of Barcelona; Norwegian Institute of Public Health (NIPH)</t>
        </is>
      </c>
      <c r="Z1637" t="inlineStr">
        <is>
          <t>Rivas, I (corresponding author), CSIC, IDAEA, Inst Environm Assessment &amp; Water Res, C Jordi Girona 18-26, ES-08034 Barcelona, Spain.</t>
        </is>
      </c>
      <c r="AA1637" t="inlineStr">
        <is>
          <t>irivas@creal.cat</t>
        </is>
      </c>
      <c r="AB1637" t="inlineStr">
        <is>
          <t>Alastuey, Andres/E-1706-2014; Pandolfi, Marco/F-9409-2016; Pandolfi, Margareth/H-7616-2016; Moreno, Teresa/C-9349-2009; Querol, Xavier/E-2800-2014; Rivas, Ioar/J-1505-2016; Sunyer, Jordi/G-6909-2014</t>
        </is>
      </c>
      <c r="AC1637" t="inlineStr">
        <is>
          <t>Alastuey, Andres/0000-0002-5453-5495; Pandolfi, Marco/0000-0002-7493-7213; Moreno, Teresa/0000-0003-3235-1027; Querol, Xavier/0000-0002-6549-9899; Rivas, Ioar/0000-0002-4743-619X; Sunyer, Jordi/0000-0002-2602-4110</t>
        </is>
      </c>
      <c r="AD1637" t="inlineStr">
        <is>
          <t>European Community's Seventh Framework Program (ERC-Advanced Grant) - BREATHE project [268479]; national project IMPACT [CGL2011-26574]; national project VAMOS [CLG2010-19464-CLI]; national project CECAT [CTM2011-14730-E]; Generalitat de Catalunya [2015 SGR33]</t>
        </is>
      </c>
      <c r="AE1637" t="inlineStr">
        <is>
          <t>European Community's Seventh Framework Program (ERC-Advanced Grant) - BREATHE project; national project IMPACT; national project VAMOS; national project CECAT; Generalitat de Catalunya(Generalitat de Catalunya)</t>
        </is>
      </c>
      <c r="AF1637" t="inlineStr">
        <is>
          <t>The research leading to these results has received funding from the European Community's Seventh Framework Program (ERC-Advanced Grant) under grant agreement number 268479 - the BREATHE project. Thanks are due to all the participant schools and colleagues. Additional instrumentation was kindly provided by national projects IMPACT (CGL2011-26574), VAMOS (CLG2010-19464-CLI) and CECAT (CTM2011-14730-E). Support from the Generalitat de Catalunya 2015 SGR33 is gratefully acknowledged.</t>
        </is>
      </c>
      <c r="AH1637" t="n">
        <v>54</v>
      </c>
      <c r="AI1637" t="n">
        <v>95</v>
      </c>
      <c r="AJ1637" t="n">
        <v>96</v>
      </c>
      <c r="AK1637" t="n">
        <v>4</v>
      </c>
      <c r="AL1637" t="n">
        <v>70</v>
      </c>
      <c r="AM1637" t="inlineStr">
        <is>
          <t>PERGAMON-ELSEVIER SCIENCE LTD</t>
        </is>
      </c>
      <c r="AN1637" t="inlineStr">
        <is>
          <t>OXFORD</t>
        </is>
      </c>
      <c r="AO1637" t="inlineStr">
        <is>
          <t>THE BOULEVARD, LANGFORD LANE, KIDLINGTON, OXFORD OX5 1GB, ENGLAND</t>
        </is>
      </c>
      <c r="AP1637" t="inlineStr">
        <is>
          <t>1352-2310</t>
        </is>
      </c>
      <c r="AQ1637" t="inlineStr">
        <is>
          <t>1873-2844</t>
        </is>
      </c>
      <c r="AS1637" t="inlineStr">
        <is>
          <t>ATMOS ENVIRON</t>
        </is>
      </c>
      <c r="AT1637" t="inlineStr">
        <is>
          <t>Atmos. Environ.</t>
        </is>
      </c>
      <c r="AU1637" t="inlineStr">
        <is>
          <t>APR</t>
        </is>
      </c>
      <c r="AV1637" t="n">
        <v>2015</v>
      </c>
      <c r="AW1637" t="n">
        <v>106</v>
      </c>
      <c r="BC1637" t="n">
        <v>129</v>
      </c>
      <c r="BD1637" t="n">
        <v>138</v>
      </c>
      <c r="BF1637" t="inlineStr">
        <is>
          <t>10.1016/j.atmosenv.2015.01.055</t>
        </is>
      </c>
      <c r="BG1637">
        <f>HYPERLINK("http://dx.doi.org/10.1016/j.atmosenv.2015.01.055","http://dx.doi.org/10.1016/j.atmosenv.2015.01.055")</f>
        <v/>
      </c>
      <c r="BJ1637" t="n">
        <v>10</v>
      </c>
      <c r="BK1637" t="inlineStr">
        <is>
          <t>Environmental Sciences; Meteorology &amp; Atmospheric Sciences</t>
        </is>
      </c>
      <c r="BL1637" t="inlineStr">
        <is>
          <t>Science Citation Index Expanded (SCI-EXPANDED)</t>
        </is>
      </c>
      <c r="BM1637" t="inlineStr">
        <is>
          <t>Environmental Sciences &amp; Ecology; Meteorology &amp; Atmospheric Sciences</t>
        </is>
      </c>
      <c r="BN1637" t="inlineStr">
        <is>
          <t>CE6RR</t>
        </is>
      </c>
      <c r="BP1637" t="inlineStr">
        <is>
          <t>Green Published, hybrid</t>
        </is>
      </c>
      <c r="BS1637" t="inlineStr">
        <is>
          <t>2023-10-26</t>
        </is>
      </c>
      <c r="BT1637" t="inlineStr">
        <is>
          <t>WOS:000351966200013</t>
        </is>
      </c>
      <c r="BU1637">
        <f>HYPERLINK("https%3A%2F%2Fwww.webofscience.com%2Fwos%2Fwoscc%2Ffull-record%2FWOS:000351966200013","View Full Record in Web of Science")</f>
        <v/>
      </c>
    </row>
    <row r="1638">
      <c r="A1638" t="inlineStr">
        <is>
          <t>J</t>
        </is>
      </c>
      <c r="B1638" t="inlineStr">
        <is>
          <t>Rocha, V; Plácido, AI; Rodrigues, DA; Tavares, AB; Figueiras, A; Roque, F; Herdeiro, MT</t>
        </is>
      </c>
      <c r="F1638" t="inlineStr">
        <is>
          <t>Rocha, Vania; Placido, Ana Isabel; Rodrigues, Daniela A.; Tavares, Ana Barbara; Figueiras, Adolfo; Roque, Fatima; Herdeiro, Maria Teresa</t>
        </is>
      </c>
      <c r="J1638" t="inlineStr">
        <is>
          <t>INTERNATIONAL JOURNAL OF ENVIRONMENTAL RESEARCH AND PUBLIC HEALTH</t>
        </is>
      </c>
      <c r="M1638" t="inlineStr">
        <is>
          <t>English</t>
        </is>
      </c>
      <c r="N1638" t="inlineStr">
        <is>
          <t>Article</t>
        </is>
      </c>
      <c r="T1638" t="inlineStr">
        <is>
          <t>Geographic Variation in Top-10 Prescribed Medicines and Potentially Inappropriate Medication in Portugal: An Ecological Study of 2.2 Million Older Adults</t>
        </is>
      </c>
      <c r="U1638" t="inlineStr">
        <is>
          <t>older adults; prescription drugs; potentially inappropriate medication; geographic variation</t>
        </is>
      </c>
      <c r="V1638" t="inlineStr">
        <is>
          <t>PUMP INHIBITOR USE; RISK-FACTORS; CARDIOVASCULAR-DISEASES; GENDER-DIFFERENCES; DRUG UTILIZATION; GLOBAL BURDEN; PREVALENCE; EPIDEMIOLOGY; OUTCOMES; PEOPLE</t>
        </is>
      </c>
      <c r="W1638" t="inlineStr">
        <is>
          <t>Multiple medication intake by older adults is considered a serious public health concern since it is associated with increased risk of adverse drug reactions and potentially inappropriate medication (PIM). This study described the top-10 prescribed active substances considering geographical distribution and PIM prescription in older adults. A cross-sectional ecological study using data on the active substances prescribed to people aged 65 years or older during 2020 was conducted. Information on active substances and the respective defined daily doses (DDD) stratified by age group, sex and region were collected from a Portuguese health administrative database. The average number of prescribed packages and DDD per 1000 inhabitants per day of top-10 active substances were assessed. This study included a total of 2,228,090 older adults (58% females). The furosemide and atorvastatin were the active substances with higher prescription rates (mean DDD/1000 inhabitants/day) in all ARS in both males and females, in comparison with the other top-10 active substances. Our results showed geographic differences in prescription, illustrated by more prescriptions in ARS North and Centre and fewer prescriptions in ARS Algarve. In females, two out of the 10 most prescribed active substances were PIM (benzodiazepines and opioids). Geographic disparities in PIM prescription across Portuguese regions were also observed. This study shows that drugs for the cardiovascular system were the active substances most prescribed to older adults. The prescription of benzodiazepines and opioids, classified as PIM, among females, alerts officials to the need of health policies to decrease inappropriate medication. The observed geographic differences in the 10 most prescribed active substances and in PIM prescription emphasized the importance of investing in medication optimization across the Portuguese regions.</t>
        </is>
      </c>
      <c r="X1638" t="inlineStr">
        <is>
          <t>[Rocha, Vania; Herdeiro, Maria Teresa] Univ Aveiro, Inst Biomed iBiMED, Dept Med Sci, P-3810193 Aveiro, Portugal; [Placido, Ana Isabel; Rodrigues, Daniela A.; Tavares, Ana Barbara; Roque, Fatima] Polytech Guarda UDI IPG, Res Unit Inland Dev, P-6300559 Guarda, Portugal; [Figueiras, Adolfo] Univ Santiago de Compostela, Dept Prevent Med &amp; Publ Hlth, Santiago De Compostela 15702, Spain; [Figueiras, Adolfo] Hlth Res Inst Santiago de Compostela IDIS, Santiago De Compostela 15706, Spain; [Figueiras, Adolfo] Consortium Biomed Res Epidemiol &amp; Publ Hlth PCIBE, Madrid 28001, Spain; [Roque, Fatima] Univ Beira Interior CICS UBI, Hlth Sci Res Ctr, P-6200506 Covilha, Portugal; [Roque, Fatima; Herdeiro, Maria Teresa] Soc Portuguesa Farmaceut Cuidados Saude SPFCS, Rua D Manuel I,74 1 Piso, P-3030320 Coimbra, Portugal</t>
        </is>
      </c>
      <c r="Y1638" t="inlineStr">
        <is>
          <t>Universidade de Aveiro; Universidade de Santiago de Compostela; Complexo Hospitalario Universitario de Santiago de Compostela; Universidade da Beira Interior</t>
        </is>
      </c>
      <c r="Z1638" t="inlineStr">
        <is>
          <t>Rocha, V; Herdeiro, MT (corresponding author), Univ Aveiro, Inst Biomed iBiMED, Dept Med Sci, P-3810193 Aveiro, Portugal.;Roque, F (corresponding author), Polytech Guarda UDI IPG, Res Unit Inland Dev, P-6300559 Guarda, Portugal.;Roque, F (corresponding author), Univ Beira Interior CICS UBI, Hlth Sci Res Ctr, P-6200506 Covilha, Portugal.;Roque, F; Herdeiro, MT (corresponding author), Soc Portuguesa Farmaceut Cuidados Saude SPFCS, Rua D Manuel I,74 1 Piso, P-3030320 Coimbra, Portugal.</t>
        </is>
      </c>
      <c r="AA1638" t="inlineStr">
        <is>
          <t>vania.rocha@ua.pt; froque@ipg.pt; teresaherdeiro@ua.pt</t>
        </is>
      </c>
      <c r="AB1638" t="inlineStr">
        <is>
          <t>Placido, Ana/ABB-4153-2022; Rodrigues, Daniela A./ACU-4960-2022; Figueiras, Adolfo/K-8563-2015; Roque, Fatima Marques/H-1713-2013; Herdeiro, Maria Teresa/H-8195-2013</t>
        </is>
      </c>
      <c r="AC1638" t="inlineStr">
        <is>
          <t>Placido, Ana/0000-0002-2316-6770; Rodrigues, Daniela A./0000-0002-4708-8965; Figueiras, Adolfo/0000-0002-5766-8672; Roque, Fatima Marques/0000-0003-0169-3788; Herdeiro, Maria Teresa/0000-0002-0500-4049; Rocha, Vania/0000-0001-7928-6387; Tavares, Barbara/0000-0002-3144-0813</t>
        </is>
      </c>
      <c r="AD1638" t="inlineStr">
        <is>
          <t>Foundation for Science and Technology (FCT); Operational Programme from the budget of the Central Region of Portugal, within the European Social Fund (ESF) component [CENTRO-04-3559-FSE-000162]; APIMedOlder project - Operational Programme of Competitiveness and Internationalization (POCI) [PTDC/MED-FAR/31598/2017, POCI-01-0145FEDER-031598]; e-HealthResp project - Operational Programme of Competitiveness and Internationalization (POCI) [POCI-01-0145-FEDER-031678, PTDC/SAU-SER/31678/2017]</t>
        </is>
      </c>
      <c r="AE1638" t="inlineStr">
        <is>
          <t>Foundation for Science and Technology (FCT)(Fundacao para a Ciencia e a Tecnologia (FCT)); Operational Programme from the budget of the Central Region of Portugal, within the European Social Fund (ESF) component; APIMedOlder project - Operational Programme of Competitiveness and Internationalization (POCI); e-HealthResp project - Operational Programme of Competitiveness and Internationalization (POCI)</t>
        </is>
      </c>
      <c r="AF1638" t="inlineStr">
        <is>
          <t>This work was supported by the APIMedOlder project (PTDC/MED-FAR/31598/2017) and e-HealthResp project (PTDC/SAU-SER/31678/2017), both funded by the Operational Programme of Competitiveness and Internationalization (POCI), in its FEDER/FNR component (POCI-01-0145FEDER-031598 and POCI-01-0145-FEDER-031678, respectively) and by the Foundation for Science and Technology (FCT). The participation of Ana Barbara Tavares and Ana Isabel Placido in this work was funded by Grant CENTRO-04-3559-FSE-000162, financed by the Operational Programme from the budget of the Central Region of Portugal, within the European Social Fund (ESF) component.</t>
        </is>
      </c>
      <c r="AH1638" t="n">
        <v>55</v>
      </c>
      <c r="AI1638" t="n">
        <v>0</v>
      </c>
      <c r="AJ1638" t="n">
        <v>0</v>
      </c>
      <c r="AK1638" t="n">
        <v>0</v>
      </c>
      <c r="AL1638" t="n">
        <v>3</v>
      </c>
      <c r="AM1638" t="inlineStr">
        <is>
          <t>MDPI</t>
        </is>
      </c>
      <c r="AN1638" t="inlineStr">
        <is>
          <t>BASEL</t>
        </is>
      </c>
      <c r="AO1638" t="inlineStr">
        <is>
          <t>ST ALBAN-ANLAGE 66, CH-4052 BASEL, SWITZERLAND</t>
        </is>
      </c>
      <c r="AQ1638" t="inlineStr">
        <is>
          <t>1660-4601</t>
        </is>
      </c>
      <c r="AS1638" t="inlineStr">
        <is>
          <t>INT J ENV RES PUB HE</t>
        </is>
      </c>
      <c r="AT1638" t="inlineStr">
        <is>
          <t>Int. J. Environ. Res. Public Health</t>
        </is>
      </c>
      <c r="AU1638" t="inlineStr">
        <is>
          <t>OCT</t>
        </is>
      </c>
      <c r="AV1638" t="n">
        <v>2022</v>
      </c>
      <c r="AW1638" t="n">
        <v>19</v>
      </c>
      <c r="AX1638" t="n">
        <v>19</v>
      </c>
      <c r="BE1638" t="n">
        <v>12938</v>
      </c>
      <c r="BF1638" t="inlineStr">
        <is>
          <t>10.3390/ijerph191912938</t>
        </is>
      </c>
      <c r="BG1638">
        <f>HYPERLINK("http://dx.doi.org/10.3390/ijerph191912938","http://dx.doi.org/10.3390/ijerph191912938")</f>
        <v/>
      </c>
      <c r="BJ1638" t="n">
        <v>10</v>
      </c>
      <c r="BK1638" t="inlineStr">
        <is>
          <t>Environmental Sciences; Public, Environmental &amp; Occupational Health</t>
        </is>
      </c>
      <c r="BL1638" t="inlineStr">
        <is>
          <t>Science Citation Index Expanded (SCI-EXPANDED); Social Science Citation Index (SSCI)</t>
        </is>
      </c>
      <c r="BM1638" t="inlineStr">
        <is>
          <t>Environmental Sciences &amp; Ecology; Public, Environmental &amp; Occupational Health</t>
        </is>
      </c>
      <c r="BN1638" t="inlineStr">
        <is>
          <t>5I1OD</t>
        </is>
      </c>
      <c r="BO1638" t="n">
        <v>36232238</v>
      </c>
      <c r="BP1638" t="inlineStr">
        <is>
          <t>Green Published, gold</t>
        </is>
      </c>
      <c r="BS1638" t="inlineStr">
        <is>
          <t>2023-10-26</t>
        </is>
      </c>
      <c r="BT1638" t="inlineStr">
        <is>
          <t>WOS:000868134200001</t>
        </is>
      </c>
      <c r="BU1638">
        <f>HYPERLINK("https%3A%2F%2Fwww.webofscience.com%2Fwos%2Fwoscc%2Ffull-record%2FWOS:000868134200001","View Full Record in Web of Science")</f>
        <v/>
      </c>
    </row>
    <row r="1639">
      <c r="A1639" t="inlineStr">
        <is>
          <t>J</t>
        </is>
      </c>
      <c r="B1639" t="inlineStr">
        <is>
          <t>Cassarino, M; Bantry-White, E; Setti, A</t>
        </is>
      </c>
      <c r="F1639" t="inlineStr">
        <is>
          <t>Cassarino, Marica; Bantry-White, Eleanor; Setti, Annalisa</t>
        </is>
      </c>
      <c r="J1639" t="inlineStr">
        <is>
          <t>INTERNATIONAL JOURNAL OF ENVIRONMENTAL RESEARCH AND PUBLIC HEALTH</t>
        </is>
      </c>
      <c r="M1639" t="inlineStr">
        <is>
          <t>English</t>
        </is>
      </c>
      <c r="N1639" t="inlineStr">
        <is>
          <t>Article</t>
        </is>
      </c>
      <c r="T1639" t="inlineStr">
        <is>
          <t>Cognitive and Sensory Dimensions of Older People's Preferences of Outdoor Spaces for Walking: A Survey Study in Ireland</t>
        </is>
      </c>
      <c r="U1639" t="inlineStr">
        <is>
          <t>outdoor spaces; aging; physical activity; sensory sensitivity; cognitive failures</t>
        </is>
      </c>
      <c r="V1639" t="inlineStr">
        <is>
          <t>PHYSICAL-ACTIVITY; FAILURES QUESTIONNAIRE; BUILT ENVIRONMENT; ADULTS; ATTRACTIVENESS; HEALTH; AGE</t>
        </is>
      </c>
      <c r="W1639" t="inlineStr">
        <is>
          <t>Background: Physical exercise, particularly walking, benefits healthy ageing. Understanding the environmental circumstances in which exercise occurs is crucial to the promotion of physical activity in older age. Most studies have focused on the structural dimensions of environments that may foster walking; however, individual differences in how older people perceive and interact with outdoor spaces need further attention. This study explored the cognitive and sensory dimensions of preferences of outdoor spaces for walking. Methods: We invited 112 healthy community-dwelling people aged 60 years to complete a survey to test associations between walking preferences and cognitive/sensory vulnerability. A subsample also completed focus groups/walk along interviews to explore qualitatively the cognitive/sensory reasons for outdoor walking preferences. Results: While most participants indicated a preference for outdoor spaces that offer variety and greenery, we observed a complex association between individual cognitive/sensory needs (stimulation seeking vs. avoidance), preferences for social interactions, and the place of residence urbanity level. Furthermore, walking preferences varied based on the purpose of the walk (recreation vs. transportation). Conclusions: Our findings support an ecological approach to understanding determinants of physical activity in older age, which consider the interaction between individual cognitive processing and the environment.</t>
        </is>
      </c>
      <c r="X1639" t="inlineStr">
        <is>
          <t>[Cassarino, Marica; Setti, Annalisa] Univ Coll Cork, Sch Appl Psychol, Enterprise Ctr, North Mall,T23 TK30, Cork, Ireland; [Bantry-White, Eleanor] Univ Coll Cork, Sch Appl Social Studies, William Thompson House,Donovans Rd,T12 E6F3, Cork, Ireland</t>
        </is>
      </c>
      <c r="Y1639" t="inlineStr">
        <is>
          <t>University College Cork; University College Cork</t>
        </is>
      </c>
      <c r="Z1639" t="inlineStr">
        <is>
          <t>Cassarino, M (corresponding author), Univ Coll Cork, Sch Appl Psychol, Enterprise Ctr, North Mall,T23 TK30, Cork, Ireland.</t>
        </is>
      </c>
      <c r="AA1639" t="inlineStr">
        <is>
          <t>mcassarino@ucc.ie; e.bantrywhite@ucc.ie; a.setti@ucc.ie</t>
        </is>
      </c>
      <c r="AB1639" t="inlineStr">
        <is>
          <t>Setti, Annalisa/A-5586-2011; Cassarino, Marica/G-2332-2018</t>
        </is>
      </c>
      <c r="AC1639" t="inlineStr">
        <is>
          <t>Cassarino, Marica/0000-0002-1624-921X; Setti, Annalisa/0000-0002-9741-2559; Bantry White, Eleanor/0000-0002-7663-6836</t>
        </is>
      </c>
      <c r="AD1639" t="inlineStr">
        <is>
          <t>School of Applied Psychology, University College Cork, Ireland</t>
        </is>
      </c>
      <c r="AE1639" t="inlineStr">
        <is>
          <t>School of Applied Psychology, University College Cork, Ireland</t>
        </is>
      </c>
      <c r="AF1639" t="inlineStr">
        <is>
          <t>This work was partially supported by Seed Award funding granted by the School of Applied Psychology, University College Cork, Ireland.</t>
        </is>
      </c>
      <c r="AH1639" t="n">
        <v>51</v>
      </c>
      <c r="AI1639" t="n">
        <v>5</v>
      </c>
      <c r="AJ1639" t="n">
        <v>5</v>
      </c>
      <c r="AK1639" t="n">
        <v>8</v>
      </c>
      <c r="AL1639" t="n">
        <v>30</v>
      </c>
      <c r="AM1639" t="inlineStr">
        <is>
          <t>MDPI</t>
        </is>
      </c>
      <c r="AN1639" t="inlineStr">
        <is>
          <t>BASEL</t>
        </is>
      </c>
      <c r="AO1639" t="inlineStr">
        <is>
          <t>ST ALBAN-ANLAGE 66, CH-4052 BASEL, SWITZERLAND</t>
        </is>
      </c>
      <c r="AQ1639" t="inlineStr">
        <is>
          <t>1660-4601</t>
        </is>
      </c>
      <c r="AS1639" t="inlineStr">
        <is>
          <t>INT J ENV RES PUB HE</t>
        </is>
      </c>
      <c r="AT1639" t="inlineStr">
        <is>
          <t>Int. J. Environ. Res. Public Health</t>
        </is>
      </c>
      <c r="AU1639" t="inlineStr">
        <is>
          <t>APR 2</t>
        </is>
      </c>
      <c r="AV1639" t="n">
        <v>2019</v>
      </c>
      <c r="AW1639" t="n">
        <v>16</v>
      </c>
      <c r="AX1639" t="n">
        <v>8</v>
      </c>
      <c r="BE1639" t="n">
        <v>1340</v>
      </c>
      <c r="BF1639" t="inlineStr">
        <is>
          <t>10.3390/ijerph16081340</t>
        </is>
      </c>
      <c r="BG1639">
        <f>HYPERLINK("http://dx.doi.org/10.3390/ijerph16081340","http://dx.doi.org/10.3390/ijerph16081340")</f>
        <v/>
      </c>
      <c r="BJ1639" t="n">
        <v>12</v>
      </c>
      <c r="BK1639" t="inlineStr">
        <is>
          <t>Environmental Sciences; Public, Environmental &amp; Occupational Health</t>
        </is>
      </c>
      <c r="BL1639" t="inlineStr">
        <is>
          <t>Science Citation Index Expanded (SCI-EXPANDED); Social Science Citation Index (SSCI)</t>
        </is>
      </c>
      <c r="BM1639" t="inlineStr">
        <is>
          <t>Environmental Sciences &amp; Ecology; Public, Environmental &amp; Occupational Health</t>
        </is>
      </c>
      <c r="BN1639" t="inlineStr">
        <is>
          <t>HX9RX</t>
        </is>
      </c>
      <c r="BO1639" t="n">
        <v>31013969</v>
      </c>
      <c r="BP1639" t="inlineStr">
        <is>
          <t>Green Submitted, gold, Green Published</t>
        </is>
      </c>
      <c r="BS1639" t="inlineStr">
        <is>
          <t>2023-10-26</t>
        </is>
      </c>
      <c r="BT1639" t="inlineStr">
        <is>
          <t>WOS:000467747100033</t>
        </is>
      </c>
      <c r="BU1639">
        <f>HYPERLINK("https%3A%2F%2Fwww.webofscience.com%2Fwos%2Fwoscc%2Ffull-record%2FWOS:000467747100033","View Full Record in Web of Science")</f>
        <v/>
      </c>
    </row>
    <row r="1640">
      <c r="A1640" t="inlineStr">
        <is>
          <t>J</t>
        </is>
      </c>
      <c r="B1640" t="inlineStr">
        <is>
          <t>Yau, YH; Poh, KS; Badarudin, A</t>
        </is>
      </c>
      <c r="F1640" t="inlineStr">
        <is>
          <t>Yau, Yat Huang; Poh, Kai Sin; Badarudin, Ahmad</t>
        </is>
      </c>
      <c r="J1640" t="inlineStr">
        <is>
          <t>JOURNAL OF ENVIRONMENTAL HEALTH SCIENCE AND ENGINEERING</t>
        </is>
      </c>
      <c r="M1640" t="inlineStr">
        <is>
          <t>English</t>
        </is>
      </c>
      <c r="N1640" t="inlineStr">
        <is>
          <t>Article</t>
        </is>
      </c>
      <c r="T1640" t="inlineStr">
        <is>
          <t>An investigation of thermal environment of an existing UFAD system in a high-rise office building in the tropics</t>
        </is>
      </c>
      <c r="U1640" t="inlineStr">
        <is>
          <t>Underfloor air distribution (UFAD); Indoor air quality (IAQ); Thermal comfort; Ventilation; Environmental health; Tropics</t>
        </is>
      </c>
      <c r="V1640" t="inlineStr">
        <is>
          <t>INDOOR AIR-QUALITY; VENTILATION; COMFORT; SYMPTOMS</t>
        </is>
      </c>
      <c r="W1640" t="inlineStr">
        <is>
          <t>The current case study was conducted to identify the causes of environmental health issues in the office space associated with the existing Underfloor Air Distribution (UFAD) system in a high-rise office building in the tropics. The causes of the indoor environmental quality degradation are the key to resolve the environmental health issues. Thus, the parameters such as the indoor air temperature, relative humidity (RH), relative air velocity, carbon monoxide (CO), carbon dioxide (CO2), formaldehyde, total volatile organic compound (TVOC) and particulate matter (PM10) were evaluated in five office spaces. The results showed that the diffusers were not effective in creating air mixing at the occupied space. The RH has exceeded the threshold limit of 70%. The CO2 concentration has exceeded 1000ppm, and the formaldehyde has exceeded 0.1ppm. These indicate the poor design and maintenance of the building that lead to the degradation of indoor environmental quality. Long exposure to the poor indoor environmental quality will cause permanent health damages. The Indoor Air Quality (IAQ) management plan must be established and implemented in the ongoing basis to ensure the health of the occupants are safeguarded. As part of the plan, the practice to conduct an IAQ assessment once every 3years is recommended to ensure the health and well-being of the occupants are safeguarded.</t>
        </is>
      </c>
      <c r="X1640" t="inlineStr">
        <is>
          <t>[Yau, Yat Huang; Poh, Kai Sin; Badarudin, Ahmad] Univ Malaya, Dept Mech Engn, Kuala Lumpur 50603, Malaysia; [Poh, Kai Sin] Qingdao Hisense Hitachi Air Conditioning Syst Co, Hisense Informat Ind Pk 218,Qian Wangang Rd, Qingdao 266510, Peoples R China</t>
        </is>
      </c>
      <c r="Y1640" t="inlineStr">
        <is>
          <t>Universiti Malaya; Hisense</t>
        </is>
      </c>
      <c r="Z1640" t="inlineStr">
        <is>
          <t>Yau, YH (corresponding author), Univ Malaya, Dept Mech Engn, Kuala Lumpur 50603, Malaysia.</t>
        </is>
      </c>
      <c r="AA1640" t="inlineStr">
        <is>
          <t>yhyau@um.edu.my</t>
        </is>
      </c>
      <c r="AB1640" t="inlineStr">
        <is>
          <t>YAU, YAT/C-1075-2010</t>
        </is>
      </c>
      <c r="AC1640" t="inlineStr">
        <is>
          <t>YAU, YAT/0000-0002-4942-3640</t>
        </is>
      </c>
      <c r="AD1640" t="inlineStr">
        <is>
          <t>University of Malaya [GPF004A-2018]; University of Malaya PPP Grant [PG111-2012B]</t>
        </is>
      </c>
      <c r="AE1640" t="inlineStr">
        <is>
          <t>University of Malaya(Universiti Malaya); University of Malaya PPP Grant</t>
        </is>
      </c>
      <c r="AF1640" t="inlineStr">
        <is>
          <t>The authors would like to thank University of Malaya for providing RU Grant GPF004A-2018 to the authors for research work to be conducted at University of Malaya. Thanks are also extended to the University of Malaya PPP Grant PG111-2012B for the partial financial assistance to the co-author, Mr. K.S. Poh, for conducting the research work at the HVAC&amp;R Lab at the Department of Mechanical Engineering, University of Malaya. In addition, special thanks are extended to former students at Department of Mechanical Engineering, University of Malaya Mr. H.K. Low, Mr. J.H. Tam and Mr. W.C. Chan, and former students at Department of Mechanical Engineering, INTI International University &amp; Colleges Mr. M.T. Siew, Mr. H.E. Chew, Mr. K.H. Goh and Mr. H.C.S. Edmund for their assistance in this project. Special thanks are also extended to Ir. Den Low, Mr. C.C.Y. Chuah and Mr. W.Y. Wong from IAQ Solution Pte. Ltd. for their collaboration in the present project.</t>
        </is>
      </c>
      <c r="AH1640" t="n">
        <v>29</v>
      </c>
      <c r="AI1640" t="n">
        <v>5</v>
      </c>
      <c r="AJ1640" t="n">
        <v>5</v>
      </c>
      <c r="AK1640" t="n">
        <v>1</v>
      </c>
      <c r="AL1640" t="n">
        <v>13</v>
      </c>
      <c r="AM1640" t="inlineStr">
        <is>
          <t>BMC</t>
        </is>
      </c>
      <c r="AN1640" t="inlineStr">
        <is>
          <t>LONDON</t>
        </is>
      </c>
      <c r="AO1640" t="inlineStr">
        <is>
          <t>CAMPUS, 4 CRINAN ST, LONDON N1 9XW, ENGLAND</t>
        </is>
      </c>
      <c r="AP1640" t="inlineStr">
        <is>
          <t>2052-336X</t>
        </is>
      </c>
      <c r="AS1640" t="inlineStr">
        <is>
          <t>J ENVIRON HEALTH SCI</t>
        </is>
      </c>
      <c r="AT1640" t="inlineStr">
        <is>
          <t>J. Environ. Health Sci. Eng</t>
        </is>
      </c>
      <c r="AU1640" t="inlineStr">
        <is>
          <t>DEC</t>
        </is>
      </c>
      <c r="AV1640" t="n">
        <v>2018</v>
      </c>
      <c r="AW1640" t="n">
        <v>16</v>
      </c>
      <c r="AX1640" t="n">
        <v>2</v>
      </c>
      <c r="BC1640" t="n">
        <v>313</v>
      </c>
      <c r="BD1640" t="n">
        <v>322</v>
      </c>
      <c r="BF1640" t="inlineStr">
        <is>
          <t>10.1007/s40201-018-0319-1</t>
        </is>
      </c>
      <c r="BG1640">
        <f>HYPERLINK("http://dx.doi.org/10.1007/s40201-018-0319-1","http://dx.doi.org/10.1007/s40201-018-0319-1")</f>
        <v/>
      </c>
      <c r="BJ1640" t="n">
        <v>10</v>
      </c>
      <c r="BK1640" t="inlineStr">
        <is>
          <t>Engineering, Environmental; Environmental Sciences</t>
        </is>
      </c>
      <c r="BL1640" t="inlineStr">
        <is>
          <t>Science Citation Index Expanded (SCI-EXPANDED)</t>
        </is>
      </c>
      <c r="BM1640" t="inlineStr">
        <is>
          <t>Engineering; Environmental Sciences &amp; Ecology</t>
        </is>
      </c>
      <c r="BN1640" t="inlineStr">
        <is>
          <t>HC8NF</t>
        </is>
      </c>
      <c r="BO1640" t="n">
        <v>30729002</v>
      </c>
      <c r="BP1640" t="inlineStr">
        <is>
          <t>Green Published</t>
        </is>
      </c>
      <c r="BS1640" t="inlineStr">
        <is>
          <t>2023-10-26</t>
        </is>
      </c>
      <c r="BT1640" t="inlineStr">
        <is>
          <t>WOS:000452059400020</t>
        </is>
      </c>
      <c r="BU1640">
        <f>HYPERLINK("https%3A%2F%2Fwww.webofscience.com%2Fwos%2Fwoscc%2Ffull-record%2FWOS:000452059400020","View Full Record in Web of Science")</f>
        <v/>
      </c>
    </row>
    <row r="1641">
      <c r="A1641" t="inlineStr">
        <is>
          <t>J</t>
        </is>
      </c>
      <c r="B1641" t="inlineStr">
        <is>
          <t>Kabirikopaei, A; Lau, J; Nord, J; Bovaird, J</t>
        </is>
      </c>
      <c r="F1641" t="inlineStr">
        <is>
          <t>Kabirikopaei, Adel; Lau, Josephine; Nord, Jayden; Bovaird, Jim</t>
        </is>
      </c>
      <c r="J1641" t="inlineStr">
        <is>
          <t>SCIENCE OF THE TOTAL ENVIRONMENT</t>
        </is>
      </c>
      <c r="M1641" t="inlineStr">
        <is>
          <t>English</t>
        </is>
      </c>
      <c r="N1641" t="inlineStr">
        <is>
          <t>Article</t>
        </is>
      </c>
      <c r="T1641" t="inlineStr">
        <is>
          <t>Identifying the K-12 classrooms' indoor air quality factors that affect student academic performance</t>
        </is>
      </c>
      <c r="U1641" t="inlineStr">
        <is>
          <t>Indoor air quality (IAQ); Academic performance; Classrooms; Student demographics</t>
        </is>
      </c>
      <c r="V1641" t="inlineStr">
        <is>
          <t>ENVIRONMENTAL-QUALITY; BUILDING CHARACTERISTICS; THERMAL CONDITIONS; VENTILATION RATES; SCHOOL CLASSROOMS; ASSOCIATION; ACHIEVEMENT; ATTENDANCE; HEALTH</t>
        </is>
      </c>
      <c r="W1641" t="inlineStr">
        <is>
          <t>The objective of this study was to investigate associations between indoor air quality (IAQ) in K-12 classrooms and student academic performance. During the academic years 2015-2017, various IAQ factors in 220 classrooms in the US were measured seasonally, excluding summer. Measurements were taken during occupied and unoccupied times in several classrooms within each school. Occupied measurements included indoor carbon dioxide (CO2) and formaldehyde concentrations, and fine and coarse particle counts. Unoccupied measurements consisted of ozone (O-3), carbon monoxide (CO), nitrogen dioxide (NO2), and total volatile organic compounds (TVOCs) concentrations. Ventilation rates of classrooms were estimated using measured CO2 concentrations. In addition to IAQ data, classroom aggregated student achievement scores and demographic information were collected from participating school districts. Demographic data included percentage rates of free and reduced lunch recipients (PFRL), high-performance students (PGIF), and special education students (PSPED). A multivariate linear regression analysis was used to investigate the associations between IAQ factors and student scores using demographic data as controls. The results revealed associations between student scores and ventilation system type, ventilation rates, fine particle counts, and O-3 and CO concentrations. This research provides valuable information to school districts and design engineers, enabling them to design school environments for improved student performance. (C) 2021 Elsevier B.V. All rights reserved.</t>
        </is>
      </c>
      <c r="X1641" t="inlineStr">
        <is>
          <t>[Kabirikopaei, Adel; Lau, Josephine] Univ Nebraska Lincoln, Durham Sch Architectural Engn &amp; Construct, Peter Kiewit Inst, 1110 South 67th St, Omaha, NE 68182 USA; [Nord, Jayden; Bovaird, Jim] Univ Nebraska Lincoln, Coll Educ &amp; Humans Sci, Nebraska Ctr Res Children Youth Families &amp; Sch, 216 Mabel Lee Hall, Lincoln, NE USA</t>
        </is>
      </c>
      <c r="Y1641" t="inlineStr">
        <is>
          <t>University of Nebraska System; University of Nebraska Lincoln; University of Nebraska System; University of Nebraska Lincoln</t>
        </is>
      </c>
      <c r="Z1641" t="inlineStr">
        <is>
          <t>Lau, J (corresponding author), Univ Nebraska Lincoln, Durham Sch Architectural Engn &amp; Construct, Peter Kiewit Inst, 1110 South 67th St, Omaha, NE 68182 USA.</t>
        </is>
      </c>
      <c r="AA1641" t="inlineStr">
        <is>
          <t>jlau3@unl.edu</t>
        </is>
      </c>
      <c r="AD1641" t="inlineStr">
        <is>
          <t>Environmental Protection Agency (EPA) [R835633]; EPA [814006, R835633] Funding Source: Federal RePORTER</t>
        </is>
      </c>
      <c r="AE1641" t="inlineStr">
        <is>
          <t>Environmental Protection Agency (EPA)(United States Environmental Protection Agency); EPA(United States Environmental Protection Agency)</t>
        </is>
      </c>
      <c r="AF1641" t="inlineStr">
        <is>
          <t>The project was financed by the Environmental Protection Agency (EPA) [Grant Number: R835633]. For more information, please visit (https://engineering.unl.edu/healthy-schools/). The authors want to give their deepest appreciation to Project Advisory Committee members, especially Dr. Pawel Wargocki and to the students involved for their excellent work on data collection, especially Dr. Shihan Deng and Mr. Michael Kuhlenengel. The authors wish to thank Kelly Johnson and Nicole Zickefoose for proofreading the manuscript. The authors wish to thank Drs. Lily Wang and Clarence Waters for their excellent work on project management and community outreach. The authors also thank the school districts, schools, teachers, administrative staff, custodians, and students who made this study possible.</t>
        </is>
      </c>
      <c r="AH1641" t="n">
        <v>32</v>
      </c>
      <c r="AI1641" t="n">
        <v>18</v>
      </c>
      <c r="AJ1641" t="n">
        <v>18</v>
      </c>
      <c r="AK1641" t="n">
        <v>4</v>
      </c>
      <c r="AL1641" t="n">
        <v>48</v>
      </c>
      <c r="AM1641" t="inlineStr">
        <is>
          <t>ELSEVIER</t>
        </is>
      </c>
      <c r="AN1641" t="inlineStr">
        <is>
          <t>AMSTERDAM</t>
        </is>
      </c>
      <c r="AO1641" t="inlineStr">
        <is>
          <t>RADARWEG 29, 1043 NX AMSTERDAM, NETHERLANDS</t>
        </is>
      </c>
      <c r="AP1641" t="inlineStr">
        <is>
          <t>0048-9697</t>
        </is>
      </c>
      <c r="AQ1641" t="inlineStr">
        <is>
          <t>1879-1026</t>
        </is>
      </c>
      <c r="AS1641" t="inlineStr">
        <is>
          <t>SCI TOTAL ENVIRON</t>
        </is>
      </c>
      <c r="AT1641" t="inlineStr">
        <is>
          <t>Sci. Total Environ.</t>
        </is>
      </c>
      <c r="AU1641" t="inlineStr">
        <is>
          <t>SEP 10</t>
        </is>
      </c>
      <c r="AV1641" t="n">
        <v>2021</v>
      </c>
      <c r="AW1641" t="n">
        <v>786</v>
      </c>
      <c r="BE1641" t="n">
        <v>147498</v>
      </c>
      <c r="BF1641" t="inlineStr">
        <is>
          <t>10.1016/j.scitotenv.2021.147498</t>
        </is>
      </c>
      <c r="BG1641">
        <f>HYPERLINK("http://dx.doi.org/10.1016/j.scitotenv.2021.147498","http://dx.doi.org/10.1016/j.scitotenv.2021.147498")</f>
        <v/>
      </c>
      <c r="BI1641" t="inlineStr">
        <is>
          <t>MAY 2021</t>
        </is>
      </c>
      <c r="BJ1641" t="n">
        <v>7</v>
      </c>
      <c r="BK1641" t="inlineStr">
        <is>
          <t>Environmental Sciences</t>
        </is>
      </c>
      <c r="BL1641" t="inlineStr">
        <is>
          <t>Science Citation Index Expanded (SCI-EXPANDED)</t>
        </is>
      </c>
      <c r="BM1641" t="inlineStr">
        <is>
          <t>Environmental Sciences &amp; Ecology</t>
        </is>
      </c>
      <c r="BN1641" t="inlineStr">
        <is>
          <t>SQ3ZT</t>
        </is>
      </c>
      <c r="BO1641" t="n">
        <v>33975113</v>
      </c>
      <c r="BP1641" t="inlineStr">
        <is>
          <t>hybrid</t>
        </is>
      </c>
      <c r="BS1641" t="inlineStr">
        <is>
          <t>2023-10-26</t>
        </is>
      </c>
      <c r="BT1641" t="inlineStr">
        <is>
          <t>WOS:000660298100027</t>
        </is>
      </c>
      <c r="BU1641">
        <f>HYPERLINK("https%3A%2F%2Fwww.webofscience.com%2Fwos%2Fwoscc%2Ffull-record%2FWOS:000660298100027","View Full Record in Web of Science")</f>
        <v/>
      </c>
    </row>
    <row r="1642">
      <c r="A1642" t="inlineStr">
        <is>
          <t>J</t>
        </is>
      </c>
      <c r="B1642" t="inlineStr">
        <is>
          <t>Tilstra, MH; Tiwari, I; Niwa, L; Campbell, S; Nielsen, CC; Jones, CA; Vargas, AO; Bulut, O; Quemerais, B; Salma, J; Whitfield, K; Yamamoto, SS</t>
        </is>
      </c>
      <c r="F1642" t="inlineStr">
        <is>
          <t>Tilstra, McKenzie H.; Tiwari, Ishwar; Niwa, Leigh; Campbell, Sandra; Nielsen, Charlene C.; Jones, C. Allyson; Osornio Vargas, Alvaro; Bulut, Okan; Quemerais, Bernadette; Salma, Jordana; Whitfield, Kyle; Yamamoto, Shelby S.</t>
        </is>
      </c>
      <c r="J1642" t="inlineStr">
        <is>
          <t>INTERNATIONAL JOURNAL OF ENVIRONMENTAL RESEARCH AND PUBLIC HEALTH</t>
        </is>
      </c>
      <c r="M1642" t="inlineStr">
        <is>
          <t>English</t>
        </is>
      </c>
      <c r="N1642" t="inlineStr">
        <is>
          <t>Review</t>
        </is>
      </c>
      <c r="T1642" t="inlineStr">
        <is>
          <t>Risk and Resilience: How Is the Health of Older Adults and Immigrant People Living in Canada Impacted by Climate- and Air Pollution-Related Exposures?</t>
        </is>
      </c>
      <c r="U1642" t="inlineStr">
        <is>
          <t>climate change; air pollution; health-impacts; older adults; immigrants</t>
        </is>
      </c>
      <c r="V1642" t="inlineStr">
        <is>
          <t>EMERGENCY-DEPARTMENT VISITS; CORONARY-HEART-DISEASE; AMBIENT-TEMPERATURE; BRITISH-COLUMBIA; NITROGEN-DIOXIDE; CASE-CROSSOVER; HIP FRACTURE; ILL WIND; MORTALITY; POPULATION</t>
        </is>
      </c>
      <c r="W1642" t="inlineStr">
        <is>
          <t>Background: In the rapidly shifting Canadian climate, an ageing population, and increased migration, a greater understanding of how local climate and air pollution hazards impact older adults and immigrant populations will be necessary for mitigating and adapting to adverse health impacts. Objectives: To explore the reported health impacts of climate change and air pollution exposures in older adults and immigrant people living in Canada, identify known factors influencing risk and resilience in these populations and gaps in the literature. Methods: We searched for research focused on older adults and immigrants living in Canada, published from 2010 onward, where the primary exposures were related to climate or air pollution. We extracted data on setting, exposures, health outcomes, and other relevant contextual factors. Results and Discussion: We identified 52 eligible studies, most focused in Ontario and Quebec. Older people in Canada experience health risks due to climate and air pollution exposures. The extent of the risk depends on multiple factors. We found little information about the climate- and air pollution-related health impacts experienced by immigrant communities. Conclusions: Further research about climate- and air pollution-related exposures, health, and which factors promote or reduce resiliency in Canada's older adults and immigrant communities is necessary.</t>
        </is>
      </c>
      <c r="X1642" t="inlineStr">
        <is>
          <t>[Tilstra, McKenzie H.; Tiwari, Ishwar; Campbell, Sandra; Nielsen, Charlene C.; Yamamoto, Shelby S.] Univ Alberta, Edmonton Clin Hlth Acad, Sch Publ Hlth, Edmonton, AB T6G 1C9, Canada; [Niwa, Leigh; Jones, C. Allyson] Univ Alberta, Fac Rehabil Med, Edmonton, AB T6G 2G4, Canada; [Osornio Vargas, Alvaro; Quemerais, Bernadette] Univ Alberta, Fac Med &amp; Dent, Edmonton, AB T6G 2R7, Canada; [Bulut, Okan] Univ Alberta, Fac Educ, Edmonton, AB T6G 2G5, Canada; [Salma, Jordana] Univ Alberta, Edmonton Clin Hlth Acad, Fac Nursing, Edmonton, AB T6G 1C9, Canada; [Whitfield, Kyle] Univ Alberta, Fac Sci, Sch Urban &amp; Reg Planning, Edmonton, AB T6G 2E3, Canada</t>
        </is>
      </c>
      <c r="Y1642" t="inlineStr">
        <is>
          <t>University of Alberta; University of Alberta; University of Alberta; University of Alberta; University of Alberta; University of Alberta</t>
        </is>
      </c>
      <c r="Z1642" t="inlineStr">
        <is>
          <t>Tilstra, MH (corresponding author), Univ Alberta, Edmonton Clin Hlth Acad, Sch Publ Hlth, Edmonton, AB T6G 1C9, Canada.</t>
        </is>
      </c>
      <c r="AA1642" t="inlineStr">
        <is>
          <t>tilstra@ualberta.ca; shwar@ualberta.ca; lniwa@ualberta.ca; campbel@ualberta.ca; allyson.jones@ualberta.ca; osornio@ualberta.ca; bernadette.quemerais@ualberta.ca; bulut@ualberta.ca; bernadette.quemerais@ualberta.ca; sjordana@ualberta.ca; kw16@ualberta.ca; shelby.yamamoto@ualberta.ca</t>
        </is>
      </c>
      <c r="AB1642" t="inlineStr">
        <is>
          <t>Osornio Vargas, Alvaro Roman/B-4645-2010; Bulut, Okan/O-3457-2019; Campbell, Sandy/C-3152-2013; Nielsen, Charlene/AAA-3762-2021</t>
        </is>
      </c>
      <c r="AC1642" t="inlineStr">
        <is>
          <t>Osornio Vargas, Alvaro Roman/0000-0001-8287-7102; Bulut, Okan/0000-0001-5853-1267; Campbell, Sandy/0000-0002-9347-3880; Nielsen, Charlene/0000-0002-4407-0479; Jones, C Allyson/0000-0002-3952-3234; Tiwari, Ishwar/0000-0003-1715-1457; Quemerais, Bernadette/0000-0001-9320-7059; Tilstra, McKenzie/0000-0001-9475-5954</t>
        </is>
      </c>
      <c r="AD1642" t="inlineStr">
        <is>
          <t>Social Sciences and Humanities Research Council [872-2019-1026]</t>
        </is>
      </c>
      <c r="AE1642" t="inlineStr">
        <is>
          <t>Social Sciences and Humanities Research Council(Social Sciences and Humanities Research Council of Canada (SSHRC))</t>
        </is>
      </c>
      <c r="AF1642" t="inlineStr">
        <is>
          <t>FundingFunding for this work was provided by the Social Sciences and Humanities Research Council (872-2019-1026).</t>
        </is>
      </c>
      <c r="AH1642" t="n">
        <v>86</v>
      </c>
      <c r="AI1642" t="n">
        <v>2</v>
      </c>
      <c r="AJ1642" t="n">
        <v>2</v>
      </c>
      <c r="AK1642" t="n">
        <v>5</v>
      </c>
      <c r="AL1642" t="n">
        <v>30</v>
      </c>
      <c r="AM1642" t="inlineStr">
        <is>
          <t>MDPI</t>
        </is>
      </c>
      <c r="AN1642" t="inlineStr">
        <is>
          <t>BASEL</t>
        </is>
      </c>
      <c r="AO1642" t="inlineStr">
        <is>
          <t>ST ALBAN-ANLAGE 66, CH-4052 BASEL, SWITZERLAND</t>
        </is>
      </c>
      <c r="AQ1642" t="inlineStr">
        <is>
          <t>1660-4601</t>
        </is>
      </c>
      <c r="AS1642" t="inlineStr">
        <is>
          <t>INT J ENV RES PUB HE</t>
        </is>
      </c>
      <c r="AT1642" t="inlineStr">
        <is>
          <t>Int. J. Environ. Res. Public Health</t>
        </is>
      </c>
      <c r="AU1642" t="inlineStr">
        <is>
          <t>OCT</t>
        </is>
      </c>
      <c r="AV1642" t="n">
        <v>2021</v>
      </c>
      <c r="AW1642" t="n">
        <v>18</v>
      </c>
      <c r="AX1642" t="n">
        <v>20</v>
      </c>
      <c r="BE1642" t="n">
        <v>10575</v>
      </c>
      <c r="BF1642" t="inlineStr">
        <is>
          <t>10.3390/ijerph182010575</t>
        </is>
      </c>
      <c r="BG1642">
        <f>HYPERLINK("http://dx.doi.org/10.3390/ijerph182010575","http://dx.doi.org/10.3390/ijerph182010575")</f>
        <v/>
      </c>
      <c r="BJ1642" t="n">
        <v>22</v>
      </c>
      <c r="BK1642" t="inlineStr">
        <is>
          <t>Environmental Sciences; Public, Environmental &amp; Occupational Health</t>
        </is>
      </c>
      <c r="BL1642" t="inlineStr">
        <is>
          <t>Science Citation Index Expanded (SCI-EXPANDED); Social Science Citation Index (SSCI)</t>
        </is>
      </c>
      <c r="BM1642" t="inlineStr">
        <is>
          <t>Environmental Sciences &amp; Ecology; Public, Environmental &amp; Occupational Health</t>
        </is>
      </c>
      <c r="BN1642" t="inlineStr">
        <is>
          <t>WN6QI</t>
        </is>
      </c>
      <c r="BO1642" t="n">
        <v>34682320</v>
      </c>
      <c r="BP1642" t="inlineStr">
        <is>
          <t>gold, Green Published</t>
        </is>
      </c>
      <c r="BS1642" t="inlineStr">
        <is>
          <t>2023-10-26</t>
        </is>
      </c>
      <c r="BT1642" t="inlineStr">
        <is>
          <t>WOS:000711891500001</t>
        </is>
      </c>
      <c r="BU1642">
        <f>HYPERLINK("https%3A%2F%2Fwww.webofscience.com%2Fwos%2Fwoscc%2Ffull-record%2FWOS:000711891500001","View Full Record in Web of Science")</f>
        <v/>
      </c>
    </row>
    <row r="1643">
      <c r="A1643" t="inlineStr">
        <is>
          <t>J</t>
        </is>
      </c>
      <c r="B1643" t="inlineStr">
        <is>
          <t>Pereira, G; Christian, H; Foster, S; Boruff, BJ; Bull, F; Knuiman, M; Giles-Corti, B</t>
        </is>
      </c>
      <c r="F1643" t="inlineStr">
        <is>
          <t>Pereira, Gavin; Christian, Hayley; Foster, Sarah; Boruff, Bryan J.; Bull, Fiona; Knuiman, Matthew; Giles-Corti, Billie</t>
        </is>
      </c>
      <c r="J1643" t="inlineStr">
        <is>
          <t>ENVIRONMENTAL HEALTH</t>
        </is>
      </c>
      <c r="M1643" t="inlineStr">
        <is>
          <t>English</t>
        </is>
      </c>
      <c r="N1643" t="inlineStr">
        <is>
          <t>Article</t>
        </is>
      </c>
      <c r="T1643" t="inlineStr">
        <is>
          <t>The association between neighborhood greenness and weight status: an observational study in Perth Western Australia</t>
        </is>
      </c>
      <c r="U1643" t="inlineStr">
        <is>
          <t>BMI; Obesity; Adiposity; NDVI; Vegetation; Built environment</t>
        </is>
      </c>
      <c r="V1643" t="inlineStr">
        <is>
          <t>BODY-MASS INDEX; PHYSICAL-ACTIVITY; BUILT ENVIRONMENT; OBESITY; WALKING; HEALTH; SIZE; GENDER; ADULTS; ATTRACTIVENESS</t>
        </is>
      </c>
      <c r="W1643" t="inlineStr">
        <is>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 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 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 Conclusion: Higher levels and greater variation of neighborhood greenness are associated with lower odds of obesity among adults of all ages. Research examining neighborhood characteristics correlated with variability in greenness will help better understand these relationships.</t>
        </is>
      </c>
      <c r="X1643" t="inlineStr">
        <is>
          <t>[Pereira, Gavin; Christian, Hayley; Foster, Sarah; Bull, Fiona; Knuiman, Matthew] Univ Western Australia, Sch Populat Hlth, Ctr Built Environm &amp; Hlth, Nedlands, WA 6009, Australia; [Pereira, Gavin] Yale Univ, Sch Med, Dept Epidemiol &amp; Publ Hlth, Yale Ctr Perinatal Pediat &amp; Environm Epidemiol, New Haven, CT 06510 USA; [Boruff, Bryan J.] Univ Western Australia, Sch Earth &amp; Environm, Crawley, WA 6009, Australia; [Giles-Corti, Billie] Univ Melbourne, Melbourne Sch Populat Hlth, McCaughey VicHlth Ctr Promot Mental Hlth &amp; Commun, Melbourne, Vic, Australia</t>
        </is>
      </c>
      <c r="Y1643" t="inlineStr">
        <is>
          <t>University of Western Australia; Yale University; University of Western Australia; University of Melbourne</t>
        </is>
      </c>
      <c r="Z1643" t="inlineStr">
        <is>
          <t>Pereira, G (corresponding author), Univ Western Australia, Sch Populat Hlth, Ctr Built Environm &amp; Hlth, M707,35 Stirling Highway, Nedlands, WA 6009, Australia.</t>
        </is>
      </c>
      <c r="AA1643" t="inlineStr">
        <is>
          <t>gavin.pereira@yale.edu</t>
        </is>
      </c>
      <c r="AB1643" t="inlineStr">
        <is>
          <t>Giles-Corti, Billie/Y-3203-2019; Foster, Sarah A/H-9213-2014; Christian, Hayley/AAU-6163-2020; Bull, Fiona C/G-4148-2012; Pereira, Gavin/D-7136-2014; Knuiman, Matthew W/I-5549-2013</t>
        </is>
      </c>
      <c r="AC1643" t="inlineStr">
        <is>
          <t>Foster, Sarah A/0000-0002-8624-4908; Christian, Hayley/0000-0001-8486-5746; Pereira, Gavin/0000-0003-3740-8117; Giles-Corti, Billie/0000-0003-0102-0225; Boruff, Bryan/0000-0001-6693-0671; Knuiman, Matthew/0000-0001-8874-2305</t>
        </is>
      </c>
      <c r="AD1643" t="inlineStr">
        <is>
          <t>Western Australian Health Promotion Foundation (Healthway) Postdoctoral Fellowship [21363]; National Health and Medical Research Council (NHMRC)/National Heart Foundation Early Career Fellowship [1036350]; NHMRC Principal Research Fellowship; [18922]; Healthway [18922] Funding Source: researchfish</t>
        </is>
      </c>
      <c r="AE1643" t="inlineStr">
        <is>
          <t>Western Australian Health Promotion Foundation (Healthway) Postdoctoral Fellowship; National Health and Medical Research Council (NHMRC)/National Heart Foundation Early Career Fellowship(National Health and Medical Research Council (NHMRC) of Australia); NHMRC Principal Research Fellowship(National Health and Medical Research Council (NHMRC) of Australia); ; Healthway</t>
        </is>
      </c>
      <c r="AF1643" t="inlineStr">
        <is>
          <t>The authors acknowledge Sharyn Hickey, Bridget Beesley and Nicholas Middleton for the calculation of GIS measures and Dr Sarah Joyce and the Data Linkage Unit from the Department of Health Western Australia for provision of the health data. Dr Sarah Foster is supported by a Western Australian Health Promotion Foundation (Healthway) Postdoctoral Fellowship (#21363). Dr Hayley Christian is supported by a National Health and Medical Research Council (NHMRC)/National Heart Foundation Early Career Fellowship (#1036350). Prof Billie Giles-Corti is supported by a NHMRC Principal Research Fellowship (#1004900). Healthway provided funding for this project under grant #18922.</t>
        </is>
      </c>
      <c r="AH1643" t="n">
        <v>47</v>
      </c>
      <c r="AI1643" t="n">
        <v>85</v>
      </c>
      <c r="AJ1643" t="n">
        <v>87</v>
      </c>
      <c r="AK1643" t="n">
        <v>1</v>
      </c>
      <c r="AL1643" t="n">
        <v>47</v>
      </c>
      <c r="AM1643" t="inlineStr">
        <is>
          <t>BMC</t>
        </is>
      </c>
      <c r="AN1643" t="inlineStr">
        <is>
          <t>LONDON</t>
        </is>
      </c>
      <c r="AO1643" t="inlineStr">
        <is>
          <t>CAMPUS, 4 CRINAN ST, LONDON N1 9XW, ENGLAND</t>
        </is>
      </c>
      <c r="AQ1643" t="inlineStr">
        <is>
          <t>1476-069X</t>
        </is>
      </c>
      <c r="AS1643" t="inlineStr">
        <is>
          <t>ENVIRON HEALTH-GLOB</t>
        </is>
      </c>
      <c r="AT1643" t="inlineStr">
        <is>
          <t>Environ. Health</t>
        </is>
      </c>
      <c r="AU1643" t="inlineStr">
        <is>
          <t>JUN 19</t>
        </is>
      </c>
      <c r="AV1643" t="n">
        <v>2013</v>
      </c>
      <c r="AW1643" t="n">
        <v>12</v>
      </c>
      <c r="BE1643" t="n">
        <v>49</v>
      </c>
      <c r="BF1643" t="inlineStr">
        <is>
          <t>10.1186/1476-069X-12-49</t>
        </is>
      </c>
      <c r="BG1643">
        <f>HYPERLINK("http://dx.doi.org/10.1186/1476-069X-12-49","http://dx.doi.org/10.1186/1476-069X-12-49")</f>
        <v/>
      </c>
      <c r="BJ1643" t="n">
        <v>9</v>
      </c>
      <c r="BK1643" t="inlineStr">
        <is>
          <t>Environmental Sciences; Public, Environmental &amp; Occupational Health</t>
        </is>
      </c>
      <c r="BL1643" t="inlineStr">
        <is>
          <t>Science Citation Index Expanded (SCI-EXPANDED); Social Science Citation Index (SSCI)</t>
        </is>
      </c>
      <c r="BM1643" t="inlineStr">
        <is>
          <t>Environmental Sciences &amp; Ecology; Public, Environmental &amp; Occupational Health</t>
        </is>
      </c>
      <c r="BN1643" t="inlineStr">
        <is>
          <t>182IC</t>
        </is>
      </c>
      <c r="BO1643" t="n">
        <v>23783002</v>
      </c>
      <c r="BP1643" t="inlineStr">
        <is>
          <t>Green Published, gold</t>
        </is>
      </c>
      <c r="BS1643" t="inlineStr">
        <is>
          <t>2023-10-26</t>
        </is>
      </c>
      <c r="BT1643" t="inlineStr">
        <is>
          <t>WOS:000321733900001</t>
        </is>
      </c>
      <c r="BU1643">
        <f>HYPERLINK("https%3A%2F%2Fwww.webofscience.com%2Fwos%2Fwoscc%2Ffull-record%2FWOS:000321733900001","View Full Record in Web of Science")</f>
        <v/>
      </c>
    </row>
    <row r="1644">
      <c r="A1644" t="inlineStr">
        <is>
          <t>J</t>
        </is>
      </c>
      <c r="B1644" t="inlineStr">
        <is>
          <t>Assari, S; Wisseh, C; Bazargan, M</t>
        </is>
      </c>
      <c r="F1644" t="inlineStr">
        <is>
          <t>Assari, Shervin; Wisseh, Cheryl; Bazargan, Mohsen</t>
        </is>
      </c>
      <c r="J1644" t="inlineStr">
        <is>
          <t>INTERNATIONAL JOURNAL OF ENVIRONMENTAL RESEARCH AND PUBLIC HEALTH</t>
        </is>
      </c>
      <c r="M1644" t="inlineStr">
        <is>
          <t>English</t>
        </is>
      </c>
      <c r="N1644" t="inlineStr">
        <is>
          <t>Article</t>
        </is>
      </c>
      <c r="T1644" t="inlineStr">
        <is>
          <t>Obesity and Polypharmacy among African American Older Adults: Gender as the Moderator and Multimorbidity as the Mediator</t>
        </is>
      </c>
      <c r="U1644" t="inlineStr">
        <is>
          <t>African American; Black; elderly; older adults; medication use; polypharmacy; body mass index; obesity</t>
        </is>
      </c>
      <c r="V1644" t="inlineStr">
        <is>
          <t>GERIATRIC DEPRESSION SCALE; INAPPROPRIATE DRUG-USE; MEDICATION REGIMEN COMPLEXITY; NON-HISPANIC BLACKS; SELF-RATED HEALTH; SHORT-FORM; CLINICAL CONSEQUENCES; PRESCRIPTION DRUGS; CARE; MORTALITY</t>
        </is>
      </c>
      <c r="W1644" t="inlineStr">
        <is>
          <t>Despite high prevalence of obesity and polypharmacy among African American (AA) older adults, little information exists on the associations between the two in this population. This study explored the association between obesity and polypharmacy among AA older adults who were residing in poor urban areas of South Los Angeles. We also investigated role of gender as the moderator and multimorbidity as the mediator of this association. In a community-based study in South Los Angeles, 308 AA older adults (age &gt;= 55 years) were entered into this study. From this number, 112 (36.4%) were AA men and 196 (63.6%) were AA women. Polypharmacy (taking 5+ medications) was the dependent variable, obesity was the independent variable, gender was the moderator, and multimorbidity (number of chronic medical conditions) was the mediator. Age, educational attainment, financial difficulty (difficulty paying bills, etc.), income, marital status, self-rated health (SRH), and depression were the covariates. Logistic regressions were used for data analyses. In the absence of multimorbidity in the model, obesity was associated with higher odds of polypharmacy in the pooled sample. This association was not significant when we controlled for multimorbidity, suggesting that multimorbidity mediates the obesity-polypharmacy link. We found significant association between obesity and polypharmacy in AA women not AA men, suggesting that gender moderates such association. AA older women with obesity are at a higher risk of polypharmacy, an association which is mainly due to multimorbidity. There is a need for screening for inappropriate polypharmacy in AA older women with obesity and associated multimorbidity.</t>
        </is>
      </c>
      <c r="X1644" t="inlineStr">
        <is>
          <t>[Assari, Shervin; Bazargan, Mohsen] Charles R Drew Univ Med &amp; Sci, Dept Family Med, Los Angeles, CA 90095 USA; [Wisseh, Cheryl] West Coast Univ, Dept Pharm Practice, Sch Pharm, Los Angeles, CA 91606 USA; [Bazargan, Mohsen] Univ Calif Los Angeles, Dept Family Med, Los Angeles, CA 90095 USA</t>
        </is>
      </c>
      <c r="Y1644" t="inlineStr">
        <is>
          <t>Charles R. Drew University of Medicine &amp; Science; University of California System; University of California Los Angeles</t>
        </is>
      </c>
      <c r="Z1644" t="inlineStr">
        <is>
          <t>Assari, S (corresponding author), Charles R Drew Univ Med &amp; Sci, Dept Family Med, Los Angeles, CA 90095 USA.</t>
        </is>
      </c>
      <c r="AA1644" t="inlineStr">
        <is>
          <t>assari@umich.edu; cWisseh@westcoastuniversity.edu; mobazarg@cdrewu.edu</t>
        </is>
      </c>
      <c r="AB1644" t="inlineStr">
        <is>
          <t>Assari, Shervin/B-3062-2011</t>
        </is>
      </c>
      <c r="AC1644" t="inlineStr">
        <is>
          <t>Assari, Shervin/0000-0002-5054-6250</t>
        </is>
      </c>
      <c r="AD1644" t="inlineStr">
        <is>
          <t>Center for Medicare and Medicaid Services (CMS) [1H0CMS331621]; NIH [54MD008149, R25 MD007610, 2U54MD007598, U54 TR001627]; CMS grant [1H0CMS331621]; National Institute on Minority Health and Health Disparities (NIMHD) [U54 MD007598]; National Cancer Institute (NCI) [CA201415-02]</t>
        </is>
      </c>
      <c r="AE1644" t="inlineStr">
        <is>
          <t>Center for Medicare and Medicaid Services (CMS); NIH(United States Department of Health &amp; Human ServicesNational Institutes of Health (NIH) - USA); CMS grant; National Institute on Minority Health and Health Disparities (NIMHD)(United States Department of Health &amp; Human ServicesNational Institutes of Health (NIH) - USANIH National Institute on Minority Health &amp; Health Disparities (NIMHD)); National Cancer Institute (NCI)(United States Department of Health &amp; Human ServicesNational Institutes of Health (NIH) - USANIH National Cancer Institute (NCI))</t>
        </is>
      </c>
      <c r="AF1644" t="inlineStr">
        <is>
          <t>This study was supported by the Center for Medicare and Medicaid Services (CMS) Grant 1H0CMS331621 to Charles R. Drew University of Medicine and Science (PI: M. Bazargan). Additionally, Dr. Bazargan is supported by the NIH under Award #54MD008149 and #R25 MD007610 (PI: M. Bazargan), 2U54MD007598 (PI: J. Vadgama), and U54 TR001627 (PIs: S. Dubinett and R. Jenders). Shervin Assari is partly supported by the CMS grant 1H0CMS331621 (PI: M. Bazargan), National Institute on Minority Health and Health Disparities (NIMHD) grant U54 MD007598 (PI = M. Bazargan), and the National Cancer Institute (NCI) grant CA201415-02 (Co-PI = R. Mistry).</t>
        </is>
      </c>
      <c r="AH1644" t="n">
        <v>99</v>
      </c>
      <c r="AI1644" t="n">
        <v>15</v>
      </c>
      <c r="AJ1644" t="n">
        <v>15</v>
      </c>
      <c r="AK1644" t="n">
        <v>0</v>
      </c>
      <c r="AL1644" t="n">
        <v>7</v>
      </c>
      <c r="AM1644" t="inlineStr">
        <is>
          <t>MDPI</t>
        </is>
      </c>
      <c r="AN1644" t="inlineStr">
        <is>
          <t>BASEL</t>
        </is>
      </c>
      <c r="AO1644" t="inlineStr">
        <is>
          <t>ST ALBAN-ANLAGE 66, CH-4052 BASEL, SWITZERLAND</t>
        </is>
      </c>
      <c r="AQ1644" t="inlineStr">
        <is>
          <t>1660-4601</t>
        </is>
      </c>
      <c r="AS1644" t="inlineStr">
        <is>
          <t>INT J ENV RES PUB HE</t>
        </is>
      </c>
      <c r="AT1644" t="inlineStr">
        <is>
          <t>Int. J. Environ. Res. Public Health</t>
        </is>
      </c>
      <c r="AU1644" t="inlineStr">
        <is>
          <t>JUN 2</t>
        </is>
      </c>
      <c r="AV1644" t="n">
        <v>2019</v>
      </c>
      <c r="AW1644" t="n">
        <v>16</v>
      </c>
      <c r="AX1644" t="n">
        <v>12</v>
      </c>
      <c r="BE1644" t="n">
        <v>2181</v>
      </c>
      <c r="BF1644" t="inlineStr">
        <is>
          <t>10.3390/ijerph16122181</t>
        </is>
      </c>
      <c r="BG1644">
        <f>HYPERLINK("http://dx.doi.org/10.3390/ijerph16122181","http://dx.doi.org/10.3390/ijerph16122181")</f>
        <v/>
      </c>
      <c r="BJ1644" t="n">
        <v>16</v>
      </c>
      <c r="BK1644" t="inlineStr">
        <is>
          <t>Environmental Sciences; Public, Environmental &amp; Occupational Health</t>
        </is>
      </c>
      <c r="BL1644" t="inlineStr">
        <is>
          <t>Science Citation Index Expanded (SCI-EXPANDED); Social Science Citation Index (SSCI)</t>
        </is>
      </c>
      <c r="BM1644" t="inlineStr">
        <is>
          <t>Environmental Sciences &amp; Ecology; Public, Environmental &amp; Occupational Health</t>
        </is>
      </c>
      <c r="BN1644" t="inlineStr">
        <is>
          <t>IG4CA</t>
        </is>
      </c>
      <c r="BO1644" t="n">
        <v>31226752</v>
      </c>
      <c r="BP1644" t="inlineStr">
        <is>
          <t>Green Published, gold</t>
        </is>
      </c>
      <c r="BS1644" t="inlineStr">
        <is>
          <t>2023-10-26</t>
        </is>
      </c>
      <c r="BT1644" t="inlineStr">
        <is>
          <t>WOS:000473750500115</t>
        </is>
      </c>
      <c r="BU1644">
        <f>HYPERLINK("https%3A%2F%2Fwww.webofscience.com%2Fwos%2Fwoscc%2Ffull-record%2FWOS:000473750500115","View Full Record in Web of Science")</f>
        <v/>
      </c>
    </row>
    <row r="1645">
      <c r="A1645" t="inlineStr">
        <is>
          <t>J</t>
        </is>
      </c>
      <c r="B1645" t="inlineStr">
        <is>
          <t>Nanthamongkolchai, S; Tojeen, A; Munsawaengsub, C; Yodmai, K; Suksatan, W</t>
        </is>
      </c>
      <c r="F1645" t="inlineStr">
        <is>
          <t>Nanthamongkolchai, Sutham; Tojeen, Athicha; Munsawaengsub, Chokchai; Yodmai, Korravarn; Suksatan, Wanich</t>
        </is>
      </c>
      <c r="J1645" t="inlineStr">
        <is>
          <t>SUSTAINABILITY</t>
        </is>
      </c>
      <c r="M1645" t="inlineStr">
        <is>
          <t>English</t>
        </is>
      </c>
      <c r="N1645" t="inlineStr">
        <is>
          <t>Article</t>
        </is>
      </c>
      <c r="T1645" t="inlineStr">
        <is>
          <t>Quality of Life of Older Adults with Physical and Mobility Disabilities during the COVID-19 Pandemic: A Cross-Sectional Study in Thailand</t>
        </is>
      </c>
      <c r="U1645" t="inlineStr">
        <is>
          <t>quality of life; older adults; physical mobility; physical disability; COVID-19</t>
        </is>
      </c>
      <c r="W1645" t="inlineStr">
        <is>
          <t>Suffering during events such as the COVID-19 pandemic threatens the quality of life (QoL) of older adults with physical and mobility disabilities. This study aims to determine the QoL of older Thai adults with such disabilities during the COVID-19 pandemic and its predictor. A cross-sectional study was conducted among 360 older adults with physical and mobility disabilities. Data were collected by structured interview questionnaires. Data analyses comprised Pearson's correlation coefficient and multiple regression analysis. The mean age of the participants was 73.52 years; a total of 58.6% of them were female and 97.8% had completed only primary education. More than half of them had a moderate QoL (63.3%). Self-esteem, age, and perception of the benefits of disability were found to be associated with the participants' QoL (p &lt; 0.05) and capable of predicting it with 54.7% accuracy. As self-esteem and the perception of the benefits of disability were found to be indicators of the QoL of older adults with physical and mobility disabilities, the healthcare providers of such older adults should organize activities that could enhance their self-esteem and the perception of the benefits of disability to improve their QoL, particularly during the COVID-19 pandemic.</t>
        </is>
      </c>
      <c r="X1645" t="inlineStr">
        <is>
          <t>[Nanthamongkolchai, Sutham; Tojeen, Athicha; Munsawaengsub, Chokchai; Yodmai, Korravarn] Mahidol Univ, Fac Publ Hlth, Dept Family Hlth, Bangkok 10400, Thailand; [Suksatan, Wanich] Chulabhorn Royal Acad, HRH Princess Chulabhorn Coll Med Sci, Fac Nursing, Bangkok 10210, Thailand</t>
        </is>
      </c>
      <c r="Y1645" t="inlineStr">
        <is>
          <t>Mahidol University; Chulabhorn Royal Academy; HRH Princess Chulabhorn College of Medical Science</t>
        </is>
      </c>
      <c r="Z1645" t="inlineStr">
        <is>
          <t>Suksatan, W (corresponding author), Chulabhorn Royal Acad, HRH Princess Chulabhorn Coll Med Sci, Fac Nursing, Bangkok 10210, Thailand.</t>
        </is>
      </c>
      <c r="AA1645" t="inlineStr">
        <is>
          <t>sutham.nan@mahidol.ac.th; baitoey.athicha@gmail.com; chokdr@hotmail.com; korravarn.yod@mahidol.edu; wanich.suk@cra.ac.th</t>
        </is>
      </c>
      <c r="AB1645" t="inlineStr">
        <is>
          <t>Suksatan, Wanich/AAJ-1920-2021</t>
        </is>
      </c>
      <c r="AC1645" t="inlineStr">
        <is>
          <t>Suksatan, Wanich/0000-0003-1797-1260</t>
        </is>
      </c>
      <c r="AH1645" t="n">
        <v>44</v>
      </c>
      <c r="AI1645" t="n">
        <v>4</v>
      </c>
      <c r="AJ1645" t="n">
        <v>4</v>
      </c>
      <c r="AK1645" t="n">
        <v>0</v>
      </c>
      <c r="AL1645" t="n">
        <v>1</v>
      </c>
      <c r="AM1645" t="inlineStr">
        <is>
          <t>MDPI</t>
        </is>
      </c>
      <c r="AN1645" t="inlineStr">
        <is>
          <t>BASEL</t>
        </is>
      </c>
      <c r="AO1645" t="inlineStr">
        <is>
          <t>ST ALBAN-ANLAGE 66, CH-4052 BASEL, SWITZERLAND</t>
        </is>
      </c>
      <c r="AQ1645" t="inlineStr">
        <is>
          <t>2071-1050</t>
        </is>
      </c>
      <c r="AS1645" t="inlineStr">
        <is>
          <t>SUSTAINABILITY-BASEL</t>
        </is>
      </c>
      <c r="AT1645" t="inlineStr">
        <is>
          <t>Sustainability</t>
        </is>
      </c>
      <c r="AU1645" t="inlineStr">
        <is>
          <t>JUL</t>
        </is>
      </c>
      <c r="AV1645" t="n">
        <v>2022</v>
      </c>
      <c r="AW1645" t="n">
        <v>14</v>
      </c>
      <c r="AX1645" t="n">
        <v>14</v>
      </c>
      <c r="BE1645" t="n">
        <v>8525</v>
      </c>
      <c r="BF1645" t="inlineStr">
        <is>
          <t>10.3390/su14148525</t>
        </is>
      </c>
      <c r="BG1645">
        <f>HYPERLINK("http://dx.doi.org/10.3390/su14148525","http://dx.doi.org/10.3390/su14148525")</f>
        <v/>
      </c>
      <c r="BJ1645" t="n">
        <v>9</v>
      </c>
      <c r="BK1645" t="inlineStr">
        <is>
          <t>Green &amp; Sustainable Science &amp; Technology; Environmental Sciences; Environmental Studies</t>
        </is>
      </c>
      <c r="BL1645" t="inlineStr">
        <is>
          <t>Science Citation Index Expanded (SCI-EXPANDED); Social Science Citation Index (SSCI)</t>
        </is>
      </c>
      <c r="BM1645" t="inlineStr">
        <is>
          <t>Science &amp; Technology - Other Topics; Environmental Sciences &amp; Ecology</t>
        </is>
      </c>
      <c r="BN1645" t="inlineStr">
        <is>
          <t>3H5TL</t>
        </is>
      </c>
      <c r="BP1645" t="inlineStr">
        <is>
          <t>gold</t>
        </is>
      </c>
      <c r="BS1645" t="inlineStr">
        <is>
          <t>2023-10-26</t>
        </is>
      </c>
      <c r="BT1645" t="inlineStr">
        <is>
          <t>WOS:000832098600001</t>
        </is>
      </c>
      <c r="BU1645">
        <f>HYPERLINK("https%3A%2F%2Fwww.webofscience.com%2Fwos%2Fwoscc%2Ffull-record%2FWOS:000832098600001","View Full Record in Web of Science")</f>
        <v/>
      </c>
    </row>
    <row r="1646">
      <c r="A1646" t="inlineStr">
        <is>
          <t>J</t>
        </is>
      </c>
      <c r="B1646" t="inlineStr">
        <is>
          <t>Mahbub, MH; Hase, R; Yamaguchi, N; Hiroshige, K; Harada, N; Bhuiyan, ANMNH; Tanabe, T</t>
        </is>
      </c>
      <c r="F1646" t="inlineStr">
        <is>
          <t>Mahbub, M. H.; Hase, Ryosuke; Yamaguchi, Natsu; Hiroshige, Keiichi; Harada, Noriaki; Bhuiyan, A. N. M. Nurul Haque; Tanabe, Tsuyoshi</t>
        </is>
      </c>
      <c r="J1646" t="inlineStr">
        <is>
          <t>INTERNATIONAL JOURNAL OF ENVIRONMENTAL RESEARCH AND PUBLIC HEALTH</t>
        </is>
      </c>
      <c r="M1646" t="inlineStr">
        <is>
          <t>English</t>
        </is>
      </c>
      <c r="N1646" t="inlineStr">
        <is>
          <t>Article</t>
        </is>
      </c>
      <c r="T1646" t="inlineStr">
        <is>
          <t>Acute Effects of Whole-Body Vibration on Peripheral Blood Flow, Vibrotactile Perception and Balance in Older Adults</t>
        </is>
      </c>
      <c r="U1646" t="inlineStr">
        <is>
          <t>whole-body vibration; skin blood flow; vibrotactile perception; balance; older adults</t>
        </is>
      </c>
      <c r="V1646" t="inlineStr">
        <is>
          <t>EUROPEAN-UNION; SINGLE-BLIND; FALLS; HEALTH; RISK; SENSITIVITY; PERFORMANCE; POPULATION; SENSATION; EXPOSURE</t>
        </is>
      </c>
      <c r="W1646" t="inlineStr">
        <is>
          <t>Background: Non-invasive application of whole-body vibration (WBV) has the potential for inducing improvements in impaired peripheral circulation, cutaneous sensation and balance among older adults. However, relevant studies have frequently applied high magnitudes of vibration and show conflicting and inconclusive results. Therefore, we attempted to ascertain the acute responses in those parameters from exposure of thirty older subjects to WBV of three different magnitudes, defined according to ISO 2631-1 (1997). Methods: Each subject randomly underwent four sessions of intervention (three bouts of 1 min exposure with 1 min between-bout rests): WBV at 15, 20, or 25 Hz with a peak-to-peak displacement of 4 mm, or control condition. Results: Both during and after intervention, dorsal foot skin blood flow increased significantly under 20 and 25 Hz exposure conditions with greater responses under the latter condition, the magnitude of which slightly exceeded the recommended value. Plantar vibrotactile perception showed significant increases after WBV exposure with overall greater responses under higher frequencies of vibration. In contrast, no WBV-induced change in balance was observed. Conclusions: WBV at 20 Hz with a magnitude within the recommended limit can be effective in inducing enhancements in peripheral blood flow; however, the same magnitude of vibration seems insufficient in improving balance among older adults.</t>
        </is>
      </c>
      <c r="X1646" t="inlineStr">
        <is>
          <t>[Mahbub, M. H.; Hase, Ryosuke; Yamaguchi, Natsu; Tanabe, Tsuyoshi] Yamaguchi Univ, Grad Sch Med, Deaprtment Publ Hlth &amp; Prevent Med, Ube, Yamaguchi 7558505, Japan; [Hiroshige, Keiichi] Kyushu Nutr Welf Univ, Dept Phys Therapy, Kitakyushu, Fukuoka 8000298, Japan; [Harada, Noriaki] Junshin Gakuen Univ, Grad Sch Hlth Sci, Dept Nursing, Fukuoka 8158510, Japan; [Bhuiyan, A. N. M. Nurul Haque] Shaheed Sayed Nazrul Islam Med Coll, Dept Neonatol, Kishoreganj 2300, Bangladesh</t>
        </is>
      </c>
      <c r="Y1646" t="inlineStr">
        <is>
          <t>Yamaguchi University</t>
        </is>
      </c>
      <c r="Z1646" t="inlineStr">
        <is>
          <t>Mahbub, MH (corresponding author), Yamaguchi Univ, Grad Sch Med, Deaprtment Publ Hlth &amp; Prevent Med, Ube, Yamaguchi 7558505, Japan.</t>
        </is>
      </c>
      <c r="AA1646" t="inlineStr">
        <is>
          <t>hossain@yamaguchi-u.ac.jp; ryosuke-hase@umin.ac.jp; natsu@yamaguchi-u.ac.jp; hiroshige@knwu.ac.jp; harada@yamaguchi-u.ac.jp; nislammc@ac.dghs.gov.bd; tanabe@yamaguchi-u.ac.jp</t>
        </is>
      </c>
      <c r="AC1646" t="inlineStr">
        <is>
          <t>Mahbub, MH/0000-0002-1599-6256</t>
        </is>
      </c>
      <c r="AD1646" t="inlineStr">
        <is>
          <t>Japan Society for Promotion of Science (JSPS) [16K09132]; Grants-in-Aid for Scientific Research [16K09132] Funding Source: KAKEN</t>
        </is>
      </c>
      <c r="AE1646" t="inlineStr">
        <is>
          <t>Japan Society for Promotion of Science (JSPS)(Ministry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is>
      </c>
      <c r="AF1646" t="inlineStr">
        <is>
          <t>This research was supported by a Grant-in-Aid for Scientific Research (no.16K09132) from the Japan Society for Promotion of Science (JSPS).</t>
        </is>
      </c>
      <c r="AH1646" t="n">
        <v>57</v>
      </c>
      <c r="AI1646" t="n">
        <v>6</v>
      </c>
      <c r="AJ1646" t="n">
        <v>7</v>
      </c>
      <c r="AK1646" t="n">
        <v>0</v>
      </c>
      <c r="AL1646" t="n">
        <v>5</v>
      </c>
      <c r="AM1646" t="inlineStr">
        <is>
          <t>MDPI</t>
        </is>
      </c>
      <c r="AN1646" t="inlineStr">
        <is>
          <t>BASEL</t>
        </is>
      </c>
      <c r="AO1646" t="inlineStr">
        <is>
          <t>ST ALBAN-ANLAGE 66, CH-4052 BASEL, SWITZERLAND</t>
        </is>
      </c>
      <c r="AQ1646" t="inlineStr">
        <is>
          <t>1660-4601</t>
        </is>
      </c>
      <c r="AS1646" t="inlineStr">
        <is>
          <t>INT J ENV RES PUB HE</t>
        </is>
      </c>
      <c r="AT1646" t="inlineStr">
        <is>
          <t>Int. J. Environ. Res. Public Health</t>
        </is>
      </c>
      <c r="AU1646" t="inlineStr">
        <is>
          <t>FEB 1</t>
        </is>
      </c>
      <c r="AV1646" t="n">
        <v>2020</v>
      </c>
      <c r="AW1646" t="n">
        <v>17</v>
      </c>
      <c r="AX1646" t="n">
        <v>3</v>
      </c>
      <c r="BE1646" t="n">
        <v>1069</v>
      </c>
      <c r="BF1646" t="inlineStr">
        <is>
          <t>10.3390/ijerph17031069</t>
        </is>
      </c>
      <c r="BG1646">
        <f>HYPERLINK("http://dx.doi.org/10.3390/ijerph17031069","http://dx.doi.org/10.3390/ijerph17031069")</f>
        <v/>
      </c>
      <c r="BJ1646" t="n">
        <v>15</v>
      </c>
      <c r="BK1646" t="inlineStr">
        <is>
          <t>Environmental Sciences; Public, Environmental &amp; Occupational Health</t>
        </is>
      </c>
      <c r="BL1646" t="inlineStr">
        <is>
          <t>Science Citation Index Expanded (SCI-EXPANDED); Social Science Citation Index (SSCI)</t>
        </is>
      </c>
      <c r="BM1646" t="inlineStr">
        <is>
          <t>Environmental Sciences &amp; Ecology; Public, Environmental &amp; Occupational Health</t>
        </is>
      </c>
      <c r="BN1646" t="inlineStr">
        <is>
          <t>KR7GF</t>
        </is>
      </c>
      <c r="BO1646" t="n">
        <v>32046205</v>
      </c>
      <c r="BP1646" t="inlineStr">
        <is>
          <t>Green Published, gold</t>
        </is>
      </c>
      <c r="BS1646" t="inlineStr">
        <is>
          <t>2023-10-26</t>
        </is>
      </c>
      <c r="BT1646" t="inlineStr">
        <is>
          <t>WOS:000517783300394</t>
        </is>
      </c>
      <c r="BU1646">
        <f>HYPERLINK("https%3A%2F%2Fwww.webofscience.com%2Fwos%2Fwoscc%2Ffull-record%2FWOS:000517783300394","View Full Record in Web of Science")</f>
        <v/>
      </c>
    </row>
    <row r="1647">
      <c r="A1647" t="inlineStr">
        <is>
          <t>J</t>
        </is>
      </c>
      <c r="B1647" t="inlineStr">
        <is>
          <t>Kim, S; Jeon, H; Park, J</t>
        </is>
      </c>
      <c r="F1647" t="inlineStr">
        <is>
          <t>Kim, Sangmi; Jeon, Haesang; Park, Joonhyeog</t>
        </is>
      </c>
      <c r="J1647" t="inlineStr">
        <is>
          <t>INTERNATIONAL JOURNAL OF ENVIRONMENTAL RESEARCH AND PUBLIC HEALTH</t>
        </is>
      </c>
      <c r="M1647" t="inlineStr">
        <is>
          <t>English</t>
        </is>
      </c>
      <c r="N1647" t="inlineStr">
        <is>
          <t>Article</t>
        </is>
      </c>
      <c r="T1647" t="inlineStr">
        <is>
          <t>The Association of Physical and Mental Illness and Self-Harm Resulting in Hospitalization: A Population-Based Study of Older Adults in South Korea</t>
        </is>
      </c>
      <c r="U1647" t="inlineStr">
        <is>
          <t>self-harm; older adult; Korean; physical disease; mental disorder</t>
        </is>
      </c>
      <c r="V1647" t="inlineStr">
        <is>
          <t>SUICIDAL-BEHAVIOR; UNITED-STATES; FUNCTIONAL DISABILITY; SOCIAL-FACTORS; ECONOMIC COST; PEOPLE; RISK; ATTEMPTERS; DISORDERS; AGE</t>
        </is>
      </c>
      <c r="W1647" t="inlineStr">
        <is>
          <t>Self-harm injury among older adults is a pressing problem that demands social attention in South Korea. This study sought to identify the association between physical and mental illness and hospitalization following self-harm injuries, compared to non-self-harm injuries, among older adults living in Korea. We analyzed individuals aged 65 and older who were admitted to hospitals either for self-harm or non-self-harm from a population-based survey of the Korea National Hospital Discharge In-depth Injury Survey (KNHDIS). A logistic regression analysis was performed. Compared with non-self-harm-related hospitalization, self-harm hospitalization was associated with higher odds of depression, other disorders of the nervous system, malignancies, alcohol misuse and dependence, and drug-related dependence. Dementia, anxiety disorder, diabetes, arthritis, cerebral palsy, and other paralytic syndromes had a lower likelihood of leading to self-harm than non-self-harm hospitalization. The findings of this study can inform medical professionals to identify older adults with a heightened risk of self-harming behavior leading to hospitalization.</t>
        </is>
      </c>
      <c r="X1647" t="inlineStr">
        <is>
          <t>[Kim, Sangmi] Jeonju Univ, Dept Hlth Management, Jeonju Si 55069, South Korea; [Jeon, Haesang] Jeonju Univ, Dept Social Welf, Jeonju Si 55069, South Korea; [Park, Joonhyeog] Seoul Natl Univ, Dept Social Welf, Seoul 08826, South Korea</t>
        </is>
      </c>
      <c r="Y1647" t="inlineStr">
        <is>
          <t>Jeonju University; Jeonju University; Seoul National University (SNU)</t>
        </is>
      </c>
      <c r="Z1647" t="inlineStr">
        <is>
          <t>Jeon, H (corresponding author), Jeonju Univ, Dept Social Welf, Jeonju Si 55069, South Korea.</t>
        </is>
      </c>
      <c r="AA1647" t="inlineStr">
        <is>
          <t>seasea12@jj.ac.kr; jeonh20@jj.ac.kr; pjoon94@snu.ac.kr</t>
        </is>
      </c>
      <c r="AC1647" t="inlineStr">
        <is>
          <t>KIM, SANGMI/0000-0002-6657-3624</t>
        </is>
      </c>
      <c r="AH1647" t="n">
        <v>55</v>
      </c>
      <c r="AI1647" t="n">
        <v>0</v>
      </c>
      <c r="AJ1647" t="n">
        <v>0</v>
      </c>
      <c r="AK1647" t="n">
        <v>0</v>
      </c>
      <c r="AL1647" t="n">
        <v>0</v>
      </c>
      <c r="AM1647" t="inlineStr">
        <is>
          <t>MDPI</t>
        </is>
      </c>
      <c r="AN1647" t="inlineStr">
        <is>
          <t>BASEL</t>
        </is>
      </c>
      <c r="AO1647" t="inlineStr">
        <is>
          <t>ST ALBAN-ANLAGE 66, CH-4052 BASEL, SWITZERLAND</t>
        </is>
      </c>
      <c r="AQ1647" t="inlineStr">
        <is>
          <t>1660-4601</t>
        </is>
      </c>
      <c r="AS1647" t="inlineStr">
        <is>
          <t>INT J ENV RES PUB HE</t>
        </is>
      </c>
      <c r="AT1647" t="inlineStr">
        <is>
          <t>Int. J. Environ. Res. Public Health</t>
        </is>
      </c>
      <c r="AU1647" t="inlineStr">
        <is>
          <t>JUL</t>
        </is>
      </c>
      <c r="AV1647" t="n">
        <v>2022</v>
      </c>
      <c r="AW1647" t="n">
        <v>19</v>
      </c>
      <c r="AX1647" t="n">
        <v>14</v>
      </c>
      <c r="BE1647" t="n">
        <v>8303</v>
      </c>
      <c r="BF1647" t="inlineStr">
        <is>
          <t>10.3390/ijerph19148303</t>
        </is>
      </c>
      <c r="BG1647">
        <f>HYPERLINK("http://dx.doi.org/10.3390/ijerph19148303","http://dx.doi.org/10.3390/ijerph19148303")</f>
        <v/>
      </c>
      <c r="BJ1647" t="n">
        <v>10</v>
      </c>
      <c r="BK1647" t="inlineStr">
        <is>
          <t>Environmental Sciences; Public, Environmental &amp; Occupational Health</t>
        </is>
      </c>
      <c r="BL1647" t="inlineStr">
        <is>
          <t>Science Citation Index Expanded (SCI-EXPANDED); Social Science Citation Index (SSCI)</t>
        </is>
      </c>
      <c r="BM1647" t="inlineStr">
        <is>
          <t>Environmental Sciences &amp; Ecology; Public, Environmental &amp; Occupational Health</t>
        </is>
      </c>
      <c r="BN1647" t="inlineStr">
        <is>
          <t>3H8RI</t>
        </is>
      </c>
      <c r="BO1647" t="n">
        <v>35886166</v>
      </c>
      <c r="BP1647" t="inlineStr">
        <is>
          <t>Green Published, gold</t>
        </is>
      </c>
      <c r="BS1647" t="inlineStr">
        <is>
          <t>2023-10-26</t>
        </is>
      </c>
      <c r="BT1647" t="inlineStr">
        <is>
          <t>WOS:000832297400001</t>
        </is>
      </c>
      <c r="BU1647">
        <f>HYPERLINK("https%3A%2F%2Fwww.webofscience.com%2Fwos%2Fwoscc%2Ffull-record%2FWOS:000832297400001","View Full Record in Web of Science")</f>
        <v/>
      </c>
    </row>
    <row r="1648">
      <c r="A1648" t="inlineStr">
        <is>
          <t>J</t>
        </is>
      </c>
      <c r="B1648" t="inlineStr">
        <is>
          <t>Lovec, V; Premrov, M; Leskovar, VZ</t>
        </is>
      </c>
      <c r="F1648" t="inlineStr">
        <is>
          <t>Lovec, Vesna; Premrov, Miroslav; Leskovar, Vesna Zegarac</t>
        </is>
      </c>
      <c r="J1648" t="inlineStr">
        <is>
          <t>SUSTAINABILITY</t>
        </is>
      </c>
      <c r="M1648" t="inlineStr">
        <is>
          <t>English</t>
        </is>
      </c>
      <c r="N1648" t="inlineStr">
        <is>
          <t>Article</t>
        </is>
      </c>
      <c r="T1648" t="inlineStr">
        <is>
          <t>Is There Any Relation between the Architectural Characteristics of Kindergartens and the Spread of the New Coronavirus in Them?-A Case Study of Slovenia</t>
        </is>
      </c>
      <c r="U1648" t="inlineStr">
        <is>
          <t>COVID-19; kindergartens; building; architecture</t>
        </is>
      </c>
      <c r="W1648" t="inlineStr">
        <is>
          <t>The COVID-19 era is bringing changes to different parts of everyday life, redefining what people used to consider normal. As the world deals with this highly contagious disease, the issue of the built environment, buildings, their architecture and possible relations among their characteristics and the spread of the virus remains unclear. Preschool and school education is an essential part of society. However, with the spread of COVID-19, kindergartens and schools keep on partly or fully closing and reopening, trying to provide a safe and healthy environment for children. Instructions and recommendations from different experts and organisations worldwide were announced in terms of how to adjust the functioning of kindergartens in conditions of the uncontrolled spread of COVID-19. The measures include organisational and hygiene measures. Organisational measures are closely related to the architectural design of a building. At this point, the main question of this research was raised: is there any relation between the architectural characteristics of kindergartens and the spread of the new coronavirus in them? The research examined the architectural characteristics of kindergartens in Slovenia with reported COVID-19 cases among staff or children.</t>
        </is>
      </c>
      <c r="X1648" t="inlineStr">
        <is>
          <t>[Lovec, Vesna; Premrov, Miroslav; Leskovar, Vesna Zegarac] Univ Maribor, Fac Civil Engn Transportat Engn &amp; Architecture, Smetanova Ulica 17, Maribor 2000, Slovenia</t>
        </is>
      </c>
      <c r="Y1648" t="inlineStr">
        <is>
          <t>University of Maribor</t>
        </is>
      </c>
      <c r="Z1648" t="inlineStr">
        <is>
          <t>Leskovar, VZ (corresponding author), Univ Maribor, Fac Civil Engn Transportat Engn &amp; Architecture, Smetanova Ulica 17, Maribor 2000, Slovenia.</t>
        </is>
      </c>
      <c r="AA1648" t="inlineStr">
        <is>
          <t>vesna.lovec@um.si; miroslav.premrov@um.si; vesna.zegarac@um.si</t>
        </is>
      </c>
      <c r="AB1648" t="inlineStr">
        <is>
          <t>Žegarac Leskovar, Vesna/ACD-9466-2022</t>
        </is>
      </c>
      <c r="AC1648" t="inlineStr">
        <is>
          <t>Žegarac Leskovar, Vesna/0000-0002-0774-0920; Lovec, Vesna/0000-0002-1255-0486</t>
        </is>
      </c>
      <c r="AD1648" t="inlineStr">
        <is>
          <t>Republic of Slovenia, the Ministry of Education, Science and Sport [OP20.04345]</t>
        </is>
      </c>
      <c r="AE1648" t="inlineStr">
        <is>
          <t>Republic of Slovenia, the Ministry of Education, Science and Sport</t>
        </is>
      </c>
      <c r="AF1648" t="inlineStr">
        <is>
          <t>This research was funded by [Republic of Slovenia, the Ministry of Education, Science and Sport] grant number [OP20.04345] and the APC was funded by [OP20.04345].</t>
        </is>
      </c>
      <c r="AH1648" t="n">
        <v>31</v>
      </c>
      <c r="AI1648" t="n">
        <v>3</v>
      </c>
      <c r="AJ1648" t="n">
        <v>3</v>
      </c>
      <c r="AK1648" t="n">
        <v>0</v>
      </c>
      <c r="AL1648" t="n">
        <v>8</v>
      </c>
      <c r="AM1648" t="inlineStr">
        <is>
          <t>MDPI</t>
        </is>
      </c>
      <c r="AN1648" t="inlineStr">
        <is>
          <t>BASEL</t>
        </is>
      </c>
      <c r="AO1648" t="inlineStr">
        <is>
          <t>ST ALBAN-ANLAGE 66, CH-4052 BASEL, SWITZERLAND</t>
        </is>
      </c>
      <c r="AQ1648" t="inlineStr">
        <is>
          <t>2071-1050</t>
        </is>
      </c>
      <c r="AS1648" t="inlineStr">
        <is>
          <t>SUSTAINABILITY-BASEL</t>
        </is>
      </c>
      <c r="AT1648" t="inlineStr">
        <is>
          <t>Sustainability</t>
        </is>
      </c>
      <c r="AU1648" t="inlineStr">
        <is>
          <t>DEC</t>
        </is>
      </c>
      <c r="AV1648" t="n">
        <v>2020</v>
      </c>
      <c r="AW1648" t="n">
        <v>12</v>
      </c>
      <c r="AX1648" t="n">
        <v>24</v>
      </c>
      <c r="BE1648" t="n">
        <v>10363</v>
      </c>
      <c r="BF1648" t="inlineStr">
        <is>
          <t>10.3390/su122410363</t>
        </is>
      </c>
      <c r="BG1648">
        <f>HYPERLINK("http://dx.doi.org/10.3390/su122410363","http://dx.doi.org/10.3390/su122410363")</f>
        <v/>
      </c>
      <c r="BJ1648" t="n">
        <v>19</v>
      </c>
      <c r="BK1648" t="inlineStr">
        <is>
          <t>Green &amp; Sustainable Science &amp; Technology; Environmental Sciences; Environmental Studies</t>
        </is>
      </c>
      <c r="BL1648" t="inlineStr">
        <is>
          <t>Science Citation Index Expanded (SCI-EXPANDED); Social Science Citation Index (SSCI)</t>
        </is>
      </c>
      <c r="BM1648" t="inlineStr">
        <is>
          <t>Science &amp; Technology - Other Topics; Environmental Sciences &amp; Ecology</t>
        </is>
      </c>
      <c r="BN1648" t="inlineStr">
        <is>
          <t>PL7PN</t>
        </is>
      </c>
      <c r="BP1648" t="inlineStr">
        <is>
          <t>Green Published, gold</t>
        </is>
      </c>
      <c r="BS1648" t="inlineStr">
        <is>
          <t>2023-10-26</t>
        </is>
      </c>
      <c r="BT1648" t="inlineStr">
        <is>
          <t>WOS:000603309000001</t>
        </is>
      </c>
      <c r="BU1648">
        <f>HYPERLINK("https%3A%2F%2Fwww.webofscience.com%2Fwos%2Fwoscc%2Ffull-record%2FWOS:000603309000001","View Full Record in Web of Science")</f>
        <v/>
      </c>
    </row>
    <row r="1649">
      <c r="A1649" t="inlineStr">
        <is>
          <t>J</t>
        </is>
      </c>
      <c r="B1649" t="inlineStr">
        <is>
          <t>Deng, Y; Zhao, H; Liu, Y; Liu, H; Shi, JG; Zhao, CK; He, M</t>
        </is>
      </c>
      <c r="F1649" t="inlineStr">
        <is>
          <t>Deng, Yan; Zhao, Hang; Liu, Ying; Liu, Huo; Shi, Jingang; Zhao, Chenkai; He, Miao</t>
        </is>
      </c>
      <c r="J1649" t="inlineStr">
        <is>
          <t>SCIENCE OF THE TOTAL ENVIRONMENT</t>
        </is>
      </c>
      <c r="M1649" t="inlineStr">
        <is>
          <t>English</t>
        </is>
      </c>
      <c r="N1649" t="inlineStr">
        <is>
          <t>Article</t>
        </is>
      </c>
      <c r="T1649" t="inlineStr">
        <is>
          <t>Association of using biomass fuel for cooking with depression and anxiety symptoms in older Chinese adults</t>
        </is>
      </c>
      <c r="U1649" t="inlineStr">
        <is>
          <t>Cook; Biomass fuel; Depression symptoms; Anxiety symptoms; Older adults</t>
        </is>
      </c>
      <c r="V1649" t="inlineStr">
        <is>
          <t>BODY-MASS INDEX; AIR-POLLUTION; PARTICULATE MATTER; OXIDATIVE STRESS; SHORT-FORM; RISK-FACTORS; AMBIENT AIR; LATER-LIFE; CES-D; DISORDERS</t>
        </is>
      </c>
      <c r="W1649" t="inlineStr">
        <is>
          <t>Backgrounds: Household air pollution exposure is a crucial public concern and have the potential to seriously affect human health. Using biomass fuels for cooking is the main contributor to household air pollution. However, current evidence linked between cooking with biomass fuels and mental health remains limited. Objectives: To explore whether cooking with biomass fuels is associated with depression and anxiety symptoms among older adults in China. Methods: We obtained data from Chinese Longitudinal Healthy Longevity Survey (CLHLS). Depressive and anxiety symptoms were assessed using the 10-item Center for Epidemiologic Studies Depression Scale (CES-D-10) and the 7 -item Generalized Anxiety Disorder Scale (GAD-7), respectively. Primary cooking fuel type was self-reported. We used logistic regression and linear regression to evaluate the effects of cooking with biomass fuels on depression and anxiety. Results: A total of 13,361 participants aged 65 years and older (mean age, 84.2 +/- 11.5 years) were included in the pre-sented study. A positive association was found between cooking with biomass fuels and both depression symptoms (adjusted odds ratio 1.23, 95% CI 1.03 to 1.47) and anxiety symptoms (adjusted odds ratio 1.31, 95% CI 1.02 to 1.68). Biomass fuel users had a higher depression scores (0.33, 95% CI 0.03 to 0.61) anda higher anxiety scores (0.20, 95% CI 0.02 to 0.38) compared to clean fuel users. We found no significant interactions between participant characteristics and biomass fuel use on either depression or anxiety symptoms. Conclusions: Cooking with biomass fuels was associated with depression and anxiety symptoms in order adults. Further large prospective cohort studies are warranted to confirm this association.</t>
        </is>
      </c>
      <c r="X1649" t="inlineStr">
        <is>
          <t>[Deng, Yan; Zhao, Hang; Liu, Huo; Shi, Jingang; Zhao, Chenkai; He, Miao] China Med Univ, Sch Publ Hlth, Dept Environm Hlth, Key Lab Environm Hlth Damage Res &amp; Assessment, Shenyang 110122, Liaoning, Peoples R China; [Liu, Ying] Capital Med Univ, Beijing Anding Hosp, Natl Clin Res Ctr Mental Disorders, Beijing, Peoples R China; [Liu, Ying] Capital Med Univ, Beijing Anding Hosp, Beijing Key Lab Mental Disorders, Beijing, Peoples R China</t>
        </is>
      </c>
      <c r="Y1649" t="inlineStr">
        <is>
          <t>China Medical University; Capital Medical University; Capital Medical University</t>
        </is>
      </c>
      <c r="Z1649" t="inlineStr">
        <is>
          <t>He, M (corresponding author), China Med Univ, Sch Publ Hlth, Dept Environm Hlth, Key Lab Environm Hlth Damage Res &amp; Assessment, Shenyang 110122, Liaoning, Peoples R China.</t>
        </is>
      </c>
      <c r="AA1649" t="inlineStr">
        <is>
          <t>mhe@cmu.edu.cn</t>
        </is>
      </c>
      <c r="AB1649" t="inlineStr">
        <is>
          <t>deng, yan/JDW-8815-2023</t>
        </is>
      </c>
      <c r="AD1649" t="inlineStr">
        <is>
          <t>State Key Laboratory for Respiratory Diseases Fund Project [SKLRD-202105]</t>
        </is>
      </c>
      <c r="AE1649" t="inlineStr">
        <is>
          <t>State Key Laboratory for Respiratory Diseases Fund Project</t>
        </is>
      </c>
      <c r="AF1649" t="inlineStr">
        <is>
          <t>This study was supported by State Key Laboratory for Respiratory Diseases Fund Project (SKLRD-202105) .</t>
        </is>
      </c>
      <c r="AH1649" t="n">
        <v>66</v>
      </c>
      <c r="AI1649" t="n">
        <v>17</v>
      </c>
      <c r="AJ1649" t="n">
        <v>18</v>
      </c>
      <c r="AK1649" t="n">
        <v>11</v>
      </c>
      <c r="AL1649" t="n">
        <v>69</v>
      </c>
      <c r="AM1649" t="inlineStr">
        <is>
          <t>ELSEVIER</t>
        </is>
      </c>
      <c r="AN1649" t="inlineStr">
        <is>
          <t>AMSTERDAM</t>
        </is>
      </c>
      <c r="AO1649" t="inlineStr">
        <is>
          <t>RADARWEG 29, 1043 NX AMSTERDAM, NETHERLANDS</t>
        </is>
      </c>
      <c r="AP1649" t="inlineStr">
        <is>
          <t>0048-9697</t>
        </is>
      </c>
      <c r="AQ1649" t="inlineStr">
        <is>
          <t>1879-1026</t>
        </is>
      </c>
      <c r="AS1649" t="inlineStr">
        <is>
          <t>SCI TOTAL ENVIRON</t>
        </is>
      </c>
      <c r="AT1649" t="inlineStr">
        <is>
          <t>Sci. Total Environ.</t>
        </is>
      </c>
      <c r="AU1649" t="inlineStr">
        <is>
          <t>MAR 10</t>
        </is>
      </c>
      <c r="AV1649" t="n">
        <v>2022</v>
      </c>
      <c r="AW1649" t="n">
        <v>811</v>
      </c>
      <c r="BE1649" t="n">
        <v>152256</v>
      </c>
      <c r="BF1649" t="inlineStr">
        <is>
          <t>10.1016/j.scitotenv.2021.152256</t>
        </is>
      </c>
      <c r="BG1649">
        <f>HYPERLINK("http://dx.doi.org/10.1016/j.scitotenv.2021.152256","http://dx.doi.org/10.1016/j.scitotenv.2021.152256")</f>
        <v/>
      </c>
      <c r="BI1649" t="inlineStr">
        <is>
          <t>DEC 2021</t>
        </is>
      </c>
      <c r="BJ1649" t="n">
        <v>7</v>
      </c>
      <c r="BK1649" t="inlineStr">
        <is>
          <t>Environmental Sciences</t>
        </is>
      </c>
      <c r="BL1649" t="inlineStr">
        <is>
          <t>Science Citation Index Expanded (SCI-EXPANDED); Social Science Citation Index (SSCI)</t>
        </is>
      </c>
      <c r="BM1649" t="inlineStr">
        <is>
          <t>Environmental Sciences &amp; Ecology</t>
        </is>
      </c>
      <c r="BN1649" t="inlineStr">
        <is>
          <t>YD2RB</t>
        </is>
      </c>
      <c r="BO1649" t="n">
        <v>34896507</v>
      </c>
      <c r="BS1649" t="inlineStr">
        <is>
          <t>2023-10-26</t>
        </is>
      </c>
      <c r="BT1649" t="inlineStr">
        <is>
          <t>WOS:000740222800006</t>
        </is>
      </c>
      <c r="BU1649">
        <f>HYPERLINK("https%3A%2F%2Fwww.webofscience.com%2Fwos%2Fwoscc%2Ffull-record%2FWOS:000740222800006","View Full Record in Web of Science")</f>
        <v/>
      </c>
    </row>
    <row r="1650">
      <c r="A1650" t="inlineStr">
        <is>
          <t>J</t>
        </is>
      </c>
      <c r="B1650" t="inlineStr">
        <is>
          <t>Cushley, LN; Galway, N; Curran, K; Peto, T</t>
        </is>
      </c>
      <c r="F1650" t="inlineStr">
        <is>
          <t>Cushley, Laura N.; Galway, Neil; Curran, Katie; Peto, Tunde</t>
        </is>
      </c>
      <c r="J1650" t="inlineStr">
        <is>
          <t>INTERNATIONAL JOURNAL OF ENVIRONMENTAL RESEARCH AND PUBLIC HEALTH</t>
        </is>
      </c>
      <c r="M1650" t="inlineStr">
        <is>
          <t>English</t>
        </is>
      </c>
      <c r="N1650" t="inlineStr">
        <is>
          <t>Article</t>
        </is>
      </c>
      <c r="T1650" t="inlineStr">
        <is>
          <t>Navigating the Unseen City: Town Planners, Architects, Ophthalmic Professionals, and Charity Opinions on Navigating of the Built Environment with a Visual Impairment</t>
        </is>
      </c>
      <c r="U1650" t="inlineStr">
        <is>
          <t>visual impairment; sight loss; navigation; towns and cities; built environment; streetscape</t>
        </is>
      </c>
      <c r="V1650" t="inlineStr">
        <is>
          <t>SHARED SPACE; MOBILITY; URBAN; ACCESSIBILITY; ASSOCIATION; PEOPLE; IMPACT</t>
        </is>
      </c>
      <c r="W1650" t="inlineStr">
        <is>
          <t>People with a visual impairment often find navigating around towns and cities difficult. Streetscape features such as bollards, street cafes, and parked cars on pavements are some of the most common issues. in this paper semi-structured interviews were conducted with stakeholders including built environment professionals, visually impaired individuals, ophthalmic professionals, and sight loss charities. All stakeholders felt there were barriers and enablers to navigating streets with a visual impairment. Stakeholders agreed these can have an impact on the daily lives of those with a visual impairment. While built environment professionals knew of policies and guidance around accessibility for people with a visual impairment, there was a lack of professional knowledge about the spectrum of visual impairment. Despite this, stakeholders felt these small changes could have a positive impact, making accessible cities for all. A collaborative approach to streetscape design and further education could help create better environments for all.</t>
        </is>
      </c>
      <c r="X1650" t="inlineStr">
        <is>
          <t>[Cushley, Laura N.; Curran, Katie; Peto, Tunde] Queens Univ Belfast, Ctr Publ Hlth, Grosvenor Rd, Belfast BT12 6BA, Antrim, North Ireland; [Galway, Neil] Queens Univ Belfast, Sch Nat &amp; Built Environm, Stranmillis Rd, Belfast BT9 5AG, Antrim, North Ireland</t>
        </is>
      </c>
      <c r="Y1650" t="inlineStr">
        <is>
          <t>Queens University Belfast; Queens University Belfast</t>
        </is>
      </c>
      <c r="Z1650" t="inlineStr">
        <is>
          <t>Cushley, LN (corresponding author), Queens Univ Belfast, Ctr Publ Hlth, Grosvenor Rd, Belfast BT12 6BA, Antrim, North Ireland.</t>
        </is>
      </c>
      <c r="AA1650" t="inlineStr">
        <is>
          <t>lcushley01@qub.ac.uk; n.galway@qub.ac.uk; k.curran@qub.ac.uk; t.peto@qub.ac.uk</t>
        </is>
      </c>
      <c r="AB1650" t="inlineStr">
        <is>
          <t>; Peto, Tunde/M-2081-2013</t>
        </is>
      </c>
      <c r="AC1650" t="inlineStr">
        <is>
          <t>Cushley, Laura/0000-0003-0697-8854; Peto, Tunde/0000-0001-6265-0381; Curran, Katie/0000-0002-7071-109X</t>
        </is>
      </c>
      <c r="AD1650" t="inlineStr">
        <is>
          <t>Queen's University Belfast; Optos Plc</t>
        </is>
      </c>
      <c r="AE1650" t="inlineStr">
        <is>
          <t>Queen's University Belfast; Optos Plc</t>
        </is>
      </c>
      <c r="AF1650" t="inlineStr">
        <is>
          <t>This project was funded as part of a PhD Scholarship in collaboration with Queen's University Belfast and Optos Plc.</t>
        </is>
      </c>
      <c r="AH1650" t="n">
        <v>40</v>
      </c>
      <c r="AI1650" t="n">
        <v>0</v>
      </c>
      <c r="AJ1650" t="n">
        <v>0</v>
      </c>
      <c r="AK1650" t="n">
        <v>2</v>
      </c>
      <c r="AL1650" t="n">
        <v>6</v>
      </c>
      <c r="AM1650" t="inlineStr">
        <is>
          <t>MDPI</t>
        </is>
      </c>
      <c r="AN1650" t="inlineStr">
        <is>
          <t>BASEL</t>
        </is>
      </c>
      <c r="AO1650" t="inlineStr">
        <is>
          <t>ST ALBAN-ANLAGE 66, CH-4052 BASEL, SWITZERLAND</t>
        </is>
      </c>
      <c r="AQ1650" t="inlineStr">
        <is>
          <t>1660-4601</t>
        </is>
      </c>
      <c r="AS1650" t="inlineStr">
        <is>
          <t>INT J ENV RES PUB HE</t>
        </is>
      </c>
      <c r="AT1650" t="inlineStr">
        <is>
          <t>Int. J. Environ. Res. Public Health</t>
        </is>
      </c>
      <c r="AU1650" t="inlineStr">
        <is>
          <t>JUN</t>
        </is>
      </c>
      <c r="AV1650" t="n">
        <v>2022</v>
      </c>
      <c r="AW1650" t="n">
        <v>19</v>
      </c>
      <c r="AX1650" t="n">
        <v>12</v>
      </c>
      <c r="BE1650" t="n">
        <v>7299</v>
      </c>
      <c r="BF1650" t="inlineStr">
        <is>
          <t>10.3390/ijerph19127299</t>
        </is>
      </c>
      <c r="BG1650">
        <f>HYPERLINK("http://dx.doi.org/10.3390/ijerph19127299","http://dx.doi.org/10.3390/ijerph19127299")</f>
        <v/>
      </c>
      <c r="BJ1650" t="n">
        <v>17</v>
      </c>
      <c r="BK1650" t="inlineStr">
        <is>
          <t>Environmental Sciences; Public, Environmental &amp; Occupational Health</t>
        </is>
      </c>
      <c r="BL1650" t="inlineStr">
        <is>
          <t>Science Citation Index Expanded (SCI-EXPANDED); Social Science Citation Index (SSCI)</t>
        </is>
      </c>
      <c r="BM1650" t="inlineStr">
        <is>
          <t>Environmental Sciences &amp; Ecology; Public, Environmental &amp; Occupational Health</t>
        </is>
      </c>
      <c r="BN1650" t="inlineStr">
        <is>
          <t>2K2CH</t>
        </is>
      </c>
      <c r="BO1650" t="n">
        <v>35742563</v>
      </c>
      <c r="BP1650" t="inlineStr">
        <is>
          <t>gold, Green Published</t>
        </is>
      </c>
      <c r="BS1650" t="inlineStr">
        <is>
          <t>2023-10-26</t>
        </is>
      </c>
      <c r="BT1650" t="inlineStr">
        <is>
          <t>WOS:000816149900001</t>
        </is>
      </c>
      <c r="BU1650">
        <f>HYPERLINK("https%3A%2F%2Fwww.webofscience.com%2Fwos%2Fwoscc%2Ffull-record%2FWOS:000816149900001","View Full Record in Web of Science")</f>
        <v/>
      </c>
    </row>
    <row r="1651">
      <c r="A1651" t="inlineStr">
        <is>
          <t>J</t>
        </is>
      </c>
      <c r="B1651" t="inlineStr">
        <is>
          <t>Shiratsuchi, D; Makizako, H; Nakai, Y; Taniguchi, Y; Akanuma, T; Yokoyama, K; Matsuzaki-Kihara, Y; Yoshida, H</t>
        </is>
      </c>
      <c r="F1651" t="inlineStr">
        <is>
          <t>Shiratsuchi, Daijo; Makizako, Hyuma; Nakai, Yuki; Taniguchi, Yoshiaki; Akanuma, Tomomi; Yokoyama, Kaori; Matsuzaki-Kihara, Yuriko; Yoshida, Hiroto</t>
        </is>
      </c>
      <c r="J1651" t="inlineStr">
        <is>
          <t>INTERNATIONAL JOURNAL OF ENVIRONMENTAL RESEARCH AND PUBLIC HEALTH</t>
        </is>
      </c>
      <c r="M1651" t="inlineStr">
        <is>
          <t>English</t>
        </is>
      </c>
      <c r="N1651" t="inlineStr">
        <is>
          <t>Article</t>
        </is>
      </c>
      <c r="T1651" t="inlineStr">
        <is>
          <t>Association of Health Literacy with the Implementation of Exercise during the Declaration of COVID-19 State of Emergency among Japanese Community-Dwelling Old-Old Adults</t>
        </is>
      </c>
      <c r="U1651" t="inlineStr">
        <is>
          <t>SARS-CoV-2; older person; health literacy; exercise</t>
        </is>
      </c>
      <c r="V1651" t="inlineStr">
        <is>
          <t>PHYSICAL-ACTIVITY; BODY-COMPOSITION; PUBLIC-HEALTH; EDUCATION; BEHAVIOR; DECLINE; WOMEN</t>
        </is>
      </c>
      <c r="W1651" t="inlineStr">
        <is>
          <t>Health literacy is important for promoting and maintaining good health in old-old adults. It may influence the implementation of exercise in the coronavirus disease epidemic. The present cross-sectional study investigated the association of each dimension of health literacy with the implementation of exercise during the declaration of a state of emergency due to coronavirus disease in community-dwelling old-old adults. We collected data from 483 community-dwelling old-old adults (52.8% women) aged between 77 and 99 years who participated in a mail survey. Participants were divided into exercise or nonexercise groups based on the implementation of exercise during the declaration of a state of emergency. Health literacy was assessed using a 14-item health literacy scale. There were 327 (67.7%) participants in the exercise group and 156 (32.3%) in the nonexercise group. A significantly higher score of health literacy was observed in the exercise group than in the nonexercise group (communicative health literacy score = 14.0 +/- 3.6 vs. 12.7 +/- 3.8, p = 0.001). In a multivariate logistic regression model adjusted for potential confounders, high communicative health literacy scores were significantly associated with the implementation of exercise during the declaration of a state of emergency (odds ratio = 1.88, 95% confidence interval = 1.20-2.93). Approximately two-thirds of community-dwelling old-old adults implement exercise during the declaration of a state of emergency. High communicative health literacy was associated with the implementation of exercise during this period.</t>
        </is>
      </c>
      <c r="X1651" t="inlineStr">
        <is>
          <t>[Shiratsuchi, Daijo; Taniguchi, Yoshiaki] Kagoshima Univ, Grad Sch Hlth Sci, Kagoshima 8908544, Japan; [Shiratsuchi, Daijo] Japan Community Hlth Care Org Kumamoto Gen Hosp, Dept Rehabil, Kumamoto 8668660, Japan; [Makizako, Hyuma; Nakai, Yuki] Kagoshima Univ, Sch Hlth Sci, Dept Phys Therapy, Fac Med, Kagoshima 8908544, Japan; [Taniguchi, Yoshiaki] Kagoshima Med Profess Coll, Dept Phys Therapy, Kagoshima 8910133, Japan; [Akanuma, Tomomi; Yokoyama, Kaori] Bibai City Dept Hlth &amp; Welf Aged Care Div, Bibai, Hokkaido 0720026, Japan; [Matsuzaki-Kihara, Yuriko] Japan Hlth Care Coll, Rehabil Dept, Hlth &amp; Med Fac, Sapporo, Hokkaido 0040839, Japan; [Yoshida, Hiroto] Tohoku Bunka Gakuen Univ, Grad Sch Hlth &amp; Environm Sci, Tohoku, Miyagi 9818551, Japan</t>
        </is>
      </c>
      <c r="Y1651" t="inlineStr">
        <is>
          <t>Kagoshima University; Kagoshima University</t>
        </is>
      </c>
      <c r="Z1651" t="inlineStr">
        <is>
          <t>Makizako, H (corresponding author), Kagoshima Univ, Sch Hlth Sci, Dept Phys Therapy, Fac Med, Kagoshima 8908544, Japan.</t>
        </is>
      </c>
      <c r="AA1651" t="inlineStr">
        <is>
          <t>squall.lion8062@gmail.com; makizako@health.nop.kagoshima-u.ac.jp; nakai@health.nop.kagoshima-u.ac.jp; p.taniguchi0601@gmail.com; t.akanuma@city.bibai.lg.jp; k.yokoyama@city.bibai.lg.jp; yuriko.mk@nihoniryo-c.ac.jp; hiroto-y@hss.tbgu.ac.jp</t>
        </is>
      </c>
      <c r="AB1651" t="inlineStr">
        <is>
          <t>Shiratsuchi, Daijo/HPB-7205-2023</t>
        </is>
      </c>
      <c r="AC1651" t="inlineStr">
        <is>
          <t>Shiratsuchi, Daijo/0000-0002-0220-7940; Nakai, Yuki/0000-0003-4748-7293</t>
        </is>
      </c>
      <c r="AH1651" t="n">
        <v>39</v>
      </c>
      <c r="AI1651" t="n">
        <v>6</v>
      </c>
      <c r="AJ1651" t="n">
        <v>6</v>
      </c>
      <c r="AK1651" t="n">
        <v>2</v>
      </c>
      <c r="AL1651" t="n">
        <v>13</v>
      </c>
      <c r="AM1651" t="inlineStr">
        <is>
          <t>MDPI</t>
        </is>
      </c>
      <c r="AN1651" t="inlineStr">
        <is>
          <t>BASEL</t>
        </is>
      </c>
      <c r="AO1651" t="inlineStr">
        <is>
          <t>ST ALBAN-ANLAGE 66, CH-4052 BASEL, SWITZERLAND</t>
        </is>
      </c>
      <c r="AQ1651" t="inlineStr">
        <is>
          <t>1660-4601</t>
        </is>
      </c>
      <c r="AS1651" t="inlineStr">
        <is>
          <t>INT J ENV RES PUB HE</t>
        </is>
      </c>
      <c r="AT1651" t="inlineStr">
        <is>
          <t>Int. J. Environ. Res. Public Health</t>
        </is>
      </c>
      <c r="AU1651" t="inlineStr">
        <is>
          <t>FEB</t>
        </is>
      </c>
      <c r="AV1651" t="n">
        <v>2021</v>
      </c>
      <c r="AW1651" t="n">
        <v>18</v>
      </c>
      <c r="AX1651" t="n">
        <v>4</v>
      </c>
      <c r="BE1651" t="n">
        <v>2100</v>
      </c>
      <c r="BF1651" t="inlineStr">
        <is>
          <t>10.3390/ijerph18042100</t>
        </is>
      </c>
      <c r="BG1651">
        <f>HYPERLINK("http://dx.doi.org/10.3390/ijerph18042100","http://dx.doi.org/10.3390/ijerph18042100")</f>
        <v/>
      </c>
      <c r="BJ1651" t="n">
        <v>9</v>
      </c>
      <c r="BK1651" t="inlineStr">
        <is>
          <t>Environmental Sciences; Public, Environmental &amp; Occupational Health</t>
        </is>
      </c>
      <c r="BL1651" t="inlineStr">
        <is>
          <t>Science Citation Index Expanded (SCI-EXPANDED); Social Science Citation Index (SSCI)</t>
        </is>
      </c>
      <c r="BM1651" t="inlineStr">
        <is>
          <t>Environmental Sciences &amp; Ecology; Public, Environmental &amp; Occupational Health</t>
        </is>
      </c>
      <c r="BN1651" t="inlineStr">
        <is>
          <t>QP0SX</t>
        </is>
      </c>
      <c r="BO1651" t="n">
        <v>33670041</v>
      </c>
      <c r="BP1651" t="inlineStr">
        <is>
          <t>Green Published, gold</t>
        </is>
      </c>
      <c r="BS1651" t="inlineStr">
        <is>
          <t>2023-10-26</t>
        </is>
      </c>
      <c r="BT1651" t="inlineStr">
        <is>
          <t>WOS:000623548800001</t>
        </is>
      </c>
      <c r="BU1651">
        <f>HYPERLINK("https%3A%2F%2Fwww.webofscience.com%2Fwos%2Fwoscc%2Ffull-record%2FWOS:000623548800001","View Full Record in Web of Science")</f>
        <v/>
      </c>
    </row>
    <row r="1652">
      <c r="A1652" t="inlineStr">
        <is>
          <t>J</t>
        </is>
      </c>
      <c r="B1652" t="inlineStr">
        <is>
          <t>Marques, G; Pitarma, R</t>
        </is>
      </c>
      <c r="F1652" t="inlineStr">
        <is>
          <t>Marques, Goncalo; Pitarma, Rui</t>
        </is>
      </c>
      <c r="J1652" t="inlineStr">
        <is>
          <t>INTERNATIONAL JOURNAL OF ENVIRONMENTAL RESEARCH AND PUBLIC HEALTH</t>
        </is>
      </c>
      <c r="M1652" t="inlineStr">
        <is>
          <t>English</t>
        </is>
      </c>
      <c r="N1652" t="inlineStr">
        <is>
          <t>Article</t>
        </is>
      </c>
      <c r="T1652" t="inlineStr">
        <is>
          <t>An Indoor Monitoring System for Ambient Assisted Living Based on Internet of Things Architecture</t>
        </is>
      </c>
      <c r="U1652" t="inlineStr">
        <is>
          <t>indoor air quality; indoor environment; air quality monitoring; wireless sensor network; ZigBee; gas sensors; smart cities; ambient assisted living; Internet of Things</t>
        </is>
      </c>
      <c r="V1652" t="inlineStr">
        <is>
          <t>SENSOR; HEALTH</t>
        </is>
      </c>
      <c r="W1652" t="inlineStr">
        <is>
          <t>The study of systems and architectures for ambient assisted living (AAL) is undoubtedly a topic of great relevance given the aging of the world population. The AAL technologies are designed to meet the needs of the aging population in order to maintain their independence as long as possible. As people typically spend more than 90% of their time in indoor environments, indoor air quality (iAQ) is perceived as an imperative variable to be controlled for the inhabitants' wellbeing and comfort. Advances in networking, sensors, and embedded devices have made it possible to monitor and provide assistance to people in their homes. The continuous technological advancements make it possible to build smart objects with great capabilities for sensing and connecting several possible advancements in ambient assisted living systems architectures. Indoor environments are characterized by several pollutant sources. Most of the monitoring frameworks instantly accessible are exceptionally costly and only permit the gathering of arbitrary examples. iAQ is an indoor air quality system based on an Internet of Things paradigm that incorporates in its construction Arduino, ESP8266, and XBee technologies for processing and data transmission and micro sensors for data acquisition. It also allows access to data collected through web access and through a mobile application in real time, and this data can be accessed by doctors in order to support medical diagnostics. Five smaller scale sensors of natural parameters (air temperature, moistness, carbon monoxide, carbon dioxide, and glow) were utilized. Different sensors can be included to check for particular contamination. The results reveal that the system can give a viable indoor air quality appraisal in order to anticipate technical interventions for improving indoor air quality. Indeed indoor air quality might be distinctively contrasted with what is normal for a quality living environment.</t>
        </is>
      </c>
      <c r="X1652" t="inlineStr">
        <is>
          <t>[Marques, Goncalo; Pitarma, Rui] Polytech Inst Guarda, Unit Inland Dev, Ave Doutor Francisco Sa Carneiro 50, P-6300559 Guarda, Portugal</t>
        </is>
      </c>
      <c r="Y1652" t="inlineStr">
        <is>
          <t>Instituto Politecnico da Guarda</t>
        </is>
      </c>
      <c r="Z1652" t="inlineStr">
        <is>
          <t>Marques, G (corresponding author), Polytech Inst Guarda, Unit Inland Dev, Ave Doutor Francisco Sa Carneiro 50, P-6300559 Guarda, Portugal.</t>
        </is>
      </c>
      <c r="AA1652" t="inlineStr">
        <is>
          <t>goncalosantosmarques@gmail.com; rpitarma@ipg.pt</t>
        </is>
      </c>
      <c r="AB1652" t="inlineStr">
        <is>
          <t>Marques, Goncalo/N-1805-2018</t>
        </is>
      </c>
      <c r="AC1652" t="inlineStr">
        <is>
          <t>Marques, Goncalo/0000-0001-5834-6571; Pitarma, Rui Antonio/0000-0001-9486-0631</t>
        </is>
      </c>
      <c r="AD1652" t="inlineStr">
        <is>
          <t>Research Unit for Inland Development at the Polytechnic Institute of Guarda</t>
        </is>
      </c>
      <c r="AE1652" t="inlineStr">
        <is>
          <t>Research Unit for Inland Development at the Polytechnic Institute of Guarda</t>
        </is>
      </c>
      <c r="AF1652" t="inlineStr">
        <is>
          <t>The financial support from the Research Unit for Inland Development at the Polytechnic Institute of Guarda is acknowledged.</t>
        </is>
      </c>
      <c r="AH1652" t="n">
        <v>40</v>
      </c>
      <c r="AI1652" t="n">
        <v>88</v>
      </c>
      <c r="AJ1652" t="n">
        <v>90</v>
      </c>
      <c r="AK1652" t="n">
        <v>1</v>
      </c>
      <c r="AL1652" t="n">
        <v>106</v>
      </c>
      <c r="AM1652" t="inlineStr">
        <is>
          <t>MDPI</t>
        </is>
      </c>
      <c r="AN1652" t="inlineStr">
        <is>
          <t>BASEL</t>
        </is>
      </c>
      <c r="AO1652" t="inlineStr">
        <is>
          <t>ST ALBAN-ANLAGE 66, CH-4052 BASEL, SWITZERLAND</t>
        </is>
      </c>
      <c r="AP1652" t="inlineStr">
        <is>
          <t>1660-4601</t>
        </is>
      </c>
      <c r="AS1652" t="inlineStr">
        <is>
          <t>INT J ENV RES PUB HE</t>
        </is>
      </c>
      <c r="AT1652" t="inlineStr">
        <is>
          <t>Int. J. Environ. Res. Public Health</t>
        </is>
      </c>
      <c r="AU1652" t="inlineStr">
        <is>
          <t>NOV</t>
        </is>
      </c>
      <c r="AV1652" t="n">
        <v>2016</v>
      </c>
      <c r="AW1652" t="n">
        <v>13</v>
      </c>
      <c r="AX1652" t="n">
        <v>11</v>
      </c>
      <c r="BE1652" t="n">
        <v>1152</v>
      </c>
      <c r="BF1652" t="inlineStr">
        <is>
          <t>10.3390/ijerph13111152</t>
        </is>
      </c>
      <c r="BG1652">
        <f>HYPERLINK("http://dx.doi.org/10.3390/ijerph13111152","http://dx.doi.org/10.3390/ijerph13111152")</f>
        <v/>
      </c>
      <c r="BJ1652" t="n">
        <v>14</v>
      </c>
      <c r="BK1652" t="inlineStr">
        <is>
          <t>Environmental Sciences; Public, Environmental &amp; Occupational Health</t>
        </is>
      </c>
      <c r="BL1652" t="inlineStr">
        <is>
          <t>Science Citation Index Expanded (SCI-EXPANDED)</t>
        </is>
      </c>
      <c r="BM1652" t="inlineStr">
        <is>
          <t>Environmental Sciences &amp; Ecology; Public, Environmental &amp; Occupational Health</t>
        </is>
      </c>
      <c r="BN1652" t="inlineStr">
        <is>
          <t>EE4KR</t>
        </is>
      </c>
      <c r="BO1652" t="n">
        <v>27869682</v>
      </c>
      <c r="BP1652" t="inlineStr">
        <is>
          <t>Green Published, gold, Green Submitted</t>
        </is>
      </c>
      <c r="BS1652" t="inlineStr">
        <is>
          <t>2023-10-26</t>
        </is>
      </c>
      <c r="BT1652" t="inlineStr">
        <is>
          <t>WOS:000389571300111</t>
        </is>
      </c>
      <c r="BU1652">
        <f>HYPERLINK("https%3A%2F%2Fwww.webofscience.com%2Fwos%2Fwoscc%2Ffull-record%2FWOS:000389571300111","View Full Record in Web of Science")</f>
        <v/>
      </c>
    </row>
    <row r="1653">
      <c r="A1653" t="inlineStr">
        <is>
          <t>J</t>
        </is>
      </c>
      <c r="B1653" t="inlineStr">
        <is>
          <t>Park, S; Seo, J</t>
        </is>
      </c>
      <c r="F1653" t="inlineStr">
        <is>
          <t>Park, Seonghyun; Seo, Janghoo</t>
        </is>
      </c>
      <c r="J1653" t="inlineStr">
        <is>
          <t>INTERNATIONAL JOURNAL OF ENVIRONMENTAL RESEARCH AND PUBLIC HEALTH</t>
        </is>
      </c>
      <c r="M1653" t="inlineStr">
        <is>
          <t>English</t>
        </is>
      </c>
      <c r="N1653" t="inlineStr">
        <is>
          <t>Article</t>
        </is>
      </c>
      <c r="T1653" t="inlineStr">
        <is>
          <t>Bake-Out Strategy Considering Energy Consumption for Improvement of Indoor Air Quality in Floor Heating Environments</t>
        </is>
      </c>
      <c r="U1653" t="inlineStr">
        <is>
          <t>bake-out; indoor air quality; computational fluid dynamics; toluene; floor heating system</t>
        </is>
      </c>
      <c r="V1653" t="inlineStr">
        <is>
          <t>VOLATILE ORGANIC-COMPOUNDS; VOC EMISSIONS; FORMALDEHYDE; IDENTIFICATION; REDUCTION; MODEL</t>
        </is>
      </c>
      <c r="W1653" t="inlineStr">
        <is>
          <t>Improved quality of life has led to a growing demand for better indoor air quality (IAQ). Buildings are becoming more airtight and insulated in order to minimize energy consumption. The importance of both energy conservation and IAQ improvement has been recognized and addressed by many studies. Bake-out is the process of using indoor heating to remove volatile compounds present in building materials and furnishings so that they can be vented out into the atmosphere. Indiscriminate use of heating to increase the surface temperature of materials during this process can result in significant loss of energy. Therefore, energy-efficient bake-out should be performed by considering both the floor temperature and the emission amount of pollutants. This study aims to investigate an effective and economical bake-out implementation strategy via experimentation and computational fluid dynamics analysis. The results showed weak direct correlation between the heating energy consumption and the amount of pollutants emitted. The study also highlights the passive option of installing sorptive building materials for improving IAQ economically.</t>
        </is>
      </c>
      <c r="X1653" t="inlineStr">
        <is>
          <t>[Park, Seonghyun] Kookmin Univ, Grad Sch, Dept Architecture, 77 Jeongneung Ro, Seoul 02707, South Korea; [Seo, Janghoo] Kookmin Univ, Sch Architure, 77 Jeongneung Ro, Seoul 02707, South Korea</t>
        </is>
      </c>
      <c r="Y1653" t="inlineStr">
        <is>
          <t>Kookmin University; Kookmin University</t>
        </is>
      </c>
      <c r="Z1653" t="inlineStr">
        <is>
          <t>Seo, J (corresponding author), Kookmin Univ, Sch Architure, 77 Jeongneung Ro, Seoul 02707, South Korea.</t>
        </is>
      </c>
      <c r="AA1653" t="inlineStr">
        <is>
          <t>marine86@kookmin.ac.kr; seojh@kookmin.ac.kr</t>
        </is>
      </c>
      <c r="AC1653" t="inlineStr">
        <is>
          <t>Park, Seonghyun/0000-0002-2257-5062</t>
        </is>
      </c>
      <c r="AD1653" t="inlineStr">
        <is>
          <t>National Research Foundation of Korea (NRF) - Korean government (MSIT) [2018R1A2B2007165]; National Research Foundation of Korea [2018R1A2B2007165] Funding Source: Korea Institute of Science &amp; Technology Information (KISTI), National Science &amp; Technology Information Service (NTIS)</t>
        </is>
      </c>
      <c r="AE1653" t="inlineStr">
        <is>
          <t>National Research Foundation of Korea (NRF) - Korean government (MSIT)(National Research Foundation of KoreaMinistry of Science &amp; ICT (MSIT), Republic of Korea); National Research Foundation of Korea(National Research Foundation of Korea)</t>
        </is>
      </c>
      <c r="AF1653" t="inlineStr">
        <is>
          <t>This work was supported by the National Research Foundation of Korea (NRF) grant funded by the Korean government (MSIT) (No. 2018R1A2B2007165).</t>
        </is>
      </c>
      <c r="AH1653" t="n">
        <v>29</v>
      </c>
      <c r="AI1653" t="n">
        <v>3</v>
      </c>
      <c r="AJ1653" t="n">
        <v>3</v>
      </c>
      <c r="AK1653" t="n">
        <v>0</v>
      </c>
      <c r="AL1653" t="n">
        <v>3</v>
      </c>
      <c r="AM1653" t="inlineStr">
        <is>
          <t>MDPI</t>
        </is>
      </c>
      <c r="AN1653" t="inlineStr">
        <is>
          <t>BASEL</t>
        </is>
      </c>
      <c r="AO1653" t="inlineStr">
        <is>
          <t>ST ALBAN-ANLAGE 66, CH-4052 BASEL, SWITZERLAND</t>
        </is>
      </c>
      <c r="AQ1653" t="inlineStr">
        <is>
          <t>1660-4601</t>
        </is>
      </c>
      <c r="AS1653" t="inlineStr">
        <is>
          <t>INT J ENV RES PUB HE</t>
        </is>
      </c>
      <c r="AT1653" t="inlineStr">
        <is>
          <t>Int. J. Environ. Res. Public Health</t>
        </is>
      </c>
      <c r="AU1653" t="inlineStr">
        <is>
          <t>DEC</t>
        </is>
      </c>
      <c r="AV1653" t="n">
        <v>2018</v>
      </c>
      <c r="AW1653" t="n">
        <v>15</v>
      </c>
      <c r="AX1653" t="n">
        <v>12</v>
      </c>
      <c r="BE1653" t="n">
        <v>2720</v>
      </c>
      <c r="BF1653" t="inlineStr">
        <is>
          <t>10.3390/ijerph15122720</t>
        </is>
      </c>
      <c r="BG1653">
        <f>HYPERLINK("http://dx.doi.org/10.3390/ijerph15122720","http://dx.doi.org/10.3390/ijerph15122720")</f>
        <v/>
      </c>
      <c r="BJ1653" t="n">
        <v>16</v>
      </c>
      <c r="BK1653" t="inlineStr">
        <is>
          <t>Environmental Sciences; Public, Environmental &amp; Occupational Health</t>
        </is>
      </c>
      <c r="BL1653" t="inlineStr">
        <is>
          <t>Science Citation Index Expanded (SCI-EXPANDED); Social Science Citation Index (SSCI)</t>
        </is>
      </c>
      <c r="BM1653" t="inlineStr">
        <is>
          <t>Environmental Sciences &amp; Ecology; Public, Environmental &amp; Occupational Health</t>
        </is>
      </c>
      <c r="BN1653" t="inlineStr">
        <is>
          <t>HI5XH</t>
        </is>
      </c>
      <c r="BO1653" t="n">
        <v>30513907</v>
      </c>
      <c r="BP1653" t="inlineStr">
        <is>
          <t>gold, Green Published, Green Submitted</t>
        </is>
      </c>
      <c r="BS1653" t="inlineStr">
        <is>
          <t>2023-10-26</t>
        </is>
      </c>
      <c r="BT1653" t="inlineStr">
        <is>
          <t>WOS:000456527000111</t>
        </is>
      </c>
      <c r="BU1653">
        <f>HYPERLINK("https%3A%2F%2Fwww.webofscience.com%2Fwos%2Fwoscc%2Ffull-record%2FWOS:000456527000111","View Full Record in Web of Science")</f>
        <v/>
      </c>
    </row>
    <row r="1654">
      <c r="A1654" t="inlineStr">
        <is>
          <t>J</t>
        </is>
      </c>
      <c r="B1654" t="inlineStr">
        <is>
          <t>Ho, SSH; Cheng, Y; Bai, Y; Ho, KF; Dai, WT; Cao, JJ; Lee, SC; Huang, Y; Ip, HSS; Deng, WJ; Guo, W</t>
        </is>
      </c>
      <c r="F1654" t="inlineStr">
        <is>
          <t>Ho, Steven Sai Hang; Cheng, Yan; Bai, Yi; Ho, Kin Fai; Dai, Wen Ting; Cao, Jun Ji; Lee, Shun Cheng; Huang, Yu; Ip, Ho Sai Simon; Deng, Wen Jing; Guo, Wei</t>
        </is>
      </c>
      <c r="J1654" t="inlineStr">
        <is>
          <t>AEROSOL AND AIR QUALITY RESEARCH</t>
        </is>
      </c>
      <c r="M1654" t="inlineStr">
        <is>
          <t>English</t>
        </is>
      </c>
      <c r="N1654" t="inlineStr">
        <is>
          <t>Article</t>
        </is>
      </c>
      <c r="T1654" t="inlineStr">
        <is>
          <t>Risk Assessment of Indoor Formaldehyde and Other Carbonyls in Campus Environments in Northwestern China</t>
        </is>
      </c>
      <c r="U1654" t="inlineStr">
        <is>
          <t>Carbonyls; Indoor pollution; Cancer risk; University campus</t>
        </is>
      </c>
      <c r="V1654" t="inlineStr">
        <is>
          <t>VOLATILE ORGANIC-COMPOUNDS; HAZARDOUS AIRBORNE CARBONYLS; ATMOSPHERIC CHEMISTRY; SOUTHERN CHINA; HONG-KONG; EMISSIONS; AIR; ALDEHYDES; HEALTH; WOOD</t>
        </is>
      </c>
      <c r="W1654" t="inlineStr">
        <is>
          <t>Risk assessment for indoor formaldehyde and other carbonyls was investigated at an university in Xi'an, Shaanxi, China. Eight representative locations, including six indoor workplaces and two residential units of staff apartments and a student dormitory, were chosen. The indoor pollution origins were identified according to the variability in molar composition and correlation analysis for the target species. Environmental tobacco smoke (ETS), cooking activities, and office technologies such as printers and copiers can produce different degrees of carbonyls in the workplace. A one-year demonstration study conducted in a apartment showed significance of the off-gases from lacquers and new wooden furniture. The concentrations of formaldehyde and acetaldehyde in the most sampling locations were above the recommended exposure limits, reflecting a potential health risk to workers and occupants. Chronic daily intake (CDI) and lifetime cancer hazard risk (R) were calculated to assess the carcinogenic risks of chronic exposure to the carbonyls. The R values for formaldehyde exceeded the alarm level of 1 x 10(-6) in all sampled workplaces, but lower R values were associated with acetaldehyde. The results indicate that exposure of formaldehyde is a critical occupational health and safety concern. In addition, high risks associated with formaldehyde were also measured in the staff apartment, suggesting that the refurbishing materials and wooden furniture can potentially cause health impacts to occupants. The findings are informative to be referred in establishment of indoor air quality guidelines in China.</t>
        </is>
      </c>
      <c r="X1654" t="inlineStr">
        <is>
          <t>[Ho, Steven Sai Hang; Dai, Wen Ting; Cao, Jun Ji; Huang, Yu] Chinese Acad Sci, Inst Earth Environm, Key Lab Aerosol Chem &amp; Phys, Xian 710075, Peoples R China; [Ho, Steven Sai Hang; Dai, Wen Ting; Cao, Jun Ji; Huang, Yu] Chinese Acad Sci, Inst Earth Environm, State Key Lab Loess &amp; Quaternary Geol, Xian 710075, Peoples R China; [Ho, Steven Sai Hang] Desert Res Inst, Div Atmospher Sci, Reno, NV 89512 USA; [Cheng, Yan; Bai, Yi; Guo, Wei] Xi An Jiao Tong Univ, Sch Human Settlements &amp; Civil Engn, Dept Environm Sci &amp; Technol, 28 Xianning West Rd, Xian 710049, Shaanxi, Peoples R China; [Ho, Kin Fai] Chinese Univ Hong Kong, Jockey Club Sch Publ Hlth &amp; Primary Care, Hong Kong, Hong Kong, Peoples R China; [Lee, Shun Cheng] Hong Kong Polytech Univ, Dept Civil &amp; Struct Engn, Res Ctr Environm Technol &amp; Management, Kowloon, Hong Kong, Peoples R China; [Ip, Ho Sai Simon] Hong Kong Premium Serv &amp; Res Lab, Kowloon, Hong Kong, Peoples R China; [Deng, Wen Jing] Hong Kong Inst Educ, Dept Sci &amp; Environm Studies, Tai Po, Hong Kong, Peoples R China; [Deng, Wen Jing] Hong Kong Inst Educ, Ctr Educ Environm Sustainabil, Tai Po, Hong Kong, Peoples R China</t>
        </is>
      </c>
      <c r="Y1654" t="inlineStr">
        <is>
          <t>Chinese Academy of Sciences; Institute of Earth Environment, CAS; Chinese Academy of Sciences; Institute of Earth Environment, CAS; Nevada System of Higher Education (NSHE); Desert Research Institute NSHE; Xi'an Jiaotong University; Chinese University of Hong Kong; Hong Kong Polytechnic University; Education University of Hong Kong (EdUHK); Education University of Hong Kong (EdUHK)</t>
        </is>
      </c>
      <c r="Z1654" t="inlineStr">
        <is>
          <t>Cheng, Y (corresponding author), Xi An Jiao Tong Univ, Sch Human Settlements &amp; Civil Engn, Dept Environm Sci &amp; Technol, 28 Xianning West Rd, Xian 710049, Shaanxi, Peoples R China.</t>
        </is>
      </c>
      <c r="AA1654" t="inlineStr">
        <is>
          <t>chengyan@mail.xjtu.edu.cn</t>
        </is>
      </c>
      <c r="AB1654" t="inlineStr">
        <is>
          <t>Lee, Shun-cheng/A-1393-2014; Junji, Cao/D-3259-2014; Deng, Wen-Jing/AAC-9529-2020; Ho, Steven Sai Hang/E-4464-2011; Ho, Kin Fai/E-6131-2011; 黄, 婷婷/AAG-3454-2021; 黄, 宇/G-3935-2010; Dai, Wenting/I-9710-2014; , W.J./S-4269-2019; Huang, Yu/Y-5411-2018</t>
        </is>
      </c>
      <c r="AC1654" t="inlineStr">
        <is>
          <t>Lee, Shun-cheng/0000-0001-5144-8372; Junji, Cao/0000-0003-1000-7241; Ho, Steven Sai Hang/0000-0002-4877-5994; Ho, Kin Fai/0000-0001-7464-3437; 黄, 宇/0000-0003-3334-4849; , W.J./0000-0001-5383-5595; Huang, Yu/0000-0003-3334-4849</t>
        </is>
      </c>
      <c r="AD1654" t="inlineStr">
        <is>
          <t>National Natural Science Foundation of China [NSFC-21107084]; Xi'an Jiaotong University [0814100]; State Key Laboratory of Loess &amp; Quaternary Geology [SKLLQG0804]; Hong Kong Polytechnic University [G-YX3L, G-YF23]; Research Grants Council of Hong Kong [RGC 5197/05E, PolyU 5175/09E, BQ01T]</t>
        </is>
      </c>
      <c r="AE1654" t="inlineStr">
        <is>
          <t>National Natural Science Foundation of China(National Natural Science Foundation of China (NSFC)); Xi'an Jiaotong University(Xi'an Jiaotong University); State Key Laboratory of Loess &amp; Quaternary Geology(Chinese Academy of Sciences); Hong Kong Polytechnic University(Hong Kong Polytechnic University); Research Grants Council of Hong Kong(Hong Kong Research Grants Council)</t>
        </is>
      </c>
      <c r="AF1654" t="inlineStr">
        <is>
          <t>This work was supported by the National Natural Science Foundation of China (NSFC-21107084), Xi'an Jiaotong University (No. 0814100), the State Key Laboratory of Loess &amp; Quaternary Geology (SKLLQG0804), the Hong Kong Polytechnic University (G-YX3L and G-YF23), and the Research Grants Council of Hong Kong (RGC 5197/05E, PolyU 5175/09E and BQ01T).</t>
        </is>
      </c>
      <c r="AH1654" t="n">
        <v>65</v>
      </c>
      <c r="AI1654" t="n">
        <v>26</v>
      </c>
      <c r="AJ1654" t="n">
        <v>30</v>
      </c>
      <c r="AK1654" t="n">
        <v>4</v>
      </c>
      <c r="AL1654" t="n">
        <v>65</v>
      </c>
      <c r="AM1654" t="inlineStr">
        <is>
          <t>TAIWAN ASSOC AEROSOL RES-TAAR</t>
        </is>
      </c>
      <c r="AN1654" t="inlineStr">
        <is>
          <t>TAICHUNG COUNTY</t>
        </is>
      </c>
      <c r="AO1654" t="inlineStr">
        <is>
          <t>CHAOYANG UNIV TECH, DEPT ENV ENG &amp; MGMT, PROD CTR AAQR, NO 168, JIFONG E RD, WUFONG TOWNSHIP, TAICHUNG COUNTY, 41349, TAIWAN</t>
        </is>
      </c>
      <c r="AP1654" t="inlineStr">
        <is>
          <t>1680-8584</t>
        </is>
      </c>
      <c r="AQ1654" t="inlineStr">
        <is>
          <t>2071-1409</t>
        </is>
      </c>
      <c r="AS1654" t="inlineStr">
        <is>
          <t>AEROSOL AIR QUAL RES</t>
        </is>
      </c>
      <c r="AT1654" t="inlineStr">
        <is>
          <t>Aerosol Air Qual. Res.</t>
        </is>
      </c>
      <c r="AU1654" t="inlineStr">
        <is>
          <t>AUG</t>
        </is>
      </c>
      <c r="AV1654" t="n">
        <v>2016</v>
      </c>
      <c r="AW1654" t="n">
        <v>16</v>
      </c>
      <c r="AX1654" t="n">
        <v>8</v>
      </c>
      <c r="BC1654" t="n">
        <v>1967</v>
      </c>
      <c r="BD1654" t="n">
        <v>1980</v>
      </c>
      <c r="BF1654" t="inlineStr">
        <is>
          <t>10.4209/aaqr.2015.05.0312</t>
        </is>
      </c>
      <c r="BG1654">
        <f>HYPERLINK("http://dx.doi.org/10.4209/aaqr.2015.05.0312","http://dx.doi.org/10.4209/aaqr.2015.05.0312")</f>
        <v/>
      </c>
      <c r="BJ1654" t="n">
        <v>14</v>
      </c>
      <c r="BK1654" t="inlineStr">
        <is>
          <t>Environmental Sciences</t>
        </is>
      </c>
      <c r="BL1654" t="inlineStr">
        <is>
          <t>Science Citation Index Expanded (SCI-EXPANDED)</t>
        </is>
      </c>
      <c r="BM1654" t="inlineStr">
        <is>
          <t>Environmental Sciences &amp; Ecology</t>
        </is>
      </c>
      <c r="BN1654" t="inlineStr">
        <is>
          <t>DU1QH</t>
        </is>
      </c>
      <c r="BP1654" t="inlineStr">
        <is>
          <t>gold, Green Submitted</t>
        </is>
      </c>
      <c r="BS1654" t="inlineStr">
        <is>
          <t>2023-10-26</t>
        </is>
      </c>
      <c r="BT1654" t="inlineStr">
        <is>
          <t>WOS:000381982900016</t>
        </is>
      </c>
      <c r="BU1654">
        <f>HYPERLINK("https%3A%2F%2Fwww.webofscience.com%2Fwos%2Fwoscc%2Ffull-record%2FWOS:000381982900016","View Full Record in Web of Science")</f>
        <v/>
      </c>
    </row>
    <row r="1655">
      <c r="A1655" t="inlineStr">
        <is>
          <t>J</t>
        </is>
      </c>
      <c r="B1655" t="inlineStr">
        <is>
          <t>Santoyo-Sánchez, G; Merino-Soto, C; Flores-Hernández, S; Pelcastre-Villafuerte, BE; Reyes-Morales, H</t>
        </is>
      </c>
      <c r="F1655" t="inlineStr">
        <is>
          <t>Santoyo-Sanchez, Gerardo; Merino-Soto, Cesar; Flores-Hernandez, Sergio; Pelcastre-Villafuerte, Blanca Estela; Reyes-Morales, Hortensia</t>
        </is>
      </c>
      <c r="J1655" t="inlineStr">
        <is>
          <t>INTERNATIONAL JOURNAL OF ENVIRONMENTAL RESEARCH AND PUBLIC HEALTH</t>
        </is>
      </c>
      <c r="M1655" t="inlineStr">
        <is>
          <t>English</t>
        </is>
      </c>
      <c r="N1655" t="inlineStr">
        <is>
          <t>Article</t>
        </is>
      </c>
      <c r="T1655" t="inlineStr">
        <is>
          <t>Content Validity of a Scale Designed to Measure the Access of Older Adults to Outpatient Health Services</t>
        </is>
      </c>
      <c r="U1655" t="inlineStr">
        <is>
          <t>access to care; older adults; outpatient health services; primary health care; validation study</t>
        </is>
      </c>
      <c r="V1655" t="inlineStr">
        <is>
          <t>URBAN DIFFERENCES; CARE SERVICES; RELIABILITY; READABILITY; AFFORDABILITY; COMPREHENSION; VALIDATION; COUNTRIES; CONSENSUS; SINGLE</t>
        </is>
      </c>
      <c r="W1655" t="inlineStr">
        <is>
          <t>The objective of this work was to validate the content of a scale formulated in Spanish for older adults in Mexico, with the aim of comprehensively measuring the access of this population group to outpatient primary-care services. To this end, we carried out a methodological content-validity study in four stages: (1) construction of the scale; (2) evaluation of item legibility; (3) quantitative content evaluation by two groups of judges selected by convenience: participant-judges including older adults with adequate reading comprehension, surveyed in person (n = 23), and expert-judges comprised of researchers specialized in the fields of health services, psychometrics and aging, surveyed online (n = 7); and (4) collection of qualitative feedback from several of the participant-judges (older adults, n = 4). The content was validated both by sequentially examining the level of consensus in the responses of both groups of judges, using the Tastle and Wierman method, and by calculating Aiken's Validity Coefficient with a 90% confidence interval. The scale contained 65 items pertaining to 10 dimensions of two major constructs: accessibility (n = 39) and personal abilities (n = 26). Five items were eliminated in accordance with the minimum-consensus criterion (0.5). This is the first psychometric scale to be developed in Mexico with the view of integrating the characteristics of health-care services and the abilities of the older adults in a single questionnaire designed to measure the access of this population group to outpatient primary-care services.</t>
        </is>
      </c>
      <c r="X1655" t="inlineStr">
        <is>
          <t>[Santoyo-Sanchez, Gerardo] Natl Inst Publ Hlth, Sch Publ Hlth Mexico, Ave Univ 655, Cuernavaca 62100, Morelos, Mexico; [Merino-Soto, Cesar] San Martin Porres Univ, Psychol Res Inst, Ave Tomas Marsano 232, Lima 34, Peru; [Flores-Hernandez, Sergio] Natl Inst Publ Hlth, Ctr Evaluat &amp; Surveys, Ave Univ 655, Cuernavaca 62100, Morelos, Mexico; [Pelcastre-Villafuerte, Blanca Estela; Reyes-Morales, Hortensia] Natl Inst Publ Hlth, Ctr Hlth Syst Res, Ave Univ 655, Cuernavaca 62100, Morelos, Mexico</t>
        </is>
      </c>
      <c r="Y1655" t="inlineStr">
        <is>
          <t>Instituto Nacional de Salud Publica; Universidad de San Martin de Porres; Instituto Nacional de Salud Publica; Instituto Nacional de Salud Publica</t>
        </is>
      </c>
      <c r="Z1655" t="inlineStr">
        <is>
          <t>Reyes-Morales, H (corresponding author), Natl Inst Publ Hlth, Ctr Hlth Syst Res, Ave Univ 655, Cuernavaca 62100, Morelos, Mexico.</t>
        </is>
      </c>
      <c r="AA1655" t="inlineStr">
        <is>
          <t>hortensia.reyes@insp.mx</t>
        </is>
      </c>
      <c r="AB1655" t="inlineStr">
        <is>
          <t>Merino-Soto, Cesar/B-8798-2009</t>
        </is>
      </c>
      <c r="AC1655" t="inlineStr">
        <is>
          <t>Merino-Soto, Cesar/0000-0002-1407-8306; Flores-Hernandez, Sergio/0000-0001-5773-9234; Pelcastre-Villafuerte, Blanca Estela/0000-0003-4755-1881; Santoyo-Sanchez, Gerardo/0000-0001-9723-613X</t>
        </is>
      </c>
      <c r="AD1655" t="inlineStr">
        <is>
          <t>National Council of Science and Technology (CONACYT) [630503]</t>
        </is>
      </c>
      <c r="AE1655" t="inlineStr">
        <is>
          <t>National Council of Science and Technology (CONACYT)(Consejo Nacional de Ciencia y Tecnologia (CONACyT))</t>
        </is>
      </c>
      <c r="AF1655" t="inlineStr">
        <is>
          <t>This article forms part of the doctoral thesis of G.S.-S., who received Scholarship Number 630503 from the National Council of Science and Technology (CONACYT).</t>
        </is>
      </c>
      <c r="AH1655" t="n">
        <v>77</v>
      </c>
      <c r="AI1655" t="n">
        <v>4</v>
      </c>
      <c r="AJ1655" t="n">
        <v>4</v>
      </c>
      <c r="AK1655" t="n">
        <v>0</v>
      </c>
      <c r="AL1655" t="n">
        <v>1</v>
      </c>
      <c r="AM1655" t="inlineStr">
        <is>
          <t>MDPI</t>
        </is>
      </c>
      <c r="AN1655" t="inlineStr">
        <is>
          <t>BASEL</t>
        </is>
      </c>
      <c r="AO1655" t="inlineStr">
        <is>
          <t>ST ALBAN-ANLAGE 66, CH-4052 BASEL, SWITZERLAND</t>
        </is>
      </c>
      <c r="AQ1655" t="inlineStr">
        <is>
          <t>1660-4601</t>
        </is>
      </c>
      <c r="AS1655" t="inlineStr">
        <is>
          <t>INT J ENV RES PUB HE</t>
        </is>
      </c>
      <c r="AT1655" t="inlineStr">
        <is>
          <t>Int. J. Environ. Res. Public Health</t>
        </is>
      </c>
      <c r="AU1655" t="inlineStr">
        <is>
          <t>AUG</t>
        </is>
      </c>
      <c r="AV1655" t="n">
        <v>2022</v>
      </c>
      <c r="AW1655" t="n">
        <v>19</v>
      </c>
      <c r="AX1655" t="n">
        <v>16</v>
      </c>
      <c r="BE1655" t="n">
        <v>10102</v>
      </c>
      <c r="BF1655" t="inlineStr">
        <is>
          <t>10.3390/ijerph191610102</t>
        </is>
      </c>
      <c r="BG1655">
        <f>HYPERLINK("http://dx.doi.org/10.3390/ijerph191610102","http://dx.doi.org/10.3390/ijerph191610102")</f>
        <v/>
      </c>
      <c r="BJ1655" t="n">
        <v>16</v>
      </c>
      <c r="BK1655" t="inlineStr">
        <is>
          <t>Environmental Sciences; Public, Environmental &amp; Occupational Health</t>
        </is>
      </c>
      <c r="BL1655" t="inlineStr">
        <is>
          <t>Science Citation Index Expanded (SCI-EXPANDED); Social Science Citation Index (SSCI)</t>
        </is>
      </c>
      <c r="BM1655" t="inlineStr">
        <is>
          <t>Environmental Sciences &amp; Ecology; Public, Environmental &amp; Occupational Health</t>
        </is>
      </c>
      <c r="BN1655" t="inlineStr">
        <is>
          <t>4B5LJ</t>
        </is>
      </c>
      <c r="BO1655" t="n">
        <v>36011737</v>
      </c>
      <c r="BP1655" t="inlineStr">
        <is>
          <t>Green Published, gold</t>
        </is>
      </c>
      <c r="BS1655" t="inlineStr">
        <is>
          <t>2023-10-26</t>
        </is>
      </c>
      <c r="BT1655" t="inlineStr">
        <is>
          <t>WOS:000845818400001</t>
        </is>
      </c>
      <c r="BU1655">
        <f>HYPERLINK("https%3A%2F%2Fwww.webofscience.com%2Fwos%2Fwoscc%2Ffull-record%2FWOS:000845818400001","View Full Record in Web of Science")</f>
        <v/>
      </c>
    </row>
    <row r="1656">
      <c r="A1656" t="inlineStr">
        <is>
          <t>J</t>
        </is>
      </c>
      <c r="B1656" t="inlineStr">
        <is>
          <t>Lizarraga, C; Martin-Blanco, C; Castillo-Perez, I; Chica-Olmo, J</t>
        </is>
      </c>
      <c r="F1656" t="inlineStr">
        <is>
          <t>Lizarraga, Carmen; Martin-Blanco, Cathaysa; Castillo-Perez, Isabel; Chica-Olmo, Jorge</t>
        </is>
      </c>
      <c r="J1656" t="inlineStr">
        <is>
          <t>SUSTAINABILITY</t>
        </is>
      </c>
      <c r="M1656" t="inlineStr">
        <is>
          <t>English</t>
        </is>
      </c>
      <c r="N1656" t="inlineStr">
        <is>
          <t>Article</t>
        </is>
      </c>
      <c r="T1656" t="inlineStr">
        <is>
          <t>Do University Students' Security Perceptions Influence Their Walking Preferences and Their Walking Activity? A Case Study of Granada (Spain)</t>
        </is>
      </c>
      <c r="U1656" t="inlineStr">
        <is>
          <t>security; walking; walkability; built environment; mobility; gender</t>
        </is>
      </c>
      <c r="V1656" t="inlineStr">
        <is>
          <t>PERCEIVED BUILT ENVIRONMENT; PHYSICAL-ACTIVITY; PORTO-ALEGRE; NEIGHBORHOOD ENVIRONMENT; SEXUAL ASSAULT; OLDER-ADULTS; WOMENS FEAR; WALKABILITY; CRIME; TRAVEL</t>
        </is>
      </c>
      <c r="W1656" t="inlineStr">
        <is>
          <t>A sustainable city must be a safe place for its inhabitants when walking, with the absence of fear of crime being one of its main attributes. Although perceived insecurity is one of the main deterrents of walking activity, this relationship requires some clarification in environments which are walkable and safe, with low crime rates. This article contributes to the evidence for the influence of perceived security on walking activity and, as a novel aspect, also analyzes the effects of perceived security on walking as the preferred travel mode. In order to study this relationship, we use a method that combines non-linear principal component analysis (NLPCA) and a logit model (LM). The data are taken from a survey of university students carried out in the city of Granada. Results show that gender and perceived security have a greater effect on the choice of walking as the preferred travel mode, while location factors have significantly more weight in the explanation of the choice of walking as the most usual travel mode. These findings may be extended to other urban areas and can be of use for the implementation of urban policies aimed at designing the built environment to develop more sustainable cities.</t>
        </is>
      </c>
      <c r="X1656" t="inlineStr">
        <is>
          <t>[Lizarraga, Carmen; Castillo-Perez, Isabel] Univ Granada, Dept Appl Econ, Campus Cartuja S-N, Granada 18071, Spain; [Martin-Blanco, Cathaysa] Univ Granada, Dept Civil Engn, Campus Fuentenueva S-N, Granada 18071, Spain; [Chica-Olmo, Jorge] Univ Granada, Dept Quantitat Methods Econ &amp; Business, Campus Cartuja S-N, Granada 18071, Spain</t>
        </is>
      </c>
      <c r="Y1656" t="inlineStr">
        <is>
          <t>University of Granada; University of Granada; University of Granada</t>
        </is>
      </c>
      <c r="Z1656" t="inlineStr">
        <is>
          <t>Lizarraga, C (corresponding author), Univ Granada, Dept Appl Econ, Campus Cartuja S-N, Granada 18071, Spain.</t>
        </is>
      </c>
      <c r="AA1656" t="inlineStr">
        <is>
          <t>clizarra@ugr.es; cathaysamartin@ugr.es; misabelcp@ugr.es; jchica@ugr.es</t>
        </is>
      </c>
      <c r="AB1656" t="inlineStr">
        <is>
          <t>Martín-Blanco, Cathaysa/IWM-4475-2023; Lizarraga, Carmen/F-1670-2016; Chica Olmo, Jorge/F-1921-2016</t>
        </is>
      </c>
      <c r="AC1656" t="inlineStr">
        <is>
          <t>Martín-Blanco, Cathaysa/0000-0002-4342-5119; Lizarraga, Carmen/0000-0002-3221-6178; Chica Olmo, Jorge/0000-0003-2274-7829; Castillo-Perez, Isabel/0000-0001-5019-5764</t>
        </is>
      </c>
      <c r="AD1656" t="inlineStr">
        <is>
          <t>R+D+i ERDF [B-SEJ-238-UGR20]</t>
        </is>
      </c>
      <c r="AE1656" t="inlineStr">
        <is>
          <t>R+D+i ERDF</t>
        </is>
      </c>
      <c r="AF1656" t="inlineStr">
        <is>
          <t>Authors acknowledge the technical support from R+D+i ERDF project MOMIGEN-Ref. B-SEJ-238-UGR20.</t>
        </is>
      </c>
      <c r="AH1656" t="n">
        <v>105</v>
      </c>
      <c r="AI1656" t="n">
        <v>1</v>
      </c>
      <c r="AJ1656" t="n">
        <v>1</v>
      </c>
      <c r="AK1656" t="n">
        <v>5</v>
      </c>
      <c r="AL1656" t="n">
        <v>18</v>
      </c>
      <c r="AM1656" t="inlineStr">
        <is>
          <t>MDPI</t>
        </is>
      </c>
      <c r="AN1656" t="inlineStr">
        <is>
          <t>BASEL</t>
        </is>
      </c>
      <c r="AO1656" t="inlineStr">
        <is>
          <t>ST ALBAN-ANLAGE 66, CH-4052 BASEL, SWITZERLAND</t>
        </is>
      </c>
      <c r="AQ1656" t="inlineStr">
        <is>
          <t>2071-1050</t>
        </is>
      </c>
      <c r="AS1656" t="inlineStr">
        <is>
          <t>SUSTAINABILITY-BASEL</t>
        </is>
      </c>
      <c r="AT1656" t="inlineStr">
        <is>
          <t>Sustainability</t>
        </is>
      </c>
      <c r="AU1656" t="inlineStr">
        <is>
          <t>FEB</t>
        </is>
      </c>
      <c r="AV1656" t="n">
        <v>2022</v>
      </c>
      <c r="AW1656" t="n">
        <v>14</v>
      </c>
      <c r="AX1656" t="n">
        <v>3</v>
      </c>
      <c r="BE1656" t="n">
        <v>1880</v>
      </c>
      <c r="BF1656" t="inlineStr">
        <is>
          <t>10.3390/su14031880</t>
        </is>
      </c>
      <c r="BG1656">
        <f>HYPERLINK("http://dx.doi.org/10.3390/su14031880","http://dx.doi.org/10.3390/su14031880")</f>
        <v/>
      </c>
      <c r="BJ1656" t="n">
        <v>17</v>
      </c>
      <c r="BK1656" t="inlineStr">
        <is>
          <t>Green &amp; Sustainable Science &amp; Technology; Environmental Sciences; Environmental Studies</t>
        </is>
      </c>
      <c r="BL1656" t="inlineStr">
        <is>
          <t>Science Citation Index Expanded (SCI-EXPANDED); Social Science Citation Index (SSCI)</t>
        </is>
      </c>
      <c r="BM1656" t="inlineStr">
        <is>
          <t>Science &amp; Technology - Other Topics; Environmental Sciences &amp; Ecology</t>
        </is>
      </c>
      <c r="BN1656" t="inlineStr">
        <is>
          <t>YY5BD</t>
        </is>
      </c>
      <c r="BP1656" t="inlineStr">
        <is>
          <t>gold, Green Published</t>
        </is>
      </c>
      <c r="BS1656" t="inlineStr">
        <is>
          <t>2023-10-26</t>
        </is>
      </c>
      <c r="BT1656" t="inlineStr">
        <is>
          <t>WOS:000754803600001</t>
        </is>
      </c>
      <c r="BU1656">
        <f>HYPERLINK("https%3A%2F%2Fwww.webofscience.com%2Fwos%2Fwoscc%2Ffull-record%2FWOS:000754803600001","View Full Record in Web of Science")</f>
        <v/>
      </c>
    </row>
    <row r="1657">
      <c r="A1657" t="inlineStr">
        <is>
          <t>J</t>
        </is>
      </c>
      <c r="B1657" t="inlineStr">
        <is>
          <t>Xie, XH; Qin, SY; Gou, ZH; Yi, M</t>
        </is>
      </c>
      <c r="F1657" t="inlineStr">
        <is>
          <t>Xie, Xiaohuan; Qin, Shiyu; Gou, Zhonghua; Yi, Ming</t>
        </is>
      </c>
      <c r="J1657" t="inlineStr">
        <is>
          <t>SUSTAINABILITY</t>
        </is>
      </c>
      <c r="M1657" t="inlineStr">
        <is>
          <t>English</t>
        </is>
      </c>
      <c r="N1657" t="inlineStr">
        <is>
          <t>Article</t>
        </is>
      </c>
      <c r="T1657" t="inlineStr">
        <is>
          <t>Can Green Building Promote Pro-Environmental Behaviours? The Psychological Model and Design Strategy</t>
        </is>
      </c>
      <c r="U1657" t="inlineStr">
        <is>
          <t>green buildings; green design; behavioural change; user survey; pro-environmental behaviours; value– belief– norm</t>
        </is>
      </c>
      <c r="V1657" t="inlineStr">
        <is>
          <t>WASTE CLASSIFICATION; OCCUPANT BEHAVIOR; ENERGY; TRAVEL; PARKING</t>
        </is>
      </c>
      <c r="W1657" t="inlineStr">
        <is>
          <t>A green building has a long lasting benefit through cultivating the occupants' energy and resource-saving behaviours. To understand how green buildings can cultivate occupants' pro-environment behaviours, the research applied the value-belief-norm model to investigate 17 pro-environmental behaviours which are related to a variety of green building design strategies. Two green and two non-green certified office buildings in the city of Shenzhen in China were surveyed, based on which structural equation modelling was established to confirm the relationship between personal values, environmental beliefs and norms that lead to pro-environment behaviours. Green and non-green building occupants showed significant differences in altruistic values, environmental awareness, personal norms, and pro-environmental behaviours. Green building users had more frequent pro-environmental behaviours than those in non-green buildings. The strategies that require fewer additional efforts were more likely to be adopted as pro-environmental behaviours, such as meeting daily needs within walking distance and adjusting sunshades, while the strategies that need extra physical efforts (taking stairs) or knowledge (garbage sorting) were less likely to be adopted as pro-environmental behaviours. This study pointed out important intervention opportunities and discussed the possible design implications for green building guidelines and programmes to cultivate green occupants and their corresponding pro-environmental behaviours.</t>
        </is>
      </c>
      <c r="X1657" t="inlineStr">
        <is>
          <t>[Xie, Xiaohuan; Qin, Shiyu] Shenzhen Univ, Sch Architecture &amp; Urban Planning, Shenzhen 518060, Peoples R China; [Xie, Xiaohuan] Shenzhen Univ, Shenzhen Key Lab Built Environm Optimizat, Shenzhen 518060, Peoples R China; [Gou, Zhonghua] Griffith Univ, Sch Engn &amp; Built Environm, Southport, Qld 4215, Australia; [Yi, Ming] Shenzhen Gen Inst Architectural Design &amp; Res Co L, Shenzhen 518031, Peoples R China</t>
        </is>
      </c>
      <c r="Y1657" t="inlineStr">
        <is>
          <t>Shenzhen University; Shenzhen University; Griffith University</t>
        </is>
      </c>
      <c r="Z1657" t="inlineStr">
        <is>
          <t>Gou, ZH (corresponding author), Griffith Univ, Sch Engn &amp; Built Environm, Southport, Qld 4215, Australia.</t>
        </is>
      </c>
      <c r="AA1657" t="inlineStr">
        <is>
          <t>xiexiaohuan@szu.edu.cn; 1810324032@email.szu.edu.cn; z.gou@griffith.edu.au; myi2sheffield@gmail.com</t>
        </is>
      </c>
      <c r="AB1657" t="inlineStr">
        <is>
          <t>Gou, Zhonghua/H-5621-2019; Yi, Ming/ADN-3191-2022</t>
        </is>
      </c>
      <c r="AC1657" t="inlineStr">
        <is>
          <t>Gou, Zhonghua/0000-0001-9627-4724;</t>
        </is>
      </c>
      <c r="AD1657" t="inlineStr">
        <is>
          <t>Committee of Guangdong Basic and Applied Basic Research Foundation [2020A1515010606]; Shenzhen Municipal Human Resources and Social Security Bureau [000445]; University of Shenzhen, China [000002110334]</t>
        </is>
      </c>
      <c r="AE1657" t="inlineStr">
        <is>
          <t>Committee of Guangdong Basic and Applied Basic Research Foundation; Shenzhen Municipal Human Resources and Social Security Bureau; University of Shenzhen, China</t>
        </is>
      </c>
      <c r="AF1657" t="inlineStr">
        <is>
          <t>This research was funded by Committee of Guangdong Basic and Applied Basic Research Foundation (grant numbers 2020A1515010606); the Shenzhen Municipal Human Resources and Social Security Bureau (grant numbers 000445); and The University of Shenzhen, China (grant numbers 000002110334).</t>
        </is>
      </c>
      <c r="AH1657" t="n">
        <v>47</v>
      </c>
      <c r="AI1657" t="n">
        <v>7</v>
      </c>
      <c r="AJ1657" t="n">
        <v>7</v>
      </c>
      <c r="AK1657" t="n">
        <v>8</v>
      </c>
      <c r="AL1657" t="n">
        <v>50</v>
      </c>
      <c r="AM1657" t="inlineStr">
        <is>
          <t>MDPI</t>
        </is>
      </c>
      <c r="AN1657" t="inlineStr">
        <is>
          <t>BASEL</t>
        </is>
      </c>
      <c r="AO1657" t="inlineStr">
        <is>
          <t>ST ALBAN-ANLAGE 66, CH-4052 BASEL, SWITZERLAND</t>
        </is>
      </c>
      <c r="AQ1657" t="inlineStr">
        <is>
          <t>2071-1050</t>
        </is>
      </c>
      <c r="AS1657" t="inlineStr">
        <is>
          <t>SUSTAINABILITY-BASEL</t>
        </is>
      </c>
      <c r="AT1657" t="inlineStr">
        <is>
          <t>Sustainability</t>
        </is>
      </c>
      <c r="AU1657" t="inlineStr">
        <is>
          <t>SEP</t>
        </is>
      </c>
      <c r="AV1657" t="n">
        <v>2020</v>
      </c>
      <c r="AW1657" t="n">
        <v>12</v>
      </c>
      <c r="AX1657" t="n">
        <v>18</v>
      </c>
      <c r="BE1657" t="n">
        <v>7714</v>
      </c>
      <c r="BF1657" t="inlineStr">
        <is>
          <t>10.3390/su12187714</t>
        </is>
      </c>
      <c r="BG1657">
        <f>HYPERLINK("http://dx.doi.org/10.3390/su12187714","http://dx.doi.org/10.3390/su12187714")</f>
        <v/>
      </c>
      <c r="BJ1657" t="n">
        <v>18</v>
      </c>
      <c r="BK1657" t="inlineStr">
        <is>
          <t>Green &amp; Sustainable Science &amp; Technology; Environmental Sciences; Environmental Studies</t>
        </is>
      </c>
      <c r="BL1657" t="inlineStr">
        <is>
          <t>Science Citation Index Expanded (SCI-EXPANDED); Social Science Citation Index (SSCI)</t>
        </is>
      </c>
      <c r="BM1657" t="inlineStr">
        <is>
          <t>Science &amp; Technology - Other Topics; Environmental Sciences &amp; Ecology</t>
        </is>
      </c>
      <c r="BN1657" t="inlineStr">
        <is>
          <t>OJ9AU</t>
        </is>
      </c>
      <c r="BP1657" t="inlineStr">
        <is>
          <t>Green Published, gold</t>
        </is>
      </c>
      <c r="BS1657" t="inlineStr">
        <is>
          <t>2023-10-26</t>
        </is>
      </c>
      <c r="BT1657" t="inlineStr">
        <is>
          <t>WOS:000584245700001</t>
        </is>
      </c>
      <c r="BU1657">
        <f>HYPERLINK("https%3A%2F%2Fwww.webofscience.com%2Fwos%2Fwoscc%2Ffull-record%2FWOS:000584245700001","View Full Record in Web of Science")</f>
        <v/>
      </c>
    </row>
    <row r="1658">
      <c r="A1658" t="inlineStr">
        <is>
          <t>J</t>
        </is>
      </c>
      <c r="B1658" t="inlineStr">
        <is>
          <t>Quarcoo, MA; Strickland, PO; Shendell, DG</t>
        </is>
      </c>
      <c r="F1658" t="inlineStr">
        <is>
          <t>Quarcoo, Mawuena A.; Strickland, Pamela Ohman; Shendell, Derek G.</t>
        </is>
      </c>
      <c r="J1658" t="inlineStr">
        <is>
          <t>ATMOSPHERIC ENVIRONMENT</t>
        </is>
      </c>
      <c r="M1658" t="inlineStr">
        <is>
          <t>English</t>
        </is>
      </c>
      <c r="N1658" t="inlineStr">
        <is>
          <t>Article</t>
        </is>
      </c>
      <c r="T1658" t="inlineStr">
        <is>
          <t>Indoor ozone estimation from outdoor ozone and LBNL relocatable classroom study data</t>
        </is>
      </c>
      <c r="U1658" t="inlineStr">
        <is>
          <t>HVAC systems; Ozone; Ultrafine particles; Ventilation rate; Air exchange rate</t>
        </is>
      </c>
      <c r="V1658" t="inlineStr">
        <is>
          <t>VOLATILE ORGANIC-COMPOUNDS; INITIATED REACTIONS; DEPOSITION VELOCITIES; SECONDARY POLLUTANTS; BUILDING PRODUCTS; AIR; VENTILATION; PARTICLE; REMOVAL; RATES</t>
        </is>
      </c>
      <c r="W1658" t="inlineStr">
        <is>
          <t>Lawrence Berkeley National Laboratory (LBNL) conducted a nested, case-crossover-design public school-based study in two different climate regions of California in 2000-2003. This included exploring operating profiles of two mechanical ventilation (HVAC) systems (alternated over a period of approximately nine weeks during 2001 Fall school semester) in pairs of classrooms sited adjacent to one another, equipped with either standard or alternate (low-emissivity) interior finish materials. Our retrospective analysis included inferring estimated indoor ozone concentrations. Because ozone can react with certain indoor pollutants to generate secondary organic aerosols, a mass-balanced based indoor/outdoor ratio expression was used to model indoor ozone to subsequently model indoor particles from possible ozone-initiated chemistry. When Indirect-Direct Evaporative Cooling (IDEC) HVAC was running, surface (especially ceiling) reactions dominated ozone loss processes. When standard Bard heat-pump air-conditioning (HPAC) HVAC system was running, damper setting (air excluded from building envelope), ventilation and/or gas phase reactions accounted for most indoor-outdoor ozone differences. Future research should explore outdoor air and surface chemistry contributions to indoor air pollution.</t>
        </is>
      </c>
      <c r="X1658" t="inlineStr">
        <is>
          <t>[Quarcoo, Mawuena A.; Shendell, Derek G.] Rutgers Sch Publ Hlth, Environm &amp; Occupat Hlth, Piscataway, NJ 08854 USA; [Strickland, Pamela Ohman] Rutgers Sch Publ Hlth, Epidemiol &amp; Biostat, Piscataway, NJ USA; [Shendell, Derek G.] Rutgers Sch Publ Hlth, NJ Safe Sch Program, Piscataway, NJ USA; [Shendell, Derek G.] Rutgers State Univ NJ, Rutgers Biomed &amp; Hlth Sci, Environm &amp; Occupat Hlth Sci Inst, Piscataway, NJ USA</t>
        </is>
      </c>
      <c r="Y1658" t="inlineStr">
        <is>
          <t>Rutgers State University New Brunswick; Rutgers State University Medical Center</t>
        </is>
      </c>
      <c r="Z1658" t="inlineStr">
        <is>
          <t>Shendell, DG (corresponding author), Rutgers Sch Publ Hlth, Environm &amp; Occupat Hlth, Piscataway, NJ 08854 USA.</t>
        </is>
      </c>
      <c r="AA1658" t="inlineStr">
        <is>
          <t>shendedg@sph.rutgers.edu</t>
        </is>
      </c>
      <c r="AB1658" t="inlineStr">
        <is>
          <t>Shendell, Derek G./AAF-2950-2021</t>
        </is>
      </c>
      <c r="AD1658" t="inlineStr">
        <is>
          <t>E.O. Lawrence Berkeley National Laboratory by the California Energy Commission</t>
        </is>
      </c>
      <c r="AE1658" t="inlineStr">
        <is>
          <t>E.O. Lawrence Berkeley National Laboratory by the California Energy Commission</t>
        </is>
      </c>
      <c r="AF1658" t="inlineStr">
        <is>
          <t>We acknowledge the initial contributions of the first author's doctoral dissertation proposal review committee (Drs. Charles J. Weschler, Qingyu Meng). The original study was funded at E.O. Lawrence Berkeley National Laboratory by the California Energy Commission. Current computing resources are part of the NJ Safe Schools Program.</t>
        </is>
      </c>
      <c r="AH1658" t="n">
        <v>44</v>
      </c>
      <c r="AI1658" t="n">
        <v>3</v>
      </c>
      <c r="AJ1658" t="n">
        <v>3</v>
      </c>
      <c r="AK1658" t="n">
        <v>2</v>
      </c>
      <c r="AL1658" t="n">
        <v>19</v>
      </c>
      <c r="AM1658" t="inlineStr">
        <is>
          <t>PERGAMON-ELSEVIER SCIENCE LTD</t>
        </is>
      </c>
      <c r="AN1658" t="inlineStr">
        <is>
          <t>OXFORD</t>
        </is>
      </c>
      <c r="AO1658" t="inlineStr">
        <is>
          <t>THE BOULEVARD, LANGFORD LANE, KIDLINGTON, OXFORD OX5 1GB, ENGLAND</t>
        </is>
      </c>
      <c r="AP1658" t="inlineStr">
        <is>
          <t>1352-2310</t>
        </is>
      </c>
      <c r="AQ1658" t="inlineStr">
        <is>
          <t>1873-2844</t>
        </is>
      </c>
      <c r="AS1658" t="inlineStr">
        <is>
          <t>ATMOS ENVIRON</t>
        </is>
      </c>
      <c r="AT1658" t="inlineStr">
        <is>
          <t>Atmos. Environ.</t>
        </is>
      </c>
      <c r="AU1658" t="inlineStr">
        <is>
          <t>SEP 15</t>
        </is>
      </c>
      <c r="AV1658" t="n">
        <v>2019</v>
      </c>
      <c r="AW1658" t="n">
        <v>213</v>
      </c>
      <c r="BC1658" t="n">
        <v>491</v>
      </c>
      <c r="BD1658" t="n">
        <v>498</v>
      </c>
      <c r="BF1658" t="inlineStr">
        <is>
          <t>10.1016/j.atmosenv.2019.06.036</t>
        </is>
      </c>
      <c r="BG1658">
        <f>HYPERLINK("http://dx.doi.org/10.1016/j.atmosenv.2019.06.036","http://dx.doi.org/10.1016/j.atmosenv.2019.06.036")</f>
        <v/>
      </c>
      <c r="BJ1658" t="n">
        <v>8</v>
      </c>
      <c r="BK1658" t="inlineStr">
        <is>
          <t>Environmental Sciences; Meteorology &amp; Atmospheric Sciences</t>
        </is>
      </c>
      <c r="BL1658" t="inlineStr">
        <is>
          <t>Science Citation Index Expanded (SCI-EXPANDED)</t>
        </is>
      </c>
      <c r="BM1658" t="inlineStr">
        <is>
          <t>Environmental Sciences &amp; Ecology; Meteorology &amp; Atmospheric Sciences</t>
        </is>
      </c>
      <c r="BN1658" t="inlineStr">
        <is>
          <t>IW3HK</t>
        </is>
      </c>
      <c r="BP1658" t="inlineStr">
        <is>
          <t>hybrid</t>
        </is>
      </c>
      <c r="BS1658" t="inlineStr">
        <is>
          <t>2023-10-26</t>
        </is>
      </c>
      <c r="BT1658" t="inlineStr">
        <is>
          <t>WOS:000484870900046</t>
        </is>
      </c>
      <c r="BU1658">
        <f>HYPERLINK("https%3A%2F%2Fwww.webofscience.com%2Fwos%2Fwoscc%2Ffull-record%2FWOS:000484870900046","View Full Record in Web of Science")</f>
        <v/>
      </c>
    </row>
    <row r="1659">
      <c r="A1659" t="inlineStr">
        <is>
          <t>J</t>
        </is>
      </c>
      <c r="B1659" t="inlineStr">
        <is>
          <t>Geneshka, M; Coventry, P; Cruz, J; Gilbody, S</t>
        </is>
      </c>
      <c r="F1659" t="inlineStr">
        <is>
          <t>Geneshka, Mariya; Coventry, Peter; Cruz, Joana; Gilbody, Simon</t>
        </is>
      </c>
      <c r="J1659" t="inlineStr">
        <is>
          <t>INTERNATIONAL JOURNAL OF ENVIRONMENTAL RESEARCH AND PUBLIC HEALTH</t>
        </is>
      </c>
      <c r="M1659" t="inlineStr">
        <is>
          <t>English</t>
        </is>
      </c>
      <c r="N1659" t="inlineStr">
        <is>
          <t>Review</t>
        </is>
      </c>
      <c r="T1659" t="inlineStr">
        <is>
          <t>Relationship between Green and Blue Spaces with Mental and Physical Health: A Systematic Review of Longitudinal Observational Studies</t>
        </is>
      </c>
      <c r="U1659" t="inlineStr">
        <is>
          <t>environment; green space; blue space; mental health; long-term health; systematic review; cohort studies</t>
        </is>
      </c>
      <c r="V1659" t="inlineStr">
        <is>
          <t>URBAN BUILT ENVIRONMENT; LONG-TERM EXPOSURE; BODY-MASS INDEX; OLDER-ADULTS; NONCOMMUNICABLE DISEASES; RESIDENTIAL GREENNESS; LIVING ENVIRONMENT; ASSOCIATION; DEPRESSION; BENEFITS</t>
        </is>
      </c>
      <c r="W1659" t="inlineStr">
        <is>
          <t>There is growing interest in the ways natural environments influence the development and progression of long-term health conditions. Vegetation and water bodies, also known as green and blue spaces, have the potential to affect health and behaviour through the provision of aesthetic spaces for relaxation, socialisation and physical activity. While research has previously assessed how green and blue spaces affect mental and physical wellbeing, little is known about the relationship between these exposures and health outcomes over time. This systematic review summarised the published evidence from longitudinal observational studies on the relationship between exposure to green and blue space with mental and physical health in adults. Included health outcomes were common mental health conditions, severe mental health conditions and noncommunicable diseases (NCDs). An online bibliographic search of six databases was completed in July 2020. After title, abstract and full-text screening, 44 eligible studies were included in the analysis. Depression, diabetes and obesity were the health conditions most frequently studied in longitudinal relationships. The majority of exposures included indicators of green space availability and urban green space accessibility. Few studies addressed the relationship between blue space and health. The narrative synthesis pointed towards mixed evidence of a protective relationship between exposure to green space and health. There was high heterogeneity in exposure measures and adjustment for confounding between studies. Future policy and research should seek a standardised approach towards measuring green and blue space exposures and employ theoretical grounds for confounder adjustment.</t>
        </is>
      </c>
      <c r="X1659" t="inlineStr">
        <is>
          <t>[Geneshka, Mariya; Coventry, Peter; Gilbody, Simon] Univ York, Dept Hlth Sci, York YO10 4DD, N Yorkshire, England; [Coventry, Peter] Univ York, York Environm Sustainabil Inst, York YO10 4DD, N Yorkshire, England; [Cruz, Joana] Univ York, Dept Geog &amp; Environm, York YO10 5NG, N Yorkshire, England; [Cruz, Joana] UCL, UCL Great Ormond St Inst Child Hlth, Populat Policy &amp; Practice, London WC1N 1EH, England</t>
        </is>
      </c>
      <c r="Y1659" t="inlineStr">
        <is>
          <t>University of York - UK; University of York - UK; University of York - UK; University of London; University College London</t>
        </is>
      </c>
      <c r="Z1659" t="inlineStr">
        <is>
          <t>Geneshka, M; Coventry, P (corresponding author), Univ York, Dept Hlth Sci, York YO10 4DD, N Yorkshire, England.;Coventry, P (corresponding author), Univ York, York Environm Sustainabil Inst, York YO10 4DD, N Yorkshire, England.</t>
        </is>
      </c>
      <c r="AA1659" t="inlineStr">
        <is>
          <t>mmg529@york.ac.uk; peter.coventry@york.ac.uk; joana.cruz@ucl.ac.uk; simon.gilbody@york.ac.uk</t>
        </is>
      </c>
      <c r="AB1659" t="inlineStr">
        <is>
          <t>Coventry, Peter/AAA-9344-2019; Gilbody, Simon/AAY-3720-2021; Cruz, Joana/M-5072-2013</t>
        </is>
      </c>
      <c r="AC1659" t="inlineStr">
        <is>
          <t>Coventry, Peter/0000-0003-0625-3829; Gilbody, Simon/0000-0002-8236-6983; Cruz, Joana/0000-0001-5431-0520</t>
        </is>
      </c>
      <c r="AD1659" t="inlineStr">
        <is>
          <t>NIHR Applied Research Collaboration Yorkshire and Humber</t>
        </is>
      </c>
      <c r="AE1659" t="inlineStr">
        <is>
          <t>NIHR Applied Research Collaboration Yorkshire and Humber</t>
        </is>
      </c>
      <c r="AF1659" t="inlineStr">
        <is>
          <t>The research was funded by the NIHR Applied Research Collaboration Yorkshire and Humber https://www.arc-yh.nihr.ac.uk/.The views expressed are those of the author(s), and not necessarily those of the NIHR or the Department of Health and Social Care.</t>
        </is>
      </c>
      <c r="AH1659" t="n">
        <v>126</v>
      </c>
      <c r="AI1659" t="n">
        <v>21</v>
      </c>
      <c r="AJ1659" t="n">
        <v>21</v>
      </c>
      <c r="AK1659" t="n">
        <v>59</v>
      </c>
      <c r="AL1659" t="n">
        <v>252</v>
      </c>
      <c r="AM1659" t="inlineStr">
        <is>
          <t>MDPI</t>
        </is>
      </c>
      <c r="AN1659" t="inlineStr">
        <is>
          <t>BASEL</t>
        </is>
      </c>
      <c r="AO1659" t="inlineStr">
        <is>
          <t>ST ALBAN-ANLAGE 66, CH-4052 BASEL, SWITZERLAND</t>
        </is>
      </c>
      <c r="AQ1659" t="inlineStr">
        <is>
          <t>1660-4601</t>
        </is>
      </c>
      <c r="AS1659" t="inlineStr">
        <is>
          <t>INT J ENV RES PUB HE</t>
        </is>
      </c>
      <c r="AT1659" t="inlineStr">
        <is>
          <t>Int. J. Environ. Res. Public Health</t>
        </is>
      </c>
      <c r="AU1659" t="inlineStr">
        <is>
          <t>SEP</t>
        </is>
      </c>
      <c r="AV1659" t="n">
        <v>2021</v>
      </c>
      <c r="AW1659" t="n">
        <v>18</v>
      </c>
      <c r="AX1659" t="n">
        <v>17</v>
      </c>
      <c r="BE1659" t="n">
        <v>9010</v>
      </c>
      <c r="BF1659" t="inlineStr">
        <is>
          <t>10.3390/ijerph18179010</t>
        </is>
      </c>
      <c r="BG1659">
        <f>HYPERLINK("http://dx.doi.org/10.3390/ijerph18179010","http://dx.doi.org/10.3390/ijerph18179010")</f>
        <v/>
      </c>
      <c r="BJ1659" t="n">
        <v>29</v>
      </c>
      <c r="BK1659" t="inlineStr">
        <is>
          <t>Environmental Sciences; Public, Environmental &amp; Occupational Health</t>
        </is>
      </c>
      <c r="BL1659" t="inlineStr">
        <is>
          <t>Science Citation Index Expanded (SCI-EXPANDED); Social Science Citation Index (SSCI)</t>
        </is>
      </c>
      <c r="BM1659" t="inlineStr">
        <is>
          <t>Environmental Sciences &amp; Ecology; Public, Environmental &amp; Occupational Health</t>
        </is>
      </c>
      <c r="BN1659" t="inlineStr">
        <is>
          <t>UN5RJ</t>
        </is>
      </c>
      <c r="BO1659" t="n">
        <v>34501598</v>
      </c>
      <c r="BP1659" t="inlineStr">
        <is>
          <t>Green Published, Green Accepted, gold</t>
        </is>
      </c>
      <c r="BS1659" t="inlineStr">
        <is>
          <t>2023-10-26</t>
        </is>
      </c>
      <c r="BT1659" t="inlineStr">
        <is>
          <t>WOS:000694073300001</t>
        </is>
      </c>
      <c r="BU1659">
        <f>HYPERLINK("https%3A%2F%2Fwww.webofscience.com%2Fwos%2Fwoscc%2Ffull-record%2FWOS:000694073300001","View Full Record in Web of Science")</f>
        <v/>
      </c>
    </row>
    <row r="1660">
      <c r="A1660" t="inlineStr">
        <is>
          <t>J</t>
        </is>
      </c>
      <c r="B1660" t="inlineStr">
        <is>
          <t>Frey, SE; Destaillats, H; Cohn, S; Ahrentzen, S; Fraser, MP</t>
        </is>
      </c>
      <c r="F1660" t="inlineStr">
        <is>
          <t>Frey, Sarah E.; Destaillats, Hugo; Cohn, Sebastian; Ahrentzen, Sherry; Fraser, Matthew P.</t>
        </is>
      </c>
      <c r="J1660" t="inlineStr">
        <is>
          <t>JOURNAL OF THE AIR &amp; WASTE MANAGEMENT ASSOCIATION</t>
        </is>
      </c>
      <c r="M1660" t="inlineStr">
        <is>
          <t>English</t>
        </is>
      </c>
      <c r="N1660" t="inlineStr">
        <is>
          <t>Article</t>
        </is>
      </c>
      <c r="T1660" t="inlineStr">
        <is>
          <t>Characterization of indoor air quality and resident health in an Arizona senior housing apartment building</t>
        </is>
      </c>
      <c r="V1660" t="inlineStr">
        <is>
          <t>SECONDARY POLLUTANTS; VENTILATION FILTERS; PARTICULATE MATTER; FINE PARTICLES; FORMALDEHYDE; EMISSIONS; OZONE</t>
        </is>
      </c>
      <c r="W1660" t="inlineStr">
        <is>
          <t>A survey of key indoor air quality (IAQ) parameters and resident health was carried out in 72 apartments within a single low-income senior housing building in Phoenix, Arizona. Air sampling was carried out simultaneously with a questionnaire on personal habits and general health of residents. Mean PM10 concentrations are 66 +/- 16, 58 +/- 13, and 24 +/- 3 mu g/m(3) and mean PM2.5 concentrations are 62 +/- 16, 53 +/- 13, and 20 +/- 2 mu g/m(3) for the living room, kitchen, and outdoor balcony, respectively. Median PM10 concentrations are 17, 18 and 17 mu g/m(3) and median PM2.5 concentrations are 13, 14, and 13 mu g/m(3), respectively. The initial results indicate that increased indoor particle concentrations coincide with residents who report smoking cigarettes. Indoor formaldehyde concentrations revealed median levels of 36.9, 38.8, and 4.3 ppb in the living room, kitchen, and balcony, respectively. Results show that 36% of living room samples and 44% of kitchen samples exceeded the Health Canada REL for chronic exposure to formaldehyde (40 ppb). Associations between occupants' behavior, self-reported health conditions, and IAQ are evaluated. [GRAPHICS]</t>
        </is>
      </c>
      <c r="X1660" t="inlineStr">
        <is>
          <t>[Frey, Sarah E.] Arizona State Univ, Dept Chem &amp; Biochem, Tempe, AZ 85287 USA; [Destaillats, Hugo; Cohn, Sebastian] Univ Calif Berkeley, Lawrence Berkeley Natl Lab, Environm Energy Technol Div, Indoor Environm Grp, Berkeley, CA 94720 USA; [Ahrentzen, Sherry] Univ Florida, Rinker Sch Construct Management, Gainesville, FL USA; [Fraser, Matthew P.] Arizona State Univ, Sch Sustainable Engn &amp; Built Environm, Tempe, AZ 85287 USA</t>
        </is>
      </c>
      <c r="Y1660" t="inlineStr">
        <is>
          <t>Arizona State University; Arizona State University-Tempe; University of California System; University of California Berkeley; United States Department of Energy (DOE); Lawrence Berkeley National Laboratory; State University System of Florida; University of Florida; Arizona State University; Arizona State University-Tempe</t>
        </is>
      </c>
      <c r="Z1660" t="inlineStr">
        <is>
          <t>Fraser, MP (corresponding author), Arizona State Univ, Sch Sustainable Engn &amp; Built Environm, POB 875306, Tempe, AZ 85287 USA.</t>
        </is>
      </c>
      <c r="AA1660" t="inlineStr">
        <is>
          <t>Matthew.Fraser@asu.edu</t>
        </is>
      </c>
      <c r="AB1660" t="inlineStr">
        <is>
          <t>Destaillats, Hugo/B-7936-2013</t>
        </is>
      </c>
      <c r="AD1660" t="inlineStr">
        <is>
          <t>U.S. Department of Housing and Urban Development</t>
        </is>
      </c>
      <c r="AE1660" t="inlineStr">
        <is>
          <t>U.S. Department of Housing and Urban Development</t>
        </is>
      </c>
      <c r="AF1660" t="inlineStr">
        <is>
          <t>Funding was provided by the U.S. Department of Housing and Urban Development.</t>
        </is>
      </c>
      <c r="AH1660" t="n">
        <v>34</v>
      </c>
      <c r="AI1660" t="n">
        <v>14</v>
      </c>
      <c r="AJ1660" t="n">
        <v>14</v>
      </c>
      <c r="AK1660" t="n">
        <v>1</v>
      </c>
      <c r="AL1660" t="n">
        <v>45</v>
      </c>
      <c r="AM1660" t="inlineStr">
        <is>
          <t>TAYLOR &amp; FRANCIS INC</t>
        </is>
      </c>
      <c r="AN1660" t="inlineStr">
        <is>
          <t>PHILADELPHIA</t>
        </is>
      </c>
      <c r="AO1660" t="inlineStr">
        <is>
          <t>530 WALNUT STREET, STE 850, PHILADELPHIA, PA 19106 USA</t>
        </is>
      </c>
      <c r="AP1660" t="inlineStr">
        <is>
          <t>1096-2247</t>
        </is>
      </c>
      <c r="AQ1660" t="inlineStr">
        <is>
          <t>2162-2906</t>
        </is>
      </c>
      <c r="AS1660" t="inlineStr">
        <is>
          <t>J AIR WASTE MANAGE</t>
        </is>
      </c>
      <c r="AT1660" t="inlineStr">
        <is>
          <t>J. Air Waste Manage. Assoc.</t>
        </is>
      </c>
      <c r="AU1660" t="inlineStr">
        <is>
          <t>NOV 2</t>
        </is>
      </c>
      <c r="AV1660" t="n">
        <v>2014</v>
      </c>
      <c r="AW1660" t="n">
        <v>64</v>
      </c>
      <c r="AX1660" t="n">
        <v>11</v>
      </c>
      <c r="BC1660" t="n">
        <v>1251</v>
      </c>
      <c r="BD1660" t="n">
        <v>1259</v>
      </c>
      <c r="BF1660" t="inlineStr">
        <is>
          <t>10.1080/10962247.2014.937513</t>
        </is>
      </c>
      <c r="BG1660">
        <f>HYPERLINK("http://dx.doi.org/10.1080/10962247.2014.937513","http://dx.doi.org/10.1080/10962247.2014.937513")</f>
        <v/>
      </c>
      <c r="BJ1660" t="n">
        <v>9</v>
      </c>
      <c r="BK1660" t="inlineStr">
        <is>
          <t>Engineering, Environmental; Environmental Sciences; Meteorology &amp; Atmospheric Sciences</t>
        </is>
      </c>
      <c r="BL1660" t="inlineStr">
        <is>
          <t>Science Citation Index Expanded (SCI-EXPANDED)</t>
        </is>
      </c>
      <c r="BM1660" t="inlineStr">
        <is>
          <t>Engineering; Environmental Sciences &amp; Ecology; Meteorology &amp; Atmospheric Sciences</t>
        </is>
      </c>
      <c r="BN1660" t="inlineStr">
        <is>
          <t>AR1BE</t>
        </is>
      </c>
      <c r="BO1660" t="n">
        <v>25509546</v>
      </c>
      <c r="BP1660" t="inlineStr">
        <is>
          <t>Bronze</t>
        </is>
      </c>
      <c r="BS1660" t="inlineStr">
        <is>
          <t>2023-10-26</t>
        </is>
      </c>
      <c r="BT1660" t="inlineStr">
        <is>
          <t>WOS:000343313500005</t>
        </is>
      </c>
      <c r="BU1660">
        <f>HYPERLINK("https%3A%2F%2Fwww.webofscience.com%2Fwos%2Fwoscc%2Ffull-record%2FWOS:000343313500005","View Full Record in Web of Science")</f>
        <v/>
      </c>
    </row>
    <row r="1661">
      <c r="A1661" t="inlineStr">
        <is>
          <t>J</t>
        </is>
      </c>
      <c r="B1661" t="inlineStr">
        <is>
          <t>Kim, HE; Wallace, J; Sohn, W</t>
        </is>
      </c>
      <c r="F1661" t="inlineStr">
        <is>
          <t>Kim, Hee-Eun; Wallace, Janet; Sohn, Woosung</t>
        </is>
      </c>
      <c r="J1661" t="inlineStr">
        <is>
          <t>INTERNATIONAL JOURNAL OF ENVIRONMENTAL RESEARCH AND PUBLIC HEALTH</t>
        </is>
      </c>
      <c r="M1661" t="inlineStr">
        <is>
          <t>English</t>
        </is>
      </c>
      <c r="N1661" t="inlineStr">
        <is>
          <t>Article</t>
        </is>
      </c>
      <c r="T1661" t="inlineStr">
        <is>
          <t>Factors Affecting Masticatory Performance of Older Adults Are Sex-Dependent: A Cross-Sectional Study</t>
        </is>
      </c>
      <c r="U1661" t="inlineStr">
        <is>
          <t>functional tooth units; masticatory performance; mixing ability index; older adults; skeletal muscle mass index</t>
        </is>
      </c>
      <c r="V1661" t="inlineStr">
        <is>
          <t>FUNCTIONAL TOOTH UNITS; ORAL-HEALTH; ASSOCIATION; ABILITY; SARCOPENIA; DIET; POPULATION; NUMBER; TEETH; FOOD</t>
        </is>
      </c>
      <c r="W1661" t="inlineStr">
        <is>
          <t>This cross-sectional study assessed the oral and physical factors contributing to improvement of the masticatory performance of community-dwelling older adults in South Korea. We enrolled 84 healthy older adults (38 men, 46 women; age, 71.40 +/- 5.15 years) and assessed their skeletal muscle mass index (SMI), functional tooth units (FTUs), and mixing ability index (MAI). Associations between variables were analyzed using Spearman's correlation coefficient, and the effects of SMI and FTUs on the MAI were evaluated through linear multiple regression. FTUs were positively associated with the MAI in men and women (r = 0.339, p = 0.038 and r = 0.461, p = 0.001, respectively). SMI and FTUs were moderately associated in men (r = 0.459, p = 0.004). MAI showed an approximately 4.4 times increase for each FTU in men (B = 4.442, p = 0.037); however, after the SMI was added, this effect was no longer significant. In women, the MAI increased by about 6.7 times with each FTU (B = 6.685, p = 0.004). FTUs had a significant effect on the MAI only in women with low muscle mass. While there was no significant effect of the SMI on the MAI, its influence should not be overlooked.</t>
        </is>
      </c>
      <c r="X1661" t="inlineStr">
        <is>
          <t>[Kim, Hee-Eun] Gachon Univ, Dept Dent Hyg, Coll Hlth Sci, Incheon 21936, South Korea; [Wallace, Janet; Sohn, Woosung] Univ Sydney, Fac Med &amp; Hlth, Sch Dent, Sydney, NSW 2010, Australia</t>
        </is>
      </c>
      <c r="Y1661" t="inlineStr">
        <is>
          <t>Gachon University; University of Sydney</t>
        </is>
      </c>
      <c r="Z1661" t="inlineStr">
        <is>
          <t>Sohn, W (corresponding author), Univ Sydney, Fac Med &amp; Hlth, Sch Dent, Sydney, NSW 2010, Australia.</t>
        </is>
      </c>
      <c r="AA1661" t="inlineStr">
        <is>
          <t>woosung.sohn@sydney.edu.au</t>
        </is>
      </c>
      <c r="AD1661" t="inlineStr">
        <is>
          <t>National Research Foundation of Korea (NRF) - Korea government (MSIT); [2022R1F1A1064357]</t>
        </is>
      </c>
      <c r="AE1661" t="inlineStr">
        <is>
          <t>National Research Foundation of Korea (NRF) - Korea government (MSIT)(National Research Foundation of KoreaMinistry of Science, ICT &amp; Future Planning, Republic of KoreaMinistry of Science &amp; ICT (MSIT), Republic of Korea);</t>
        </is>
      </c>
      <c r="AF1661" t="inlineStr">
        <is>
          <t>This work was supported by the National Research Foundation of Korea (NRF) grant funded by the Korea government (MSIT) (No. 2022R1F1A1064357).</t>
        </is>
      </c>
      <c r="AH1661" t="n">
        <v>33</v>
      </c>
      <c r="AI1661" t="n">
        <v>0</v>
      </c>
      <c r="AJ1661" t="n">
        <v>0</v>
      </c>
      <c r="AK1661" t="n">
        <v>0</v>
      </c>
      <c r="AL1661" t="n">
        <v>4</v>
      </c>
      <c r="AM1661" t="inlineStr">
        <is>
          <t>MDPI</t>
        </is>
      </c>
      <c r="AN1661" t="inlineStr">
        <is>
          <t>BASEL</t>
        </is>
      </c>
      <c r="AO1661" t="inlineStr">
        <is>
          <t>ST ALBAN-ANLAGE 66, CH-4052 BASEL, SWITZERLAND</t>
        </is>
      </c>
      <c r="AQ1661" t="inlineStr">
        <is>
          <t>1660-4601</t>
        </is>
      </c>
      <c r="AS1661" t="inlineStr">
        <is>
          <t>INT J ENV RES PUB HE</t>
        </is>
      </c>
      <c r="AT1661" t="inlineStr">
        <is>
          <t>Int. J. Environ. Res. Public Health</t>
        </is>
      </c>
      <c r="AU1661" t="inlineStr">
        <is>
          <t>DEC</t>
        </is>
      </c>
      <c r="AV1661" t="n">
        <v>2022</v>
      </c>
      <c r="AW1661" t="n">
        <v>19</v>
      </c>
      <c r="AX1661" t="n">
        <v>23</v>
      </c>
      <c r="BE1661" t="n">
        <v>15742</v>
      </c>
      <c r="BF1661" t="inlineStr">
        <is>
          <t>10.3390/ijerph192315742</t>
        </is>
      </c>
      <c r="BG1661">
        <f>HYPERLINK("http://dx.doi.org/10.3390/ijerph192315742","http://dx.doi.org/10.3390/ijerph192315742")</f>
        <v/>
      </c>
      <c r="BJ1661" t="n">
        <v>11</v>
      </c>
      <c r="BK1661" t="inlineStr">
        <is>
          <t>Environmental Sciences; Public, Environmental &amp; Occupational Health</t>
        </is>
      </c>
      <c r="BL1661" t="inlineStr">
        <is>
          <t>Science Citation Index Expanded (SCI-EXPANDED); Social Science Citation Index (SSCI)</t>
        </is>
      </c>
      <c r="BM1661" t="inlineStr">
        <is>
          <t>Environmental Sciences &amp; Ecology; Public, Environmental &amp; Occupational Health</t>
        </is>
      </c>
      <c r="BN1661" t="inlineStr">
        <is>
          <t>6X0OL</t>
        </is>
      </c>
      <c r="BO1661" t="n">
        <v>36497815</v>
      </c>
      <c r="BP1661" t="inlineStr">
        <is>
          <t>Green Published, gold</t>
        </is>
      </c>
      <c r="BS1661" t="inlineStr">
        <is>
          <t>2023-10-26</t>
        </is>
      </c>
      <c r="BT1661" t="inlineStr">
        <is>
          <t>WOS:000896123000001</t>
        </is>
      </c>
      <c r="BU1661">
        <f>HYPERLINK("https%3A%2F%2Fwww.webofscience.com%2Fwos%2Fwoscc%2Ffull-record%2FWOS:000896123000001","View Full Record in Web of Science")</f>
        <v/>
      </c>
    </row>
    <row r="1662">
      <c r="A1662" t="inlineStr">
        <is>
          <t>J</t>
        </is>
      </c>
      <c r="B1662" t="inlineStr">
        <is>
          <t>Shen, SW; Kim, K; Liu, DY</t>
        </is>
      </c>
      <c r="F1662" t="inlineStr">
        <is>
          <t>Shen, Suwan; Kim, Karl; Liu, Dingyi</t>
        </is>
      </c>
      <c r="J1662" t="inlineStr">
        <is>
          <t>SUSTAINABILITY</t>
        </is>
      </c>
      <c r="M1662" t="inlineStr">
        <is>
          <t>English</t>
        </is>
      </c>
      <c r="N1662" t="inlineStr">
        <is>
          <t>Article</t>
        </is>
      </c>
      <c r="T1662" t="inlineStr">
        <is>
          <t>Aging in Place or Moving to Higher Ground: Older Adults' Adaptation to Sea Level Rise in Honolulu, Hawaii</t>
        </is>
      </c>
      <c r="U1662" t="inlineStr">
        <is>
          <t>sea level rise; older adults; adaptation; planning; Honolulu; Hawaii</t>
        </is>
      </c>
      <c r="V1662" t="inlineStr">
        <is>
          <t>CLIMATE-CHANGE; VULNERABILITY; COMMUNITIES; AGE; POPULATION; PEOPLE</t>
        </is>
      </c>
      <c r="W1662" t="inlineStr">
        <is>
          <t>Coastal communities face escalating risks from rising sea levels and the increasing growth of vulnerable, aging populations in high-risk zones. These threats are expected to intensify as population growth and aging trends continue. In response to these challenges, this study represents a novel investigation into the synergistic impacts of demographic shifts and climate change in shaping the vulnerability of coastal communities, particularly focusing on elderly populations. This study's primary objectives are to assess the potential impacts of these threats on vulnerable older adults and to explore effective adaptation strategies. To achieve these objectives, we used census tract data from Hawaii and the Hamilton-Perry cohort-component method to project the elderly population trends in each census tract for Honolulu in 2050. The vulnerabilities of older adults were estimated under different sea level rise level conditions and mapped according to three planning scenarios: (1) maintaining the status quo; (2) relocating or redeveloping vulnerable elderly residents to safer, low-density neighborhoods; (3) relocating or redeveloping vulnerable elderly residents to secure, high-density areas with amenities for older adults. We further evaluated transportation accessibility to emergency services in these scenarios. The findings reveal that with a projected sea level rise of 1.1 feet, the number of elderly individuals without timely access (within 8 min) to emergency and healthcare services would double by 2050. This is primarily attributed to reduced transportation access and increased aging in high-risk areas. Compared to the status quo, both relocation (or redevelopment) strategies significantly improve the vulnerable elderly population's access to emergency and healthcare services, even without enhancements in transportation and infrastructure. Given that many developments and aging trends are yet to fully unfold, we propose that existing adaptation strategies should prioritize land use development, along with housing and transportation solutions that align with development scenarios 2 and 3, to support age-friendly activities and lifestyles. By directing population growth towards less vulnerable zones in the coming decades, we can achieve protective effects equivalent to those of future relocation efforts, but without incurring substantial protection or relocation costs.</t>
        </is>
      </c>
      <c r="X1662" t="inlineStr">
        <is>
          <t>[Shen, Suwan; Kim, Karl; Liu, Dingyi] Univ Hawaii Manoa, Dept Urban &amp; Reg &amp; Planning, Saunders Hall 107,2424 Maile Way, Honolulu, HI 96822 USA</t>
        </is>
      </c>
      <c r="Y1662" t="inlineStr">
        <is>
          <t>University of Hawaii System; University of Hawaii Manoa</t>
        </is>
      </c>
      <c r="Z1662" t="inlineStr">
        <is>
          <t>Shen, SW (corresponding author), Univ Hawaii Manoa, Dept Urban &amp; Reg &amp; Planning, Saunders Hall 107,2424 Maile Way, Honolulu, HI 96822 USA.</t>
        </is>
      </c>
      <c r="AA1662" t="inlineStr">
        <is>
          <t>suwans@hawaii.edu</t>
        </is>
      </c>
      <c r="AC1662" t="inlineStr">
        <is>
          <t>Kim, Karl/0000-0003-0528-8747</t>
        </is>
      </c>
      <c r="AH1662" t="n">
        <v>46</v>
      </c>
      <c r="AI1662" t="n">
        <v>0</v>
      </c>
      <c r="AJ1662" t="n">
        <v>0</v>
      </c>
      <c r="AK1662" t="n">
        <v>2</v>
      </c>
      <c r="AL1662" t="n">
        <v>2</v>
      </c>
      <c r="AM1662" t="inlineStr">
        <is>
          <t>MDPI</t>
        </is>
      </c>
      <c r="AN1662" t="inlineStr">
        <is>
          <t>BASEL</t>
        </is>
      </c>
      <c r="AO1662" t="inlineStr">
        <is>
          <t>ST ALBAN-ANLAGE 66, CH-4052 BASEL, SWITZERLAND</t>
        </is>
      </c>
      <c r="AQ1662" t="inlineStr">
        <is>
          <t>2071-1050</t>
        </is>
      </c>
      <c r="AS1662" t="inlineStr">
        <is>
          <t>SUSTAINABILITY-BASEL</t>
        </is>
      </c>
      <c r="AT1662" t="inlineStr">
        <is>
          <t>Sustainability</t>
        </is>
      </c>
      <c r="AU1662" t="inlineStr">
        <is>
          <t>JUN</t>
        </is>
      </c>
      <c r="AV1662" t="n">
        <v>2023</v>
      </c>
      <c r="AW1662" t="n">
        <v>15</v>
      </c>
      <c r="AX1662" t="n">
        <v>12</v>
      </c>
      <c r="BE1662" t="n">
        <v>9535</v>
      </c>
      <c r="BF1662" t="inlineStr">
        <is>
          <t>10.3390/su15129535</t>
        </is>
      </c>
      <c r="BG1662">
        <f>HYPERLINK("http://dx.doi.org/10.3390/su15129535","http://dx.doi.org/10.3390/su15129535")</f>
        <v/>
      </c>
      <c r="BJ1662" t="n">
        <v>14</v>
      </c>
      <c r="BK1662" t="inlineStr">
        <is>
          <t>Green &amp; Sustainable Science &amp; Technology; Environmental Sciences; Environmental Studies</t>
        </is>
      </c>
      <c r="BL1662" t="inlineStr">
        <is>
          <t>Science Citation Index Expanded (SCI-EXPANDED); Social Science Citation Index (SSCI)</t>
        </is>
      </c>
      <c r="BM1662" t="inlineStr">
        <is>
          <t>Science &amp; Technology - Other Topics; Environmental Sciences &amp; Ecology</t>
        </is>
      </c>
      <c r="BN1662" t="inlineStr">
        <is>
          <t>K3ZB8</t>
        </is>
      </c>
      <c r="BP1662" t="inlineStr">
        <is>
          <t>gold</t>
        </is>
      </c>
      <c r="BS1662" t="inlineStr">
        <is>
          <t>2023-10-26</t>
        </is>
      </c>
      <c r="BT1662" t="inlineStr">
        <is>
          <t>WOS:001015843100001</t>
        </is>
      </c>
      <c r="BU1662">
        <f>HYPERLINK("https%3A%2F%2Fwww.webofscience.com%2Fwos%2Fwoscc%2Ffull-record%2FWOS:001015843100001","View Full Record in Web of Science")</f>
        <v/>
      </c>
    </row>
    <row r="1663">
      <c r="A1663" t="inlineStr">
        <is>
          <t>J</t>
        </is>
      </c>
      <c r="B1663" t="inlineStr">
        <is>
          <t>Yang, S; Pernot, JG; Jörin, CH; Niculita-Hirzel, H; Perret, V; Licina, D</t>
        </is>
      </c>
      <c r="F1663" t="inlineStr">
        <is>
          <t>Yang, Shen; Pernot, Joelle Goyette; Joerin, Corinne Hager; Niculita-Hirzel, Helene; Perret, Vincent; Licina, Dusan</t>
        </is>
      </c>
      <c r="J1663" t="inlineStr">
        <is>
          <t>ATMOSPHERE</t>
        </is>
      </c>
      <c r="M1663" t="inlineStr">
        <is>
          <t>English</t>
        </is>
      </c>
      <c r="N1663" t="inlineStr">
        <is>
          <t>Article</t>
        </is>
      </c>
      <c r="T1663" t="inlineStr">
        <is>
          <t>Radon Investigation in 650 Energy Efficient Dwellings in Western Switzerland: Impact of Energy Renovation and Building Characteristics</t>
        </is>
      </c>
      <c r="U1663" t="inlineStr">
        <is>
          <t>dwellings; indoor air quality; energy efficiency; building characteristics; thermal retrofitting</t>
        </is>
      </c>
      <c r="V1663" t="inlineStr">
        <is>
          <t>INDOOR AIR-QUALITY; RESIDENTIAL RADON; NATIONAL-SURVEY; LUNG-CANCER; SOIL; QUANTIFICATION; PREDICTION; RADIATION; RETROFIT; RN-222</t>
        </is>
      </c>
      <c r="W1663" t="inlineStr">
        <is>
          <t>As part of more stringent energy targets in Switzerland, we witness the appearance of new green-certified dwellings while many existing dwellings have undergone energy efficiency measures. These measures have led to reduced energy consumption, but rarely consider their impact on indoor air quality. Consequently, such energy renovation actions can lead to an accumulation of radon in dwellings located in radon-prone areas at doses that can affect human health. This study compared the radon levels over 650 energy-efficient dwellings in western Switzerland between green-certified (Minergie) and energy-renovated dwellings, and analyzed the building characteristics responsible of this accumulation. We found that the newly green-certified dwellings had significantly lower radon level than energy-renovated, which were green- and non-green-certified houses (geometric mean 52, 87, and 105 Bq/m(3), respectively). The new dwellings with integrated mechanical ventilation exhibited lower radon concentrations. Thermal retrofitting of windows, roofs, exterior walls, and floors were associated with a higher radon level. Compared to radon measurements prior to energy renovation, we found a 20% increase in radon levels. The results highlight the need to consider indoor air quality when addressing energy savings to avoid compromising occupants' health, and are useful for enhancing the ventilation design and energy renovation procedures in dwellings.</t>
        </is>
      </c>
      <c r="X1663" t="inlineStr">
        <is>
          <t>[Yang, Shen; Licina, Dusan] Ecole Polytech Fed Lausanne, Sch Architecture Civil &amp; Environm Engn, Human Oriented Built Environm Lab, CH-1015 Lausanne, Switzerland; [Pernot, Joelle Goyette] HES SO Univ Appl Sci &amp; Arts Western Switzerland, Western Swiss Ctr Indoor Air Qual &amp; Radon CroqAIR, Sch Engn &amp; Architecture Fribourg, Transform Inst, CH-1700 Fribourg, Switzerland; [Joerin, Corinne Hager] HES SO Univ Appl Sci &amp; Arts Western Switzerland, Sch Engn &amp; Architecture Fribourg, HumanTech Inst, CH-1700 Fribourg, Switzerland; [Niculita-Hirzel, Helene] Univ Lausanne, Ctr Primary Care &amp; Publ Hlth Unisante, Dept Hlth Work &amp; Environm, CH-1066 Epalinges, Switzerland; [Perret, Vincent] TOXpro SA, CH-1227 Carouge, Switzerland</t>
        </is>
      </c>
      <c r="Y1663" t="inlineStr">
        <is>
          <t>Swiss Federal Institutes of Technology Domain; Ecole Polytechnique Federale de Lausanne; University of Applied Sciences &amp; Arts Western Switzerland; University of Applied Sciences &amp; Arts Western Switzerland; University of Lausanne</t>
        </is>
      </c>
      <c r="Z1663" t="inlineStr">
        <is>
          <t>Pernot, JG (corresponding author), HES SO Univ Appl Sci &amp; Arts Western Switzerland, Western Swiss Ctr Indoor Air Qual &amp; Radon CroqAIR, Sch Engn &amp; Architecture Fribourg, Transform Inst, CH-1700 Fribourg, Switzerland.</t>
        </is>
      </c>
      <c r="AA1663" t="inlineStr">
        <is>
          <t>shen.yang@epfl.ch; joelle.goyette@hefr.ch; corinne.hagerjoerin@hefr.ch; helene.hirzel@unisante.ch; vincent.perret@toxpro.ch; dusan.licina@epfl.ch</t>
        </is>
      </c>
      <c r="AB1663" t="inlineStr">
        <is>
          <t>Niculita-Hirzel, Helene/AAS-5375-2021; yang, shen/GWC-0424-2022; Yang, Shen/AAL-6350-2020</t>
        </is>
      </c>
      <c r="AC1663" t="inlineStr">
        <is>
          <t>Niculita-Hirzel, Helene/0000-0003-1467-8819; Yang, Shen/0000-0001-6964-4814; PERRET, Vincent/0000-0002-7242-4828</t>
        </is>
      </c>
      <c r="AD1663" t="inlineStr">
        <is>
          <t>PST-FR (Pole scientifique et technologique du canton de Fribourg) [EB_41-13]; Office federal de sante publique [13.006740/434.0000/-131, 15.009001/444.0002/-75]; Service de l'Energie du canton de Fribourg; Agence MINERGIE(R)romande; Losinger Marazzi SA; Suissetec; Federation fribourgeoise des entrepreneurs; Halg et Cie SA; Maintenance Mugny et Marguet SA</t>
        </is>
      </c>
      <c r="AE1663" t="inlineStr">
        <is>
          <t>PST-FR (Pole scientifique et technologique du canton de Fribourg); Office federal de sante publique; Service de l'Energie du canton de Fribourg; Agence MINERGIE(R)romande; Losinger Marazzi SA; Suissetec; Federation fribourgeoise des entrepreneurs; Halg et Cie SA; Maintenance Mugny et Marguet SA</t>
        </is>
      </c>
      <c r="AF1663" t="inlineStr">
        <is>
          <t>This research was funded by PST-FR (Pole scientifique et technologique du canton de Fribourg), grant number EB_41-13, Office federal de sante publique, grants number 13.006740/434.0000/-131 and 15.009001/444.0002/-75, Service de l'Energie du canton de Fribourg, Agence MINERGIE (R) romande, Losinger Marazzi SA, Suissetec, Federation fribourgeoise des entrepreneurs, Halg et Cie SA, Maintenance Mugny et Marguet SA.</t>
        </is>
      </c>
      <c r="AH1663" t="n">
        <v>47</v>
      </c>
      <c r="AI1663" t="n">
        <v>19</v>
      </c>
      <c r="AJ1663" t="n">
        <v>19</v>
      </c>
      <c r="AK1663" t="n">
        <v>3</v>
      </c>
      <c r="AL1663" t="n">
        <v>17</v>
      </c>
      <c r="AM1663" t="inlineStr">
        <is>
          <t>MDPI</t>
        </is>
      </c>
      <c r="AN1663" t="inlineStr">
        <is>
          <t>BASEL</t>
        </is>
      </c>
      <c r="AO1663" t="inlineStr">
        <is>
          <t>ST ALBAN-ANLAGE 66, CH-4052 BASEL, SWITZERLAND</t>
        </is>
      </c>
      <c r="AQ1663" t="inlineStr">
        <is>
          <t>2073-4433</t>
        </is>
      </c>
      <c r="AS1663" t="inlineStr">
        <is>
          <t>ATMOSPHERE-BASEL</t>
        </is>
      </c>
      <c r="AT1663" t="inlineStr">
        <is>
          <t>Atmosphere</t>
        </is>
      </c>
      <c r="AU1663" t="inlineStr">
        <is>
          <t>DEC</t>
        </is>
      </c>
      <c r="AV1663" t="n">
        <v>2019</v>
      </c>
      <c r="AW1663" t="n">
        <v>10</v>
      </c>
      <c r="AX1663" t="n">
        <v>12</v>
      </c>
      <c r="BE1663" t="n">
        <v>777</v>
      </c>
      <c r="BF1663" t="inlineStr">
        <is>
          <t>10.3390/atmos10120777</t>
        </is>
      </c>
      <c r="BG1663">
        <f>HYPERLINK("http://dx.doi.org/10.3390/atmos10120777","http://dx.doi.org/10.3390/atmos10120777")</f>
        <v/>
      </c>
      <c r="BJ1663" t="n">
        <v>14</v>
      </c>
      <c r="BK1663" t="inlineStr">
        <is>
          <t>Environmental Sciences; Meteorology &amp; Atmospheric Sciences</t>
        </is>
      </c>
      <c r="BL1663" t="inlineStr">
        <is>
          <t>Science Citation Index Expanded (SCI-EXPANDED)</t>
        </is>
      </c>
      <c r="BM1663" t="inlineStr">
        <is>
          <t>Environmental Sciences &amp; Ecology; Meteorology &amp; Atmospheric Sciences</t>
        </is>
      </c>
      <c r="BN1663" t="inlineStr">
        <is>
          <t>KC7RA</t>
        </is>
      </c>
      <c r="BP1663" t="inlineStr">
        <is>
          <t>Green Published, gold</t>
        </is>
      </c>
      <c r="BS1663" t="inlineStr">
        <is>
          <t>2023-10-26</t>
        </is>
      </c>
      <c r="BT1663" t="inlineStr">
        <is>
          <t>WOS:000507369200050</t>
        </is>
      </c>
      <c r="BU1663">
        <f>HYPERLINK("https%3A%2F%2Fwww.webofscience.com%2Fwos%2Fwoscc%2Ffull-record%2FWOS:000507369200050","View Full Record in Web of Science")</f>
        <v/>
      </c>
    </row>
    <row r="1664">
      <c r="A1664" t="inlineStr">
        <is>
          <t>J</t>
        </is>
      </c>
      <c r="B1664" t="inlineStr">
        <is>
          <t>Brown, H; Reid, K</t>
        </is>
      </c>
      <c r="F1664" t="inlineStr">
        <is>
          <t>Brown, Heather; Reid, Kate</t>
        </is>
      </c>
      <c r="J1664" t="inlineStr">
        <is>
          <t>INTERNATIONAL JOURNAL OF ENVIRONMENTAL RESEARCH AND PUBLIC HEALTH</t>
        </is>
      </c>
      <c r="M1664" t="inlineStr">
        <is>
          <t>English</t>
        </is>
      </c>
      <c r="N1664" t="inlineStr">
        <is>
          <t>Article</t>
        </is>
      </c>
      <c r="T1664" t="inlineStr">
        <is>
          <t>Navigating Infodemics, Unlocking Social Capital and Maintaining Food Security during the COVID-19 First Wave in the UK: Older Adults' Experiences</t>
        </is>
      </c>
      <c r="U1664" t="inlineStr">
        <is>
          <t>older adult; COVID-19; food insecurity; loneliness; social connectedness</t>
        </is>
      </c>
      <c r="V1664" t="inlineStr">
        <is>
          <t>HEALTH; NEIGHBORHOOD; LONELINESS; COHESION; CARE</t>
        </is>
      </c>
      <c r="W1664" t="inlineStr">
        <is>
          <t>In March 2020, a national UK lockdown was implemented in response to rapidly rising COVID-19 infections. Those experiencing the most severe public health restrictions were 'shielding' groups as well as those over 70 years of age. Older age adults, many of whom were active, independent, and socially connected were immediately instructed to stay at home, to limit all external social contact and consider contingency for maintaining personal food security and social contact. The purpose of this qualitative study was to explore the experiences of older adults during the first UK lockdown (March-June 2020), specifically how our sample reacted to public health messaging, staying food secure and drawing on available social capital within their community. Semi-structured telephone interviews were conducted with eight participants. In addition, twenty-five participants completed a qualitative 'open-ended' survey. The data was collated and analysed, adopting a Thematic Analysis informed approach. Three themes were identified: (1) Too Much Information, (2) The Importance of Neighbours and Connections and (3) Not Wishing to be a Burden. These findings offer a rich insight into how early lockdown measures, never witnessed since World War 2, exposed existing pre-pandemic inequalities and concerns relating to loneliness, isolation and wellbeing. The findings are of relevance to researchers, older adult advocate groups and policy makers to inform post COVID-recovery within communities to ensure healthy ageing.</t>
        </is>
      </c>
      <c r="X1664" t="inlineStr">
        <is>
          <t>[Brown, Heather; Reid, Kate] Univ Glasgow, Sch Psychol, Glasgow G12 8QB, Lanark, Scotland</t>
        </is>
      </c>
      <c r="Y1664" t="inlineStr">
        <is>
          <t>University of Glasgow</t>
        </is>
      </c>
      <c r="Z1664" t="inlineStr">
        <is>
          <t>Brown, H (corresponding author), Univ Glasgow, Sch Psychol, Glasgow G12 8QB, Lanark, Scotland.</t>
        </is>
      </c>
      <c r="AA1664" t="inlineStr">
        <is>
          <t>heatherbrown97@hotmail.co.uk; Kate.Reid@glasgow.ac.uk</t>
        </is>
      </c>
      <c r="AC1664" t="inlineStr">
        <is>
          <t>Reid, Kate/0000-0003-2353-3830; Brown, Heather/0000-0001-9710-5842</t>
        </is>
      </c>
      <c r="AH1664" t="n">
        <v>39</v>
      </c>
      <c r="AI1664" t="n">
        <v>5</v>
      </c>
      <c r="AJ1664" t="n">
        <v>5</v>
      </c>
      <c r="AK1664" t="n">
        <v>0</v>
      </c>
      <c r="AL1664" t="n">
        <v>13</v>
      </c>
      <c r="AM1664" t="inlineStr">
        <is>
          <t>MDPI</t>
        </is>
      </c>
      <c r="AN1664" t="inlineStr">
        <is>
          <t>BASEL</t>
        </is>
      </c>
      <c r="AO1664" t="inlineStr">
        <is>
          <t>ST ALBAN-ANLAGE 66, CH-4052 BASEL, SWITZERLAND</t>
        </is>
      </c>
      <c r="AQ1664" t="inlineStr">
        <is>
          <t>1660-4601</t>
        </is>
      </c>
      <c r="AS1664" t="inlineStr">
        <is>
          <t>INT J ENV RES PUB HE</t>
        </is>
      </c>
      <c r="AT1664" t="inlineStr">
        <is>
          <t>Int. J. Environ. Res. Public Health</t>
        </is>
      </c>
      <c r="AU1664" t="inlineStr">
        <is>
          <t>JUL</t>
        </is>
      </c>
      <c r="AV1664" t="n">
        <v>2021</v>
      </c>
      <c r="AW1664" t="n">
        <v>18</v>
      </c>
      <c r="AX1664" t="n">
        <v>14</v>
      </c>
      <c r="BE1664" t="n">
        <v>7220</v>
      </c>
      <c r="BF1664" t="inlineStr">
        <is>
          <t>10.3390/ijerph18147220</t>
        </is>
      </c>
      <c r="BG1664">
        <f>HYPERLINK("http://dx.doi.org/10.3390/ijerph18147220","http://dx.doi.org/10.3390/ijerph18147220")</f>
        <v/>
      </c>
      <c r="BJ1664" t="n">
        <v>12</v>
      </c>
      <c r="BK1664" t="inlineStr">
        <is>
          <t>Environmental Sciences; Public, Environmental &amp; Occupational Health</t>
        </is>
      </c>
      <c r="BL1664" t="inlineStr">
        <is>
          <t>Science Citation Index Expanded (SCI-EXPANDED); Social Science Citation Index (SSCI)</t>
        </is>
      </c>
      <c r="BM1664" t="inlineStr">
        <is>
          <t>Environmental Sciences &amp; Ecology; Public, Environmental &amp; Occupational Health</t>
        </is>
      </c>
      <c r="BN1664" t="inlineStr">
        <is>
          <t>TN6RD</t>
        </is>
      </c>
      <c r="BO1664" t="n">
        <v>34299671</v>
      </c>
      <c r="BP1664" t="inlineStr">
        <is>
          <t>gold, Green Accepted, Green Published</t>
        </is>
      </c>
      <c r="BS1664" t="inlineStr">
        <is>
          <t>2023-10-26</t>
        </is>
      </c>
      <c r="BT1664" t="inlineStr">
        <is>
          <t>WOS:000676358700001</t>
        </is>
      </c>
      <c r="BU1664">
        <f>HYPERLINK("https%3A%2F%2Fwww.webofscience.com%2Fwos%2Fwoscc%2Ffull-record%2FWOS:000676358700001","View Full Record in Web of Science")</f>
        <v/>
      </c>
    </row>
    <row r="1665">
      <c r="A1665" t="inlineStr">
        <is>
          <t>J</t>
        </is>
      </c>
      <c r="B1665" t="inlineStr">
        <is>
          <t>Reyer, M; Fina, S; Siedentop, S; Schlicht, W</t>
        </is>
      </c>
      <c r="F1665" t="inlineStr">
        <is>
          <t>Reyer, Maren; Fina, Stefan; Siedentop, Stefan; Schlicht, Wolfgang</t>
        </is>
      </c>
      <c r="J1665" t="inlineStr">
        <is>
          <t>INTERNATIONAL JOURNAL OF ENVIRONMENTAL RESEARCH AND PUBLIC HEALTH</t>
        </is>
      </c>
      <c r="M1665" t="inlineStr">
        <is>
          <t>English</t>
        </is>
      </c>
      <c r="N1665" t="inlineStr">
        <is>
          <t>Article</t>
        </is>
      </c>
      <c r="T1665" t="inlineStr">
        <is>
          <t>Walkability is Only Part of the Story: Walking for Transportation in Stuttgart, Germany</t>
        </is>
      </c>
      <c r="U1665" t="inlineStr">
        <is>
          <t>physical activity; health; walkability; Walk Score; environment</t>
        </is>
      </c>
      <c r="V1665" t="inlineStr">
        <is>
          <t>PHYSICAL-ACTIVITY; NEIGHBORHOOD WALKABILITY; BELGIAN ADULTS; LAND-USE; BEHAVIOR; HEALTH; ENVIRONMENTS; WEIGHT</t>
        </is>
      </c>
      <c r="W1665" t="inlineStr">
        <is>
          <t>In modern Western societies people often lead inactive and sedentary lifestyles, even though there is no doubt that physical activity and health are related. From an urban planning point of view it would be highly desirable to develop built environments in a way that supports people in leading more active and healthy lifestyles. Within this context there are several methods, predominantly used in the US, to measure the suitability of built environments for walking and cycling. Empirical studies show that people living in highly walkable areas are more physically active (for example, walk more or cycle more). The question is, however, whether these results are also valid for European cities given their different urban planning characteristics and infrastructure standards. To answer this question we used the Walkability-Index and the Walk Score to empirically investigate the associations between walkability and active transportation in the city of Stuttgart, Germany. In a sample of household survey data (n = 1.871) we found a noticeable relationship between walkability and active transportation-the more walkable an area was, the more active residents were. Although the statistical effect is small, the health impact might be of relevance. Being physically active is multi-determined and not only affected by the walkability of an area. We highlight these points with an excursion into research that the health and exercise sciences contribute to the topic. We propose to strengthen interdisciplinary research between the disciplines and to specifically collect data that captures the influence of the environment on physical activity in the future.</t>
        </is>
      </c>
      <c r="X1665" t="inlineStr">
        <is>
          <t>[Reyer, Maren; Schlicht, Wolfgang] Univ Stuttgart, Dept Sport &amp; Exercise Sci, D-70569 Stuttgart, Germany; [Fina, Stefan] Univ Stuttgart, Inst Reg Dev Planning, D-70569 Stuttgart, Germany; [Siedentop, Stefan] ILS Res Inst Reg &amp; Urban Dev, D-44135 Dortmund, Germany</t>
        </is>
      </c>
      <c r="Y1665" t="inlineStr">
        <is>
          <t>University of Stuttgart; University of Stuttgart</t>
        </is>
      </c>
      <c r="Z1665" t="inlineStr">
        <is>
          <t>Reyer, M (corresponding author), Univ Stuttgart, Dept Sport &amp; Exercise Sci, Nobelstr 15, D-70569 Stuttgart, Germany.</t>
        </is>
      </c>
      <c r="AA1665" t="inlineStr">
        <is>
          <t>maren.reyer@inspo.uni-stuttgart.de; stefan.fina@ireus.uni-stuttgart.de; stefan.siedentop@ils-research.de; wolfgang.schlicht@inspo.uni-stuttgart.de</t>
        </is>
      </c>
      <c r="AC1665" t="inlineStr">
        <is>
          <t>Siedentop, Stefan/0000-0002-4904-0105</t>
        </is>
      </c>
      <c r="AH1665" t="n">
        <v>27</v>
      </c>
      <c r="AI1665" t="n">
        <v>52</v>
      </c>
      <c r="AJ1665" t="n">
        <v>53</v>
      </c>
      <c r="AK1665" t="n">
        <v>0</v>
      </c>
      <c r="AL1665" t="n">
        <v>43</v>
      </c>
      <c r="AM1665" t="inlineStr">
        <is>
          <t>MDPI</t>
        </is>
      </c>
      <c r="AN1665" t="inlineStr">
        <is>
          <t>BASEL</t>
        </is>
      </c>
      <c r="AO1665" t="inlineStr">
        <is>
          <t>ST ALBAN-ANLAGE 66, CH-4052 BASEL, SWITZERLAND</t>
        </is>
      </c>
      <c r="AP1665" t="inlineStr">
        <is>
          <t>1660-4601</t>
        </is>
      </c>
      <c r="AS1665" t="inlineStr">
        <is>
          <t>INT J ENV RES PUB HE</t>
        </is>
      </c>
      <c r="AT1665" t="inlineStr">
        <is>
          <t>Int. J. Environ. Res. Public Health</t>
        </is>
      </c>
      <c r="AU1665" t="inlineStr">
        <is>
          <t>JUN</t>
        </is>
      </c>
      <c r="AV1665" t="n">
        <v>2014</v>
      </c>
      <c r="AW1665" t="n">
        <v>11</v>
      </c>
      <c r="AX1665" t="n">
        <v>6</v>
      </c>
      <c r="BC1665" t="n">
        <v>5849</v>
      </c>
      <c r="BD1665" t="n">
        <v>5865</v>
      </c>
      <c r="BF1665" t="inlineStr">
        <is>
          <t>10.3390/ijerph110605849</t>
        </is>
      </c>
      <c r="BG1665">
        <f>HYPERLINK("http://dx.doi.org/10.3390/ijerph110605849","http://dx.doi.org/10.3390/ijerph110605849")</f>
        <v/>
      </c>
      <c r="BJ1665" t="n">
        <v>17</v>
      </c>
      <c r="BK1665" t="inlineStr">
        <is>
          <t>Environmental Sciences; Public, Environmental &amp; Occupational Health</t>
        </is>
      </c>
      <c r="BL1665" t="inlineStr">
        <is>
          <t>Science Citation Index Expanded (SCI-EXPANDED); Social Science Citation Index (SSCI)</t>
        </is>
      </c>
      <c r="BM1665" t="inlineStr">
        <is>
          <t>Environmental Sciences &amp; Ecology; Public, Environmental &amp; Occupational Health</t>
        </is>
      </c>
      <c r="BN1665" t="inlineStr">
        <is>
          <t>AK8FL</t>
        </is>
      </c>
      <c r="BO1665" t="n">
        <v>24886755</v>
      </c>
      <c r="BP1665" t="inlineStr">
        <is>
          <t>Green Published, gold, Green Submitted</t>
        </is>
      </c>
      <c r="BS1665" t="inlineStr">
        <is>
          <t>2023-10-26</t>
        </is>
      </c>
      <c r="BT1665" t="inlineStr">
        <is>
          <t>WOS:000338662600019</t>
        </is>
      </c>
      <c r="BU1665">
        <f>HYPERLINK("https%3A%2F%2Fwww.webofscience.com%2Fwos%2Fwoscc%2Ffull-record%2FWOS:000338662600019","View Full Record in Web of Science")</f>
        <v/>
      </c>
    </row>
    <row r="1666">
      <c r="A1666" t="inlineStr">
        <is>
          <t>J</t>
        </is>
      </c>
      <c r="B1666" t="inlineStr">
        <is>
          <t>Zhu, LD; Ali, M; Macioszek, E; Aghaabbasi, M; Jan, A</t>
        </is>
      </c>
      <c r="F1666" t="inlineStr">
        <is>
          <t>Zhu, Lidong; Ali, Mujahid; Macioszek, Elzbieta; Aghaabbasi, Mandi; Jan, Amin</t>
        </is>
      </c>
      <c r="J1666" t="inlineStr">
        <is>
          <t>SUSTAINABILITY</t>
        </is>
      </c>
      <c r="M1666" t="inlineStr">
        <is>
          <t>English</t>
        </is>
      </c>
      <c r="N1666" t="inlineStr">
        <is>
          <t>Review</t>
        </is>
      </c>
      <c r="T1666" t="inlineStr">
        <is>
          <t>Approaching Sustainable Bike-Sharing Development: A Systematic Review of the Influence of Built Environment Features on Bike-Sharing Ridership</t>
        </is>
      </c>
      <c r="U1666" t="inlineStr">
        <is>
          <t>bike-sharing ridership; station flow; docked bike sharing; dockless bike sharing; diversity; built environment attributes</t>
        </is>
      </c>
      <c r="V1666" t="inlineStr">
        <is>
          <t>PUBLIC TRANSPORT; TRAVEL; IMPACT; DETERMINANTS; PATTERNS; SUCCESS; CHOICE; EQUITY; ACCESS; USAGE</t>
        </is>
      </c>
      <c r="W1666" t="inlineStr">
        <is>
          <t>Bike-sharing is known as a sustainable form of transportation. This travel mode is able to tackle the last mile transit issue and deliver financial, well-being, and low-carbon lifestyle advantages to users. To date, many studies have analysed the influence of various factors, including built environments, on bike-sharing ridership. However, no study has exclusively synthesised these findings regarding the association between built-environment attributes and bike-sharing ridership. Thus, in this study, a systematic literature review was conducted on 39 eligible studies. These studies were assessed with respect to (1) bike-sharing usage, (2) studies' geographical distribution, (3) data collection and analysis method, and (4) built environment factor type. Most studies were carried out in the US and Chinese cities. Variables associated with diversity, density, and distance to public transport stations and public transport infrastructure were frequently employed by the studies reviewed. It was found that BS stations with an average capacity of 24.63 docks and street network systems with an average length of 12.57 km of cycling lanes had a significant impact on the bike-sharing ridership. The findings of these studies were combined, and a series of recommendations were proposed based on them for bike-sharing service providers and researchers in academia. The findings of this evaluation can help practitioners and scholars understand the important built environment elements that influence bike-sharing ridership. Knowledge in this field will enable bike-sharing service providers to direct their resources sufficiently to enhance the more essential aspects of bike-sharing users' satisfaction.</t>
        </is>
      </c>
      <c r="X1666" t="inlineStr">
        <is>
          <t>[Zhu, Lidong] Chongqing Technol &amp; Business Inst, Sch Urban Construct Engn, Chongqing 401520, Peoples R China; [Ali, Mujahid] Univ Teknol Petronas, Dept Civil &amp; Environm Engn, Seri Iskandar 32610, Perak, Malaysia; [Macioszek, Elzbieta] Silesian Tech Univ, Fac Transport &amp; Aviat Engn, Dept Transport Syst Traff Engn &amp; Logist, Krasinskiego 8 St, PL-40019 Katowice, Poland; [Aghaabbasi, Mandi] Univ Malaya, Fac Built Environm, Dept Urban &amp; Reg Planning, Ctr Sustainable Urban Planning &amp; Real Estate SUPR, Kuala Lumpur 50603, Wilayah Perseku, Malaysia; [Jan, Amin] Univ Malaysia Kelantan, Fac Hospitality Tourism &amp; Wellness, City Campus, Kota Baharu 16100, Kelantan, Malaysia</t>
        </is>
      </c>
      <c r="Y1666" t="inlineStr">
        <is>
          <t>Universiti Teknologi Petronas; Silesian University of Technology; Universiti Malaya; Universiti Malaysia Kelantan</t>
        </is>
      </c>
      <c r="Z1666" t="inlineStr">
        <is>
          <t>Zhu, LD (corresponding author), Chongqing Technol &amp; Business Inst, Sch Urban Construct Engn, Chongqing 401520, Peoples R China.;Ali, M (corresponding author), Univ Teknol Petronas, Dept Civil &amp; Environm Engn, Seri Iskandar 32610, Perak, Malaysia.;Macioszek, E (corresponding author), Silesian Tech Univ, Fac Transport &amp; Aviat Engn, Dept Transport Syst Traff Engn &amp; Logist, Krasinskiego 8 St, PL-40019 Katowice, Poland.;Aghaabbasi, M (corresponding author), Univ Malaya, Fac Built Environm, Dept Urban &amp; Reg Planning, Ctr Sustainable Urban Planning &amp; Real Estate SUPR, Kuala Lumpur 50603, Wilayah Perseku, Malaysia.</t>
        </is>
      </c>
      <c r="AA1666" t="inlineStr">
        <is>
          <t>zhulidong2022@163.com; mujahid_19001704@utp.edu.my; elzbieta.macioszek@polsl.pl; mandi@um.edu.my; aminjan@umk.edu.my</t>
        </is>
      </c>
      <c r="AB1666" t="inlineStr">
        <is>
          <t>Jan, Amin/X-7343-2018; Macioszek, Elżbieta/AAH-5949-2020; Ali, Mujahid/AEP-6014-2022</t>
        </is>
      </c>
      <c r="AC1666" t="inlineStr">
        <is>
          <t>Jan, Amin/0000-0002-5943-4247; Macioszek, Elżbieta/0000-0002-1345-0022; Ali, Mujahid/0000-0003-4376-0459; Aghaabbasi, Mahdi/0000-0003-2874-5429</t>
        </is>
      </c>
      <c r="AH1666" t="n">
        <v>67</v>
      </c>
      <c r="AI1666" t="n">
        <v>3</v>
      </c>
      <c r="AJ1666" t="n">
        <v>3</v>
      </c>
      <c r="AK1666" t="n">
        <v>27</v>
      </c>
      <c r="AL1666" t="n">
        <v>84</v>
      </c>
      <c r="AM1666" t="inlineStr">
        <is>
          <t>MDPI</t>
        </is>
      </c>
      <c r="AN1666" t="inlineStr">
        <is>
          <t>BASEL</t>
        </is>
      </c>
      <c r="AO1666" t="inlineStr">
        <is>
          <t>ST ALBAN-ANLAGE 66, CH-4052 BASEL, SWITZERLAND</t>
        </is>
      </c>
      <c r="AQ1666" t="inlineStr">
        <is>
          <t>2071-1050</t>
        </is>
      </c>
      <c r="AS1666" t="inlineStr">
        <is>
          <t>SUSTAINABILITY-BASEL</t>
        </is>
      </c>
      <c r="AT1666" t="inlineStr">
        <is>
          <t>Sustainability</t>
        </is>
      </c>
      <c r="AU1666" t="inlineStr">
        <is>
          <t>MAY</t>
        </is>
      </c>
      <c r="AV1666" t="n">
        <v>2022</v>
      </c>
      <c r="AW1666" t="n">
        <v>14</v>
      </c>
      <c r="AX1666" t="n">
        <v>10</v>
      </c>
      <c r="BE1666" t="n">
        <v>5795</v>
      </c>
      <c r="BF1666" t="inlineStr">
        <is>
          <t>10.3390/su14105795</t>
        </is>
      </c>
      <c r="BG1666">
        <f>HYPERLINK("http://dx.doi.org/10.3390/su14105795","http://dx.doi.org/10.3390/su14105795")</f>
        <v/>
      </c>
      <c r="BJ1666" t="n">
        <v>17</v>
      </c>
      <c r="BK1666" t="inlineStr">
        <is>
          <t>Green &amp; Sustainable Science &amp; Technology; Environmental Sciences; Environmental Studies</t>
        </is>
      </c>
      <c r="BL1666" t="inlineStr">
        <is>
          <t>Science Citation Index Expanded (SCI-EXPANDED); Social Science Citation Index (SSCI)</t>
        </is>
      </c>
      <c r="BM1666" t="inlineStr">
        <is>
          <t>Science &amp; Technology - Other Topics; Environmental Sciences &amp; Ecology</t>
        </is>
      </c>
      <c r="BN1666" t="inlineStr">
        <is>
          <t>1S8YV</t>
        </is>
      </c>
      <c r="BP1666" t="inlineStr">
        <is>
          <t>gold</t>
        </is>
      </c>
      <c r="BS1666" t="inlineStr">
        <is>
          <t>2023-10-26</t>
        </is>
      </c>
      <c r="BT1666" t="inlineStr">
        <is>
          <t>WOS:000804330800001</t>
        </is>
      </c>
      <c r="BU1666">
        <f>HYPERLINK("https%3A%2F%2Fwww.webofscience.com%2Fwos%2Fwoscc%2Ffull-record%2FWOS:000804330800001","View Full Record in Web of Science")</f>
        <v/>
      </c>
    </row>
    <row r="1667">
      <c r="A1667" t="inlineStr">
        <is>
          <t>J</t>
        </is>
      </c>
      <c r="B1667" t="inlineStr">
        <is>
          <t>Xie, C; Yu, DX; Lin, CY; Zheng, XY; Peng, B</t>
        </is>
      </c>
      <c r="F1667" t="inlineStr">
        <is>
          <t>Xie, Chen; Yu, Dexin; Lin, Ciyun; Zheng, Xiaoyu; Peng, Bo</t>
        </is>
      </c>
      <c r="J1667" t="inlineStr">
        <is>
          <t>SUSTAINABILITY</t>
        </is>
      </c>
      <c r="M1667" t="inlineStr">
        <is>
          <t>English</t>
        </is>
      </c>
      <c r="N1667" t="inlineStr">
        <is>
          <t>Article</t>
        </is>
      </c>
      <c r="T1667" t="inlineStr">
        <is>
          <t>Exploring the Spatiotemporal Impacts of the Built Environment on Taxi Ridership Using Multisource Data</t>
        </is>
      </c>
      <c r="U1667" t="inlineStr">
        <is>
          <t>taxi ridership; built environment; travel behavior; spatiotemporal heterogeneity; geographically and temporally weighted regression (GTWR)</t>
        </is>
      </c>
      <c r="V1667" t="inlineStr">
        <is>
          <t>GEOGRAPHICALLY WEIGHTED REGRESSION; SPATIAL VARIATION; TRAVEL BEHAVIOR; DEMAND; DETERMINANTS; PATTERNS; TRANSIT</t>
        </is>
      </c>
      <c r="W1667" t="inlineStr">
        <is>
          <t>Taxis are an important component of the urban public transportation system, with wide geographical coverage and on-demand services characteristics. Thorough understanding of the built environment affecting taxi ridership can enable transportation authorities to develop targeted policies for transportation planning. Previous studies in this field had few data sources and did not consider the spatiotemporal variability. This study aims to develop an analytical framework for understanding the spatiotemporal correlation between the urban built environment and taxi ridership, which is empirically analyzed in New York City. The built environment is defined through multisource data in terms of density, design, diversity, and destination accessibility. Besides the exploration of travel patterns, the spatiotemporal heterogeneity of taxi ridership is modeled using geographically and temporally weighted regression (GTWR). The result shows that GTWR outperforms ordinary least squares (OLS), geographically weighted regression (GWR), and temporally weighted regression (TWR) in both goodness of fit and explanatory accuracy. More importantly, our study found that land use diversity is negatively correlated with taxi ridership, while transportation diversity is positively correlated with it. A highly accessible road network improves the people's demand for taxis in the morning rush hours. Moreover, the density of railway stations is positively correlated with taxi ridership on weekdays but adversely on weekends. These findings provide practical insights for urban transportation policy development and taxicab regulation.</t>
        </is>
      </c>
      <c r="X1667" t="inlineStr">
        <is>
          <t>[Xie, Chen; Lin, Ciyun; Zheng, Xiaoyu; Peng, Bo] Jilin Univ, Dept Traff Informat &amp; Control Engn, Changchun 130022, Peoples R China; [Yu, Dexin] Jimei Univ, Coll Jimei Nav, Xiamen 361021, Peoples R China; [Lin, Ciyun] Jilin Engn Res Ctr ITS, Changchun 130022, Peoples R China</t>
        </is>
      </c>
      <c r="Y1667" t="inlineStr">
        <is>
          <t>Jilin University; Jimei University</t>
        </is>
      </c>
      <c r="Z1667" t="inlineStr">
        <is>
          <t>Lin, CY (corresponding author), Jilin Univ, Dept Traff Informat &amp; Control Engn, Changchun 130022, Peoples R China.;Lin, CY (corresponding author), Jilin Engn Res Ctr ITS, Changchun 130022, Peoples R China.</t>
        </is>
      </c>
      <c r="AA1667" t="inlineStr">
        <is>
          <t>xiechen19@mails.jlu.edu.cn; yudx@jmu.edu.cn; linciyun@jlu.edu.cn; zhengxy20@mails.jlu.edu.cn; pengbo19@mails.jlu.edu.cn</t>
        </is>
      </c>
      <c r="AB1667" t="inlineStr">
        <is>
          <t>Yu, De-Xin/FDC-3283-2022; Lin, Ciyun/AAK-6489-2020; Peng, Bo/GLR-7811-2022</t>
        </is>
      </c>
      <c r="AC1667" t="inlineStr">
        <is>
          <t>Lin, Ciyun/0000-0001-9098-2666; Peng, Bo/0000-0002-4699-8836; Zheng, Xiaoyu/0000-0001-6914-5273; Xie, Chen/0000-0001-9765-1763</t>
        </is>
      </c>
      <c r="AD1667" t="inlineStr">
        <is>
          <t>Jilin Province Industrial Innovation Special Fund [2019C024]; Graduate Innovation Fund of Jilin University [101832020CX149]</t>
        </is>
      </c>
      <c r="AE1667" t="inlineStr">
        <is>
          <t>Jilin Province Industrial Innovation Special Fund; Graduate Innovation Fund of Jilin University(Jilin University)</t>
        </is>
      </c>
      <c r="AF1667" t="inlineStr">
        <is>
          <t>This research was funded by the Jilin Province Industrial Innovation Special Fund, grant No. 2019C024, and the Graduate Innovation Fund of Jilin University, grant No. 101832020CX149.</t>
        </is>
      </c>
      <c r="AH1667" t="n">
        <v>50</v>
      </c>
      <c r="AI1667" t="n">
        <v>1</v>
      </c>
      <c r="AJ1667" t="n">
        <v>1</v>
      </c>
      <c r="AK1667" t="n">
        <v>17</v>
      </c>
      <c r="AL1667" t="n">
        <v>42</v>
      </c>
      <c r="AM1667" t="inlineStr">
        <is>
          <t>MDPI</t>
        </is>
      </c>
      <c r="AN1667" t="inlineStr">
        <is>
          <t>BASEL</t>
        </is>
      </c>
      <c r="AO1667" t="inlineStr">
        <is>
          <t>ST ALBAN-ANLAGE 66, CH-4052 BASEL, SWITZERLAND</t>
        </is>
      </c>
      <c r="AQ1667" t="inlineStr">
        <is>
          <t>2071-1050</t>
        </is>
      </c>
      <c r="AS1667" t="inlineStr">
        <is>
          <t>SUSTAINABILITY-BASEL</t>
        </is>
      </c>
      <c r="AT1667" t="inlineStr">
        <is>
          <t>Sustainability</t>
        </is>
      </c>
      <c r="AU1667" t="inlineStr">
        <is>
          <t>MAY</t>
        </is>
      </c>
      <c r="AV1667" t="n">
        <v>2022</v>
      </c>
      <c r="AW1667" t="n">
        <v>14</v>
      </c>
      <c r="AX1667" t="n">
        <v>10</v>
      </c>
      <c r="BE1667" t="n">
        <v>6045</v>
      </c>
      <c r="BF1667" t="inlineStr">
        <is>
          <t>10.3390/su14106045</t>
        </is>
      </c>
      <c r="BG1667">
        <f>HYPERLINK("http://dx.doi.org/10.3390/su14106045","http://dx.doi.org/10.3390/su14106045")</f>
        <v/>
      </c>
      <c r="BJ1667" t="n">
        <v>24</v>
      </c>
      <c r="BK1667" t="inlineStr">
        <is>
          <t>Green &amp; Sustainable Science &amp; Technology; Environmental Sciences; Environmental Studies</t>
        </is>
      </c>
      <c r="BL1667" t="inlineStr">
        <is>
          <t>Science Citation Index Expanded (SCI-EXPANDED); Social Science Citation Index (SSCI)</t>
        </is>
      </c>
      <c r="BM1667" t="inlineStr">
        <is>
          <t>Science &amp; Technology - Other Topics; Environmental Sciences &amp; Ecology</t>
        </is>
      </c>
      <c r="BN1667" t="inlineStr">
        <is>
          <t>1O5FF</t>
        </is>
      </c>
      <c r="BP1667" t="inlineStr">
        <is>
          <t>gold</t>
        </is>
      </c>
      <c r="BS1667" t="inlineStr">
        <is>
          <t>2023-10-26</t>
        </is>
      </c>
      <c r="BT1667" t="inlineStr">
        <is>
          <t>WOS:000801357300001</t>
        </is>
      </c>
      <c r="BU1667">
        <f>HYPERLINK("https%3A%2F%2Fwww.webofscience.com%2Fwos%2Fwoscc%2Ffull-record%2FWOS:000801357300001","View Full Record in Web of Science")</f>
        <v/>
      </c>
    </row>
    <row r="1668">
      <c r="A1668" t="inlineStr">
        <is>
          <t>J</t>
        </is>
      </c>
      <c r="B1668" t="inlineStr">
        <is>
          <t>Kan, ZH; Kwan, MP; Wong, MS; Huang, JW; Liu, D</t>
        </is>
      </c>
      <c r="F1668" t="inlineStr">
        <is>
          <t>Kan, Zihan; Kwan, Mei-Po; Wong, Man Sing; Huang, Jianwei; Liu, Dong</t>
        </is>
      </c>
      <c r="J1668" t="inlineStr">
        <is>
          <t>SCIENCE OF THE TOTAL ENVIRONMENT</t>
        </is>
      </c>
      <c r="M1668" t="inlineStr">
        <is>
          <t>English</t>
        </is>
      </c>
      <c r="N1668" t="inlineStr">
        <is>
          <t>Article</t>
        </is>
      </c>
      <c r="T1668" t="inlineStr">
        <is>
          <t>Identifying the space-time patterns of COVID-19 risk and their associations with different built environment features in Hong Kong</t>
        </is>
      </c>
      <c r="U1668" t="inlineStr">
        <is>
          <t>COVID-19; Infectious disease; Transmission risk; Built environment; Hong Kong</t>
        </is>
      </c>
      <c r="V1668" t="inlineStr">
        <is>
          <t>SPATIOTEMPORAL CLUSTERS; INFECTIOUS-DISEASES; URBAN; POPULATION; DYNAMICS; OUTBREAK; EXPOSURE; IMPACT; FEVER</t>
        </is>
      </c>
      <c r="W1668" t="inlineStr">
        <is>
          <t>Identifying the space-time patterns of areas with a higher risk of transmission and the associated built environment and demographic characteristics during the COVID-19 pandemic is critical for developing targeted intervention measures in response to the pandemic. This study aims to identify areas with a higher risk of COVID-19 transmission in different periods in Hong Kong and analyze the associated built environment and demographic factors using data of individual confirmed cases. We detect statistically significant space-time clusters of COVID-19 at the Urge Street Block Group (LSBG) level in Hong Kong between January 23 and April 14, 2020. Two types of high-risk areas are identified (residences of and places visited by confirmed cases) and two types of cases (imported and local cases) are considered. The demographic and built environment features for the identified high-risk areas are further examined. The results indicate that high transport accessibility, dense and high-rise buildings, a higher density of commercial land and higher land-use mix are associated with a higher risk for places visited by confirmed cases. More green spaces, higher median household income, lower commercial land density are linked to a higher risk for the residences of confirmed cases. The results in this study not only can inform policymakers to improve resource allocation and intervention strategies but also can provide guidance to the public to avoid conducting high-risk activities and visiting high-risk places. (C) 2021 Elsevier B.V. All rights reserved.</t>
        </is>
      </c>
      <c r="X1668" t="inlineStr">
        <is>
          <t>[Kan, Zihan; Kwan, Mei-Po; Huang, Jianwei] Chinese Univ Hong Kong, Inst Space &amp; Earth Informat Sci, Shatin, Hong Kong, Peoples R China; [Kwan, Mei-Po] Chinese Univ Hong Kong, Dept Geog &amp; Resource Management, Shatin, Hong Kong, Peoples R China; [Wong, Man Sing] Hong Kong Polytech Univ, Dept Land Surveying &amp; Geoinformat, Hung Hom, Hong Kong, Peoples R China; [Wong, Man Sing] Hong Kong Polytech Univ, Res Inst Sustainable Urban Dev, Hung Hom, Hong Kong, Peoples R China; [Liu, Dong] Univ Illinois, Dept Geog &amp; Geog Informat Sci, 1301 W Green St, Urbana, IL 61801 USA</t>
        </is>
      </c>
      <c r="Y1668" t="inlineStr">
        <is>
          <t>Chinese University of Hong Kong; Chinese University of Hong Kong; Hong Kong Polytechnic University; Hong Kong Polytechnic University; University of Illinois System; University of Illinois Urbana-Champaign</t>
        </is>
      </c>
      <c r="Z1668" t="inlineStr">
        <is>
          <t>Kwan, MP (corresponding author), Chinese Univ Hong Kong, Inst Space &amp; Earth Informat Sci, Shatin, Hong Kong, Peoples R China.;Kwan, MP (corresponding author), Chinese Univ Hong Kong, Dept Geog &amp; Resource Management, Shatin, Hong Kong, Peoples R China.</t>
        </is>
      </c>
      <c r="AA1668" t="inlineStr">
        <is>
          <t>mpk654@gmail.com</t>
        </is>
      </c>
      <c r="AB1668" t="inlineStr">
        <is>
          <t>Huang, jianwei/HGE-9266-2022; Liu, Dong/ADM-2704-2022</t>
        </is>
      </c>
      <c r="AC1668" t="inlineStr">
        <is>
          <t>Liu, Dong/0000-0001-9090-5732; Kan, Zihan/0000-0002-6364-0537; Huang, Jianwei/0000-0002-2230-3446</t>
        </is>
      </c>
      <c r="AD1668" t="inlineStr">
        <is>
          <t>Research Committee on Research Sustainability of Major RGC Funding Scheme of the Chinese University of Hong Kong; RGC Postdoctoral Fellowship from the Research Grants Council of Hong Kong [PDFS2021-4S08]; Marion G. Russell Graduate Fellowship from the University of Illinois at Urbana-Champaign; [15602619]</t>
        </is>
      </c>
      <c r="AE1668" t="inlineStr">
        <is>
          <t>Research Committee on Research Sustainability of Major RGC Funding Scheme of the Chinese University of Hong Kong; RGC Postdoctoral Fellowship from the Research Grants Council of Hong Kong; Marion G. Russell Graduate Fellowship from the University of Illinois at Urbana-Champaign;</t>
        </is>
      </c>
      <c r="AF1668" t="inlineStr">
        <is>
          <t>This work was supported by a grant from the Research Committee on Research Sustainability of Major RGC Funding Scheme of the Chinese University of Hong Kong. Zihan Kan was supported by an RGC Postdoctoral Fellowship from the Research Grants Council of Hong Kong (PDFS2021-4S08). Man Sing Wong thanks the funding support from a grant by the General Research Fund (Grant no. 15602619). Dong Liu was supported by a Marion G. Russell Graduate Fellowship from the University of Illinois at Urbana-Champaign.</t>
        </is>
      </c>
      <c r="AH1668" t="n">
        <v>42</v>
      </c>
      <c r="AI1668" t="n">
        <v>43</v>
      </c>
      <c r="AJ1668" t="n">
        <v>43</v>
      </c>
      <c r="AK1668" t="n">
        <v>3</v>
      </c>
      <c r="AL1668" t="n">
        <v>58</v>
      </c>
      <c r="AM1668" t="inlineStr">
        <is>
          <t>ELSEVIER</t>
        </is>
      </c>
      <c r="AN1668" t="inlineStr">
        <is>
          <t>AMSTERDAM</t>
        </is>
      </c>
      <c r="AO1668" t="inlineStr">
        <is>
          <t>RADARWEG 29, 1043 NX AMSTERDAM, NETHERLANDS</t>
        </is>
      </c>
      <c r="AP1668" t="inlineStr">
        <is>
          <t>0048-9697</t>
        </is>
      </c>
      <c r="AQ1668" t="inlineStr">
        <is>
          <t>1879-1026</t>
        </is>
      </c>
      <c r="AS1668" t="inlineStr">
        <is>
          <t>SCI TOTAL ENVIRON</t>
        </is>
      </c>
      <c r="AT1668" t="inlineStr">
        <is>
          <t>Sci. Total Environ.</t>
        </is>
      </c>
      <c r="AU1668" t="inlineStr">
        <is>
          <t>JUN 10</t>
        </is>
      </c>
      <c r="AV1668" t="n">
        <v>2021</v>
      </c>
      <c r="AW1668" t="n">
        <v>772</v>
      </c>
      <c r="BE1668" t="n">
        <v>145379</v>
      </c>
      <c r="BF1668" t="inlineStr">
        <is>
          <t>10.1016/j.scitotenv.2021.145379</t>
        </is>
      </c>
      <c r="BG1668">
        <f>HYPERLINK("http://dx.doi.org/10.1016/j.scitotenv.2021.145379","http://dx.doi.org/10.1016/j.scitotenv.2021.145379")</f>
        <v/>
      </c>
      <c r="BI1668" t="inlineStr">
        <is>
          <t>FEB 2021</t>
        </is>
      </c>
      <c r="BJ1668" t="n">
        <v>12</v>
      </c>
      <c r="BK1668" t="inlineStr">
        <is>
          <t>Environmental Sciences</t>
        </is>
      </c>
      <c r="BL1668" t="inlineStr">
        <is>
          <t>Science Citation Index Expanded (SCI-EXPANDED); Social Science Citation Index (SSCI)</t>
        </is>
      </c>
      <c r="BM1668" t="inlineStr">
        <is>
          <t>Environmental Sciences &amp; Ecology</t>
        </is>
      </c>
      <c r="BN1668" t="inlineStr">
        <is>
          <t>QW6JO</t>
        </is>
      </c>
      <c r="BO1668" t="n">
        <v>33578150</v>
      </c>
      <c r="BP1668" t="inlineStr">
        <is>
          <t>Green Accepted, Bronze, Green Published</t>
        </is>
      </c>
      <c r="BS1668" t="inlineStr">
        <is>
          <t>2023-10-26</t>
        </is>
      </c>
      <c r="BT1668" t="inlineStr">
        <is>
          <t>WOS:000628753700078</t>
        </is>
      </c>
      <c r="BU1668">
        <f>HYPERLINK("https%3A%2F%2Fwww.webofscience.com%2Fwos%2Fwoscc%2Ffull-record%2FWOS:000628753700078","View Full Record in Web of Science")</f>
        <v/>
      </c>
    </row>
    <row r="1669">
      <c r="A1669" t="inlineStr">
        <is>
          <t>J</t>
        </is>
      </c>
      <c r="B1669" t="inlineStr">
        <is>
          <t>Fang, X; Shi, XY; Gao, WJ</t>
        </is>
      </c>
      <c r="F1669" t="inlineStr">
        <is>
          <t>Fang, Xue; Shi, Xinyu; Gao, Weijun</t>
        </is>
      </c>
      <c r="J1669" t="inlineStr">
        <is>
          <t>JOURNAL OF CLEANER PRODUCTION</t>
        </is>
      </c>
      <c r="M1669" t="inlineStr">
        <is>
          <t>English</t>
        </is>
      </c>
      <c r="N1669" t="inlineStr">
        <is>
          <t>Article</t>
        </is>
      </c>
      <c r="T1669" t="inlineStr">
        <is>
          <t>Measuring urban sustainability from the quality of the built environment and pressure on the natural environment in China: A case study of the Shandong Peninsula region</t>
        </is>
      </c>
      <c r="U1669" t="inlineStr">
        <is>
          <t>Urban sustainability; Quality of built environment; Environmental pressure; Shandong peninsula region; Evaluation system</t>
        </is>
      </c>
      <c r="W1669" t="inlineStr">
        <is>
          <t>This study aims to propose a new evaluation system for urban sustainability, defined as the ratio of the two dimensions: quality of the built environment and environmental pressure. The quality of the built environment includes urbanization economies, infrastructure development, and urban attraction. Environmental pressure includes resource consumption, and environmental pollution. Through a case study of the Shandong Peninsula region, this evaluation method has proven helpful in quantifying the development capacity of urban sustainability, proposing targeted improvement measures and evaluating implementation effects. The data of all indicators is for the period between 2008 and 2017, which was collected from the public authoritative China Statistical Yearbook. All 16 the cities of Shandong Peninsula region are classified into four study types for discussion. The empirical results show that the urban sustainability model is applicable to conveniently combine various analytical methods to help multiple parties reach a common consensus and formulate effective development decisions. In terms of the Shandong Peninsula region, (1) the quality of built environment of cities in four types was at quite different levels, while there was not much difference among the four groups regarding the environmental pressure. (2) Large coastal cities have the highest urban sustainability value, followed by medium-sized coastal cities, large inland cities, and medium-sized inland cities. (3) At the current stage, improving the quality of built environment would bring more environmental pressure through more energy consumption and causing more environmental pollution. Therefore, it is necessary to push forward relevant environmental protection mechanisms corresponding to urban construction to achieve the Sustainable Development Goals (SDGs). (c) 2020 Elsevier Ltd. All rights reserved.</t>
        </is>
      </c>
      <c r="X1669" t="inlineStr">
        <is>
          <t>[Fang, Xue; Shi, Xinyu; Gao, Weijun] Qingdao Univ Technol, iSMART, Qingdao 266061, Peoples R China; [Fang, Xue; Shi, Xinyu; Gao, Weijun] Univ Kitakyushu, Fac Environm Engn, Kitakyushu, Fukuoka 8080135, Japan</t>
        </is>
      </c>
      <c r="Y1669" t="inlineStr">
        <is>
          <t>Qingdao University of Technology; University of Kitakyushu</t>
        </is>
      </c>
      <c r="Z1669" t="inlineStr">
        <is>
          <t>Gao, WJ (corresponding author), Qingdao Univ Technol, iSMART, Qingdao 266061, Peoples R China.</t>
        </is>
      </c>
      <c r="AA1669" t="inlineStr">
        <is>
          <t>architect.fx@hotmail.com; sxy@qut.edu.cn; weijun@kitakyu-u.ac.jp</t>
        </is>
      </c>
      <c r="AB1669" t="inlineStr">
        <is>
          <t>Fang, Xue/GSJ-2934-2022; Gao, Weijun/A-6350-2011</t>
        </is>
      </c>
      <c r="AC1669" t="inlineStr">
        <is>
          <t>Fang, Xue/0000-0001-8946-6621; Shi, Xinyu/0000-0003-2690-4035</t>
        </is>
      </c>
      <c r="AD1669" t="inlineStr">
        <is>
          <t>Innovation Institute for Sustainable Maritime Architecture Research and Technology (iSMART) of Qingdao University of Technology</t>
        </is>
      </c>
      <c r="AE1669" t="inlineStr">
        <is>
          <t>Innovation Institute for Sustainable Maritime Architecture Research and Technology (iSMART) of Qingdao University of Technology</t>
        </is>
      </c>
      <c r="AF1669" t="inlineStr">
        <is>
          <t>This research was funded by the Innovation Institute for Sustainable Maritime Architecture Research and Technology (iSMART) of Qingdao University of Technology. The authors would like to acknowledge and express their gratitude to all the people who helped complete this research and to the editors and reviewers for their suggestions for improving the manuscript.</t>
        </is>
      </c>
      <c r="AH1669" t="n">
        <v>44</v>
      </c>
      <c r="AI1669" t="n">
        <v>12</v>
      </c>
      <c r="AJ1669" t="n">
        <v>12</v>
      </c>
      <c r="AK1669" t="n">
        <v>4</v>
      </c>
      <c r="AL1669" t="n">
        <v>34</v>
      </c>
      <c r="AM1669" t="inlineStr">
        <is>
          <t>ELSEVIER SCI LTD</t>
        </is>
      </c>
      <c r="AN1669" t="inlineStr">
        <is>
          <t>OXFORD</t>
        </is>
      </c>
      <c r="AO1669" t="inlineStr">
        <is>
          <t>THE BOULEVARD, LANGFORD LANE, KIDLINGTON, OXFORD OX5 1GB, OXON, ENGLAND</t>
        </is>
      </c>
      <c r="AP1669" t="inlineStr">
        <is>
          <t>0959-6526</t>
        </is>
      </c>
      <c r="AQ1669" t="inlineStr">
        <is>
          <t>1879-1786</t>
        </is>
      </c>
      <c r="AS1669" t="inlineStr">
        <is>
          <t>J CLEAN PROD</t>
        </is>
      </c>
      <c r="AT1669" t="inlineStr">
        <is>
          <t>J. Clean Prod.</t>
        </is>
      </c>
      <c r="AU1669" t="inlineStr">
        <is>
          <t>MAR 20</t>
        </is>
      </c>
      <c r="AV1669" t="n">
        <v>2021</v>
      </c>
      <c r="AW1669" t="n">
        <v>289</v>
      </c>
      <c r="BE1669" t="n">
        <v>125145</v>
      </c>
      <c r="BF1669" t="inlineStr">
        <is>
          <t>10.1016/j.jclepro.2020.125145</t>
        </is>
      </c>
      <c r="BG1669">
        <f>HYPERLINK("http://dx.doi.org/10.1016/j.jclepro.2020.125145","http://dx.doi.org/10.1016/j.jclepro.2020.125145")</f>
        <v/>
      </c>
      <c r="BI1669" t="inlineStr">
        <is>
          <t>FEB 2021</t>
        </is>
      </c>
      <c r="BJ1669" t="n">
        <v>14</v>
      </c>
      <c r="BK1669" t="inlineStr">
        <is>
          <t>Green &amp; Sustainable Science &amp; Technology; Engineering, Environmental; Environmental Sciences</t>
        </is>
      </c>
      <c r="BL1669" t="inlineStr">
        <is>
          <t>Science Citation Index Expanded (SCI-EXPANDED); Social Science Citation Index (SSCI)</t>
        </is>
      </c>
      <c r="BM1669" t="inlineStr">
        <is>
          <t>Science &amp; Technology - Other Topics; Engineering; Environmental Sciences &amp; Ecology</t>
        </is>
      </c>
      <c r="BN1669" t="inlineStr">
        <is>
          <t>QK3IC</t>
        </is>
      </c>
      <c r="BS1669" t="inlineStr">
        <is>
          <t>2023-10-26</t>
        </is>
      </c>
      <c r="BT1669" t="inlineStr">
        <is>
          <t>WOS:000620273200002</t>
        </is>
      </c>
      <c r="BU1669">
        <f>HYPERLINK("https%3A%2F%2Fwww.webofscience.com%2Fwos%2Fwoscc%2Ffull-record%2FWOS:000620273200002","View Full Record in Web of Science")</f>
        <v/>
      </c>
    </row>
    <row r="1670">
      <c r="A1670" t="inlineStr">
        <is>
          <t>J</t>
        </is>
      </c>
      <c r="B1670" t="inlineStr">
        <is>
          <t>Dai, QM; Su, H; Zhou, ZH; Li, CF; Zou, JH; Zhou, Y; Song, RY; Liu, Y; Xu, LJ; Zhou, YQ</t>
        </is>
      </c>
      <c r="F1670" t="inlineStr">
        <is>
          <t>Dai, Qingmin; Su, Hong; Zhou, Zanhua; Li, Caifu; Zou, Jihua; Zhou, Ying; Song, Rhayun; Liu, Yang; Xu, Lijuan; Zhou, Yuqiu</t>
        </is>
      </c>
      <c r="J1670" t="inlineStr">
        <is>
          <t>INTERNATIONAL JOURNAL OF ENVIRONMENTAL RESEARCH AND PUBLIC HEALTH</t>
        </is>
      </c>
      <c r="M1670" t="inlineStr">
        <is>
          <t>English</t>
        </is>
      </c>
      <c r="N1670" t="inlineStr">
        <is>
          <t>Article</t>
        </is>
      </c>
      <c r="T1670" t="inlineStr">
        <is>
          <t>Psychometric Evaluation of the Chinese Version of Mild Cognitive Impairment Questionnaire among Older Adults with Mild Cognitive Impairment</t>
        </is>
      </c>
      <c r="U1670" t="inlineStr">
        <is>
          <t>mild cognitive questionnaire; older adults; psychometric test; quality of life; reliability; validity</t>
        </is>
      </c>
      <c r="V1670" t="inlineStr">
        <is>
          <t>QUALITY-OF-LIFE; SUBJECTIVE MEMORY COMPLAINTS; DEPRESSIVE SYMPTOMS; FRAILTY; PEOPLE; DEMENTIA</t>
        </is>
      </c>
      <c r="W1670" t="inlineStr">
        <is>
          <t>Background: There is a lack of instruments for measuring quality of life (QOL) in Chinese patients with mild cognitive impairment (MCI). This study aimed to translate the Mild Cognitive Questionnaire (MCQ) into the Chinese language and to evaluate the reliability and construct validity of the MCQ-Chinese among older adults with MCI. Methods: Linguistic translation and validation of the questionnaire were conducted according to the MCQ developer and Oxford University Innovation guidelines. After a pilot test, the final version of the MCQ-Chinese was applied to a convenience sample of older adults with MCI (n = 186). Cronbach's alpha and confirmatory factor analyses were used to assess the reliability and construct validity of the MCQ-Chinese. In addition, non-parametric analysis was used to assess convergent and discriminant validity. Results: The total scale and all the factors had good internal consistency, with Cronbach's alpha values ranging from 0.90 to 0.92. Confirmatory factor analysis indicated satisfactory goodness of fit for the 2-factor MCQ. The MCQ-Chinese had a good convergent validity, and the discriminant validity was confirmed with a significant difference in MCQ scores in different health conditions. Conclusions: MCQ-Chinese is a reliable tool for assessing QOL among Chinese older adults with MCI.</t>
        </is>
      </c>
      <c r="X1670" t="inlineStr">
        <is>
          <t>[Dai, Qingmin] Lishui Univ, Ecol Coll, 1 Xueyuan Rd, Lishui 323000, Peoples R China; [Su, Hong; Liu, Yang; Zhou, Yuqiu] Univ Harbin Med, Dept Nursing, Daqing Campus,39 Shinyo Rd, Daqing 163319, Peoples R China; [Zhou, Zanhua; Li, Caifu; Zou, Jihua; Zhou, Ying; Xu, Lijuan] Lishui Univ, Med Coll, 1 Xueyuan Rd, Lishui 323000, Peoples R China; [Song, Rhayun] Chungnam Natl Univ, Nursing Coll, 266 Munwha Dong, Daejeon 35015, South Korea</t>
        </is>
      </c>
      <c r="Y1670" t="inlineStr">
        <is>
          <t>Lishui University; Lishui University; Chungnam National University</t>
        </is>
      </c>
      <c r="Z1670" t="inlineStr">
        <is>
          <t>Zhou, YQ (corresponding author), Univ Harbin Med, Dept Nursing, Daqing Campus,39 Shinyo Rd, Daqing 163319, Peoples R China.;Xu, LJ (corresponding author), Lishui Univ, Med Coll, 1 Xueyuan Rd, Lishui 323000, Peoples R China.</t>
        </is>
      </c>
      <c r="AA1670" t="inlineStr">
        <is>
          <t>ljxu@lsu.edu.cn; hlxzyq@126.com</t>
        </is>
      </c>
      <c r="AB1670" t="inlineStr">
        <is>
          <t>Li, Cai-Fu/F-3631-2016</t>
        </is>
      </c>
      <c r="AC1670" t="inlineStr">
        <is>
          <t>Li, Cai-Fu/0000-0003-2618-9449; XU, LIJUAN/0000-0003-2825-5657; Song, Rhayun/0000-0001-9461-4246</t>
        </is>
      </c>
      <c r="AH1670" t="n">
        <v>44</v>
      </c>
      <c r="AI1670" t="n">
        <v>0</v>
      </c>
      <c r="AJ1670" t="n">
        <v>0</v>
      </c>
      <c r="AK1670" t="n">
        <v>0</v>
      </c>
      <c r="AL1670" t="n">
        <v>1</v>
      </c>
      <c r="AM1670" t="inlineStr">
        <is>
          <t>MDPI</t>
        </is>
      </c>
      <c r="AN1670" t="inlineStr">
        <is>
          <t>BASEL</t>
        </is>
      </c>
      <c r="AO1670" t="inlineStr">
        <is>
          <t>ST ALBAN-ANLAGE 66, CH-4052 BASEL, SWITZERLAND</t>
        </is>
      </c>
      <c r="AQ1670" t="inlineStr">
        <is>
          <t>1660-4601</t>
        </is>
      </c>
      <c r="AS1670" t="inlineStr">
        <is>
          <t>INT J ENV RES PUB HE</t>
        </is>
      </c>
      <c r="AT1670" t="inlineStr">
        <is>
          <t>Int. J. Environ. Res. Public Health</t>
        </is>
      </c>
      <c r="AU1670" t="inlineStr">
        <is>
          <t>JAN</t>
        </is>
      </c>
      <c r="AV1670" t="n">
        <v>2023</v>
      </c>
      <c r="AW1670" t="n">
        <v>20</v>
      </c>
      <c r="AX1670" t="n">
        <v>1</v>
      </c>
      <c r="BE1670" t="n">
        <v>498</v>
      </c>
      <c r="BF1670" t="inlineStr">
        <is>
          <t>10.3390/ijerph20010498</t>
        </is>
      </c>
      <c r="BG1670">
        <f>HYPERLINK("http://dx.doi.org/10.3390/ijerph20010498","http://dx.doi.org/10.3390/ijerph20010498")</f>
        <v/>
      </c>
      <c r="BJ1670" t="n">
        <v>11</v>
      </c>
      <c r="BK1670" t="inlineStr">
        <is>
          <t>Environmental Sciences; Public, Environmental &amp; Occupational Health</t>
        </is>
      </c>
      <c r="BL1670" t="inlineStr">
        <is>
          <t>Science Citation Index Expanded (SCI-EXPANDED); Social Science Citation Index (SSCI)</t>
        </is>
      </c>
      <c r="BM1670" t="inlineStr">
        <is>
          <t>Environmental Sciences &amp; Ecology; Public, Environmental &amp; Occupational Health</t>
        </is>
      </c>
      <c r="BN1670" t="inlineStr">
        <is>
          <t>7P6PO</t>
        </is>
      </c>
      <c r="BO1670" t="n">
        <v>36612819</v>
      </c>
      <c r="BP1670" t="inlineStr">
        <is>
          <t>Green Published, gold</t>
        </is>
      </c>
      <c r="BS1670" t="inlineStr">
        <is>
          <t>2023-10-26</t>
        </is>
      </c>
      <c r="BT1670" t="inlineStr">
        <is>
          <t>WOS:000908825100001</t>
        </is>
      </c>
      <c r="BU1670">
        <f>HYPERLINK("https%3A%2F%2Fwww.webofscience.com%2Fwos%2Fwoscc%2Ffull-record%2FWOS:000908825100001","View Full Record in Web of Science")</f>
        <v/>
      </c>
    </row>
    <row r="1671">
      <c r="A1671" t="inlineStr">
        <is>
          <t>J</t>
        </is>
      </c>
      <c r="B1671" t="inlineStr">
        <is>
          <t>Ismail, MA; Keumala, N; Dabdoob, RM</t>
        </is>
      </c>
      <c r="F1671" t="inlineStr">
        <is>
          <t>Ismail, Muhammad Azzam; Keumala, Nila; Dabdoob, Rawia Marwan</t>
        </is>
      </c>
      <c r="J1671" t="inlineStr">
        <is>
          <t>JOURNAL OF CLEANER PRODUCTION</t>
        </is>
      </c>
      <c r="M1671" t="inlineStr">
        <is>
          <t>English</t>
        </is>
      </c>
      <c r="N1671" t="inlineStr">
        <is>
          <t>Review</t>
        </is>
      </c>
      <c r="T1671" t="inlineStr">
        <is>
          <t>Review on integrating sustainability knowledge into architectural education: Practice in the UK and the USA</t>
        </is>
      </c>
      <c r="U1671" t="inlineStr">
        <is>
          <t>Architectural education; UK; USA</t>
        </is>
      </c>
      <c r="W1671" t="inlineStr">
        <is>
          <t>The United Nations Decade of Education for Sustainable Development steered by The United Nations Organization for Education, Science and Culture (UNESCO) since 2005 ended in 2014. It looked into the integration principles, values and practices of sustainable development in all aspects of education and learning, with the intention of addressing the global social, economic, cultural and environmental issues in the 21st century. It has become an essential issue in architectural education to create awareness among future generations of architects to be more sensitive towards the environmental impact of architecture on human behavior. This encouraged every school of architecture to incorporate sustainability knowledge into its curriculum and promote 'sustainable architectural education', leading to the questions of: what type of structural model of integration approach being applied in promoting architectural sustainable education? The objectives of this paper are to investigate the type of structural models that have been applied in architectural curriculum in selected schools of architecture in both countries and evaluate the level of-emphasis in incorporating sustainability knowledge in the curriculum. Therefore, this-paper reviewed the approach of integration principles, values and practices of sustainable development at 10 conveniently sampled architecture schools in the United Kingdom (UK) and the United States of America (USA). Data was collected from their respective web sites and their concepts of integration were reviewed and the distribution of credit hours revealed to determine the level of emphasis considered. Findings showed various paths taken by the different institutions in integrating the knowledge of sustainability into their architectural curriculum. This paper concludes with recommendations for further research into gauging the effectiveness of architectural curricula with integrated sustainability knowledge. (C) 2016 Elsevier Ltd. All rights reserved.</t>
        </is>
      </c>
      <c r="X1671" t="inlineStr">
        <is>
          <t>[Ismail, Muhammad Azzam; Keumala, Nila; Dabdoob, Rawia Marwan] Univ Malaya, Fac Built Environm, Dept Architecture, Kuala Lumpur 50603, Malaysia</t>
        </is>
      </c>
      <c r="Y1671" t="inlineStr">
        <is>
          <t>Universiti Malaya</t>
        </is>
      </c>
      <c r="Z1671" t="inlineStr">
        <is>
          <t>Ismail, MA (corresponding author), Univ Malaya, Fac Built Environm, Dept Architecture, Kuala Lumpur 50603, Malaysia.</t>
        </is>
      </c>
      <c r="AA1671" t="inlineStr">
        <is>
          <t>ma.ismail@um.edu.my; nimk@um.ed.my; rawia.dabdoob@gmail.com</t>
        </is>
      </c>
      <c r="AB1671" t="inlineStr">
        <is>
          <t>Ismail, Muhammad Azzam/F-8286-2011</t>
        </is>
      </c>
      <c r="AC1671" t="inlineStr">
        <is>
          <t>Ismail, Muhammad Azzam/0000-0002-5341-7374</t>
        </is>
      </c>
      <c r="AD1671" t="inlineStr">
        <is>
          <t>University of Malaya; Translation of Knowledge on Sustainability into Design Studio Architecture Projects Practiced in Malaysia [UM.C/625/1/HIR/MOHE/ARTS/06]</t>
        </is>
      </c>
      <c r="AE1671" t="inlineStr">
        <is>
          <t>University of Malaya(Universiti Malaya); Translation of Knowledge on Sustainability into Design Studio Architecture Projects Practiced in Malaysia</t>
        </is>
      </c>
      <c r="AF1671" t="inlineStr">
        <is>
          <t>We would like to express our gratitude and appreciation to University of Malaya with respect to the support for this project, under the grant on Translation of Knowledge on Sustainability into Design Studio Architecture Projects Practiced in Malaysia, UM.C/625/1/HIR/MOHE/ARTS/06.</t>
        </is>
      </c>
      <c r="AH1671" t="n">
        <v>77</v>
      </c>
      <c r="AI1671" t="n">
        <v>19</v>
      </c>
      <c r="AJ1671" t="n">
        <v>19</v>
      </c>
      <c r="AK1671" t="n">
        <v>4</v>
      </c>
      <c r="AL1671" t="n">
        <v>31</v>
      </c>
      <c r="AM1671" t="inlineStr">
        <is>
          <t>ELSEVIER SCI LTD</t>
        </is>
      </c>
      <c r="AN1671" t="inlineStr">
        <is>
          <t>OXFORD</t>
        </is>
      </c>
      <c r="AO1671" t="inlineStr">
        <is>
          <t>THE BOULEVARD, LANGFORD LANE, KIDLINGTON, OXFORD OX5 1GB, OXON, ENGLAND</t>
        </is>
      </c>
      <c r="AP1671" t="inlineStr">
        <is>
          <t>0959-6526</t>
        </is>
      </c>
      <c r="AQ1671" t="inlineStr">
        <is>
          <t>1879-1786</t>
        </is>
      </c>
      <c r="AS1671" t="inlineStr">
        <is>
          <t>J CLEAN PROD</t>
        </is>
      </c>
      <c r="AT1671" t="inlineStr">
        <is>
          <t>J. Clean Prod.</t>
        </is>
      </c>
      <c r="AU1671" t="inlineStr">
        <is>
          <t>JAN 1</t>
        </is>
      </c>
      <c r="AV1671" t="n">
        <v>2017</v>
      </c>
      <c r="AW1671" t="n">
        <v>140</v>
      </c>
      <c r="AY1671" t="n">
        <v>3</v>
      </c>
      <c r="BC1671" t="n">
        <v>1542</v>
      </c>
      <c r="BD1671" t="n">
        <v>1552</v>
      </c>
      <c r="BF1671" t="inlineStr">
        <is>
          <t>10.1016/j.jclepro.2016.09.219</t>
        </is>
      </c>
      <c r="BG1671">
        <f>HYPERLINK("http://dx.doi.org/10.1016/j.jclepro.2016.09.219","http://dx.doi.org/10.1016/j.jclepro.2016.09.219")</f>
        <v/>
      </c>
      <c r="BJ1671" t="n">
        <v>11</v>
      </c>
      <c r="BK1671" t="inlineStr">
        <is>
          <t>Green &amp; Sustainable Science &amp; Technology; Engineering, Environmental; Environmental Sciences</t>
        </is>
      </c>
      <c r="BL1671" t="inlineStr">
        <is>
          <t>Science Citation Index Expanded (SCI-EXPANDED)</t>
        </is>
      </c>
      <c r="BM1671" t="inlineStr">
        <is>
          <t>Science &amp; Technology - Other Topics; Engineering; Environmental Sciences &amp; Ecology</t>
        </is>
      </c>
      <c r="BN1671" t="inlineStr">
        <is>
          <t>ED3UZ</t>
        </is>
      </c>
      <c r="BS1671" t="inlineStr">
        <is>
          <t>2023-10-26</t>
        </is>
      </c>
      <c r="BT1671" t="inlineStr">
        <is>
          <t>WOS:000388775300046</t>
        </is>
      </c>
      <c r="BU1671">
        <f>HYPERLINK("https%3A%2F%2Fwww.webofscience.com%2Fwos%2Fwoscc%2Ffull-record%2FWOS:000388775300046","View Full Record in Web of Science")</f>
        <v/>
      </c>
    </row>
    <row r="1672">
      <c r="A1672" t="inlineStr">
        <is>
          <t>J</t>
        </is>
      </c>
      <c r="B1672" t="inlineStr">
        <is>
          <t>Amoah, PA</t>
        </is>
      </c>
      <c r="F1672" t="inlineStr">
        <is>
          <t>Amoah, Padmore Adusei</t>
        </is>
      </c>
      <c r="J1672" t="inlineStr">
        <is>
          <t>INTERNATIONAL JOURNAL OF ENVIRONMENTAL RESEARCH AND PUBLIC HEALTH</t>
        </is>
      </c>
      <c r="M1672" t="inlineStr">
        <is>
          <t>English</t>
        </is>
      </c>
      <c r="N1672" t="inlineStr">
        <is>
          <t>Article</t>
        </is>
      </c>
      <c r="T1672" t="inlineStr">
        <is>
          <t>The Relationship between Functional Health Literacy, Self-Rated Health, and Social Support between Younger and Older Adults in Ghana</t>
        </is>
      </c>
      <c r="U1672" t="inlineStr">
        <is>
          <t>health literacy; social support; social networks; health status; young and emerging adults; older persons; Ghana</t>
        </is>
      </c>
      <c r="V1672" t="inlineStr">
        <is>
          <t>WELL; ASSOCIATION; DEPRESSION; BEHAVIORS; OUTCOMES; DECLINE; PEOPLE; LIFE; TIES</t>
        </is>
      </c>
      <c r="W1672" t="inlineStr">
        <is>
          <t>It is well established that health literacy positively affects health outcomes, and social support influences this association. What remains unclear is which aspect of social support (instrumental, informational, and emotional support) is responsible for this effect and whether the influence differs from one population group to another. This study addresses these lacunae. It examines the impact each type of support makes on the relation between functional health literacy (FHL) and self-rated health status among younger and older adults in Ghana. Data were pooled from two cross-sectional surveys, together comprising 521 participants in the Ashanti Region. The results indicated that young adults were more likely to possess sufficient FHL and perceive their health more positively than older adults. While FHL was positively associated with health status, the relation was stronger when young adults received a high level of emotional support. Among older persons, informational support substantially moderated the association between FHL and health status. Thus, social support modifies the relations between FHL and health status among younger and older adults in different ways and to different degrees. Therefore, interventions to improve FHL and health amongst younger and older adults should pay due regard to relevant aspects of social support.</t>
        </is>
      </c>
      <c r="X1672" t="inlineStr">
        <is>
          <t>[Amoah, Padmore Adusei] Lingnan Univ, Sch Grad Studies, Asia Pacific Inst Ageing Studies, Ctr Social Policy &amp; Social Change, Hong Kong, Peoples R China</t>
        </is>
      </c>
      <c r="Y1672" t="inlineStr">
        <is>
          <t>Lingnan University</t>
        </is>
      </c>
      <c r="Z1672" t="inlineStr">
        <is>
          <t>Amoah, PA (corresponding author), Lingnan Univ, Sch Grad Studies, Asia Pacific Inst Ageing Studies, Ctr Social Policy &amp; Social Change, Hong Kong, Peoples R China.</t>
        </is>
      </c>
      <c r="AA1672" t="inlineStr">
        <is>
          <t>pamoah@LN.edu.hk</t>
        </is>
      </c>
      <c r="AB1672" t="inlineStr">
        <is>
          <t>Amoah, Padmore Adusei/AFL-6178-2022; Amoah, Padmore Adusei/AAG-6169-2022</t>
        </is>
      </c>
      <c r="AC1672" t="inlineStr">
        <is>
          <t>Amoah, Padmore Adusei/0000-0002-8730-5805; Amoah, Padmore Adusei/0000-0002-8730-5805</t>
        </is>
      </c>
      <c r="AD1672" t="inlineStr">
        <is>
          <t>Hong Kong Research Grants Council [PF13-11276]; Lignan University [102338]</t>
        </is>
      </c>
      <c r="AE1672" t="inlineStr">
        <is>
          <t>Hong Kong Research Grants Council(Hong Kong Research Grants Council); Lignan University</t>
        </is>
      </c>
      <c r="AF1672" t="inlineStr">
        <is>
          <t>The author acknowledges the Hong Kong Research Grants Council through its PhD Fellowship Scheme (Reference number: PF13-11276), for funding the research on which this paper is based. However, the funders played no role in designing the study, gathering and analyzing data, manuscript preparation and the decision to publish the manuscript. Preparation of the manuscript was also supported through the Lignan University Seed Fund (Reference number: 102338).</t>
        </is>
      </c>
      <c r="AH1672" t="n">
        <v>66</v>
      </c>
      <c r="AI1672" t="n">
        <v>16</v>
      </c>
      <c r="AJ1672" t="n">
        <v>16</v>
      </c>
      <c r="AK1672" t="n">
        <v>4</v>
      </c>
      <c r="AL1672" t="n">
        <v>19</v>
      </c>
      <c r="AM1672" t="inlineStr">
        <is>
          <t>MDPI</t>
        </is>
      </c>
      <c r="AN1672" t="inlineStr">
        <is>
          <t>BASEL</t>
        </is>
      </c>
      <c r="AO1672" t="inlineStr">
        <is>
          <t>ST ALBAN-ANLAGE 66, CH-4052 BASEL, SWITZERLAND</t>
        </is>
      </c>
      <c r="AQ1672" t="inlineStr">
        <is>
          <t>1660-4601</t>
        </is>
      </c>
      <c r="AS1672" t="inlineStr">
        <is>
          <t>INT J ENV RES PUB HE</t>
        </is>
      </c>
      <c r="AT1672" t="inlineStr">
        <is>
          <t>Int. J. Environ. Res. Public Health</t>
        </is>
      </c>
      <c r="AU1672" t="inlineStr">
        <is>
          <t>SEP 1</t>
        </is>
      </c>
      <c r="AV1672" t="n">
        <v>2019</v>
      </c>
      <c r="AW1672" t="n">
        <v>16</v>
      </c>
      <c r="AX1672" t="n">
        <v>17</v>
      </c>
      <c r="BE1672" t="n">
        <v>3188</v>
      </c>
      <c r="BF1672" t="inlineStr">
        <is>
          <t>10.3390/ijerph16173188</t>
        </is>
      </c>
      <c r="BG1672">
        <f>HYPERLINK("http://dx.doi.org/10.3390/ijerph16173188","http://dx.doi.org/10.3390/ijerph16173188")</f>
        <v/>
      </c>
      <c r="BJ1672" t="n">
        <v>14</v>
      </c>
      <c r="BK1672" t="inlineStr">
        <is>
          <t>Environmental Sciences; Public, Environmental &amp; Occupational Health</t>
        </is>
      </c>
      <c r="BL1672" t="inlineStr">
        <is>
          <t>Science Citation Index Expanded (SCI-EXPANDED); Social Science Citation Index (SSCI)</t>
        </is>
      </c>
      <c r="BM1672" t="inlineStr">
        <is>
          <t>Environmental Sciences &amp; Ecology; Public, Environmental &amp; Occupational Health</t>
        </is>
      </c>
      <c r="BN1672" t="inlineStr">
        <is>
          <t>IZ4EQ</t>
        </is>
      </c>
      <c r="BO1672" t="n">
        <v>31480487</v>
      </c>
      <c r="BP1672" t="inlineStr">
        <is>
          <t>gold, Green Published, Green Submitted</t>
        </is>
      </c>
      <c r="BS1672" t="inlineStr">
        <is>
          <t>2023-10-26</t>
        </is>
      </c>
      <c r="BT1672" t="inlineStr">
        <is>
          <t>WOS:000487037500183</t>
        </is>
      </c>
      <c r="BU1672">
        <f>HYPERLINK("https%3A%2F%2Fwww.webofscience.com%2Fwos%2Fwoscc%2Ffull-record%2FWOS:000487037500183","View Full Record in Web of Science")</f>
        <v/>
      </c>
    </row>
    <row r="1673">
      <c r="A1673" t="inlineStr">
        <is>
          <t>J</t>
        </is>
      </c>
      <c r="B1673" t="inlineStr">
        <is>
          <t>Malagnino, A; Montanaro, T; Lazoi, M; Sergi, I; Corallo, A; Patrono, L</t>
        </is>
      </c>
      <c r="F1673" t="inlineStr">
        <is>
          <t>Malagnino, Ada; Montanaro, Teodoro; Lazoi, Mariangela; Sergi, Ilaria; Corallo, Angelo; Patrono, Luigi</t>
        </is>
      </c>
      <c r="J1673" t="inlineStr">
        <is>
          <t>JOURNAL OF CLEANER PRODUCTION</t>
        </is>
      </c>
      <c r="M1673" t="inlineStr">
        <is>
          <t>English</t>
        </is>
      </c>
      <c r="N1673" t="inlineStr">
        <is>
          <t>Review</t>
        </is>
      </c>
      <c r="T1673" t="inlineStr">
        <is>
          <t>Building Information Modeling and Internet of Things integration for smart and sustainable environments: A review</t>
        </is>
      </c>
      <c r="U1673" t="inlineStr">
        <is>
          <t>Environmental sustainability; Smart environment; Internet of Things; BIM (Building Information Modeling); IoT</t>
        </is>
      </c>
      <c r="V1673" t="inlineStr">
        <is>
          <t>TECHNOLOGIES; CONSTRUCTION</t>
        </is>
      </c>
      <c r="W1673" t="inlineStr">
        <is>
          <t>During the last decades, society has increasingly moved towards the adoption of digital solutions in almost every aspect of people's lives with the aim of enhancing daily activities. At the same time, the environmental impact of the built environment has attracted the attention of public opinion that is gradually perceiving the necessity of limiting its negative effects in order to safeguard the Earth and people's wellbeing. The Internet of Things is one of the biggest ecosystems that is bringing innovations encompassing digital solutions in almost every sector. On the other hand, the Building Information Modeling approach allows for data sharing among stakeholders, traceability, and the integrated management of the building or infrastructure life-cycle through a 3D informative virtual model. Our study reviews existing research works and technological solutions that integrate these two important topics to enhance the sustainability of the built environment, making it smarter. The presented review analyses the existing papers available in literature from January 2015 to December 2020, to present the best practices in this integration and discuss limitations of the identified solutions. Based on the outcomes of the analysis and aiming at the creation of a solid knowledge basis for the community interested in the sector, a comprehensive modular architecture has been proposed. Finally, new directions for future works are presented by discussing how the proposed architecture can actually facilitate the design and development phases.</t>
        </is>
      </c>
      <c r="X1673" t="inlineStr">
        <is>
          <t>[Malagnino, Ada; Montanaro, Teodoro; Lazoi, Mariangela; Sergi, Ilaria; Corallo, Angelo; Patrono, Luigi] Univ Salento, Dept Innovat Engn, I-73100 Lecce, Italy</t>
        </is>
      </c>
      <c r="Y1673" t="inlineStr">
        <is>
          <t>University of Salento</t>
        </is>
      </c>
      <c r="Z1673" t="inlineStr">
        <is>
          <t>Malagnino, A (corresponding author), Univ Salento, Dept Innovat Engn, I-73100 Lecce, Italy.</t>
        </is>
      </c>
      <c r="AA1673" t="inlineStr">
        <is>
          <t>ada.malagnino@unisalento.it; teodoro.montanaro@unisalento.it; mariangela.lazoi@unisalento.it; ilaria.sergi@unisalento.it; angelo.corallo@unisalento.it; luigi.patrono@unisalento.it</t>
        </is>
      </c>
      <c r="AB1673" t="inlineStr">
        <is>
          <t>Montanaro, Teodoro/Q-5705-2016; Sergi, Ilaria/HJI-7888-2023</t>
        </is>
      </c>
      <c r="AC1673" t="inlineStr">
        <is>
          <t>Montanaro, Teodoro/0000-0003-1750-8268;</t>
        </is>
      </c>
      <c r="AH1673" t="n">
        <v>75</v>
      </c>
      <c r="AI1673" t="n">
        <v>18</v>
      </c>
      <c r="AJ1673" t="n">
        <v>18</v>
      </c>
      <c r="AK1673" t="n">
        <v>10</v>
      </c>
      <c r="AL1673" t="n">
        <v>48</v>
      </c>
      <c r="AM1673" t="inlineStr">
        <is>
          <t>ELSEVIER SCI LTD</t>
        </is>
      </c>
      <c r="AN1673" t="inlineStr">
        <is>
          <t>OXFORD</t>
        </is>
      </c>
      <c r="AO1673" t="inlineStr">
        <is>
          <t>THE BOULEVARD, LANGFORD LANE, KIDLINGTON, OXFORD OX5 1GB, OXON, ENGLAND</t>
        </is>
      </c>
      <c r="AP1673" t="inlineStr">
        <is>
          <t>0959-6526</t>
        </is>
      </c>
      <c r="AQ1673" t="inlineStr">
        <is>
          <t>1879-1786</t>
        </is>
      </c>
      <c r="AS1673" t="inlineStr">
        <is>
          <t>J CLEAN PROD</t>
        </is>
      </c>
      <c r="AT1673" t="inlineStr">
        <is>
          <t>J. Clean Prod.</t>
        </is>
      </c>
      <c r="AU1673" t="inlineStr">
        <is>
          <t>AUG 20</t>
        </is>
      </c>
      <c r="AV1673" t="n">
        <v>2021</v>
      </c>
      <c r="AW1673" t="n">
        <v>312</v>
      </c>
      <c r="BE1673" t="n">
        <v>127716</v>
      </c>
      <c r="BF1673" t="inlineStr">
        <is>
          <t>10.1016/j.jclepro.2021.127716</t>
        </is>
      </c>
      <c r="BG1673">
        <f>HYPERLINK("http://dx.doi.org/10.1016/j.jclepro.2021.127716","http://dx.doi.org/10.1016/j.jclepro.2021.127716")</f>
        <v/>
      </c>
      <c r="BI1673" t="inlineStr">
        <is>
          <t>JUN 2021</t>
        </is>
      </c>
      <c r="BJ1673" t="n">
        <v>13</v>
      </c>
      <c r="BK1673" t="inlineStr">
        <is>
          <t>Green &amp; Sustainable Science &amp; Technology; Engineering, Environmental; Environmental Sciences</t>
        </is>
      </c>
      <c r="BL1673" t="inlineStr">
        <is>
          <t>Science Citation Index Expanded (SCI-EXPANDED); Social Science Citation Index (SSCI)</t>
        </is>
      </c>
      <c r="BM1673" t="inlineStr">
        <is>
          <t>Science &amp; Technology - Other Topics; Engineering; Environmental Sciences &amp; Ecology</t>
        </is>
      </c>
      <c r="BN1673" t="inlineStr">
        <is>
          <t>UB5YS</t>
        </is>
      </c>
      <c r="BS1673" t="inlineStr">
        <is>
          <t>2023-10-26</t>
        </is>
      </c>
      <c r="BT1673" t="inlineStr">
        <is>
          <t>WOS:000685921900005</t>
        </is>
      </c>
      <c r="BU1673">
        <f>HYPERLINK("https%3A%2F%2Fwww.webofscience.com%2Fwos%2Fwoscc%2Ffull-record%2FWOS:000685921900005","View Full Record in Web of Science")</f>
        <v/>
      </c>
    </row>
    <row r="1674">
      <c r="A1674" t="inlineStr">
        <is>
          <t>J</t>
        </is>
      </c>
      <c r="B1674" t="inlineStr">
        <is>
          <t>Zou, H; Liu, RC; Cheng, W; Lei, JJ; Ge, J</t>
        </is>
      </c>
      <c r="F1674" t="inlineStr">
        <is>
          <t>Zou, Han; Liu, Ruichao; Cheng, Wen; Lei, Jingjing; Ge, Jing</t>
        </is>
      </c>
      <c r="J1674" t="inlineStr">
        <is>
          <t>SUSTAINABILITY</t>
        </is>
      </c>
      <c r="M1674" t="inlineStr">
        <is>
          <t>English</t>
        </is>
      </c>
      <c r="N1674" t="inlineStr">
        <is>
          <t>Article</t>
        </is>
      </c>
      <c r="T1674" t="inlineStr">
        <is>
          <t>The Association between Street Built Environment and Street Vitality Based on Quantitative Analysis in Historic Areas: A Case Study of Wuhan, China</t>
        </is>
      </c>
      <c r="U1674" t="inlineStr">
        <is>
          <t>historic areas; street built environment; street vitality; quantitative analysis; spatial analysis and statistical analysis</t>
        </is>
      </c>
      <c r="V1674" t="inlineStr">
        <is>
          <t>URBAN; HEALTH; IMPACT</t>
        </is>
      </c>
      <c r="W1674" t="inlineStr">
        <is>
          <t>Over the past decade, enhancing the quality of cities and building vibrant urban streets has become a hot topic in urban planning in China. Although there are many studies on how the built environment affects street vitality, the unique built environment of the street space in historic areas, as the core node of the city, has not been fully explored. This study constructs an association model between the street built environment (SBE) and street vitality in historic areas and evaluates the influence of SBE on street vitality by spatial analysis and statistical analysis methods using POI data, road network data, and Baidu heat map data, taking Wuhan, China, as an example. The results showed that (1) appropriate built environment development intensity, street width-to-height ratio, and facade ratio of historic buildings on the street frontage all can promote street vitality; (2) the spatial distribution of historic buildings converted to commercial functions in historic areas has a high consistency with the spatial distribution of street vitality, and the consistency is significantly higher than that of general urban streets; (3) historic buildings converted to residential functions and those in vacancy or under renovation in historic areas have a significant inhibitory effect on street vitality; and (4) the spatial distribution of transportation facilities and the spatial distribution of street vitality are mutually exclusive in historic areas. This study proposes a method for studying the SBE and street vitality in historic areas and initially explores the relationship between the influences of the SBE on street vitality in historic areas. Since the functional replacement of historic buildings can affect the street vibrancy in historic areas, our findings suggest moderating commercial renovation rather than simply repairing or maintaining the status for enhancing the street vitality. Moreover, the intervention of transportation facilities will reduce the street vitality in historic areas, which provides a basis for the strategy of renewing historic areas into pedestrian street spaces.</t>
        </is>
      </c>
      <c r="X1674" t="inlineStr">
        <is>
          <t>[Zou, Han; Liu, Ruichao; Cheng, Wen; Ge, Jing] Hubei Univ Technol, Sch Civil Engn Architecture &amp; Environm, Wuhan 430068, Peoples R China; [Zou, Han] Hubei Univ Technol, Innovat Demonstrat Base Ecol Environm Geotech &amp; Ec, Wuhan 430068, Peoples R China; [Lei, Jingjing] Huazhong Univ Sci &amp; Technol, Sch Architecture &amp; Urban Planning, Wuhan 430074, Peoples R China</t>
        </is>
      </c>
      <c r="Y1674" t="inlineStr">
        <is>
          <t>Hubei University of Technology; Hubei University of Technology; Huazhong University of Science &amp; Technology</t>
        </is>
      </c>
      <c r="Z1674" t="inlineStr">
        <is>
          <t>Zou, H (corresponding author), Hubei Univ Technol, Sch Civil Engn Architecture &amp; Environm, Wuhan 430068, Peoples R China.;Zou, H (corresponding author), Hubei Univ Technol, Innovat Demonstrat Base Ecol Environm Geotech &amp; Ec, Wuhan 430068, Peoples R China.</t>
        </is>
      </c>
      <c r="AA1674" t="inlineStr">
        <is>
          <t>zouhan@hbut.edu.cn</t>
        </is>
      </c>
      <c r="AC1674" t="inlineStr">
        <is>
          <t>ZOU, Han/0000-0001-7472-5192</t>
        </is>
      </c>
      <c r="AD1674" t="inlineStr">
        <is>
          <t>Ministry of Education, Humanities and Social Sciences Youth Fund [20YJC760145]; Humanities and Social Sciences Fund of Hubei Education Department [20Y044]; Hubei University of Technology Green Industry Science and Technology Leading Program [XJ2021005501]; Innovation Demonstration Base of Ecological Environment Geotechnical and Ecological Restoration of Rivers [2020EJB004]</t>
        </is>
      </c>
      <c r="AE1674" t="inlineStr">
        <is>
          <t>Ministry of Education, Humanities and Social Sciences Youth Fund; Humanities and Social Sciences Fund of Hubei Education Department; Hubei University of Technology Green Industry Science and Technology Leading Program; Innovation Demonstration Base of Ecological Environment Geotechnical and Ecological Restoration of Rivers</t>
        </is>
      </c>
      <c r="AF1674" t="inlineStr">
        <is>
          <t>This research was funded by the Ministry of Education, Humanities and Social Sciences Youth Fund (grant number: 20YJC760145), the Humanities and Social Sciences Fund of Hubei Education Department (grant number: 20Y044), the Hubei University of Technology Green Industry Science and Technology Leading Program (grant number: XJ2021005501), and the Innovation Demonstration Base of Ecological Environment Geotechnical and Ecological Restoration of Rivers and Lakes (2020EJB004).</t>
        </is>
      </c>
      <c r="AH1674" t="n">
        <v>92</v>
      </c>
      <c r="AI1674" t="n">
        <v>2</v>
      </c>
      <c r="AJ1674" t="n">
        <v>2</v>
      </c>
      <c r="AK1674" t="n">
        <v>53</v>
      </c>
      <c r="AL1674" t="n">
        <v>70</v>
      </c>
      <c r="AM1674" t="inlineStr">
        <is>
          <t>MDPI</t>
        </is>
      </c>
      <c r="AN1674" t="inlineStr">
        <is>
          <t>BASEL</t>
        </is>
      </c>
      <c r="AO1674" t="inlineStr">
        <is>
          <t>ST ALBAN-ANLAGE 66, CH-4052 BASEL, SWITZERLAND</t>
        </is>
      </c>
      <c r="AQ1674" t="inlineStr">
        <is>
          <t>2071-1050</t>
        </is>
      </c>
      <c r="AS1674" t="inlineStr">
        <is>
          <t>SUSTAINABILITY-BASEL</t>
        </is>
      </c>
      <c r="AT1674" t="inlineStr">
        <is>
          <t>Sustainability</t>
        </is>
      </c>
      <c r="AU1674" t="inlineStr">
        <is>
          <t>JAN</t>
        </is>
      </c>
      <c r="AV1674" t="n">
        <v>2023</v>
      </c>
      <c r="AW1674" t="n">
        <v>15</v>
      </c>
      <c r="AX1674" t="n">
        <v>2</v>
      </c>
      <c r="BE1674" t="n">
        <v>1732</v>
      </c>
      <c r="BF1674" t="inlineStr">
        <is>
          <t>10.3390/su15021732</t>
        </is>
      </c>
      <c r="BG1674">
        <f>HYPERLINK("http://dx.doi.org/10.3390/su15021732","http://dx.doi.org/10.3390/su15021732")</f>
        <v/>
      </c>
      <c r="BJ1674" t="n">
        <v>23</v>
      </c>
      <c r="BK1674" t="inlineStr">
        <is>
          <t>Green &amp; Sustainable Science &amp; Technology; Environmental Sciences; Environmental Studies</t>
        </is>
      </c>
      <c r="BL1674" t="inlineStr">
        <is>
          <t>Science Citation Index Expanded (SCI-EXPANDED); Social Science Citation Index (SSCI)</t>
        </is>
      </c>
      <c r="BM1674" t="inlineStr">
        <is>
          <t>Science &amp; Technology - Other Topics; Environmental Sciences &amp; Ecology</t>
        </is>
      </c>
      <c r="BN1674" t="inlineStr">
        <is>
          <t>8R0WW</t>
        </is>
      </c>
      <c r="BP1674" t="inlineStr">
        <is>
          <t>gold</t>
        </is>
      </c>
      <c r="BS1674" t="inlineStr">
        <is>
          <t>2023-10-26</t>
        </is>
      </c>
      <c r="BT1674" t="inlineStr">
        <is>
          <t>WOS:000927620400001</t>
        </is>
      </c>
      <c r="BU1674">
        <f>HYPERLINK("https%3A%2F%2Fwww.webofscience.com%2Fwos%2Fwoscc%2Ffull-record%2FWOS:000927620400001","View Full Record in Web of Science")</f>
        <v/>
      </c>
    </row>
    <row r="1675">
      <c r="A1675" t="inlineStr">
        <is>
          <t>J</t>
        </is>
      </c>
      <c r="B1675" t="inlineStr">
        <is>
          <t>Lee, RE; O'Neal, A; Cameron, C; Hughes, RB; O'Connor, DP; Ohri-Vachaspati, P; Todd, M; Nosek, MA</t>
        </is>
      </c>
      <c r="F1675" t="inlineStr">
        <is>
          <t>Lee, Rebecca E.; O'Neal, Alicia; Cameron, Chelsea; Hughes, Rosemary B.; O'Connor, Daniel P.; Ohri-Vachaspati, Punam; Todd, Michael; Nosek, Margaret A.</t>
        </is>
      </c>
      <c r="J1675" t="inlineStr">
        <is>
          <t>INTERNATIONAL JOURNAL OF ENVIRONMENTAL RESEARCH AND PUBLIC HEALTH</t>
        </is>
      </c>
      <c r="M1675" t="inlineStr">
        <is>
          <t>English</t>
        </is>
      </c>
      <c r="N1675" t="inlineStr">
        <is>
          <t>Article</t>
        </is>
      </c>
      <c r="T1675" t="inlineStr">
        <is>
          <t>Developing Content for the Food Environment Assessment Survey Tool (FEAST): A Systematic Mixed Methods Study with People with Disabilities</t>
        </is>
      </c>
      <c r="U1675" t="inlineStr">
        <is>
          <t>ecologic model of obesity; mobility impairment; disability; access; healthy eating</t>
        </is>
      </c>
      <c r="V1675" t="inlineStr">
        <is>
          <t>NUTRIENT INTAKE; UNITED-STATES; US ADULTS; DISPARITIES; LIMITATIONS; OBESITY; HEALTH</t>
        </is>
      </c>
      <c r="W1675" t="inlineStr">
        <is>
          <t>Almost 1 in every 8 adults in the U.S. have a physical disability that impairs mobility. This participatory project aimed to identify and describe environmental and personal barriers to healthy eating among people with mobility impairments using a rigorous, structured mixed methodology. Community-dwelling adults with a self-reported mobility impairment (N = 20, M = 40.4 years old, 60% female) participated in nominal group technique focus groups. The Ecologic Model of Obesity grounded stimulus questions asked about barriers to obtaining and preparing healthy food. Participants emphasized common barriers across everyday settings-focusing, for example, on the ability to reach shelved food inside the home, navigating to and inside stores and restaurants, and using delivery services. Home environments often did not afford suitable spaces for food preparation and storage. Participants reported inadequate transportation and numerous additional barriers in many settings to be able to eat healthfully. Participants reported lack of accessible transportation and architectural barriers inside stores, restaurants, and their own homes, highlighting the need for efforts aimed at improving accessibility and usability. Findings support the use of the Ecologic Model of Obesity to guide research and suggest the need for improvement in assessment practices and policies that enhance access to healthy food.</t>
        </is>
      </c>
      <c r="X1675" t="inlineStr">
        <is>
          <t>[Lee, Rebecca E.; O'Neal, Alicia; Cameron, Chelsea] Arizona State Univ, Edson Coll Nursing &amp; Hlth Innovat, Ctr Hlth Promot &amp; Dis Prevent, 550 N 3rd St, Phoenix, AZ 85004 USA; [O'Neal, Alicia] Univ Kansas, Populat Hlth, Sch Med, Kansas City, KS 66160 USA; [Hughes, Rosemary B.] Univ Montana, Rural Inst Inclus Communities, Missoula, MT 59812 USA; [O'Connor, Daniel P.] Univ Houston, HLTH Res Inst, Dept Hlth &amp; Human Performance, Houston, TX 77204 USA; [Ohri-Vachaspati, Punam] Arizona State Univ, Coll Hlth Solut, Phoenix, AZ 85004 USA; [Todd, Michael] Arizona State Univ, Edson Coll Nursing &amp; Hlth Innovat, Phoenix, AZ 85004 USA; [Nosek, Margaret A.] Baylor Coll Med, Ctr Res Women Disabil, Dept Phys Med &amp; Rehabil, Houston, TX 77030 USA</t>
        </is>
      </c>
      <c r="Y1675" t="inlineStr">
        <is>
          <t>Arizona State University; Arizona State University-Downtown Phoenix; University of Kansas; University of Kansas Medical Center; University of Montana System; University of Montana; University of Houston System; University of Houston; Arizona State University; Arizona State University-Downtown Phoenix; Arizona State University; Arizona State University-Downtown Phoenix; Baylor College of Medicine</t>
        </is>
      </c>
      <c r="Z1675" t="inlineStr">
        <is>
          <t>Lee, RE (corresponding author), Arizona State Univ, Edson Coll Nursing &amp; Hlth Innovat, Ctr Hlth Promot &amp; Dis Prevent, 550 N 3rd St, Phoenix, AZ 85004 USA.</t>
        </is>
      </c>
      <c r="AA1675" t="inlineStr">
        <is>
          <t>releephd@yahoo.com; aloneal1@asu.edu; chelsearose182@gmail.com; rhughes@ruralinstitute.umt.edu; dpoconno@central.uh.edu; Punam.Ohri-Vachaspati@asu.edu; mike.todd@asu.edu; mnosek@bcm.edu</t>
        </is>
      </c>
      <c r="AB1675" t="inlineStr">
        <is>
          <t>Elkousy, Hussein/AAZ-5184-2021</t>
        </is>
      </c>
      <c r="AC1675" t="inlineStr">
        <is>
          <t>Todd, Michael/0000-0002-1981-4245; Ohri-Vachaspati, Punam/0000-0001-9619-9816; Lee, Rebecca/0000-0002-9011-0689</t>
        </is>
      </c>
      <c r="AD1675" t="inlineStr">
        <is>
          <t>[NIH 1R21HD095380-01]</t>
        </is>
      </c>
      <c r="AF1675" t="inlineStr">
        <is>
          <t>This work was funded by a grant awarded to Rebecca E. Lee at Arizona State University and Margaret A. Nosek at Baylor College of Medicine (NIH 1R21HD095380-01).</t>
        </is>
      </c>
      <c r="AH1675" t="n">
        <v>27</v>
      </c>
      <c r="AI1675" t="n">
        <v>5</v>
      </c>
      <c r="AJ1675" t="n">
        <v>5</v>
      </c>
      <c r="AK1675" t="n">
        <v>0</v>
      </c>
      <c r="AL1675" t="n">
        <v>8</v>
      </c>
      <c r="AM1675" t="inlineStr">
        <is>
          <t>MDPI</t>
        </is>
      </c>
      <c r="AN1675" t="inlineStr">
        <is>
          <t>BASEL</t>
        </is>
      </c>
      <c r="AO1675" t="inlineStr">
        <is>
          <t>ST ALBAN-ANLAGE 66, CH-4052 BASEL, SWITZERLAND</t>
        </is>
      </c>
      <c r="AQ1675" t="inlineStr">
        <is>
          <t>1660-4601</t>
        </is>
      </c>
      <c r="AS1675" t="inlineStr">
        <is>
          <t>INT J ENV RES PUB HE</t>
        </is>
      </c>
      <c r="AT1675" t="inlineStr">
        <is>
          <t>Int. J. Environ. Res. Public Health</t>
        </is>
      </c>
      <c r="AU1675" t="inlineStr">
        <is>
          <t>NOV</t>
        </is>
      </c>
      <c r="AV1675" t="n">
        <v>2020</v>
      </c>
      <c r="AW1675" t="n">
        <v>17</v>
      </c>
      <c r="AX1675" t="n">
        <v>21</v>
      </c>
      <c r="BE1675" t="n">
        <v>7781</v>
      </c>
      <c r="BF1675" t="inlineStr">
        <is>
          <t>10.3390/ijerph17217781</t>
        </is>
      </c>
      <c r="BG1675">
        <f>HYPERLINK("http://dx.doi.org/10.3390/ijerph17217781","http://dx.doi.org/10.3390/ijerph17217781")</f>
        <v/>
      </c>
      <c r="BJ1675" t="n">
        <v>14</v>
      </c>
      <c r="BK1675" t="inlineStr">
        <is>
          <t>Environmental Sciences; Public, Environmental &amp; Occupational Health</t>
        </is>
      </c>
      <c r="BL1675" t="inlineStr">
        <is>
          <t>Science Citation Index Expanded (SCI-EXPANDED); Social Science Citation Index (SSCI)</t>
        </is>
      </c>
      <c r="BM1675" t="inlineStr">
        <is>
          <t>Environmental Sciences &amp; Ecology; Public, Environmental &amp; Occupational Health</t>
        </is>
      </c>
      <c r="BN1675" t="inlineStr">
        <is>
          <t>OQ8EC</t>
        </is>
      </c>
      <c r="BO1675" t="n">
        <v>33114296</v>
      </c>
      <c r="BP1675" t="inlineStr">
        <is>
          <t>Green Published, gold</t>
        </is>
      </c>
      <c r="BS1675" t="inlineStr">
        <is>
          <t>2023-10-26</t>
        </is>
      </c>
      <c r="BT1675" t="inlineStr">
        <is>
          <t>WOS:000589008400001</t>
        </is>
      </c>
      <c r="BU1675">
        <f>HYPERLINK("https%3A%2F%2Fwww.webofscience.com%2Fwos%2Fwoscc%2Ffull-record%2FWOS:000589008400001","View Full Record in Web of Science")</f>
        <v/>
      </c>
    </row>
    <row r="1676">
      <c r="A1676" t="inlineStr">
        <is>
          <t>J</t>
        </is>
      </c>
      <c r="B1676" t="inlineStr">
        <is>
          <t>Ambade, B; Kumar, A; Sahu, LK</t>
        </is>
      </c>
      <c r="F1676" t="inlineStr">
        <is>
          <t>Ambade, Balram; Kumar, Amit; Sahu, Lokesh Kumar</t>
        </is>
      </c>
      <c r="J1676" t="inlineStr">
        <is>
          <t>ENVIRONMENTAL SCIENCE AND POLLUTION RESEARCH</t>
        </is>
      </c>
      <c r="M1676" t="inlineStr">
        <is>
          <t>English</t>
        </is>
      </c>
      <c r="N1676" t="inlineStr">
        <is>
          <t>Article</t>
        </is>
      </c>
      <c r="T1676" t="inlineStr">
        <is>
          <t>Characterization and health risk assessment of particulate bound polycyclic aromatic hydrocarbons (PAHs) in indoor and outdoor atmosphere of Central East India</t>
        </is>
      </c>
      <c r="U1676" t="inlineStr">
        <is>
          <t>Health risk; PM2.5; Indoor and outdoor; PAH; Air pollution</t>
        </is>
      </c>
      <c r="V1676" t="inlineStr">
        <is>
          <t>FINE ORGANIC AEROSOL; SOURCE APPORTIONMENT; URBAN ATMOSPHERE; AIR-POLLUTION; HEAVY-METALS; SURFACE SOIL; ROAD DUST; PM2.5; COMBUSTION; CHINA</t>
        </is>
      </c>
      <c r="W1676" t="inlineStr">
        <is>
          <t>The selected 16 high-priority polycyclic aromatic hydrocarbons (PAHs) were characterized in PM2.5 in the indoor and outdoor air samples collected at the urban slum and rural sites in the Central East India. At the urban slum site, the indoor and outdoor concentrations of PAHs were 466.03 +/- 11.94 ng/m(3) and 321.71 +/- 34.87 ng/m(3), respectively. At the rural location, the indoor and outdoor concentrations were 294.85 +/- 20.53 ng/m(3) and 241.74 +/- 29.04 ng/m(3), respectively. Three-four and five-ring PAHs were found to be dominant in both urban slum and rural sites. Diagnostic ratio (DR) analysis and principal component analysis (PCA) conclude that diesel exhaust, gasoline, biomass, and coal combustion were the significant sources of 16 PAHs in indoor and outdoor environments, the urban slum and rural sites. Lifetime average daily dose (LADD) and incremental lifetime cancer risk (ILCR) values were calculated for health risk assessment for 6-year-old children and 24-year-old adults. The ELCR values in the urban slum site and the rural location were calculated 43.24 x 10(-6) and 28.3 x 10(-6). The ELCR values were observed between the acceptable limit 10(-6)-10(-4) given by regulatory agency USEPA United States Environmental Protection Agency (1989).</t>
        </is>
      </c>
      <c r="X1676" t="inlineStr">
        <is>
          <t>[Ambade, Balram; Kumar, Amit] Natl Inst Technol, Dept Chem, Atmospher Chem Lab, Jamshedpur 831014, Bihar, India; [Sahu, Lokesh Kumar] Phys Res Lab PRL, Ahmadabad 380009, Gujarat, India</t>
        </is>
      </c>
      <c r="Y1676" t="inlineStr">
        <is>
          <t>National Institute of Technology (NIT System); National Institute of Technology Jamshedpur; Department of Space (DoS), Government of India; Physical Research Laboratory - India</t>
        </is>
      </c>
      <c r="Z1676" t="inlineStr">
        <is>
          <t>Ambade, B (corresponding author), Natl Inst Technol, Dept Chem, Atmospher Chem Lab, Jamshedpur 831014, Bihar, India.</t>
        </is>
      </c>
      <c r="AA1676" t="inlineStr">
        <is>
          <t>bambade.chem@nitjsr.ac.in</t>
        </is>
      </c>
      <c r="AB1676" t="inlineStr">
        <is>
          <t>Ambade, Balram/P-6252-2017</t>
        </is>
      </c>
      <c r="AC1676" t="inlineStr">
        <is>
          <t>Ambade, Balram/0000-0002-9294-7378; KUMAR, AMIT/0000-0002-3319-8602</t>
        </is>
      </c>
      <c r="AD1676" t="inlineStr">
        <is>
          <t>Science and Engineering Research Board; Department of Science and Technology, (SERB-DST), Government of India [EEQ/2016/000504]</t>
        </is>
      </c>
      <c r="AE1676" t="inlineStr">
        <is>
          <t>Science and Engineering Research Board; Department of Science and Technology, (SERB-DST), Government of India</t>
        </is>
      </c>
      <c r="AF1676" t="inlineStr">
        <is>
          <t>Science and Engineering Research Board financially supported this study, Department of Science and Technology, (SERB-DST), Government of India, Sanction Order No EEQ/2016/000504. The authors are thankful to Ali Jaan Hussain for providing a facility for air sampling in the indoor atmosphere.</t>
        </is>
      </c>
      <c r="AH1676" t="n">
        <v>64</v>
      </c>
      <c r="AI1676" t="n">
        <v>38</v>
      </c>
      <c r="AJ1676" t="n">
        <v>38</v>
      </c>
      <c r="AK1676" t="n">
        <v>2</v>
      </c>
      <c r="AL1676" t="n">
        <v>32</v>
      </c>
      <c r="AM1676" t="inlineStr">
        <is>
          <t>SPRINGER HEIDELBERG</t>
        </is>
      </c>
      <c r="AN1676" t="inlineStr">
        <is>
          <t>HEIDELBERG</t>
        </is>
      </c>
      <c r="AO1676" t="inlineStr">
        <is>
          <t>TIERGARTENSTRASSE 17, D-69121 HEIDELBERG, GERMANY</t>
        </is>
      </c>
      <c r="AP1676" t="inlineStr">
        <is>
          <t>0944-1344</t>
        </is>
      </c>
      <c r="AQ1676" t="inlineStr">
        <is>
          <t>1614-7499</t>
        </is>
      </c>
      <c r="AS1676" t="inlineStr">
        <is>
          <t>ENVIRON SCI POLLUT R</t>
        </is>
      </c>
      <c r="AT1676" t="inlineStr">
        <is>
          <t>Environ. Sci. Pollut. Res.</t>
        </is>
      </c>
      <c r="AU1676" t="inlineStr">
        <is>
          <t>OCT</t>
        </is>
      </c>
      <c r="AV1676" t="n">
        <v>2021</v>
      </c>
      <c r="AW1676" t="n">
        <v>28</v>
      </c>
      <c r="AX1676" t="n">
        <v>40</v>
      </c>
      <c r="BC1676" t="n">
        <v>56269</v>
      </c>
      <c r="BD1676" t="n">
        <v>56280</v>
      </c>
      <c r="BF1676" t="inlineStr">
        <is>
          <t>10.1007/s11356-021-14606-x</t>
        </is>
      </c>
      <c r="BG1676">
        <f>HYPERLINK("http://dx.doi.org/10.1007/s11356-021-14606-x","http://dx.doi.org/10.1007/s11356-021-14606-x")</f>
        <v/>
      </c>
      <c r="BI1676" t="inlineStr">
        <is>
          <t>MAY 2021</t>
        </is>
      </c>
      <c r="BJ1676" t="n">
        <v>12</v>
      </c>
      <c r="BK1676" t="inlineStr">
        <is>
          <t>Environmental Sciences</t>
        </is>
      </c>
      <c r="BL1676" t="inlineStr">
        <is>
          <t>Science Citation Index Expanded (SCI-EXPANDED)</t>
        </is>
      </c>
      <c r="BM1676" t="inlineStr">
        <is>
          <t>Environmental Sciences &amp; Ecology</t>
        </is>
      </c>
      <c r="BN1676" t="inlineStr">
        <is>
          <t>WD8VX</t>
        </is>
      </c>
      <c r="BO1676" t="n">
        <v>34050507</v>
      </c>
      <c r="BS1676" t="inlineStr">
        <is>
          <t>2023-10-26</t>
        </is>
      </c>
      <c r="BT1676" t="inlineStr">
        <is>
          <t>WOS:000655836200015</t>
        </is>
      </c>
      <c r="BU1676">
        <f>HYPERLINK("https%3A%2F%2Fwww.webofscience.com%2Fwos%2Fwoscc%2Ffull-record%2FWOS:000655836200015","View Full Record in Web of Science")</f>
        <v/>
      </c>
    </row>
    <row r="1677">
      <c r="A1677" t="inlineStr">
        <is>
          <t>J</t>
        </is>
      </c>
      <c r="B1677" t="inlineStr">
        <is>
          <t>Bragoszewska, E; Palmowska, A; Biedron, I</t>
        </is>
      </c>
      <c r="F1677" t="inlineStr">
        <is>
          <t>Bragoszewska, Ewa; Palmowska, Agnieszka; Biedron, Izabela</t>
        </is>
      </c>
      <c r="J1677" t="inlineStr">
        <is>
          <t>ATMOSPHERIC POLLUTION RESEARCH</t>
        </is>
      </c>
      <c r="M1677" t="inlineStr">
        <is>
          <t>English</t>
        </is>
      </c>
      <c r="N1677" t="inlineStr">
        <is>
          <t>Article</t>
        </is>
      </c>
      <c r="T1677" t="inlineStr">
        <is>
          <t>Investigation of indoor air quality in the ventilated ice rink arena</t>
        </is>
      </c>
      <c r="U1677" t="inlineStr">
        <is>
          <t>Bioaerosol; Indoor air quality; An ice rink; Ventilation system</t>
        </is>
      </c>
      <c r="V1677" t="inlineStr">
        <is>
          <t>OUTDOOR ENVIRONMENTS; FUNGAL AEROSOLS; AIRBORNE; BACTERIAL; MICROORGANISMS; BUILDINGS; SCHOOLS; POLAND; URBAN</t>
        </is>
      </c>
      <c r="W1677" t="inlineStr">
        <is>
          <t>The indoor air quality (IAQ) of an ice rink, located in the Upper Silesia Region of Southern Poland, was assessed during the winter holidays. Ice rinks are characterized by unusual conditions and multiple sources of pollution. This study evaluated the relative importance of the ventilation system (VS) for maintaining the indoor microenvironment in the ice rink. A preliminary investigation of the concentration levels and characteristics of the indoor and outdoor bacterial aerosol was conducted. Bacterial concentration levels were obtained using a sixstage Andersen cascade impactor. Bioaerosol particles, captured on nutrient media on Petri dishes, were quantitatively evaluated and qualitatively identified using a GEN III Biolog system. Concentration levels of airborne bacteria were above 10(3) CFU/m(3), both when the VS system was turned off (990 CFU/m(3)) and when it was operational (740 CFU/m(3)). Results show that the mean concentration of bacteria aerosol was lower when the VS was active. There was a dominance of Gram-positive cocci identified in the indoor environment, which indicates that most of the bacteria present in the studied building were relatively fresh and mostly of humanorigin. These data were used to estimate the ice rink exposure dose (IRED) of bioaerosols for building personnel and for children. The highest value of IRED over the study period was obtained for children (220 CFU kg(-1)).</t>
        </is>
      </c>
      <c r="X1677" t="inlineStr">
        <is>
          <t>[Bragoszewska, Ewa] Silesian Tech Univ, Dept Technol &amp; Installat Waste Management, 18 Konarskiego St, PL-44100 Gliwice, Poland; [Palmowska, Agnieszka] Silesian Tech Univ, Dept Heating Ventilat &amp; Dust Removal Technol, 20 Konarskiego St, PL-44100 Gliwice, Poland; [Biedron, Izabela] Inst Ecol Ind Areas, Environm Microbiol Unit, 6 Kossutha St, PL-40844 Katowice, Poland</t>
        </is>
      </c>
      <c r="Y1677" t="inlineStr">
        <is>
          <t>Silesian University of Technology; Silesian University of Technology; Institute for Ecology of Industrial Areas</t>
        </is>
      </c>
      <c r="Z1677" t="inlineStr">
        <is>
          <t>Bragoszewska, E (corresponding author), Silesian Tech Univ, Dept Technol &amp; Installat Waste Management, 18 Konarskiego St, PL-44100 Gliwice, Poland.</t>
        </is>
      </c>
      <c r="AA1677" t="inlineStr">
        <is>
          <t>Ewa.Bragoszewska@polsl.pl</t>
        </is>
      </c>
      <c r="AB1677" t="inlineStr">
        <is>
          <t>Brągoszewska, Ewa/AAP-9808-2020</t>
        </is>
      </c>
      <c r="AC1677" t="inlineStr">
        <is>
          <t>Brągoszewska, Ewa/0000-0001-6341-9050</t>
        </is>
      </c>
      <c r="AD1677" t="inlineStr">
        <is>
          <t>Faculty of Power and Environmental Engineering, Silesian University of Technology</t>
        </is>
      </c>
      <c r="AE1677" t="inlineStr">
        <is>
          <t>Faculty of Power and Environmental Engineering, Silesian University of Technology</t>
        </is>
      </c>
      <c r="AF1677" t="inlineStr">
        <is>
          <t>This work was supported by the Faculty of Power and Environmental Engineering, Silesian University of Technology (statutory research). The Authors would like to thank the Department of Air Protection, Silesian University of Technology, for the opportunity to use the laboratory.</t>
        </is>
      </c>
      <c r="AH1677" t="n">
        <v>39</v>
      </c>
      <c r="AI1677" t="n">
        <v>3</v>
      </c>
      <c r="AJ1677" t="n">
        <v>3</v>
      </c>
      <c r="AK1677" t="n">
        <v>2</v>
      </c>
      <c r="AL1677" t="n">
        <v>18</v>
      </c>
      <c r="AM1677" t="inlineStr">
        <is>
          <t>TURKISH NATL COMMITTEE AIR POLLUTION RES &amp; CONTROL-TUNCAP</t>
        </is>
      </c>
      <c r="AN1677" t="inlineStr">
        <is>
          <t>BUCA</t>
        </is>
      </c>
      <c r="AO1677" t="inlineStr">
        <is>
          <t>DOKUZ EYLUL UNIV, DEPT ENVIRONMENTAL ENGINEERING, TINAZTEPE CAMPUS, BUCA, IZMIR 35160, TURKEY</t>
        </is>
      </c>
      <c r="AP1677" t="inlineStr">
        <is>
          <t>1309-1042</t>
        </is>
      </c>
      <c r="AS1677" t="inlineStr">
        <is>
          <t>ATMOS POLLUT RES</t>
        </is>
      </c>
      <c r="AT1677" t="inlineStr">
        <is>
          <t>Atmos. Pollut. Res.</t>
        </is>
      </c>
      <c r="AU1677" t="inlineStr">
        <is>
          <t>MAY</t>
        </is>
      </c>
      <c r="AV1677" t="n">
        <v>2020</v>
      </c>
      <c r="AW1677" t="n">
        <v>11</v>
      </c>
      <c r="AX1677" t="n">
        <v>5</v>
      </c>
      <c r="BC1677" t="n">
        <v>903</v>
      </c>
      <c r="BD1677" t="n">
        <v>908</v>
      </c>
      <c r="BF1677" t="inlineStr">
        <is>
          <t>10.1016/j.apr.2020.02.002</t>
        </is>
      </c>
      <c r="BG1677">
        <f>HYPERLINK("http://dx.doi.org/10.1016/j.apr.2020.02.002","http://dx.doi.org/10.1016/j.apr.2020.02.002")</f>
        <v/>
      </c>
      <c r="BJ1677" t="n">
        <v>6</v>
      </c>
      <c r="BK1677" t="inlineStr">
        <is>
          <t>Environmental Sciences</t>
        </is>
      </c>
      <c r="BL1677" t="inlineStr">
        <is>
          <t>Science Citation Index Expanded (SCI-EXPANDED)</t>
        </is>
      </c>
      <c r="BM1677" t="inlineStr">
        <is>
          <t>Environmental Sciences &amp; Ecology</t>
        </is>
      </c>
      <c r="BN1677" t="inlineStr">
        <is>
          <t>LD5PR</t>
        </is>
      </c>
      <c r="BS1677" t="inlineStr">
        <is>
          <t>2023-10-26</t>
        </is>
      </c>
      <c r="BT1677" t="inlineStr">
        <is>
          <t>WOS:000526082600008</t>
        </is>
      </c>
      <c r="BU1677">
        <f>HYPERLINK("https%3A%2F%2Fwww.webofscience.com%2Fwos%2Fwoscc%2Ffull-record%2FWOS:000526082600008","View Full Record in Web of Science")</f>
        <v/>
      </c>
    </row>
    <row r="1678">
      <c r="A1678" t="inlineStr">
        <is>
          <t>J</t>
        </is>
      </c>
      <c r="B1678" t="inlineStr">
        <is>
          <t>Debnath, R; Bardhan, R; Banerjee, R</t>
        </is>
      </c>
      <c r="F1678" t="inlineStr">
        <is>
          <t>Debnath, Ramit; Bardhan, Ronita; Banerjee, Rangan</t>
        </is>
      </c>
      <c r="J1678" t="inlineStr">
        <is>
          <t>CLEAN TECHNOLOGIES AND ENVIRONMENTAL POLICY</t>
        </is>
      </c>
      <c r="M1678" t="inlineStr">
        <is>
          <t>English</t>
        </is>
      </c>
      <c r="N1678" t="inlineStr">
        <is>
          <t>Article</t>
        </is>
      </c>
      <c r="T1678" t="inlineStr">
        <is>
          <t>Taming the killer in the kitchen: mitigating household air pollution from solid-fuel cookstoves through building design</t>
        </is>
      </c>
      <c r="U1678" t="inlineStr">
        <is>
          <t>Household air pollution; Sustainable habitat; Solid fuel; Built environment; Health; CFD simulations</t>
        </is>
      </c>
      <c r="V1678" t="inlineStr">
        <is>
          <t>INDOOR AIR; INDIA; ENERGY; QUALITY; VENTILATION; ENVIRONMENT; SIMULATION; EXPOSURE; DISEASE; BURDEN</t>
        </is>
      </c>
      <c r="W1678" t="inlineStr">
        <is>
          <t>In this study, we attempt to mitigate household air pollution (HAP) through improved kitchen design. Field surveys were conducted in ten kitchens of rural western India, which were then modelled and simulated for dynamic indoor airflow network analysis. The simulated results were statistically clustered using principal component analysis and hierarchical agglomerative clustering, to construct a cumulative built environment parameter called 'Built Factor' for each kitchen, and subsequently a derivative matrix was developed. Categorization of better performing kitchens from this derivative matrix enabled in deriving the built parameter thresholds for a 'better' kitchen design. This derived kitchen showed 60 % reduction in PM2.5 peak concentration during cooking hours. The evaluation described here is essentially a proof of concept, that effective building design can be an alternative way to reduce HAP without the introduction of chimneys, improved cookstoves or shifting to cleaner fuel.</t>
        </is>
      </c>
      <c r="X1678" t="inlineStr">
        <is>
          <t>[Debnath, Ramit] Indian Inst Technol, Ctr Technol Alternat Rural Areas, Mumbai 400076, Maharashtra, India; [Bardhan, Ronita] Indian Inst Technol, Ctr Urban Sci &amp; Engn, Mumbai 400076, Maharashtra, India; [Banerjee, Rangan] Indian Inst Technol, Dept Energy Sci &amp; Engn, Mumbai 400076, Maharashtra, India</t>
        </is>
      </c>
      <c r="Y1678" t="inlineStr">
        <is>
          <t>Indian Institute of Technology System (IIT System); Indian Institute of Technology (IIT) - Bombay; Indian Institute of Technology System (IIT System); Indian Institute of Technology (IIT) - Bombay; Indian Institute of Technology System (IIT System); Indian Institute of Technology (IIT) - Bombay</t>
        </is>
      </c>
      <c r="Z1678" t="inlineStr">
        <is>
          <t>Bardhan, R (corresponding author), Indian Inst Technol, Ctr Urban Sci &amp; Engn, Mumbai 400076, Maharashtra, India.</t>
        </is>
      </c>
      <c r="AA1678" t="inlineStr">
        <is>
          <t>ronita.bardhan@iitb.ac.in</t>
        </is>
      </c>
      <c r="AB1678" t="inlineStr">
        <is>
          <t>Bardhan, Ronita/AAG-3032-2020; Bardhan, Ronita/Q-7316-2019; Banerjee, Rangan/A-6886-2011</t>
        </is>
      </c>
      <c r="AC1678" t="inlineStr">
        <is>
          <t>Bardhan, Ronita/0000-0001-5336-4084; Bardhan, Ronita/0000-0001-5336-4084; Banerjee, Rangan/0000-0003-4173-3983; Debnath, Dr Ramit/0000-0003-0727-5683</t>
        </is>
      </c>
      <c r="AH1678" t="n">
        <v>38</v>
      </c>
      <c r="AI1678" t="n">
        <v>6</v>
      </c>
      <c r="AJ1678" t="n">
        <v>6</v>
      </c>
      <c r="AK1678" t="n">
        <v>2</v>
      </c>
      <c r="AL1678" t="n">
        <v>29</v>
      </c>
      <c r="AM1678" t="inlineStr">
        <is>
          <t>SPRINGER</t>
        </is>
      </c>
      <c r="AN1678" t="inlineStr">
        <is>
          <t>NEW YORK</t>
        </is>
      </c>
      <c r="AO1678" t="inlineStr">
        <is>
          <t>ONE NEW YORK PLAZA, SUITE 4600, NEW YORK, NY, UNITED STATES</t>
        </is>
      </c>
      <c r="AP1678" t="inlineStr">
        <is>
          <t>1618-954X</t>
        </is>
      </c>
      <c r="AQ1678" t="inlineStr">
        <is>
          <t>1618-9558</t>
        </is>
      </c>
      <c r="AS1678" t="inlineStr">
        <is>
          <t>CLEAN TECHNOL ENVIR</t>
        </is>
      </c>
      <c r="AT1678" t="inlineStr">
        <is>
          <t>Clean Technol. Environ. Policy</t>
        </is>
      </c>
      <c r="AU1678" t="inlineStr">
        <is>
          <t>APR</t>
        </is>
      </c>
      <c r="AV1678" t="n">
        <v>2017</v>
      </c>
      <c r="AW1678" t="n">
        <v>19</v>
      </c>
      <c r="AX1678" t="n">
        <v>3</v>
      </c>
      <c r="BC1678" t="n">
        <v>705</v>
      </c>
      <c r="BD1678" t="n">
        <v>719</v>
      </c>
      <c r="BF1678" t="inlineStr">
        <is>
          <t>10.1007/s10098-016-1251-7</t>
        </is>
      </c>
      <c r="BG1678">
        <f>HYPERLINK("http://dx.doi.org/10.1007/s10098-016-1251-7","http://dx.doi.org/10.1007/s10098-016-1251-7")</f>
        <v/>
      </c>
      <c r="BJ1678" t="n">
        <v>15</v>
      </c>
      <c r="BK1678" t="inlineStr">
        <is>
          <t>Green &amp; Sustainable Science &amp; Technology; Engineering, Environmental; Environmental Sciences</t>
        </is>
      </c>
      <c r="BL1678" t="inlineStr">
        <is>
          <t>Science Citation Index Expanded (SCI-EXPANDED)</t>
        </is>
      </c>
      <c r="BM1678" t="inlineStr">
        <is>
          <t>Science &amp; Technology - Other Topics; Engineering; Environmental Sciences &amp; Ecology</t>
        </is>
      </c>
      <c r="BN1678" t="inlineStr">
        <is>
          <t>EN8RP</t>
        </is>
      </c>
      <c r="BS1678" t="inlineStr">
        <is>
          <t>2023-10-26</t>
        </is>
      </c>
      <c r="BT1678" t="inlineStr">
        <is>
          <t>WOS:000396267800007</t>
        </is>
      </c>
      <c r="BU1678">
        <f>HYPERLINK("https%3A%2F%2Fwww.webofscience.com%2Fwos%2Fwoscc%2Ffull-record%2FWOS:000396267800007","View Full Record in Web of Science")</f>
        <v/>
      </c>
    </row>
    <row r="1679">
      <c r="A1679" t="inlineStr">
        <is>
          <t>J</t>
        </is>
      </c>
      <c r="B1679" t="inlineStr">
        <is>
          <t>Benne, B; Mang, P</t>
        </is>
      </c>
      <c r="F1679" t="inlineStr">
        <is>
          <t>Benne, Beatrice; Mang, Pamela</t>
        </is>
      </c>
      <c r="J1679" t="inlineStr">
        <is>
          <t>JOURNAL OF CLEANER PRODUCTION</t>
        </is>
      </c>
      <c r="M1679" t="inlineStr">
        <is>
          <t>English</t>
        </is>
      </c>
      <c r="N1679" t="inlineStr">
        <is>
          <t>Article</t>
        </is>
      </c>
      <c r="T1679" t="inlineStr">
        <is>
          <t>Working regeneratively across scales-insights from nature applied to the built environment</t>
        </is>
      </c>
      <c r="U1679" t="inlineStr">
        <is>
          <t>Regenerative design; Ecology; Worldviews; Living systems; Built environment; Practice</t>
        </is>
      </c>
      <c r="W1679" t="inlineStr">
        <is>
          <t>Regenerative design and development calls for a paradigm shift from a 'mechanistic' to the 'ecological' or living systems worldview that has emerged from living systems sciences over the last century. The challenge for design practitioners educated and now working in a field mainly shaped by a mechanistic worldview is two-fold: first, to develop an understanding of how life and living systems work and, second, to translate that understanding into application. The benefit of taking on this challenge is that understanding natural systems offers powerful insights into how to work across different scales of the built environment. This article looks at key and interrelated living systems' principles and discusses how they translate into design and development practices, using examples of how actual projects worked across multiple scales. Principles considered include the nested or holarchic nature of living systems and the fact that a living system is not separable from its environment. Mapping a design project as a socio-ecological system nested within its immediate and larger contexts shifts designers' attention to the unique and distinctive character of the project environment and the reciprocal influence project and environment exercise on each other. A second principle, that ecosystems' self-organizing and self-regenerating capacity depends on its members carrying out their systemic roles, provides the basis for defining and designing a distinctive and generative role for a project within its place. This role enables the project to be both more valuable and valued as a source of greater viability and vitality and, drawing on the first principle, to have a positive influence across different scales of nested wholes. The third principle relates to the webs of dynamic flows and metabolic exchanges that enable life to continuously produce, repair, and perpetuate itself. Using insights gained from the understanding of the essence of a place, design practitioners are able to identify transformative nodal points within those webs where targeted acupuncture interventions, sometimes small, can influence the health and renewal of the whole system. In conclusion, the article first summarizes how working from an understanding of living systems principles provides insights into working regeneratively across and within different scales. Second, it addresses the need for the role of designers to shift and for new capabilities to be developed in order to incorporate those insights into new development and design practices. Third, it highlights some of the challenges design practitioners might face when implementing a living systems approach within the complexity of multi-disciplinary design projects. (C) 2015 Elsevier Ltd. All rights reserved.</t>
        </is>
      </c>
      <c r="X1679" t="inlineStr">
        <is>
          <t>[Benne, Beatrice] Soma Integral Consulting, Oakland, CA 94610 USA; [Mang, Pamela] Regenesis Grp, Santa Fe, NM 87505 USA</t>
        </is>
      </c>
      <c r="Z1679" t="inlineStr">
        <is>
          <t>Benne, B (corresponding author), Soma Integral Consulting, 484 Merritt Ave,Suite 2, Oakland, CA 94610 USA.</t>
        </is>
      </c>
      <c r="AA1679" t="inlineStr">
        <is>
          <t>beatrice@soma-integral.com; pamela@regenesisgroup.com</t>
        </is>
      </c>
      <c r="AC1679" t="inlineStr">
        <is>
          <t>Benne, Beatrice/0000-0002-2755-1895</t>
        </is>
      </c>
      <c r="AH1679" t="n">
        <v>44</v>
      </c>
      <c r="AI1679" t="n">
        <v>25</v>
      </c>
      <c r="AJ1679" t="n">
        <v>25</v>
      </c>
      <c r="AK1679" t="n">
        <v>1</v>
      </c>
      <c r="AL1679" t="n">
        <v>21</v>
      </c>
      <c r="AM1679" t="inlineStr">
        <is>
          <t>ELSEVIER SCI LTD</t>
        </is>
      </c>
      <c r="AN1679" t="inlineStr">
        <is>
          <t>OXFORD</t>
        </is>
      </c>
      <c r="AO1679" t="inlineStr">
        <is>
          <t>THE BOULEVARD, LANGFORD LANE, KIDLINGTON, OXFORD OX5 1GB, OXON, ENGLAND</t>
        </is>
      </c>
      <c r="AP1679" t="inlineStr">
        <is>
          <t>0959-6526</t>
        </is>
      </c>
      <c r="AQ1679" t="inlineStr">
        <is>
          <t>1879-1786</t>
        </is>
      </c>
      <c r="AS1679" t="inlineStr">
        <is>
          <t>J CLEAN PROD</t>
        </is>
      </c>
      <c r="AT1679" t="inlineStr">
        <is>
          <t>J. Clean Prod.</t>
        </is>
      </c>
      <c r="AU1679" t="inlineStr">
        <is>
          <t>DEC 16</t>
        </is>
      </c>
      <c r="AV1679" t="n">
        <v>2015</v>
      </c>
      <c r="AW1679" t="n">
        <v>109</v>
      </c>
      <c r="BA1679" t="inlineStr">
        <is>
          <t>SI</t>
        </is>
      </c>
      <c r="BC1679" t="n">
        <v>42</v>
      </c>
      <c r="BD1679" t="n">
        <v>52</v>
      </c>
      <c r="BF1679" t="inlineStr">
        <is>
          <t>10.1016/j.jclepro.2015.02.037</t>
        </is>
      </c>
      <c r="BG1679">
        <f>HYPERLINK("http://dx.doi.org/10.1016/j.jclepro.2015.02.037","http://dx.doi.org/10.1016/j.jclepro.2015.02.037")</f>
        <v/>
      </c>
      <c r="BJ1679" t="n">
        <v>11</v>
      </c>
      <c r="BK1679" t="inlineStr">
        <is>
          <t>Green &amp; Sustainable Science &amp; Technology; Engineering, Environmental; Environmental Sciences</t>
        </is>
      </c>
      <c r="BL1679" t="inlineStr">
        <is>
          <t>Science Citation Index Expanded (SCI-EXPANDED)</t>
        </is>
      </c>
      <c r="BM1679" t="inlineStr">
        <is>
          <t>Science &amp; Technology - Other Topics; Engineering; Environmental Sciences &amp; Ecology</t>
        </is>
      </c>
      <c r="BN1679" t="inlineStr">
        <is>
          <t>CZ9HZ</t>
        </is>
      </c>
      <c r="BS1679" t="inlineStr">
        <is>
          <t>2023-10-26</t>
        </is>
      </c>
      <c r="BT1679" t="inlineStr">
        <is>
          <t>WOS:000367410000004</t>
        </is>
      </c>
      <c r="BU1679">
        <f>HYPERLINK("https%3A%2F%2Fwww.webofscience.com%2Fwos%2Fwoscc%2Ffull-record%2FWOS:000367410000004","View Full Record in Web of Science")</f>
        <v/>
      </c>
    </row>
    <row r="1680">
      <c r="A1680" t="inlineStr">
        <is>
          <t>J</t>
        </is>
      </c>
      <c r="B1680" t="inlineStr">
        <is>
          <t>Zhang, K; Yan, D</t>
        </is>
      </c>
      <c r="F1680" t="inlineStr">
        <is>
          <t>Zhang, Kai; Yan, Dong</t>
        </is>
      </c>
      <c r="J1680" t="inlineStr">
        <is>
          <t>SUSTAINABILITY</t>
        </is>
      </c>
      <c r="M1680" t="inlineStr">
        <is>
          <t>English</t>
        </is>
      </c>
      <c r="N1680" t="inlineStr">
        <is>
          <t>Article</t>
        </is>
      </c>
      <c r="T1680" t="inlineStr">
        <is>
          <t>Exploring Indoor and Outdoor Residential Factors of High-Density Communities for Promoting the Housing Development</t>
        </is>
      </c>
      <c r="U1680" t="inlineStr">
        <is>
          <t>indoor; outdoor; residential environment; residential satisfaction; densely residential area; housing development</t>
        </is>
      </c>
      <c r="V1680" t="inlineStr">
        <is>
          <t>LIFE SATISFACTION; OGUN STATE; NEIGHBORHOOD; QUALITY; CITY; DETERMINANTS; ENVIRONMENTS; INTENTION; CHINA; USAGE</t>
        </is>
      </c>
      <c r="W1680" t="inlineStr">
        <is>
          <t>Effective residence planning is crucial to encourage sustainable housing development. Residents in densely populated cities inevitably have negative residential experiences caused by compact land use. Still, this situation is improvable through optimizing the physical environment or increasing service facilities that cater to dwellers' residential preferences. Therefore, understanding the factors impacting residential satisfaction in high-population metropolitan areas is essential mainly. This study surveyed the citizens' residential environment and satisfaction in dense urban residential areas. Results of this survey indicate that 13 environmental factors significantly impact residential evaluation. Among them, improving ventilation, privacy, and property maintenance can effectively address the adverse effects of densely populated communities. Additionally, neighborhoods or amenities could further impact younger respondents' residential evaluation. Elderly citizens place high importance on the quality of their indoor living environment. Green space could promote the residential satisfaction of young and more senior citizens. Environmental factors can significantly affect the residential satisfaction of citizens across all age groups with their homes. As a result, real estate planners should provide a range of dwelling unit designs to support housing development. Real estate planners can better understand the needs of potential clients by considering the housing preferences of individuals across different age groups and the surrounding neighborhood. The indoor or outdoor environment might be adjusted to meet households' demands, while non-essential factors could be omitted to cut expenses. This study might aid in the sound development of dwellings.</t>
        </is>
      </c>
      <c r="X1680" t="inlineStr">
        <is>
          <t>[Zhang, Kai] Chongqing Univ Posts &amp; Telecommun, Space Design Fac, Chongqing 400065, Peoples R China; [Yan, Dong] Chongqing Univ Posts &amp; Telecommun, Smart Grid Fac, Chongqing 400065, Peoples R China</t>
        </is>
      </c>
      <c r="Y1680" t="inlineStr">
        <is>
          <t>Chongqing University of Posts &amp; Telecommunications; Chongqing University of Posts &amp; Telecommunications</t>
        </is>
      </c>
      <c r="Z1680" t="inlineStr">
        <is>
          <t>Zhang, K (corresponding author), Chongqing Univ Posts &amp; Telecommun, Space Design Fac, Chongqing 400065, Peoples R China.</t>
        </is>
      </c>
      <c r="AA1680" t="inlineStr">
        <is>
          <t>kaizhang_cqupt@163.com</t>
        </is>
      </c>
      <c r="AC1680" t="inlineStr">
        <is>
          <t>Zhang, Kai/0000-0002-6705-3823</t>
        </is>
      </c>
      <c r="AD1680" t="inlineStr">
        <is>
          <t>scientific research fund of Chongqing University of posts and telecommunications [K2021-175]; Chongqing municipal education commission [22SKGH154]</t>
        </is>
      </c>
      <c r="AE1680" t="inlineStr">
        <is>
          <t>scientific research fund of Chongqing University of posts and telecommunications; Chongqing municipal education commission</t>
        </is>
      </c>
      <c r="AF1680" t="inlineStr">
        <is>
          <t>This research was funded by the scientific research fund of Chongqing University of posts and telecommunications [K2021-175] and the social science project of the Chongqing municipal education commission [22SKGH154] signed in 2022.</t>
        </is>
      </c>
      <c r="AH1680" t="n">
        <v>76</v>
      </c>
      <c r="AI1680" t="n">
        <v>0</v>
      </c>
      <c r="AJ1680" t="n">
        <v>0</v>
      </c>
      <c r="AK1680" t="n">
        <v>13</v>
      </c>
      <c r="AL1680" t="n">
        <v>14</v>
      </c>
      <c r="AM1680" t="inlineStr">
        <is>
          <t>MDPI</t>
        </is>
      </c>
      <c r="AN1680" t="inlineStr">
        <is>
          <t>BASEL</t>
        </is>
      </c>
      <c r="AO1680" t="inlineStr">
        <is>
          <t>ST ALBAN-ANLAGE 66, CH-4052 BASEL, SWITZERLAND</t>
        </is>
      </c>
      <c r="AQ1680" t="inlineStr">
        <is>
          <t>2071-1050</t>
        </is>
      </c>
      <c r="AS1680" t="inlineStr">
        <is>
          <t>SUSTAINABILITY-BASEL</t>
        </is>
      </c>
      <c r="AT1680" t="inlineStr">
        <is>
          <t>Sustainability</t>
        </is>
      </c>
      <c r="AU1680" t="inlineStr">
        <is>
          <t>MAR</t>
        </is>
      </c>
      <c r="AV1680" t="n">
        <v>2023</v>
      </c>
      <c r="AW1680" t="n">
        <v>15</v>
      </c>
      <c r="AX1680" t="n">
        <v>5</v>
      </c>
      <c r="BE1680" t="n">
        <v>4452</v>
      </c>
      <c r="BF1680" t="inlineStr">
        <is>
          <t>10.3390/su15054452</t>
        </is>
      </c>
      <c r="BG1680">
        <f>HYPERLINK("http://dx.doi.org/10.3390/su15054452","http://dx.doi.org/10.3390/su15054452")</f>
        <v/>
      </c>
      <c r="BJ1680" t="n">
        <v>18</v>
      </c>
      <c r="BK1680" t="inlineStr">
        <is>
          <t>Green &amp; Sustainable Science &amp; Technology; Environmental Sciences; Environmental Studies</t>
        </is>
      </c>
      <c r="BL1680" t="inlineStr">
        <is>
          <t>Science Citation Index Expanded (SCI-EXPANDED); Social Science Citation Index (SSCI)</t>
        </is>
      </c>
      <c r="BM1680" t="inlineStr">
        <is>
          <t>Science &amp; Technology - Other Topics; Environmental Sciences &amp; Ecology</t>
        </is>
      </c>
      <c r="BN1680" t="inlineStr">
        <is>
          <t>9U7ZT</t>
        </is>
      </c>
      <c r="BP1680" t="inlineStr">
        <is>
          <t>gold</t>
        </is>
      </c>
      <c r="BS1680" t="inlineStr">
        <is>
          <t>2023-10-26</t>
        </is>
      </c>
      <c r="BT1680" t="inlineStr">
        <is>
          <t>WOS:000947925500001</t>
        </is>
      </c>
      <c r="BU1680">
        <f>HYPERLINK("https%3A%2F%2Fwww.webofscience.com%2Fwos%2Fwoscc%2Ffull-record%2FWOS:000947925500001","View Full Record in Web of Science")</f>
        <v/>
      </c>
    </row>
    <row r="1681">
      <c r="A1681" t="inlineStr">
        <is>
          <t>J</t>
        </is>
      </c>
      <c r="B1681" t="inlineStr">
        <is>
          <t>Iamtrakul, P; Chayphong, S; Kantavat, P; Hayashi, Y; Kijsirikul, B; Iwahori, Y</t>
        </is>
      </c>
      <c r="F1681" t="inlineStr">
        <is>
          <t>Iamtrakul, Pawinee; Chayphong, Sararad; Kantavat, Pittipol; Hayashi, Yoshitsugu; Kijsirikul, Boonserm; Iwahori, Yuji</t>
        </is>
      </c>
      <c r="J1681" t="inlineStr">
        <is>
          <t>SUSTAINABILITY</t>
        </is>
      </c>
      <c r="M1681" t="inlineStr">
        <is>
          <t>English</t>
        </is>
      </c>
      <c r="N1681" t="inlineStr">
        <is>
          <t>Article</t>
        </is>
      </c>
      <c r="T1681" t="inlineStr">
        <is>
          <t>Exploring the Spatial Effects of Built Environment on Quality of Life Related Transportation by Integrating GIS and Deep Learning Approaches</t>
        </is>
      </c>
      <c r="U1681" t="inlineStr">
        <is>
          <t>central business district (CBD); life satisfaction; semantic segmentation process; sustainable transportation; well-being</t>
        </is>
      </c>
      <c r="V1681" t="inlineStr">
        <is>
          <t>WORLD-HEALTH-ORGANIZATION; SOCIOECONOMIC-STATUS; ASSESSMENT WHOQOL; SATISFACTION</t>
        </is>
      </c>
      <c r="W1681" t="inlineStr">
        <is>
          <t>Understanding the quality of life related to transportation plays a crucial role in enhancing commuters' quality of life, particularly in daily trips. This study explores the spatial effects of built environment on quality of life related to transportation (QoLT) through the combination of GIS application and deep learning based on a questionnaire survey by focusing on a case study in Sukhumvit district, Bangkok, Thailand. The Geographic Information System (GIS) was applied for spatial analysis and visualization among all variables through a grid cell (500 x 500 sq.m.). In regard to deep learning, the semantic segmentation process that the model used in this research was OCRNet, and the selected backbone was HRNet_W48. A quality-of-life-related transportation indicator (life satisfaction) was implemented through 500 face-to-face interviews and the data were collected by a questionnaire survey. Then, multinomial regression analysis was performed to demonstrate the significant in positive and negative aspects of independent variables (built environment) with QoLT variables at a 0.05 level of statistical significance. The results revealed the individuals' satisfaction from a diverse group of people in distinct areas or environments who consequently perceived QoLT differently. Built environmental factors were gathered by application of GIS and deep learning, which provided a number of data sets to describe the clusters of physical scene characteristics related to QoLT. The perception of commuters could be translated to different clusters of the physical attributes through the indicated satisfaction level of QoLT. The findings are consistent with the physical characteristics of each typological site context, allowing for an understanding of differences in accessibility to transport systems, including safety and cost of transport. In conclusion, these findings highlight essential aspects of urban planning and transport systems that must consider discrepancies of physical characteristics in terms of social and economic needs from a holistic viewpoint. A better understanding of QoLT adds important value for transportation development to balance the social, economic, and environmental levels toward sustainable futures.</t>
        </is>
      </c>
      <c r="X1681" t="inlineStr">
        <is>
          <t>[Iamtrakul, Pawinee; Chayphong, Sararad] Thammasat Univ, Fac Architecture &amp; Planning, Ctr Excellence Urban Mobil Res &amp; Innovat, Pathum Thani 12120, Thailand; [Kantavat, Pittipol; Kijsirikul, Boonserm] Chulalongkorn Univ, Fac Engn, Dept Comp Engn, Bangkok 10330, Thailand; [Hayashi, Yoshitsugu] Chubu Univ, Ctr Sustainable Dev &amp; Global Smart City, Kasugai 4878501, Japan; [Iwahori, Yuji] Chubu Univ, Dept Comp Sci, Kasugai 4878501, Japan</t>
        </is>
      </c>
      <c r="Y1681" t="inlineStr">
        <is>
          <t>Thammasat University; Chulalongkorn University; Chubu University; Chubu University</t>
        </is>
      </c>
      <c r="Z1681" t="inlineStr">
        <is>
          <t>Iamtrakul, P (corresponding author), Thammasat Univ, Fac Architecture &amp; Planning, Ctr Excellence Urban Mobil Res &amp; Innovat, Pathum Thani 12120, Thailand.</t>
        </is>
      </c>
      <c r="AA1681" t="inlineStr">
        <is>
          <t>pawinee@ap.tu.ac.th</t>
        </is>
      </c>
      <c r="AB1681" t="inlineStr">
        <is>
          <t>Iwahori, Yuji/AAH-4257-2020</t>
        </is>
      </c>
      <c r="AC1681" t="inlineStr">
        <is>
          <t>Iwahori, Yuji/0000-0002-6421-8186; IAMTRAKUL, PAWINEE/0000-0003-1362-2995</t>
        </is>
      </c>
      <c r="AD1681" t="inlineStr">
        <is>
          <t>Japan International Cooperation Agency</t>
        </is>
      </c>
      <c r="AE1681" t="inlineStr">
        <is>
          <t>Japan International Cooperation Agency</t>
        </is>
      </c>
      <c r="AF1681" t="inlineStr">
        <is>
          <t>This research was funded by Japan International Cooperation Agency.</t>
        </is>
      </c>
      <c r="AH1681" t="n">
        <v>80</v>
      </c>
      <c r="AI1681" t="n">
        <v>5</v>
      </c>
      <c r="AJ1681" t="n">
        <v>5</v>
      </c>
      <c r="AK1681" t="n">
        <v>5</v>
      </c>
      <c r="AL1681" t="n">
        <v>8</v>
      </c>
      <c r="AM1681" t="inlineStr">
        <is>
          <t>MDPI</t>
        </is>
      </c>
      <c r="AN1681" t="inlineStr">
        <is>
          <t>BASEL</t>
        </is>
      </c>
      <c r="AO1681" t="inlineStr">
        <is>
          <t>ST ALBAN-ANLAGE 66, CH-4052 BASEL, SWITZERLAND</t>
        </is>
      </c>
      <c r="AQ1681" t="inlineStr">
        <is>
          <t>2071-1050</t>
        </is>
      </c>
      <c r="AS1681" t="inlineStr">
        <is>
          <t>SUSTAINABILITY-BASEL</t>
        </is>
      </c>
      <c r="AT1681" t="inlineStr">
        <is>
          <t>Sustainability</t>
        </is>
      </c>
      <c r="AU1681" t="inlineStr">
        <is>
          <t>FEB</t>
        </is>
      </c>
      <c r="AV1681" t="n">
        <v>2023</v>
      </c>
      <c r="AW1681" t="n">
        <v>15</v>
      </c>
      <c r="AX1681" t="n">
        <v>3</v>
      </c>
      <c r="BE1681" t="n">
        <v>2785</v>
      </c>
      <c r="BF1681" t="inlineStr">
        <is>
          <t>10.3390/su15032785</t>
        </is>
      </c>
      <c r="BG1681">
        <f>HYPERLINK("http://dx.doi.org/10.3390/su15032785","http://dx.doi.org/10.3390/su15032785")</f>
        <v/>
      </c>
      <c r="BJ1681" t="n">
        <v>26</v>
      </c>
      <c r="BK1681" t="inlineStr">
        <is>
          <t>Green &amp; Sustainable Science &amp; Technology; Environmental Sciences; Environmental Studies</t>
        </is>
      </c>
      <c r="BL1681" t="inlineStr">
        <is>
          <t>Science Citation Index Expanded (SCI-EXPANDED); Social Science Citation Index (SSCI)</t>
        </is>
      </c>
      <c r="BM1681" t="inlineStr">
        <is>
          <t>Science &amp; Technology - Other Topics; Environmental Sciences &amp; Ecology</t>
        </is>
      </c>
      <c r="BN1681" t="inlineStr">
        <is>
          <t>9F4YZ</t>
        </is>
      </c>
      <c r="BP1681" t="inlineStr">
        <is>
          <t>gold</t>
        </is>
      </c>
      <c r="BS1681" t="inlineStr">
        <is>
          <t>2023-10-26</t>
        </is>
      </c>
      <c r="BT1681" t="inlineStr">
        <is>
          <t>WOS:000937477100001</t>
        </is>
      </c>
      <c r="BU1681">
        <f>HYPERLINK("https%3A%2F%2Fwww.webofscience.com%2Fwos%2Fwoscc%2Ffull-record%2FWOS:000937477100001","View Full Record in Web of Science")</f>
        <v/>
      </c>
    </row>
    <row r="1682">
      <c r="A1682" t="inlineStr">
        <is>
          <t>J</t>
        </is>
      </c>
      <c r="B1682" t="inlineStr">
        <is>
          <t>Sakhaei, H; Yeganeh, M; Afhami, R</t>
        </is>
      </c>
      <c r="F1682" t="inlineStr">
        <is>
          <t>Sakhaei, Hamidreza; Yeganeh, Mansour; Afhami, Reza</t>
        </is>
      </c>
      <c r="J1682" t="inlineStr">
        <is>
          <t>FRONTIERS IN ENVIRONMENTAL SCIENCE</t>
        </is>
      </c>
      <c r="M1682" t="inlineStr">
        <is>
          <t>English</t>
        </is>
      </c>
      <c r="N1682" t="inlineStr">
        <is>
          <t>Article</t>
        </is>
      </c>
      <c r="T1682" t="inlineStr">
        <is>
          <t>Quantifying Stimulus-Affected Cinematic Spaces Using Psychophysiological Assessments to Indicate Enhanced Cognition and Sustainable Design Criteria</t>
        </is>
      </c>
      <c r="U1682" t="inlineStr">
        <is>
          <t>cinematic mediation; psychophysiological responses; spatial perception; space configuration; sustainable design criteria</t>
        </is>
      </c>
      <c r="V1682" t="inlineStr">
        <is>
          <t>INDIVIDUAL-DIFFERENCES; AROUSAL; PLEASURE; EMOTION; VALENCE; BRAIN; INFORMATION; TEMPERATURE; PERSONALITY; DOMINANCE</t>
        </is>
      </c>
      <c r="W1682" t="inlineStr">
        <is>
          <t>Objectives: Converging architecture with cinema and cognition has proved to be a practical approach to scrutinizing architectural elements' significant contribution to engineering science. In this research, a behavioral analysis has been conducted to examine if disruptive events in cinematic spaces can lead to an insightful perception of architectural qualities and enhanced interplay with the observed spaces to highlight mental health and improved cognitive tasks in sustainable design characteristics.Methods: The experiment was conducted in participants (N = 90) while watching three films with different stimuli to facilitate multivariate analyses. The HR, BP, SCL, and BT were measured while screening films to subjects. Psychological assessments of PANAS, TIPI, Chills, Pleasure, Arousal, Dominance, and NAQ were gathered to conduct correlation and regression analyses between variables. An independent space syntax analysis of film plans was also performed to compare film spaces' properties.Results: Analyses show that physiological responses of HR, BP, SCL, and BT showed a meaningful relationship with the event intensity. Psychological assessments of Chills, SAM, and NAQ also depicted a meaningful relationship with the degree of stimuli during the movie screenings. Regression analyses illustrated that the age factor had a significant relationship with Arousal (p-value = 0.04), Chills (p-value = 0.03), and Dominance (p-value = 0.00). The TIPI factor showed a meaningful relationship with Chills (p-value = 0.03) and Dominance (p-value = 0.00). PANAS PA factor's relationship was significant on Chills (p-value = 0.00), Arousal (p-value = 0.04), and Dominance (p-value = 0.03), and the PANAS NA factor showed a meaningful relationship with Chills (p-value = 0.00) and Dominance (p-value = 0.05). The correlations in Chills-Arousal (p-value = 0.01), PANAS NA-TIPI (p-value = 0.01), NAQ-Pleasure (p-value = 0.05), and Arousal-Dominance (p-value = 0.00) were significant. Space syntax analyses also showed that film 3 had a mixed plan structure than the other two films. Factors such as area compactness, connectivity, visual entropy, controllability, and mean depth were influential in distinguishing film spaces.Conclusion: It has been concluded that the space with intensive disruption of architectural elements successfully indicated improved cognitive perception of spatial qualities, enhanced interaction, and signified sustainable design criteria. Evoking events disrupted the banalization of cinematic spaces, illustrating that the designed model can indicate a more homogenous evaluation of a sustainable environment.</t>
        </is>
      </c>
      <c r="AA1682" t="inlineStr">
        <is>
          <t>yeganeh@modares.ac.ir</t>
        </is>
      </c>
      <c r="AB1682" t="inlineStr">
        <is>
          <t>Afhami, Reza/C-7221-2014; Sakhaei, Hamidreza/ADY-2419-2022</t>
        </is>
      </c>
      <c r="AC1682" t="inlineStr">
        <is>
          <t>Afhami, Reza/0000-0002-7678-6164; Sakhaei, Hamidreza/0000-0001-5394-146X</t>
        </is>
      </c>
      <c r="AH1682" t="n">
        <v>119</v>
      </c>
      <c r="AI1682" t="n">
        <v>5</v>
      </c>
      <c r="AJ1682" t="n">
        <v>5</v>
      </c>
      <c r="AK1682" t="n">
        <v>1</v>
      </c>
      <c r="AL1682" t="n">
        <v>3</v>
      </c>
      <c r="AM1682" t="inlineStr">
        <is>
          <t>FRONTIERS MEDIA SA</t>
        </is>
      </c>
      <c r="AN1682" t="inlineStr">
        <is>
          <t>LAUSANNE</t>
        </is>
      </c>
      <c r="AO1682" t="inlineStr">
        <is>
          <t>AVENUE DU TRIBUNAL FEDERAL 34, LAUSANNE, CH-1015, SWITZERLAND</t>
        </is>
      </c>
      <c r="AQ1682" t="inlineStr">
        <is>
          <t>2296-665X</t>
        </is>
      </c>
      <c r="AS1682" t="inlineStr">
        <is>
          <t>FRONT ENV SCI-SWITZ</t>
        </is>
      </c>
      <c r="AT1682" t="inlineStr">
        <is>
          <t>Front. Environ. Sci.</t>
        </is>
      </c>
      <c r="AU1682" t="inlineStr">
        <is>
          <t>APR 26</t>
        </is>
      </c>
      <c r="AV1682" t="n">
        <v>2022</v>
      </c>
      <c r="AW1682" t="n">
        <v>10</v>
      </c>
      <c r="BE1682" t="n">
        <v>832537</v>
      </c>
      <c r="BF1682" t="inlineStr">
        <is>
          <t>10.3389/fenvs.2022.832537</t>
        </is>
      </c>
      <c r="BG1682">
        <f>HYPERLINK("http://dx.doi.org/10.3389/fenvs.2022.832537","http://dx.doi.org/10.3389/fenvs.2022.832537")</f>
        <v/>
      </c>
      <c r="BJ1682" t="n">
        <v>22</v>
      </c>
      <c r="BK1682" t="inlineStr">
        <is>
          <t>Environmental Sciences</t>
        </is>
      </c>
      <c r="BL1682" t="inlineStr">
        <is>
          <t>Science Citation Index Expanded (SCI-EXPANDED)</t>
        </is>
      </c>
      <c r="BM1682" t="inlineStr">
        <is>
          <t>Environmental Sciences &amp; Ecology</t>
        </is>
      </c>
      <c r="BN1682" t="inlineStr">
        <is>
          <t>6M8PH</t>
        </is>
      </c>
      <c r="BP1682" t="inlineStr">
        <is>
          <t>gold</t>
        </is>
      </c>
      <c r="BS1682" t="inlineStr">
        <is>
          <t>2023-10-26</t>
        </is>
      </c>
      <c r="BT1682" t="inlineStr">
        <is>
          <t>WOS:000889124700001</t>
        </is>
      </c>
      <c r="BU1682">
        <f>HYPERLINK("https%3A%2F%2Fwww.webofscience.com%2Fwos%2Fwoscc%2Ffull-record%2FWOS:000889124700001","View Full Record in Web of Science")</f>
        <v/>
      </c>
    </row>
    <row r="1683">
      <c r="A1683" t="inlineStr">
        <is>
          <t>J</t>
        </is>
      </c>
      <c r="B1683" t="inlineStr">
        <is>
          <t>Briones, C; Jubera, J; Alonso, H; Olaiz, J; Santana, JT; Rodríguez-Brito, N; Tejera, A; Martel, P; González-Díaz, E; Rubiano, JG</t>
        </is>
      </c>
      <c r="F1683" t="inlineStr">
        <is>
          <t>Briones, C.; Jubera, J.; Alonso, H.; Olaiz, J.; Santana, J. T.; Rodriguez-Brito, N.; Tejera, A.; Martel, P.; Gonzalez-Diaz, E.; Rubiano, J. G.</t>
        </is>
      </c>
      <c r="J1683" t="inlineStr">
        <is>
          <t>SCIENCE OF THE TOTAL ENVIRONMENT</t>
        </is>
      </c>
      <c r="M1683" t="inlineStr">
        <is>
          <t>English</t>
        </is>
      </c>
      <c r="N1683" t="inlineStr">
        <is>
          <t>Article</t>
        </is>
      </c>
      <c r="T1683" t="inlineStr">
        <is>
          <t>Methodology for determination of radon prone areas combining the definition of a representative building enclosure and measurements of terrestrial gamma radiation</t>
        </is>
      </c>
      <c r="U1683" t="inlineStr">
        <is>
          <t>Indoor radon; Terrestrial gamma radiation; Environmental radioactivity; Radon prone area; Building type</t>
        </is>
      </c>
      <c r="V1683" t="inlineStr">
        <is>
          <t>INDOOR RADON; DOSE-RATE; SOIL-GAS; REGION</t>
        </is>
      </c>
      <c r="W1683" t="inlineStr">
        <is>
          <t>The recommendations of the European Atomic Energy Community (EURATOM) have recently been incorporated into Spanish regulations in the Basic Document of Health Standards of the Technical Building Code (CTE), section HS6, on protection against radon exposure. This further accentuates the need to delimit radon prone areas as a strategy to address measures which minimise the effects of this gas on the population. In this research, measurements of terrestrial gamma radiation and indoor radon of dwellings have been carried out in the same location to delimit these risk areas. A new methodology has been developed including a definition of a Representative Building Enclosure (RBE) and it is proposed a Building Storey Index (IBS) which allows normalizing measurements of indoor radon activity concentration taken in different levels from the ground to the RBE. The results show the need to consider the type of contact that exists between the building and the ground as a determining factor of radon risk. Terrestrial gamma radiation is used as a proxy for radioisotopic composition of soils to characterise the indoor radon risk at different geological formation. (C) 2021 Elsevier B.V. All rights reserved.</t>
        </is>
      </c>
      <c r="X1683" t="inlineStr">
        <is>
          <t>[Briones, C.; Gonzalez-Diaz, E.] Univ La Laguna, Dept Tecn &amp; Proyectos Ingn &amp; Arquitectura, Canary Isl 38204, Spain; [Jubera, J.; Olaiz, J.; Santana, J. T.; Rodriguez-Brito, N.] Gobierno Canarias, Serv Labs &amp; Calidad Construcc, Canary Isl 38107, Spain; [Alonso, H.; Tejera, A.; Martel, P.; Rubiano, J. G.] Univ Las Palmas Gran Canaria, Dept Fis, Canary Isl 35017, Spain</t>
        </is>
      </c>
      <c r="Y1683" t="inlineStr">
        <is>
          <t>Universidad de la Laguna; Universidad de Las Palmas de Gran Canaria</t>
        </is>
      </c>
      <c r="Z1683" t="inlineStr">
        <is>
          <t>Rubiano, JG (corresponding author), Univ Las Palmas Gran Canaria, Dept Fis, Canary Isl 35017, Spain.</t>
        </is>
      </c>
      <c r="AA1683" t="inlineStr">
        <is>
          <t>jesus.garciarubiano@ulpgc.es</t>
        </is>
      </c>
      <c r="AC1683" t="inlineStr">
        <is>
          <t>Gonzalez-Diaz, Eduardo/0000-0003-3682-6114; Martel-Escobar, Pablo/0000-0001-7883-5970; Briones, Claudio/0000-0002-1270-3403; ALONSO HERNANDEZ, HECTOR EULOGIO/0000-0002-3479-9805</t>
        </is>
      </c>
      <c r="AD1683" t="inlineStr">
        <is>
          <t>Government of the Canary Islands; University of Las Palmas de Gran Canaria</t>
        </is>
      </c>
      <c r="AE1683" t="inlineStr">
        <is>
          <t>Government of the Canary Islands; University of Las Palmas de Gran Canaria</t>
        </is>
      </c>
      <c r="AF1683" t="inlineStr">
        <is>
          <t>This work has been financed by Government of the Canary Islands (Consejeria de obras publicas, transporte y vivienda) through the collaboration agreement with the University of Las Palmas de Gran Canaria for a Proposal for a new zoning to predict the level of risk derived from the presence of radon concentrations inside buildings. On the other hand, the authors would like to acknowledge the collaboration of the Telde City Council's environmental department (Concejalia de Medioambiente).</t>
        </is>
      </c>
      <c r="AH1683" t="n">
        <v>33</v>
      </c>
      <c r="AI1683" t="n">
        <v>3</v>
      </c>
      <c r="AJ1683" t="n">
        <v>3</v>
      </c>
      <c r="AK1683" t="n">
        <v>0</v>
      </c>
      <c r="AL1683" t="n">
        <v>16</v>
      </c>
      <c r="AM1683" t="inlineStr">
        <is>
          <t>ELSEVIER</t>
        </is>
      </c>
      <c r="AN1683" t="inlineStr">
        <is>
          <t>AMSTERDAM</t>
        </is>
      </c>
      <c r="AO1683" t="inlineStr">
        <is>
          <t>RADARWEG 29, 1043 NX AMSTERDAM, NETHERLANDS</t>
        </is>
      </c>
      <c r="AP1683" t="inlineStr">
        <is>
          <t>0048-9697</t>
        </is>
      </c>
      <c r="AQ1683" t="inlineStr">
        <is>
          <t>1879-1026</t>
        </is>
      </c>
      <c r="AS1683" t="inlineStr">
        <is>
          <t>SCI TOTAL ENVIRON</t>
        </is>
      </c>
      <c r="AT1683" t="inlineStr">
        <is>
          <t>Sci. Total Environ.</t>
        </is>
      </c>
      <c r="AU1683" t="inlineStr">
        <is>
          <t>SEP 20</t>
        </is>
      </c>
      <c r="AV1683" t="n">
        <v>2021</v>
      </c>
      <c r="AW1683" t="n">
        <v>788</v>
      </c>
      <c r="BE1683" t="n">
        <v>147709</v>
      </c>
      <c r="BF1683" t="inlineStr">
        <is>
          <t>10.1016/j.scitotenv.2021.147709</t>
        </is>
      </c>
      <c r="BG1683">
        <f>HYPERLINK("http://dx.doi.org/10.1016/j.scitotenv.2021.147709","http://dx.doi.org/10.1016/j.scitotenv.2021.147709")</f>
        <v/>
      </c>
      <c r="BI1683" t="inlineStr">
        <is>
          <t>MAY 2021</t>
        </is>
      </c>
      <c r="BJ1683" t="n">
        <v>12</v>
      </c>
      <c r="BK1683" t="inlineStr">
        <is>
          <t>Environmental Sciences</t>
        </is>
      </c>
      <c r="BL1683" t="inlineStr">
        <is>
          <t>Science Citation Index Expanded (SCI-EXPANDED)</t>
        </is>
      </c>
      <c r="BM1683" t="inlineStr">
        <is>
          <t>Environmental Sciences &amp; Ecology</t>
        </is>
      </c>
      <c r="BN1683" t="inlineStr">
        <is>
          <t>ST7UV</t>
        </is>
      </c>
      <c r="BO1683" t="n">
        <v>34029827</v>
      </c>
      <c r="BS1683" t="inlineStr">
        <is>
          <t>2023-10-26</t>
        </is>
      </c>
      <c r="BT1683" t="inlineStr">
        <is>
          <t>WOS:000662645700002</t>
        </is>
      </c>
      <c r="BU1683">
        <f>HYPERLINK("https%3A%2F%2Fwww.webofscience.com%2Fwos%2Fwoscc%2Ffull-record%2FWOS:000662645700002","View Full Record in Web of Science")</f>
        <v/>
      </c>
    </row>
    <row r="1684">
      <c r="A1684" t="inlineStr">
        <is>
          <t>J</t>
        </is>
      </c>
      <c r="B1684" t="inlineStr">
        <is>
          <t>Eastman, MR; Finlay, JM; Kobayashi, LC</t>
        </is>
      </c>
      <c r="F1684" t="inlineStr">
        <is>
          <t>Eastman, Marisa R.; Finlay, Jessica M.; Kobayashi, Lindsay C.</t>
        </is>
      </c>
      <c r="J1684" t="inlineStr">
        <is>
          <t>INTERNATIONAL JOURNAL OF ENVIRONMENTAL RESEARCH AND PUBLIC HEALTH</t>
        </is>
      </c>
      <c r="M1684" t="inlineStr">
        <is>
          <t>English</t>
        </is>
      </c>
      <c r="N1684" t="inlineStr">
        <is>
          <t>Article</t>
        </is>
      </c>
      <c r="T1684" t="inlineStr">
        <is>
          <t>Alcohol Use and Mental Health among Older American Adults during the Early Months of the COVID-19 Pandemic</t>
        </is>
      </c>
      <c r="U1684" t="inlineStr">
        <is>
          <t>older adults; alcohol use; COVID-19; mental health</t>
        </is>
      </c>
      <c r="V1684" t="inlineStr">
        <is>
          <t>WORLD-TRADE-CENTER; USE DISORDERS; SOCIAL-ISOLATION; PTSD SYMPTOMS; SUBSTANCE USE; NEW-YORK; DRINKING; DEPRESSION; CONSUMPTION; POPULATION</t>
        </is>
      </c>
      <c r="W1684" t="inlineStr">
        <is>
          <t>Poor mental health associated with the COVID-19 pandemic may prompt the utilization of various coping behaviors, including alcohol use. We aimed to investigate the relationships between mental health symptomatology and self-reported changes in alcohol consumption at the onset of the pandemic. Data were from the nationwide COVID-19 Coping Study of US adults aged &gt;= 55 in April and May 2020 (n = 6548). We used population-weighted multivariable-adjusted multi-nomial logistic regression models to estimate odds ratios (ORs) for the associations between mental health (of depression, anxiety, and loneliness, each) and self-reported increased alcohol consumption (vs. no change in consumption). One in ten adults (717/6548; 11%) reported an increase in their alcohol consumption in the past week compared to their usual pre-COVID-19 drinking. Mental health symptomatology was associated with increased drinking since the pandemic onset (depression: OR = 2.66, 95% CI: 1.99-3.56; anxiety: OR = 1.80, 95% CI: 1.34-2.42; loneliness: OR = 2.45, 95% CI: 1.83-3.28). Participants who screened positive for all three mental health outcomes were substantially more likely to report increased alcohol consumption since the onset of the pandemic (OR = 3.87, 95% CI: 2.52-5.96, vs. no mental health outcomes). This study demonstrates potentially harmful changes in alcohol intake among middle-to-older aged adults experiencing mental health symptomatology during the early months of the COVID-19 pandemic.</t>
        </is>
      </c>
      <c r="X1684" t="inlineStr">
        <is>
          <t>[Eastman, Marisa R.; Kobayashi, Lindsay C.] Univ Michigan, Sch Publ Hlth, Dept Epidemiol, Ctr Social Epidemiol &amp; Populat Hlth, Ann Arbor, MI 48109 USA; [Finlay, Jessica M.] Univ Michigan, Sch Publ Hlth, Inst Social Res, Survey Res Ctr, Ann Arbor, MI 48104 USA</t>
        </is>
      </c>
      <c r="Y1684" t="inlineStr">
        <is>
          <t>University of Michigan System; University of Michigan; University of Michigan System; University of Michigan</t>
        </is>
      </c>
      <c r="Z1684" t="inlineStr">
        <is>
          <t>Kobayashi, LC (corresponding author), Univ Michigan, Sch Publ Hlth, Dept Epidemiol, Ctr Social Epidemiol &amp; Populat Hlth, Ann Arbor, MI 48109 USA.</t>
        </is>
      </c>
      <c r="AA1684" t="inlineStr">
        <is>
          <t>meastma@umich.edu; jmfinlay@umich.edu; lkob@umich.edu</t>
        </is>
      </c>
      <c r="AC1684" t="inlineStr">
        <is>
          <t>Kobayashi, Lindsay/0000-0003-2725-3107; Finlay, Jessica/0000-0003-3427-8003</t>
        </is>
      </c>
      <c r="AD1684" t="inlineStr">
        <is>
          <t>Michigan Institute for Clinical &amp; Health Research Postdoctoral Translational Scholar Program [UL1 TR002240-02]; National Institute on Aging Ruth L. Kirschstein National Research Service Award Individual Postdoctoral Fellowship [F32 AG064815-01]</t>
        </is>
      </c>
      <c r="AE1684" t="inlineStr">
        <is>
          <t>Michigan Institute for Clinical &amp; Health Research Postdoctoral Translational Scholar Program; National Institute on Aging Ruth L. Kirschstein National Research Service Award Individual Postdoctoral Fellowship</t>
        </is>
      </c>
      <c r="AF1684" t="inlineStr">
        <is>
          <t>J.M.F.'s efforts were supported by the Michigan Institute for Clinical &amp; Health Research Postdoctoral Translational Scholar Program (UL1 TR002240-02) and National Institute on Aging Ruth L. Kirschstein National Research Service Award Individual Postdoctoral Fellowship (F32 AG064815-01).</t>
        </is>
      </c>
      <c r="AH1684" t="n">
        <v>66</v>
      </c>
      <c r="AI1684" t="n">
        <v>28</v>
      </c>
      <c r="AJ1684" t="n">
        <v>29</v>
      </c>
      <c r="AK1684" t="n">
        <v>0</v>
      </c>
      <c r="AL1684" t="n">
        <v>15</v>
      </c>
      <c r="AM1684" t="inlineStr">
        <is>
          <t>MDPI</t>
        </is>
      </c>
      <c r="AN1684" t="inlineStr">
        <is>
          <t>BASEL</t>
        </is>
      </c>
      <c r="AO1684" t="inlineStr">
        <is>
          <t>ST ALBAN-ANLAGE 66, CH-4052 BASEL, SWITZERLAND</t>
        </is>
      </c>
      <c r="AQ1684" t="inlineStr">
        <is>
          <t>1660-4601</t>
        </is>
      </c>
      <c r="AS1684" t="inlineStr">
        <is>
          <t>INT J ENV RES PUB HE</t>
        </is>
      </c>
      <c r="AT1684" t="inlineStr">
        <is>
          <t>Int. J. Environ. Res. Public Health</t>
        </is>
      </c>
      <c r="AU1684" t="inlineStr">
        <is>
          <t>APR</t>
        </is>
      </c>
      <c r="AV1684" t="n">
        <v>2021</v>
      </c>
      <c r="AW1684" t="n">
        <v>18</v>
      </c>
      <c r="AX1684" t="n">
        <v>8</v>
      </c>
      <c r="BE1684" t="n">
        <v>4222</v>
      </c>
      <c r="BF1684" t="inlineStr">
        <is>
          <t>10.3390/ijerph18084222</t>
        </is>
      </c>
      <c r="BG1684">
        <f>HYPERLINK("http://dx.doi.org/10.3390/ijerph18084222","http://dx.doi.org/10.3390/ijerph18084222")</f>
        <v/>
      </c>
      <c r="BJ1684" t="n">
        <v>13</v>
      </c>
      <c r="BK1684" t="inlineStr">
        <is>
          <t>Environmental Sciences; Public, Environmental &amp; Occupational Health</t>
        </is>
      </c>
      <c r="BL1684" t="inlineStr">
        <is>
          <t>Science Citation Index Expanded (SCI-EXPANDED); Social Science Citation Index (SSCI)</t>
        </is>
      </c>
      <c r="BM1684" t="inlineStr">
        <is>
          <t>Environmental Sciences &amp; Ecology; Public, Environmental &amp; Occupational Health</t>
        </is>
      </c>
      <c r="BN1684" t="inlineStr">
        <is>
          <t>RS9KN</t>
        </is>
      </c>
      <c r="BO1684" t="n">
        <v>33923483</v>
      </c>
      <c r="BP1684" t="inlineStr">
        <is>
          <t>gold, Green Published</t>
        </is>
      </c>
      <c r="BS1684" t="inlineStr">
        <is>
          <t>2023-10-26</t>
        </is>
      </c>
      <c r="BT1684" t="inlineStr">
        <is>
          <t>WOS:000644089800001</t>
        </is>
      </c>
      <c r="BU1684">
        <f>HYPERLINK("https%3A%2F%2Fwww.webofscience.com%2Fwos%2Fwoscc%2Ffull-record%2FWOS:000644089800001","View Full Record in Web of Science")</f>
        <v/>
      </c>
    </row>
    <row r="1685">
      <c r="A1685" t="inlineStr">
        <is>
          <t>J</t>
        </is>
      </c>
      <c r="B1685" t="inlineStr">
        <is>
          <t>Sajani, SZ; Ricciardelli, I; Trentini, A; Bacco, D; Maccone, C; Castellazzi, S; Lauriola, P; Poluzzi, V; Harrison, RM</t>
        </is>
      </c>
      <c r="F1685" t="inlineStr">
        <is>
          <t>Sajani, Stefano Zauli; Ricciardelli, Isabella; Trentini, Arianna; Bacco, Dimitri; Maccone, Claudio; Castellazzi, Silvia; Lauriola, Paolo; Poluzzi, Vanes; Harrison, Roy M.</t>
        </is>
      </c>
      <c r="J1685" t="inlineStr">
        <is>
          <t>ATMOSPHERIC ENVIRONMENT</t>
        </is>
      </c>
      <c r="M1685" t="inlineStr">
        <is>
          <t>English</t>
        </is>
      </c>
      <c r="N1685" t="inlineStr">
        <is>
          <t>Article</t>
        </is>
      </c>
      <c r="T1685" t="inlineStr">
        <is>
          <t>Spatial and indoor/outdoor gradients in urban concentrations of ultrafine particles and PM2.5 mass and chemical components</t>
        </is>
      </c>
      <c r="U1685" t="inlineStr">
        <is>
          <t>Indoor-outdoor air; Deposition; PM2.5; Nanoparticles</t>
        </is>
      </c>
      <c r="V1685" t="inlineStr">
        <is>
          <t>AMBIENT AIR-POLLUTION; PARTICULATE MATTER; NUMBER CONCENTRATIONS; VEHICLE EMISSIONS; OUTDOOR ORIGIN; GAS-PHASE; INDOOR; AEROSOLS; INFILTRATION; POLLUTANTS</t>
        </is>
      </c>
      <c r="W1685" t="inlineStr">
        <is>
          <t>In order to investigate relationships between outdoor air pollution and concentrations indoors, a novel design of experiment has been conducted at two sites, one heavily trafficked and the other residential. The novel design aspect involves the introduction of air directly to the centre of an unoccupied room by use of a fan and duct giving a controlled air exchange rate and allowing an evaluation of particle losses purely due to uptake on indoor surfaces without the losses during penetration of the building envelope which affect most measurement programmes. The rooms were unoccupied and free of indoor sources, and consequently reductions in particle concentration were due to deposition processes within the room alone. Measurements were made of indoor and outdoor concentrations of PM2.5, major chemical components and particle number size distributions. Despite the absence of penetration losses, indoor to outdoor ratios were very similar to those in other studies showing that deposition to indoor surfaces is likely to be the major loss process for indoor air. The results demonstrated a dramatic loss of nitrate in the indoor atmosphere as well as a selective loss of particles in the size range below 50 nm, in comparison to coarser particles. Depletion of indoor particles was greater during a period of cold weather with higher outdoor concentrations probably due to an enhancement of semi-volatile materials in the outdoor particulate matter. Indoor/outdoor ratios for PM2.5 were generally higher at the trafficked site than the residential site, but for particle number were generally lower, reflecting the different chemical composition and size distributions of particles at the two sites. (C) 2015 Elsevier Ltd. All rights reserved.</t>
        </is>
      </c>
      <c r="X1685" t="inlineStr">
        <is>
          <t>[Sajani, Stefano Zauli; Lauriola, Paolo] ARPA Emilia Romagna, Reg Ctr Environm &amp; Hlth, I-41121 Modena, Italy; [Ricciardelli, Isabella; Trentini, Arianna; Bacco, Dimitri; Maccone, Claudio; Poluzzi, Vanes] ARPA Emilia Romagna, Reg Ctr Urban Areas, I-40138 Bologna, Italy; [Castellazzi, Silvia] ARPA Emilia Romagna, I-44122 Ferrara, Italy; [Harrison, Roy M.] Univ Birmingham, Sch Geog Earth &amp; Environm Sci, Div Environm Hlth &amp; Risk Management, Birmingham B15 2TT, W Midlands, England; [Harrison, Roy M.] King Abdulaziz Univ, Dept Environm Sci, Ctr Excellence Environm Studies, Jeddah 21589, Saudi Arabia</t>
        </is>
      </c>
      <c r="Y1685" t="inlineStr">
        <is>
          <t>Regional Environmental Protection Agency - Italy; Regional Environmental Protection Agency - Italy; Regional Environmental Protection Agency - Italy; University of Birmingham; King Abdulaziz University</t>
        </is>
      </c>
      <c r="Z1685" t="inlineStr">
        <is>
          <t>Sajani, SZ (corresponding author), ARPA Emilia Romagna, Reg Ctr Environm &amp; Hlth, Via Begarelli 13, I-41121 Modena, Italy.</t>
        </is>
      </c>
      <c r="AA1685" t="inlineStr">
        <is>
          <t>szauli@arpa.emr.it</t>
        </is>
      </c>
      <c r="AB1685" t="inlineStr">
        <is>
          <t>Harrison, Roy Michael/A-2256-2008; Lauriola, Paolo/AAF-1998-2020</t>
        </is>
      </c>
      <c r="AC1685" t="inlineStr">
        <is>
          <t>Harrison, Roy Michael/0000-0002-2684-5226; Lauriola, Paolo/0000-0003-4768-6612</t>
        </is>
      </c>
      <c r="AD1685" t="inlineStr">
        <is>
          <t>Emilia-Romagna Region (Deliberation of the Regional Government) [1971/13]; Regional Agency for Prevention and Environment (ARPA Emilia-Romagna); ARPA Emilia-Romagna; University of Birmingham [EIT/Climate KIC/GA2012/1]</t>
        </is>
      </c>
      <c r="AE1685" t="inlineStr">
        <is>
          <t>Emilia-Romagna Region (Deliberation of the Regional Government); Regional Agency for Prevention and Environment (ARPA Emilia-Romagna); ARPA Emilia-Romagna; University of Birmingham</t>
        </is>
      </c>
      <c r="AF1685" t="inlineStr">
        <is>
          <t>This research was conducted as part of the Supersito Project, which was supported and financed by the Emilia-Romagna Region (Deliberation of the Regional Government n. 1971/13) and the Regional Agency for Prevention and Environment (ARPA Emilia-Romagna). Financial contribution for the collaboration between ARPA Emilia-Romagna and the University of Birmingham came from the Kic-Pioneers EU Program (EIT/Climate KIC/GA2012/1) which involved the corresponding author. The authors thank David Beddows from the University of Birmingham for his valuable suggestions in analysing FMPS data. The authors are especially grateful to Istituto S.Anna for making a room available during the monitoring campaigns.</t>
        </is>
      </c>
      <c r="AH1685" t="n">
        <v>57</v>
      </c>
      <c r="AI1685" t="n">
        <v>27</v>
      </c>
      <c r="AJ1685" t="n">
        <v>27</v>
      </c>
      <c r="AK1685" t="n">
        <v>0</v>
      </c>
      <c r="AL1685" t="n">
        <v>77</v>
      </c>
      <c r="AM1685" t="inlineStr">
        <is>
          <t>PERGAMON-ELSEVIER SCIENCE LTD</t>
        </is>
      </c>
      <c r="AN1685" t="inlineStr">
        <is>
          <t>OXFORD</t>
        </is>
      </c>
      <c r="AO1685" t="inlineStr">
        <is>
          <t>THE BOULEVARD, LANGFORD LANE, KIDLINGTON, OXFORD OX5 1GB, ENGLAND</t>
        </is>
      </c>
      <c r="AP1685" t="inlineStr">
        <is>
          <t>1352-2310</t>
        </is>
      </c>
      <c r="AQ1685" t="inlineStr">
        <is>
          <t>1873-2844</t>
        </is>
      </c>
      <c r="AS1685" t="inlineStr">
        <is>
          <t>ATMOS ENVIRON</t>
        </is>
      </c>
      <c r="AT1685" t="inlineStr">
        <is>
          <t>Atmos. Environ.</t>
        </is>
      </c>
      <c r="AU1685" t="inlineStr">
        <is>
          <t>FEB</t>
        </is>
      </c>
      <c r="AV1685" t="n">
        <v>2015</v>
      </c>
      <c r="AW1685" t="n">
        <v>103</v>
      </c>
      <c r="BC1685" t="n">
        <v>307</v>
      </c>
      <c r="BD1685" t="n">
        <v>320</v>
      </c>
      <c r="BF1685" t="inlineStr">
        <is>
          <t>10.1016/j.atmosenv.2014.12.064</t>
        </is>
      </c>
      <c r="BG1685">
        <f>HYPERLINK("http://dx.doi.org/10.1016/j.atmosenv.2014.12.064","http://dx.doi.org/10.1016/j.atmosenv.2014.12.064")</f>
        <v/>
      </c>
      <c r="BJ1685" t="n">
        <v>14</v>
      </c>
      <c r="BK1685" t="inlineStr">
        <is>
          <t>Environmental Sciences; Meteorology &amp; Atmospheric Sciences</t>
        </is>
      </c>
      <c r="BL1685" t="inlineStr">
        <is>
          <t>Science Citation Index Expanded (SCI-EXPANDED)</t>
        </is>
      </c>
      <c r="BM1685" t="inlineStr">
        <is>
          <t>Environmental Sciences &amp; Ecology; Meteorology &amp; Atmospheric Sciences</t>
        </is>
      </c>
      <c r="BN1685" t="inlineStr">
        <is>
          <t>CB4GO</t>
        </is>
      </c>
      <c r="BP1685" t="inlineStr">
        <is>
          <t>Green Submitted</t>
        </is>
      </c>
      <c r="BS1685" t="inlineStr">
        <is>
          <t>2023-10-26</t>
        </is>
      </c>
      <c r="BT1685" t="inlineStr">
        <is>
          <t>WOS:000349586400035</t>
        </is>
      </c>
      <c r="BU1685">
        <f>HYPERLINK("https%3A%2F%2Fwww.webofscience.com%2Fwos%2Fwoscc%2Ffull-record%2FWOS:000349586400035","View Full Record in Web of Science")</f>
        <v/>
      </c>
    </row>
    <row r="1686">
      <c r="A1686" t="inlineStr">
        <is>
          <t>J</t>
        </is>
      </c>
      <c r="B1686" t="inlineStr">
        <is>
          <t>Carter, EM; Jackson, MC; Katz, LE; Speitel, GE</t>
        </is>
      </c>
      <c r="F1686" t="inlineStr">
        <is>
          <t>Carter, Ellison M.; Jackson, Mark C.; Katz, Lynn E.; Speitel, Gerald E., Jr.</t>
        </is>
      </c>
      <c r="J1686" t="inlineStr">
        <is>
          <t>JOURNAL OF EXPOSURE SCIENCE AND ENVIRONMENTAL EPIDEMIOLOGY</t>
        </is>
      </c>
      <c r="M1686" t="inlineStr">
        <is>
          <t>English</t>
        </is>
      </c>
      <c r="N1686" t="inlineStr">
        <is>
          <t>Article</t>
        </is>
      </c>
      <c r="T1686" t="inlineStr">
        <is>
          <t>A coupled sensor-spectrophotometric device for continuous measurement of formaldehyde in indoor environments</t>
        </is>
      </c>
      <c r="U1686" t="inlineStr">
        <is>
          <t>coupled sensor-spectrophotometric device; formaldehyde; manufactured housing</t>
        </is>
      </c>
      <c r="V1686" t="inlineStr">
        <is>
          <t>AIR; ELEMENT</t>
        </is>
      </c>
      <c r="W1686" t="inlineStr">
        <is>
          <t>Despite long-standing awareness of adverse health effects associated with chronic human exposure to formaldehyde, this hazardous air pollutant remains a challenge to measure in indoor environments. Traditional analytical techniques evaluate formaldehyde concentrations over several hours to several days in a single location in a residence, making it difficult to characterize daily temporal and spatial variation in human exposure to formaldehyde. There is a need for portable, easy-to-use devices that are specific and sensitive to gas-phase formaldehyde over short sampling periods so that dynamic processes governing formaldehyde fate, transport, and potential remediation in indoor environments may be studied more effectively. A recently developed device couples a chemical sensor element with spectrophotonnetric analysis for detection and quantification of part per billion (ppb(v)) gas-phase formaldehyde concentrations. This study established the ability of the coupled sensor-spectrophotometric device (CSSD) to report formaldehyde concentrations accurately and continuously on a 30-min sampling cycle at low ppbv concentrations previously untested for this device in a laboratory setting. Determination of the method detection limit (MDL), based on 40 samples each at test concentrations of 5 and 10 ppb(v), was found to be 1.9 and 2.0 ppb(v), respectively. Performance of the CSSD was compared with the dinitrophenylhydrazine (DNPH) derivatization method for formaldehyde concentrations ranging from 5-50 ppb(v), and a linear relationship with a coefficient of determination of 0.983 was found between these two analytical techniques. The CSSD was also used to monitor indoor formaldehyde concentrations in two manufactured homes. During this time, formaldehyde concentrations varied from below detection limit to 65 ppbv and were above the US National Institute for Occupational Safety and Health (NIOSH) recommended exposure limit (REL) of 16 ppb(v) which is also the exposure limit value now adopted by the US Federal Emergency Management Agency (FEMA) to procure manufactured housing, 80% and 100% of the time, respectively.</t>
        </is>
      </c>
      <c r="X1686" t="inlineStr">
        <is>
          <t>[Carter, Ellison M.; Jackson, Mark C.; Katz, Lynn E.; Speitel, Gerald E., Jr.] Univ Texas Austin, Cockrell Sch Engn, Dept Civil Architectural &amp; Environm Engn, Austin, TX 78712 USA</t>
        </is>
      </c>
      <c r="Y1686" t="inlineStr">
        <is>
          <t>University of Texas System; University of Texas Austin</t>
        </is>
      </c>
      <c r="Z1686" t="inlineStr">
        <is>
          <t>Carter, EM (corresponding author), Univ Texas Austin, Dept Civil Architectural &amp; Environm Engn, 1 Univ Stn C1786, Austin, TX 78712 USA.</t>
        </is>
      </c>
      <c r="AA1686" t="inlineStr">
        <is>
          <t>ellison.carter@utexas.edu</t>
        </is>
      </c>
      <c r="AD1686" t="inlineStr">
        <is>
          <t>US Environmental Protection Agency STAR Fellowship program; American Society of Heating, Refrigerating, and Air-conditioning Engineers</t>
        </is>
      </c>
      <c r="AE1686" t="inlineStr">
        <is>
          <t>US Environmental Protection Agency STAR Fellowship program(United States Environmental Protection Agency); American Society of Heating, Refrigerating, and Air-conditioning Engineers</t>
        </is>
      </c>
      <c r="AF1686" t="inlineStr">
        <is>
          <t>We thank Matrix Analytical Laboratories for their assistance in completing analysis of DNPH samples and the Indoor Air Quality Group at the National Institute of Standards and Technology for loan of equipment. EMC and this work were supported by US Environmental Protection Agency STAR Fellowship program and the American Society of Heating, Refrigerating, and Air-conditioning Engineers Grant-In-Aid. We would also like to thank the community members of Cottonwood Creek for the opportunity to carry out sampling in the field.</t>
        </is>
      </c>
      <c r="AH1686" t="n">
        <v>36</v>
      </c>
      <c r="AI1686" t="n">
        <v>7</v>
      </c>
      <c r="AJ1686" t="n">
        <v>7</v>
      </c>
      <c r="AK1686" t="n">
        <v>2</v>
      </c>
      <c r="AL1686" t="n">
        <v>53</v>
      </c>
      <c r="AM1686" t="inlineStr">
        <is>
          <t>NATURE PUBLISHING GROUP</t>
        </is>
      </c>
      <c r="AN1686" t="inlineStr">
        <is>
          <t>NEW YORK</t>
        </is>
      </c>
      <c r="AO1686" t="inlineStr">
        <is>
          <t>75 VARICK ST, 9TH FLR, NEW YORK, NY 10013-1917 USA</t>
        </is>
      </c>
      <c r="AP1686" t="inlineStr">
        <is>
          <t>1559-0631</t>
        </is>
      </c>
      <c r="AQ1686" t="inlineStr">
        <is>
          <t>1559-064X</t>
        </is>
      </c>
      <c r="AS1686" t="inlineStr">
        <is>
          <t>J EXPO SCI ENV EPID</t>
        </is>
      </c>
      <c r="AT1686" t="inlineStr">
        <is>
          <t>J. Expo. Sci. Environ. Epidemiol.</t>
        </is>
      </c>
      <c r="AU1686" t="inlineStr">
        <is>
          <t>MAY-JUN</t>
        </is>
      </c>
      <c r="AV1686" t="n">
        <v>2014</v>
      </c>
      <c r="AW1686" t="n">
        <v>24</v>
      </c>
      <c r="AX1686" t="n">
        <v>3</v>
      </c>
      <c r="BC1686" t="n">
        <v>305</v>
      </c>
      <c r="BD1686" t="n">
        <v>310</v>
      </c>
      <c r="BF1686" t="inlineStr">
        <is>
          <t>10.1038/jes.2013.61</t>
        </is>
      </c>
      <c r="BG1686">
        <f>HYPERLINK("http://dx.doi.org/10.1038/jes.2013.61","http://dx.doi.org/10.1038/jes.2013.61")</f>
        <v/>
      </c>
      <c r="BJ1686" t="n">
        <v>6</v>
      </c>
      <c r="BK1686" t="inlineStr">
        <is>
          <t>Environmental Sciences; Public, Environmental &amp; Occupational Health; Toxicology</t>
        </is>
      </c>
      <c r="BL1686" t="inlineStr">
        <is>
          <t>Science Citation Index Expanded (SCI-EXPANDED)</t>
        </is>
      </c>
      <c r="BM1686" t="inlineStr">
        <is>
          <t>Environmental Sciences &amp; Ecology; Public, Environmental &amp; Occupational Health; Toxicology</t>
        </is>
      </c>
      <c r="BN1686" t="inlineStr">
        <is>
          <t>AF2VQ</t>
        </is>
      </c>
      <c r="BO1686" t="n">
        <v>24084757</v>
      </c>
      <c r="BP1686" t="inlineStr">
        <is>
          <t>Bronze</t>
        </is>
      </c>
      <c r="BS1686" t="inlineStr">
        <is>
          <t>2023-10-26</t>
        </is>
      </c>
      <c r="BT1686" t="inlineStr">
        <is>
          <t>WOS:000334571000010</t>
        </is>
      </c>
      <c r="BU1686">
        <f>HYPERLINK("https%3A%2F%2Fwww.webofscience.com%2Fwos%2Fwoscc%2Ffull-record%2FWOS:000334571000010","View Full Record in Web of Science")</f>
        <v/>
      </c>
    </row>
    <row r="1687">
      <c r="A1687" t="inlineStr">
        <is>
          <t>J</t>
        </is>
      </c>
      <c r="B1687" t="inlineStr">
        <is>
          <t>Faber, A; Hoppe, T</t>
        </is>
      </c>
      <c r="F1687" t="inlineStr">
        <is>
          <t>Faber, Albert; Hoppe, Thomas</t>
        </is>
      </c>
      <c r="J1687" t="inlineStr">
        <is>
          <t>ENERGY POLICY</t>
        </is>
      </c>
      <c r="M1687" t="inlineStr">
        <is>
          <t>English</t>
        </is>
      </c>
      <c r="N1687" t="inlineStr">
        <is>
          <t>Article</t>
        </is>
      </c>
      <c r="T1687" t="inlineStr">
        <is>
          <t>Co-constructing a sustainable built environment in the Netherlands-Dynamics and opportunities in an environmental sectoral innovation system</t>
        </is>
      </c>
      <c r="U1687" t="inlineStr">
        <is>
          <t>Built environment; Energy technologies; System of innovation</t>
        </is>
      </c>
      <c r="V1687" t="inlineStr">
        <is>
          <t>ENERGY-EFFICIENCY; POLICY; ECONOMICS; TECHNOLOGY; CONSUMPTION; INFORMATION; COMPETITION; TRANSITION; BUILDINGS; BEHAVIOR</t>
        </is>
      </c>
      <c r="W1687" t="inlineStr">
        <is>
          <t>There is considerable scope for energy efficiency improvements to the housing stock in the Netherlands. Although, economically, there are many technological opportunities available, the Dutch built environment has difficulty to harvest this potential. This paper applies a sectoral innovation system approach to investigate this apparent paradox. This approach allows to identify and assess systemic barriers that prevent improvement in overall energy efficiency of the Dutch housing sector. Twenty-one experts were interviewed, and a qualitative data analysis was applied to identify barriers, and relate them to key dimensions in the sectoral innovation system framework. From this analysis, we identified poor regulatory design, lack of market demand, and some institutional characteristics of the construction sector as the key systemic barriers that hamper the diffusion of green energy innovations in the Dutch housing sector. (C) 2012 Elsevier Ltd. All rights reserved.</t>
        </is>
      </c>
      <c r="X1687" t="inlineStr">
        <is>
          <t>[Faber, Albert] PBL Netherlands Environm Assessment Agcy, NL-3720 AH Bilthoven, Netherlands; [Faber, Albert] Univ Utrecht, Dept Innovat &amp; Environm Sci, Utrecht, Netherlands; [Hoppe, Thomas] Univ Twente, Twente Ctr Studies Technol &amp; Sustainable Dev, Sch Management &amp; Governance, Inst Innovat &amp; Governance Studies, NL-7500 AE Enschede, Netherlands</t>
        </is>
      </c>
      <c r="Y1687" t="inlineStr">
        <is>
          <t>Utrecht University; University of Twente</t>
        </is>
      </c>
      <c r="Z1687" t="inlineStr">
        <is>
          <t>Faber, A (corresponding author), PBL Netherlands Environm Assessment Agcy, POB 303, NL-3720 Ah Bilthoven, Netherlands.</t>
        </is>
      </c>
      <c r="AA1687" t="inlineStr">
        <is>
          <t>faber@wrr.nl; t.hoppe@utwente.nl</t>
        </is>
      </c>
      <c r="AB1687" t="inlineStr">
        <is>
          <t>Hoppe, Thomas/W-7895-2019</t>
        </is>
      </c>
      <c r="AH1687" t="n">
        <v>79</v>
      </c>
      <c r="AI1687" t="n">
        <v>44</v>
      </c>
      <c r="AJ1687" t="n">
        <v>44</v>
      </c>
      <c r="AK1687" t="n">
        <v>3</v>
      </c>
      <c r="AL1687" t="n">
        <v>65</v>
      </c>
      <c r="AM1687" t="inlineStr">
        <is>
          <t>ELSEVIER SCI LTD</t>
        </is>
      </c>
      <c r="AN1687" t="inlineStr">
        <is>
          <t>OXFORD</t>
        </is>
      </c>
      <c r="AO1687" t="inlineStr">
        <is>
          <t>THE BOULEVARD, LANGFORD LANE, KIDLINGTON, OXFORD OX5 1GB, OXON, ENGLAND</t>
        </is>
      </c>
      <c r="AP1687" t="inlineStr">
        <is>
          <t>0301-4215</t>
        </is>
      </c>
      <c r="AQ1687" t="inlineStr">
        <is>
          <t>1873-6777</t>
        </is>
      </c>
      <c r="AS1687" t="inlineStr">
        <is>
          <t>ENERG POLICY</t>
        </is>
      </c>
      <c r="AT1687" t="inlineStr">
        <is>
          <t>Energy Policy</t>
        </is>
      </c>
      <c r="AU1687" t="inlineStr">
        <is>
          <t>JAN</t>
        </is>
      </c>
      <c r="AV1687" t="n">
        <v>2013</v>
      </c>
      <c r="AW1687" t="n">
        <v>52</v>
      </c>
      <c r="BC1687" t="n">
        <v>628</v>
      </c>
      <c r="BD1687" t="n">
        <v>638</v>
      </c>
      <c r="BF1687" t="inlineStr">
        <is>
          <t>10.1016/j.enpol.2012.10.022</t>
        </is>
      </c>
      <c r="BG1687">
        <f>HYPERLINK("http://dx.doi.org/10.1016/j.enpol.2012.10.022","http://dx.doi.org/10.1016/j.enpol.2012.10.022")</f>
        <v/>
      </c>
      <c r="BJ1687" t="n">
        <v>11</v>
      </c>
      <c r="BK1687" t="inlineStr">
        <is>
          <t>Economics; Energy &amp; Fuels; Environmental Sciences; Environmental Studies</t>
        </is>
      </c>
      <c r="BL1687" t="inlineStr">
        <is>
          <t>Science Citation Index Expanded (SCI-EXPANDED); Social Science Citation Index (SSCI)</t>
        </is>
      </c>
      <c r="BM1687" t="inlineStr">
        <is>
          <t>Business &amp; Economics; Energy &amp; Fuels; Environmental Sciences &amp; Ecology</t>
        </is>
      </c>
      <c r="BN1687" t="inlineStr">
        <is>
          <t>073WZ</t>
        </is>
      </c>
      <c r="BP1687" t="inlineStr">
        <is>
          <t>Green Published</t>
        </is>
      </c>
      <c r="BS1687" t="inlineStr">
        <is>
          <t>2023-10-26</t>
        </is>
      </c>
      <c r="BT1687" t="inlineStr">
        <is>
          <t>WOS:000313775100055</t>
        </is>
      </c>
      <c r="BU1687">
        <f>HYPERLINK("https%3A%2F%2Fwww.webofscience.com%2Fwos%2Fwoscc%2Ffull-record%2FWOS:000313775100055","View Full Record in Web of Science")</f>
        <v/>
      </c>
    </row>
    <row r="1688">
      <c r="A1688" t="inlineStr">
        <is>
          <t>J</t>
        </is>
      </c>
      <c r="B1688" t="inlineStr">
        <is>
          <t>Kim, J; Kang, EG</t>
        </is>
      </c>
      <c r="F1688" t="inlineStr">
        <is>
          <t>Kim, Jeongah; Kang, Eungoo</t>
        </is>
      </c>
      <c r="J1688" t="inlineStr">
        <is>
          <t>SUSTAINABILITY</t>
        </is>
      </c>
      <c r="M1688" t="inlineStr">
        <is>
          <t>English</t>
        </is>
      </c>
      <c r="N1688" t="inlineStr">
        <is>
          <t>Article</t>
        </is>
      </c>
      <c r="T1688" t="inlineStr">
        <is>
          <t>An Empirical Study of How Both Environmental Awareness and Interest in Artwork Can Be Incorporated into the Interior Design of Urban Hotels</t>
        </is>
      </c>
      <c r="U1688" t="inlineStr">
        <is>
          <t>urban hotel; hospitality; interior design; environmental sustainability; green customers; artwork; loyalty; environmental marketing strategies</t>
        </is>
      </c>
      <c r="V1688" t="inlineStr">
        <is>
          <t>GREEN MARKETING-STRATEGY; FIRM PERFORMANCE; IMPACT; CAPABILITY; MANAGEMENT; INNOVATION; MODELS; CFA</t>
        </is>
      </c>
      <c r="W1688" t="inlineStr">
        <is>
          <t>Prior studies on urban hotel service settings show that the positive response to the lobby artwork and interior design in a hotel is a performance determinant since it directly impacts the orientation of green customers' preferences who form a significant part of the primary and secondary consumers outcome of emotional satisfaction. In addition, it elaborates on the importance of marketing strategy based on hotel interior design for urban hotels intending to increase customer loyalty. For this reason, the present study collected a total of 330 South Korean participants to identify the mediating role of hotel lobby interior design and artworks between green customers' preferences and hotel loyalty. The survey instrument designed for the current study included 15 questions to test the hypotheses and a path analysis using AMOS 24.0 was conducted as the main tool to determine the relationship key factors. According to our statistical findings, it is acceptable to relate the customers' environmental awareness with interest in artwork in the hotel lobby due to the first impression created. The artwork gives a general perception of the value and quality that the consumer is likely to gain by interacting with the available products and services. It is also valid to indicate that the customers' environmental awareness closely relates to their preference for interior design to develop customer loyalty. Therefore, we conclude that the environmental awareness and hotel loyalty factors impact the marketing strategy and segmentation process used for the urban hotels that deal with green customers with unique and exclusive needs.</t>
        </is>
      </c>
      <c r="X1688" t="inlineStr">
        <is>
          <t>[Kim, Jeongah] Keimyung Univ, Coll Engn, Daegu 42601, South Korea; [Kang, Eungoo] St Marys Univ Minnesota, Business &amp; Technol, DBA, Minneapolis, MN 55404 USA</t>
        </is>
      </c>
      <c r="Y1688" t="inlineStr">
        <is>
          <t>Keimyung University</t>
        </is>
      </c>
      <c r="Z1688" t="inlineStr">
        <is>
          <t>Kang, EG (corresponding author), St Marys Univ Minnesota, Business &amp; Technol, DBA, Minneapolis, MN 55404 USA.</t>
        </is>
      </c>
      <c r="AA1688" t="inlineStr">
        <is>
          <t>design1@kmu.ac.kr; exkang14@gmail.com</t>
        </is>
      </c>
      <c r="AH1688" t="n">
        <v>95</v>
      </c>
      <c r="AI1688" t="n">
        <v>0</v>
      </c>
      <c r="AJ1688" t="n">
        <v>0</v>
      </c>
      <c r="AK1688" t="n">
        <v>6</v>
      </c>
      <c r="AL1688" t="n">
        <v>19</v>
      </c>
      <c r="AM1688" t="inlineStr">
        <is>
          <t>MDPI</t>
        </is>
      </c>
      <c r="AN1688" t="inlineStr">
        <is>
          <t>BASEL</t>
        </is>
      </c>
      <c r="AO1688" t="inlineStr">
        <is>
          <t>ST ALBAN-ANLAGE 66, CH-4052 BASEL, SWITZERLAND</t>
        </is>
      </c>
      <c r="AQ1688" t="inlineStr">
        <is>
          <t>2071-1050</t>
        </is>
      </c>
      <c r="AS1688" t="inlineStr">
        <is>
          <t>SUSTAINABILITY-BASEL</t>
        </is>
      </c>
      <c r="AT1688" t="inlineStr">
        <is>
          <t>Sustainability</t>
        </is>
      </c>
      <c r="AU1688" t="inlineStr">
        <is>
          <t>JAN</t>
        </is>
      </c>
      <c r="AV1688" t="n">
        <v>2022</v>
      </c>
      <c r="AW1688" t="n">
        <v>14</v>
      </c>
      <c r="AX1688" t="n">
        <v>2</v>
      </c>
      <c r="BE1688" t="n">
        <v>1005</v>
      </c>
      <c r="BF1688" t="inlineStr">
        <is>
          <t>10.3390/su14021005</t>
        </is>
      </c>
      <c r="BG1688">
        <f>HYPERLINK("http://dx.doi.org/10.3390/su14021005","http://dx.doi.org/10.3390/su14021005")</f>
        <v/>
      </c>
      <c r="BJ1688" t="n">
        <v>22</v>
      </c>
      <c r="BK1688" t="inlineStr">
        <is>
          <t>Green &amp; Sustainable Science &amp; Technology; Environmental Sciences; Environmental Studies</t>
        </is>
      </c>
      <c r="BL1688" t="inlineStr">
        <is>
          <t>Science Citation Index Expanded (SCI-EXPANDED); Social Science Citation Index (SSCI)</t>
        </is>
      </c>
      <c r="BM1688" t="inlineStr">
        <is>
          <t>Science &amp; Technology - Other Topics; Environmental Sciences &amp; Ecology</t>
        </is>
      </c>
      <c r="BN1688" t="inlineStr">
        <is>
          <t>ZB6UQ</t>
        </is>
      </c>
      <c r="BP1688" t="inlineStr">
        <is>
          <t>gold</t>
        </is>
      </c>
      <c r="BS1688" t="inlineStr">
        <is>
          <t>2023-10-26</t>
        </is>
      </c>
      <c r="BT1688" t="inlineStr">
        <is>
          <t>WOS:000756975200001</t>
        </is>
      </c>
      <c r="BU1688">
        <f>HYPERLINK("https%3A%2F%2Fwww.webofscience.com%2Fwos%2Fwoscc%2Ffull-record%2FWOS:000756975200001","View Full Record in Web of Science")</f>
        <v/>
      </c>
    </row>
    <row r="1689">
      <c r="A1689" t="inlineStr">
        <is>
          <t>J</t>
        </is>
      </c>
      <c r="B1689" t="inlineStr">
        <is>
          <t>Lee, JA; Park, JH; Kim, M</t>
        </is>
      </c>
      <c r="F1689" t="inlineStr">
        <is>
          <t>Lee, Jung-A; Park, Jong Heon; Kim, Myung</t>
        </is>
      </c>
      <c r="J1689" t="inlineStr">
        <is>
          <t>INTERNATIONAL JOURNAL OF ENVIRONMENTAL RESEARCH AND PUBLIC HEALTH</t>
        </is>
      </c>
      <c r="M1689" t="inlineStr">
        <is>
          <t>English</t>
        </is>
      </c>
      <c r="N1689" t="inlineStr">
        <is>
          <t>Article</t>
        </is>
      </c>
      <c r="T1689" t="inlineStr">
        <is>
          <t>Social and Physical Environments and Self-Rated Health in Urban and Rural Communities in Korea</t>
        </is>
      </c>
      <c r="U1689" t="inlineStr">
        <is>
          <t>social and physical environment; SRH; urban; rural</t>
        </is>
      </c>
      <c r="V1689" t="inlineStr">
        <is>
          <t>RESOURCE GENERATOR; INCOME INEQUALITY; PARTICIPATION; NEIGHBORHOODS; OBESITY</t>
        </is>
      </c>
      <c r="W1689" t="inlineStr">
        <is>
          <t>This study evaluated the associations between social and physical environments and self-rated health (SRH) for urban and rural Korean adults, using data from the Korean Community Health Survey (KCHS) of 199,790 participants (115,454 urban and 84,336 rural). The main dependent variable was SRH, while the primary independent variables were social and physical characteristics. Urban residents reported better SRH than did rural residents. Five social environmental variables (trust of neighbors, residence in the area for over 20 years, exchanging help with neighbors, friend and fellowship activities, contact with relatives and neighbors over five times per month) were more prevalent among rural residents. Satisfaction with physical environment was more common among rural residents, but satisfaction with traffic and healthcare facilities was more common among urban areas. After adjusting for relevant factors, positive associations between SRH and trust of neighbors, exchanging help with neighbors, participation in social activities or organizations, and physical environment existed in both rural and urban populations. Also, in both areas, there was no demonstrated association between SRH and years of residence or frequency of contact with relatives. Our findings suggest the existence of an association between social and physical factors and perceived health status among the general population of Korea.</t>
        </is>
      </c>
      <c r="X1689" t="inlineStr">
        <is>
          <t>[Lee, Jung-A] Ewha Womans Univ, Grad Sch, Dept Hlth Management, Seoul 120750, South Korea; [Lee, Jung-A] Myongji Coll, Dept Hlth &amp; Med Informat, Seoul 120776, South Korea; [Park, Jong Heon] Natl Hlth Insurance Serv, Dept Big Data Steering, Seoul 121749, South Korea; [Kim, Myung] Ewha Womans Univ, Coll Hlth Sci, Dept Hlth Educ &amp; Management, Seoul 120750, South Korea</t>
        </is>
      </c>
      <c r="Y1689" t="inlineStr">
        <is>
          <t>Ewha Womans University; National Health Insurance Service; Ewha Womans University</t>
        </is>
      </c>
      <c r="Z1689" t="inlineStr">
        <is>
          <t>Kim, M (corresponding author), Ewha Womans Univ, Coll Hlth Sci, Dept Hlth Educ &amp; Management, Seoul 120750, South Korea.</t>
        </is>
      </c>
      <c r="AA1689" t="inlineStr">
        <is>
          <t>leejabelle@gmail.com; jmhoney0@gmail.com; mykim@ewha.ac.kr</t>
        </is>
      </c>
      <c r="AH1689" t="n">
        <v>30</v>
      </c>
      <c r="AI1689" t="n">
        <v>28</v>
      </c>
      <c r="AJ1689" t="n">
        <v>29</v>
      </c>
      <c r="AK1689" t="n">
        <v>1</v>
      </c>
      <c r="AL1689" t="n">
        <v>11</v>
      </c>
      <c r="AM1689" t="inlineStr">
        <is>
          <t>MDPI AG</t>
        </is>
      </c>
      <c r="AN1689" t="inlineStr">
        <is>
          <t>BASEL</t>
        </is>
      </c>
      <c r="AO1689" t="inlineStr">
        <is>
          <t>POSTFACH, CH-4005 BASEL, SWITZERLAND</t>
        </is>
      </c>
      <c r="AP1689" t="inlineStr">
        <is>
          <t>1660-4601</t>
        </is>
      </c>
      <c r="AS1689" t="inlineStr">
        <is>
          <t>INT J ENV RES PUB HE</t>
        </is>
      </c>
      <c r="AT1689" t="inlineStr">
        <is>
          <t>Int. J. Environ. Res. Public Health</t>
        </is>
      </c>
      <c r="AU1689" t="inlineStr">
        <is>
          <t>NOV</t>
        </is>
      </c>
      <c r="AV1689" t="n">
        <v>2015</v>
      </c>
      <c r="AW1689" t="n">
        <v>12</v>
      </c>
      <c r="AX1689" t="n">
        <v>11</v>
      </c>
      <c r="BC1689" t="n">
        <v>14329</v>
      </c>
      <c r="BD1689" t="n">
        <v>14341</v>
      </c>
      <c r="BF1689" t="inlineStr">
        <is>
          <t>10.3390/ijerph121114329</t>
        </is>
      </c>
      <c r="BG1689">
        <f>HYPERLINK("http://dx.doi.org/10.3390/ijerph121114329","http://dx.doi.org/10.3390/ijerph121114329")</f>
        <v/>
      </c>
      <c r="BJ1689" t="n">
        <v>13</v>
      </c>
      <c r="BK1689" t="inlineStr">
        <is>
          <t>Environmental Sciences; Public, Environmental &amp; Occupational Health</t>
        </is>
      </c>
      <c r="BL1689" t="inlineStr">
        <is>
          <t>Science Citation Index Expanded (SCI-EXPANDED); Social Science Citation Index (SSCI)</t>
        </is>
      </c>
      <c r="BM1689" t="inlineStr">
        <is>
          <t>Environmental Sciences &amp; Ecology; Public, Environmental &amp; Occupational Health</t>
        </is>
      </c>
      <c r="BN1689" t="inlineStr">
        <is>
          <t>CX4CJ</t>
        </is>
      </c>
      <c r="BO1689" t="n">
        <v>26569279</v>
      </c>
      <c r="BP1689" t="inlineStr">
        <is>
          <t>Green Published, Green Submitted, gold</t>
        </is>
      </c>
      <c r="BS1689" t="inlineStr">
        <is>
          <t>2023-10-26</t>
        </is>
      </c>
      <c r="BT1689" t="inlineStr">
        <is>
          <t>WOS:000365645500047</t>
        </is>
      </c>
      <c r="BU1689">
        <f>HYPERLINK("https%3A%2F%2Fwww.webofscience.com%2Fwos%2Fwoscc%2Ffull-record%2FWOS:000365645500047","View Full Record in Web of Science")</f>
        <v/>
      </c>
    </row>
    <row r="1690">
      <c r="A1690" t="inlineStr">
        <is>
          <t>J</t>
        </is>
      </c>
      <c r="B1690" t="inlineStr">
        <is>
          <t>Amoatey, P; Omidvarborna, H; Baawain, MS; Al-Mamun, A</t>
        </is>
      </c>
      <c r="F1690" t="inlineStr">
        <is>
          <t>Amoatey, Patrick; Omidvarborna, Hamid; Baawain, Mahad Said; Al-Mamun, Abdullah</t>
        </is>
      </c>
      <c r="J1690" t="inlineStr">
        <is>
          <t>SCIENCE OF THE TOTAL ENVIRONMENT</t>
        </is>
      </c>
      <c r="M1690" t="inlineStr">
        <is>
          <t>English</t>
        </is>
      </c>
      <c r="N1690" t="inlineStr">
        <is>
          <t>Article</t>
        </is>
      </c>
      <c r="T1690" t="inlineStr">
        <is>
          <t>Impact of building ventilation systems and habitual indoor incense burning on SARS-CoV-2 virus transmissions in Middle Eastern countries</t>
        </is>
      </c>
      <c r="V1690" t="inlineStr">
        <is>
          <t>TEMPERATURE; HEALTH</t>
        </is>
      </c>
      <c r="X1690" t="inlineStr">
        <is>
          <t>[Amoatey, Patrick; Baawain, Mahad Said; Al-Mamun, Abdullah] Sultan Qaboos Univ, Dept Civil &amp; Architectural Engn, Coll Engn, POB 33, Muscat 123, Oman; [Omidvarborna, Hamid] Univ Surrey, Fac Engn &amp; Phys Sci, Dept Civil &amp; Environm Engn, Global Ctr Clean Air Res GCARE, Guildford GU2 7XH, Surrey, England</t>
        </is>
      </c>
      <c r="Y1690" t="inlineStr">
        <is>
          <t>Sultan Qaboos University; University of Surrey</t>
        </is>
      </c>
      <c r="Z1690" t="inlineStr">
        <is>
          <t>Baawain, MS (corresponding author), Sultan Qaboos Univ, Dept Civil &amp; Architectural Engn, Coll Engn, POB 33, Muscat 123, Oman.</t>
        </is>
      </c>
      <c r="AA1690" t="inlineStr">
        <is>
          <t>msab@squ.edu.om</t>
        </is>
      </c>
      <c r="AB1690" t="inlineStr">
        <is>
          <t>Amoatey, Patrick/G-1475-2016; Baawain, Mahad/S-8010-2019; Al-Mamun, Abdullah/ABH-8121-2020</t>
        </is>
      </c>
      <c r="AC1690" t="inlineStr">
        <is>
          <t>Amoatey, Patrick/0000-0003-2995-5399; Baawain, Mahad/0000-0001-5239-4839; Al-Mamun, Abdullah/0000-0002-5642-2945; Omidvarborna, Hamid/0000-0003-2865-5319</t>
        </is>
      </c>
      <c r="AD1690" t="inlineStr">
        <is>
          <t>Ministry of Environment and Climatic Affairs (MECA) of Oman [CR/DVC/CESAR/16/05]</t>
        </is>
      </c>
      <c r="AE1690" t="inlineStr">
        <is>
          <t>Ministry of Environment and Climatic Affairs (MECA) of Oman</t>
        </is>
      </c>
      <c r="AF1690" t="inlineStr">
        <is>
          <t>This study was supported by Ministry of Environment and Climatic Affairs (MECA) of Oman under Grant Number CR/DVC/CESAR/16/05.</t>
        </is>
      </c>
      <c r="AH1690" t="n">
        <v>30</v>
      </c>
      <c r="AI1690" t="n">
        <v>52</v>
      </c>
      <c r="AJ1690" t="n">
        <v>53</v>
      </c>
      <c r="AK1690" t="n">
        <v>1</v>
      </c>
      <c r="AL1690" t="n">
        <v>69</v>
      </c>
      <c r="AM1690" t="inlineStr">
        <is>
          <t>ELSEVIER</t>
        </is>
      </c>
      <c r="AN1690" t="inlineStr">
        <is>
          <t>AMSTERDAM</t>
        </is>
      </c>
      <c r="AO1690" t="inlineStr">
        <is>
          <t>RADARWEG 29, 1043 NX AMSTERDAM, NETHERLANDS</t>
        </is>
      </c>
      <c r="AP1690" t="inlineStr">
        <is>
          <t>0048-9697</t>
        </is>
      </c>
      <c r="AQ1690" t="inlineStr">
        <is>
          <t>1879-1026</t>
        </is>
      </c>
      <c r="AS1690" t="inlineStr">
        <is>
          <t>SCI TOTAL ENVIRON</t>
        </is>
      </c>
      <c r="AT1690" t="inlineStr">
        <is>
          <t>Sci. Total Environ.</t>
        </is>
      </c>
      <c r="AU1690" t="inlineStr">
        <is>
          <t>SEP 1</t>
        </is>
      </c>
      <c r="AV1690" t="n">
        <v>2020</v>
      </c>
      <c r="AW1690" t="n">
        <v>733</v>
      </c>
      <c r="BE1690" t="n">
        <v>139356</v>
      </c>
      <c r="BF1690" t="inlineStr">
        <is>
          <t>10.1016/j.scitotenv.2020.139356</t>
        </is>
      </c>
      <c r="BG1690">
        <f>HYPERLINK("http://dx.doi.org/10.1016/j.scitotenv.2020.139356","http://dx.doi.org/10.1016/j.scitotenv.2020.139356")</f>
        <v/>
      </c>
      <c r="BJ1690" t="n">
        <v>3</v>
      </c>
      <c r="BK1690" t="inlineStr">
        <is>
          <t>Environmental Sciences</t>
        </is>
      </c>
      <c r="BL1690" t="inlineStr">
        <is>
          <t>Science Citation Index Expanded (SCI-EXPANDED)</t>
        </is>
      </c>
      <c r="BM1690" t="inlineStr">
        <is>
          <t>Environmental Sciences &amp; Ecology</t>
        </is>
      </c>
      <c r="BN1690" t="inlineStr">
        <is>
          <t>LY1GS</t>
        </is>
      </c>
      <c r="BO1690" t="n">
        <v>32416534</v>
      </c>
      <c r="BP1690" t="inlineStr">
        <is>
          <t>Green Published, Bronze</t>
        </is>
      </c>
      <c r="BS1690" t="inlineStr">
        <is>
          <t>2023-10-26</t>
        </is>
      </c>
      <c r="BT1690" t="inlineStr">
        <is>
          <t>WOS:000540271100003</t>
        </is>
      </c>
      <c r="BU1690">
        <f>HYPERLINK("https%3A%2F%2Fwww.webofscience.com%2Fwos%2Fwoscc%2Ffull-record%2FWOS:000540271100003","View Full Record in Web of Science")</f>
        <v/>
      </c>
    </row>
    <row r="1691">
      <c r="A1691" t="inlineStr">
        <is>
          <t>J</t>
        </is>
      </c>
      <c r="B1691" t="inlineStr">
        <is>
          <t>Whiley, H; Gaskin, S; Schroder, T; Ross, K</t>
        </is>
      </c>
      <c r="F1691" t="inlineStr">
        <is>
          <t>Whiley, Harriet; Gaskin, Sharyn; Schroder, Tiffany; Ross, Kirstin</t>
        </is>
      </c>
      <c r="J1691" t="inlineStr">
        <is>
          <t>REVIEWS ON ENVIRONMENTAL HEALTH</t>
        </is>
      </c>
      <c r="M1691" t="inlineStr">
        <is>
          <t>English</t>
        </is>
      </c>
      <c r="N1691" t="inlineStr">
        <is>
          <t>Review</t>
        </is>
      </c>
      <c r="T1691" t="inlineStr">
        <is>
          <t>Antifungal properties of essential oils for improvement of indoor air quality: a review</t>
        </is>
      </c>
      <c r="U1691" t="inlineStr">
        <is>
          <t>fungicidal; indoor air; natural; plant-derived compound; plant extract</t>
        </is>
      </c>
      <c r="V1691" t="inlineStr">
        <is>
          <t>SICK BUILDING SYNDROME; CINNAMON OIL; CLOVE OIL; IN-VITRO; MOLD; FUNGI; RESISTANCE; AGENTS; DISINFECTANTS; AROMATICUM</t>
        </is>
      </c>
      <c r="W1691" t="inlineStr">
        <is>
          <t>Concerns regarding indoor air quality, particularly the presence of fungi and moulds, are increasing. The potential for essential oils to reduce, control or remove fungi, is gaining interest as they are seen as a natural alternative to synthetic chemical fungicides. This review examines published research on essential oils as a method of fungal control in indoor environments. It was difficult to compare the relative performances of essential oils due to differences in research methods and reporting languages. In addition, there are limited studies that scale up laboratory results and assess the efficacy of essential oils within building environments. However, generally, there appears to be some evidence to support the essential oils clove oil, tea tree oil, oregano, thyme and lemon as potential antifungal agents. Essential oils from heartwood, marjoram, cinnamon, lemon basil, caraway, bay tree, fir, peppermint, pine, cedar leaf and manuka were identified in at least one study as having antifungal potential. Future studies should focus on comparing the effectiveness of these essential oils against a large number of fungal isolates from indoor environments. Studies will then need to focus on translating these results into realistic application methods, in actual buildings, and assess the potential for long-term antifungal persistence.</t>
        </is>
      </c>
      <c r="X1691" t="inlineStr">
        <is>
          <t>[Whiley, Harriet; Schroder, Tiffany; Ross, Kirstin] Flinders Univ S Australia, Environm Hlth Sci &amp; Engn, GPO Box 2100, Adelaide, SA 5000, Australia; [Gaskin, Sharyn] Univ Adelaide, Sch Publ Hlth, Occupat &amp; Environm Hlth, 28 Anderson St, Adelaide, SA 5031, Australia</t>
        </is>
      </c>
      <c r="Y1691" t="inlineStr">
        <is>
          <t>Flinders University South Australia; University of Adelaide</t>
        </is>
      </c>
      <c r="Z1691" t="inlineStr">
        <is>
          <t>Whiley, H (corresponding author), Flinders Univ S Australia, Environm Hlth Sci &amp; Engn, GPO Box 2100, Adelaide, SA 5000, Australia.</t>
        </is>
      </c>
      <c r="AA1691" t="inlineStr">
        <is>
          <t>Harriet.Whiley@flinders.edu.au</t>
        </is>
      </c>
      <c r="AB1691" t="inlineStr">
        <is>
          <t>Whiley, Harriet/E-9014-2015</t>
        </is>
      </c>
      <c r="AC1691" t="inlineStr">
        <is>
          <t>Whiley, Harriet/0000-0001-8940-3508</t>
        </is>
      </c>
      <c r="AH1691" t="n">
        <v>56</v>
      </c>
      <c r="AI1691" t="n">
        <v>21</v>
      </c>
      <c r="AJ1691" t="n">
        <v>21</v>
      </c>
      <c r="AK1691" t="n">
        <v>0</v>
      </c>
      <c r="AL1691" t="n">
        <v>39</v>
      </c>
      <c r="AM1691" t="inlineStr">
        <is>
          <t>WALTER DE GRUYTER GMBH</t>
        </is>
      </c>
      <c r="AN1691" t="inlineStr">
        <is>
          <t>BERLIN</t>
        </is>
      </c>
      <c r="AO1691" t="inlineStr">
        <is>
          <t>GENTHINER STRASSE 13, D-10785 BERLIN, GERMANY</t>
        </is>
      </c>
      <c r="AP1691" t="inlineStr">
        <is>
          <t>0048-7554</t>
        </is>
      </c>
      <c r="AQ1691" t="inlineStr">
        <is>
          <t>2191-0308</t>
        </is>
      </c>
      <c r="AS1691" t="inlineStr">
        <is>
          <t>REV ENVIRON HEALTH</t>
        </is>
      </c>
      <c r="AT1691" t="inlineStr">
        <is>
          <t>Rev. Environ. Health</t>
        </is>
      </c>
      <c r="AU1691" t="inlineStr">
        <is>
          <t>MAR</t>
        </is>
      </c>
      <c r="AV1691" t="n">
        <v>2018</v>
      </c>
      <c r="AW1691" t="n">
        <v>33</v>
      </c>
      <c r="AX1691" t="n">
        <v>1</v>
      </c>
      <c r="BC1691" t="n">
        <v>63</v>
      </c>
      <c r="BD1691" t="n">
        <v>76</v>
      </c>
      <c r="BF1691" t="inlineStr">
        <is>
          <t>10.1515/reveh-2017-0023</t>
        </is>
      </c>
      <c r="BG1691">
        <f>HYPERLINK("http://dx.doi.org/10.1515/reveh-2017-0023","http://dx.doi.org/10.1515/reveh-2017-0023")</f>
        <v/>
      </c>
      <c r="BJ1691" t="n">
        <v>14</v>
      </c>
      <c r="BK1691" t="inlineStr">
        <is>
          <t>Environmental Sciences; Public, Environmental &amp; Occupational Health</t>
        </is>
      </c>
      <c r="BL1691" t="inlineStr">
        <is>
          <t>Science Citation Index Expanded (SCI-EXPANDED)</t>
        </is>
      </c>
      <c r="BM1691" t="inlineStr">
        <is>
          <t>Environmental Sciences &amp; Ecology; Public, Environmental &amp; Occupational Health</t>
        </is>
      </c>
      <c r="BN1691" t="inlineStr">
        <is>
          <t>FY1IM</t>
        </is>
      </c>
      <c r="BO1691" t="n">
        <v>29077554</v>
      </c>
      <c r="BS1691" t="inlineStr">
        <is>
          <t>2023-10-26</t>
        </is>
      </c>
      <c r="BT1691" t="inlineStr">
        <is>
          <t>WOS:000426565400006</t>
        </is>
      </c>
      <c r="BU1691">
        <f>HYPERLINK("https%3A%2F%2Fwww.webofscience.com%2Fwos%2Fwoscc%2Ffull-record%2FWOS:000426565400006","View Full Record in Web of Science")</f>
        <v/>
      </c>
    </row>
    <row r="1692">
      <c r="A1692" t="inlineStr">
        <is>
          <t>J</t>
        </is>
      </c>
      <c r="B1692" t="inlineStr">
        <is>
          <t>Mujan, I; Licina, D; Kljajic, M; Culic, A; Andelkovic, AS</t>
        </is>
      </c>
      <c r="F1692" t="inlineStr">
        <is>
          <t>Mujan, Igor; Licina, Dusan; Kljajic, Miroslav; Culic, Ana; Andelkovic, Aleksandar S.</t>
        </is>
      </c>
      <c r="J1692" t="inlineStr">
        <is>
          <t>JOURNAL OF CLEANER PRODUCTION</t>
        </is>
      </c>
      <c r="M1692" t="inlineStr">
        <is>
          <t>English</t>
        </is>
      </c>
      <c r="N1692" t="inlineStr">
        <is>
          <t>Article</t>
        </is>
      </c>
      <c r="T1692" t="inlineStr">
        <is>
          <t>Development of indoor environmental quality index using a low-cost monitoring platform</t>
        </is>
      </c>
      <c r="U1692" t="inlineStr">
        <is>
          <t>Indoor environmental quality index; Low-cost monitoring platform; IoT sensing; Occupant comfort; Subjective assessment</t>
        </is>
      </c>
      <c r="V1692" t="inlineStr">
        <is>
          <t>IEQ; COMFORT; PRODUCTIVITY</t>
        </is>
      </c>
      <c r="W1692" t="inlineStr">
        <is>
          <t>The fundamental goal of modern high-performance buildings is to achieve low environmental carbon footprint while securing indoor conditions that promote human health and well-being. Current procedures for indoor environmental quality (IEQ) assessment are often sporadic, expensive, intrusive and often limited to few parameters and experts-use only. This research examines an overall IEQ assessment model in three field studies. The assessment of IEQ is achieved with the methodology for the integration of relevant IEQ parameters into an overall index through derivation of their individual weighting coefficients. A low-cost open-source platform ENVIRA was developed and deployed for continuous measurement of relevant IEQ parameters. A total of 125 occupants participated in the field studies-69 in two open offices and 56 in the educational building. The results from occupant survey regression analysis for offices showed that indoor air quality is the most critical IEQ parameter with the weight of 0.35 followed by thermal comfort (0.285), acoustic comfort (0.195) and illumination (0.17). The occupant preference differed in the educational building where thermal comfort was the most dominant component (0.31) followed by indoor air quality and acoustics (0.25), and lighting (0.19). Results show that individual weighting coefficients are not equivalent and could differ across building types. Finally, the mean absolute error between the average survey results and the overall IEQ index for the three field studies was &lt;3% suggesting that the platform can be used for generating large IEQ datasets for researchers and practitioners.</t>
        </is>
      </c>
      <c r="X1692" t="inlineStr">
        <is>
          <t>[Mujan, Igor; Kljajic, Miroslav; Andelkovic, Aleksandar S.] Univ Novi Sad, Fac Tech Sci, Dept Energy &amp; Proc Engn, Novi Sad, Serbia; [Licina, Dusan] Ecole Polytech Fed Lausanne, Human Oriented Built Environm Lab, Sch Architecture Civil &amp; Environm Engn, Lausanne, Switzerland; [Culic, Ana] Univ Split, Fac Elect Engn Mech Engn &amp; Naval Architecture, Split, Croatia</t>
        </is>
      </c>
      <c r="Y1692" t="inlineStr">
        <is>
          <t>University of Novi Sad; Swiss Federal Institutes of Technology Domain; Ecole Polytechnique Federale de Lausanne; University of Split</t>
        </is>
      </c>
      <c r="Z1692" t="inlineStr">
        <is>
          <t>Andelkovic, AS (corresponding author), Univ Novi Sad, Fac Tech Sci, Dept Energy &amp; Proc Engn, Novi Sad, Serbia.</t>
        </is>
      </c>
      <c r="AA1692" t="inlineStr">
        <is>
          <t>aleksa@uns.ac.rs</t>
        </is>
      </c>
      <c r="AB1692" t="inlineStr">
        <is>
          <t>Andjelkovic, Aleksandar/S-8681-2017</t>
        </is>
      </c>
      <c r="AC1692" t="inlineStr">
        <is>
          <t>Andjelkovic, Aleksandar/0000-0003-2736-6793; Kljajic, Miroslav/0000-0002-2604-5659; Mujan, Igor/0000-0003-1639-5732</t>
        </is>
      </c>
      <c r="AD1692" t="inlineStr">
        <is>
          <t>ASHRAE</t>
        </is>
      </c>
      <c r="AE1692" t="inlineStr">
        <is>
          <t>ASHRAE</t>
        </is>
      </c>
      <c r="AF1692" t="inlineStr">
        <is>
          <t>The authors acknowledge the support from ASHRAE for awarding the Undergraduate Program Equipment Grant to Igor Mujan for the development of ENVIRAIndoor Environment Quality Platform. Igor Mujan expresses deep gratitude to Professor Aleksandar Andelkovic for mentorship and Professor Dus?an Lic?ina for research guidance. Authors acknowledge the support from HumanOriented Built Environment Lab, Ecole polytechnique federale de Lausanne for the provision of the stateoftheart climatic chamber for the purpose of sensor testing.</t>
        </is>
      </c>
      <c r="AH1692" t="n">
        <v>47</v>
      </c>
      <c r="AI1692" t="n">
        <v>16</v>
      </c>
      <c r="AJ1692" t="n">
        <v>16</v>
      </c>
      <c r="AK1692" t="n">
        <v>0</v>
      </c>
      <c r="AL1692" t="n">
        <v>34</v>
      </c>
      <c r="AM1692" t="inlineStr">
        <is>
          <t>ELSEVIER SCI LTD</t>
        </is>
      </c>
      <c r="AN1692" t="inlineStr">
        <is>
          <t>OXFORD</t>
        </is>
      </c>
      <c r="AO1692" t="inlineStr">
        <is>
          <t>THE BOULEVARD, LANGFORD LANE, KIDLINGTON, OXFORD OX5 1GB, OXON, ENGLAND</t>
        </is>
      </c>
      <c r="AP1692" t="inlineStr">
        <is>
          <t>0959-6526</t>
        </is>
      </c>
      <c r="AQ1692" t="inlineStr">
        <is>
          <t>1879-1786</t>
        </is>
      </c>
      <c r="AS1692" t="inlineStr">
        <is>
          <t>J CLEAN PROD</t>
        </is>
      </c>
      <c r="AT1692" t="inlineStr">
        <is>
          <t>J. Clean Prod.</t>
        </is>
      </c>
      <c r="AU1692" t="inlineStr">
        <is>
          <t>AUG 20</t>
        </is>
      </c>
      <c r="AV1692" t="n">
        <v>2021</v>
      </c>
      <c r="AW1692" t="n">
        <v>312</v>
      </c>
      <c r="BE1692" t="n">
        <v>127846</v>
      </c>
      <c r="BF1692" t="inlineStr">
        <is>
          <t>10.1016/j.jclepro.2021.127846</t>
        </is>
      </c>
      <c r="BG1692">
        <f>HYPERLINK("http://dx.doi.org/10.1016/j.jclepro.2021.127846","http://dx.doi.org/10.1016/j.jclepro.2021.127846")</f>
        <v/>
      </c>
      <c r="BI1692" t="inlineStr">
        <is>
          <t>JUN 2021</t>
        </is>
      </c>
      <c r="BJ1692" t="n">
        <v>10</v>
      </c>
      <c r="BK1692" t="inlineStr">
        <is>
          <t>Green &amp; Sustainable Science &amp; Technology; Engineering, Environmental; Environmental Sciences</t>
        </is>
      </c>
      <c r="BL1692" t="inlineStr">
        <is>
          <t>Science Citation Index Expanded (SCI-EXPANDED)</t>
        </is>
      </c>
      <c r="BM1692" t="inlineStr">
        <is>
          <t>Science &amp; Technology - Other Topics; Engineering; Environmental Sciences &amp; Ecology</t>
        </is>
      </c>
      <c r="BN1692" t="inlineStr">
        <is>
          <t>TI2BL</t>
        </is>
      </c>
      <c r="BS1692" t="inlineStr">
        <is>
          <t>2023-10-26</t>
        </is>
      </c>
      <c r="BT1692" t="inlineStr">
        <is>
          <t>WOS:000672591300004</t>
        </is>
      </c>
      <c r="BU1692">
        <f>HYPERLINK("https%3A%2F%2Fwww.webofscience.com%2Fwos%2Fwoscc%2Ffull-record%2FWOS:000672591300004","View Full Record in Web of Science")</f>
        <v/>
      </c>
    </row>
    <row r="1693">
      <c r="A1693" t="inlineStr">
        <is>
          <t>J</t>
        </is>
      </c>
      <c r="B1693" t="inlineStr">
        <is>
          <t>Dollman, J; Hull, M; Lewis, N; Carroll, S; Zarnowiecki, D</t>
        </is>
      </c>
      <c r="F1693" t="inlineStr">
        <is>
          <t>Dollman, James; Hull, Melissa; Lewis, Nicole; Carroll, Suzanne; Zarnowiecki, Dorota</t>
        </is>
      </c>
      <c r="J1693" t="inlineStr">
        <is>
          <t>INTERNATIONAL JOURNAL OF ENVIRONMENTAL RESEARCH AND PUBLIC HEALTH</t>
        </is>
      </c>
      <c r="M1693" t="inlineStr">
        <is>
          <t>English</t>
        </is>
      </c>
      <c r="N1693" t="inlineStr">
        <is>
          <t>Article</t>
        </is>
      </c>
      <c r="T1693" t="inlineStr">
        <is>
          <t>Regional Differences in Correlates of Daily Walking among Middle Age and Older Australian Rural Adults: Implications for Health Promotion</t>
        </is>
      </c>
      <c r="U1693" t="inlineStr">
        <is>
          <t>physical activity; walking behavior; correlates; rural communities</t>
        </is>
      </c>
      <c r="V1693" t="inlineStr">
        <is>
          <t>PHYSICAL-ACTIVITY; ENVIRONMENT; DETERMINANTS; RELIABILITY; BEHAVIORS</t>
        </is>
      </c>
      <c r="W1693" t="inlineStr">
        <is>
          <t>Rural Australians are less physically active than their metropolitan counterparts, and yet very little is known of the candidate intervention targets for promoting physical activity in rural populations. As rural regions are economically, socially and environmentally diverse, drivers of regular physical activity are likely to vary between regions. This study explored the region-specific correlates of daily walking among middle age and older adults in rural regions with contrasting dominant primary industries. Participants were recruited through print and electronic media, primary care settings and community organisations. Pedometers were worn by 153 adults for at least four days, including a weekend day. A questionnaire identified potential intra-personal, social and environmental correlates of physical activity, according to a social ecological framework. Regression modelling identified independent correlates of daily walking separately in the two study regions. In one region, there were independent correlates of walking from all levels of the social ecological framework. In the other region, significant correlates of daily walking were almost all demographic ( age, education and marital status). Participants living alone were less likely to be physically active regardless of region. This study highlights the importance of considering region-specific factors when designing strategies for promoting regular walking among rural adults.</t>
        </is>
      </c>
      <c r="X1693" t="inlineStr">
        <is>
          <t>[Dollman, James; Hull, Melissa; Lewis, Nicole] Univ S Australia, Sansom Inst Hlth Res, Alliance Res Exercise Nutr &amp; Act, CEA 14, GPO Box 2471, Adelaide, SA 5001, Australia; [Carroll, Suzanne] Univ S Australia, Sansom Inst Hlth Res, Ctr Populat Hlth Res, Spatial Epidemiol &amp; Evaluat Res Grp,IPC CWE 48, GPO Box 2471, Adelaide, SA 5001, Australia; [Zarnowiecki, Dorota] Univ S Australia, Sansom Inst Hlth Res, Sch Hlth Sci, Adelaide, SA 5001, Australia</t>
        </is>
      </c>
      <c r="Y1693" t="inlineStr">
        <is>
          <t>University of South Australia; University of South Australia; University of South Australia</t>
        </is>
      </c>
      <c r="Z1693" t="inlineStr">
        <is>
          <t>Dollman, J (corresponding author), Univ S Australia, Sansom Inst Hlth Res, Alliance Res Exercise Nutr &amp; Act, CEA 14, GPO Box 2471, Adelaide, SA 5001, Australia.</t>
        </is>
      </c>
      <c r="AA1693" t="inlineStr">
        <is>
          <t>james.dollman@unisa.edu.au; melissa.hull@mymail.unisa.edu.au; nlewis@yorkeandmidnorth.com.au; suzanne.carroll@unisa.edu.au; dorota.zarnowiecki@unisa.edu.au</t>
        </is>
      </c>
      <c r="AB1693" t="inlineStr">
        <is>
          <t>Zarnowiecki, Dorota M/C-9878-2015; Dollman, James/A-5277-2010; Lewis, Nicole R/C-8170-2009; Carroll, Suzanne J/AAN-1552-2020; Hull, Melissa/L-2859-2015</t>
        </is>
      </c>
      <c r="AC1693" t="inlineStr">
        <is>
          <t>Zarnowiecki, Dorota M/0000-0003-0874-7830; Dollman, James/0000-0002-6427-2115; Carroll, Suzanne J/0000-0002-9767-2860; Hull, Melissa/0000-0003-0425-5345</t>
        </is>
      </c>
      <c r="AD1693" t="inlineStr">
        <is>
          <t>South Australian Cardiovascular Research Development Fellowship; National Heart Foundation of Australia; Government of South Australia; National Health and Medical Research Council Programme Grant [631947]</t>
        </is>
      </c>
      <c r="AE1693" t="inlineStr">
        <is>
          <t>South Australian Cardiovascular Research Development Fellowship; National Heart Foundation of Australia(National Heart Foundation of Australia); Government of South Australia; National Health and Medical Research Council Programme Grant</t>
        </is>
      </c>
      <c r="AF1693" t="inlineStr">
        <is>
          <t>James Dollman was supported by a South Australian Cardiovascular Research Development Fellowship Grant, co-funded by the National Heart Foundation of Australia and the Government of South Australia. Dorota Zarnowiecki is supported by National Health and Medical Research Council Programme Grant funding (Grant Number 631947).</t>
        </is>
      </c>
      <c r="AH1693" t="n">
        <v>44</v>
      </c>
      <c r="AI1693" t="n">
        <v>7</v>
      </c>
      <c r="AJ1693" t="n">
        <v>7</v>
      </c>
      <c r="AK1693" t="n">
        <v>0</v>
      </c>
      <c r="AL1693" t="n">
        <v>10</v>
      </c>
      <c r="AM1693" t="inlineStr">
        <is>
          <t>MDPI</t>
        </is>
      </c>
      <c r="AN1693" t="inlineStr">
        <is>
          <t>BASEL</t>
        </is>
      </c>
      <c r="AO1693" t="inlineStr">
        <is>
          <t>ST ALBAN-ANLAGE 66, CH-4052 BASEL, SWITZERLAND</t>
        </is>
      </c>
      <c r="AP1693" t="inlineStr">
        <is>
          <t>1660-4601</t>
        </is>
      </c>
      <c r="AS1693" t="inlineStr">
        <is>
          <t>INT J ENV RES PUB HE</t>
        </is>
      </c>
      <c r="AT1693" t="inlineStr">
        <is>
          <t>Int. J. Environ. Res. Public Health</t>
        </is>
      </c>
      <c r="AU1693" t="inlineStr">
        <is>
          <t>JAN</t>
        </is>
      </c>
      <c r="AV1693" t="n">
        <v>2016</v>
      </c>
      <c r="AW1693" t="n">
        <v>13</v>
      </c>
      <c r="AX1693" t="n">
        <v>1</v>
      </c>
      <c r="BE1693" t="n">
        <v>116</v>
      </c>
      <c r="BF1693" t="inlineStr">
        <is>
          <t>10.3390/ijerph13010116</t>
        </is>
      </c>
      <c r="BG1693">
        <f>HYPERLINK("http://dx.doi.org/10.3390/ijerph13010116","http://dx.doi.org/10.3390/ijerph13010116")</f>
        <v/>
      </c>
      <c r="BJ1693" t="n">
        <v>10</v>
      </c>
      <c r="BK1693" t="inlineStr">
        <is>
          <t>Environmental Sciences; Public, Environmental &amp; Occupational Health</t>
        </is>
      </c>
      <c r="BL1693" t="inlineStr">
        <is>
          <t>Science Citation Index Expanded (SCI-EXPANDED); Social Science Citation Index (SSCI)</t>
        </is>
      </c>
      <c r="BM1693" t="inlineStr">
        <is>
          <t>Environmental Sciences &amp; Ecology; Public, Environmental &amp; Occupational Health</t>
        </is>
      </c>
      <c r="BN1693" t="inlineStr">
        <is>
          <t>DJ4OO</t>
        </is>
      </c>
      <c r="BO1693" t="n">
        <v>26761020</v>
      </c>
      <c r="BP1693" t="inlineStr">
        <is>
          <t>gold, Green Published, Green Submitted</t>
        </is>
      </c>
      <c r="BS1693" t="inlineStr">
        <is>
          <t>2023-10-26</t>
        </is>
      </c>
      <c r="BT1693" t="inlineStr">
        <is>
          <t>WOS:000374186100029</t>
        </is>
      </c>
      <c r="BU1693">
        <f>HYPERLINK("https%3A%2F%2Fwww.webofscience.com%2Fwos%2Fwoscc%2Ffull-record%2FWOS:000374186100029","View Full Record in Web of Science")</f>
        <v/>
      </c>
    </row>
    <row r="1694">
      <c r="A1694" t="inlineStr">
        <is>
          <t>J</t>
        </is>
      </c>
      <c r="B1694" t="inlineStr">
        <is>
          <t>Zhao, GW; Pan, ZY; Yang, MZ</t>
        </is>
      </c>
      <c r="F1694" t="inlineStr">
        <is>
          <t>Zhao, Guanwei; Pan, Zeyu; Yang, Muzhuang</t>
        </is>
      </c>
      <c r="J1694" t="inlineStr">
        <is>
          <t>INTERNATIONAL JOURNAL OF ENVIRONMENTAL RESEARCH AND PUBLIC HEALTH</t>
        </is>
      </c>
      <c r="M1694" t="inlineStr">
        <is>
          <t>English</t>
        </is>
      </c>
      <c r="N1694" t="inlineStr">
        <is>
          <t>Article</t>
        </is>
      </c>
      <c r="T1694" t="inlineStr">
        <is>
          <t>Marginal Effects and Spatial Variations of the Impact of the Built Environment on Taxis' Pollutant Emissions in Chengdu, China</t>
        </is>
      </c>
      <c r="U1694" t="inlineStr">
        <is>
          <t>taxis' emissions; built environment; marginal effect; spatial nonstationary; big data; spatiotemporal</t>
        </is>
      </c>
      <c r="V1694" t="inlineStr">
        <is>
          <t>GEOGRAPHICALLY WEIGHTED REGRESSION; CO2 EMISSIONS; ENERGY-CONSUMPTION; DAILY TRAVEL; URBAN; GUANGZHOU</t>
        </is>
      </c>
      <c r="W1694" t="inlineStr">
        <is>
          <t>Understanding the impact of the urban built environment on taxis' emissions is crucial for sustainable transportation. However, the marginal effects and spatial heterogeneity of this impact is worth noting. To this end, we calculated the taxis' emissions on weekdays and weekends in Chengdu, China, and investigated the impact of the built environment on taxis' emissions by applying multi-source data and several spatial regression models. The results showed that the taxis' daily emissions on weekdays were higher than the emissions on weekends. The time heterogeneity of hourly taxis' emissions was not significant, while the spatial heterogeneity of taxis' emissions was significant. Except the HHI, the selected built environment variables both had a significant positive effect on taxis' emissions on the global scale. There was a marginal effect of some built environment variables on taxis' emissions, such as the density of bus stops and population density. The former exhibited an inhibitory effect on taxis' emissions only when it was greater than 9 stops/km(2), while the latter showed an inhibitory effect only in the range between 16,000 people/km(2) and 22,000 people/km(2). There were some spatial variations in the effects of built environment factors on taxis' emissions, with HHI, road density, and accommodation service facilities density showing the most significant variation. The marginal effect and spatial variation of the impact needs to be considered when developing strategies to reduce taxis' pollutant emissions.</t>
        </is>
      </c>
      <c r="X1694" t="inlineStr">
        <is>
          <t>[Zhao, Guanwei; Pan, Zeyu; Yang, Muzhuang] Guangzhou Univ, Sch Geog &amp; Remote Sensing, Guangzhou 510006, Peoples R China</t>
        </is>
      </c>
      <c r="Y1694" t="inlineStr">
        <is>
          <t>Guangzhou University</t>
        </is>
      </c>
      <c r="Z1694" t="inlineStr">
        <is>
          <t>Yang, MZ (corresponding author), Guangzhou Univ, Sch Geog &amp; Remote Sensing, Guangzhou 510006, Peoples R China.</t>
        </is>
      </c>
      <c r="AA1694" t="inlineStr">
        <is>
          <t>ymz@gzhu.edu.cn</t>
        </is>
      </c>
      <c r="AH1694" t="n">
        <v>59</v>
      </c>
      <c r="AI1694" t="n">
        <v>0</v>
      </c>
      <c r="AJ1694" t="n">
        <v>0</v>
      </c>
      <c r="AK1694" t="n">
        <v>13</v>
      </c>
      <c r="AL1694" t="n">
        <v>23</v>
      </c>
      <c r="AM1694" t="inlineStr">
        <is>
          <t>MDPI</t>
        </is>
      </c>
      <c r="AN1694" t="inlineStr">
        <is>
          <t>BASEL</t>
        </is>
      </c>
      <c r="AO1694" t="inlineStr">
        <is>
          <t>ST ALBAN-ANLAGE 66, CH-4052 BASEL, SWITZERLAND</t>
        </is>
      </c>
      <c r="AQ1694" t="inlineStr">
        <is>
          <t>1660-4601</t>
        </is>
      </c>
      <c r="AS1694" t="inlineStr">
        <is>
          <t>INT J ENV RES PUB HE</t>
        </is>
      </c>
      <c r="AT1694" t="inlineStr">
        <is>
          <t>Int. J. Environ. Res. Public Health</t>
        </is>
      </c>
      <c r="AU1694" t="inlineStr">
        <is>
          <t>DEC</t>
        </is>
      </c>
      <c r="AV1694" t="n">
        <v>2022</v>
      </c>
      <c r="AW1694" t="n">
        <v>19</v>
      </c>
      <c r="AX1694" t="n">
        <v>24</v>
      </c>
      <c r="BE1694" t="n">
        <v>16962</v>
      </c>
      <c r="BF1694" t="inlineStr">
        <is>
          <t>10.3390/ijerph192416962</t>
        </is>
      </c>
      <c r="BG1694">
        <f>HYPERLINK("http://dx.doi.org/10.3390/ijerph192416962","http://dx.doi.org/10.3390/ijerph192416962")</f>
        <v/>
      </c>
      <c r="BJ1694" t="n">
        <v>19</v>
      </c>
      <c r="BK1694" t="inlineStr">
        <is>
          <t>Environmental Sciences; Public, Environmental &amp; Occupational Health</t>
        </is>
      </c>
      <c r="BL1694" t="inlineStr">
        <is>
          <t>Science Citation Index Expanded (SCI-EXPANDED); Social Science Citation Index (SSCI)</t>
        </is>
      </c>
      <c r="BM1694" t="inlineStr">
        <is>
          <t>Environmental Sciences &amp; Ecology; Public, Environmental &amp; Occupational Health</t>
        </is>
      </c>
      <c r="BN1694" t="inlineStr">
        <is>
          <t>7E2VA</t>
        </is>
      </c>
      <c r="BO1694" t="n">
        <v>36554843</v>
      </c>
      <c r="BP1694" t="inlineStr">
        <is>
          <t>Green Published, gold</t>
        </is>
      </c>
      <c r="BS1694" t="inlineStr">
        <is>
          <t>2023-10-26</t>
        </is>
      </c>
      <c r="BT1694" t="inlineStr">
        <is>
          <t>WOS:000901031200001</t>
        </is>
      </c>
      <c r="BU1694">
        <f>HYPERLINK("https%3A%2F%2Fwww.webofscience.com%2Fwos%2Fwoscc%2Ffull-record%2FWOS:000901031200001","View Full Record in Web of Science")</f>
        <v/>
      </c>
    </row>
    <row r="1695">
      <c r="A1695" t="inlineStr">
        <is>
          <t>J</t>
        </is>
      </c>
      <c r="B1695" t="inlineStr">
        <is>
          <t>Han, HY; Sahito, N; Nguyen, TVT; Hwang, J; Asif, M</t>
        </is>
      </c>
      <c r="F1695" t="inlineStr">
        <is>
          <t>Han, Haoying; Sahito, Noman; Thuy Van Thi Nguyen; Hwang, Jinsoo; Asif, Muhammad</t>
        </is>
      </c>
      <c r="J1695" t="inlineStr">
        <is>
          <t>SUSTAINABILITY</t>
        </is>
      </c>
      <c r="M1695" t="inlineStr">
        <is>
          <t>English</t>
        </is>
      </c>
      <c r="N1695" t="inlineStr">
        <is>
          <t>Article</t>
        </is>
      </c>
      <c r="T1695" t="inlineStr">
        <is>
          <t>Exploring the Features of Sustainable Urban Form and the Factors that Provoke Shoppers towards Shopping Malls</t>
        </is>
      </c>
      <c r="U1695" t="inlineStr">
        <is>
          <t>shopping malls; sustainable development; built environment; shoppers; structural equation modeling (SEM); Hangzhou</t>
        </is>
      </c>
      <c r="V1695" t="inlineStr">
        <is>
          <t>HANGZHOU METROPOLITAN-AREA; BUILT ENVIRONMENT; STORE ENVIRONMENT; SERVICE QUALITY; PERCEIVED VALUE; MEDIATING ROLE; PUBLIC SPACE; FIT INDEXES; SATISFACTION; ATTRACTIVENESS</t>
        </is>
      </c>
      <c r="W1695" t="inlineStr">
        <is>
          <t>This study examined various features of urban form, which promote sustainable development and provoke shoppers toward shopping malls. A field survey was conducted in shopping malls at Hangzhou, which is the capital city of the Zhejiang province, China. Structural equation modeling and a confirmatory factor analysis were used to measure the hypotheses. The results of this study showed that the built environment and entertainment completely mediated the relationship between ambiance and consumption, and they have a positive impact on the environment and shoppers. The built environment and entertainment are viewed as essential elements of physical and social sustainability. Real estate developers, urban planners, and shopping mall managers should consider the design features of urban form to meet sustainable development goals and to attract more shoppers. Testing these relationships via a mediating method is a novel contribution to the study of shopping malls.</t>
        </is>
      </c>
      <c r="X1695" t="inlineStr">
        <is>
          <t>[Han, Haoying; Sahito, Noman; Thuy Van Thi Nguyen] Zhejiang Univ, Coll Civil Engn &amp; Architecture, Inst Urban &amp; Rural Planning Theory &amp; Technol, Zijingang Campus, Hangzhou 31058, Zhejiang, Peoples R China; [Sahito, Noman] Mehran Univ Engn Technol, Dept City &amp; Reg Planning, Jamshoro 76062, Pakistan; [Thuy Van Thi Nguyen] Danang Architecture Univ, Dept Architecture, Da Nang 550000, Vietnam; [Hwang, Jinsoo] Sejong Univ, Coll Hospitality &amp; Tourism Management, 98 Gunja Dong, Seoul 143747, South Korea; [Asif, Muhammad] Zhejiang Univ, Sch Publ ff airs, Zijingang Campus, Hangzhou 310058, Zhejiang, Peoples R China</t>
        </is>
      </c>
      <c r="Y1695" t="inlineStr">
        <is>
          <t>Zhejiang University; Mehran University Engineering &amp; Technology; Sejong University; Zhejiang University</t>
        </is>
      </c>
      <c r="Z1695" t="inlineStr">
        <is>
          <t>Sahito, N (corresponding author), Zhejiang Univ, Coll Civil Engn &amp; Architecture, Inst Urban &amp; Rural Planning Theory &amp; Technol, Zijingang Campus, Hangzhou 31058, Zhejiang, Peoples R China.;Sahito, N (corresponding author), Mehran Univ Engn Technol, Dept City &amp; Reg Planning, Jamshoro 76062, Pakistan.;Hwang, J (corresponding author), Sejong Univ, Coll Hospitality &amp; Tourism Management, 98 Gunja Dong, Seoul 143747, South Korea.</t>
        </is>
      </c>
      <c r="AA1695" t="inlineStr">
        <is>
          <t>noman_sahito@yahoo.com; jhwang@sejong.ac.kr</t>
        </is>
      </c>
      <c r="AB1695" t="inlineStr">
        <is>
          <t>Sahito, Dr. Noman/AAC-5193-2019; Hwang, Jinsoo/AAG-9531-2019; Asif, Muhammad/S-2086-2018; Sahito, Noman/IQT-8039-2023</t>
        </is>
      </c>
      <c r="AC1695" t="inlineStr">
        <is>
          <t>Sahito, Dr. Noman/0000-0002-9674-5351; Asif, Muhammad/0000-0002-9037-5249; Sahito, Noman/0000-0002-9674-5351</t>
        </is>
      </c>
      <c r="AH1695" t="n">
        <v>128</v>
      </c>
      <c r="AI1695" t="n">
        <v>16</v>
      </c>
      <c r="AJ1695" t="n">
        <v>17</v>
      </c>
      <c r="AK1695" t="n">
        <v>3</v>
      </c>
      <c r="AL1695" t="n">
        <v>20</v>
      </c>
      <c r="AM1695" t="inlineStr">
        <is>
          <t>MDPI</t>
        </is>
      </c>
      <c r="AN1695" t="inlineStr">
        <is>
          <t>BASEL</t>
        </is>
      </c>
      <c r="AO1695" t="inlineStr">
        <is>
          <t>ST ALBAN-ANLAGE 66, CH-4052 BASEL, SWITZERLAND</t>
        </is>
      </c>
      <c r="AQ1695" t="inlineStr">
        <is>
          <t>2071-1050</t>
        </is>
      </c>
      <c r="AS1695" t="inlineStr">
        <is>
          <t>SUSTAINABILITY-BASEL</t>
        </is>
      </c>
      <c r="AT1695" t="inlineStr">
        <is>
          <t>Sustainability</t>
        </is>
      </c>
      <c r="AU1695" t="inlineStr">
        <is>
          <t>SEP 1</t>
        </is>
      </c>
      <c r="AV1695" t="n">
        <v>2019</v>
      </c>
      <c r="AW1695" t="n">
        <v>11</v>
      </c>
      <c r="AX1695" t="n">
        <v>17</v>
      </c>
      <c r="BE1695" t="n">
        <v>4798</v>
      </c>
      <c r="BF1695" t="inlineStr">
        <is>
          <t>10.3390/su11174798</t>
        </is>
      </c>
      <c r="BG1695">
        <f>HYPERLINK("http://dx.doi.org/10.3390/su11174798","http://dx.doi.org/10.3390/su11174798")</f>
        <v/>
      </c>
      <c r="BJ1695" t="n">
        <v>20</v>
      </c>
      <c r="BK1695" t="inlineStr">
        <is>
          <t>Green &amp; Sustainable Science &amp; Technology; Environmental Sciences; Environmental Studies</t>
        </is>
      </c>
      <c r="BL1695" t="inlineStr">
        <is>
          <t>Science Citation Index Expanded (SCI-EXPANDED); Social Science Citation Index (SSCI)</t>
        </is>
      </c>
      <c r="BM1695" t="inlineStr">
        <is>
          <t>Science &amp; Technology - Other Topics; Environmental Sciences &amp; Ecology</t>
        </is>
      </c>
      <c r="BN1695" t="inlineStr">
        <is>
          <t>IZ1WC</t>
        </is>
      </c>
      <c r="BP1695" t="inlineStr">
        <is>
          <t>Green Published, gold</t>
        </is>
      </c>
      <c r="BS1695" t="inlineStr">
        <is>
          <t>2023-10-26</t>
        </is>
      </c>
      <c r="BT1695" t="inlineStr">
        <is>
          <t>WOS:000486877700286</t>
        </is>
      </c>
      <c r="BU1695">
        <f>HYPERLINK("https%3A%2F%2Fwww.webofscience.com%2Fwos%2Fwoscc%2Ffull-record%2FWOS:000486877700286","View Full Record in Web of Science")</f>
        <v/>
      </c>
    </row>
    <row r="1696">
      <c r="A1696" t="inlineStr">
        <is>
          <t>J</t>
        </is>
      </c>
      <c r="B1696" t="inlineStr">
        <is>
          <t>Tse, MMY; Ng, SSM; Lou, V; Lo, R; Cheung, DSK; Lee, P; Tang, ASK</t>
        </is>
      </c>
      <c r="F1696" t="inlineStr">
        <is>
          <t>Tse, Mimi M. Y.; Ng, Shamay S. M.; Lou, Vivian; Lo, Raymond; Cheung, Daphne Sze Ki; Lee, Paul; Tang, Angel S. K.</t>
        </is>
      </c>
      <c r="J1696" t="inlineStr">
        <is>
          <t>INTERNATIONAL JOURNAL OF ENVIRONMENTAL RESEARCH AND PUBLIC HEALTH</t>
        </is>
      </c>
      <c r="M1696" t="inlineStr">
        <is>
          <t>English</t>
        </is>
      </c>
      <c r="N1696" t="inlineStr">
        <is>
          <t>Article</t>
        </is>
      </c>
      <c r="T1696" t="inlineStr">
        <is>
          <t>A Dyadic Pain Management Program for Community-Dwelling Older Adults with Chronic Pain: Study Protocol for a Cluster Randomized Controlled Trial</t>
        </is>
      </c>
      <c r="U1696" t="inlineStr">
        <is>
          <t>dyadic pain management; community-dwelling older adults; chronic pain; randomized controlled trial</t>
        </is>
      </c>
      <c r="V1696" t="inlineStr">
        <is>
          <t>INTERVENTION; POPULATION; EFFICACY; VALIDITY; CARE</t>
        </is>
      </c>
      <c r="W1696" t="inlineStr">
        <is>
          <t>Community-dwelling older adults suffer from chronic pain. Pain negatively affects their physical and psychosocial wellbeing. The majority of pain management education and programs focus only on older adults. Their informal caregivers should be involved in pain management. A dyadic pain management program for reducing pain and psychological health symptoms, and improving pain self-efficacy, quality of life, and physical function in older adults is proposed for evaluation of its effectiveness. This will be a cluster randomized controlled trial. Community-dwelling older adults aged 60 or above and their informal caregivers will be recruited. The dyadic pain management program will be an eight-week group-based program. The participants in the experimental group will receive four weeks of center-based, face-to-face activities and four weeks of digital-based activities via a WhatsApp group. The control group will receive the usual care and a pain management pamphlet. Data will be collected at baseline, and at the eighth-week and sixteenth-week follow-up session. The outcome measurements will include pain intensity, pain self-efficacy, perceived quality of life, depression, anxiety, and stress levels. Data on the caregiver burden will be collected from the informal caregivers. Because of the COVID-19 pandemic, all social activities have been suspended. In the near future, as the pandemic subsides, the dyadic pain management program will be launched to benefit community-dwelling older adults and informal caregivers and to reduce their pain and the care burden, respectively.</t>
        </is>
      </c>
      <c r="X1696" t="inlineStr">
        <is>
          <t>[Tse, Mimi M. Y.] Hong Kong Metropolitan Univ, Sch Nursing &amp; Hlth Studies, Hong Kong, Peoples R China; [Ng, Shamay S. M.] Hong Kong Polytech Univ, Dept Rehabil Sci, Hong Kong, Peoples R China; [Lou, Vivian] Univ Hong Kong, Dept Social Work &amp; Social Adm, Hong Kong, Peoples R China; [Lo, Raymond] Shatin Hosp, Geriatr &amp; Palliat Med, Hong Kong, Peoples R China; [Cheung, Daphne Sze Ki] Hong Kong Polytech Univ, Sch Nursing, Hong Kong, Peoples R China; [Lee, Paul] Univ Leicester, Dept Hlth Sci, Leicester LE1 7RH, Leics, England; [Tang, Angel S. K.] Hosp Author, Caritas Med Ctr, Sch Nursing, Hong Kong, Peoples R China</t>
        </is>
      </c>
      <c r="Y1696" t="inlineStr">
        <is>
          <t>Hong Kong Metropolitan University; Hong Kong Polytechnic University; University of Hong Kong; Hong Kong Polytechnic University; University of Leicester</t>
        </is>
      </c>
      <c r="Z1696" t="inlineStr">
        <is>
          <t>Tse, MMY (corresponding author), Hong Kong Metropolitan Univ, Sch Nursing &amp; Hlth Studies, Hong Kong, Peoples R China.</t>
        </is>
      </c>
      <c r="AA1696" t="inlineStr">
        <is>
          <t>mmytse@hkmu.edu.hk</t>
        </is>
      </c>
      <c r="AB1696" t="inlineStr">
        <is>
          <t>Ng, Shamay SM/E-2731-2016; LOU, Vivian W. Q./C-9460-2013; Lee, Paul/F-2549-2010</t>
        </is>
      </c>
      <c r="AC1696" t="inlineStr">
        <is>
          <t>Ng, Shamay SM/0000-0003-1660-0548; LOU, Vivian W. Q./0000-0001-7000-1306; TSE, Mun Yee Mimi/0000-0001-9428-8719; Lee, Paul/0000-0002-5729-6450</t>
        </is>
      </c>
      <c r="AD1696" t="inlineStr">
        <is>
          <t>Health and Medical Research Fund, Food and Health Bureau, Hong Kong SAR [04190158]</t>
        </is>
      </c>
      <c r="AE1696" t="inlineStr">
        <is>
          <t>Health and Medical Research Fund, Food and Health Bureau, Hong Kong SAR</t>
        </is>
      </c>
      <c r="AF1696" t="inlineStr">
        <is>
          <t>This research was funded by Health and Medical Research Fund, Food and Health Bureau, Hong Kong SAR, grant number 04190158.</t>
        </is>
      </c>
      <c r="AH1696" t="n">
        <v>28</v>
      </c>
      <c r="AI1696" t="n">
        <v>0</v>
      </c>
      <c r="AJ1696" t="n">
        <v>0</v>
      </c>
      <c r="AK1696" t="n">
        <v>1</v>
      </c>
      <c r="AL1696" t="n">
        <v>4</v>
      </c>
      <c r="AM1696" t="inlineStr">
        <is>
          <t>MDPI</t>
        </is>
      </c>
      <c r="AN1696" t="inlineStr">
        <is>
          <t>BASEL</t>
        </is>
      </c>
      <c r="AO1696" t="inlineStr">
        <is>
          <t>ST ALBAN-ANLAGE 66, CH-4052 BASEL, SWITZERLAND</t>
        </is>
      </c>
      <c r="AQ1696" t="inlineStr">
        <is>
          <t>1660-4601</t>
        </is>
      </c>
      <c r="AS1696" t="inlineStr">
        <is>
          <t>INT J ENV RES PUB HE</t>
        </is>
      </c>
      <c r="AT1696" t="inlineStr">
        <is>
          <t>Int. J. Environ. Res. Public Health</t>
        </is>
      </c>
      <c r="AU1696" t="inlineStr">
        <is>
          <t>OCT</t>
        </is>
      </c>
      <c r="AV1696" t="n">
        <v>2022</v>
      </c>
      <c r="AW1696" t="n">
        <v>19</v>
      </c>
      <c r="AX1696" t="n">
        <v>19</v>
      </c>
      <c r="BE1696" t="n">
        <v>12186</v>
      </c>
      <c r="BF1696" t="inlineStr">
        <is>
          <t>10.3390/ijerph191912186</t>
        </is>
      </c>
      <c r="BG1696">
        <f>HYPERLINK("http://dx.doi.org/10.3390/ijerph191912186","http://dx.doi.org/10.3390/ijerph191912186")</f>
        <v/>
      </c>
      <c r="BJ1696" t="n">
        <v>11</v>
      </c>
      <c r="BK1696" t="inlineStr">
        <is>
          <t>Environmental Sciences; Public, Environmental &amp; Occupational Health</t>
        </is>
      </c>
      <c r="BL1696" t="inlineStr">
        <is>
          <t>Science Citation Index Expanded (SCI-EXPANDED); Social Science Citation Index (SSCI)</t>
        </is>
      </c>
      <c r="BM1696" t="inlineStr">
        <is>
          <t>Environmental Sciences &amp; Ecology; Public, Environmental &amp; Occupational Health</t>
        </is>
      </c>
      <c r="BN1696" t="inlineStr">
        <is>
          <t>5G2YN</t>
        </is>
      </c>
      <c r="BO1696" t="n">
        <v>36231486</v>
      </c>
      <c r="BP1696" t="inlineStr">
        <is>
          <t>gold, Green Accepted, Green Published</t>
        </is>
      </c>
      <c r="BS1696" t="inlineStr">
        <is>
          <t>2023-10-26</t>
        </is>
      </c>
      <c r="BT1696" t="inlineStr">
        <is>
          <t>WOS:000866869700001</t>
        </is>
      </c>
      <c r="BU1696">
        <f>HYPERLINK("https%3A%2F%2Fwww.webofscience.com%2Fwos%2Fwoscc%2Ffull-record%2FWOS:000866869700001","View Full Record in Web of Science")</f>
        <v/>
      </c>
    </row>
    <row r="1697">
      <c r="A1697" t="inlineStr">
        <is>
          <t>J</t>
        </is>
      </c>
      <c r="B1697" t="inlineStr">
        <is>
          <t>Ma, L</t>
        </is>
      </c>
      <c r="F1697" t="inlineStr">
        <is>
          <t>Ma, Li</t>
        </is>
      </c>
      <c r="J1697" t="inlineStr">
        <is>
          <t>JOURNAL OF COASTAL RESEARCH</t>
        </is>
      </c>
      <c r="M1697" t="inlineStr">
        <is>
          <t>English</t>
        </is>
      </c>
      <c r="N1697" t="inlineStr">
        <is>
          <t>Article</t>
        </is>
      </c>
      <c r="T1697" t="inlineStr">
        <is>
          <t>Application of Building Information Model (BIM) in the Design of Marine Architectural Structures</t>
        </is>
      </c>
      <c r="U1697" t="inlineStr">
        <is>
          <t>Structural design of marine architecture; building information model (BIM); hybrid feature; stereo disparity</t>
        </is>
      </c>
      <c r="W1697" t="inlineStr">
        <is>
          <t>Aiming at the problem of low visual accuracy in the design of offshore building structures, this paper puts forward the application of BIM in the design of offshore building structures. In the process of using BIM technology, the design of unmarked marine building structures can be effectively marked by these BIM technologies. In order to evaluate the effectiveness of the algorithm, a hybrid feature is used to represent the structural design of offshore buildings, so that the stereo disparity generation process can be completed quickly. The experimental results show that the proposed building information model (BIM) can effectively generate stereo parallax in virtual scenes.</t>
        </is>
      </c>
      <c r="X1697" t="inlineStr">
        <is>
          <t>[Ma, Li] Hubei Univ Technol, Sch Civil Engn Architecture &amp; Environm, Wuhan 430068, Hubei, Peoples R China</t>
        </is>
      </c>
      <c r="Y1697" t="inlineStr">
        <is>
          <t>Hubei University of Technology</t>
        </is>
      </c>
      <c r="Z1697" t="inlineStr">
        <is>
          <t>Ma, L (corresponding author), Hubei Univ Technol, Sch Civil Engn Architecture &amp; Environm, Wuhan 430068, Hubei, Peoples R China.</t>
        </is>
      </c>
      <c r="AA1697" t="inlineStr">
        <is>
          <t>xiaoqingxin1233@163.com</t>
        </is>
      </c>
      <c r="AH1697" t="n">
        <v>6</v>
      </c>
      <c r="AI1697" t="n">
        <v>2</v>
      </c>
      <c r="AJ1697" t="n">
        <v>2</v>
      </c>
      <c r="AK1697" t="n">
        <v>0</v>
      </c>
      <c r="AL1697" t="n">
        <v>10</v>
      </c>
      <c r="AM1697" t="inlineStr">
        <is>
          <t>COASTAL EDUCATION &amp; RESEARCH FOUNDATION</t>
        </is>
      </c>
      <c r="AN1697" t="inlineStr">
        <is>
          <t>COCONUT CREEK</t>
        </is>
      </c>
      <c r="AO1697" t="inlineStr">
        <is>
          <t>5130 NW 54TH STREET, COCONUT CREEK, FL 33073 USA</t>
        </is>
      </c>
      <c r="AP1697" t="inlineStr">
        <is>
          <t>0749-0208</t>
        </is>
      </c>
      <c r="AQ1697" t="inlineStr">
        <is>
          <t>1551-5036</t>
        </is>
      </c>
      <c r="AS1697" t="inlineStr">
        <is>
          <t>J COASTAL RES</t>
        </is>
      </c>
      <c r="AT1697" t="inlineStr">
        <is>
          <t>J. Coast. Res.</t>
        </is>
      </c>
      <c r="AU1697" t="inlineStr">
        <is>
          <t>SUM</t>
        </is>
      </c>
      <c r="AV1697" t="n">
        <v>2019</v>
      </c>
      <c r="BA1697" t="n">
        <v>94</v>
      </c>
      <c r="BC1697" t="n">
        <v>117</v>
      </c>
      <c r="BD1697" t="n">
        <v>120</v>
      </c>
      <c r="BF1697" t="inlineStr">
        <is>
          <t>10.2112/SI94-022.1</t>
        </is>
      </c>
      <c r="BG1697">
        <f>HYPERLINK("http://dx.doi.org/10.2112/SI94-022.1","http://dx.doi.org/10.2112/SI94-022.1")</f>
        <v/>
      </c>
      <c r="BJ1697" t="n">
        <v>4</v>
      </c>
      <c r="BK1697" t="inlineStr">
        <is>
          <t>Environmental Sciences; Geography, Physical; Geosciences, Multidisciplinary</t>
        </is>
      </c>
      <c r="BL1697" t="inlineStr">
        <is>
          <t>Science Citation Index Expanded (SCI-EXPANDED)</t>
        </is>
      </c>
      <c r="BM1697" t="inlineStr">
        <is>
          <t>Environmental Sciences &amp; Ecology; Physical Geography; Geology</t>
        </is>
      </c>
      <c r="BN1697" t="inlineStr">
        <is>
          <t>IX5GB</t>
        </is>
      </c>
      <c r="BS1697" t="inlineStr">
        <is>
          <t>2023-10-26</t>
        </is>
      </c>
      <c r="BT1697" t="inlineStr">
        <is>
          <t>WOS:000485711600023</t>
        </is>
      </c>
      <c r="BU1697">
        <f>HYPERLINK("https%3A%2F%2Fwww.webofscience.com%2Fwos%2Fwoscc%2Ffull-record%2FWOS:000485711600023","View Full Record in Web of Science")</f>
        <v/>
      </c>
    </row>
    <row r="1698">
      <c r="A1698" t="inlineStr">
        <is>
          <t>J</t>
        </is>
      </c>
      <c r="B1698" t="inlineStr">
        <is>
          <t>Feng, JJ; Sun, XF; Zeng, EY</t>
        </is>
      </c>
      <c r="F1698" t="inlineStr">
        <is>
          <t>Feng, Jing-Jing; Sun, Xiang-Fei; Zeng, Eddy Y.</t>
        </is>
      </c>
      <c r="J1698" t="inlineStr">
        <is>
          <t>ENVIRONMENTAL SCIENCE &amp; TECHNOLOGY</t>
        </is>
      </c>
      <c r="M1698" t="inlineStr">
        <is>
          <t>English</t>
        </is>
      </c>
      <c r="N1698" t="inlineStr">
        <is>
          <t>Article</t>
        </is>
      </c>
      <c r="T1698" t="inlineStr">
        <is>
          <t>Emissions of Liquid Crystal Monomers from Obsolete Smartphone Screens in Indoor Settings: Characteristics and Human Exposure Risk</t>
        </is>
      </c>
      <c r="U1698" t="inlineStr">
        <is>
          <t>emission kinetics; indoor environment; exposure; carcinogenicity; mutagenicity</t>
        </is>
      </c>
      <c r="V1698" t="inlineStr">
        <is>
          <t>SEMIVOLATILE ORGANIC-COMPOUNDS; MASS-TRANSFER MODEL; VOC EMISSIONS; BUILDING-MATERIALS; PREDICTING EMISSIONS; MOBILE PHONES; PHTHALATE; VOLATILE; TEMPERATURE; SUBSTANCES</t>
        </is>
      </c>
      <c r="W1698" t="inlineStr">
        <is>
          <t>Liquid crystal monomers (LCMs) have been found to accumulate in indoor environments, but the emission kinetics of LCMs from electronic devices are not well understood. Leakage from damaged liquid crystal displays may be an important mechanism for LCMs to enter the environment and become potential health hazards to humans. To address this issue, we conducted chamber experiments to characterize the emissions of LCMs from obsolete smartphone screens and estimated the doses of residential and occupational exposures to LCMs. The emission rates of the detected LCMs were in the ranges of 0.1-7 mu g m(-2) h(-1) at 80 degrees C, 0.05-7 mu g m(-2) h(-1) at 60 degrees C, and 0.002-0.2 mu g m(-2) h(-1) at 25 degrees C. Liquid crystal monomers with large molecular weights and low volatilities tended to accumulate at screen surfaces and were re-emitted at elevated temperatures, leading to high emission rates of heavy LCMs upon thermal treatment. The estimated doses of residential and occupational exposures to individual LCMs were 0.0001-0.009 and 0.007-2 ng kg(-1) d(-1), respectively. As LCMs are potentially carcinogenic based on in silico assessments, LCMs emitted from obsolete smartphones in indoor settings may become human health hazards.</t>
        </is>
      </c>
      <c r="X1698" t="inlineStr">
        <is>
          <t>[Feng, Jing-Jing; Sun, Xiang-Fei; Zeng, Eddy Y.] Jinan Univ, Sch Environm, Guangdong Key Lab Environm Pollut &amp; Hlth, Guangzhou 511443, Peoples R China; [Zeng, Eddy Y.] Jinan Univ, Res Ctr Low Carbon Econ Guangzhou Reg, Key Lab Philosophy &amp; Social Sci Guangdong Prov Co, Guangzhou 510632, Peoples R China</t>
        </is>
      </c>
      <c r="Y1698" t="inlineStr">
        <is>
          <t>Jinan University; Jinan University</t>
        </is>
      </c>
      <c r="Z1698" t="inlineStr">
        <is>
          <t>Zeng, EY (corresponding author), Jinan Univ, Sch Environm, Guangdong Key Lab Environm Pollut &amp; Hlth, Guangzhou 511443, Peoples R China.;Zeng, EY (corresponding author), Jinan Univ, Res Ctr Low Carbon Econ Guangzhou Reg, Key Lab Philosophy &amp; Social Sci Guangdong Prov Co, Guangzhou 510632, Peoples R China.</t>
        </is>
      </c>
      <c r="AA1698" t="inlineStr">
        <is>
          <t>eddyzeng@jun.edu.cn</t>
        </is>
      </c>
      <c r="AB1698" t="inlineStr">
        <is>
          <t>Zeng, Eddy/ISV-4245-2023; Zeng, Eddy Y./ISV-3132-2023</t>
        </is>
      </c>
      <c r="AC1698" t="inlineStr">
        <is>
          <t>Feng, Jing-jing/0000-0001-8507-4380</t>
        </is>
      </c>
      <c r="AD1698" t="inlineStr">
        <is>
          <t>National Natural Science Foundation of China [42007324]</t>
        </is>
      </c>
      <c r="AE1698" t="inlineStr">
        <is>
          <t>National Natural Science Foundation of China(National Natural Science Foundation of China (NSFC))</t>
        </is>
      </c>
      <c r="AF1698" t="inlineStr">
        <is>
          <t>The present study was financially supported by the National Natural Science Foundation of China (No. 42007324).</t>
        </is>
      </c>
      <c r="AH1698" t="n">
        <v>56</v>
      </c>
      <c r="AI1698" t="n">
        <v>8</v>
      </c>
      <c r="AJ1698" t="n">
        <v>10</v>
      </c>
      <c r="AK1698" t="n">
        <v>35</v>
      </c>
      <c r="AL1698" t="n">
        <v>173</v>
      </c>
      <c r="AM1698" t="inlineStr">
        <is>
          <t>AMER CHEMICAL SOC</t>
        </is>
      </c>
      <c r="AN1698" t="inlineStr">
        <is>
          <t>WASHINGTON</t>
        </is>
      </c>
      <c r="AO1698" t="inlineStr">
        <is>
          <t>1155 16TH ST, NW, WASHINGTON, DC 20036 USA</t>
        </is>
      </c>
      <c r="AP1698" t="inlineStr">
        <is>
          <t>0013-936X</t>
        </is>
      </c>
      <c r="AQ1698" t="inlineStr">
        <is>
          <t>1520-5851</t>
        </is>
      </c>
      <c r="AS1698" t="inlineStr">
        <is>
          <t>ENVIRON SCI TECHNOL</t>
        </is>
      </c>
      <c r="AT1698" t="inlineStr">
        <is>
          <t>Environ. Sci. Technol.</t>
        </is>
      </c>
      <c r="AU1698" t="inlineStr">
        <is>
          <t>JUN 21</t>
        </is>
      </c>
      <c r="AV1698" t="n">
        <v>2022</v>
      </c>
      <c r="AW1698" t="n">
        <v>56</v>
      </c>
      <c r="AX1698" t="n">
        <v>12</v>
      </c>
      <c r="BC1698" t="n">
        <v>8053</v>
      </c>
      <c r="BD1698" t="n">
        <v>8060</v>
      </c>
      <c r="BF1698" t="inlineStr">
        <is>
          <t>10.1021/acs.est.2c01094</t>
        </is>
      </c>
      <c r="BG1698">
        <f>HYPERLINK("http://dx.doi.org/10.1021/acs.est.2c01094","http://dx.doi.org/10.1021/acs.est.2c01094")</f>
        <v/>
      </c>
      <c r="BJ1698" t="n">
        <v>8</v>
      </c>
      <c r="BK1698" t="inlineStr">
        <is>
          <t>Engineering, Environmental; Environmental Sciences</t>
        </is>
      </c>
      <c r="BL1698" t="inlineStr">
        <is>
          <t>Science Citation Index Expanded (SCI-EXPANDED)</t>
        </is>
      </c>
      <c r="BM1698" t="inlineStr">
        <is>
          <t>Engineering; Environmental Sciences &amp; Ecology</t>
        </is>
      </c>
      <c r="BN1698" t="inlineStr">
        <is>
          <t>2J5LY</t>
        </is>
      </c>
      <c r="BO1698" t="n">
        <v>35635183</v>
      </c>
      <c r="BS1698" t="inlineStr">
        <is>
          <t>2023-10-26</t>
        </is>
      </c>
      <c r="BT1698" t="inlineStr">
        <is>
          <t>WOS:000815699400001</t>
        </is>
      </c>
      <c r="BU1698">
        <f>HYPERLINK("https%3A%2F%2Fwww.webofscience.com%2Fwos%2Fwoscc%2Ffull-record%2FWOS:000815699400001","View Full Record in Web of Science")</f>
        <v/>
      </c>
    </row>
    <row r="1699">
      <c r="A1699" t="inlineStr">
        <is>
          <t>J</t>
        </is>
      </c>
      <c r="B1699" t="inlineStr">
        <is>
          <t>Orecchio, S; Indelicato, R; Barreca, S</t>
        </is>
      </c>
      <c r="F1699" t="inlineStr">
        <is>
          <t>Orecchio, Santino; Indelicato, Roberta; Barreca, Salvatore</t>
        </is>
      </c>
      <c r="J1699" t="inlineStr">
        <is>
          <t>ENVIRONMENTAL GEOCHEMISTRY AND HEALTH</t>
        </is>
      </c>
      <c r="M1699" t="inlineStr">
        <is>
          <t>English</t>
        </is>
      </c>
      <c r="N1699" t="inlineStr">
        <is>
          <t>Article</t>
        </is>
      </c>
      <c r="T1699" t="inlineStr">
        <is>
          <t>The distribution of phthalate esters in indoor dust of Palermo (Italy)</t>
        </is>
      </c>
      <c r="U1699" t="inlineStr">
        <is>
          <t>Indoor dust; Phthalates esters; GC-MS; Contaminants; Italy</t>
        </is>
      </c>
      <c r="V1699" t="inlineStr">
        <is>
          <t>POLYCYCLIC AROMATIC-HYDROCARBONS; GC-MS ANALYSIS; IN-HOUSE DUST; ACID ESTERS; AIR-QUALITY; SUBTROPICAL CITY; SETTLED DUST; URBAN SOILS; GAS-PHASE; EXPOSURE</t>
        </is>
      </c>
      <c r="W1699" t="inlineStr">
        <is>
          <t>In this work, phthalic acid esters (PAEs): dimethyl phthalate (DMP), diethyl phthalate (DEP), di-n-butyl phthalate, benzyl butyl phthalate, bis(2-ethylhexyl) phthalate, and di-n-octyl phthalate in indoor dust (used as passive sampler) were investigated. The settled dust samples were collected from thirteen indoor environments from Palermo city. A fast and simple method using Soxhlet and GC-MS analysis has been optimized to identify and quantify the phthalates. Total phthalates concentrations in indoor dusts ranged from 269 to 4,831 mg/kg d.w. (d.w. = dry weight). The data show a linear correlation between total PAEs concentration and a single compound content, with the exclusion of the two most volatile components (DMP and DEP) that are present in appreciable amounts only in two samples. These results suggest that most of the PAEs identified in the samples of settled dust originate from the same type of material. This evidence indicates that, in a specific indoor environment, generally is not present only one compound but a mixture having over time comparable percentages of PAEs. Consequently, for routine analyses of a specific indoor environment, only a smaller number of compounds could be determined to value the contamination of that environment. We also note differences in phthalate concentrations between buildings from different construction periods; the total concentration of PAEs was higher in ancient homes compared to those constructed later. This is due to a trend to reduce or remove certain hazardous compounds from building materials and consumer goods. A linear correlation between total PAEs concentration and age of the building was observed (R = 0.71).</t>
        </is>
      </c>
      <c r="X1699" t="inlineStr">
        <is>
          <t>[Orecchio, Santino; Indelicato, Roberta] Univ Palermo, Dipartimento Sci &amp; Tecnol Biol, I-90128 Palermo, Italy; [Indelicato, Roberta; Barreca, Salvatore] Univ Palermo, Dipartimento Fis &amp; Chim, I-90128 Palermo, Italy</t>
        </is>
      </c>
      <c r="Y1699" t="inlineStr">
        <is>
          <t>University of Palermo; University of Palermo</t>
        </is>
      </c>
      <c r="Z1699" t="inlineStr">
        <is>
          <t>Orecchio, S (corresponding author), Univ Palermo, Dipartimento Sci &amp; Tecnol Biol, Parco Orleans 2,Ed 17,16, I-90128 Palermo, Italy.</t>
        </is>
      </c>
      <c r="AA1699" t="inlineStr">
        <is>
          <t>santino.orecchio@unipa.it</t>
        </is>
      </c>
      <c r="AC1699" t="inlineStr">
        <is>
          <t>Barreca, Salvatore/0000-0002-9854-1598; Orecchio, Santino/0000-0002-5429-5188</t>
        </is>
      </c>
      <c r="AD1699" t="inlineStr">
        <is>
          <t>Palermo University</t>
        </is>
      </c>
      <c r="AE1699" t="inlineStr">
        <is>
          <t>Palermo University</t>
        </is>
      </c>
      <c r="AF1699" t="inlineStr">
        <is>
          <t>This study was made possible by the financial support of Palermo University, which founded the author (Grants ex 60 % 2002-2005). The authors thank Giulia Ruggeri, of the Ecole Polytechnique Fededale de Lausanne, for the support.</t>
        </is>
      </c>
      <c r="AH1699" t="n">
        <v>54</v>
      </c>
      <c r="AI1699" t="n">
        <v>44</v>
      </c>
      <c r="AJ1699" t="n">
        <v>46</v>
      </c>
      <c r="AK1699" t="n">
        <v>4</v>
      </c>
      <c r="AL1699" t="n">
        <v>115</v>
      </c>
      <c r="AM1699" t="inlineStr">
        <is>
          <t>SPRINGER</t>
        </is>
      </c>
      <c r="AN1699" t="inlineStr">
        <is>
          <t>DORDRECHT</t>
        </is>
      </c>
      <c r="AO1699" t="inlineStr">
        <is>
          <t>VAN GODEWIJCKSTRAAT 30, 3311 GZ DORDRECHT, NETHERLANDS</t>
        </is>
      </c>
      <c r="AP1699" t="inlineStr">
        <is>
          <t>0269-4042</t>
        </is>
      </c>
      <c r="AQ1699" t="inlineStr">
        <is>
          <t>1573-2983</t>
        </is>
      </c>
      <c r="AS1699" t="inlineStr">
        <is>
          <t>ENVIRON GEOCHEM HLTH</t>
        </is>
      </c>
      <c r="AT1699" t="inlineStr">
        <is>
          <t>Environ. Geochem. Health</t>
        </is>
      </c>
      <c r="AU1699" t="inlineStr">
        <is>
          <t>OCT</t>
        </is>
      </c>
      <c r="AV1699" t="n">
        <v>2013</v>
      </c>
      <c r="AW1699" t="n">
        <v>35</v>
      </c>
      <c r="AX1699" t="n">
        <v>5</v>
      </c>
      <c r="BA1699" t="inlineStr">
        <is>
          <t>SI</t>
        </is>
      </c>
      <c r="BC1699" t="n">
        <v>613</v>
      </c>
      <c r="BD1699" t="n">
        <v>624</v>
      </c>
      <c r="BF1699" t="inlineStr">
        <is>
          <t>10.1007/s10653-013-9544-9</t>
        </is>
      </c>
      <c r="BG1699">
        <f>HYPERLINK("http://dx.doi.org/10.1007/s10653-013-9544-9","http://dx.doi.org/10.1007/s10653-013-9544-9")</f>
        <v/>
      </c>
      <c r="BJ1699" t="n">
        <v>12</v>
      </c>
      <c r="BK1699" t="inlineStr">
        <is>
          <t>Engineering, Environmental; Environmental Sciences; Public, Environmental &amp; Occupational Health; Water Resources</t>
        </is>
      </c>
      <c r="BL1699" t="inlineStr">
        <is>
          <t>Science Citation Index Expanded (SCI-EXPANDED)</t>
        </is>
      </c>
      <c r="BM1699" t="inlineStr">
        <is>
          <t>Engineering; Environmental Sciences &amp; Ecology; Public, Environmental &amp; Occupational Health; Water Resources</t>
        </is>
      </c>
      <c r="BN1699" t="inlineStr">
        <is>
          <t>207YK</t>
        </is>
      </c>
      <c r="BO1699" t="n">
        <v>23807633</v>
      </c>
      <c r="BP1699" t="inlineStr">
        <is>
          <t>Green Published, hybrid</t>
        </is>
      </c>
      <c r="BS1699" t="inlineStr">
        <is>
          <t>2023-10-26</t>
        </is>
      </c>
      <c r="BT1699" t="inlineStr">
        <is>
          <t>WOS:000323640600007</t>
        </is>
      </c>
      <c r="BU1699">
        <f>HYPERLINK("https%3A%2F%2Fwww.webofscience.com%2Fwos%2Fwoscc%2Ffull-record%2FWOS:000323640600007","View Full Record in Web of Science")</f>
        <v/>
      </c>
    </row>
    <row r="1700">
      <c r="A1700" t="inlineStr">
        <is>
          <t>J</t>
        </is>
      </c>
      <c r="B1700" t="inlineStr">
        <is>
          <t>Widder, SH; Haselbach, L</t>
        </is>
      </c>
      <c r="F1700" t="inlineStr">
        <is>
          <t>Widder, Sarah H.; Haselbach, Liv</t>
        </is>
      </c>
      <c r="J1700" t="inlineStr">
        <is>
          <t>SUSTAINABILITY</t>
        </is>
      </c>
      <c r="M1700" t="inlineStr">
        <is>
          <t>English</t>
        </is>
      </c>
      <c r="N1700" t="inlineStr">
        <is>
          <t>Article</t>
        </is>
      </c>
      <c r="T1700" t="inlineStr">
        <is>
          <t>Relationship among Concentrations of Indoor Air Contaminants, Their Sources, and Different Mitigation Strategies on Indoor Air Quality</t>
        </is>
      </c>
      <c r="U1700" t="inlineStr">
        <is>
          <t>indoor air quality; ventilation; contaminant modeling</t>
        </is>
      </c>
      <c r="V1700" t="inlineStr">
        <is>
          <t>HEALTH</t>
        </is>
      </c>
      <c r="W1700" t="inlineStr">
        <is>
          <t>To ensure that indoor air quality mitigation approaches, such as ventilation, are providing the desired indoor air quality, it is necessary to better understand the varied sources of indoor air contaminants and how different mitigation approaches will affect those sources. This article describes a generalized model that describes the efficacy of different indoor air quality improvement strategies as a function of the primary source(s) of indoor air contaminants of concern. The model is then used as a framework to compare the impact of two different ventilation approaches (a continuous exhaust ventilation strategy compared to a runtime ventilation strategy) on two indoor air compounds (CO2 and formaldehyde) based on primary data gathered in 10 homes in Gainesville, FL. The findings from the Gainesville data suggest that the two approaches provided similar efficacy for reducing CO2 concentrations, but the continuous exhaust system was not as effective at decreasing interior concentrations of formaldehyde, as compared to the runtime ventilation strategy. The simplified, generalized model could be used as a framework to analyze and compare existing detailed modeling and experimental results to bring about a greater understanding of the relative efficacy and tradeoffs of different IAQ mitigation strategies in homes, as well as inform guidance or standards addressing indoor air quality in residential buildings and serve as a decision-making tool for building industry professionals responsible for specifying ventilation systems in homes.</t>
        </is>
      </c>
      <c r="X1700" t="inlineStr">
        <is>
          <t>[Widder, Sarah H.] Washington State Univ, Dept Civil Environm Engn, 405 Spokane St Sloan 108, Pullman, WA 99164 USA; [Haselbach, Liv] Lamar Univ, Civil &amp; Environm Engn, POB 10024, Beaumont, TX 77550 USA</t>
        </is>
      </c>
      <c r="Y1700" t="inlineStr">
        <is>
          <t>Washington State University; Texas State University System; Lamar University</t>
        </is>
      </c>
      <c r="Z1700" t="inlineStr">
        <is>
          <t>Widder, SH (corresponding author), Washington State Univ, Dept Civil Environm Engn, 405 Spokane St Sloan 108, Pullman, WA 99164 USA.</t>
        </is>
      </c>
      <c r="AA1700" t="inlineStr">
        <is>
          <t>sarah.widder@wsu.edu; lhaselbach@lamar.edu</t>
        </is>
      </c>
      <c r="AC1700" t="inlineStr">
        <is>
          <t>Haselbach, Liv/0000-0001-6256-9890</t>
        </is>
      </c>
      <c r="AD1700" t="inlineStr">
        <is>
          <t>Department of Energy's Building America Program</t>
        </is>
      </c>
      <c r="AE1700" t="inlineStr">
        <is>
          <t>Department of Energy's Building America Program(United States Department of Energy (DOE))</t>
        </is>
      </c>
      <c r="AF1700" t="inlineStr">
        <is>
          <t>The data collection underlying this work was supported by the Department of Energy's Building America Program. The model development and validation did not receive any specific grant from funding agencies in the public, commercial, or not-for-profit sectors.</t>
        </is>
      </c>
      <c r="AH1700" t="n">
        <v>23</v>
      </c>
      <c r="AI1700" t="n">
        <v>10</v>
      </c>
      <c r="AJ1700" t="n">
        <v>11</v>
      </c>
      <c r="AK1700" t="n">
        <v>1</v>
      </c>
      <c r="AL1700" t="n">
        <v>18</v>
      </c>
      <c r="AM1700" t="inlineStr">
        <is>
          <t>MDPI</t>
        </is>
      </c>
      <c r="AN1700" t="inlineStr">
        <is>
          <t>BASEL</t>
        </is>
      </c>
      <c r="AO1700" t="inlineStr">
        <is>
          <t>ST ALBAN-ANLAGE 66, CH-4052 BASEL, SWITZERLAND</t>
        </is>
      </c>
      <c r="AQ1700" t="inlineStr">
        <is>
          <t>2071-1050</t>
        </is>
      </c>
      <c r="AS1700" t="inlineStr">
        <is>
          <t>SUSTAINABILITY-BASEL</t>
        </is>
      </c>
      <c r="AT1700" t="inlineStr">
        <is>
          <t>Sustainability</t>
        </is>
      </c>
      <c r="AU1700" t="inlineStr">
        <is>
          <t>JUL</t>
        </is>
      </c>
      <c r="AV1700" t="n">
        <v>2017</v>
      </c>
      <c r="AW1700" t="n">
        <v>9</v>
      </c>
      <c r="AX1700" t="n">
        <v>7</v>
      </c>
      <c r="BE1700" t="n">
        <v>1149</v>
      </c>
      <c r="BF1700" t="inlineStr">
        <is>
          <t>10.3390/su9071149</t>
        </is>
      </c>
      <c r="BG1700">
        <f>HYPERLINK("http://dx.doi.org/10.3390/su9071149","http://dx.doi.org/10.3390/su9071149")</f>
        <v/>
      </c>
      <c r="BJ1700" t="n">
        <v>16</v>
      </c>
      <c r="BK1700" t="inlineStr">
        <is>
          <t>Green &amp; Sustainable Science &amp; Technology; Environmental Sciences; Environmental Studies</t>
        </is>
      </c>
      <c r="BL1700" t="inlineStr">
        <is>
          <t>Science Citation Index Expanded (SCI-EXPANDED); Social Science Citation Index (SSCI)</t>
        </is>
      </c>
      <c r="BM1700" t="inlineStr">
        <is>
          <t>Science &amp; Technology - Other Topics; Environmental Sciences &amp; Ecology</t>
        </is>
      </c>
      <c r="BN1700" t="inlineStr">
        <is>
          <t>FC3AB</t>
        </is>
      </c>
      <c r="BP1700" t="inlineStr">
        <is>
          <t>Green Submitted, gold</t>
        </is>
      </c>
      <c r="BS1700" t="inlineStr">
        <is>
          <t>2023-10-26</t>
        </is>
      </c>
      <c r="BT1700" t="inlineStr">
        <is>
          <t>WOS:000406709500078</t>
        </is>
      </c>
      <c r="BU1700">
        <f>HYPERLINK("https%3A%2F%2Fwww.webofscience.com%2Fwos%2Fwoscc%2Ffull-record%2FWOS:000406709500078","View Full Record in Web of Science")</f>
        <v/>
      </c>
    </row>
    <row r="1701">
      <c r="A1701" t="inlineStr">
        <is>
          <t>J</t>
        </is>
      </c>
      <c r="B1701" t="inlineStr">
        <is>
          <t>Itotani, K; Suganuma, I; Fujita, H</t>
        </is>
      </c>
      <c r="F1701" t="inlineStr">
        <is>
          <t>Itotani, Keisuke; Suganuma, Ippei; Fujita, Hiroyuki</t>
        </is>
      </c>
      <c r="J1701" t="inlineStr">
        <is>
          <t>INTERNATIONAL JOURNAL OF ENVIRONMENTAL RESEARCH AND PUBLIC HEALTH</t>
        </is>
      </c>
      <c r="M1701" t="inlineStr">
        <is>
          <t>English</t>
        </is>
      </c>
      <c r="N1701" t="inlineStr">
        <is>
          <t>Article</t>
        </is>
      </c>
      <c r="T1701" t="inlineStr">
        <is>
          <t>Are the Physical and Cognitive Functions of Older Adults Affected by Having a Driver's License?-A Pilot Study of Suburban Dwellers</t>
        </is>
      </c>
      <c r="U1701" t="inlineStr">
        <is>
          <t>community-dwelling older adults; non-driver's license; cognitive function</t>
        </is>
      </c>
      <c r="V1701" t="inlineStr">
        <is>
          <t>DRIVING CESSATION; DEPRESSIVE SYMPTOMS; PERFORMANCE; HEALTH; FEAR; CONSEQUENCES; TRAJECTORIES; RELIABILITY; PREDICTORS; VALIDITY</t>
        </is>
      </c>
      <c r="W1701" t="inlineStr">
        <is>
          <t>Previous studies have frequently reported that those with a driver's license have better physical and cognitive functions than those without. However, there are many people in the world who do not need or who cannot have a driver's license. We hypothesized that if the non-driver's license group had the same or better physical and cognitive functioning as the driver's license group, they could lead healthy lives without the risk of functional decline or loss of functioning due to surrendering their licenses or giving up driving. The subjects were 47 community-dwelling older adults. We measured their physical function and cognitive function and performed psychological assessment via the following tests: grip strength, Timed Up and Go test, walking speed, Five Times Sit to Stand test, Functional Reach test, Two-Step Test, Mini-Mental State Examination, Trail Making Test, Modified Falls Efficacy Scale, Geriatric Depression Scale, and University of California Los Angeles Loneliness Scale. In previous studies, it has been said that having a driver's license provides good physical, cognitive, and psychological functions. However, in this study, loneliness and executive function were strongly influenced by age and sex, and no direct relationship to a driver's license was suggested. Rather, non-driver license holders may be relieved because there is no risk of accidents due to driving, and there is no possibility of a suddenly decline in physical or cognitive function due to revocation of a driver's license.</t>
        </is>
      </c>
      <c r="X1701" t="inlineStr">
        <is>
          <t>[Itotani, Keisuke] Yamato Univ, Fac Allied Hlth Sci, Dept Gen Rehabil, 2-5-1 Katayama Cho, Suita, Osaka 5640082, Japan; [Suganuma, Ippei] Kyoto Tachibana Univ, Fac Hlth Sci, Dept Occupat Therapy, Yamashina Ku, 34 Oyakeyamada Cho, Kyoto 6078175, Japan; [Fujita, Hiroyuki] Osaka Univ Human Sci, Fac Hlth Care, Dept Phys Therapy, 1-4-1 Shoujaku, Settsu, Osaka 5668510, Japan</t>
        </is>
      </c>
      <c r="Y1701" t="inlineStr">
        <is>
          <t>Kyoto Tachibana University; Osaka University</t>
        </is>
      </c>
      <c r="Z1701" t="inlineStr">
        <is>
          <t>Itotani, K (corresponding author), Yamato Univ, Fac Allied Hlth Sci, Dept Gen Rehabil, 2-5-1 Katayama Cho, Suita, Osaka 5640082, Japan.</t>
        </is>
      </c>
      <c r="AA1701" t="inlineStr">
        <is>
          <t>itotani.keisuke@yamato-u.ac.jp; suganuma-i@tachibana-u.ac.jp; h-fujita@kun.ohs.ac.jp</t>
        </is>
      </c>
      <c r="AD1701" t="inlineStr">
        <is>
          <t>Yamato University Faculty of Health Sciences Research Ethics Committee</t>
        </is>
      </c>
      <c r="AE1701" t="inlineStr">
        <is>
          <t>Yamato University Faculty of Health Sciences Research Ethics Committee</t>
        </is>
      </c>
      <c r="AF1701" t="inlineStr">
        <is>
          <t>The authors thank the community-dwelling older adults and all the staff who took part in this study for their help and support. We also give special thanks to the Yamato University Faculty of Health Sciences Research Ethics Committee for granting ethical approval for this study.</t>
        </is>
      </c>
      <c r="AH1701" t="n">
        <v>40</v>
      </c>
      <c r="AI1701" t="n">
        <v>1</v>
      </c>
      <c r="AJ1701" t="n">
        <v>1</v>
      </c>
      <c r="AK1701" t="n">
        <v>3</v>
      </c>
      <c r="AL1701" t="n">
        <v>10</v>
      </c>
      <c r="AM1701" t="inlineStr">
        <is>
          <t>MDPI</t>
        </is>
      </c>
      <c r="AN1701" t="inlineStr">
        <is>
          <t>BASEL</t>
        </is>
      </c>
      <c r="AO1701" t="inlineStr">
        <is>
          <t>ST ALBAN-ANLAGE 66, CH-4052 BASEL, SWITZERLAND</t>
        </is>
      </c>
      <c r="AQ1701" t="inlineStr">
        <is>
          <t>1660-4601</t>
        </is>
      </c>
      <c r="AS1701" t="inlineStr">
        <is>
          <t>INT J ENV RES PUB HE</t>
        </is>
      </c>
      <c r="AT1701" t="inlineStr">
        <is>
          <t>Int. J. Environ. Res. Public Health</t>
        </is>
      </c>
      <c r="AU1701" t="inlineStr">
        <is>
          <t>APR</t>
        </is>
      </c>
      <c r="AV1701" t="n">
        <v>2022</v>
      </c>
      <c r="AW1701" t="n">
        <v>19</v>
      </c>
      <c r="AX1701" t="n">
        <v>8</v>
      </c>
      <c r="BE1701" t="n">
        <v>4573</v>
      </c>
      <c r="BF1701" t="inlineStr">
        <is>
          <t>10.3390/ijerph19084573</t>
        </is>
      </c>
      <c r="BG1701">
        <f>HYPERLINK("http://dx.doi.org/10.3390/ijerph19084573","http://dx.doi.org/10.3390/ijerph19084573")</f>
        <v/>
      </c>
      <c r="BJ1701" t="n">
        <v>9</v>
      </c>
      <c r="BK1701" t="inlineStr">
        <is>
          <t>Environmental Sciences; Public, Environmental &amp; Occupational Health</t>
        </is>
      </c>
      <c r="BL1701" t="inlineStr">
        <is>
          <t>Science Citation Index Expanded (SCI-EXPANDED); Social Science Citation Index (SSCI)</t>
        </is>
      </c>
      <c r="BM1701" t="inlineStr">
        <is>
          <t>Environmental Sciences &amp; Ecology; Public, Environmental &amp; Occupational Health</t>
        </is>
      </c>
      <c r="BN1701" t="inlineStr">
        <is>
          <t>0S3PP</t>
        </is>
      </c>
      <c r="BO1701" t="n">
        <v>35457440</v>
      </c>
      <c r="BP1701" t="inlineStr">
        <is>
          <t>Green Published, gold</t>
        </is>
      </c>
      <c r="BS1701" t="inlineStr">
        <is>
          <t>2023-10-26</t>
        </is>
      </c>
      <c r="BT1701" t="inlineStr">
        <is>
          <t>WOS:000786189700001</t>
        </is>
      </c>
      <c r="BU1701">
        <f>HYPERLINK("https%3A%2F%2Fwww.webofscience.com%2Fwos%2Fwoscc%2Ffull-record%2FWOS:000786189700001","View Full Record in Web of Science")</f>
        <v/>
      </c>
    </row>
    <row r="1702">
      <c r="A1702" t="inlineStr">
        <is>
          <t>J</t>
        </is>
      </c>
      <c r="B1702" t="inlineStr">
        <is>
          <t>Liu, Y; Ji, YJ; Shi, ZB; Gao, LP</t>
        </is>
      </c>
      <c r="F1702" t="inlineStr">
        <is>
          <t>Liu, Yang; Ji, Yanjie; Shi, Zhuangbin; Gao, Liangpeng</t>
        </is>
      </c>
      <c r="J1702" t="inlineStr">
        <is>
          <t>SUSTAINABILITY</t>
        </is>
      </c>
      <c r="M1702" t="inlineStr">
        <is>
          <t>English</t>
        </is>
      </c>
      <c r="N1702" t="inlineStr">
        <is>
          <t>Article</t>
        </is>
      </c>
      <c r="T1702" t="inlineStr">
        <is>
          <t>The Influence of the Built Environment on School Children's Metro Ridership: An Exploration Using Geographically Weighted Poisson Regression Models</t>
        </is>
      </c>
      <c r="U1702" t="inlineStr">
        <is>
          <t>students; metro ridership; school commuting; spatial variations; geographically weighted regression</t>
        </is>
      </c>
      <c r="V1702" t="inlineStr">
        <is>
          <t>TRANSIT RIDERSHIP; CHOICE; TRAVEL; WALKING; TRANSPORTATION; PATTERNS; MOBILITY; DISTANCE; CHINA; TRIP</t>
        </is>
      </c>
      <c r="W1702" t="inlineStr">
        <is>
          <t>Long-distance school commuting is a key aspect of students' choice of car travel. For cities lacking school buses, the metro and car are the main travel modes used by students who have a long travel distance between home and school. Therefore, encouraging students to commute using the metro can effectively reduce household car use caused by long-distance commuting to school. This paper explores metro ridership at the station level for trips to school and return trips to home in Nanjing, China by using smart card data. In particular, a global Poisson regression model and geographically weighted Poisson regression (GWPR) models were used to examine the effects of the built environment on students' metro ridership. The results indicate that the GWPR models provide superior performance for both trips to school and return trips to home. Spatial variations exist in the relationship between the built environment and students' metro ridership across metro stations. Built environments around metro stations, including commercial-oriented land use; the density of roads, parking lots, and bus stations; the number of docks at bikeshare stations; and the shortest distance between bike stations and metro stations have different impacts on students' metro ridership. The results have important implications for proposing relevant policies to guide students who are being driven to school to travel by metro instead.</t>
        </is>
      </c>
      <c r="X1702" t="inlineStr">
        <is>
          <t>[Liu, Yang; Ji, Yanjie; Gao, Liangpeng] Southeast Univ, Sch Transportat, Jiangsu Prov Collaborat Innovat Ctr Modern Urban, Jiangsu Key Lab Urban ITS, Dongnandaxue Rd 2, Nanjing 211189, Jiangsu, Peoples R China; [Shi, Zhuangbin] Southeast Univ, Intelligent Transportat Syst Res Ctr, Dongnandaxue Rd 2, Nanjing 211189, Jiangsu, Peoples R China</t>
        </is>
      </c>
      <c r="Y1702" t="inlineStr">
        <is>
          <t>Southeast University - China; Southeast University - China</t>
        </is>
      </c>
      <c r="Z1702" t="inlineStr">
        <is>
          <t>Ji, YJ (corresponding author), Southeast Univ, Sch Transportat, Jiangsu Prov Collaborat Innovat Ctr Modern Urban, Jiangsu Key Lab Urban ITS, Dongnandaxue Rd 2, Nanjing 211189, Jiangsu, Peoples R China.</t>
        </is>
      </c>
      <c r="AA1702" t="inlineStr">
        <is>
          <t>kmliuyang90@gmail.com; jiyanjie@seu.edu.cn; shizhuangbin@gmail.com; seugaolp@163.com</t>
        </is>
      </c>
      <c r="AB1702" t="inlineStr">
        <is>
          <t>高, 良鹏/HCI-2098-2022</t>
        </is>
      </c>
      <c r="AC1702" t="inlineStr">
        <is>
          <t>Shi, Zhuangbin/0000-0002-4379-7203</t>
        </is>
      </c>
      <c r="AD1702" t="inlineStr">
        <is>
          <t>Projects of International Cooperation and Exchange of the National Natural Science Foundation of China [51561135003]; Key Project of National Natural Science Foundation of China [51338003]; Scientific Research Foundation of Graduated School of Southeast University [YBJJ1842]; China Scholarship Council (CSC) [201806090205]; EPSRC [EP/N010612/1] Funding Source: UKRI</t>
        </is>
      </c>
      <c r="AE1702" t="inlineStr">
        <is>
          <t>Projects of International Cooperation and Exchange of the National Natural Science Foundation of China(National Natural Science Foundation of China (NSFC)); Key Project of National Natural Science Foundation of China(National Natural Science Foundation of China (NSFC)); Scientific Research Foundation of Graduated School of Southeast University; China Scholarship Council (CSC)(China Scholarship Council); EPSRC(UK Research &amp; Innovation (UKRI)Engineering &amp; Physical Sciences Research Council (EPSRC))</t>
        </is>
      </c>
      <c r="AF1702" t="inlineStr">
        <is>
          <t>This research was funded by the Projects of International Cooperation and Exchange of the National Natural Science Foundation of China [NO. 51561135003], the Key Project of National Natural Science Foundation of China [NO. 51338003], the Scientific Research Foundation of Graduated School of Southeast University [NO. YBJJ1842] and the China Scholarship Council (CSC) (No. 201806090205).</t>
        </is>
      </c>
      <c r="AH1702" t="n">
        <v>48</v>
      </c>
      <c r="AI1702" t="n">
        <v>9</v>
      </c>
      <c r="AJ1702" t="n">
        <v>12</v>
      </c>
      <c r="AK1702" t="n">
        <v>8</v>
      </c>
      <c r="AL1702" t="n">
        <v>61</v>
      </c>
      <c r="AM1702" t="inlineStr">
        <is>
          <t>MDPI</t>
        </is>
      </c>
      <c r="AN1702" t="inlineStr">
        <is>
          <t>BASEL</t>
        </is>
      </c>
      <c r="AO1702" t="inlineStr">
        <is>
          <t>ST ALBAN-ANLAGE 66, CH-4052 BASEL, SWITZERLAND</t>
        </is>
      </c>
      <c r="AQ1702" t="inlineStr">
        <is>
          <t>2071-1050</t>
        </is>
      </c>
      <c r="AS1702" t="inlineStr">
        <is>
          <t>SUSTAINABILITY-BASEL</t>
        </is>
      </c>
      <c r="AT1702" t="inlineStr">
        <is>
          <t>Sustainability</t>
        </is>
      </c>
      <c r="AU1702" t="inlineStr">
        <is>
          <t>DEC</t>
        </is>
      </c>
      <c r="AV1702" t="n">
        <v>2018</v>
      </c>
      <c r="AW1702" t="n">
        <v>10</v>
      </c>
      <c r="AX1702" t="n">
        <v>12</v>
      </c>
      <c r="BE1702" t="n">
        <v>4684</v>
      </c>
      <c r="BF1702" t="inlineStr">
        <is>
          <t>10.3390/su10124684</t>
        </is>
      </c>
      <c r="BG1702">
        <f>HYPERLINK("http://dx.doi.org/10.3390/su10124684","http://dx.doi.org/10.3390/su10124684")</f>
        <v/>
      </c>
      <c r="BJ1702" t="n">
        <v>16</v>
      </c>
      <c r="BK1702" t="inlineStr">
        <is>
          <t>Green &amp; Sustainable Science &amp; Technology; Environmental Sciences; Environmental Studies</t>
        </is>
      </c>
      <c r="BL1702" t="inlineStr">
        <is>
          <t>Science Citation Index Expanded (SCI-EXPANDED); Social Science Citation Index (SSCI)</t>
        </is>
      </c>
      <c r="BM1702" t="inlineStr">
        <is>
          <t>Science &amp; Technology - Other Topics; Environmental Sciences &amp; Ecology</t>
        </is>
      </c>
      <c r="BN1702" t="inlineStr">
        <is>
          <t>HG9OL</t>
        </is>
      </c>
      <c r="BP1702" t="inlineStr">
        <is>
          <t>gold, Green Published</t>
        </is>
      </c>
      <c r="BS1702" t="inlineStr">
        <is>
          <t>2023-10-26</t>
        </is>
      </c>
      <c r="BT1702" t="inlineStr">
        <is>
          <t>WOS:000455338100350</t>
        </is>
      </c>
      <c r="BU1702">
        <f>HYPERLINK("https%3A%2F%2Fwww.webofscience.com%2Fwos%2Fwoscc%2Ffull-record%2FWOS:000455338100350","View Full Record in Web of Science")</f>
        <v/>
      </c>
    </row>
    <row r="1703">
      <c r="A1703" t="inlineStr">
        <is>
          <t>J</t>
        </is>
      </c>
      <c r="B1703" t="inlineStr">
        <is>
          <t>Maitland, C; Lester, L; Trost, SG; Rosenberg, M; Schipperijn, J; Trapp, G; Bai, P; Christian, H</t>
        </is>
      </c>
      <c r="F1703" t="inlineStr">
        <is>
          <t>Maitland, Clover; Lester, Leanne; Trost, Stewart G.; Rosenberg, Michael; Schipperijn, Jasper; Trapp, Georgina; Bai, Pulan; Christian, Hayley</t>
        </is>
      </c>
      <c r="J1703" t="inlineStr">
        <is>
          <t>INTERNATIONAL JOURNAL OF ENVIRONMENTAL RESEARCH AND PUBLIC HEALTH</t>
        </is>
      </c>
      <c r="M1703" t="inlineStr">
        <is>
          <t>English</t>
        </is>
      </c>
      <c r="N1703" t="inlineStr">
        <is>
          <t>Article</t>
        </is>
      </c>
      <c r="T1703" t="inlineStr">
        <is>
          <t>The Influence of the Early Childhood Education and Care Environment on Young Children's Physical Activity: Development and Reliability of the PLAYCE Study Environmental Audit and Educator Survey</t>
        </is>
      </c>
      <c r="U1703" t="inlineStr">
        <is>
          <t>preschooler; childcare; physical environment; policy environment; educator practices; social-ecological model</t>
        </is>
      </c>
      <c r="V1703" t="inlineStr">
        <is>
          <t>PRESCHOOLERS; POLICIES</t>
        </is>
      </c>
      <c r="W1703" t="inlineStr">
        <is>
          <t>(1) Background: Participation in physical activity is crucial for the healthy growth and development of young children. More robust measurement of environmental influences on children's physical activity in early childhood education and care (ECEC) settings may help resolve inconsistencies in the literature. This study evaluated the reliability of an environmental audit and educator practice survey for assessing ECEC physical, policy, and social environments related to young children's physical activity. (2) Methods: A convenience sample of 20 ECEC centres participated in this PLAYCE (Play Spaces and Environments for Children's Physical Activity) sub-study. Trained auditors conducted audits and educators completed surveys, two weeks apart. Test-retest reliability of the survey (n = 32), inter-rater (n = 20 pairs) and intra-rater reliability (n = 38) of the audit was assessed using intra-class correlation coefficients (ICCs), Kappa statistics and percent agreement. (3) Results: Intra-rater and inter-rater reliability ICCs for outdoor equipment, spaces and features were good to excellent (ICC = 0.70-0.94), while ratings for indoor equipment, media and spaces varied from fair to excellent (ICC = 0.46-0.78). The majority of items were rated by Kappa as moderate or above for intra-rater, inter-rater and survey test-retest reliability. (4) Conclusions: The PLAYCE Study instruments provide reliable measures of ECEC physical activity environments which can help to better understand influences on young children's physical activity.</t>
        </is>
      </c>
      <c r="X1703" t="inlineStr">
        <is>
          <t>[Maitland, Clover; Lester, Leanne; Rosenberg, Michael] Univ Western Australia, Sch Human Sci, Perth, WA 6009, Australia; [Trost, Stewart G.] Queensland Univ Technol, Inst Hlth &amp; Biomed Innovat, Queensland Ctr Childrens Hlth Res, Sch Exercise &amp; Nutr Sci, Brisbane, Qld 4001, Australia; [Schipperijn, Jasper] Univ Southern Denmark, Dept Sports Sci &amp; Clin Biomech, DK-5230 Odense, Denmark; [Trapp, Georgina; Bai, Pulan; Christian, Hayley] Univ Western Australia, Sch Populat &amp; Global Hlth, Perth, WA 6009, Australia; [Trapp, Georgina; Bai, Pulan; Christian, Hayley] Univ Western Australia, Telethon Kids Inst, Nedlands, WA 6009, Australia</t>
        </is>
      </c>
      <c r="Y1703" t="inlineStr">
        <is>
          <t>University of Western Australia; Queensland University of Technology (QUT); University of Southern Denmark; University of Western Australia; Telethon Kids Institute; University of Western Australia</t>
        </is>
      </c>
      <c r="Z1703" t="inlineStr">
        <is>
          <t>Bai, P (corresponding author), Univ Western Australia, Sch Populat &amp; Global Hlth, Perth, WA 6009, Australia.;Bai, P (corresponding author), Univ Western Australia, Telethon Kids Inst, Nedlands, WA 6009, Australia.</t>
        </is>
      </c>
      <c r="AA1703" t="inlineStr">
        <is>
          <t>clover.maitland@uwa.edu.au; leanne.lester@uwa.edu.au; s.trost@qut.edu.au; michael.rosenberg@uwa.edu.au; jschipperijn@health.sdu.dk; georgina.trapp@uwa.edu.au; pulan.bai@telethonkids.org.au; hayley.christian@uwa.edu.au</t>
        </is>
      </c>
      <c r="AB1703" t="inlineStr">
        <is>
          <t>Trapp, Gina/GVT-9719-2022; Rosenberg, Michael/H-5748-2014; Trost, Stewart G/B-5948-2012; Christian, Hayley/AAU-6163-2020</t>
        </is>
      </c>
      <c r="AC1703" t="inlineStr">
        <is>
          <t>Trost, Stewart G/0000-0001-9587-3944; Christian, Hayley/0000-0001-8486-5746; Maitland, Clover/0000-0001-6085-329X; Trapp, Gina/0000-0001-8529-4260; Bai, Pulan/0000-0002-5523-4029; Schipperijn, Jasper/0000-0002-6558-7610</t>
        </is>
      </c>
      <c r="AD1703" t="inlineStr">
        <is>
          <t>Western Australian Health Promotion Foundation (Healthway) [24219]; Australian National Heart Foundation Future Leader Fellowship [100794]; NHMRC Early Career Research Fellowship [ID1073233]</t>
        </is>
      </c>
      <c r="AE1703" t="inlineStr">
        <is>
          <t>Western Australian Health Promotion Foundation (Healthway); Australian National Heart Foundation Future Leader Fellowship; NHMRC Early Career Research Fellowship(National Health and Medical Research Council (NHMRC) of Australia)</t>
        </is>
      </c>
      <c r="AF1703" t="inlineStr">
        <is>
          <t>The PLAYCE study is supported by funding from the Western Australian Health Promotion Foundation (Healthway; #24219). HC is supported by an Australian National Heart Foundation Future Leader Fellowship (#100794). GT is supported by a NHMRC Early Career Research Fellowship (ID1073233).</t>
        </is>
      </c>
      <c r="AH1703" t="n">
        <v>35</v>
      </c>
      <c r="AI1703" t="n">
        <v>5</v>
      </c>
      <c r="AJ1703" t="n">
        <v>5</v>
      </c>
      <c r="AK1703" t="n">
        <v>0</v>
      </c>
      <c r="AL1703" t="n">
        <v>17</v>
      </c>
      <c r="AM1703" t="inlineStr">
        <is>
          <t>MDPI</t>
        </is>
      </c>
      <c r="AN1703" t="inlineStr">
        <is>
          <t>BASEL</t>
        </is>
      </c>
      <c r="AO1703" t="inlineStr">
        <is>
          <t>ST ALBAN-ANLAGE 66, CH-4052 BASEL, SWITZERLAND</t>
        </is>
      </c>
      <c r="AQ1703" t="inlineStr">
        <is>
          <t>1660-4601</t>
        </is>
      </c>
      <c r="AS1703" t="inlineStr">
        <is>
          <t>INT J ENV RES PUB HE</t>
        </is>
      </c>
      <c r="AT1703" t="inlineStr">
        <is>
          <t>Int. J. Environ. Res. Public Health</t>
        </is>
      </c>
      <c r="AU1703" t="inlineStr">
        <is>
          <t>APR</t>
        </is>
      </c>
      <c r="AV1703" t="n">
        <v>2020</v>
      </c>
      <c r="AW1703" t="n">
        <v>17</v>
      </c>
      <c r="AX1703" t="n">
        <v>7</v>
      </c>
      <c r="BE1703" t="n">
        <v>2497</v>
      </c>
      <c r="BF1703" t="inlineStr">
        <is>
          <t>10.3390/ijerph17072497</t>
        </is>
      </c>
      <c r="BG1703">
        <f>HYPERLINK("http://dx.doi.org/10.3390/ijerph17072497","http://dx.doi.org/10.3390/ijerph17072497")</f>
        <v/>
      </c>
      <c r="BJ1703" t="n">
        <v>10</v>
      </c>
      <c r="BK1703" t="inlineStr">
        <is>
          <t>Environmental Sciences; Public, Environmental &amp; Occupational Health</t>
        </is>
      </c>
      <c r="BL1703" t="inlineStr">
        <is>
          <t>Science Citation Index Expanded (SCI-EXPANDED); Social Science Citation Index (SSCI)</t>
        </is>
      </c>
      <c r="BM1703" t="inlineStr">
        <is>
          <t>Environmental Sciences &amp; Ecology; Public, Environmental &amp; Occupational Health</t>
        </is>
      </c>
      <c r="BN1703" t="inlineStr">
        <is>
          <t>LK3LI</t>
        </is>
      </c>
      <c r="BO1703" t="n">
        <v>32268499</v>
      </c>
      <c r="BP1703" t="inlineStr">
        <is>
          <t>Green Published, gold</t>
        </is>
      </c>
      <c r="BS1703" t="inlineStr">
        <is>
          <t>2023-10-26</t>
        </is>
      </c>
      <c r="BT1703" t="inlineStr">
        <is>
          <t>WOS:000530763300329</t>
        </is>
      </c>
      <c r="BU1703">
        <f>HYPERLINK("https%3A%2F%2Fwww.webofscience.com%2Fwos%2Fwoscc%2Ffull-record%2FWOS:000530763300329","View Full Record in Web of Science")</f>
        <v/>
      </c>
    </row>
    <row r="1704">
      <c r="A1704" t="inlineStr">
        <is>
          <t>J</t>
        </is>
      </c>
      <c r="B1704" t="inlineStr">
        <is>
          <t>Kang, IS; McCreery, A; Azimi, P; Gramigna, A; Baca, G; Hayes, W; Crowder, T; Scheu, R; Evens, A; Stephens, B</t>
        </is>
      </c>
      <c r="F1704" t="inlineStr">
        <is>
          <t>Kang, Insung; McCreery, Anna; Azimi, Parham; Gramigna, Amanda; Baca, Griselda; Hayes, Whitney; Crowder, Timothy; Scheu, Rachel; Evens, Anne; Stephens, Brent</t>
        </is>
      </c>
      <c r="J1704" t="inlineStr">
        <is>
          <t>JOURNAL OF EXPOSURE SCIENCE AND ENVIRONMENTAL EPIDEMIOLOGY</t>
        </is>
      </c>
      <c r="M1704" t="inlineStr">
        <is>
          <t>English</t>
        </is>
      </c>
      <c r="N1704" t="inlineStr">
        <is>
          <t>Article</t>
        </is>
      </c>
      <c r="T1704" t="inlineStr">
        <is>
          <t>Impacts of residential indoor air quality and environmental risk factors on adult asthma-related health outcomes in Chicago, IL</t>
        </is>
      </c>
      <c r="U1704" t="inlineStr">
        <is>
          <t>Adult asthma; Quality of life; Stress; Air pollution; Residential environmental conditions</t>
        </is>
      </c>
      <c r="V1704" t="inlineStr">
        <is>
          <t>NITROGEN-DIOXIDE EXPOSURE; AMBIENT-TEMPERATURE; HOUSING CHARACTERISTICS; RESPIRATORY SYMPTOMS; LUNG-FUNCTION; GAS COOKING; POLLUTION; ASSOCIATION; CHILDREN; OZONE</t>
        </is>
      </c>
      <c r="W1704" t="inlineStr">
        <is>
          <t>Background: Residential environments are known to contribute to asthma. Objective: To examine the joint impacts of exposures to residential indoor and outdoor air pollutants and housing risk factors on adult asthma-related health outcomes. Methods: We analyzed &gt; 1-year of data from 53 participants from 41 homes in the pre-intervention period of the Breathe Easy Project prior to ventilation and filtration retrofits. Health outcomes included surveys of asthma control, health-related quality of life, stress, and healthcare utilizations. Environmental assessments included quarterly measurements of indoor and outdoor pollutants (e.g., HCHO, CO, CO2, NO2, O-3, and PM), home walk-throughs, and surveys of environmental risk factors. Indoor pollutant concentrations were also matched with surveys of time spent at home to estimate indoor pollutant exposures. Results: Cross-sectional analyses using mixed-effects models indicated that lower annual average asthma control test (ACT) scores were associated (p &lt; 0.05) with higher indoor NO2 (concentration/exposure: beta = -2.42/-1.57), indoor temperature (beta = -1.03 to -0.94), and mold/dampness (beta = -3.09 to -2.41). In longitudinal analysis, lower ACT scores were also associated (p &lt; 0.05) with higher indoor NO2 concentrations (beta = -0.29), PM1 (concentration/exposure: beta = -0.12/-0.24), PM2.5 (concentration/exposure: beta = -0.12/-0.26), and PM10 (concentration/exposure: beta = 10.14/-0.28). Emergency department visits were associated with poorer asthma control [incidence rate ratio (IRR) = 0.84; p &lt; 0.001], physical health (IRR = 0.95; p &lt; 0.05), mental health (IRR = 0.95; p &lt; 0.05), higher I/O NO2 ratios (IRR = 1.30; p &lt; 0.05), and higher indoor temperatures (IRR = 1.41; p &lt; 0.05). Significance: Findings suggest that residential risk factors, including indoor air pollution (especially NO2 and particulate matter), higher indoor temperature, and mold/dampness, may contribute to poorer asthma control. Impact: This study highlights the importance of residential indoor air quality and environmental risk factors for asthma control, health-related quality of life, and emergency department visits for asthma. Two timescales of mixed models suggest that exposure to indoor NO2 and particulate matter, higher indoor temperature, and mold/dampness was associated with poorer asthma control. Additionally, emergency department visits were associated with poorer asthma control and health-related quality of life, as well as higher I/O NO2 ratios and indoor temperatures. These findings deepen our understanding of the interrelationships between housing, air quality, and health, and have important implications for programs and policy.</t>
        </is>
      </c>
      <c r="X1704" t="inlineStr">
        <is>
          <t>[Kang, Insung; Stephens, Brent] IIT, Dept Civil Architectural &amp; Environm Engn, Chicago, IL 60616 USA; [McCreery, Anna; Gramigna, Amanda; Baca, Griselda; Hayes, Whitney; Crowder, Timothy; Scheu, Rachel; Evens, Anne] Elevate, Chicago, IL USA; [Azimi, Parham] Harvard TH Chan Sch Publ Hlth, Dept Environm Hlth, Boston, MA USA</t>
        </is>
      </c>
      <c r="Y1704" t="inlineStr">
        <is>
          <t>Illinois Institute of Technology; Harvard University; Harvard T.H. Chan School of Public Health</t>
        </is>
      </c>
      <c r="Z1704" t="inlineStr">
        <is>
          <t>Stephens, B (corresponding author), IIT, Dept Civil Architectural &amp; Environm Engn, Chicago, IL 60616 USA.</t>
        </is>
      </c>
      <c r="AA1704" t="inlineStr">
        <is>
          <t>brent@iit.edu</t>
        </is>
      </c>
      <c r="AB1704" t="inlineStr">
        <is>
          <t>McCreery, Anna C/B-4910-2015</t>
        </is>
      </c>
      <c r="AC1704" t="inlineStr">
        <is>
          <t>McCreery, Anna C/0000-0002-8477-2635; Kang, Insung/0000-0002-1475-8950</t>
        </is>
      </c>
      <c r="AD1704" t="inlineStr">
        <is>
          <t>U.S. Department of Housing and Urban Development (HUD) [ILHHU0031-16]; ComEd through their Energy Efficiency Program's Emerging Technologies initiative [P-0136]</t>
        </is>
      </c>
      <c r="AE1704" t="inlineStr">
        <is>
          <t>U.S. Department of Housing and Urban Development (HUD); ComEd through their Energy Efficiency Program's Emerging Technologies initiative</t>
        </is>
      </c>
      <c r="AF1704" t="inlineStr">
        <is>
          <t>This study was funded by the U.S. Department of Housing and Urban Development (HUD) (Grant no. ILHHU0031-16). Additional funding was provided by ComEd through their Energy Efficiency Program's Emerging Technologies initiative (Project No. P-0136). The authors are deeply appreciative of their colleagues at the Built Environment Research Group at Illinois Institute of Technology, team members at Elevate Energy, the Chicago Bungalow Association, and our study participants for their contributions to this work. This study was funded by the U.S. Department of Housing and Urban Development (HUD) (Grant no. ILHHU0031-16). Additional funding was provided by ComEd through their Energy Efficiency Program's Emerging Technologies initiative (Project No. P-0136).</t>
        </is>
      </c>
      <c r="AH1704" t="n">
        <v>75</v>
      </c>
      <c r="AI1704" t="n">
        <v>1</v>
      </c>
      <c r="AJ1704" t="n">
        <v>1</v>
      </c>
      <c r="AK1704" t="n">
        <v>4</v>
      </c>
      <c r="AL1704" t="n">
        <v>10</v>
      </c>
      <c r="AM1704" t="inlineStr">
        <is>
          <t>SPRINGERNATURE</t>
        </is>
      </c>
      <c r="AN1704" t="inlineStr">
        <is>
          <t>LONDON</t>
        </is>
      </c>
      <c r="AO1704" t="inlineStr">
        <is>
          <t>CAMPUS, 4 CRINAN ST, LONDON, N1 9XW, ENGLAND</t>
        </is>
      </c>
      <c r="AP1704" t="inlineStr">
        <is>
          <t>1559-0631</t>
        </is>
      </c>
      <c r="AQ1704" t="inlineStr">
        <is>
          <t>1559-064X</t>
        </is>
      </c>
      <c r="AS1704" t="inlineStr">
        <is>
          <t>J EXPO SCI ENV EPID</t>
        </is>
      </c>
      <c r="AT1704" t="inlineStr">
        <is>
          <t>J. Expo. Sci. Environ. Epidemiol.</t>
        </is>
      </c>
      <c r="AU1704" t="inlineStr">
        <is>
          <t>MAY</t>
        </is>
      </c>
      <c r="AV1704" t="n">
        <v>2023</v>
      </c>
      <c r="AW1704" t="n">
        <v>33</v>
      </c>
      <c r="AX1704" t="n">
        <v>3</v>
      </c>
      <c r="BC1704" t="n">
        <v>358</v>
      </c>
      <c r="BD1704" t="n">
        <v>367</v>
      </c>
      <c r="BF1704" t="inlineStr">
        <is>
          <t>10.1038/s41370-022-00503-z</t>
        </is>
      </c>
      <c r="BG1704">
        <f>HYPERLINK("http://dx.doi.org/10.1038/s41370-022-00503-z","http://dx.doi.org/10.1038/s41370-022-00503-z")</f>
        <v/>
      </c>
      <c r="BI1704" t="inlineStr">
        <is>
          <t>NOV 2022</t>
        </is>
      </c>
      <c r="BJ1704" t="n">
        <v>10</v>
      </c>
      <c r="BK1704" t="inlineStr">
        <is>
          <t>Environmental Sciences; Public, Environmental &amp; Occupational Health; Toxicology</t>
        </is>
      </c>
      <c r="BL1704" t="inlineStr">
        <is>
          <t>Science Citation Index Expanded (SCI-EXPANDED)</t>
        </is>
      </c>
      <c r="BM1704" t="inlineStr">
        <is>
          <t>Environmental Sciences &amp; Ecology; Public, Environmental &amp; Occupational Health; Toxicology</t>
        </is>
      </c>
      <c r="BN1704" t="inlineStr">
        <is>
          <t>I1JI5</t>
        </is>
      </c>
      <c r="BO1704" t="n">
        <v>36450925</v>
      </c>
      <c r="BS1704" t="inlineStr">
        <is>
          <t>2023-10-26</t>
        </is>
      </c>
      <c r="BT1704" t="inlineStr">
        <is>
          <t>WOS:000892892500001</t>
        </is>
      </c>
      <c r="BU1704">
        <f>HYPERLINK("https%3A%2F%2Fwww.webofscience.com%2Fwos%2Fwoscc%2Ffull-record%2FWOS:000892892500001","View Full Record in Web of Science")</f>
        <v/>
      </c>
    </row>
    <row r="1705">
      <c r="A1705" t="inlineStr">
        <is>
          <t>J</t>
        </is>
      </c>
      <c r="B1705" t="inlineStr">
        <is>
          <t>Al-Humaiqani, MM; Al-Ghamdi, SG</t>
        </is>
      </c>
      <c r="F1705" t="inlineStr">
        <is>
          <t>Al-Humaiqani, Mohammed M.; Al-Ghamdi, Sami G.</t>
        </is>
      </c>
      <c r="J1705" t="inlineStr">
        <is>
          <t>SUSTAINABILITY</t>
        </is>
      </c>
      <c r="M1705" t="inlineStr">
        <is>
          <t>English</t>
        </is>
      </c>
      <c r="N1705" t="inlineStr">
        <is>
          <t>Article</t>
        </is>
      </c>
      <c r="T1705" t="inlineStr">
        <is>
          <t>Assessing the Built Environment's Reflectivity, Flexibility, Resourcefulness, and Rapidity Resilience Qualities against Climate Change Impacts from the Perspective of Different Stakeholders</t>
        </is>
      </c>
      <c r="U1705" t="inlineStr">
        <is>
          <t>climate change; resilience qualities; built environment; reflectivity; flexibility; resourcefulness; rapidity; capacity</t>
        </is>
      </c>
      <c r="V1705" t="inlineStr">
        <is>
          <t>STATISTICAL-ANALYSIS; MITIGATION MEASURES; FRAMEWORK; CITIES; PREPAREDNESS; CHALLENGES; ADAPTATION; METAPHOR; SYSTEMS; RISK</t>
        </is>
      </c>
      <c r="W1705" t="inlineStr">
        <is>
          <t>The frequency and severity of climate change are projected to increase, leading to more disasters, increased built environment system (BES) vulnerability, and decreased coping capacity. Achieving resilience objectives in the built environment is challenging and requires the collaboration of all relevant sectors and professionals. In this study, various stakeholders were engaged, including governmental authorities, regulatory bodies, engineering firms, professionals, contractors, and non-governmental and non-profit organizations (NGOs and NPOs, respectively). The engagement was carried out through the answering of a questionnaire survey that reflects their perceptions about climate change adaptation, the built environment resilience qualities (RQs), and the degree of resilience of the existing built environment and their perceived capacities. The results were analyzed using several statistical tests. The results revealed that advancing public understanding and management tools, reducing economic losses, and developing necessary plans still require improvement. Additionally, the BESs were ranked concerning accepting the change and uncertainty inherited from the past or generated over time. This study emphasized the perception that the decision-making domain is crucial for delivering a reflective built environment. Additionally, features such as advancing public understanding and management tools, reducing economic losses, and developing necessary plans still require improvement. Furthermore, there is a belief in the importance of the task forces within the community as part of an emergency response plan, and a less reflective system would have less recovery speed. Therefore, the rapidity characteristic of a built environmental system to accept the change and uncertainty inherited from the past or generated over time is correlated to the system's reflectivity quality. This study emphasizes the significant correlation between the different RQ traits. It also encourages researchers to formulate more objective methods to reach a set form for measuring RQs as an engineering standard.</t>
        </is>
      </c>
      <c r="X1705" t="inlineStr">
        <is>
          <t>[Al-Humaiqani, Mohammed M.; Al-Ghamdi, Sami G.] Hamad Bin Khalifa Univ, Qatar Fdn, Coll Sci &amp; Engn, Div Sustainable Dev, POB 34110, Doha, Qatar; [Al-Ghamdi, Sami G.] King Abdullah Univ Sci &amp; Technol KAUST, Environm Sci &amp; Engn Program, Biol &amp; Environm Sci &amp; Engn Div, Thuwal 239556900, Saudi Arabia; [Al-Ghamdi, Sami G.] King Abdullah Univ Sci &amp; Technol KAUST, KAUST Climate &amp; Livabil Initiat, Thuwal 239556900, Saudi Arabia</t>
        </is>
      </c>
      <c r="Y1705" t="inlineStr">
        <is>
          <t>Qatar Foundation (QF); Hamad Bin Khalifa University-Qatar; King Abdullah University of Science &amp; Technology; King Abdullah University of Science &amp; Technology</t>
        </is>
      </c>
      <c r="Z1705" t="inlineStr">
        <is>
          <t>Al-Ghamdi, SG (corresponding author), Hamad Bin Khalifa Univ, Qatar Fdn, Coll Sci &amp; Engn, Div Sustainable Dev, POB 34110, Doha, Qatar.;Al-Ghamdi, SG (corresponding author), King Abdullah Univ Sci &amp; Technol KAUST, Environm Sci &amp; Engn Program, Biol &amp; Environm Sci &amp; Engn Div, Thuwal 239556900, Saudi Arabia.;Al-Ghamdi, SG (corresponding author), King Abdullah Univ Sci &amp; Technol KAUST, KAUST Climate &amp; Livabil Initiat, Thuwal 239556900, Saudi Arabia.</t>
        </is>
      </c>
      <c r="AA1705" t="inlineStr">
        <is>
          <t>sami.alghamdi@kaust.edu.sa</t>
        </is>
      </c>
      <c r="AB1705" t="inlineStr">
        <is>
          <t>Al-Ghamdi, Sami G./AAH-6959-2020</t>
        </is>
      </c>
      <c r="AC1705" t="inlineStr">
        <is>
          <t>Al-Ghamdi, Sami G./0000-0002-7416-5153</t>
        </is>
      </c>
      <c r="AD1705" t="inlineStr">
        <is>
          <t>Hamad Bin Khalifa University (HBKU) [210023182]</t>
        </is>
      </c>
      <c r="AE1705" t="inlineStr">
        <is>
          <t>Hamad Bin Khalifa University (HBKU)</t>
        </is>
      </c>
      <c r="AF1705" t="inlineStr">
        <is>
          <t>This research was supported by a scholarship (210023182) from Hamad Bin Khalifa University (HBKU), a member of the Qatar Foundation (QF). Any opinions, findings, conclusions, or recommendations expressed in this material are those of the author(s) and do not necessarily reflect the views of HBKU or QF.</t>
        </is>
      </c>
      <c r="AH1705" t="n">
        <v>108</v>
      </c>
      <c r="AI1705" t="n">
        <v>0</v>
      </c>
      <c r="AJ1705" t="n">
        <v>0</v>
      </c>
      <c r="AK1705" t="n">
        <v>3</v>
      </c>
      <c r="AL1705" t="n">
        <v>3</v>
      </c>
      <c r="AM1705" t="inlineStr">
        <is>
          <t>MDPI</t>
        </is>
      </c>
      <c r="AN1705" t="inlineStr">
        <is>
          <t>BASEL</t>
        </is>
      </c>
      <c r="AO1705" t="inlineStr">
        <is>
          <t>ST ALBAN-ANLAGE 66, CH-4052 BASEL, SWITZERLAND</t>
        </is>
      </c>
      <c r="AQ1705" t="inlineStr">
        <is>
          <t>2071-1050</t>
        </is>
      </c>
      <c r="AS1705" t="inlineStr">
        <is>
          <t>SUSTAINABILITY-BASEL</t>
        </is>
      </c>
      <c r="AT1705" t="inlineStr">
        <is>
          <t>Sustainability</t>
        </is>
      </c>
      <c r="AU1705" t="inlineStr">
        <is>
          <t>MAR</t>
        </is>
      </c>
      <c r="AV1705" t="n">
        <v>2023</v>
      </c>
      <c r="AW1705" t="n">
        <v>15</v>
      </c>
      <c r="AX1705" t="n">
        <v>6</v>
      </c>
      <c r="BE1705" t="n">
        <v>5055</v>
      </c>
      <c r="BF1705" t="inlineStr">
        <is>
          <t>10.3390/su15065055</t>
        </is>
      </c>
      <c r="BG1705">
        <f>HYPERLINK("http://dx.doi.org/10.3390/su15065055","http://dx.doi.org/10.3390/su15065055")</f>
        <v/>
      </c>
      <c r="BJ1705" t="n">
        <v>30</v>
      </c>
      <c r="BK1705" t="inlineStr">
        <is>
          <t>Green &amp; Sustainable Science &amp; Technology; Environmental Sciences; Environmental Studies</t>
        </is>
      </c>
      <c r="BL1705" t="inlineStr">
        <is>
          <t>Science Citation Index Expanded (SCI-EXPANDED); Social Science Citation Index (SSCI)</t>
        </is>
      </c>
      <c r="BM1705" t="inlineStr">
        <is>
          <t>Science &amp; Technology - Other Topics; Environmental Sciences &amp; Ecology</t>
        </is>
      </c>
      <c r="BN1705" t="inlineStr">
        <is>
          <t>D4QX1</t>
        </is>
      </c>
      <c r="BP1705" t="inlineStr">
        <is>
          <t>Green Published, gold</t>
        </is>
      </c>
      <c r="BS1705" t="inlineStr">
        <is>
          <t>2023-10-26</t>
        </is>
      </c>
      <c r="BT1705" t="inlineStr">
        <is>
          <t>WOS:000968605100001</t>
        </is>
      </c>
      <c r="BU1705">
        <f>HYPERLINK("https%3A%2F%2Fwww.webofscience.com%2Fwos%2Fwoscc%2Ffull-record%2FWOS:000968605100001","View Full Record in Web of Science")</f>
        <v/>
      </c>
    </row>
    <row r="1706">
      <c r="A1706" t="inlineStr">
        <is>
          <t>J</t>
        </is>
      </c>
      <c r="B1706" t="inlineStr">
        <is>
          <t>Li, P; Liu, L</t>
        </is>
      </c>
      <c r="F1706" t="inlineStr">
        <is>
          <t>Li, Pan; Liu, Liu</t>
        </is>
      </c>
      <c r="J1706" t="inlineStr">
        <is>
          <t>JOURNAL OF ENVIRONMENTAL PROTECTION AND ECOLOGY</t>
        </is>
      </c>
      <c r="M1706" t="inlineStr">
        <is>
          <t>English</t>
        </is>
      </c>
      <c r="N1706" t="inlineStr">
        <is>
          <t>Article</t>
        </is>
      </c>
      <c r="T1706" t="inlineStr">
        <is>
          <t>STUDY ON COLLEGE PHYSICAL EDUCATION TEACHERS' ORGANISATIONAL ENVIRONMENT AND EDUCATIONAL TRAINING TRANSFER EFFECTIVENESS</t>
        </is>
      </c>
      <c r="U1706" t="inlineStr">
        <is>
          <t>educational training motivation; organisational environment; school; transfer effectiveness; physical education</t>
        </is>
      </c>
      <c r="V1706" t="inlineStr">
        <is>
          <t>MOTIVATION</t>
        </is>
      </c>
      <c r="W1706" t="inlineStr">
        <is>
          <t>This study aims to test the mediation effect of college Physical education (PE) teachers' educational training motivation on organisational environment and educational training transfer effectiveness. With questionnaire survey, 321 college PE teachers in Sichuan Province are tested educational training motivation scale, organisational environment scale, and educational training transfer effectiveness scale, and the data are analysed with multiple hierarchical regression and Sobel test. The research finds out the mediation effect of PE teachers' participation in educational training motivation on the linear relationship between organisational environment and educational training transfer effectiveness. It is suggested that future research could further explore PE teachers' lack of motivation.</t>
        </is>
      </c>
      <c r="X1706" t="inlineStr">
        <is>
          <t>[Li, Pan] Chengdu Sport Univ, Football Sch, Chengdu 610041, Sichuan, Peoples R China; [Liu, Liu] Sichuan Univ, Sch Phys Educ, Chengdu 610065, Sichuan, Peoples R China</t>
        </is>
      </c>
      <c r="Y1706" t="inlineStr">
        <is>
          <t>Chengdu Sport University; Sichuan University</t>
        </is>
      </c>
      <c r="Z1706" t="inlineStr">
        <is>
          <t>Liu, L (corresponding author), Sichuan Univ, Sch Phys Educ, Chengdu 610065, Sichuan, Peoples R China.</t>
        </is>
      </c>
      <c r="AA1706" t="inlineStr">
        <is>
          <t>liu_liu@scu.edu.cn</t>
        </is>
      </c>
      <c r="AD1706" t="inlineStr">
        <is>
          <t>Fundamental Research Funds for the Central Universities in Sichuan Province</t>
        </is>
      </c>
      <c r="AE1706" t="inlineStr">
        <is>
          <t>Fundamental Research Funds for the Central Universities in Sichuan Province</t>
        </is>
      </c>
      <c r="AF1706" t="inlineStr">
        <is>
          <t>This paper was supported by the Fundamental Research Funds for the Central Universities in Sichuan Province.</t>
        </is>
      </c>
      <c r="AH1706" t="n">
        <v>17</v>
      </c>
      <c r="AI1706" t="n">
        <v>1</v>
      </c>
      <c r="AJ1706" t="n">
        <v>1</v>
      </c>
      <c r="AK1706" t="n">
        <v>0</v>
      </c>
      <c r="AL1706" t="n">
        <v>11</v>
      </c>
      <c r="AM1706" t="inlineStr">
        <is>
          <t>SCIBULCOM LTD</t>
        </is>
      </c>
      <c r="AN1706" t="inlineStr">
        <is>
          <t>SOFIA</t>
        </is>
      </c>
      <c r="AO1706" t="inlineStr">
        <is>
          <t>PO BOX 249, 1113 SOFIA, BULGARIA</t>
        </is>
      </c>
      <c r="AP1706" t="inlineStr">
        <is>
          <t>1311-5065</t>
        </is>
      </c>
      <c r="AS1706" t="inlineStr">
        <is>
          <t>J ENVIRON PROT ECOL</t>
        </is>
      </c>
      <c r="AT1706" t="inlineStr">
        <is>
          <t>J. Environ. Prot. Ecol.</t>
        </is>
      </c>
      <c r="AV1706" t="n">
        <v>2020</v>
      </c>
      <c r="AW1706" t="n">
        <v>21</v>
      </c>
      <c r="AX1706" t="n">
        <v>5</v>
      </c>
      <c r="BC1706" t="n">
        <v>1860</v>
      </c>
      <c r="BD1706" t="n">
        <v>1866</v>
      </c>
      <c r="BJ1706" t="n">
        <v>7</v>
      </c>
      <c r="BK1706" t="inlineStr">
        <is>
          <t>Environmental Sciences</t>
        </is>
      </c>
      <c r="BL1706" t="inlineStr">
        <is>
          <t>Science Citation Index Expanded (SCI-EXPANDED)</t>
        </is>
      </c>
      <c r="BM1706" t="inlineStr">
        <is>
          <t>Environmental Sciences &amp; Ecology</t>
        </is>
      </c>
      <c r="BN1706" t="inlineStr">
        <is>
          <t>OQ4NZ</t>
        </is>
      </c>
      <c r="BS1706" t="inlineStr">
        <is>
          <t>2023-10-26</t>
        </is>
      </c>
      <c r="BT1706" t="inlineStr">
        <is>
          <t>WOS:000588763500030</t>
        </is>
      </c>
      <c r="BU1706">
        <f>HYPERLINK("https%3A%2F%2Fwww.webofscience.com%2Fwos%2Fwoscc%2Ffull-record%2FWOS:000588763500030","View Full Record in Web of Science")</f>
        <v/>
      </c>
    </row>
    <row r="1707">
      <c r="A1707" t="inlineStr">
        <is>
          <t>S</t>
        </is>
      </c>
      <c r="B1707" t="inlineStr">
        <is>
          <t>Rivas, I; Fussell, JC; Kelly, FJ; Querol, X</t>
        </is>
      </c>
      <c r="D1707" t="inlineStr">
        <is>
          <t>Harrison, RM; Hester, RE</t>
        </is>
      </c>
      <c r="F1707" t="inlineStr">
        <is>
          <t>Rivas, Ioar; Fussell, Julia C.; Kelly, Frank J.; Querol, Xavier</t>
        </is>
      </c>
      <c r="J1707" t="inlineStr">
        <is>
          <t>INDOOR AIR POLLUTION</t>
        </is>
      </c>
      <c r="K1707" t="inlineStr">
        <is>
          <t>Issues in Environmental Science and Technology Series</t>
        </is>
      </c>
      <c r="M1707" t="inlineStr">
        <is>
          <t>English</t>
        </is>
      </c>
      <c r="N1707" t="inlineStr">
        <is>
          <t>Article; Book Chapter</t>
        </is>
      </c>
      <c r="T1707" t="inlineStr">
        <is>
          <t>Indoor Sources of Air Pollutants</t>
        </is>
      </c>
      <c r="V1707" t="inlineStr">
        <is>
          <t>ENVIRONMENTAL TOBACCO-SMOKE; POLYCYCLIC AROMATIC-HYDROCARBONS; GAS-PHASE ORGANICS; ULTRAFINE PARTICLE CONCENTRATIONS; BROMINATED FLAME RETARDANTS; TERPENE REACTION-PRODUCTS; FLIGHT MASS-SPECTROMETRY; SOLID-FUEL USE; PARTICULATE MATTER; FINE PARTICLES</t>
        </is>
      </c>
      <c r="W1707" t="inlineStr">
        <is>
          <t>People spend an average of 90% of their time in indoor environments. There is a long list of indoor sources that can contribute to increased pollutant concentrations, some of them related to human activities (e.g. people's movement, cooking, cleaning, smoking), but also to surface chemistry reactions with human skin and building and furniture surfaces. The result of all these emissions is a heterogeneous cocktail of pollutants with varying degrees of toxicity, which makes indoor air quality a complex system. Good characterization of the sources that affect indoor air pollution levels is of major importance for quantifying (and reducing) the associated health risks. This chapter reviews some of the more significant indoor sources that can be found in the most common non-occupational indoor environments.</t>
        </is>
      </c>
      <c r="X1707" t="inlineStr">
        <is>
          <t>[Rivas, Ioar; Fussell, Julia C.; Kelly, Frank J.] Kings Coll London, Sch Populat Hlth &amp; Environm Sci, Dept Analyt Environm &amp; Forens Sci, Franklin Wilkins Bldg,150 Stamford St, London SE1 9NH, England; [Querol, Xavier] IDAEA CSIC, Inst Environm Assessment &amp; Water Res, C Jordi Girona 18-26, Barcelona 08034, Spain</t>
        </is>
      </c>
      <c r="Y1707" t="inlineStr">
        <is>
          <t>University of London; King's College London; Consejo Superior de Investigaciones Cientificas (CSIC); CSIC - Centro de Investigacion y Desarrollo Pascual Vila (CID-CSIC); CSIC - Instituto de Diagnostico Ambiental y Estudios del Agua (IDAEA)</t>
        </is>
      </c>
      <c r="Z1707" t="inlineStr">
        <is>
          <t>Rivas, I (corresponding author), Kings Coll London, Sch Populat Hlth &amp; Environm Sci, Dept Analyt Environm &amp; Forens Sci, Franklin Wilkins Bldg,150 Stamford St, London SE1 9NH, England.</t>
        </is>
      </c>
      <c r="AA1707" t="inlineStr">
        <is>
          <t>ioar.rivas_lara@kcl.ac.uk</t>
        </is>
      </c>
      <c r="AB1707" t="inlineStr">
        <is>
          <t>Querol, Xavier/E-2800-2014; Kelly, Frank/ABG-3411-2021</t>
        </is>
      </c>
      <c r="AC1707" t="inlineStr">
        <is>
          <t>Querol, Xavier/0000-0002-6549-9899; Kelly, Frank/0000-0003-2558-8392</t>
        </is>
      </c>
      <c r="AH1707" t="n">
        <v>199</v>
      </c>
      <c r="AI1707" t="n">
        <v>19</v>
      </c>
      <c r="AJ1707" t="n">
        <v>19</v>
      </c>
      <c r="AK1707" t="n">
        <v>0</v>
      </c>
      <c r="AL1707" t="n">
        <v>6</v>
      </c>
      <c r="AM1707" t="inlineStr">
        <is>
          <t>ROYAL SOC CHEMISTRY</t>
        </is>
      </c>
      <c r="AN1707" t="inlineStr">
        <is>
          <t>CAMBRIDGE</t>
        </is>
      </c>
      <c r="AO1707" t="inlineStr">
        <is>
          <t>THOMAS GRAHAM HOUSE, SCIENCE PARK, CAMBRIDGE CB4 4WF, CAMBS, ENGLAND</t>
        </is>
      </c>
      <c r="AP1707" t="inlineStr">
        <is>
          <t>1350-7583</t>
        </is>
      </c>
      <c r="AR1707" t="inlineStr">
        <is>
          <t>978-1-78801-617-9; 978-1-78801-514-1</t>
        </is>
      </c>
      <c r="AS1707" t="inlineStr">
        <is>
          <t>ISS ENVIRON SCI TECH</t>
        </is>
      </c>
      <c r="AT1707" t="inlineStr">
        <is>
          <t>Iss Environ. Sci. Technol. Ser.</t>
        </is>
      </c>
      <c r="AV1707" t="n">
        <v>2019</v>
      </c>
      <c r="AW1707" t="n">
        <v>48</v>
      </c>
      <c r="BC1707" t="n">
        <v>1</v>
      </c>
      <c r="BD1707" t="n">
        <v>34</v>
      </c>
      <c r="BH1707" t="inlineStr">
        <is>
          <t>10.1039/9781788016179</t>
        </is>
      </c>
      <c r="BJ1707" t="n">
        <v>34</v>
      </c>
      <c r="BK1707" t="inlineStr">
        <is>
          <t>Environmental Sciences</t>
        </is>
      </c>
      <c r="BL1707" t="inlineStr">
        <is>
          <t>Book Citation Index – Science (BKCI-S)</t>
        </is>
      </c>
      <c r="BM1707" t="inlineStr">
        <is>
          <t>Environmental Sciences &amp; Ecology</t>
        </is>
      </c>
      <c r="BN1707" t="inlineStr">
        <is>
          <t>BO5PM</t>
        </is>
      </c>
      <c r="BP1707" t="inlineStr">
        <is>
          <t>Green Submitted</t>
        </is>
      </c>
      <c r="BS1707" t="inlineStr">
        <is>
          <t>2023-10-26</t>
        </is>
      </c>
      <c r="BT1707" t="inlineStr">
        <is>
          <t>WOS:000518621300002</t>
        </is>
      </c>
      <c r="BU1707">
        <f>HYPERLINK("https%3A%2F%2Fwww.webofscience.com%2Fwos%2Fwoscc%2Ffull-record%2FWOS:000518621300002","View Full Record in Web of Science")</f>
        <v/>
      </c>
    </row>
    <row r="1708">
      <c r="A1708" t="inlineStr">
        <is>
          <t>J</t>
        </is>
      </c>
      <c r="B1708" t="inlineStr">
        <is>
          <t>Fang, CY; Homma, R; Liu, Q; Liu, H; Ridwan, ASS</t>
        </is>
      </c>
      <c r="F1708" t="inlineStr">
        <is>
          <t>Fang, Congying; Homma, Riken; Liu, Qiang; Liu, Hang; Ridwan, Arbi Surya Satria</t>
        </is>
      </c>
      <c r="J1708" t="inlineStr">
        <is>
          <t>SUSTAINABILITY</t>
        </is>
      </c>
      <c r="M1708" t="inlineStr">
        <is>
          <t>English</t>
        </is>
      </c>
      <c r="N1708" t="inlineStr">
        <is>
          <t>Article</t>
        </is>
      </c>
      <c r="T1708" t="inlineStr">
        <is>
          <t>Research on the Factors of Pedestrian Volume in Different Functional Areas of Kumamoto City</t>
        </is>
      </c>
      <c r="U1708" t="inlineStr">
        <is>
          <t>built environment; pedestrian volume; walkability; street view images; Geodetector</t>
        </is>
      </c>
      <c r="V1708" t="inlineStr">
        <is>
          <t>BUILT ENVIRONMENT; PHYSICAL-ACTIVITY; LAND-USE; RESIDENTIAL DENSITY; URBAN FORM; WALKING; TRAVEL; DIVERSITY; EMISSIONS; DESIGN</t>
        </is>
      </c>
      <c r="W1708" t="inlineStr">
        <is>
          <t>Improving urban walkability is critical to the long-term development of cities. Although previous studies have demonstrated a relationship between the built environment and walking, an approach that can control the exploration of different functional areas has not yet been discussed. In this study, built environment features include density, design, diversity, destination accessibility, and distance to transit. Geodetector and regression methods were used to investigate the impact of the built environmental features on pedestrian volume in different functional areas of Kumamoto City. It was found there were various dominant features for the different functional areas in the city, including the city center (diversity, design, and density), local hubs (destination accessibility, density, and distance to transit), living hubs (density, design, and distance to transit), UPA (diversity, design, and distance to transit), UCA (density, density, and design), and NPA (density). Additionally, population density and land use diversity in the overly dense population area were negatively related to pedestrian volume. This study complements research on pedestrians and the built environment in different functional areas, and provides advice for the urban planners and government of Kumamoto City.</t>
        </is>
      </c>
      <c r="X1708" t="inlineStr">
        <is>
          <t>[Fang, Congying; Ridwan, Arbi Surya Satria] Kumamoto Univ, Grad Sch Sci &amp; Technol, Chuo Ku, 2-39-1 Kurokami, Kumamoto 8608555, Japan; [Homma, Riken; Liu, Qiang] Kumamoto Univ, Fac Adv Sci &amp; Technol, Chuo Ku, 2-39-1 Kurokami, Kumamoto 8608555, Japan; [Liu, Qiang] Inst Policy Res, Chuo Ku, 9-24 Hanabata, Kumamoto 8608555, Japan; [Liu, Hang] Zhejiang Gongshang Univ, Sch Tourism &amp; Urban Rural Planning, Hangzhou 310018, Peoples R China</t>
        </is>
      </c>
      <c r="Y1708" t="inlineStr">
        <is>
          <t>Kumamoto University; Kumamoto University; Zhejiang Gongshang University</t>
        </is>
      </c>
      <c r="Z1708" t="inlineStr">
        <is>
          <t>Fang, CY (corresponding author), Kumamoto Univ, Grad Sch Sci &amp; Technol, Chuo Ku, 2-39-1 Kurokami, Kumamoto 8608555, Japan.</t>
        </is>
      </c>
      <c r="AA1708" t="inlineStr">
        <is>
          <t>fangcy1996@126.com</t>
        </is>
      </c>
      <c r="AB1708" t="inlineStr">
        <is>
          <t>HOMMA, RIKEN/IVV-5569-2023; Liu, Qiang/HHZ-3181-2022; liu, hang/JFA-1530-2023</t>
        </is>
      </c>
      <c r="AC1708" t="inlineStr">
        <is>
          <t>liu, hang/0000-0002-3501-6016; Liu, Qiang/0000-0001-9736-7084; FANG, Congying/0000-0002-7386-6740</t>
        </is>
      </c>
      <c r="AD1708" t="inlineStr">
        <is>
          <t>China Scholarship Council (CSC) [202108050061]; Riken Homma laboratory, Graduate School of Science and Technology, Kumamoto University</t>
        </is>
      </c>
      <c r="AE1708" t="inlineStr">
        <is>
          <t>China Scholarship Council (CSC)(China Scholarship Council); Riken Homma laboratory, Graduate School of Science and Technology, Kumamoto University</t>
        </is>
      </c>
      <c r="AF1708" t="inlineStr">
        <is>
          <t>The support provided by the China Scholarship Council (CSC No.202108050061) and the Riken Homma laboratory, Graduate School of Science and Technology, Kumamoto University.</t>
        </is>
      </c>
      <c r="AH1708" t="n">
        <v>53</v>
      </c>
      <c r="AI1708" t="n">
        <v>0</v>
      </c>
      <c r="AJ1708" t="n">
        <v>0</v>
      </c>
      <c r="AK1708" t="n">
        <v>3</v>
      </c>
      <c r="AL1708" t="n">
        <v>8</v>
      </c>
      <c r="AM1708" t="inlineStr">
        <is>
          <t>MDPI</t>
        </is>
      </c>
      <c r="AN1708" t="inlineStr">
        <is>
          <t>BASEL</t>
        </is>
      </c>
      <c r="AO1708" t="inlineStr">
        <is>
          <t>ST ALBAN-ANLAGE 66, CH-4052 BASEL, SWITZERLAND</t>
        </is>
      </c>
      <c r="AQ1708" t="inlineStr">
        <is>
          <t>2071-1050</t>
        </is>
      </c>
      <c r="AS1708" t="inlineStr">
        <is>
          <t>SUSTAINABILITY-BASEL</t>
        </is>
      </c>
      <c r="AT1708" t="inlineStr">
        <is>
          <t>Sustainability</t>
        </is>
      </c>
      <c r="AU1708" t="inlineStr">
        <is>
          <t>SEP</t>
        </is>
      </c>
      <c r="AV1708" t="n">
        <v>2022</v>
      </c>
      <c r="AW1708" t="n">
        <v>14</v>
      </c>
      <c r="AX1708" t="n">
        <v>18</v>
      </c>
      <c r="BE1708" t="n">
        <v>11636</v>
      </c>
      <c r="BF1708" t="inlineStr">
        <is>
          <t>10.3390/su141811636</t>
        </is>
      </c>
      <c r="BG1708">
        <f>HYPERLINK("http://dx.doi.org/10.3390/su141811636","http://dx.doi.org/10.3390/su141811636")</f>
        <v/>
      </c>
      <c r="BJ1708" t="n">
        <v>20</v>
      </c>
      <c r="BK1708" t="inlineStr">
        <is>
          <t>Green &amp; Sustainable Science &amp; Technology; Environmental Sciences; Environmental Studies</t>
        </is>
      </c>
      <c r="BL1708" t="inlineStr">
        <is>
          <t>Science Citation Index Expanded (SCI-EXPANDED); Social Science Citation Index (SSCI)</t>
        </is>
      </c>
      <c r="BM1708" t="inlineStr">
        <is>
          <t>Science &amp; Technology - Other Topics; Environmental Sciences &amp; Ecology</t>
        </is>
      </c>
      <c r="BN1708" t="inlineStr">
        <is>
          <t>4U5IA</t>
        </is>
      </c>
      <c r="BP1708" t="inlineStr">
        <is>
          <t>gold</t>
        </is>
      </c>
      <c r="BS1708" t="inlineStr">
        <is>
          <t>2023-10-26</t>
        </is>
      </c>
      <c r="BT1708" t="inlineStr">
        <is>
          <t>WOS:000858826000001</t>
        </is>
      </c>
      <c r="BU1708">
        <f>HYPERLINK("https%3A%2F%2Fwww.webofscience.com%2Fwos%2Fwoscc%2Ffull-record%2FWOS:000858826000001","View Full Record in Web of Science")</f>
        <v/>
      </c>
    </row>
    <row r="1709">
      <c r="A1709" t="inlineStr">
        <is>
          <t>J</t>
        </is>
      </c>
      <c r="B1709" t="inlineStr">
        <is>
          <t>Lodge, EK; Martin, CL; Fry, RC; White, AJ; Ward-Caviness, CK; Galea, S; Aiello, AE</t>
        </is>
      </c>
      <c r="F1709" t="inlineStr">
        <is>
          <t>Lodge, Evans K.; Martin, Chantel L.; Fry, Rebecca C.; White, Alexandra J.; Ward-Caviness, Cavin K.; Galea, Sandro; Aiello, Allison E.</t>
        </is>
      </c>
      <c r="J1709" t="inlineStr">
        <is>
          <t>JOURNAL OF EXPOSURE SCIENCE AND ENVIRONMENTAL EPIDEMIOLOGY</t>
        </is>
      </c>
      <c r="M1709" t="inlineStr">
        <is>
          <t>English</t>
        </is>
      </c>
      <c r="N1709" t="inlineStr">
        <is>
          <t>Article</t>
        </is>
      </c>
      <c r="T1709" t="inlineStr">
        <is>
          <t>Objectively measured external building quality, Census housing vacancies and age, and serum metals in an adult cohort in Detroit, Michigan</t>
        </is>
      </c>
      <c r="U1709" t="inlineStr">
        <is>
          <t>Lead; Housing vacancies; Urban blight; Building quality</t>
        </is>
      </c>
      <c r="V1709" t="inlineStr">
        <is>
          <t>STRUCTURAL RACISM; LEAD; HEALTH; EXPOSURE; SOIL</t>
        </is>
      </c>
      <c r="W1709" t="inlineStr">
        <is>
          <t>Background Residentially derived lead pollution remains a significant problem in urban areas across the country and globe. The risks of childhood residence in housing contaminated with lead-based paint are well-established, but less is known about the effects of housing quality on adult lead exposure. Objective To evaluate the effects of residential-area housing age, vacancy status, and building quality on adult lead exposures. Methods We evaluated the effect of Census block group housing vacancy proportion, block group housing age, and in-person survey evaluated neighborhood building quality on serum levels of lead, mercury, manganese, and copper among a representative cohort of adults in Detroit, Michigan, from 2008-2013 using generalized estimating equations. Results Participants in Census block groups with higher proportions of vacant and aged housing had non-significantly elevated serum lead levels. We identified similar positive associations between residence in neighborhoods with poorer objectively measured building quality and serum lead. Associations between Census vacancies, housing age, objectively measured building quality, and serum lead were stronger among participants with a more stable residential history. Significance Vacant, aged, and poorly maintained housing may contribute to widespread, low-level lead exposure among adult residents of older cities like Detroit, Michigan. US Census and neighborhood quality data may be a useful tool to identify population-level lead exposures among US adults. Impact Using longitudinal data from a representative cohort of adults in Detroit, Michigan, we demonstrate that Census data regarding housing vacancies and age and neighborhood survey data regarding housing quality are associated with increasing serum lead levels. Previous research has primarily focused on housing quality and lead exposures among children. Here, we demonstrate that area-level metrics of housing quality are associated with lead exposures among adults.</t>
        </is>
      </c>
      <c r="X1709" t="inlineStr">
        <is>
          <t>[Lodge, Evans K.; Martin, Chantel L.; Aiello, Allison E.] Univ N Carolina, Dept Epidemiol, Gillings Sch Global Publ Hlth, Chapel Hill, NC 27515 USA; [Lodge, Evans K.; Martin, Chantel L.; Aiello, Allison E.] Univ N Carolina, Carolina Populat Ctr, Chapel Hill, NC 27515 USA; [Lodge, Evans K.] Univ N Carolina, Sch Med, Chapel Hill, NC 27515 USA; [Martin, Chantel L.; Fry, Rebecca C.] Univ N Carolina, Ctr Environm Hlth &amp; Susceptibil, Chapel Hill, NC 27515 USA; [Fry, Rebecca C.] Univ N Carolina, Dept Environm Sci &amp; Engn, Gillings Sch Global Publ Hlth, Chapel Hill, NC 27515 USA; [White, Alexandra J.] NIEHS, Epidemiol Branch, Res Triangle Pk, NC 27709 USA; [Ward-Caviness, Cavin K.] US EPA, Ctr Publ Hlth &amp; Environm Assessment, Chapel Hill, NC USA; [Galea, Sandro] Boston Univ, Sch Publ Hlth, Boston, MA USA</t>
        </is>
      </c>
      <c r="Y1709" t="inlineStr">
        <is>
          <t>University of North Carolina; University of North Carolina Chapel Hill; University of North Carolina; University of North Carolina Chapel Hill; University of North Carolina; University of North Carolina Chapel Hill; University of North Carolina School of Medicine; University of North Carolina; University of North Carolina Chapel Hill; University of North Carolina; University of North Carolina Chapel Hill; National Institutes of Health (NIH) - USA; NIH National Institute of Environmental Health Sciences (NIEHS); United States Environmental Protection Agency; Boston University</t>
        </is>
      </c>
      <c r="Z1709" t="inlineStr">
        <is>
          <t>Lodge, EK (corresponding author), Univ N Carolina, Dept Epidemiol, Gillings Sch Global Publ Hlth, Chapel Hill, NC 27515 USA.;Lodge, EK (corresponding author), Univ N Carolina, Carolina Populat Ctr, Chapel Hill, NC 27515 USA.;Lodge, EK (corresponding author), Univ N Carolina, Sch Med, Chapel Hill, NC 27515 USA.</t>
        </is>
      </c>
      <c r="AA1709" t="inlineStr">
        <is>
          <t>evans_lodge@med.unc.edu</t>
        </is>
      </c>
      <c r="AB1709" t="inlineStr">
        <is>
          <t>Galea, Sandro/GLR-6066-2022; White, Alexandra J/D-9687-2019; Fry, Rebecca/HPF-3546-2023</t>
        </is>
      </c>
      <c r="AC1709" t="inlineStr">
        <is>
          <t>White, Alexandra J/0000-0003-2455-2945; Fry, Rebecca/0000-0003-0899-9018; Lodge, Evans/0000-0002-2222-5441</t>
        </is>
      </c>
      <c r="AD1709" t="inlineStr">
        <is>
          <t>National Institute on Drug Abuse [R01 DA022720]; National Institute on Minority Health and Health Disparities [R01 MD011728]; 2018 UNC Center for Environmental Health and Susceptibility Pilot Project [P30 ES010126]; Carolina Population Center Population Research Training Grant (Eunice Kennedy Shriver National Institute of Child Health and Human Development) [T32 ES007018]; F30 fellowship (National Institute of Environmental Health Sciences) [F30 ES032302]; intramural program of the NIEHS [ZIAES103332]; Biostatistics for Research in Environmental Health Training Grant (National Institute of Environmental Health Sciences) [T32 ES007018]</t>
        </is>
      </c>
      <c r="AE1709" t="inlineStr">
        <is>
          <t>National Institute on Drug Abuse(United States Department of Health &amp; Human ServicesNational Institutes of Health (NIH) - USANIH National Institute on Drug Abuse (NIDA)); National Institute on Minority Health and Health Disparities(United States Department of Health &amp; Human ServicesNational Institutes of Health (NIH) - USANIH National Institute on Minority Health &amp; Health Disparities (NIMHD)); 2018 UNC Center for Environmental Health and Susceptibility Pilot Project; Carolina Population Center Population Research Training Grant (Eunice Kennedy Shriver National Institute of Child Health and Human Development); F30 fellowship (National Institute of Environmental Health Sciences); intramural program of the NIEHS; Biostatistics for Research in Environmental Health Training Grant (National Institute of Environmental Health Sciences)</t>
        </is>
      </c>
      <c r="AF1709" t="inlineStr">
        <is>
          <t>The Detroit Neighborhood Health Study was supported by the National Institute on Drug Abuse (R01 DA022720) and the National Institute on Minority Health and Health Disparities (R01 MD011728). Funds for serum testing of Pb, Hg, Mn, and Cu were provided by a 2018 UNC Center for Environmental Health and Susceptibility Pilot Project (P30 ES010126). Lodge was supported by the Biostatistics for Research in Environmental Health Training Grant (T32 ES007018, National Institute of Environmental Health Sciences), the Carolina Population Center Population Research Training Grant (T32 HD007168, Eunice Kennedy Shriver National Institute of Child Health and Human Development), and an F30 fellowship (F30 ES032302, National Institute of Environmental Health Sciences). This research is funded in part by the intramural program of the NIEHS (ZIAES103332).</t>
        </is>
      </c>
      <c r="AH1709" t="n">
        <v>52</v>
      </c>
      <c r="AI1709" t="n">
        <v>0</v>
      </c>
      <c r="AJ1709" t="n">
        <v>0</v>
      </c>
      <c r="AK1709" t="n">
        <v>1</v>
      </c>
      <c r="AL1709" t="n">
        <v>5</v>
      </c>
      <c r="AM1709" t="inlineStr">
        <is>
          <t>SPRINGERNATURE</t>
        </is>
      </c>
      <c r="AN1709" t="inlineStr">
        <is>
          <t>LONDON</t>
        </is>
      </c>
      <c r="AO1709" t="inlineStr">
        <is>
          <t>CAMPUS, 4 CRINAN ST, LONDON, N1 9XW, ENGLAND</t>
        </is>
      </c>
      <c r="AP1709" t="inlineStr">
        <is>
          <t>1559-0631</t>
        </is>
      </c>
      <c r="AQ1709" t="inlineStr">
        <is>
          <t>1559-064X</t>
        </is>
      </c>
      <c r="AS1709" t="inlineStr">
        <is>
          <t>J EXPO SCI ENV EPID</t>
        </is>
      </c>
      <c r="AT1709" t="inlineStr">
        <is>
          <t>J. Expo. Sci. Environ. Epidemiol.</t>
        </is>
      </c>
      <c r="AU1709" t="inlineStr">
        <is>
          <t>MAR</t>
        </is>
      </c>
      <c r="AV1709" t="n">
        <v>2023</v>
      </c>
      <c r="AW1709" t="n">
        <v>33</v>
      </c>
      <c r="AX1709" t="n">
        <v>2</v>
      </c>
      <c r="BC1709" t="n">
        <v>177</v>
      </c>
      <c r="BD1709" t="n">
        <v>186</v>
      </c>
      <c r="BF1709" t="inlineStr">
        <is>
          <t>10.1038/s41370-022-00447-4</t>
        </is>
      </c>
      <c r="BG1709">
        <f>HYPERLINK("http://dx.doi.org/10.1038/s41370-022-00447-4","http://dx.doi.org/10.1038/s41370-022-00447-4")</f>
        <v/>
      </c>
      <c r="BI1709" t="inlineStr">
        <is>
          <t>MAY 2022</t>
        </is>
      </c>
      <c r="BJ1709" t="n">
        <v>10</v>
      </c>
      <c r="BK1709" t="inlineStr">
        <is>
          <t>Environmental Sciences; Public, Environmental &amp; Occupational Health; Toxicology</t>
        </is>
      </c>
      <c r="BL1709" t="inlineStr">
        <is>
          <t>Science Citation Index Expanded (SCI-EXPANDED)</t>
        </is>
      </c>
      <c r="BM1709" t="inlineStr">
        <is>
          <t>Environmental Sciences &amp; Ecology; Public, Environmental &amp; Occupational Health; Toxicology</t>
        </is>
      </c>
      <c r="BN1709" t="inlineStr">
        <is>
          <t>9W0CZ</t>
        </is>
      </c>
      <c r="BO1709" t="n">
        <v>35577901</v>
      </c>
      <c r="BP1709" t="inlineStr">
        <is>
          <t>Green Accepted</t>
        </is>
      </c>
      <c r="BS1709" t="inlineStr">
        <is>
          <t>2023-10-26</t>
        </is>
      </c>
      <c r="BT1709" t="inlineStr">
        <is>
          <t>WOS:000799438600001</t>
        </is>
      </c>
      <c r="BU1709">
        <f>HYPERLINK("https%3A%2F%2Fwww.webofscience.com%2Fwos%2Fwoscc%2Ffull-record%2FWOS:000799438600001","View Full Record in Web of Science")</f>
        <v/>
      </c>
    </row>
    <row r="1710">
      <c r="A1710" t="inlineStr">
        <is>
          <t>J</t>
        </is>
      </c>
      <c r="B1710" t="inlineStr">
        <is>
          <t>Kimura, Y; Akasaka, H; Takahashi, T; Yasumoto, S; Kamide, K; Ikebe, K; Kabayama, M; Kasuga, A; Rakugi, H; Gondo, Y</t>
        </is>
      </c>
      <c r="F1710" t="inlineStr">
        <is>
          <t>Kimura, Yumi; Akasaka, Hiroshi; Takahashi, Toshihito; Yasumoto, Saori; Kamide, Kei; Ikebe, Kazunori; Kabayama, Mai; Kasuga, Ayaka; Rakugi, Hiromi; Gondo, Yasuyuki</t>
        </is>
      </c>
      <c r="J1710" t="inlineStr">
        <is>
          <t>INTERNATIONAL JOURNAL OF ENVIRONMENTAL RESEARCH AND PUBLIC HEALTH</t>
        </is>
      </c>
      <c r="M1710" t="inlineStr">
        <is>
          <t>English</t>
        </is>
      </c>
      <c r="N1710" t="inlineStr">
        <is>
          <t>Article</t>
        </is>
      </c>
      <c r="T1710" t="inlineStr">
        <is>
          <t>Factors Related to Preventive Behaviors against a Decline in Physical Fitness among Community-Dwelling Older Adults during the COVID-19 Pandemic: A Qualitative Study</t>
        </is>
      </c>
      <c r="U1710" t="inlineStr">
        <is>
          <t>preventive behaviors; older adults; physical fitness; frailty; sarcopenia</t>
        </is>
      </c>
      <c r="V1710" t="inlineStr">
        <is>
          <t>SELF-EFFICACY; EXERCISE; BARRIERS; FRAILTY; RISK</t>
        </is>
      </c>
      <c r="W1710" t="inlineStr">
        <is>
          <t>Older adults face the concern of developing frailty and sarcopenia due to an inactive lifestyle during the coronavirus disease 2019 (COVID-19) pandemic. This study aimed to reveal the preventive behaviors taken by older adults who perceived a decline in physical fitness during COVID-19 and analyze the background factors which promoted such behaviors using a qualitative study design in 2020. The participants were recruited through the cohort study of Japanese older adults who were aged 79-81 and had not been diagnosed with sarcopenia previously in 2019 and perceived their physical fitness to have declined during the pandemic. The interviews of 19 participants were analyzed using thematic analysis. The participants engaged in five types of preventive behaviors to counter declining physical fitness: walking, exercising at home, improving daily diet, maintaining a daily routine, and taking a good rest. Four themes were extracted pertaining to backgrounds of such preventive behaviors: feeling anxiety and mental pressure, available networks with family and neighbors, prior experiences of behaviors, and access to information. Anxiety due to lifestyle changes during the pandemic was the primary reason for the behaviors. This study can be a useful guide for undertaking possible measures to prevent frailty during future pandemics.</t>
        </is>
      </c>
      <c r="X1710" t="inlineStr">
        <is>
          <t>[Kimura, Yumi; Yasumoto, Saori; Kasuga, Ayaka; Gondo, Yasuyuki] Osaka Univ, Grad Sch Human Sci, Suita, Osaka 5650871, Japan; [Akasaka, Hiroshi; Rakugi, Hiromi] Osaka Univ, Grad Sch Med, Dept Geriatr &amp; Gen Med, Suita, Osaka 5650871, Japan; [Takahashi, Toshihito; Ikebe, Kazunori] Osaka Univ, Grad Sch Dent, Dept Prosthodont, Oral Rehabil, Suita, Osaka 5650871, Japan; [Kamide, Kei; Kabayama, Mai] Osaka Univ, Grad Sch Med, Dept Hlth Promot Syst Sci, Div Hlth Sci, Suita, Osaka 5650871, Japan</t>
        </is>
      </c>
      <c r="Y1710" t="inlineStr">
        <is>
          <t>Osaka University; Osaka University; Osaka University; Osaka University</t>
        </is>
      </c>
      <c r="Z1710" t="inlineStr">
        <is>
          <t>Kimura, Y (corresponding author), Osaka Univ, Grad Sch Human Sci, Suita, Osaka 5650871, Japan.</t>
        </is>
      </c>
      <c r="AA1710" t="inlineStr">
        <is>
          <t>yumi621@hus.osaka-u.ac.jp; akasaka@geriat.med.osaka-u.ac.jp; toshi-t@dent.osaka-u.ac.jp; syasumoto@hus.osaka-u.ac.jp; kamide@geriat.med.osaka-u.ac.jp; ikebe@dent.osaka-u.ac.jp; kabayama@sahs.med.osaka-u.ac.jp; ayaka826spring.sun@gmail.com; rakugi@geriat.med.osaka-u.ac.jp; y.gondo.hus@osaka-u.ac.jp</t>
        </is>
      </c>
      <c r="AD1710" t="inlineStr">
        <is>
          <t>Osaka University; Japan Society for the Promotion of Science [19K21587, 19H04352, 19H05735]; Grants-in-Aid for Scientific Research [19H04352, 19K21587, 19H05735] Funding Source: KAKEN</t>
        </is>
      </c>
      <c r="AE1710" t="inlineStr">
        <is>
          <t>Osaka University; Japan Society for the Promotion of Science(Ministry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is>
      </c>
      <c r="AF1710" t="inlineStr">
        <is>
          <t>The study was funded by the Support Program for Interdisciplinary Research of Osaka University 2019-2021, and partly supported by a Grant-in-Aid for Scientific Research (project number: 19K21587, 19H04352 and 19H05735) from the Japan Society for the Promotion of Science.</t>
        </is>
      </c>
      <c r="AH1710" t="n">
        <v>42</v>
      </c>
      <c r="AI1710" t="n">
        <v>2</v>
      </c>
      <c r="AJ1710" t="n">
        <v>2</v>
      </c>
      <c r="AK1710" t="n">
        <v>0</v>
      </c>
      <c r="AL1710" t="n">
        <v>8</v>
      </c>
      <c r="AM1710" t="inlineStr">
        <is>
          <t>MDPI</t>
        </is>
      </c>
      <c r="AN1710" t="inlineStr">
        <is>
          <t>BASEL</t>
        </is>
      </c>
      <c r="AO1710" t="inlineStr">
        <is>
          <t>ST ALBAN-ANLAGE 66, CH-4052 BASEL, SWITZERLAND</t>
        </is>
      </c>
      <c r="AQ1710" t="inlineStr">
        <is>
          <t>1660-4601</t>
        </is>
      </c>
      <c r="AS1710" t="inlineStr">
        <is>
          <t>INT J ENV RES PUB HE</t>
        </is>
      </c>
      <c r="AT1710" t="inlineStr">
        <is>
          <t>Int. J. Environ. Res. Public Health</t>
        </is>
      </c>
      <c r="AU1710" t="inlineStr">
        <is>
          <t>MAY</t>
        </is>
      </c>
      <c r="AV1710" t="n">
        <v>2022</v>
      </c>
      <c r="AW1710" t="n">
        <v>19</v>
      </c>
      <c r="AX1710" t="n">
        <v>10</v>
      </c>
      <c r="BE1710" t="n">
        <v>6008</v>
      </c>
      <c r="BF1710" t="inlineStr">
        <is>
          <t>10.3390/ijerph19106008</t>
        </is>
      </c>
      <c r="BG1710">
        <f>HYPERLINK("http://dx.doi.org/10.3390/ijerph19106008","http://dx.doi.org/10.3390/ijerph19106008")</f>
        <v/>
      </c>
      <c r="BJ1710" t="n">
        <v>12</v>
      </c>
      <c r="BK1710" t="inlineStr">
        <is>
          <t>Environmental Sciences; Public, Environmental &amp; Occupational Health</t>
        </is>
      </c>
      <c r="BL1710" t="inlineStr">
        <is>
          <t>Science Citation Index Expanded (SCI-EXPANDED); Social Science Citation Index (SSCI)</t>
        </is>
      </c>
      <c r="BM1710" t="inlineStr">
        <is>
          <t>Environmental Sciences &amp; Ecology; Public, Environmental &amp; Occupational Health</t>
        </is>
      </c>
      <c r="BN1710" t="inlineStr">
        <is>
          <t>1R4HY</t>
        </is>
      </c>
      <c r="BO1710" t="n">
        <v>35627545</v>
      </c>
      <c r="BP1710" t="inlineStr">
        <is>
          <t>Green Published, gold</t>
        </is>
      </c>
      <c r="BS1710" t="inlineStr">
        <is>
          <t>2023-10-26</t>
        </is>
      </c>
      <c r="BT1710" t="inlineStr">
        <is>
          <t>WOS:000803333000001</t>
        </is>
      </c>
      <c r="BU1710">
        <f>HYPERLINK("https%3A%2F%2Fwww.webofscience.com%2Fwos%2Fwoscc%2Ffull-record%2FWOS:000803333000001","View Full Record in Web of Science")</f>
        <v/>
      </c>
    </row>
    <row r="1711">
      <c r="A1711" t="inlineStr">
        <is>
          <t>J</t>
        </is>
      </c>
      <c r="B1711" t="inlineStr">
        <is>
          <t>Zhang, BH; Ying, L; Khan, MA; Ali, M; Barykin, S; Jahanzeb, A</t>
        </is>
      </c>
      <c r="F1711" t="inlineStr">
        <is>
          <t>Zhang, Bohan; Ying, Li; Khan, Muhammad Asghar; Ali, Madad; Barykin, Sergey; Jahanzeb, Agha</t>
        </is>
      </c>
      <c r="J1711" t="inlineStr">
        <is>
          <t>SUSTAINABILITY</t>
        </is>
      </c>
      <c r="M1711" t="inlineStr">
        <is>
          <t>English</t>
        </is>
      </c>
      <c r="N1711" t="inlineStr">
        <is>
          <t>Article</t>
        </is>
      </c>
      <c r="T1711" t="inlineStr">
        <is>
          <t>Sustainable Digital Marketing: Factors of Adoption of M-Technologies by Older Adults in the Chinese Market</t>
        </is>
      </c>
      <c r="U1711" t="inlineStr">
        <is>
          <t>perceived value; effort expectancy; performance expectancy; intention; M-technology; older Chinese adults</t>
        </is>
      </c>
      <c r="V1711" t="inlineStr">
        <is>
          <t>PERCEIVED VALUE; USER ACCEPTANCE; SOCIAL MEDIA; INTERNET USE; E-GOVERNMENT; FACILITATING CONDITIONS; INFORMATION-TECHNOLOGY; MODERATING ROLE; MODEL; DIFFUSION</t>
        </is>
      </c>
      <c r="W1711" t="inlineStr">
        <is>
          <t>A rapidly graying population has coincided with the widespread use of information technology (IT) since the turn of the 20th century. As the elderly are less familiar with IT, paying attention to the acceptance of the rapidly evolving digital marketing ecosystem is essential. Engagement with consumers and M-technologies is one of the most significant aspects of the digital marketing environment. The technology acceptance model (TAM) and the theory of planned behavior (TPB) were used to develop the theoretical framework of this study. Using technological anxiety as a moderating variable, we tested the theoretical model linking perceived value, subjective norm, effort expectancy, performance expectancy, and self-efficacy to measure older adults' attitudes and intentions toward M-technology. Sample sizes of 251 respondents were selected with 95% confidence. To analyze the relationships between the variables proposed, structural equation modeling (SEM) was implemented. The results revealed that perceived value positively affects performance expectancy, effort expectancy, self-efficacy, subjective norm, attitude, and intention to adopt M-technology. Furthermore, technology anxiety moderated the effect of intention toward M-technology. The results explain that technology anxiety dampens the positive impact of the attitude of older adults on their intention to adopt M-technology. Managers must address this issue while developing marketing strategies for elderly consumers.</t>
        </is>
      </c>
      <c r="X1711" t="inlineStr">
        <is>
          <t>[Zhang, Bohan] Univ Bristol, Sch Engn, Bristol BS8 1TH, England; [Ying, Li] Ningxia Univ, Sch Econ &amp; Management, Yinchuan 750021, Peoples R China; [Khan, Muhammad Asghar] Panzhihua Univ, Sch Econ &amp; Management, Panzhihua 617000, Peoples R China; [Ali, Madad] Qujing Normal Univ, Sch Econ &amp; Management, Qujing 655011, Peoples R China; [Barykin, Sergey] Petersburg Polytech Univ, Peter Great St Sergey Barykin Grad Sch Sci &amp; Trade, St Petersburg 195251, Russia; [Jahanzeb, Agha] Sukkur IBA Univ, Dept Business Adm, Sukkur 65200, Pakistan</t>
        </is>
      </c>
      <c r="Y1711" t="inlineStr">
        <is>
          <t>University of Bristol; Ningxia University; Panzhihua University; Peter the Great St. Petersburg Polytechnic University; Sukkur IBA University</t>
        </is>
      </c>
      <c r="Z1711" t="inlineStr">
        <is>
          <t>Ying, L (corresponding author), Ningxia Univ, Sch Econ &amp; Management, Yinchuan 750021, Peoples R China.</t>
        </is>
      </c>
      <c r="AA1711" t="inlineStr">
        <is>
          <t>liying@nxu.edu.cn</t>
        </is>
      </c>
      <c r="AB1711" t="inlineStr">
        <is>
          <t>Barykin, Sergey/G-2859-2018; KHAN, MUHAMMAD ASGHAR/B-6427-2017</t>
        </is>
      </c>
      <c r="AC1711" t="inlineStr">
        <is>
          <t>Barykin, Sergey/0000-0002-9048-009X; KHAN, MUHAMMAD ASGHAR/0000-0002-1210-876X</t>
        </is>
      </c>
      <c r="AD1711" t="inlineStr">
        <is>
          <t>Ministry of Science and Higher Education of the Russian Federation [075-15-2021-1333]</t>
        </is>
      </c>
      <c r="AE1711" t="inlineStr">
        <is>
          <t>Ministry of Science and Higher Education of the Russian Federation</t>
        </is>
      </c>
      <c r="AF1711" t="inlineStr">
        <is>
          <t>The Russian Ministry of Science and Higher Education funded V.Y.'s research as part of the Priority 2030 strategic academic leadership program (Agreement 075-15-2021-1333, dated 30 September 2021).</t>
        </is>
      </c>
      <c r="AH1711" t="n">
        <v>113</v>
      </c>
      <c r="AI1711" t="n">
        <v>2</v>
      </c>
      <c r="AJ1711" t="n">
        <v>2</v>
      </c>
      <c r="AK1711" t="n">
        <v>17</v>
      </c>
      <c r="AL1711" t="n">
        <v>23</v>
      </c>
      <c r="AM1711" t="inlineStr">
        <is>
          <t>MDPI</t>
        </is>
      </c>
      <c r="AN1711" t="inlineStr">
        <is>
          <t>BASEL</t>
        </is>
      </c>
      <c r="AO1711" t="inlineStr">
        <is>
          <t>ST ALBAN-ANLAGE 66, CH-4052 BASEL, SWITZERLAND</t>
        </is>
      </c>
      <c r="AQ1711" t="inlineStr">
        <is>
          <t>2071-1050</t>
        </is>
      </c>
      <c r="AS1711" t="inlineStr">
        <is>
          <t>SUSTAINABILITY-BASEL</t>
        </is>
      </c>
      <c r="AT1711" t="inlineStr">
        <is>
          <t>Sustainability</t>
        </is>
      </c>
      <c r="AU1711" t="inlineStr">
        <is>
          <t>FEB</t>
        </is>
      </c>
      <c r="AV1711" t="n">
        <v>2023</v>
      </c>
      <c r="AW1711" t="n">
        <v>15</v>
      </c>
      <c r="AX1711" t="n">
        <v>3</v>
      </c>
      <c r="BE1711" t="n">
        <v>1972</v>
      </c>
      <c r="BF1711" t="inlineStr">
        <is>
          <t>10.3390/su15031972</t>
        </is>
      </c>
      <c r="BG1711">
        <f>HYPERLINK("http://dx.doi.org/10.3390/su15031972","http://dx.doi.org/10.3390/su15031972")</f>
        <v/>
      </c>
      <c r="BJ1711" t="n">
        <v>19</v>
      </c>
      <c r="BK1711" t="inlineStr">
        <is>
          <t>Green &amp; Sustainable Science &amp; Technology; Environmental Sciences; Environmental Studies</t>
        </is>
      </c>
      <c r="BL1711" t="inlineStr">
        <is>
          <t>Science Citation Index Expanded (SCI-EXPANDED); Social Science Citation Index (SSCI)</t>
        </is>
      </c>
      <c r="BM1711" t="inlineStr">
        <is>
          <t>Science &amp; Technology - Other Topics; Environmental Sciences &amp; Ecology</t>
        </is>
      </c>
      <c r="BN1711" t="inlineStr">
        <is>
          <t>8U6DK</t>
        </is>
      </c>
      <c r="BP1711" t="inlineStr">
        <is>
          <t>Green Published, gold</t>
        </is>
      </c>
      <c r="BS1711" t="inlineStr">
        <is>
          <t>2023-10-26</t>
        </is>
      </c>
      <c r="BT1711" t="inlineStr">
        <is>
          <t>WOS:000930040200001</t>
        </is>
      </c>
      <c r="BU1711">
        <f>HYPERLINK("https%3A%2F%2Fwww.webofscience.com%2Fwos%2Fwoscc%2Ffull-record%2FWOS:000930040200001","View Full Record in Web of Science")</f>
        <v/>
      </c>
    </row>
    <row r="1712">
      <c r="A1712" t="inlineStr">
        <is>
          <t>J</t>
        </is>
      </c>
      <c r="B1712" t="inlineStr">
        <is>
          <t>Thalmann, M; Ringli, L; Adcock, M; Swinnen, N; de Jong, J; Dumoulin, C; Guimaraes, V; de Bruin, ED</t>
        </is>
      </c>
      <c r="F1712" t="inlineStr">
        <is>
          <t>Thalmann, Melanie; Ringli, Lisa; Adcock, Manuela; Swinnen, Nathalie; de Jong, Jacqueline; Dumoulin, Chantal; Guimaraes, Vania; de Bruin, Eling D.</t>
        </is>
      </c>
      <c r="J1712" t="inlineStr">
        <is>
          <t>INTERNATIONAL JOURNAL OF ENVIRONMENTAL RESEARCH AND PUBLIC HEALTH</t>
        </is>
      </c>
      <c r="M1712" t="inlineStr">
        <is>
          <t>English</t>
        </is>
      </c>
      <c r="N1712" t="inlineStr">
        <is>
          <t>Article</t>
        </is>
      </c>
      <c r="T1712" t="inlineStr">
        <is>
          <t>Usability Study of a Multicomponent Exergame Training for Older Adults with Mobility Limitations</t>
        </is>
      </c>
      <c r="U1712" t="inlineStr">
        <is>
          <t>exergame; mobility limitations; usability; fall prevention; geriatric giants; healthy ageing</t>
        </is>
      </c>
      <c r="V1712" t="inlineStr">
        <is>
          <t>PHYSICAL PERFORMANCE BATTERY; QUALITY-OF-LIFE; FALLS; EXERCISE; GAIT; DISABILITY; PEOPLE; HEALTH; REHABILITATION; METAANALYSIS</t>
        </is>
      </c>
      <c r="W1712" t="inlineStr">
        <is>
          <t>The global population aged 60 years and over rises due to increasing life expectancy. More older adults suffer from geriatric giants. Mobility limitations, including immobility and instability, are usually accompanied by physical and cognitive decline, and can be further associated with gait changes. Improvements in physical and cognitive functions can be achieved with virtual reality exergame environments. This study investigated the usability of the newly developed VITAAL exergame in mobility-impaired older adults aged 60 years and older. Usability was evaluated with a mixed-methods approach including a usability protocol, the System Usability Scale, and a guideline-based interview. Thirteen participants (9 female, 80.5 +/- 4.9 years, range: 71-89) tested the exergame and completed the measurement. The System Usability Scale was rated in a marginal acceptability range (58.3 +/- 16.5, range: 30-85). The usability protocol and the guideline-based interview revealed general positive usability. The VITAAL exergame prototype received positive feedback and can be considered usable by older adults with mobility limitations. However, minor improvements to the system in terms of design, instructions, and technical aspects should be taken into account. The results warrant testing of the feasibility of the adapted multicomponent VITAAL exergame, and its effects on physical and cognitive functions, in comparison with conventional training, should be studied.</t>
        </is>
      </c>
      <c r="X1712" t="inlineStr">
        <is>
          <t>[Thalmann, Melanie; Ringli, Lisa; Adcock, Manuela; de Bruin, Eling D.] Swiss Fed Inst Technol, Dept Hlth Sci &amp; Technol, Inst Human Movement Sci &amp; Sport, CH-8093 Zurich, Switzerland; [Swinnen, Nathalie] Katholieke Univ Leuven, Dept Rehabil Sci, B-3001 Leuven, Belgium; [Swinnen, Nathalie] Katholieke Univ Leuven, Univ Psychiat Ctr, B-3070 Kortenberg, Belgium; [de Jong, Jacqueline] Physio SPArtos, CH-3800 Interlaken, Switzerland; [Dumoulin, Chantal] Univ Montreal, Fac Med, Sch Rehabil, Montreal, PQ H3T 1J4, Canada; [Guimaraes, Vania] Fraunhofer Portugal AICOS, P-4200135 Porto, Portugal; [de Bruin, Eling D.] Karolinska Inst, Div Physiotherapy, Dept Neurobiol Care Sci &amp; Soc, S-17177 Stockholm, Sweden; [de Bruin, Eling D.] OST Eastern Swiss Univ Appl Sci, Dept Hlth, CH-9001 St Gallen, Switzerland</t>
        </is>
      </c>
      <c r="Y1712" t="inlineStr">
        <is>
          <t>Swiss Federal Institutes of Technology Domain; ETH Zurich; KU Leuven; KU Leuven; Universite de Montreal; Karolinska Institutet</t>
        </is>
      </c>
      <c r="Z1712" t="inlineStr">
        <is>
          <t>de Bruin, ED (corresponding author), Swiss Fed Inst Technol, Dept Hlth Sci &amp; Technol, Inst Human Movement Sci &amp; Sport, CH-8093 Zurich, Switzerland.;de Bruin, ED (corresponding author), Karolinska Inst, Div Physiotherapy, Dept Neurobiol Care Sci &amp; Soc, S-17177 Stockholm, Sweden.;de Bruin, ED (corresponding author), OST Eastern Swiss Univ Appl Sci, Dept Hlth, CH-9001 St Gallen, Switzerland.</t>
        </is>
      </c>
      <c r="AA1712" t="inlineStr">
        <is>
          <t>m.thalmann@ggaweb.ch; lisa@ringli.ch; manuela@dividat.ch; nathalie.swinnen@kuleuven.be; j.dejong@artos.ch; chantal.dumoulin@umontreal.ca; vania.guimaraes@fraunhofer.pt; eling.debruin@hest.ethz.ch</t>
        </is>
      </c>
      <c r="AB1712" t="inlineStr">
        <is>
          <t>Guimarães, Vânia/JBJ-0950-2023; de Bruin, Eling D./A-4751-2011</t>
        </is>
      </c>
      <c r="AC1712" t="inlineStr">
        <is>
          <t>Thalmann, Melanie/0000-0002-0293-4806; de Bruin, Eling D./0000-0002-6542-7385; Guimaraes, Vania/0000-0001-8133-0789</t>
        </is>
      </c>
      <c r="AH1712" t="n">
        <v>94</v>
      </c>
      <c r="AI1712" t="n">
        <v>3</v>
      </c>
      <c r="AJ1712" t="n">
        <v>3</v>
      </c>
      <c r="AK1712" t="n">
        <v>1</v>
      </c>
      <c r="AL1712" t="n">
        <v>9</v>
      </c>
      <c r="AM1712" t="inlineStr">
        <is>
          <t>MDPI</t>
        </is>
      </c>
      <c r="AN1712" t="inlineStr">
        <is>
          <t>BASEL</t>
        </is>
      </c>
      <c r="AO1712" t="inlineStr">
        <is>
          <t>ST ALBAN-ANLAGE 66, CH-4052 BASEL, SWITZERLAND</t>
        </is>
      </c>
      <c r="AQ1712" t="inlineStr">
        <is>
          <t>1660-4601</t>
        </is>
      </c>
      <c r="AS1712" t="inlineStr">
        <is>
          <t>INT J ENV RES PUB HE</t>
        </is>
      </c>
      <c r="AT1712" t="inlineStr">
        <is>
          <t>Int. J. Environ. Res. Public Health</t>
        </is>
      </c>
      <c r="AU1712" t="inlineStr">
        <is>
          <t>DEC</t>
        </is>
      </c>
      <c r="AV1712" t="n">
        <v>2021</v>
      </c>
      <c r="AW1712" t="n">
        <v>18</v>
      </c>
      <c r="AX1712" t="n">
        <v>24</v>
      </c>
      <c r="BE1712" t="n">
        <v>13422</v>
      </c>
      <c r="BF1712" t="inlineStr">
        <is>
          <t>10.3390/ijerph182413422</t>
        </is>
      </c>
      <c r="BG1712">
        <f>HYPERLINK("http://dx.doi.org/10.3390/ijerph182413422","http://dx.doi.org/10.3390/ijerph182413422")</f>
        <v/>
      </c>
      <c r="BJ1712" t="n">
        <v>22</v>
      </c>
      <c r="BK1712" t="inlineStr">
        <is>
          <t>Environmental Sciences; Public, Environmental &amp; Occupational Health</t>
        </is>
      </c>
      <c r="BL1712" t="inlineStr">
        <is>
          <t>Science Citation Index Expanded (SCI-EXPANDED); Social Science Citation Index (SSCI)</t>
        </is>
      </c>
      <c r="BM1712" t="inlineStr">
        <is>
          <t>Environmental Sciences &amp; Ecology; Public, Environmental &amp; Occupational Health</t>
        </is>
      </c>
      <c r="BN1712" t="inlineStr">
        <is>
          <t>YA0XS</t>
        </is>
      </c>
      <c r="BO1712" t="n">
        <v>34949028</v>
      </c>
      <c r="BP1712" t="inlineStr">
        <is>
          <t>Green Published, gold</t>
        </is>
      </c>
      <c r="BS1712" t="inlineStr">
        <is>
          <t>2023-10-26</t>
        </is>
      </c>
      <c r="BT1712" t="inlineStr">
        <is>
          <t>WOS:000738067600001</t>
        </is>
      </c>
      <c r="BU1712">
        <f>HYPERLINK("https%3A%2F%2Fwww.webofscience.com%2Fwos%2Fwoscc%2Ffull-record%2FWOS:000738067600001","View Full Record in Web of Science")</f>
        <v/>
      </c>
    </row>
    <row r="1713">
      <c r="A1713" t="inlineStr">
        <is>
          <t>J</t>
        </is>
      </c>
      <c r="B1713" t="inlineStr">
        <is>
          <t>Mora-Pérez, M; Guillen-Guillamón, I; López-Patiño, G; López-Jiménez, PA</t>
        </is>
      </c>
      <c r="F1713" t="inlineStr">
        <is>
          <t>Mora-Perez, Miguel; Guillen-Guillamon, Ignacio; Lopez-Patino, Gonzalo; Amparo Lopez-Jimenez, Petra</t>
        </is>
      </c>
      <c r="J1713" t="inlineStr">
        <is>
          <t>SUSTAINABILITY</t>
        </is>
      </c>
      <c r="M1713" t="inlineStr">
        <is>
          <t>English</t>
        </is>
      </c>
      <c r="N1713" t="inlineStr">
        <is>
          <t>Article</t>
        </is>
      </c>
      <c r="T1713" t="inlineStr">
        <is>
          <t>Natural Ventilation Building Design Approach in Mediterranean RegionsA Case Study at the Valencian Coastal Regional Scale (Spain)</t>
        </is>
      </c>
      <c r="U1713" t="inlineStr">
        <is>
          <t>low carbon technologies; energy efficient buildings; natural ventilation; wind energy; computational fluid dynamics</t>
        </is>
      </c>
      <c r="V1713" t="inlineStr">
        <is>
          <t>THERMAL COMFORT; CFD; MODELS; FLOW</t>
        </is>
      </c>
      <c r="W1713" t="inlineStr">
        <is>
          <t>Environmental awareness has led to an increased concern about low carbon technologies implementation. Among these technologies, the following research is focused on the natural ventilation effect evaluation in buildings prior to its construction. The aim is to select the most suitable architectural solution to ensure comfortable indoor environment in the most efficient way in the early building design stage. The design approach takes into account the wind conditions in the region and the building surroundings to evaluate the facade opening distribution impact on natural ventilation performance. The design approach is based on computational fluid dynamics (CFD). In this article, a case study located in the Valencian Community (Spain) is depicted. The Valencian Community coastal climatic conditions are evaluated to assess the low carbon technology energy saving potential. Moreover, the main drivers and barriers involved in the design approach implementation in the region are discussed. The conclusions show that the natural ventilation design approach can improve up to 9.7% the building energy performance respect an initial building design, in which natural ventilation has not been considered. The results contribute to an assessment of the complete low carbon technology effect in the region.</t>
        </is>
      </c>
      <c r="X1713" t="inlineStr">
        <is>
          <t>[Mora-Perez, Miguel; Lopez-Patino, Gonzalo; Amparo Lopez-Jimenez, Petra] Univ Politecn Valencia, Hydraul Engn &amp; Environm Dept, Camino de Vera S-N, E-46022 Valencia, Spain; [Guillen-Guillamon, Ignacio] Univ Politecn Valencia, Dept Phys, Camino de Vera S-N, E-46022 Valencia, Spain</t>
        </is>
      </c>
      <c r="Y1713" t="inlineStr">
        <is>
          <t>Universitat Politecnica de Valencia; Universitat Politecnica de Valencia</t>
        </is>
      </c>
      <c r="Z1713" t="inlineStr">
        <is>
          <t>López-Jiménez, PA (corresponding author), Univ Politecn Valencia, Hydraul Engn &amp; Environm Dept, Camino de Vera S-N, E-46022 Valencia, Spain.</t>
        </is>
      </c>
      <c r="AA1713" t="inlineStr">
        <is>
          <t>palopez@upv.es</t>
        </is>
      </c>
      <c r="AB1713" t="inlineStr">
        <is>
          <t>López-Jiménez, P. Amparo/AAD-9381-2021; Guillamon, Ignacio Guillen/AAN-2035-2020; Lopez-Patino, Gonzalo/H-9743-2015</t>
        </is>
      </c>
      <c r="AC1713" t="inlineStr">
        <is>
          <t>López-Jiménez, P. Amparo/0000-0002-7043-3683; Guillamon, Ignacio Guillen/0000-0001-5546-1486; Mora-Perez, Miguel/0000-0003-0821-601X; Lopez-Patino, Gonzalo/0000-0002-8238-2967</t>
        </is>
      </c>
      <c r="AH1713" t="n">
        <v>35</v>
      </c>
      <c r="AI1713" t="n">
        <v>21</v>
      </c>
      <c r="AJ1713" t="n">
        <v>21</v>
      </c>
      <c r="AK1713" t="n">
        <v>1</v>
      </c>
      <c r="AL1713" t="n">
        <v>18</v>
      </c>
      <c r="AM1713" t="inlineStr">
        <is>
          <t>MDPI</t>
        </is>
      </c>
      <c r="AN1713" t="inlineStr">
        <is>
          <t>BASEL</t>
        </is>
      </c>
      <c r="AO1713" t="inlineStr">
        <is>
          <t>ST ALBAN-ANLAGE 66, CH-4052 BASEL, SWITZERLAND</t>
        </is>
      </c>
      <c r="AP1713" t="inlineStr">
        <is>
          <t>2071-1050</t>
        </is>
      </c>
      <c r="AS1713" t="inlineStr">
        <is>
          <t>SUSTAINABILITY-BASEL</t>
        </is>
      </c>
      <c r="AT1713" t="inlineStr">
        <is>
          <t>Sustainability</t>
        </is>
      </c>
      <c r="AU1713" t="inlineStr">
        <is>
          <t>SEP</t>
        </is>
      </c>
      <c r="AV1713" t="n">
        <v>2016</v>
      </c>
      <c r="AW1713" t="n">
        <v>8</v>
      </c>
      <c r="AX1713" t="n">
        <v>9</v>
      </c>
      <c r="BE1713" t="n">
        <v>855</v>
      </c>
      <c r="BF1713" t="inlineStr">
        <is>
          <t>10.3390/su8090855</t>
        </is>
      </c>
      <c r="BG1713">
        <f>HYPERLINK("http://dx.doi.org/10.3390/su8090855","http://dx.doi.org/10.3390/su8090855")</f>
        <v/>
      </c>
      <c r="BJ1713" t="n">
        <v>15</v>
      </c>
      <c r="BK1713" t="inlineStr">
        <is>
          <t>Green &amp; Sustainable Science &amp; Technology; Environmental Sciences; Environmental Studies</t>
        </is>
      </c>
      <c r="BL1713" t="inlineStr">
        <is>
          <t>Science Citation Index Expanded (SCI-EXPANDED); Social Science Citation Index (SSCI)</t>
        </is>
      </c>
      <c r="BM1713" t="inlineStr">
        <is>
          <t>Science &amp; Technology - Other Topics; Environmental Sciences &amp; Ecology</t>
        </is>
      </c>
      <c r="BN1713" t="inlineStr">
        <is>
          <t>DZ0LC</t>
        </is>
      </c>
      <c r="BP1713" t="inlineStr">
        <is>
          <t>Green Published, gold</t>
        </is>
      </c>
      <c r="BS1713" t="inlineStr">
        <is>
          <t>2023-10-26</t>
        </is>
      </c>
      <c r="BT1713" t="inlineStr">
        <is>
          <t>WOS:000385529400027</t>
        </is>
      </c>
      <c r="BU1713">
        <f>HYPERLINK("https%3A%2F%2Fwww.webofscience.com%2Fwos%2Fwoscc%2Ffull-record%2FWOS:000385529400027","View Full Record in Web of Science")</f>
        <v/>
      </c>
    </row>
    <row r="1714">
      <c r="A1714" t="inlineStr">
        <is>
          <t>J</t>
        </is>
      </c>
      <c r="B1714" t="inlineStr">
        <is>
          <t>Zheng, ZH; Chen, H</t>
        </is>
      </c>
      <c r="F1714" t="inlineStr">
        <is>
          <t>Zheng, Zhenhua; Chen, Hong</t>
        </is>
      </c>
      <c r="J1714" t="inlineStr">
        <is>
          <t>INTERNATIONAL JOURNAL OF ENVIRONMENTAL RESEARCH AND PUBLIC HEALTH</t>
        </is>
      </c>
      <c r="M1714" t="inlineStr">
        <is>
          <t>English</t>
        </is>
      </c>
      <c r="N1714" t="inlineStr">
        <is>
          <t>Article</t>
        </is>
      </c>
      <c r="T1714" t="inlineStr">
        <is>
          <t>The Relationship among Community Environment, Behavior, Activity Ability, and Self-Rated Health of Older Adults: A Hierarchical and Multi-Dimensional Comparative Study</t>
        </is>
      </c>
      <c r="U1714" t="inlineStr">
        <is>
          <t>community environment; walking; neighbor contacts; self-rated health; activity ability; age group; older adults</t>
        </is>
      </c>
      <c r="V1714" t="inlineStr">
        <is>
          <t>INSTRUMENTAL ACTIVITIES; LIFE; LIMITATIONS</t>
        </is>
      </c>
      <c r="W1714" t="inlineStr">
        <is>
          <t>Although the community environment is a known determinant of older adults' health, it is unclear about the logical relationships among the community environment, behavior, activity ability, and health of older adults, and the differences between the different age groups. This study used a two-stage sampling method to conduct a household survey of people over 60 years old living in Xinhua Street, Shanghai, China. In total, 2783 valid samples were obtained. Of these, 1256 were males and 1627 were females, with an average age of 71.1 years. The statistical method used in this study was the structural equation modeling method. The effects of the community environment and behavior on the activity ability and self-rated health of older adults are different, and the path of health influence of older adults is different in different age groups. Community environment has more wider effects on older adults' self-rated health, while behavior, including walking behavior and neighbor contacts, have a more intensive effect on the activity ability of older adults. The community environment has a significant positive effect on the activity ability of the younger group but not on that of the older group, which instead was significantly affected by the neighbor contacts. Therefore, refined environmental governance and targeted improvement and resolution of different types of health problems among different groups of older persons will contribute to the overall health of older adults.</t>
        </is>
      </c>
      <c r="X1714" t="inlineStr">
        <is>
          <t>[Zheng, Zhenhua] Univ Shanghai Sci &amp; Technol, Coll Commun &amp; Art Design, 516 Jungong Rd, Shanghai 200093, Peoples R China; [Chen, Hong] Sichuan Univ, Coll Architecture &amp; Environm, 24 First South Sect First Ring Rd, Chengdu 610065, Peoples R China</t>
        </is>
      </c>
      <c r="Y1714" t="inlineStr">
        <is>
          <t>University of Shanghai for Science &amp; Technology; Sichuan University</t>
        </is>
      </c>
      <c r="Z1714" t="inlineStr">
        <is>
          <t>Chen, H (corresponding author), Sichuan Univ, Coll Architecture &amp; Environm, 24 First South Sect First Ring Rd, Chengdu 610065, Peoples R China.</t>
        </is>
      </c>
      <c r="AA1714" t="inlineStr">
        <is>
          <t>zhenhuazheng@usst.edu.cn; ch_jhxy@scu.edu.cn</t>
        </is>
      </c>
      <c r="AB1714" t="inlineStr">
        <is>
          <t>ZHENG, Zhenhua/Z-4747-2019</t>
        </is>
      </c>
      <c r="AC1714" t="inlineStr">
        <is>
          <t>ZHENG, Zhenhua/0000-0002-5587-5387; Chen, Hong/0000-0002-6874-2348</t>
        </is>
      </c>
      <c r="AD1714" t="inlineStr">
        <is>
          <t>MOE Layout Foundation of Humanities and Social Sciences [20YJAZH140]</t>
        </is>
      </c>
      <c r="AE1714" t="inlineStr">
        <is>
          <t>MOE Layout Foundation of Humanities and Social Sciences</t>
        </is>
      </c>
      <c r="AF1714" t="inlineStr">
        <is>
          <t>The work of Zhenhua Zheng (designing the study, analyzing data, and writing the paper) was supported by the MOE Layout Foundation of Humanities and Social Sciences (No. 20YJAZH140).</t>
        </is>
      </c>
      <c r="AH1714" t="n">
        <v>37</v>
      </c>
      <c r="AI1714" t="n">
        <v>3</v>
      </c>
      <c r="AJ1714" t="n">
        <v>4</v>
      </c>
      <c r="AK1714" t="n">
        <v>9</v>
      </c>
      <c r="AL1714" t="n">
        <v>47</v>
      </c>
      <c r="AM1714" t="inlineStr">
        <is>
          <t>MDPI</t>
        </is>
      </c>
      <c r="AN1714" t="inlineStr">
        <is>
          <t>BASEL</t>
        </is>
      </c>
      <c r="AO1714" t="inlineStr">
        <is>
          <t>ST ALBAN-ANLAGE 66, CH-4052 BASEL, SWITZERLAND</t>
        </is>
      </c>
      <c r="AQ1714" t="inlineStr">
        <is>
          <t>1660-4601</t>
        </is>
      </c>
      <c r="AS1714" t="inlineStr">
        <is>
          <t>INT J ENV RES PUB HE</t>
        </is>
      </c>
      <c r="AT1714" t="inlineStr">
        <is>
          <t>Int. J. Environ. Res. Public Health</t>
        </is>
      </c>
      <c r="AU1714" t="inlineStr">
        <is>
          <t>JUL</t>
        </is>
      </c>
      <c r="AV1714" t="n">
        <v>2021</v>
      </c>
      <c r="AW1714" t="n">
        <v>18</v>
      </c>
      <c r="AX1714" t="n">
        <v>14</v>
      </c>
      <c r="BE1714" t="n">
        <v>7387</v>
      </c>
      <c r="BF1714" t="inlineStr">
        <is>
          <t>10.3390/ijerph18147387</t>
        </is>
      </c>
      <c r="BG1714">
        <f>HYPERLINK("http://dx.doi.org/10.3390/ijerph18147387","http://dx.doi.org/10.3390/ijerph18147387")</f>
        <v/>
      </c>
      <c r="BJ1714" t="n">
        <v>12</v>
      </c>
      <c r="BK1714" t="inlineStr">
        <is>
          <t>Environmental Sciences; Public, Environmental &amp; Occupational Health</t>
        </is>
      </c>
      <c r="BL1714" t="inlineStr">
        <is>
          <t>Science Citation Index Expanded (SCI-EXPANDED); Social Science Citation Index (SSCI)</t>
        </is>
      </c>
      <c r="BM1714" t="inlineStr">
        <is>
          <t>Environmental Sciences &amp; Ecology; Public, Environmental &amp; Occupational Health</t>
        </is>
      </c>
      <c r="BN1714" t="inlineStr">
        <is>
          <t>TN4LI</t>
        </is>
      </c>
      <c r="BO1714" t="n">
        <v>34299837</v>
      </c>
      <c r="BP1714" t="inlineStr">
        <is>
          <t>gold, Green Published</t>
        </is>
      </c>
      <c r="BS1714" t="inlineStr">
        <is>
          <t>2023-10-26</t>
        </is>
      </c>
      <c r="BT1714" t="inlineStr">
        <is>
          <t>WOS:000676207800001</t>
        </is>
      </c>
      <c r="BU1714">
        <f>HYPERLINK("https%3A%2F%2Fwww.webofscience.com%2Fwos%2Fwoscc%2Ffull-record%2FWOS:000676207800001","View Full Record in Web of Science")</f>
        <v/>
      </c>
    </row>
    <row r="1715">
      <c r="A1715" t="inlineStr">
        <is>
          <t>J</t>
        </is>
      </c>
      <c r="B1715" t="inlineStr">
        <is>
          <t>Kim, J; Garcia-Esquinas, E; Navas-Acien, A; Choi, YH</t>
        </is>
      </c>
      <c r="F1715" t="inlineStr">
        <is>
          <t>Kim, Junghoon; Garcia-Esquinas, Esther; Navas-Acien, Ana; Choi, Yoon-Hyeong</t>
        </is>
      </c>
      <c r="J1715" t="inlineStr">
        <is>
          <t>ENVIRONMENTAL POLLUTION</t>
        </is>
      </c>
      <c r="M1715" t="inlineStr">
        <is>
          <t>English</t>
        </is>
      </c>
      <c r="N1715" t="inlineStr">
        <is>
          <t>Article</t>
        </is>
      </c>
      <c r="T1715" t="inlineStr">
        <is>
          <t>Blood and urine cadmium concentrations and walking speed in middle-aged and older US adults</t>
        </is>
      </c>
      <c r="U1715" t="inlineStr">
        <is>
          <t>Cadmium exposure; Environmental exposure; Physical function; Walking speed; Epidemiology</t>
        </is>
      </c>
      <c r="V1715" t="inlineStr">
        <is>
          <t>NUTRITION EXAMINATION SURVEY; EXAMINATION SURVEY NHANES; LATE-LIFE DISABILITY; QUALITY-OF-LIFE; NATIONAL-HEALTH; GAIT SPEED; CARDIOVASCULAR-DISEASE; PHYSICAL PERFORMANCE; EXPOSURE; POPULATION</t>
        </is>
      </c>
      <c r="W1715" t="inlineStr">
        <is>
          <t>Reduced physical performance is an important feature of aging, and walking speed is a valid measure of physical performance and mobility in older adults. Previous epidemiological studies suggest that cadmium exposure, even at low environmental levels, may contribute to vascular, musculoskeletal, and cognitive dysfunction, which may all be associated with reductions in physical performance. To this end, we investigated the associations of blood and urine cadmium concentrations with walking speed in middle-aged and older adults in the U.S. general population. We studied U.S. adults from the National Health and Nutrition Examination Survey 1999 to 2002 who were &gt;= 50 years of age, who had determinations of cadmium in blood or in urine, and who had measurements of the time taken to walk 20 feet. Walking speed (ft/sec) was computed as walked distance (20 ft) divided by measured time to walk (in seconds). The weighted geometric means of blood and urine cadmium were 0.49 [95% confidence interval (CI): 0.47, 0.52] mu g/L and 0.37 (95% CI: 0.34, 0.42) ng/mL, respectively. After adjusting for sociodemographic, anthropometric, health-related behavioral, and clinical risk factors and inflammation markers, the highest (vs. lowest) quintile of blood cadmium was associated with a 0.18 (95% CI: 0.10, 0.25) ft/sec reduction in walking speed (p-Trend &lt;0.001). No association was observed for urine cadmium levels with walking speed. Cadmium concentrations in blood, but not in urine, were associated with slower gait speed. Our findings add to the growing volume of evidence supporting cadmium's toxicity even at low levels of exposure. (C) 2017 Elsevier Ltd. All rights reserved.</t>
        </is>
      </c>
      <c r="X1715" t="inlineStr">
        <is>
          <t>[Kim, Junghoon; Choi, Yoon-Hyeong] Gachon Univ, Dept Prevent Med, Coll Med, 155 Gaetbeol Ro, Incheon 21999, South Korea; [Garcia-Esquinas, Esther] Univ Autonoma Madrid, IdiPaz &amp; Ciber Epidemiol &amp; Publ Hlth CIBERESP, Dept Med Prevent &amp; Salud Publ, Madrid, Spain; [Navas-Acien, Ana] Columbia Mailman Sch Publ Hlth, Dept Environm Hlth Sci, New York, NY USA; [Navas-Acien, Ana] Johns Hopkins Bloomberg Sch Publ Hlth, Dept Environm Hlth Sci, Baltimore, MD USA; [Choi, Yoon-Hyeong] Gachon Univ, Gachon Adv Inst Hlth Sci &amp; Technol, Incheon, South Korea</t>
        </is>
      </c>
      <c r="Y1715" t="inlineStr">
        <is>
          <t>Gachon University; CIBER - Centro de Investigacion Biomedica en Red; CIBERESP; Autonomous University of Madrid; Johns Hopkins University; Johns Hopkins Bloomberg School of Public Health; Gachon University</t>
        </is>
      </c>
      <c r="Z1715" t="inlineStr">
        <is>
          <t>Choi, YH (corresponding author), Gachon Univ, Dept Prevent Med, Coll Med, 155 Gaetbeol Ro, Incheon 21999, South Korea.</t>
        </is>
      </c>
      <c r="AA1715" t="inlineStr">
        <is>
          <t>junghoonkim@gachon.ac.kr; esthergge@gmail.com; an2737@cumc.columbia.edu; yoonchoi@gachon.ac.kr</t>
        </is>
      </c>
      <c r="AB1715" t="inlineStr">
        <is>
          <t>Kim, Junghoon/H-4973-2019; garcia, esther/AAR-8372-2021; n, a/HRA-1392-2023</t>
        </is>
      </c>
      <c r="AC1715" t="inlineStr">
        <is>
          <t>Kim, Junghoon/0000-0003-4802-010X; garcia-esquinas, Esther/0000-0002-8688-5174; Choi, Yoon-Hyeong/0000-0003-3228-8179</t>
        </is>
      </c>
      <c r="AD1715" t="inlineStr">
        <is>
          <t>National Research Foundation of Korea (NRF) - Korea Ministry of Education [2013R1A6A3A04059556]; Korea Ministry of Science, ICT and Future Planning [2015R1C1A2A01054768]; National Research Foundation of Korea [2013R1A6A3A04059556, 2015R1C1A2A01054768] Funding Source: Korea Institute of Science &amp; Technology Information (KISTI), National Science &amp; Technology Information Service (NTIS)</t>
        </is>
      </c>
      <c r="AE1715" t="inlineStr">
        <is>
          <t>National Research Foundation of Korea (NRF) - Korea Ministry of Education; Korea Ministry of Science, ICT and Future Planning; National Research Foundation of Korea(National Research Foundation of Korea)</t>
        </is>
      </c>
      <c r="AF1715" t="inlineStr">
        <is>
          <t>This work was supported by Basic Science Research Program through the National Research Foundation of Korea (NRF) funded by the Korea Ministry of Education (grant number 2013R1A6A3A04059556) and the Korea Ministry of Science, ICT and Future Planning (grant number 2015R1C1A2A01054768).</t>
        </is>
      </c>
      <c r="AH1715" t="n">
        <v>58</v>
      </c>
      <c r="AI1715" t="n">
        <v>24</v>
      </c>
      <c r="AJ1715" t="n">
        <v>26</v>
      </c>
      <c r="AK1715" t="n">
        <v>0</v>
      </c>
      <c r="AL1715" t="n">
        <v>20</v>
      </c>
      <c r="AM1715" t="inlineStr">
        <is>
          <t>ELSEVIER SCI LTD</t>
        </is>
      </c>
      <c r="AN1715" t="inlineStr">
        <is>
          <t>OXFORD</t>
        </is>
      </c>
      <c r="AO1715" t="inlineStr">
        <is>
          <t>THE BOULEVARD, LANGFORD LANE, KIDLINGTON, OXFORD OX5 1GB, OXON, ENGLAND</t>
        </is>
      </c>
      <c r="AP1715" t="inlineStr">
        <is>
          <t>0269-7491</t>
        </is>
      </c>
      <c r="AQ1715" t="inlineStr">
        <is>
          <t>1873-6424</t>
        </is>
      </c>
      <c r="AS1715" t="inlineStr">
        <is>
          <t>ENVIRON POLLUT</t>
        </is>
      </c>
      <c r="AT1715" t="inlineStr">
        <is>
          <t>Environ. Pollut.</t>
        </is>
      </c>
      <c r="AU1715" t="inlineStr">
        <is>
          <t>JAN</t>
        </is>
      </c>
      <c r="AV1715" t="n">
        <v>2018</v>
      </c>
      <c r="AW1715" t="n">
        <v>232</v>
      </c>
      <c r="BC1715" t="n">
        <v>97</v>
      </c>
      <c r="BD1715" t="n">
        <v>104</v>
      </c>
      <c r="BF1715" t="inlineStr">
        <is>
          <t>10.1016/j.envpol.2017.09.022</t>
        </is>
      </c>
      <c r="BG1715">
        <f>HYPERLINK("http://dx.doi.org/10.1016/j.envpol.2017.09.022","http://dx.doi.org/10.1016/j.envpol.2017.09.022")</f>
        <v/>
      </c>
      <c r="BJ1715" t="n">
        <v>8</v>
      </c>
      <c r="BK1715" t="inlineStr">
        <is>
          <t>Environmental Sciences</t>
        </is>
      </c>
      <c r="BL1715" t="inlineStr">
        <is>
          <t>Science Citation Index Expanded (SCI-EXPANDED); Social Science Citation Index (SSCI)</t>
        </is>
      </c>
      <c r="BM1715" t="inlineStr">
        <is>
          <t>Environmental Sciences &amp; Ecology</t>
        </is>
      </c>
      <c r="BN1715" t="inlineStr">
        <is>
          <t>FM3CG</t>
        </is>
      </c>
      <c r="BO1715" t="n">
        <v>28941716</v>
      </c>
      <c r="BS1715" t="inlineStr">
        <is>
          <t>2023-10-26</t>
        </is>
      </c>
      <c r="BT1715" t="inlineStr">
        <is>
          <t>WOS:000414881300010</t>
        </is>
      </c>
      <c r="BU1715">
        <f>HYPERLINK("https%3A%2F%2Fwww.webofscience.com%2Fwos%2Fwoscc%2Ffull-record%2FWOS:000414881300010","View Full Record in Web of Science")</f>
        <v/>
      </c>
    </row>
    <row r="1716">
      <c r="A1716" t="inlineStr">
        <is>
          <t>J</t>
        </is>
      </c>
      <c r="B1716" t="inlineStr">
        <is>
          <t>Wang, B; Lei, YQ; Xue, DS; Liu, JX; Wei, CZ</t>
        </is>
      </c>
      <c r="F1716" t="inlineStr">
        <is>
          <t>Wang Bo; Lei Yaqin; Xue Desheng; Liu Jixiang; Wei Chunzhu</t>
        </is>
      </c>
      <c r="J1716" t="inlineStr">
        <is>
          <t>CHINESE GEOGRAPHICAL SCIENCE</t>
        </is>
      </c>
      <c r="M1716" t="inlineStr">
        <is>
          <t>English</t>
        </is>
      </c>
      <c r="N1716" t="inlineStr">
        <is>
          <t>Article</t>
        </is>
      </c>
      <c r="T1716" t="inlineStr">
        <is>
          <t>Elaborating Spatiotemporal Associations Between the Built Environment and Urban Vibrancy: A Case of Guangzhou City, China</t>
        </is>
      </c>
      <c r="U1716" t="inlineStr">
        <is>
          <t>urban vibrancy; Baidu Heat Map (BHM); built environment; heterogeneity; geographically and temporally weighted regression</t>
        </is>
      </c>
      <c r="V1716" t="inlineStr">
        <is>
          <t>WEIGHTED REGRESSION; VITALITY; BEHAVIOR; INTERNET; PROGRESS; ACCESS; CITIES; TRAVEL</t>
        </is>
      </c>
      <c r="W1716" t="inlineStr">
        <is>
          <t>This study applies multi-source datasets (i.e., Baidu Heat Map data, points of interest (POIs) data, and floor area and land use data) and geographically and temporally weighted regression (GTWR) models to elaborate the spatiotemporal relationships between the built environment and urban vibrancy on both weekdays and weekends, using Guangzhou City as a case. First, we verified the spatially and temporally nonstationary nature of the built environment correlates, which have been largely ignored in previous studies based on local regression techniques. The spatially and temporally heterogeneous effects of the built environment on urban vibrancy are then presented and visualized, based on the GTWR results. We found that the elasticity of location (i.e., distance), land use mix (i.e., diversity), building intensity and numbers of POIs with various functions (i.e., density) are different across time (2-h intervals within a day) and space (grids), due to people's everyday lifestyle, time-space constraints, and geographical context (e.g., spatial structure). The findings highlight the importance of a better understanding of the local geography on the spatiotemporal relationships for urban planners and local governments so as to put forward decision-making support for fostering and maintaining urban vibrancy.</t>
        </is>
      </c>
      <c r="X1716" t="inlineStr">
        <is>
          <t>[Wang Bo; Lei Yaqin; Xue Desheng; Wei Chunzhu] Sun Yat Sen Univ, Sch Geog &amp; Planning, Guangzhou 510275, Peoples R China; [Wang Bo; Xue Desheng; Wei Chunzhu] Southern Marine Sci &amp; Engn Guangdong Lab Zhuhai, Zhuhai 519000, Peoples R China; [Wang Bo; Xue Desheng; Wei Chunzhu] Guangdong Prov Key Lab Urbanizat &amp; Geosimulat, Guangzhou 510275, Peoples R China; [Liu Jixiang] Univ Hong Kong, Dept Urban Planning &amp; Design, Hong Kong 999077, Peoples R China</t>
        </is>
      </c>
      <c r="Y1716" t="inlineStr">
        <is>
          <t>Sun Yat Sen University; Southern Marine Science &amp; Engineering Guangdong Laboratory; Southern Marine Science &amp; Engineering Guangdong Laboratory (Zhuhai); University of Hong Kong</t>
        </is>
      </c>
      <c r="Z1716" t="inlineStr">
        <is>
          <t>Liu, JX (corresponding author), Univ Hong Kong, Dept Urban Planning &amp; Design, Hong Kong 999077, Peoples R China.</t>
        </is>
      </c>
      <c r="AA1716" t="inlineStr">
        <is>
          <t>yexizhixi@outlook.com</t>
        </is>
      </c>
      <c r="AB1716" t="inlineStr">
        <is>
          <t>Wang, Bo/ABC-4995-2021; Liu, JiXiang/HSB-9462-2023</t>
        </is>
      </c>
      <c r="AC1716" t="inlineStr">
        <is>
          <t>Wang, Bo/0000-0003-3877-4549;</t>
        </is>
      </c>
      <c r="AD1716" t="inlineStr">
        <is>
          <t>National Natural Science Foundation of China [41901191, 41930646]; Southern Marine Science and Engineering Guangdong Laboratory (Zhuhai) [311020017]</t>
        </is>
      </c>
      <c r="AE1716" t="inlineStr">
        <is>
          <t>National Natural Science Foundation of China(National Natural Science Foundation of China (NSFC)); Southern Marine Science and Engineering Guangdong Laboratory (Zhuhai)</t>
        </is>
      </c>
      <c r="AF1716" t="inlineStr">
        <is>
          <t>Under the auspices of National Natural Science Foundation of China (No. 41901191, 41930646), Southern Marine Science and Engineering Guangdong Laboratory (Zhuhai) (No. 311020017)</t>
        </is>
      </c>
      <c r="AH1716" t="n">
        <v>55</v>
      </c>
      <c r="AI1716" t="n">
        <v>7</v>
      </c>
      <c r="AJ1716" t="n">
        <v>8</v>
      </c>
      <c r="AK1716" t="n">
        <v>20</v>
      </c>
      <c r="AL1716" t="n">
        <v>89</v>
      </c>
      <c r="AM1716" t="inlineStr">
        <is>
          <t>SPRINGER</t>
        </is>
      </c>
      <c r="AN1716" t="inlineStr">
        <is>
          <t>NEW YORK</t>
        </is>
      </c>
      <c r="AO1716" t="inlineStr">
        <is>
          <t>ONE NEW YORK PLAZA, SUITE 4600, NEW YORK, NY, UNITED STATES</t>
        </is>
      </c>
      <c r="AP1716" t="inlineStr">
        <is>
          <t>1002-0063</t>
        </is>
      </c>
      <c r="AQ1716" t="inlineStr">
        <is>
          <t>1993-064X</t>
        </is>
      </c>
      <c r="AS1716" t="inlineStr">
        <is>
          <t>CHINESE GEOGR SCI</t>
        </is>
      </c>
      <c r="AT1716" t="inlineStr">
        <is>
          <t>Chin. Geogr. Sci.</t>
        </is>
      </c>
      <c r="AU1716" t="inlineStr">
        <is>
          <t>JUN</t>
        </is>
      </c>
      <c r="AV1716" t="n">
        <v>2022</v>
      </c>
      <c r="AW1716" t="n">
        <v>32</v>
      </c>
      <c r="AX1716" t="n">
        <v>3</v>
      </c>
      <c r="BC1716" t="n">
        <v>480</v>
      </c>
      <c r="BD1716" t="n">
        <v>492</v>
      </c>
      <c r="BF1716" t="inlineStr">
        <is>
          <t>10.1007/s11769-022-1272-6</t>
        </is>
      </c>
      <c r="BG1716">
        <f>HYPERLINK("http://dx.doi.org/10.1007/s11769-022-1272-6","http://dx.doi.org/10.1007/s11769-022-1272-6")</f>
        <v/>
      </c>
      <c r="BI1716" t="inlineStr">
        <is>
          <t>MAR 2022</t>
        </is>
      </c>
      <c r="BJ1716" t="n">
        <v>13</v>
      </c>
      <c r="BK1716" t="inlineStr">
        <is>
          <t>Environmental Sciences</t>
        </is>
      </c>
      <c r="BL1716" t="inlineStr">
        <is>
          <t>Science Citation Index Expanded (SCI-EXPANDED)</t>
        </is>
      </c>
      <c r="BM1716" t="inlineStr">
        <is>
          <t>Environmental Sciences &amp; Ecology</t>
        </is>
      </c>
      <c r="BN1716" t="inlineStr">
        <is>
          <t>1T5DN</t>
        </is>
      </c>
      <c r="BP1716" t="inlineStr">
        <is>
          <t>hybrid</t>
        </is>
      </c>
      <c r="BS1716" t="inlineStr">
        <is>
          <t>2023-10-26</t>
        </is>
      </c>
      <c r="BT1716" t="inlineStr">
        <is>
          <t>WOS:000767003400001</t>
        </is>
      </c>
      <c r="BU1716">
        <f>HYPERLINK("https%3A%2F%2Fwww.webofscience.com%2Fwos%2Fwoscc%2Ffull-record%2FWOS:000767003400001","View Full Record in Web of Science")</f>
        <v/>
      </c>
    </row>
    <row r="1717">
      <c r="A1717" t="inlineStr">
        <is>
          <t>J</t>
        </is>
      </c>
      <c r="B1717" t="inlineStr">
        <is>
          <t>Jílková, SR; Melymuk, L; Klánová, J</t>
        </is>
      </c>
      <c r="F1717" t="inlineStr">
        <is>
          <t>Jilkova, Simona Rozarka; Melymuk, Lisa; Klanova, Jana</t>
        </is>
      </c>
      <c r="J1717" t="inlineStr">
        <is>
          <t>ENVIRONMENTAL SCIENCE-PROCESSES &amp; IMPACTS</t>
        </is>
      </c>
      <c r="M1717" t="inlineStr">
        <is>
          <t>English</t>
        </is>
      </c>
      <c r="N1717" t="inlineStr">
        <is>
          <t>Article</t>
        </is>
      </c>
      <c r="T1717" t="inlineStr">
        <is>
          <t>Emerging investigator series: air conditioning filters as a sampler for semi-volatile organic compounds in indoor and near-building air</t>
        </is>
      </c>
      <c r="V1717" t="inlineStr">
        <is>
          <t>POLYBROMINATED DIPHENYL ETHERS; BROMINATED FLAME RETARDANTS; PARTICLE-SIZE DISTRIBUTION; DIFFERENT MICROENVIRONMENTS; HUMAN EXPOSURE; DUST; LEGACY; PAHS; BIOACCESSIBILITY; ENVIRONMENTS</t>
        </is>
      </c>
      <c r="W1717" t="inlineStr">
        <is>
          <t>Organic compounds like flame retardants (FRs), polychlorinated biphenyls (PCBs), organochlorine pesticides (OCPs) and polycyclic aromatic hydrocarbons (PAHs) are consistently found in both indoor and outdoor environments. There are many possible matrices for measurement of these compounds (e.g. indoor dust, air - passive and active air samples), but all methods have limitations, like the heterogeneous distribution of indoor dust, or noisy active air samplers. We used filters from building-wide heating, ventilation and air conditioning (HVAC) units to evaluate levels of PAHs, PCBs, OCPs and NFRs in indoor and outdoor environments, and to evaluate whether this method is feasible for screening semivolatile organic compounds (SVOCs) in indoor and near-building outdoor environments. Detectable levels of FRs, PCBs, OCPs and PAHs were found, demonstrating that HVAC filters do collect SVOCs, with generally higher levels of PAHs in the incoming air filters and higher levels of PCBs, OCPs and FRs in the outgoing air filters. Levels of FRs, PCBs and OCPs in outgoing air were comparable to those measured using conventional active air sampling in the same building. The advantages of using HVAC filters are (1) integrated and homogeneous samples, as the whole building is sampled over typically a long timescale (months), and (2) samples are easy and cheap to collect and do not require prior deployment of samplers. The key disadvantage is that HVAC filters are not designed for analytical chemistry and thus the filter materials can have variable or unknown gas sorption and particle capture, and can have strong matrix effects during analysis.</t>
        </is>
      </c>
      <c r="X1717" t="inlineStr">
        <is>
          <t>[Jilkova, Simona Rozarka; Melymuk, Lisa; Klanova, Jana] Masaryk Univ, RECETOX, Brno, Czech Republic</t>
        </is>
      </c>
      <c r="Y1717" t="inlineStr">
        <is>
          <t>Masaryk University Brno</t>
        </is>
      </c>
      <c r="Z1717" t="inlineStr">
        <is>
          <t>Melymuk, L (corresponding author), Masaryk Univ, RECETOX, Brno, Czech Republic.</t>
        </is>
      </c>
      <c r="AA1717" t="inlineStr">
        <is>
          <t>lisa.melymuk@recetox.muni.cz</t>
        </is>
      </c>
      <c r="AB1717" t="inlineStr">
        <is>
          <t>Klanova, Jana/H-1207-2012; Melymuk, Lisa/AAF-2526-2021; Melymuk, Lisa/H-1061-2017</t>
        </is>
      </c>
      <c r="AC1717" t="inlineStr">
        <is>
          <t>Klanova, Jana/0000-0002-8818-5307; Melymuk, Lisa/0000-0001-6042-7688; Melymuk, Lisa/0000-0001-6042-7688; Jilkova, Simona Rozarka/0000-0002-8103-3618</t>
        </is>
      </c>
      <c r="AD1717" t="inlineStr">
        <is>
          <t>RECETOX Research Infrastructure (Czech Ministry of Education, Youth and Sports) [LM2018121]; Czech Science Foundation [GAR 19-20479S]</t>
        </is>
      </c>
      <c r="AE1717" t="inlineStr">
        <is>
          <t>RECETOX Research Infrastructure (Czech Ministry of Education, Youth and Sports); Czech Science Foundation(Grant Agency of the Czech Republic)</t>
        </is>
      </c>
      <c r="AF1717" t="inlineStr">
        <is>
          <t>This research was supported by the RECETOX Research Infrastructure (Czech Ministry of Education, Youth and Sports, LM2018121) and the Czech Science Foundation (GAR 19-20479S). The authors would like to thank Mgr Roman Proke, PhD for sample collection, Mgr Ondej Audy, PhD and Mgr Jakub Martinik for chemical analysis and Mgr David Koneny for his advice about academic writing.</t>
        </is>
      </c>
      <c r="AH1717" t="n">
        <v>39</v>
      </c>
      <c r="AI1717" t="n">
        <v>1</v>
      </c>
      <c r="AJ1717" t="n">
        <v>1</v>
      </c>
      <c r="AK1717" t="n">
        <v>4</v>
      </c>
      <c r="AL1717" t="n">
        <v>36</v>
      </c>
      <c r="AM1717" t="inlineStr">
        <is>
          <t>ROYAL SOC CHEMISTRY</t>
        </is>
      </c>
      <c r="AN1717" t="inlineStr">
        <is>
          <t>CAMBRIDGE</t>
        </is>
      </c>
      <c r="AO1717" t="inlineStr">
        <is>
          <t>THOMAS GRAHAM HOUSE, SCIENCE PARK, MILTON RD, CAMBRIDGE CB4 0WF, CAMBS, ENGLAND</t>
        </is>
      </c>
      <c r="AP1717" t="inlineStr">
        <is>
          <t>2050-7887</t>
        </is>
      </c>
      <c r="AQ1717" t="inlineStr">
        <is>
          <t>2050-7895</t>
        </is>
      </c>
      <c r="AS1717" t="inlineStr">
        <is>
          <t>ENVIRON SCI-PROC IMP</t>
        </is>
      </c>
      <c r="AT1717" t="inlineStr">
        <is>
          <t>Environ. Sci.-Process Impacts</t>
        </is>
      </c>
      <c r="AU1717" t="inlineStr">
        <is>
          <t>DEC 1</t>
        </is>
      </c>
      <c r="AV1717" t="n">
        <v>2020</v>
      </c>
      <c r="AW1717" t="n">
        <v>22</v>
      </c>
      <c r="AX1717" t="n">
        <v>12</v>
      </c>
      <c r="BC1717" t="n">
        <v>2322</v>
      </c>
      <c r="BD1717" t="n">
        <v>2331</v>
      </c>
      <c r="BF1717" t="inlineStr">
        <is>
          <t>10.1039/d0em00284d</t>
        </is>
      </c>
      <c r="BG1717">
        <f>HYPERLINK("http://dx.doi.org/10.1039/d0em00284d","http://dx.doi.org/10.1039/d0em00284d")</f>
        <v/>
      </c>
      <c r="BJ1717" t="n">
        <v>10</v>
      </c>
      <c r="BK1717" t="inlineStr">
        <is>
          <t>Chemistry, Analytical; Environmental Sciences</t>
        </is>
      </c>
      <c r="BL1717" t="inlineStr">
        <is>
          <t>Science Citation Index Expanded (SCI-EXPANDED)</t>
        </is>
      </c>
      <c r="BM1717" t="inlineStr">
        <is>
          <t>Chemistry; Environmental Sciences &amp; Ecology</t>
        </is>
      </c>
      <c r="BN1717" t="inlineStr">
        <is>
          <t>PG0HK</t>
        </is>
      </c>
      <c r="BO1717" t="n">
        <v>33130833</v>
      </c>
      <c r="BS1717" t="inlineStr">
        <is>
          <t>2023-10-26</t>
        </is>
      </c>
      <c r="BT1717" t="inlineStr">
        <is>
          <t>WOS:000599425400003</t>
        </is>
      </c>
      <c r="BU1717">
        <f>HYPERLINK("https%3A%2F%2Fwww.webofscience.com%2Fwos%2Fwoscc%2Ffull-record%2FWOS:000599425400003","View Full Record in Web of Science")</f>
        <v/>
      </c>
    </row>
    <row r="1718">
      <c r="A1718" t="inlineStr">
        <is>
          <t>J</t>
        </is>
      </c>
      <c r="B1718" t="inlineStr">
        <is>
          <t>Park, SH; Ko, DW</t>
        </is>
      </c>
      <c r="F1718" t="inlineStr">
        <is>
          <t>Park, Seung-Hoon; Ko, Dong-Won</t>
        </is>
      </c>
      <c r="J1718" t="inlineStr">
        <is>
          <t>SUSTAINABILITY</t>
        </is>
      </c>
      <c r="M1718" t="inlineStr">
        <is>
          <t>English</t>
        </is>
      </c>
      <c r="N1718" t="inlineStr">
        <is>
          <t>Article</t>
        </is>
      </c>
      <c r="T1718" t="inlineStr">
        <is>
          <t>Investigating the Effects of the Built Environment on PM2.5 and PM10: A Case Study of Seoul Metropolitan City, South Korea</t>
        </is>
      </c>
      <c r="U1718" t="inlineStr">
        <is>
          <t>air pollution; built environment; geographic information system; particulate matter</t>
        </is>
      </c>
      <c r="V1718" t="inlineStr">
        <is>
          <t>LAND-USE REGRESSION; PARTICULATE AIR-POLLUTION; ULTRAFINE PARTICLES; BLACK CARBON; URBAN FORM; MATTER; ROAD; NO2; OZONE; POLLUTANTS</t>
        </is>
      </c>
      <c r="W1718" t="inlineStr">
        <is>
          <t>Air pollution has a major impact on human health and quality of life; therefore, its determinants should be studied to promote effective management and reduction. Here, we examined the influence of the built environment on air pollution by analyzing the relationship between the built environment and particulate matter (i.e., PM2.5 and PM10). Air pollution data collected in Seoul in 2014 were spatially mapped using geographic information system tools, and PM2.5 and PM10 concentrations were determined in individual neighborhoods using an interpolation method. PM2.5 and PM10 failed to show spatial autocorrelation; therefore, we analyzed the associations between PM fractions and built environment characteristics using an ordinary least squares regression model. PM2.5 and PM10 exhibited some differences in spatial distributions, suggesting that the built environment has different effects on these fractions. For instance, high PM10 concentrations were associated with neighborhoods with more bus routes, bus stops, and river areas. Meanwhile, both PM2.5 and PM10 were more likely to be high in areas with more commercial areas and multi-family housing, but low in areas with more main roads, more single-family housing, and high average gross commercial floor area. This study is expected to contribute to establishing policies and strategies to promote sustainability in Seoul, Korea.</t>
        </is>
      </c>
      <c r="X1718" t="inlineStr">
        <is>
          <t>[Park, Seung-Hoon; Ko, Dong-Won] Keimyung Univ, Dept Urban Planning, Daegu 42601, South Korea</t>
        </is>
      </c>
      <c r="Y1718" t="inlineStr">
        <is>
          <t>Keimyung University</t>
        </is>
      </c>
      <c r="Z1718" t="inlineStr">
        <is>
          <t>Park, SH (corresponding author), Keimyung Univ, Dept Urban Planning, Daegu 42601, South Korea.</t>
        </is>
      </c>
      <c r="AA1718" t="inlineStr">
        <is>
          <t>parksh1541@kmu.ac.kr; dw2774@naver.com</t>
        </is>
      </c>
      <c r="AC1718" t="inlineStr">
        <is>
          <t>Park, Seung-Hoon/0000-0002-1469-3026</t>
        </is>
      </c>
      <c r="AD1718" t="inlineStr">
        <is>
          <t>National Research Foundation of Korea (NRF) [NRF-2018R1D1A1B07050844]</t>
        </is>
      </c>
      <c r="AE1718" t="inlineStr">
        <is>
          <t>National Research Foundation of Korea (NRF)(National Research Foundation of Korea)</t>
        </is>
      </c>
      <c r="AF1718" t="inlineStr">
        <is>
          <t>This work was supported by the National Research Foundation of Korea (NRF) (No. NRF-2018R1D1A1B07050844).</t>
        </is>
      </c>
      <c r="AH1718" t="n">
        <v>33</v>
      </c>
      <c r="AI1718" t="n">
        <v>22</v>
      </c>
      <c r="AJ1718" t="n">
        <v>22</v>
      </c>
      <c r="AK1718" t="n">
        <v>3</v>
      </c>
      <c r="AL1718" t="n">
        <v>26</v>
      </c>
      <c r="AM1718" t="inlineStr">
        <is>
          <t>MDPI</t>
        </is>
      </c>
      <c r="AN1718" t="inlineStr">
        <is>
          <t>BASEL</t>
        </is>
      </c>
      <c r="AO1718" t="inlineStr">
        <is>
          <t>ST ALBAN-ANLAGE 66, CH-4052 BASEL, SWITZERLAND</t>
        </is>
      </c>
      <c r="AQ1718" t="inlineStr">
        <is>
          <t>2071-1050</t>
        </is>
      </c>
      <c r="AS1718" t="inlineStr">
        <is>
          <t>SUSTAINABILITY-BASEL</t>
        </is>
      </c>
      <c r="AT1718" t="inlineStr">
        <is>
          <t>Sustainability</t>
        </is>
      </c>
      <c r="AU1718" t="inlineStr">
        <is>
          <t>DEC</t>
        </is>
      </c>
      <c r="AV1718" t="n">
        <v>2018</v>
      </c>
      <c r="AW1718" t="n">
        <v>10</v>
      </c>
      <c r="AX1718" t="n">
        <v>12</v>
      </c>
      <c r="BE1718" t="n">
        <v>4552</v>
      </c>
      <c r="BF1718" t="inlineStr">
        <is>
          <t>10.3390/su10124552</t>
        </is>
      </c>
      <c r="BG1718">
        <f>HYPERLINK("http://dx.doi.org/10.3390/su10124552","http://dx.doi.org/10.3390/su10124552")</f>
        <v/>
      </c>
      <c r="BJ1718" t="n">
        <v>11</v>
      </c>
      <c r="BK1718" t="inlineStr">
        <is>
          <t>Green &amp; Sustainable Science &amp; Technology; Environmental Sciences; Environmental Studies</t>
        </is>
      </c>
      <c r="BL1718" t="inlineStr">
        <is>
          <t>Science Citation Index Expanded (SCI-EXPANDED); Social Science Citation Index (SSCI)</t>
        </is>
      </c>
      <c r="BM1718" t="inlineStr">
        <is>
          <t>Science &amp; Technology - Other Topics; Environmental Sciences &amp; Ecology</t>
        </is>
      </c>
      <c r="BN1718" t="inlineStr">
        <is>
          <t>HG9OL</t>
        </is>
      </c>
      <c r="BP1718" t="inlineStr">
        <is>
          <t>gold</t>
        </is>
      </c>
      <c r="BS1718" t="inlineStr">
        <is>
          <t>2023-10-26</t>
        </is>
      </c>
      <c r="BT1718" t="inlineStr">
        <is>
          <t>WOS:000455338100218</t>
        </is>
      </c>
      <c r="BU1718">
        <f>HYPERLINK("https%3A%2F%2Fwww.webofscience.com%2Fwos%2Fwoscc%2Ffull-record%2FWOS:000455338100218","View Full Record in Web of Science")</f>
        <v/>
      </c>
    </row>
    <row r="1719">
      <c r="A1719" t="inlineStr">
        <is>
          <t>J</t>
        </is>
      </c>
      <c r="B1719" t="inlineStr">
        <is>
          <t>He, F; Li, T; Lin, JF; Li, FD; Zhai, YJ; Zhang, T; Gu, X; Zhao, GM</t>
        </is>
      </c>
      <c r="F1719" t="inlineStr">
        <is>
          <t>He, Fan; Li, Tian; Lin, Junfen; Li, Fudong; Zhai, Yujia; Zhang, Tao; Gu, Xue; Zhao, Genming</t>
        </is>
      </c>
      <c r="J1719" t="inlineStr">
        <is>
          <t>INTERNATIONAL JOURNAL OF ENVIRONMENTAL RESEARCH AND PUBLIC HEALTH</t>
        </is>
      </c>
      <c r="M1719" t="inlineStr">
        <is>
          <t>English</t>
        </is>
      </c>
      <c r="N1719" t="inlineStr">
        <is>
          <t>Article</t>
        </is>
      </c>
      <c r="T1719" t="inlineStr">
        <is>
          <t>Passive Smoking Exposure in Living Environments Reduces Cognitive Function: A Prospective Cohort Study in Older Adults</t>
        </is>
      </c>
      <c r="U1719" t="inlineStr">
        <is>
          <t>passive smoking; cognitive impairment; longitudinal study; hazard ratio; dementia; older adults; aging</t>
        </is>
      </c>
      <c r="V1719" t="inlineStr">
        <is>
          <t>TOBACCO-SMOKE; SECONDHAND SMOKE; IMPAIRMENT; ASSOCIATION; PERFORMANCE; DISEASE; HEALTH; WOMEN</t>
        </is>
      </c>
      <c r="W1719" t="inlineStr">
        <is>
          <t>There is currently no consensus regarding the effects of passive smoking exposure on cognitive function in older adults. We evaluated 7000 permanent residents from six regions within Zhejiang Province, China, aged &gt;= 60 years, without cognitive impairment at baseline and during follow-up examinations for two years. The Chinese version of the Mini-Mental State Examination was used to assess the participants' cognitive function. Multivariate regression analyses were carried out to calculate the adjusted relative risks (RRs) as measures of the association between passive smoking exposure and cognitive impairment after adjusting for potential confounders. The results showed an association between passive smoking exposure in the living environment and increased risk of cognitive impairment (RR: 1.16; 95% confidence interval (CI): 1.01-1.35). No dose-response relationship between the cumulative dose of passive smoking exposure (days) and cognitive impairment was observed. The results of stratified analyses suggested a harmful effect of passive smoking exposure on cognitive function in non-smokers (RR: 1.24; 95% CI: 1.06-1.46), but not in smokers (RR: 1.11; 95% CI: 0.71-1.92). Therefore, passive smoking exposure increased the risk of cognitive impairment in older adults, especially non-smokers. More effective measures to restrict smoking in the living environment should be developed and implemented.</t>
        </is>
      </c>
      <c r="X1719" t="inlineStr">
        <is>
          <t>[He, Fan; Zhao, Genming] Fudan Univ, Sch Publ Hlth, Dept Epidemiol, Shanghai 200032, Peoples R China; [He, Fan; Lin, Junfen; Li, Fudong; Zhai, Yujia; Zhang, Tao; Gu, Xue] Zhejiang Prov Ctr Dis Control &amp; Prevent, Hangzhou 310051, Peoples R China; [Li, Tian] Columbia Univ, Med Ctr, Mailman Sch Publ Hlth, New York, NY 10032 USA</t>
        </is>
      </c>
      <c r="Y1719" t="inlineStr">
        <is>
          <t>Fudan University; Zhejiang Provincial Center for Disease Control &amp; Prevention; Columbia University</t>
        </is>
      </c>
      <c r="Z1719" t="inlineStr">
        <is>
          <t>Zhao, GM (corresponding author), Fudan Univ, Sch Publ Hlth, Dept Epidemiol, Shanghai 200032, Peoples R China.</t>
        </is>
      </c>
      <c r="AA1719" t="inlineStr">
        <is>
          <t>fhe@cdc.zj.cn; tl2882@cumc.columbia.edu; zjlinjunfen@163.com; fdli@cdc.zj.cn; yjzhai@cdc.zj.cn; tzhang@cdc.zj.cn; xgu@cdc.zj.cn; gmzhao@shmu.edu.cn</t>
        </is>
      </c>
      <c r="AC1719" t="inlineStr">
        <is>
          <t>HE, FAN/0000-0001-6027-7157</t>
        </is>
      </c>
      <c r="AD1719" t="inlineStr">
        <is>
          <t>National Key R&amp;D Program of China [2017YFC0907000]; Zhejiang Provincial Public Welfare Technology Application Research Project of China [LGF19H260003]</t>
        </is>
      </c>
      <c r="AE1719" t="inlineStr">
        <is>
          <t>National Key R&amp;D Program of China; Zhejiang Provincial Public Welfare Technology Application Research Project of China</t>
        </is>
      </c>
      <c r="AF1719" t="inlineStr">
        <is>
          <t>This research was funded by the National Key R&amp;D Program of China (2017YFC0907000) and the Zhejiang Provincial Public Welfare Technology Application Research Project of China (LGF19H260003).</t>
        </is>
      </c>
      <c r="AH1719" t="n">
        <v>35</v>
      </c>
      <c r="AI1719" t="n">
        <v>14</v>
      </c>
      <c r="AJ1719" t="n">
        <v>14</v>
      </c>
      <c r="AK1719" t="n">
        <v>5</v>
      </c>
      <c r="AL1719" t="n">
        <v>9</v>
      </c>
      <c r="AM1719" t="inlineStr">
        <is>
          <t>MDPI</t>
        </is>
      </c>
      <c r="AN1719" t="inlineStr">
        <is>
          <t>BASEL</t>
        </is>
      </c>
      <c r="AO1719" t="inlineStr">
        <is>
          <t>ST ALBAN-ANLAGE 66, CH-4052 BASEL, SWITZERLAND</t>
        </is>
      </c>
      <c r="AQ1719" t="inlineStr">
        <is>
          <t>1660-4601</t>
        </is>
      </c>
      <c r="AS1719" t="inlineStr">
        <is>
          <t>INT J ENV RES PUB HE</t>
        </is>
      </c>
      <c r="AT1719" t="inlineStr">
        <is>
          <t>Int. J. Environ. Res. Public Health</t>
        </is>
      </c>
      <c r="AU1719" t="inlineStr">
        <is>
          <t>FEB</t>
        </is>
      </c>
      <c r="AV1719" t="n">
        <v>2020</v>
      </c>
      <c r="AW1719" t="n">
        <v>17</v>
      </c>
      <c r="AX1719" t="n">
        <v>4</v>
      </c>
      <c r="BE1719" t="n">
        <v>1402</v>
      </c>
      <c r="BF1719" t="inlineStr">
        <is>
          <t>10.3390/ijerph17041402</t>
        </is>
      </c>
      <c r="BG1719">
        <f>HYPERLINK("http://dx.doi.org/10.3390/ijerph17041402","http://dx.doi.org/10.3390/ijerph17041402")</f>
        <v/>
      </c>
      <c r="BJ1719" t="n">
        <v>11</v>
      </c>
      <c r="BK1719" t="inlineStr">
        <is>
          <t>Environmental Sciences; Public, Environmental &amp; Occupational Health</t>
        </is>
      </c>
      <c r="BL1719" t="inlineStr">
        <is>
          <t>Science Citation Index Expanded (SCI-EXPANDED); Social Science Citation Index (SSCI)</t>
        </is>
      </c>
      <c r="BM1719" t="inlineStr">
        <is>
          <t>Environmental Sciences &amp; Ecology; Public, Environmental &amp; Occupational Health</t>
        </is>
      </c>
      <c r="BN1719" t="inlineStr">
        <is>
          <t>KY2GF</t>
        </is>
      </c>
      <c r="BO1719" t="n">
        <v>32098188</v>
      </c>
      <c r="BP1719" t="inlineStr">
        <is>
          <t>gold, Green Published</t>
        </is>
      </c>
      <c r="BS1719" t="inlineStr">
        <is>
          <t>2023-10-26</t>
        </is>
      </c>
      <c r="BT1719" t="inlineStr">
        <is>
          <t>WOS:000522388500278</t>
        </is>
      </c>
      <c r="BU1719">
        <f>HYPERLINK("https%3A%2F%2Fwww.webofscience.com%2Fwos%2Fwoscc%2Ffull-record%2FWOS:000522388500278","View Full Record in Web of Science")</f>
        <v/>
      </c>
    </row>
    <row r="1720">
      <c r="A1720" t="inlineStr">
        <is>
          <t>J</t>
        </is>
      </c>
      <c r="B1720" t="inlineStr">
        <is>
          <t>Kubecková, D; Kraus, M; Senitková, IJ; Vrbová, M</t>
        </is>
      </c>
      <c r="F1720" t="inlineStr">
        <is>
          <t>Kubeckova, Darja; Kraus, Michal; Senitkova, Ingrid Juhasova; Vrbova, Magdalena</t>
        </is>
      </c>
      <c r="J1720" t="inlineStr">
        <is>
          <t>SUSTAINABILITY</t>
        </is>
      </c>
      <c r="M1720" t="inlineStr">
        <is>
          <t>English</t>
        </is>
      </c>
      <c r="N1720" t="inlineStr">
        <is>
          <t>Article</t>
        </is>
      </c>
      <c r="T1720" t="inlineStr">
        <is>
          <t>The Indoor Microclimate of Prefabricated Buildings for Housing: Interaction of Environmental and Construction Measures</t>
        </is>
      </c>
      <c r="U1720" t="inlineStr">
        <is>
          <t>building; indoor air quality (IAQ); environmental aspects; carbon dioxide; volatile organic compounds; particular matter; sustainability building-up</t>
        </is>
      </c>
      <c r="V1720" t="inlineStr">
        <is>
          <t>RESIDENTIAL BUILDINGS; AIR</t>
        </is>
      </c>
      <c r="W1720" t="inlineStr">
        <is>
          <t>The current knowledge shows that the interior microclimate of residential buildings that were constructed between 1950 and 1990 using panel construction, not only in the Czech Republic but also in Europe, and were renovated in accordance with applicable legislation related to thermal comfort and energy is significantly affected by gaseous pollutants. At increased concentrations and exposure times, these pollutants negatively affect the interior microclimate and at the same time have a negative effect on the health of users. After the implementation of remediation measures, which are mainly focused on improving the thermal technical parameters of the building envelope, the concentration of CO2 in the indoor environment increases. Carbon dioxide is one of the most important active factors and in terms of the quality of the interior microclimate, it is considered a reliable indicator of whether the interior microclimate can be considered a healthy and favorable environment. It is thus clear that the set and de facto systematized measures in the renovation of the housing stock from the second half of the 20th century has led to energy savings on the one hand, but on the other hand, this has contributed to the hygienic damage of housing units and an unhealthy interior microclimate. The paper aims to define the interaction of interdisciplinary contexts that have led to an increase in the indoor air quality (IAQ) of renovated residential panel buildings.</t>
        </is>
      </c>
      <c r="X1720" t="inlineStr">
        <is>
          <t>[Kubeckova, Darja; Vrbova, Magdalena] VSB Tech Univ Ostrava, Fac Civil Engn, Dept Construct, L Podeste 1875, Ostrava 70800, Czech Republic; [Kraus, Michal; Senitkova, Ingrid Juhasova] Inst Technol &amp; Business Ceske Budejovice, Dept Civil Engn, Okruzni 517-10, Ceske Budejovice 37101, Czech Republic</t>
        </is>
      </c>
      <c r="Y1720" t="inlineStr">
        <is>
          <t>Technical University of Ostrava; Institute of Technology &amp; Business, Ceske Budejovice</t>
        </is>
      </c>
      <c r="Z1720" t="inlineStr">
        <is>
          <t>Kubecková, D (corresponding author), VSB Tech Univ Ostrava, Fac Civil Engn, Dept Construct, L Podeste 1875, Ostrava 70800, Czech Republic.</t>
        </is>
      </c>
      <c r="AA1720" t="inlineStr">
        <is>
          <t>darja.kubeckova@vsb.cz; info@krausmichal.cz; senitkova@mail.vstecb.cz; magdalena.vrbova@vsb.cz</t>
        </is>
      </c>
      <c r="AB1720" t="inlineStr">
        <is>
          <t>Kraus, Michal/A-5808-2015; Kubečková, Darja/B-4799-2017</t>
        </is>
      </c>
      <c r="AC1720" t="inlineStr">
        <is>
          <t>Kraus, Michal/0000-0001-5734-1488; Kubečková, Darja/0000-0001-9664-6129; Juhasova Senitkova, Ingrid/0000-0003-3178-383X</t>
        </is>
      </c>
      <c r="AD1720" t="inlineStr">
        <is>
          <t>Ministry of Education, Youth and Sports of the Czech Republic</t>
        </is>
      </c>
      <c r="AE1720" t="inlineStr">
        <is>
          <t>Ministry of Education, Youth and Sports of the Czech Republic(Ministry of Education, Youth &amp; Sports - Czech Republic)</t>
        </is>
      </c>
      <c r="AF1720" t="inlineStr">
        <is>
          <t>The papers have been supported from the funds of the Ministry of Education, Youth and Sports of the Czech Republic, with support of the development projects in 2017 and Institutional Support 2020.</t>
        </is>
      </c>
      <c r="AH1720" t="n">
        <v>37</v>
      </c>
      <c r="AI1720" t="n">
        <v>7</v>
      </c>
      <c r="AJ1720" t="n">
        <v>7</v>
      </c>
      <c r="AK1720" t="n">
        <v>0</v>
      </c>
      <c r="AL1720" t="n">
        <v>11</v>
      </c>
      <c r="AM1720" t="inlineStr">
        <is>
          <t>MDPI</t>
        </is>
      </c>
      <c r="AN1720" t="inlineStr">
        <is>
          <t>BASEL</t>
        </is>
      </c>
      <c r="AO1720" t="inlineStr">
        <is>
          <t>ST ALBAN-ANLAGE 66, CH-4052 BASEL, SWITZERLAND</t>
        </is>
      </c>
      <c r="AQ1720" t="inlineStr">
        <is>
          <t>2071-1050</t>
        </is>
      </c>
      <c r="AS1720" t="inlineStr">
        <is>
          <t>SUSTAINABILITY-BASEL</t>
        </is>
      </c>
      <c r="AT1720" t="inlineStr">
        <is>
          <t>Sustainability</t>
        </is>
      </c>
      <c r="AU1720" t="inlineStr">
        <is>
          <t>DEC</t>
        </is>
      </c>
      <c r="AV1720" t="n">
        <v>2020</v>
      </c>
      <c r="AW1720" t="n">
        <v>12</v>
      </c>
      <c r="AX1720" t="n">
        <v>23</v>
      </c>
      <c r="BE1720" t="n">
        <v>10119</v>
      </c>
      <c r="BF1720" t="inlineStr">
        <is>
          <t>10.3390/su122310119</t>
        </is>
      </c>
      <c r="BG1720">
        <f>HYPERLINK("http://dx.doi.org/10.3390/su122310119","http://dx.doi.org/10.3390/su122310119")</f>
        <v/>
      </c>
      <c r="BJ1720" t="n">
        <v>23</v>
      </c>
      <c r="BK1720" t="inlineStr">
        <is>
          <t>Green &amp; Sustainable Science &amp; Technology; Environmental Sciences; Environmental Studies</t>
        </is>
      </c>
      <c r="BL1720" t="inlineStr">
        <is>
          <t>Science Citation Index Expanded (SCI-EXPANDED); Social Science Citation Index (SSCI)</t>
        </is>
      </c>
      <c r="BM1720" t="inlineStr">
        <is>
          <t>Science &amp; Technology - Other Topics; Environmental Sciences &amp; Ecology</t>
        </is>
      </c>
      <c r="BN1720" t="inlineStr">
        <is>
          <t>PD3IJ</t>
        </is>
      </c>
      <c r="BP1720" t="inlineStr">
        <is>
          <t>gold, Green Published</t>
        </is>
      </c>
      <c r="BS1720" t="inlineStr">
        <is>
          <t>2023-10-26</t>
        </is>
      </c>
      <c r="BT1720" t="inlineStr">
        <is>
          <t>WOS:000597582400001</t>
        </is>
      </c>
      <c r="BU1720">
        <f>HYPERLINK("https%3A%2F%2Fwww.webofscience.com%2Fwos%2Fwoscc%2Ffull-record%2FWOS:000597582400001","View Full Record in Web of Science")</f>
        <v/>
      </c>
    </row>
    <row r="1721">
      <c r="A1721" t="inlineStr">
        <is>
          <t>J</t>
        </is>
      </c>
      <c r="B1721" t="inlineStr">
        <is>
          <t>Koivisto, AJ; Kling, KI; Hänninen, O; Jayjock, M; Löndahl, J; Wierzbicka, A; Fonseca, AS; Uhrbrand, K; Boor, BE; Jiménez, AS; Hämeri, K; Dal Maso, M; Arnold, SF; Jensen, KA; Viana, M; Morawska, L; Hussein, T</t>
        </is>
      </c>
      <c r="F1721" t="inlineStr">
        <is>
          <t>Koivisto, Antti Joonas; Kling, Kirsten Inga; Hanninen, Otto; Jayjock, Michael; Londahl, Jakob; Wierzbicka, Aneta; Fonseca, Ana Sofia; Uhrbrand, Katrine; Boor, Brandon E.; Jimenez, Araceli Sanchez; Hameri, Kaarle; Dal Maso, Miikka; Arnold, Susan F.; Jensen, Keld A.; Viana, Mar; Morawska, Lidia; Hussein, Tareq</t>
        </is>
      </c>
      <c r="J1721" t="inlineStr">
        <is>
          <t>SCIENCE OF THE TOTAL ENVIRONMENT</t>
        </is>
      </c>
      <c r="M1721" t="inlineStr">
        <is>
          <t>English</t>
        </is>
      </c>
      <c r="N1721" t="inlineStr">
        <is>
          <t>Article</t>
        </is>
      </c>
      <c r="T1721" t="inlineStr">
        <is>
          <t>Source specific exposure and risk assessment for indoor aerosols</t>
        </is>
      </c>
      <c r="U1721" t="inlineStr">
        <is>
          <t>Air quality; Emission; Modeling; Mass balance; Regulation; Health</t>
        </is>
      </c>
      <c r="V1721" t="inlineStr">
        <is>
          <t>AIR EXCHANGE-RATES; PARTICULATE MATTER; OCCUPATIONAL-EXPOSURE; INHALATION EXPOSURE; FLOW-RATES; CARDIOVASCULAR-DISEASE; VENTILATION RATES; MODELING TOOLS; BREATHING ZONE; EMISSION RATES</t>
        </is>
      </c>
      <c r="W1721" t="inlineStr">
        <is>
          <t>Poor air quality is a leading contributor to the global disease burden and total number of deaths worldwide. Humans spend most of their time in built environments where the majority of the inhalation exposure occurs. Indoor Air Quality (IAQ) is challenged by outdoor air pollution entering indoors through ventilation and infiltration and by indoor emission sources. The aim of this study was to understand the current knowledge level and gaps regarding effective approaches to improve IAQ Emission regulations currently focus on outdoor emissions, whereas quantitative understanding of emissions from indoor sources is generally lacking.Therefore, specific indoor sources need to be identified, characterized, and quantified according to their environmental and human health impact. The emission sources should be stored in terms of relevant metrics and statistics in an easily accessible format that is applicable for source specific exposure assessment by using mathematical mass balance modelings. This forms a foundation for comprehensive risk assessment and efficient interventions. For such a general exposure assessment model we need 1) systematic methods for indoor aerosol emission source assessment, 2) source emission documentation in terms of relevant a) aerosol metrics and b) biological metrics, 3) default model parameterization for predictive exposure modeling, 4) other needs related to aerosol characterization techniques and modeling methods. Such a general exposure assessment model can be applicable for private, public, and occupational indoor exposure assessment, making it a valuable tool for public health professionals, product safety designers, industrial hygienists, building scientists, and environmental consultants working in the field of IAQ and health. (C) 2019 The Authors. Published by Elsevier B.V.</t>
        </is>
      </c>
      <c r="X1721" t="inlineStr">
        <is>
          <t>[Koivisto, Antti Joonas; Fonseca, Ana Sofia; Uhrbrand, Katrine; Jensen, Keld A.] Natl Res Ctr Working Environm, Lerso Pk Alle 105, DK-2100 Copenhagen, Denmark; [Kling, Kirsten Inga] Tech Univ Denmark, Natl Ctr Nano Fabricat &amp; Characterizat, Fys Vej 307, DK-2800 Lyngby, Denmark; [Hanninen, Otto] Natl Inst Hlth &amp; Welf THL, Kuopio, Finland; [Jayjock, Michael] Jayjock Associates LLC, Langhorne, PA USA; [Londahl, Jakob; Wierzbicka, Aneta] Lund Univ, Div Ergon &amp; Aerosol Technol, Dept Design Sci, Box 118, SE-22100 Lund, Sweden; [Boor, Brandon E.] Purdue Univ, Lyles Sch Civil Engn, 550 Stadium Mall Dr, W Lafayette, IN 47907 USA; [Boor, Brandon E.] Purdue Univ, Ray W Herrick Labs, Ctr High Performance Bldg, 177 South Russell St, W Lafayette, IN 47907 USA; [Jimenez, Araceli Sanchez] CHES, IOM, Res Ave North, Edinburgh EH14 4AP, Midlothian, Scotland; [Hameri, Kaarle; Hussein, Tareq] Univ Helsinki, Inst Atmospher &amp; Earth Syst Res INAR, PL 64, FI-00014 Helsinki, Finland; [Dal Maso, Miikka] Tampere Univ Technol, Aerosol Phys, Fac Nat Sci, Tampere, Finland; [Arnold, Susan F.] Univ Minnesota, Sch Publ Hlth, Div Environm Hlth Sci, Minneapolis, MN USA; [Viana, Mar] CSIC, Inst Environm Assessment &amp; Water Res IDAEA, C Jordi Girona 18, ES-08034 Barcelona, Spain; [Morawska, Lidia] Queensland Univ Technol, Int Lab Air Qual &amp; Hlth, Brisbane, Qld, Australia; [Hussein, Tareq] Univ Jordan, Dept Phys, Amman 11942, Jordan</t>
        </is>
      </c>
      <c r="Y1721" t="inlineStr">
        <is>
          <t>National Research Centre for the Working Environment; Technical University of Denmark; Finland National Institute for Health &amp; Welfare; Lund University; Purdue University System; Purdue University West Lafayette Campus; Purdue University; Purdue University System; Purdue University West Lafayette Campus; Purdue University; University of Helsinki; Tampere University; University of Minnesota System; University of Minnesota Twin Cities; Consejo Superior de Investigaciones Cientificas (CSIC); CSIC - Centro de Investigacion y Desarrollo Pascual Vila (CID-CSIC); CSIC - Instituto de Diagnostico Ambiental y Estudios del Agua (IDAEA); Queensland University of Technology (QUT); University of Jordan</t>
        </is>
      </c>
      <c r="Z1721" t="inlineStr">
        <is>
          <t>Koivisto, AJ (corresponding author), Natl Res Ctr Working Environm, Lerso Pk Alle 105, DK-2100 Copenhagen, Denmark.</t>
        </is>
      </c>
      <c r="AA1721" t="inlineStr">
        <is>
          <t>jok@nrcwe.dk</t>
        </is>
      </c>
      <c r="AB1721" t="inlineStr">
        <is>
          <t>Arnold, Susan F./AAD-5500-2019; Koivisto, Antti Joonas/Z-2722-2019; Hussein, Tareq/A-8055-2011; Fonseca, Ana Sofia/AAR-5744-2021; Londahl, Jakob/B-8217-2014; Wierzbicka, Aneta/AAD-1860-2019; Hänninen, Otto/C-7951-2012; Dal Maso, Miikka/A-7980-2008; Morawska, Lidia/B-4140-2011</t>
        </is>
      </c>
      <c r="AC1721" t="inlineStr">
        <is>
          <t>Arnold, Susan F./0000-0002-1465-3761; Koivisto, Antti Joonas/0000-0002-6769-1999; Hussein, Tareq/0000-0002-0241-6435; Fonseca, Ana Sofia/0000-0002-1424-6365; Londahl, Jakob/0000-0001-9379-592X; Wierzbicka, Aneta/0000-0002-0678-7161; Hänninen, Otto/0000-0002-4868-4822; Dal Maso, Miikka/0000-0003-3040-3612; Uhrbrand, Katrine/0000-0001-9118-8448; Morawska, Lidia/0000-0002-0594-9683; SANCHEZ JIMENEZ, ARACELI/0000-0002-2625-9155; Hameri, Kaarle/0000-0003-2667-2174; Kling, Kirsten Inga/0000-0003-2765-4007</t>
        </is>
      </c>
      <c r="AD1721" t="inlineStr">
        <is>
          <t>European Union's Horizon 2020 research and innovation programme [760840]; Academy of Finland project BATMAN [285672]; NordForsk under the Nordic Programme on Health andWelfare project [75007]; EU LIFE+ project Index-Air [LIFE15 ENV/PT/000674]; Academy of Finland (AKA) [285672, 285672] Funding Source: Academy of Finland (AKA)</t>
        </is>
      </c>
      <c r="AE1721" t="inlineStr">
        <is>
          <t>European Union's Horizon 2020 research and innovation programme; Academy of Finland project BATMAN; NordForsk under the Nordic Programme on Health andWelfare project; EU LIFE+ project Index-Air; Academy of Finland (AKA)(Research Council of Finland)</t>
        </is>
      </c>
      <c r="AF1721" t="inlineStr">
        <is>
          <t>This project has received funding from the European Union's Horizon 2020 research and innovation programme under grant agreement No 760840 and was partly supported by Academy of Finland project BATMAN (285672) and NordForsk under the Nordic Programme on Health andWelfare project #75007 (NordicWelfAir), EU LIFE+ project Index-Air (LIFE15 ENV/PT/000674) and intramural funding by the participating institutes. The authors also wish to thank Tiina Santonen (Finnish Institute of Occupational Health) for her excellent comments.</t>
        </is>
      </c>
      <c r="AH1721" t="n">
        <v>193</v>
      </c>
      <c r="AI1721" t="n">
        <v>44</v>
      </c>
      <c r="AJ1721" t="n">
        <v>44</v>
      </c>
      <c r="AK1721" t="n">
        <v>2</v>
      </c>
      <c r="AL1721" t="n">
        <v>63</v>
      </c>
      <c r="AM1721" t="inlineStr">
        <is>
          <t>ELSEVIER SCIENCE BV</t>
        </is>
      </c>
      <c r="AN1721" t="inlineStr">
        <is>
          <t>AMSTERDAM</t>
        </is>
      </c>
      <c r="AO1721" t="inlineStr">
        <is>
          <t>PO BOX 211, 1000 AE AMSTERDAM, NETHERLANDS</t>
        </is>
      </c>
      <c r="AP1721" t="inlineStr">
        <is>
          <t>0048-9697</t>
        </is>
      </c>
      <c r="AQ1721" t="inlineStr">
        <is>
          <t>1879-1026</t>
        </is>
      </c>
      <c r="AS1721" t="inlineStr">
        <is>
          <t>SCI TOTAL ENVIRON</t>
        </is>
      </c>
      <c r="AT1721" t="inlineStr">
        <is>
          <t>Sci. Total Environ.</t>
        </is>
      </c>
      <c r="AU1721" t="inlineStr">
        <is>
          <t>JUN 10</t>
        </is>
      </c>
      <c r="AV1721" t="n">
        <v>2019</v>
      </c>
      <c r="AW1721" t="n">
        <v>668</v>
      </c>
      <c r="BC1721" t="n">
        <v>13</v>
      </c>
      <c r="BD1721" t="n">
        <v>24</v>
      </c>
      <c r="BF1721" t="inlineStr">
        <is>
          <t>10.1016/j.scitotenv.2019.02.398</t>
        </is>
      </c>
      <c r="BG1721">
        <f>HYPERLINK("http://dx.doi.org/10.1016/j.scitotenv.2019.02.398","http://dx.doi.org/10.1016/j.scitotenv.2019.02.398")</f>
        <v/>
      </c>
      <c r="BJ1721" t="n">
        <v>12</v>
      </c>
      <c r="BK1721" t="inlineStr">
        <is>
          <t>Environmental Sciences</t>
        </is>
      </c>
      <c r="BL1721" t="inlineStr">
        <is>
          <t>Science Citation Index Expanded (SCI-EXPANDED)</t>
        </is>
      </c>
      <c r="BM1721" t="inlineStr">
        <is>
          <t>Environmental Sciences &amp; Ecology</t>
        </is>
      </c>
      <c r="BN1721" t="inlineStr">
        <is>
          <t>HQ9VV</t>
        </is>
      </c>
      <c r="BO1721" t="n">
        <v>30851679</v>
      </c>
      <c r="BP1721" t="inlineStr">
        <is>
          <t>Green Published, hybrid</t>
        </is>
      </c>
      <c r="BS1721" t="inlineStr">
        <is>
          <t>2023-10-26</t>
        </is>
      </c>
      <c r="BT1721" t="inlineStr">
        <is>
          <t>WOS:000462776800002</t>
        </is>
      </c>
      <c r="BU1721">
        <f>HYPERLINK("https%3A%2F%2Fwww.webofscience.com%2Fwos%2Fwoscc%2Ffull-record%2FWOS:000462776800002","View Full Record in Web of Science")</f>
        <v/>
      </c>
    </row>
    <row r="1722">
      <c r="A1722" t="inlineStr">
        <is>
          <t>J</t>
        </is>
      </c>
      <c r="B1722" t="inlineStr">
        <is>
          <t>Lieber, L; Nimmo-Smith, WAM; Waggitt, JJ; Kregting, L</t>
        </is>
      </c>
      <c r="F1722" t="inlineStr">
        <is>
          <t>Lieber, Lilian; Nimmo-Smith, W. Alex M.; Waggitt, James J.; Kregting, Louise</t>
        </is>
      </c>
      <c r="J1722" t="inlineStr">
        <is>
          <t>ECOLOGICAL INDICATORS</t>
        </is>
      </c>
      <c r="M1722" t="inlineStr">
        <is>
          <t>English</t>
        </is>
      </c>
      <c r="N1722" t="inlineStr">
        <is>
          <t>Article</t>
        </is>
      </c>
      <c r="T1722" t="inlineStr">
        <is>
          <t>Fine-scale hydrodynamic metrics underlying predator occupancy patterns in tidal stream environments</t>
        </is>
      </c>
      <c r="U1722" t="inlineStr">
        <is>
          <t>Acoustic Doppler current profiler; Acoustic backscatter; Physical drivers; Environmental impact assessment; Marine renewable energy; Pinniped</t>
        </is>
      </c>
      <c r="V1722" t="inlineStr">
        <is>
          <t>HARBOR SEALS; FISH; FLOW; CHANNEL; ADCP; PROFILER; SEABIRDS; TURBINES; VELOCITY; BEHAVIOR</t>
        </is>
      </c>
      <c r="W1722" t="inlineStr">
        <is>
          <t>Whilst the development of the tidal stream industry will help meet marine renewable energy (MRE) targets, the potential impacts on mobile marine predators using these highly dynamic environments need consideration. Environmental impact assessments (EIAs) required for potential MRE sites generally involve site-specific animal density estimates obtained from lengthy and costly surveys. Recent studies indicate that whilst large-scale tidal forcing is predictable, local hydrodynamics are variable and often result in spatio-temporal patchiness of marine predators. Therefore, understanding how fine-scale hydrodynamics influence animal distribution patterns could inform the placing of devices to reduce collision and displacement risks. Quantifying distributions requires animal at-sea locations and the concurrent collection of high-resolution hydrodynamic measurements. As the latter are routinely collected during tidal resource characterization at potential MRE sites, there is an untapped opportunity to efficiently collect information on the former to improve ElAs. Here we describe a survey approach that uses vessel-mounted ADCP (Acoustic Doppler current profiler) transects in combination with marine mammal surveys to collect high-resolution and concurrent hydrodynamic data in relation to pinniped (harbour seals Phoca vitulina, grey seals Halichoerus grypus) at-sea occupancy patterns within an energetic tidal channel (peak current magnitudes &gt; 4.5 ms(-1)). We identified novel ADCP-derived fine-scale hydrodynamic metrics that could have ecological relevance for seals using these habitats. We show that our local acoustic backscattering strength metric (an indicator for macro-turbulence) had the highest influence on seal encounters. During peak flows, pinnipeds avoided the mid-channel characterized by extreme backscatter. At-sea occupancy further corresponded with the increased shear and eddies that are strong relative to the mean flows found at the edges of the channel. Our approach, providing oceanographic context to animal habitat use through combined survey methodologies, enhances environmental management of potential MRE sites. The cost-effective collection of such data and the application of our metrics could streamline the EIA process in the early stages of the consenting process.</t>
        </is>
      </c>
      <c r="X1722" t="inlineStr">
        <is>
          <t>[Lieber, Lilian; Kregting, Louise] Queens Univ, Sch Nat &amp; Built Environm, Marine Lab, 12-13 Strand, Portaferry BT22 1PF, North Ireland; [Nimmo-Smith, W. Alex M.] Univ Plymouth, Marine Inst, Plymouth PL4 8AA, Devon, England; [Waggitt, James J.] Bangor Univ, Sch Ocean Sci, Menai Bridge LL59 5AB, AB, Wales</t>
        </is>
      </c>
      <c r="Y1722" t="inlineStr">
        <is>
          <t>University of Plymouth; Bangor University</t>
        </is>
      </c>
      <c r="Z1722" t="inlineStr">
        <is>
          <t>Lieber, L (corresponding author), Queens Univ, Sch Nat &amp; Built Environm, Marine Lab, 12-13 Strand, Portaferry BT22 1PF, North Ireland.</t>
        </is>
      </c>
      <c r="AA1722" t="inlineStr">
        <is>
          <t>l.lieber@qub.ac.uk</t>
        </is>
      </c>
      <c r="AB1722" t="inlineStr">
        <is>
          <t>Lieber, Lilian/U-8245-2017; Lieber, Lilian/AAW-6214-2020; Smith, William AM Nimmo/D-3344-2009</t>
        </is>
      </c>
      <c r="AC1722" t="inlineStr">
        <is>
          <t>Lieber, Lilian/0000-0002-4833-9594; Lieber, Lilian/0000-0002-4833-9594; Nimmo-Smith, Alex/0000-0003-3108-9231</t>
        </is>
      </c>
      <c r="AD1722" t="inlineStr">
        <is>
          <t>European Union's Horizon 2020 research and innovation programme [654438]; Marine Ecosystems Research Programme - Natural Environment Research Council and the Department for Environment, Food &amp; Rural Affairs (NERC/DEFRA) [MERP: NE/L003201/1]; NERC [NE/L003201/1] Funding Source: UKRI; H2020 Societal Challenges Programme [654438] Funding Source: H2020 Societal Challenges Programme</t>
        </is>
      </c>
      <c r="AE1722" t="inlineStr">
        <is>
          <t>European Union's Horizon 2020 research and innovation programme; Marine Ecosystems Research Programme - Natural Environment Research Council and the Department for Environment, Food &amp; Rural Affairs (NERC/DEFRA); NERC(UK Research &amp; Innovation (UKRI)Natural Environment Research Council (NERC)); H2020 Societal Challenges Programme(Horizon 2020)</t>
        </is>
      </c>
      <c r="AF1722" t="inlineStr">
        <is>
          <t>This study is part of the PowerKite project which has received funding from the European Union's Horizon 2020 research and innovation programme under grant agreement No 654438. James Waggitt is supported through the Marine Ecosystems Research Programme (MERP: NE/L003201/1) which is funded by the Natural Environment Research Council and the Department for Environment, Food &amp; Rural Affairs (NERC/DEFRA). We would particularly like to acknowledge the support given by Pal Schmitt during data collection. We also wish to thank Jeremy Rogers, Simon Rogers and Oliver Rogers from Cuan Marine Services for boat time, seamanship and their in-depth knowledge of the Narrows necessary for this study's survey methodology. Finally, we'd like to thank Laura Hobbs and Andrew S. Brierley for advice on backscatter calculations. The authors declare no conflict of interest.</t>
        </is>
      </c>
      <c r="AH1722" t="n">
        <v>56</v>
      </c>
      <c r="AI1722" t="n">
        <v>12</v>
      </c>
      <c r="AJ1722" t="n">
        <v>12</v>
      </c>
      <c r="AK1722" t="n">
        <v>1</v>
      </c>
      <c r="AL1722" t="n">
        <v>17</v>
      </c>
      <c r="AM1722" t="inlineStr">
        <is>
          <t>ELSEVIER</t>
        </is>
      </c>
      <c r="AN1722" t="inlineStr">
        <is>
          <t>AMSTERDAM</t>
        </is>
      </c>
      <c r="AO1722" t="inlineStr">
        <is>
          <t>RADARWEG 29, 1043 NX AMSTERDAM, NETHERLANDS</t>
        </is>
      </c>
      <c r="AP1722" t="inlineStr">
        <is>
          <t>1470-160X</t>
        </is>
      </c>
      <c r="AQ1722" t="inlineStr">
        <is>
          <t>1872-7034</t>
        </is>
      </c>
      <c r="AS1722" t="inlineStr">
        <is>
          <t>ECOL INDIC</t>
        </is>
      </c>
      <c r="AT1722" t="inlineStr">
        <is>
          <t>Ecol. Indic.</t>
        </is>
      </c>
      <c r="AU1722" t="inlineStr">
        <is>
          <t>NOV</t>
        </is>
      </c>
      <c r="AV1722" t="n">
        <v>2018</v>
      </c>
      <c r="AW1722" t="n">
        <v>94</v>
      </c>
      <c r="AY1722" t="n">
        <v>1</v>
      </c>
      <c r="BC1722" t="n">
        <v>397</v>
      </c>
      <c r="BD1722" t="n">
        <v>408</v>
      </c>
      <c r="BF1722" t="inlineStr">
        <is>
          <t>10.1016/j.ecolind.2018.06.071</t>
        </is>
      </c>
      <c r="BG1722">
        <f>HYPERLINK("http://dx.doi.org/10.1016/j.ecolind.2018.06.071","http://dx.doi.org/10.1016/j.ecolind.2018.06.071")</f>
        <v/>
      </c>
      <c r="BJ1722" t="n">
        <v>12</v>
      </c>
      <c r="BK1722" t="inlineStr">
        <is>
          <t>Biodiversity Conservation; Environmental Sciences</t>
        </is>
      </c>
      <c r="BL1722" t="inlineStr">
        <is>
          <t>Science Citation Index Expanded (SCI-EXPANDED)</t>
        </is>
      </c>
      <c r="BM1722" t="inlineStr">
        <is>
          <t>Biodiversity &amp; Conservation; Environmental Sciences &amp; Ecology</t>
        </is>
      </c>
      <c r="BN1722" t="inlineStr">
        <is>
          <t>HD6XB</t>
        </is>
      </c>
      <c r="BP1722" t="inlineStr">
        <is>
          <t>Green Submitted, Green Accepted</t>
        </is>
      </c>
      <c r="BS1722" t="inlineStr">
        <is>
          <t>2023-10-26</t>
        </is>
      </c>
      <c r="BT1722" t="inlineStr">
        <is>
          <t>WOS:000452692500041</t>
        </is>
      </c>
      <c r="BU1722">
        <f>HYPERLINK("https%3A%2F%2Fwww.webofscience.com%2Fwos%2Fwoscc%2Ffull-record%2FWOS:000452692500041","View Full Record in Web of Science")</f>
        <v/>
      </c>
    </row>
    <row r="1723">
      <c r="A1723" t="inlineStr">
        <is>
          <t>J</t>
        </is>
      </c>
      <c r="B1723" t="inlineStr">
        <is>
          <t>Naicker, N; Teare, J; Balakrishna, Y; Wright, CY; Mathee, A</t>
        </is>
      </c>
      <c r="F1723" t="inlineStr">
        <is>
          <t>Naicker, Nisha; Teare, June; Balakrishna, Yusentha; Wright, Caradee Yael; Mathee, Angela</t>
        </is>
      </c>
      <c r="J1723" t="inlineStr">
        <is>
          <t>INTERNATIONAL JOURNAL OF ENVIRONMENTAL RESEARCH AND PUBLIC HEALTH</t>
        </is>
      </c>
      <c r="M1723" t="inlineStr">
        <is>
          <t>English</t>
        </is>
      </c>
      <c r="N1723" t="inlineStr">
        <is>
          <t>Article</t>
        </is>
      </c>
      <c r="T1723" t="inlineStr">
        <is>
          <t>Indoor Temperatures in Low Cost Housing in Johannesburg, South Africa</t>
        </is>
      </c>
      <c r="U1723" t="inlineStr">
        <is>
          <t>climate change; environmental health; urban; heat; cold; low cost housing; indoor temperature; ambient temperature</t>
        </is>
      </c>
      <c r="V1723" t="inlineStr">
        <is>
          <t>APPARENT TEMPERATURE; RELATIVE-HUMIDITY; RISK-FACTORS; HUMAN HEALTH; HEAT-WAVE; MORTALITY; PEOPLE; MITES</t>
        </is>
      </c>
      <c r="W1723" t="inlineStr">
        <is>
          <t>Ambient and indoor temperature affects thermal comfort and human health. In a changing climate with a predicted change in temperature extremes, understanding indoor temperatures, both hot and cold, of different housing types is important. This study aimed to assess the hourly, daily and monthly variation in indoor temperatures in different housing types, namely formal houses, informal houses, flats, government-built low-cost houses and old, apartheid era low-cost housing, in five impoverished urban communities in Johannesburg, South Africa. During the cross-sectional survey of the Health, Environment and Development study data loggers were installed in 100 homes (20 per suburb) from February to May 2014. Indoor temperature and relative humidity were recorded on an hourly basis. Ambient outdoor temperatures were obtained from the nearest weather station. Indoor and outdoor temperature and relative humidity levels were compared; and an inter-comparison between the different housing types were also made. Apparent temperature was calculated to assess indoor thermal comfort. Data from 59 retrieved loggers showed a significant difference in monthly mean indoor temperature between the five different housing types (p &lt; 0.0001). Low cost government-built houses and informal settlement houses had the greatest variation in temperature and experienced temperatures between 4 and 5 degrees C warmer than outdoor temperatures. Housing types occupied by poor communities experienced indoor temperature fluctuations often greater than that observed for ambient temperatures. Families living in government-built low-cost and informally-constructed homes are the most at risk for indoor temperature extremes. These types of housing should be prioritised for interventions aimed at assisting families to cope with extreme temperatures, gaining optimal thermal comfort and preventing temperature-related health effects.</t>
        </is>
      </c>
      <c r="X1723" t="inlineStr">
        <is>
          <t>[Naicker, Nisha; Teare, June; Wright, Caradee Yael; Mathee, Angela] South African Med Res Council, Environm &amp; Hlth Res Unit, ZA-2028 Johannesburg, South Africa; [Naicker, Nisha; Mathee, Angela] Univ Johannesburg, Environm Hlth Dept, Fac Hlth Sci, ZA-2028 Johannesburg, South Africa; [Naicker, Nisha] Natl Inst Occupat Hlth, Epidemiol &amp; Surveillance Sect, Natl Hlth Lab Serv, ZA-2001 Braamfontein, South Africa; [Naicker, Nisha; Teare, June] Nelson Mandela Univ, Sch Behav Sci, Dept Environm Hlth, Fac Hlth Sci, ZA-6019 Port Elizabeth, South Africa; [Balakrishna, Yusentha] South African Med Res Council, Biostat Unit, ZA-4091 Durban, South Africa; [Wright, Caradee Yael] Univ Pretoria, Dept Geog Geoinformat &amp; Meteorol, ZA-0028 Pretoria, South Africa; [Mathee, Angela] Univ Witwatersrand, Wits Sch Publ Hlth, Fac Hlth Sci, ZA-2193 Johannesburg, South Africa</t>
        </is>
      </c>
      <c r="Y1723" t="inlineStr">
        <is>
          <t>South African Medical Research Council; University of Johannesburg; Nelson Mandela University; South African Medical Research Council; University of Pretoria; University of Witwatersrand</t>
        </is>
      </c>
      <c r="Z1723" t="inlineStr">
        <is>
          <t>Naicker, N (corresponding author), South African Med Res Council, Environm &amp; Hlth Res Unit, ZA-2028 Johannesburg, South Africa.;Naicker, N (corresponding author), Univ Johannesburg, Environm Hlth Dept, Fac Hlth Sci, ZA-2028 Johannesburg, South Africa.;Naicker, N (corresponding author), Natl Inst Occupat Hlth, Epidemiol &amp; Surveillance Sect, Natl Hlth Lab Serv, ZA-2001 Braamfontein, South Africa.;Naicker, N (corresponding author), Nelson Mandela Univ, Sch Behav Sci, Dept Environm Hlth, Fac Hlth Sci, ZA-6019 Port Elizabeth, South Africa.</t>
        </is>
      </c>
      <c r="AA1723" t="inlineStr">
        <is>
          <t>nisha.naicker@gmail.com; june.teare@mrc.ac.za; yusentha.balakrishna@mrc.ac.za; cwright@mrc.ac.za; angela.mathee@mrc.ac.za</t>
        </is>
      </c>
      <c r="AC1723" t="inlineStr">
        <is>
          <t>Teare, June/0000-0002-2099-9275; Balakrishna, Yusentha/0000-0001-6449-3260; Wright, Caradee/0000-0001-9608-818X</t>
        </is>
      </c>
      <c r="AD1723" t="inlineStr">
        <is>
          <t>South African Medical Research Council</t>
        </is>
      </c>
      <c r="AE1723" t="inlineStr">
        <is>
          <t>South African Medical Research Council(South African Medical Research CouncilUK Research &amp; Innovation (UKRI)Medical Research Council UK (MRC)South Africa Medical Research Council (SAMRC))</t>
        </is>
      </c>
      <c r="AF1723" t="inlineStr">
        <is>
          <t>Funding for the study was obtained from the South African Medical Research Council.</t>
        </is>
      </c>
      <c r="AH1723" t="n">
        <v>41</v>
      </c>
      <c r="AI1723" t="n">
        <v>33</v>
      </c>
      <c r="AJ1723" t="n">
        <v>33</v>
      </c>
      <c r="AK1723" t="n">
        <v>1</v>
      </c>
      <c r="AL1723" t="n">
        <v>22</v>
      </c>
      <c r="AM1723" t="inlineStr">
        <is>
          <t>MDPI AG</t>
        </is>
      </c>
      <c r="AN1723" t="inlineStr">
        <is>
          <t>BASEL</t>
        </is>
      </c>
      <c r="AO1723" t="inlineStr">
        <is>
          <t>ST ALBAN-ANLAGE 66, CH-4052 BASEL, SWITZERLAND</t>
        </is>
      </c>
      <c r="AP1723" t="inlineStr">
        <is>
          <t>1660-4601</t>
        </is>
      </c>
      <c r="AS1723" t="inlineStr">
        <is>
          <t>INT J ENV RES PUB HE</t>
        </is>
      </c>
      <c r="AT1723" t="inlineStr">
        <is>
          <t>Int. J. Environ. Res. Public Health</t>
        </is>
      </c>
      <c r="AU1723" t="inlineStr">
        <is>
          <t>NOV</t>
        </is>
      </c>
      <c r="AV1723" t="n">
        <v>2017</v>
      </c>
      <c r="AW1723" t="n">
        <v>14</v>
      </c>
      <c r="AX1723" t="n">
        <v>11</v>
      </c>
      <c r="BE1723" t="n">
        <v>1410</v>
      </c>
      <c r="BF1723" t="inlineStr">
        <is>
          <t>10.3390/ijerph14111410</t>
        </is>
      </c>
      <c r="BG1723">
        <f>HYPERLINK("http://dx.doi.org/10.3390/ijerph14111410","http://dx.doi.org/10.3390/ijerph14111410")</f>
        <v/>
      </c>
      <c r="BJ1723" t="n">
        <v>18</v>
      </c>
      <c r="BK1723" t="inlineStr">
        <is>
          <t>Environmental Sciences; Public, Environmental &amp; Occupational Health</t>
        </is>
      </c>
      <c r="BL1723" t="inlineStr">
        <is>
          <t>Science Citation Index Expanded (SCI-EXPANDED); Social Science Citation Index (SSCI)</t>
        </is>
      </c>
      <c r="BM1723" t="inlineStr">
        <is>
          <t>Environmental Sciences &amp; Ecology; Public, Environmental &amp; Occupational Health</t>
        </is>
      </c>
      <c r="BN1723" t="inlineStr">
        <is>
          <t>FO1SQ</t>
        </is>
      </c>
      <c r="BO1723" t="n">
        <v>29156558</v>
      </c>
      <c r="BP1723" t="inlineStr">
        <is>
          <t>Green Published, gold, Green Submitted</t>
        </is>
      </c>
      <c r="BS1723" t="inlineStr">
        <is>
          <t>2023-10-26</t>
        </is>
      </c>
      <c r="BT1723" t="inlineStr">
        <is>
          <t>WOS:000416545200126</t>
        </is>
      </c>
      <c r="BU1723">
        <f>HYPERLINK("https%3A%2F%2Fwww.webofscience.com%2Fwos%2Fwoscc%2Ffull-record%2FWOS:000416545200126","View Full Record in Web of Science")</f>
        <v/>
      </c>
    </row>
    <row r="1724">
      <c r="A1724" t="inlineStr">
        <is>
          <t>J</t>
        </is>
      </c>
      <c r="B1724" t="inlineStr">
        <is>
          <t>Ji, Y</t>
        </is>
      </c>
      <c r="F1724" t="inlineStr">
        <is>
          <t>Ji, Y.</t>
        </is>
      </c>
      <c r="J1724" t="inlineStr">
        <is>
          <t>GLOBAL NEST JOURNAL</t>
        </is>
      </c>
      <c r="M1724" t="inlineStr">
        <is>
          <t>English</t>
        </is>
      </c>
      <c r="N1724" t="inlineStr">
        <is>
          <t>Article</t>
        </is>
      </c>
      <c r="T1724" t="inlineStr">
        <is>
          <t>Insulation effect evaluation model of green building materials under ecological environment</t>
        </is>
      </c>
      <c r="U1724" t="inlineStr">
        <is>
          <t>Ecological environment; green building materials; insulation effect; evaluation model; characterization index; temperature factor</t>
        </is>
      </c>
      <c r="V1724" t="inlineStr">
        <is>
          <t>LINE; CONDUCTIVITY; MANAGEMENT; SYSTEM; MATRIX; LIFE</t>
        </is>
      </c>
      <c r="W1724" t="inlineStr">
        <is>
          <t>Green building materials are an important material basis for promoting the development of green buildings, and also the foundation of building energy conservation. In view of this, an insulation effect evaluation model of green building materials is constructed. The outer wall temperature index, the equivalent thermal resistance index, the inner surface maximum temperature and the thermal inertia index are used to characterize the insulation effect of the green building materials. According to the insulation effect evaluation principle of green building materials, the outer surface and inner surface temperature deviation curves and its' fitting curves are made. The integral area between the fitting curve and the standard line is the temperature factor. The temperature factor can be used as an evaluation parameter for the insulation effect of green building materials in a fixed temperature range. It can characterize the average insulation effect of green building materials under a certain temperature range and comprehensive evaluation of different characterization indicators. The greater the temperature factor value is, the better the insulation effect is. The experimental results show that the model can accurately reflect the overall insulation effect of green building materials under the influence of various indicators in a certain temperature range, and the evaluation accuracy is high.</t>
        </is>
      </c>
      <c r="X1724" t="inlineStr">
        <is>
          <t>[Ji, Y.] Zhejiang Univ Technol Engn Design Grp Co Ltd, Hangzhou 310014, Peoples R China</t>
        </is>
      </c>
      <c r="Z1724" t="inlineStr">
        <is>
          <t>Ji, Y (corresponding author), Zhejiang Univ Technol Engn Design Grp Co Ltd, Hangzhou 310014, Peoples R China.</t>
        </is>
      </c>
      <c r="AA1724" t="inlineStr">
        <is>
          <t>zgdjiyiqun@163.com</t>
        </is>
      </c>
      <c r="AH1724" t="n">
        <v>41</v>
      </c>
      <c r="AI1724" t="n">
        <v>2</v>
      </c>
      <c r="AJ1724" t="n">
        <v>2</v>
      </c>
      <c r="AK1724" t="n">
        <v>5</v>
      </c>
      <c r="AL1724" t="n">
        <v>37</v>
      </c>
      <c r="AM1724" t="inlineStr">
        <is>
          <t>GLOBAL NETWORK ENVIRONMENTAL SCIENCE &amp; TECHNOLOGY</t>
        </is>
      </c>
      <c r="AN1724" t="inlineStr">
        <is>
          <t>ATHENS</t>
        </is>
      </c>
      <c r="AO1724" t="inlineStr">
        <is>
          <t>30 VOULGAROKTONOU STR, ATHENS, GR 114 72, GREECE</t>
        </is>
      </c>
      <c r="AP1724" t="inlineStr">
        <is>
          <t>1790-7632</t>
        </is>
      </c>
      <c r="AS1724" t="inlineStr">
        <is>
          <t>GLOBAL NEST J</t>
        </is>
      </c>
      <c r="AT1724" t="inlineStr">
        <is>
          <t>Glob. Nest. J.</t>
        </is>
      </c>
      <c r="AU1724" t="inlineStr">
        <is>
          <t>DEC</t>
        </is>
      </c>
      <c r="AV1724" t="n">
        <v>2020</v>
      </c>
      <c r="AW1724" t="n">
        <v>22</v>
      </c>
      <c r="AX1724" t="n">
        <v>4</v>
      </c>
      <c r="BC1724" t="n">
        <v>623</v>
      </c>
      <c r="BD1724" t="n">
        <v>631</v>
      </c>
      <c r="BF1724" t="inlineStr">
        <is>
          <t>10.30955/gni.003406</t>
        </is>
      </c>
      <c r="BG1724">
        <f>HYPERLINK("http://dx.doi.org/10.30955/gni.003406","http://dx.doi.org/10.30955/gni.003406")</f>
        <v/>
      </c>
      <c r="BJ1724" t="n">
        <v>9</v>
      </c>
      <c r="BK1724" t="inlineStr">
        <is>
          <t>Environmental Sciences</t>
        </is>
      </c>
      <c r="BL1724" t="inlineStr">
        <is>
          <t>Science Citation Index Expanded (SCI-EXPANDED)</t>
        </is>
      </c>
      <c r="BM1724" t="inlineStr">
        <is>
          <t>Environmental Sciences &amp; Ecology</t>
        </is>
      </c>
      <c r="BN1724" t="inlineStr">
        <is>
          <t>PU3ZA</t>
        </is>
      </c>
      <c r="BS1724" t="inlineStr">
        <is>
          <t>2023-10-26</t>
        </is>
      </c>
      <c r="BT1724" t="inlineStr">
        <is>
          <t>WOS:000609243400022</t>
        </is>
      </c>
      <c r="BU1724">
        <f>HYPERLINK("https%3A%2F%2Fwww.webofscience.com%2Fwos%2Fwoscc%2Ffull-record%2FWOS:000609243400022","View Full Record in Web of Science")</f>
        <v/>
      </c>
    </row>
    <row r="1725">
      <c r="A1725" t="inlineStr">
        <is>
          <t>J</t>
        </is>
      </c>
      <c r="B1725" t="inlineStr">
        <is>
          <t>Wang, XX; Rodiek, S</t>
        </is>
      </c>
      <c r="F1725" t="inlineStr">
        <is>
          <t>Wang, Xinxin; Rodiek, Susan</t>
        </is>
      </c>
      <c r="J1725" t="inlineStr">
        <is>
          <t>INTERNATIONAL JOURNAL OF ENVIRONMENTAL RESEARCH AND PUBLIC HEALTH</t>
        </is>
      </c>
      <c r="M1725" t="inlineStr">
        <is>
          <t>English</t>
        </is>
      </c>
      <c r="N1725" t="inlineStr">
        <is>
          <t>Article</t>
        </is>
      </c>
      <c r="T1725" t="inlineStr">
        <is>
          <t>Older Adults' Preference for Landscape Features Along Urban Park Walkways in Nanjing, China</t>
        </is>
      </c>
      <c r="U1725" t="inlineStr">
        <is>
          <t>outdoor usage; elderly; seniors; aging; photographic comparison; physical activity; health and well-being</t>
        </is>
      </c>
      <c r="V1725" t="inlineStr">
        <is>
          <t>GREEN SPACES; OUTDOOR ENVIRONMENTS; PHYSICAL-ACTIVITY; STRESS RECOVERY; PEOPLE; GARDEN; CARE; ATTRIBUTES; RESIDENTS; DESIGN</t>
        </is>
      </c>
      <c r="W1725" t="inlineStr">
        <is>
          <t>Evidence shows that walking in urban parks has multiple health benefits for older adults, but little research is available on their preference for specific walkway features. This study explored a range of common landscape and hardscape features to learn which were preferred by park users over age 60. This photo comparison study hypothesized that older adults would prefer certain features of urban park walkways, with each feature represented by four different paired images (28 pairs in all). Within each pair of photos, both were identical except for the specific feature being tested in that comparison, where the image was digitally modified to depict the hypothesized feature. A total of 283 older adults (mean age 71 years) completed the survey by selecting the images they preferred. In this Chinese sample, older park users significantly favored all seven hypothesized walkway features, providing empirical support for the existing research and design-based literature on green space for older adults. This study found minor gender differences in visual preferences for walkway features and increasing preference for access to seating with advancing age. By helping to confirm which walkway features are preferred by older adults, these findings can be used to improve the future design and management of urban parks in China, which are an important source of exercise and recreation for nearby elderly residents.</t>
        </is>
      </c>
      <c r="X1725" t="inlineStr">
        <is>
          <t>[Wang, Xinxin] Nanjing Agr Univ, Postdoctoral Res Stn Publ Adm, Coll Hort, Dept Landscape Architecture, Nanjing 210095, Jiangsu, Peoples R China; [Rodiek, Susan] Texas A&amp;M Univ, Dept Architecture, Ctr Hlth Syst &amp; Design, College Stn, TX 77843 USA</t>
        </is>
      </c>
      <c r="Y1725" t="inlineStr">
        <is>
          <t>Nanjing Agricultural University; Texas A&amp;M University System; Texas A&amp;M University College Station</t>
        </is>
      </c>
      <c r="Z1725" t="inlineStr">
        <is>
          <t>Wang, XX (corresponding author), Nanjing Agr Univ, Postdoctoral Res Stn Publ Adm, Coll Hort, Dept Landscape Architecture, Nanjing 210095, Jiangsu, Peoples R China.</t>
        </is>
      </c>
      <c r="AA1725" t="inlineStr">
        <is>
          <t>wang@njau.edu.cn; rodiek@tamu.edu</t>
        </is>
      </c>
      <c r="AB1725" t="inlineStr">
        <is>
          <t>wang, xinxin/HIR-2598-2022</t>
        </is>
      </c>
      <c r="AD1725" t="inlineStr">
        <is>
          <t>National Natural Science Foundation of China [51808295]; Fundamental Research Funds for the Central Universities [KJQN201929]</t>
        </is>
      </c>
      <c r="AE1725" t="inlineStr">
        <is>
          <t>National Natural Science Foundation of China(National Natural Science Foundation of China (NSFC)); Fundamental Research Funds for the Central Universities(Fundamental Research Funds for the Central Universities)</t>
        </is>
      </c>
      <c r="AF1725" t="inlineStr">
        <is>
          <t>This research was funded by the National Natural Science Foundation of China (No. 51808295) and the Fundamental Research Funds for the Central Universities (No. KJQN201929).</t>
        </is>
      </c>
      <c r="AH1725" t="n">
        <v>72</v>
      </c>
      <c r="AI1725" t="n">
        <v>21</v>
      </c>
      <c r="AJ1725" t="n">
        <v>21</v>
      </c>
      <c r="AK1725" t="n">
        <v>20</v>
      </c>
      <c r="AL1725" t="n">
        <v>89</v>
      </c>
      <c r="AM1725" t="inlineStr">
        <is>
          <t>MDPI</t>
        </is>
      </c>
      <c r="AN1725" t="inlineStr">
        <is>
          <t>BASEL</t>
        </is>
      </c>
      <c r="AO1725" t="inlineStr">
        <is>
          <t>ST ALBAN-ANLAGE 66, CH-4052 BASEL, SWITZERLAND</t>
        </is>
      </c>
      <c r="AQ1725" t="inlineStr">
        <is>
          <t>1660-4601</t>
        </is>
      </c>
      <c r="AS1725" t="inlineStr">
        <is>
          <t>INT J ENV RES PUB HE</t>
        </is>
      </c>
      <c r="AT1725" t="inlineStr">
        <is>
          <t>Int. J. Environ. Res. Public Health</t>
        </is>
      </c>
      <c r="AU1725" t="inlineStr">
        <is>
          <t>OCT</t>
        </is>
      </c>
      <c r="AV1725" t="n">
        <v>2019</v>
      </c>
      <c r="AW1725" t="n">
        <v>16</v>
      </c>
      <c r="AX1725" t="n">
        <v>20</v>
      </c>
      <c r="BE1725" t="n">
        <v>3808</v>
      </c>
      <c r="BF1725" t="inlineStr">
        <is>
          <t>10.3390/ijerph16203808</t>
        </is>
      </c>
      <c r="BG1725">
        <f>HYPERLINK("http://dx.doi.org/10.3390/ijerph16203808","http://dx.doi.org/10.3390/ijerph16203808")</f>
        <v/>
      </c>
      <c r="BJ1725" t="n">
        <v>22</v>
      </c>
      <c r="BK1725" t="inlineStr">
        <is>
          <t>Environmental Sciences; Public, Environmental &amp; Occupational Health</t>
        </is>
      </c>
      <c r="BL1725" t="inlineStr">
        <is>
          <t>Science Citation Index Expanded (SCI-EXPANDED); Social Science Citation Index (SSCI)</t>
        </is>
      </c>
      <c r="BM1725" t="inlineStr">
        <is>
          <t>Environmental Sciences &amp; Ecology; Public, Environmental &amp; Occupational Health</t>
        </is>
      </c>
      <c r="BN1725" t="inlineStr">
        <is>
          <t>JK3XV</t>
        </is>
      </c>
      <c r="BO1725" t="n">
        <v>31658651</v>
      </c>
      <c r="BP1725" t="inlineStr">
        <is>
          <t>Green Published, gold</t>
        </is>
      </c>
      <c r="BS1725" t="inlineStr">
        <is>
          <t>2023-10-26</t>
        </is>
      </c>
      <c r="BT1725" t="inlineStr">
        <is>
          <t>WOS:000494779100022</t>
        </is>
      </c>
      <c r="BU1725">
        <f>HYPERLINK("https%3A%2F%2Fwww.webofscience.com%2Fwos%2Fwoscc%2Ffull-record%2FWOS:000494779100022","View Full Record in Web of Science")</f>
        <v/>
      </c>
    </row>
    <row r="1726">
      <c r="A1726" t="inlineStr">
        <is>
          <t>J</t>
        </is>
      </c>
      <c r="B1726" t="inlineStr">
        <is>
          <t>Wang, XQ; Shao, CF; Yin, CY; Zhuge, CX</t>
        </is>
      </c>
      <c r="F1726" t="inlineStr">
        <is>
          <t>Wang, Xiaoquan; Shao, Chunfu; Yin, Chaoying; Zhuge, Chengxiang</t>
        </is>
      </c>
      <c r="J1726" t="inlineStr">
        <is>
          <t>INTERNATIONAL JOURNAL OF ENVIRONMENTAL RESEARCH AND PUBLIC HEALTH</t>
        </is>
      </c>
      <c r="M1726" t="inlineStr">
        <is>
          <t>English</t>
        </is>
      </c>
      <c r="N1726" t="inlineStr">
        <is>
          <t>Article</t>
        </is>
      </c>
      <c r="T1726" t="inlineStr">
        <is>
          <t>Exploring the Influence of Built Environment on Car Ownership and Use with a Spatial Multilevel Model: A Case Study of Changchun, China</t>
        </is>
      </c>
      <c r="U1726" t="inlineStr">
        <is>
          <t>car ownership; car use; built environment; spatial autocorrelation; multilevel Bayesian model</t>
        </is>
      </c>
      <c r="V1726" t="inlineStr">
        <is>
          <t>RESIDENTIAL SELF-SELECTION; RAIL TRANSIT; VEHICLE OWNERSHIP; TRAVEL BEHAVIOR; CHOICE; IMPACT; CITY; EMISSIONS; DENSITY; SUBURBS</t>
        </is>
      </c>
      <c r="W1726" t="inlineStr">
        <is>
          <t>Although the impacts of built environment on car ownership and use have been extensively studied, limited evidence has been offered for the role of spatial effects in influencing the interaction between built environment and travel behavior. Ignoring the spatial effects may lead to misunderstanding the role of the built environment and providing inconsistent transportation policies. In response to this, we try to employ a two-step modeling approach to investigate the impacts of built environment on car ownership and use by combining multilevel Bayesian model and conditional autocorrelation (CAR) model to control for spatial autocorrelation. In the two-step model, the predicting car ownership status in the first-step model is used as a mediating variable in the second-step car use model. Taking Changchun as a case study, this paper identifies the presence of spatial effects in influencing the effects of built environment on car ownership and use. Meanwhile, the direct and cascading effects of built environment on car ownership and use are revealed. The results show that the spatial autocorrelation exists in influencing the interaction between built environment and car dependency. The results suggest that it is necessary for urban planners to pay attention to the spatial effects and make targeted policy according to local land use characteristics.</t>
        </is>
      </c>
      <c r="X1726" t="inlineStr">
        <is>
          <t>[Wang, Xiaoquan; Yin, Chaoying] Beijing Jiaotong Univ, MOE Key Lab Urban Transportat Complex Syst Theory, Beijing 100044, Peoples R China; [Shao, Chunfu] Beijing Jiaotong Univ, Key Lab Transport Ind Big Data Applicat Technol C, Beijing 100044, Peoples R China; [Zhuge, Chengxiang] Univ Cambridge, Dept Geog, Downing Pl, Cambridge CB2 3EN, England</t>
        </is>
      </c>
      <c r="Y1726" t="inlineStr">
        <is>
          <t>Beijing Jiaotong University; Beijing Jiaotong University; University of Cambridge</t>
        </is>
      </c>
      <c r="Z1726" t="inlineStr">
        <is>
          <t>Yin, CY (corresponding author), Beijing Jiaotong Univ, MOE Key Lab Urban Transportat Complex Syst Theory, Beijing 100044, Peoples R China.;Shao, CF (corresponding author), Beijing Jiaotong Univ, Key Lab Transport Ind Big Data Applicat Technol C, Beijing 100044, Peoples R China.</t>
        </is>
      </c>
      <c r="AA1726" t="inlineStr">
        <is>
          <t>15120886@bjtu.edu.cn; cfshao@bjtu.edu.cn; 15114226@bjtu.edu.cn; zgcx615@126.com</t>
        </is>
      </c>
      <c r="AB1726" t="inlineStr">
        <is>
          <t>Shao, Chunfu/GRR-5132-2022</t>
        </is>
      </c>
      <c r="AC1726" t="inlineStr">
        <is>
          <t>Zhuge, Chengxiang/0000-0002-9942-3462; Wang, Xiaoquan/0000-0002-2509-7473</t>
        </is>
      </c>
      <c r="AD1726" t="inlineStr">
        <is>
          <t>Hebei Natural Science Foundation [E2016513016]; National Natural Science Foundation of China [71621001]</t>
        </is>
      </c>
      <c r="AE1726" t="inlineStr">
        <is>
          <t>Hebei Natural Science Foundation(Natural Science Foundation of Hebei Province); National Natural Science Foundation of China(National Natural Science Foundation of China (NSFC))</t>
        </is>
      </c>
      <c r="AF1726" t="inlineStr">
        <is>
          <t>This work was supported by the Hebei Natural Science Foundation under Grant E2016513016 and the National Natural Science Foundation of China under Grant 71621001.</t>
        </is>
      </c>
      <c r="AH1726" t="n">
        <v>57</v>
      </c>
      <c r="AI1726" t="n">
        <v>30</v>
      </c>
      <c r="AJ1726" t="n">
        <v>30</v>
      </c>
      <c r="AK1726" t="n">
        <v>1</v>
      </c>
      <c r="AL1726" t="n">
        <v>16</v>
      </c>
      <c r="AM1726" t="inlineStr">
        <is>
          <t>MDPI</t>
        </is>
      </c>
      <c r="AN1726" t="inlineStr">
        <is>
          <t>BASEL</t>
        </is>
      </c>
      <c r="AO1726" t="inlineStr">
        <is>
          <t>ST ALBAN-ANLAGE 66, CH-4052 BASEL, SWITZERLAND</t>
        </is>
      </c>
      <c r="AQ1726" t="inlineStr">
        <is>
          <t>1660-4601</t>
        </is>
      </c>
      <c r="AS1726" t="inlineStr">
        <is>
          <t>INT J ENV RES PUB HE</t>
        </is>
      </c>
      <c r="AT1726" t="inlineStr">
        <is>
          <t>Int. J. Environ. Res. Public Health</t>
        </is>
      </c>
      <c r="AU1726" t="inlineStr">
        <is>
          <t>SEP</t>
        </is>
      </c>
      <c r="AV1726" t="n">
        <v>2018</v>
      </c>
      <c r="AW1726" t="n">
        <v>15</v>
      </c>
      <c r="AX1726" t="n">
        <v>9</v>
      </c>
      <c r="BE1726" t="n">
        <v>1868</v>
      </c>
      <c r="BF1726" t="inlineStr">
        <is>
          <t>10.3390/ijerph15091868</t>
        </is>
      </c>
      <c r="BG1726">
        <f>HYPERLINK("http://dx.doi.org/10.3390/ijerph15091868","http://dx.doi.org/10.3390/ijerph15091868")</f>
        <v/>
      </c>
      <c r="BJ1726" t="n">
        <v>14</v>
      </c>
      <c r="BK1726" t="inlineStr">
        <is>
          <t>Environmental Sciences; Public, Environmental &amp; Occupational Health</t>
        </is>
      </c>
      <c r="BL1726" t="inlineStr">
        <is>
          <t>Science Citation Index Expanded (SCI-EXPANDED); Social Science Citation Index (SSCI)</t>
        </is>
      </c>
      <c r="BM1726" t="inlineStr">
        <is>
          <t>Environmental Sciences &amp; Ecology; Public, Environmental &amp; Occupational Health</t>
        </is>
      </c>
      <c r="BN1726" t="inlineStr">
        <is>
          <t>GV0PX</t>
        </is>
      </c>
      <c r="BO1726" t="n">
        <v>30158467</v>
      </c>
      <c r="BP1726" t="inlineStr">
        <is>
          <t>Green Published, gold, Green Submitted</t>
        </is>
      </c>
      <c r="BS1726" t="inlineStr">
        <is>
          <t>2023-10-26</t>
        </is>
      </c>
      <c r="BT1726" t="inlineStr">
        <is>
          <t>WOS:000445765600077</t>
        </is>
      </c>
      <c r="BU1726">
        <f>HYPERLINK("https%3A%2F%2Fwww.webofscience.com%2Fwos%2Fwoscc%2Ffull-record%2FWOS:000445765600077","View Full Record in Web of Science")</f>
        <v/>
      </c>
    </row>
    <row r="1727">
      <c r="A1727" t="inlineStr">
        <is>
          <t>J</t>
        </is>
      </c>
      <c r="B1727" t="inlineStr">
        <is>
          <t>Meeker, MA; Schwartz, BS; Bandeen-Roche, K; Hirsch, AG; De Silva, SSA; McAlexander, TP; Black, NC; McClure, LA</t>
        </is>
      </c>
      <c r="F1727" t="inlineStr">
        <is>
          <t>Meeker, Melissa A.; Schwartz, Brian S.; Bandeen-Roche, Karen; Hirsch, Annemarie G.; De Silva, S. Shanika A.; McAlexander, Tara P.; Black, Nyesha C.; McClure, Leslie A.</t>
        </is>
      </c>
      <c r="J1727" t="inlineStr">
        <is>
          <t>GEOHEALTH</t>
        </is>
      </c>
      <c r="M1727" t="inlineStr">
        <is>
          <t>English</t>
        </is>
      </c>
      <c r="N1727" t="inlineStr">
        <is>
          <t>Article</t>
        </is>
      </c>
      <c r="T1727" t="inlineStr">
        <is>
          <t>Assessing Measurement Invariance of a Land Use Environment Construct Across Levels of Urbanicity</t>
        </is>
      </c>
      <c r="V1727" t="inlineStr">
        <is>
          <t>TYPE-2 DIABETES-MELLITUS; BUILT ENVIRONMENT; NEIGHBORHOOD WALKABILITY; TESTING MEASUREMENT; PHYSICAL-ACTIVITY; WALKING; HEALTH; ASSOCIATIONS; OBESITY; TRAVEL</t>
        </is>
      </c>
      <c r="W1727" t="inlineStr">
        <is>
          <t>Variation in the land use environment (LUE) impacts the continuum of walkability to car dependency, which has been shown to have effects on health outcomes. Existing objective measures of the LUE do not consider whether the measurement of the construct varies across different types of communities along the rural/urban spectrum. To help meet the goals of the Diabetes Location, Environmental Attributes, and Disparities (LEAD) Network, we developed a national, census tract-level LUE measure which evaluates the road network and land development. We tested for measurement invariance by LEAD community type (higher density urban, lower density urban, suburban/small town, and rural) using multiple group confirmatory factor analysis. We determined that metric invariance does not exist; thus, measurement of the LUE does vary across community type with average block length, average block size, and percent developed land driving most shared variability in rural tracts and with intersection density, street connectivity, household density, and commercial establishment density driving most shared variability in higher density urban tracts. As a result, epidemiologic studies need to consider community type when assessing the LUE to minimize place-based confounding. Plain Language Summary A community's land use environment (LUE) describes its citizens ability to walk from place to place versus their reliance on vehicles for transportation. Some factors that might influence LUE include the street network, size of road blocks, density of walkable establishments (food stores, restaurants, schools, etc.), and the mixture of residential and commercial establishments. Existing objective measures of the LUE do not consider urbanicity, which can lead to differences due only to places being more or less rural. The Diabetes Location, Environmental Attributes, and Disparities (LEAD) Network created a national, census tract-level LUE measure and assessed whether the LUE construct differed across LEAD community type groups (higher density urban, lower density urban, suburban/small town, and rural). We found that the LUE construct does vary across LEAD community type. Future epidemiologic studies examining the LUE need to consider urbanicity to account for these differences.</t>
        </is>
      </c>
      <c r="X1727" t="inlineStr">
        <is>
          <t>[Meeker, Melissa A.; De Silva, S. Shanika A.; McAlexander, Tara P.; McClure, Leslie A.] Drexel Univ, Dept Epidemiol &amp; Biostat, Dornsife Sch Publ Hlth, Philadelphia, PA 19104 USA; [Schwartz, Brian S.; Hirsch, Annemarie G.] Geisinger, Dept Populat Hth Sci, Danville, PA USA; [Schwartz, Brian S.] Johns Hopkins Bloomberg Sch Publ Hlth, Dept Environm Hlth &amp; Engn, Baltimore, MD USA; [Bandeen-Roche, Karen] Johns Hopkins Bloomberg Sch Publ Hlth, Dept Biostat, Baltimore, MD USA; [Black, Nyesha C.] Noire Analyt LLC, Birmingham, AL USA</t>
        </is>
      </c>
      <c r="Y1727" t="inlineStr">
        <is>
          <t>Drexel University; Johns Hopkins University; Johns Hopkins Bloomberg School of Public Health; Johns Hopkins University; Johns Hopkins Bloomberg School of Public Health</t>
        </is>
      </c>
      <c r="Z1727" t="inlineStr">
        <is>
          <t>Meeker, MA (corresponding author), Drexel Univ, Dept Epidemiol &amp; Biostat, Dornsife Sch Publ Hlth, Philadelphia, PA 19104 USA.</t>
        </is>
      </c>
      <c r="AA1727" t="inlineStr">
        <is>
          <t>mam964@drexel.edu</t>
        </is>
      </c>
      <c r="AC1727" t="inlineStr">
        <is>
          <t>De Silva, S. Shanika/0000-0002-4843-3329; Meeker, Melissa/0000-0002-6074-8315</t>
        </is>
      </c>
      <c r="AD1727" t="inlineStr">
        <is>
          <t>Diabetes LEAD Network, through CDC cooperative agreements [U01DP006293, U01DP006296, U01DP006299, U01DP006302]; U.S. Centers for Disease Control and Prevention, Division of Diabetes Translation; National Institute of Aging [1R01AG049970, 3R01AG049970-04S1]; Commonwealth Universal Research Enhancement (C.U.R.E) program - Pennsylvania Department of Health-2015 Formula award-SAP [4100072543]; Urban Health Collaborative at Drexel University; Built Environment and Health Research Group at Columbia University</t>
        </is>
      </c>
      <c r="AE1727" t="inlineStr">
        <is>
          <t>Diabetes LEAD Network, through CDC cooperative agreements; U.S. Centers for Disease Control and Prevention, Division of Diabetes Translation; National Institute of Aging(United States Department of Health &amp; Human ServicesNational Institutes of Health (NIH) - USANIH National Institute on Aging (NIA)); Commonwealth Universal Research Enhancement (C.U.R.E) program - Pennsylvania Department of Health-2015 Formula award-SAP; Urban Health Collaborative at Drexel University; Built Environment and Health Research Group at Columbia University</t>
        </is>
      </c>
      <c r="AF1727" t="inlineStr">
        <is>
          <t>This research was conducted by the Diabetes LEAD Network, funded through CDC cooperative agreements U01DP006293 (Drexel University), U01DP006296 (Geisinger-Johns Hopkins University), U01DP006299 (New York University School of Medicine), and U01DP006302 (University of Alabama at Birmingham), in collaboration with the U.S. Centers for Disease Control and Prevention, Division of Diabetes Translation. This work was also made possible by the Retail Environment and Cardiovascular Disease (RECVD) study, which was supported by the National Institute of Aging (Grants 1R01AG049970, 3R01AG049970-04S1), Commonwealth Universal Research Enhancement (C.U.R.E) program funded by the Pennsylvania Department of Health-2015 Formula award-SAP #4100072543, the Urban Health Collaborative at Drexel University, and the Built Environment and Health Research Group at Columbia University.</t>
        </is>
      </c>
      <c r="AH1727" t="n">
        <v>38</v>
      </c>
      <c r="AI1727" t="n">
        <v>1</v>
      </c>
      <c r="AJ1727" t="n">
        <v>1</v>
      </c>
      <c r="AK1727" t="n">
        <v>1</v>
      </c>
      <c r="AL1727" t="n">
        <v>2</v>
      </c>
      <c r="AM1727" t="inlineStr">
        <is>
          <t>AMER GEOPHYSICAL UNION</t>
        </is>
      </c>
      <c r="AN1727" t="inlineStr">
        <is>
          <t>WASHINGTON</t>
        </is>
      </c>
      <c r="AO1727" t="inlineStr">
        <is>
          <t>2000 FLORIDA AVE NW, WASHINGTON, DC 20009 USA</t>
        </is>
      </c>
      <c r="AP1727" t="inlineStr">
        <is>
          <t>2471-1403</t>
        </is>
      </c>
      <c r="AS1727" t="inlineStr">
        <is>
          <t>GEOHEALTH</t>
        </is>
      </c>
      <c r="AT1727" t="inlineStr">
        <is>
          <t>GeoHealth</t>
        </is>
      </c>
      <c r="AU1727" t="inlineStr">
        <is>
          <t>OCT</t>
        </is>
      </c>
      <c r="AV1727" t="n">
        <v>2022</v>
      </c>
      <c r="AW1727" t="n">
        <v>6</v>
      </c>
      <c r="AX1727" t="n">
        <v>10</v>
      </c>
      <c r="BE1727" t="inlineStr">
        <is>
          <t>e2022GH000667</t>
        </is>
      </c>
      <c r="BF1727" t="inlineStr">
        <is>
          <t>10.1029/2022GH000667</t>
        </is>
      </c>
      <c r="BG1727">
        <f>HYPERLINK("http://dx.doi.org/10.1029/2022GH000667","http://dx.doi.org/10.1029/2022GH000667")</f>
        <v/>
      </c>
      <c r="BJ1727" t="n">
        <v>10</v>
      </c>
      <c r="BK1727" t="inlineStr">
        <is>
          <t>Environmental Sciences; Public, Environmental &amp; Occupational Health</t>
        </is>
      </c>
      <c r="BL1727" t="inlineStr">
        <is>
          <t>Science Citation Index Expanded (SCI-EXPANDED)</t>
        </is>
      </c>
      <c r="BM1727" t="inlineStr">
        <is>
          <t>Environmental Sciences &amp; Ecology; Public, Environmental &amp; Occupational Health</t>
        </is>
      </c>
      <c r="BN1727" t="inlineStr">
        <is>
          <t>5N0HD</t>
        </is>
      </c>
      <c r="BO1727" t="n">
        <v>36262526</v>
      </c>
      <c r="BP1727" t="inlineStr">
        <is>
          <t>Green Published, gold</t>
        </is>
      </c>
      <c r="BS1727" t="inlineStr">
        <is>
          <t>2023-10-26</t>
        </is>
      </c>
      <c r="BT1727" t="inlineStr">
        <is>
          <t>WOS:000871471500001</t>
        </is>
      </c>
      <c r="BU1727">
        <f>HYPERLINK("https%3A%2F%2Fwww.webofscience.com%2Fwos%2Fwoscc%2Ffull-record%2FWOS:000871471500001","View Full Record in Web of Science")</f>
        <v/>
      </c>
    </row>
    <row r="1728">
      <c r="A1728" t="inlineStr">
        <is>
          <t>J</t>
        </is>
      </c>
      <c r="B1728" t="inlineStr">
        <is>
          <t>Guillamón-Escudero, C; Diago-Galmés, A; Rico, DZ; Maestro-González, A; Tenías-Burillo, JM; Soriano, JM; Fernández-Garrido, JJ</t>
        </is>
      </c>
      <c r="F1728" t="inlineStr">
        <is>
          <t>Guillamon-Escudero, Carlos; Diago-Galmes, Angela; Rico, David Zuazua; Maestro-Gonzalez, Alba; Tenias-Burillo, Jose M.; Soriano, Jose M.; Fernandez-Garrido, Julio J.</t>
        </is>
      </c>
      <c r="J1728" t="inlineStr">
        <is>
          <t>INTERNATIONAL JOURNAL OF ENVIRONMENTAL RESEARCH AND PUBLIC HEALTH</t>
        </is>
      </c>
      <c r="M1728" t="inlineStr">
        <is>
          <t>English</t>
        </is>
      </c>
      <c r="N1728" t="inlineStr">
        <is>
          <t>Article</t>
        </is>
      </c>
      <c r="T1728" t="inlineStr">
        <is>
          <t>SarQoL Questionnaire in Community-Dwelling Older Adults under EWGSOP2 Sarcopenia Diagnosis Algorithm: A New Screening Method?</t>
        </is>
      </c>
      <c r="U1728" t="inlineStr">
        <is>
          <t>sarcopenia; older adults; quality of life; SarQoL; older people; muscle strength</t>
        </is>
      </c>
      <c r="V1728" t="inlineStr">
        <is>
          <t>QUALITY-OF-LIFE; ASIAN WORKING GROUP; PREVALENCE; DEFINITION; VALIDATION; CONSENSUS; STRENGTH; PEOPLE; ASSOCIATION; VALIDITY</t>
        </is>
      </c>
      <c r="W1728" t="inlineStr">
        <is>
          <t>This article is an observational and cross-sectional study that related the result obtained in the questionnaire for the evaluation of quality of life related to muscle mass (SarQoL) and the prevalence of sarcopenic pathology measured under the EWGSOP2 algorithm. Participants were 202 community-dwelling older adults living in Valencia, Spain. The prevalence of sarcopenia in men was 28.9%, while in women it was 26.2%. In the case of the SarQoL questionnaire, the mean score obtained for men was 75.5 and 72.6 for women, showing significant differences in both sexes between the results obtained by the group with and without sarcopenia. After the exhaustive data analysis, a high discriminative capacity for sarcopenic disease was found in the SarQoL questionnaire total score and in domains 2 (locomotion), 4 (functionality) and 5 (activities of daily living). In accordance with the existing controversy regarding the use of SARC-F as a screening method for sarcopenia, the authors pointed out the capacity of domain 2 (locomotion) in isolation as a possible screening method for this disease, exposing a high risk of suffering sarcopenia when scores in this domain were below 60 points. Further research is needed to develop new lines of research as these showed in this work, as well as new and easily applicable screening methods for sarcopenia in clinical practice, that allow a rapid detection of this disease in the community.</t>
        </is>
      </c>
      <c r="X1728" t="inlineStr">
        <is>
          <t>[Guillamon-Escudero, Carlos] Hosp Gen Univ Castello, Castellon de La Plana 12004, Spain; [Diago-Galmes, Angela] Hosp Univ La Plana, Villarreal 12540, Spain; [Rico, David Zuazua; Maestro-Gonzalez, Alba] Univ Oviedo, Dept Med, Nursing Area, Oviedo 33006, Spain; [Rico, David Zuazua; Maestro-Gonzalez, Alba] Hosp Univ Cent Asturias, Oviedo 33011, Spain; [Tenias-Burillo, Jose M.] Hosp Pare Jofre, Dept Prevent Med, Valencia 46017, Spain; [Soriano, Jose M.] Univ Valencia, Inst Mat Sci, Food &amp; Hlth Lab, Valencia 46980, Spain; [Soriano, Jose M.] Univ Valencia, Joint Res Unit Endocrinol Nutr &amp; Clin Dietet, Hlth Res Inst La Fe, Valencia 46026, Spain; [Fernandez-Garrido, Julio J.] Univ Valencia, Fac Nursing &amp; Podiatry, Dept Nursing, Valencia 46001, Spain</t>
        </is>
      </c>
      <c r="Y1728" t="inlineStr">
        <is>
          <t>University of Oviedo; Central University Hospital Asturias; University of Valencia; University of Valencia; Hospital Universitari i Politecnic La Fe; Instituto de Investigacion Sanitaria La Fe (IIS La Fe); University of Valencia</t>
        </is>
      </c>
      <c r="Z1728" t="inlineStr">
        <is>
          <t>Maestro-González, A (corresponding author), Univ Oviedo, Dept Med, Nursing Area, Oviedo 33006, Spain.;Maestro-González, A (corresponding author), Hosp Univ Cent Asturias, Oviedo 33011, Spain.</t>
        </is>
      </c>
      <c r="AA1728" t="inlineStr">
        <is>
          <t>carlos_ge@hotmail.es; angela94dg@gmail.com; zuazuadavid@uniovi.es; maestroalba@uniovi.es; tenias_jma@gya.es; jose.soriano@uv.es; julio.fernandez@uv.es</t>
        </is>
      </c>
      <c r="AB1728" t="inlineStr">
        <is>
          <t>Soriano, Jose M./AAA-4158-2019; Maestro-Gonzalez, Alba/ABH-7539-2020; Zuazua-Rico, David/HDM-2392-2022; Guillamón Escudero, Carlos/HRA-4052-2023; Tenias, Jose Maria/B-4973-2011</t>
        </is>
      </c>
      <c r="AC1728" t="inlineStr">
        <is>
          <t>Maestro-Gonzalez, Alba/0000-0002-1588-9362; Zuazua-Rico, David/0000-0002-5945-5945; Diago Galmes, Angela/0000-0002-2954-6993; Tenias, Jose Maria/0000-0002-8079-8491; Fernandez-Garrido, Julio/0000-0001-5195-5227; Soriano, Jose/0000-0003-2846-1311; Guillamon Escudero, Carlos/0000-0002-5127-6010</t>
        </is>
      </c>
      <c r="AH1728" t="n">
        <v>64</v>
      </c>
      <c r="AI1728" t="n">
        <v>4</v>
      </c>
      <c r="AJ1728" t="n">
        <v>5</v>
      </c>
      <c r="AK1728" t="n">
        <v>2</v>
      </c>
      <c r="AL1728" t="n">
        <v>8</v>
      </c>
      <c r="AM1728" t="inlineStr">
        <is>
          <t>MDPI</t>
        </is>
      </c>
      <c r="AN1728" t="inlineStr">
        <is>
          <t>BASEL</t>
        </is>
      </c>
      <c r="AO1728" t="inlineStr">
        <is>
          <t>ST ALBAN-ANLAGE 66, CH-4052 BASEL, SWITZERLAND</t>
        </is>
      </c>
      <c r="AQ1728" t="inlineStr">
        <is>
          <t>1660-4601</t>
        </is>
      </c>
      <c r="AS1728" t="inlineStr">
        <is>
          <t>INT J ENV RES PUB HE</t>
        </is>
      </c>
      <c r="AT1728" t="inlineStr">
        <is>
          <t>Int. J. Environ. Res. Public Health</t>
        </is>
      </c>
      <c r="AU1728" t="inlineStr">
        <is>
          <t>JUL</t>
        </is>
      </c>
      <c r="AV1728" t="n">
        <v>2022</v>
      </c>
      <c r="AW1728" t="n">
        <v>19</v>
      </c>
      <c r="AX1728" t="n">
        <v>14</v>
      </c>
      <c r="BE1728" t="n">
        <v>8473</v>
      </c>
      <c r="BF1728" t="inlineStr">
        <is>
          <t>10.3390/ijerph19148473</t>
        </is>
      </c>
      <c r="BG1728">
        <f>HYPERLINK("http://dx.doi.org/10.3390/ijerph19148473","http://dx.doi.org/10.3390/ijerph19148473")</f>
        <v/>
      </c>
      <c r="BJ1728" t="n">
        <v>15</v>
      </c>
      <c r="BK1728" t="inlineStr">
        <is>
          <t>Environmental Sciences; Public, Environmental &amp; Occupational Health</t>
        </is>
      </c>
      <c r="BL1728" t="inlineStr">
        <is>
          <t>Science Citation Index Expanded (SCI-EXPANDED); Social Science Citation Index (SSCI)</t>
        </is>
      </c>
      <c r="BM1728" t="inlineStr">
        <is>
          <t>Environmental Sciences &amp; Ecology; Public, Environmental &amp; Occupational Health</t>
        </is>
      </c>
      <c r="BN1728" t="inlineStr">
        <is>
          <t>3I0YQ</t>
        </is>
      </c>
      <c r="BO1728" t="n">
        <v>35886318</v>
      </c>
      <c r="BP1728" t="inlineStr">
        <is>
          <t>Green Published, gold</t>
        </is>
      </c>
      <c r="BS1728" t="inlineStr">
        <is>
          <t>2023-10-26</t>
        </is>
      </c>
      <c r="BT1728" t="inlineStr">
        <is>
          <t>WOS:000832452700001</t>
        </is>
      </c>
      <c r="BU1728">
        <f>HYPERLINK("https%3A%2F%2Fwww.webofscience.com%2Fwos%2Fwoscc%2Ffull-record%2FWOS:000832452700001","View Full Record in Web of Science")</f>
        <v/>
      </c>
    </row>
    <row r="1729">
      <c r="A1729" t="inlineStr">
        <is>
          <t>J</t>
        </is>
      </c>
      <c r="B1729" t="inlineStr">
        <is>
          <t>Mahmoud, H</t>
        </is>
      </c>
      <c r="F1729" t="inlineStr">
        <is>
          <t>Mahmoud, Hussam</t>
        </is>
      </c>
      <c r="J1729" t="inlineStr">
        <is>
          <t>NATURE CLIMATE CHANGE</t>
        </is>
      </c>
      <c r="M1729" t="inlineStr">
        <is>
          <t>English</t>
        </is>
      </c>
      <c r="N1729" t="inlineStr">
        <is>
          <t>Editorial Material</t>
        </is>
      </c>
      <c r="T1729" t="inlineStr">
        <is>
          <t>Barriers to gauging built environment climate vulnerability</t>
        </is>
      </c>
      <c r="V1729" t="inlineStr">
        <is>
          <t>BUILDING DAMAGE</t>
        </is>
      </c>
      <c r="W1729" t="inlineStr">
        <is>
          <t>Climate change will increase the intensity and frequency of a range of natural hazards, from floods to wildfires, which impact the built environment. More research is needed on buildings and infrastructure performance under different climate-driven events to support recovery predictions and effective mitigation policies.</t>
        </is>
      </c>
      <c r="X1729" t="inlineStr">
        <is>
          <t>[Mahmoud, Hussam] Colorado State Univ, Dept Civil &amp; Environm Engn, Ft Collins, CO 80523 USA</t>
        </is>
      </c>
      <c r="Y1729" t="inlineStr">
        <is>
          <t>Colorado State University</t>
        </is>
      </c>
      <c r="Z1729" t="inlineStr">
        <is>
          <t>Mahmoud, H (corresponding author), Colorado State Univ, Dept Civil &amp; Environm Engn, Ft Collins, CO 80523 USA.</t>
        </is>
      </c>
      <c r="AA1729" t="inlineStr">
        <is>
          <t>Hussam.Mahmoud@Colostate.edu</t>
        </is>
      </c>
      <c r="AB1729" t="inlineStr">
        <is>
          <t>Mahmoud, Hussam/JFL-0657-2023</t>
        </is>
      </c>
      <c r="AH1729" t="n">
        <v>15</v>
      </c>
      <c r="AI1729" t="n">
        <v>11</v>
      </c>
      <c r="AJ1729" t="n">
        <v>11</v>
      </c>
      <c r="AK1729" t="n">
        <v>1</v>
      </c>
      <c r="AL1729" t="n">
        <v>15</v>
      </c>
      <c r="AM1729" t="inlineStr">
        <is>
          <t>NATURE PORTFOLIO</t>
        </is>
      </c>
      <c r="AN1729" t="inlineStr">
        <is>
          <t>BERLIN</t>
        </is>
      </c>
      <c r="AO1729" t="inlineStr">
        <is>
          <t>HEIDELBERGER PLATZ 3, BERLIN, 14197, GERMANY</t>
        </is>
      </c>
      <c r="AP1729" t="inlineStr">
        <is>
          <t>1758-678X</t>
        </is>
      </c>
      <c r="AQ1729" t="inlineStr">
        <is>
          <t>1758-6798</t>
        </is>
      </c>
      <c r="AS1729" t="inlineStr">
        <is>
          <t>NAT CLIM CHANGE</t>
        </is>
      </c>
      <c r="AT1729" t="inlineStr">
        <is>
          <t>Nat. Clim. Chang.</t>
        </is>
      </c>
      <c r="AU1729" t="inlineStr">
        <is>
          <t>JUN</t>
        </is>
      </c>
      <c r="AV1729" t="n">
        <v>2020</v>
      </c>
      <c r="AW1729" t="n">
        <v>10</v>
      </c>
      <c r="AX1729" t="n">
        <v>6</v>
      </c>
      <c r="BC1729" t="n">
        <v>482</v>
      </c>
      <c r="BD1729" t="n">
        <v>485</v>
      </c>
      <c r="BF1729" t="inlineStr">
        <is>
          <t>10.1038/s41558-020-0742-z</t>
        </is>
      </c>
      <c r="BG1729">
        <f>HYPERLINK("http://dx.doi.org/10.1038/s41558-020-0742-z","http://dx.doi.org/10.1038/s41558-020-0742-z")</f>
        <v/>
      </c>
      <c r="BI1729" t="inlineStr">
        <is>
          <t>APR 2020</t>
        </is>
      </c>
      <c r="BJ1729" t="n">
        <v>4</v>
      </c>
      <c r="BK1729" t="inlineStr">
        <is>
          <t>Environmental Sciences; Environmental Studies; Meteorology &amp; Atmospheric Sciences</t>
        </is>
      </c>
      <c r="BL1729" t="inlineStr">
        <is>
          <t>Science Citation Index Expanded (SCI-EXPANDED); Social Science Citation Index (SSCI)</t>
        </is>
      </c>
      <c r="BM1729" t="inlineStr">
        <is>
          <t>Environmental Sciences &amp; Ecology; Meteorology &amp; Atmospheric Sciences</t>
        </is>
      </c>
      <c r="BN1729" t="inlineStr">
        <is>
          <t>LW4CO</t>
        </is>
      </c>
      <c r="BS1729" t="inlineStr">
        <is>
          <t>2023-10-26</t>
        </is>
      </c>
      <c r="BT1729" t="inlineStr">
        <is>
          <t>WOS:000526239000002</t>
        </is>
      </c>
      <c r="BU1729">
        <f>HYPERLINK("https%3A%2F%2Fwww.webofscience.com%2Fwos%2Fwoscc%2Ffull-record%2FWOS:000526239000002","View Full Record in Web of Science")</f>
        <v/>
      </c>
    </row>
    <row r="1730">
      <c r="A1730" t="inlineStr">
        <is>
          <t>J</t>
        </is>
      </c>
      <c r="B1730" t="inlineStr">
        <is>
          <t>Lim, FL; Hashim, Z; Said, SM; Than, LTL; Hashim, JH; Norbäck, D</t>
        </is>
      </c>
      <c r="F1730" t="inlineStr">
        <is>
          <t>Lim, Fang-Lee; Hashim, Zailina; Said, Salmiah Md; Than, Leslie Thian-Lung; Hashim, Jamal Hisham; Norback, Dan</t>
        </is>
      </c>
      <c r="J1730" t="inlineStr">
        <is>
          <t>SCIENCE OF THE TOTAL ENVIRONMENT</t>
        </is>
      </c>
      <c r="M1730" t="inlineStr">
        <is>
          <t>English</t>
        </is>
      </c>
      <c r="N1730" t="inlineStr">
        <is>
          <t>Article</t>
        </is>
      </c>
      <c r="T1730" t="inlineStr">
        <is>
          <t>Sick building syndrome (SBS) among office workers in a Malaysian university - Associations with atopy, fractional exhaled nitric oxide (FeNO) and the office environment</t>
        </is>
      </c>
      <c r="U1730" t="inlineStr">
        <is>
          <t>Sick building syndrome; Allergy; House dust mites; Fractional exhaled nitric oxide; Office environment; Malaysia</t>
        </is>
      </c>
      <c r="V1730" t="inlineStr">
        <is>
          <t>THERMAL COMFORT; RESPIRATORY SYMPTOMS; AIRWAY INFLAMMATION; ALLERGY SYMPTOMS; MITE ALLERGENS; RISK-FACTORS; DUST; PREVALENCE; ASTHMA; TEMPERATURE</t>
        </is>
      </c>
      <c r="W1730" t="inlineStr">
        <is>
          <t>There are few studies on sick building syndrome (SBS) including clinical measurements for atopy and fractional exhaled nitric oxide (FeNO). Our aim was to study associations between SBS symptoms, selected personal factors, office characteristics and indoor office exposures among office workers from a university in Malaysia. Health data were collected by a questionnaire (n = 695), skin prick test (SPT) (n = 463) and FeNO test (n = 460). Office settled dust was vacuumed and analyzed for endotoxin, (1,3)-beta-glucan and house dust mites (HDM) allergens group 1 namely Dermatophagoides pteronyssinus (Der p 1) and Dermatophagoides farinae (Der f 1). Office indoor temperature, relative air humidity (RH), carbon monoxide (CO) and carbon dioxide (CO2) were measured by a direct reading instrument. Associations were studied by two-levelsmultiple logistic regression with mutual adjustment and stratified analysis. The prevalence of weekly dermal, mucosal and general symptoms was 11.9%, 16.0% and 23.0% respectively. A combination of SPT positivity (allergy to HDM or cat) and high FeNO level (&gt;= 25 ppb) was associated with dermal (p = 0.002), mucosal (p &lt;0.001) and general symptoms (p = 0.05). Der f1 level in dust was associated with dermal (p &lt; 0.001), mucosal (p &lt; 0.001) and general (p = 0.02) symptoms. Among those with allergy to D. farinae, associations were found between Der f 1 levels in dust and dermal (p = 0.003), mucosal (p = 0.001) and general symptoms (p = 0.007). Office-related symptoms were associated with Der f 1 levels in dust (p = 0.02), low relative air humidity (p = 0.04) and high office temperature (p = 0.05). In conclusion, a combination of allergy to cat or HDM and high FeNO is a risk factor for SBS symptoms. Der f 1 allergen in dust can be a risk factor for SBS in the office environment, particularly among those sensitized to Der f 1 allergen. (C) 2015 Elsevier B.V. All rights reserved.</t>
        </is>
      </c>
      <c r="X1730" t="inlineStr">
        <is>
          <t>[Lim, Fang-Lee; Hashim, Zailina] Univ Putra Malaysia, Fac Med &amp; Hlth Sci, Dept Environm &amp; Occupat Hlth, Upm Serdang 43400, Selangor, Malaysia; [Said, Salmiah Md] Univ Putra Malaysia, Fac Med &amp; Hlth Sci, Dept Community Hlth, Upm Serdang 43400, Selangor, Malaysia; [Than, Leslie Thian-Lung] Univ Putra Malaysia, Fac Med &amp; Hlth Sci, Dept Med Microbiol &amp; Parasitol, Upm Serdang 43400, Selangor, Malaysia; [Hashim, Jamal Hisham] UKM Med Ctr, UNU IIGH, Kuala Lumpur 56000, Malaysia; [Hashim, Jamal Hisham] Natl Univ Malaysia, UKM, Dept Community Hlth, Kuala Lumpur 50300, Malaysia; [Norback, Dan] Uppsala Univ, Dept Med Sci Occupat &amp; Environm Med, S-75185 Uppsala, Sweden; [Norback, Dan] Univ Uppsala Hosp, S-75185 Uppsala, Sweden</t>
        </is>
      </c>
      <c r="Y1730" t="inlineStr">
        <is>
          <t>Universiti Putra Malaysia; Universiti Putra Malaysia; Universiti Putra Malaysia; Universiti Kebangsaan Malaysia; Universiti Kebangsaan Malaysia; Uppsala University; Uppsala University; Uppsala University Hospital</t>
        </is>
      </c>
      <c r="Z1730" t="inlineStr">
        <is>
          <t>Hashim, Z (corresponding author), Univ Putra Malaysia, Fac Med &amp; Hlth Sci, Dept Environm &amp; Occupat Hlth, Upm Serdang 43400, Selangor Darul, Malaysia.</t>
        </is>
      </c>
      <c r="AA1730" t="inlineStr">
        <is>
          <t>limfanglee@gmail.com; zailina@upm.edu.my; salmiahms@upm.edu.my; tl_leslie@upm.edu.my; jamal@unu.edu; dan.norback@medsci.uu.se</t>
        </is>
      </c>
      <c r="AB1730" t="inlineStr">
        <is>
          <t>Md. Said, Salmiah/ABE-6447-2021; Fang Lee, Lim/AEK-7526-2022; Hashim, Jamal Hisham/IUQ-2229-2023</t>
        </is>
      </c>
      <c r="AC1730" t="inlineStr">
        <is>
          <t>Fang Lee, Lim/0000-0002-8253-2662; Md. Said, Salmiah/0000-0001-5865-2499; Than, Leslie/0000-0001-6956-4638; Norback, Dan/0000-0002-5174-6668</t>
        </is>
      </c>
      <c r="AD1730" t="inlineStr">
        <is>
          <t>Universiti Putra Malaysia (UPM) for Research University Grant Scheme (RUGS) [9199671]; Swedish Research Council (VR) [2013-6762]</t>
        </is>
      </c>
      <c r="AE1730" t="inlineStr">
        <is>
          <t>Universiti Putra Malaysia (UPM) for Research University Grant Scheme (RUGS); Swedish Research Council (VR)(Swedish Research Council)</t>
        </is>
      </c>
      <c r="AF1730" t="inlineStr">
        <is>
          <t>This study was financially supported by Universiti Putra Malaysia (UPM) for Research University Grant Scheme (RUGS) (No. 9199671) and the Swedish Research Council (VR) (No. 2013-6762). Thanks to Zarith Afzan Zainal, Siti Rahmah Abdul Rahman and Jeong-Shiun Tan for helping in data collection. We appreciate the participation of office workers as respondents in this study, who made this research possible.</t>
        </is>
      </c>
      <c r="AH1730" t="n">
        <v>83</v>
      </c>
      <c r="AI1730" t="n">
        <v>31</v>
      </c>
      <c r="AJ1730" t="n">
        <v>31</v>
      </c>
      <c r="AK1730" t="n">
        <v>0</v>
      </c>
      <c r="AL1730" t="n">
        <v>69</v>
      </c>
      <c r="AM1730" t="inlineStr">
        <is>
          <t>ELSEVIER</t>
        </is>
      </c>
      <c r="AN1730" t="inlineStr">
        <is>
          <t>AMSTERDAM</t>
        </is>
      </c>
      <c r="AO1730" t="inlineStr">
        <is>
          <t>RADARWEG 29, 1043 NX AMSTERDAM, NETHERLANDS</t>
        </is>
      </c>
      <c r="AP1730" t="inlineStr">
        <is>
          <t>0048-9697</t>
        </is>
      </c>
      <c r="AQ1730" t="inlineStr">
        <is>
          <t>1879-1026</t>
        </is>
      </c>
      <c r="AS1730" t="inlineStr">
        <is>
          <t>SCI TOTAL ENVIRON</t>
        </is>
      </c>
      <c r="AT1730" t="inlineStr">
        <is>
          <t>Sci. Total Environ.</t>
        </is>
      </c>
      <c r="AU1730" t="inlineStr">
        <is>
          <t>DEC 1</t>
        </is>
      </c>
      <c r="AV1730" t="n">
        <v>2015</v>
      </c>
      <c r="AW1730" t="n">
        <v>536</v>
      </c>
      <c r="BC1730" t="n">
        <v>353</v>
      </c>
      <c r="BD1730" t="n">
        <v>361</v>
      </c>
      <c r="BF1730" t="inlineStr">
        <is>
          <t>10.1016/j.scitotenv.2015.06.137</t>
        </is>
      </c>
      <c r="BG1730">
        <f>HYPERLINK("http://dx.doi.org/10.1016/j.scitotenv.2015.06.137","http://dx.doi.org/10.1016/j.scitotenv.2015.06.137")</f>
        <v/>
      </c>
      <c r="BJ1730" t="n">
        <v>9</v>
      </c>
      <c r="BK1730" t="inlineStr">
        <is>
          <t>Environmental Sciences</t>
        </is>
      </c>
      <c r="BL1730" t="inlineStr">
        <is>
          <t>Science Citation Index Expanded (SCI-EXPANDED)</t>
        </is>
      </c>
      <c r="BM1730" t="inlineStr">
        <is>
          <t>Environmental Sciences &amp; Ecology</t>
        </is>
      </c>
      <c r="BN1730" t="inlineStr">
        <is>
          <t>CR2VV</t>
        </is>
      </c>
      <c r="BO1730" t="n">
        <v>26225741</v>
      </c>
      <c r="BP1730" t="inlineStr">
        <is>
          <t>Green Accepted</t>
        </is>
      </c>
      <c r="BS1730" t="inlineStr">
        <is>
          <t>2023-10-26</t>
        </is>
      </c>
      <c r="BT1730" t="inlineStr">
        <is>
          <t>WOS:000361189800039</t>
        </is>
      </c>
      <c r="BU1730">
        <f>HYPERLINK("https%3A%2F%2Fwww.webofscience.com%2Fwos%2Fwoscc%2Ffull-record%2FWOS:000361189800039","View Full Record in Web of Science")</f>
        <v/>
      </c>
    </row>
    <row r="1731">
      <c r="A1731" t="inlineStr">
        <is>
          <t>J</t>
        </is>
      </c>
      <c r="B1731" t="inlineStr">
        <is>
          <t>Amato, F; Rivas, I; Viana, M; Moreno, T; Bouso, L; Reche, C; Alvarez-Pedrerol, M; Alastuey, A; Sunyer, J; Querol, X</t>
        </is>
      </c>
      <c r="F1731" t="inlineStr">
        <is>
          <t>Amato, F.; Rivas, I.; Viana, M.; Moreno, T.; Bouso, L.; Reche, C.; Alvarez-Pedrerol, M.; Alastuey, A.; Sunyer, J.; Querol, X.</t>
        </is>
      </c>
      <c r="J1731" t="inlineStr">
        <is>
          <t>SCIENCE OF THE TOTAL ENVIRONMENT</t>
        </is>
      </c>
      <c r="M1731" t="inlineStr">
        <is>
          <t>English</t>
        </is>
      </c>
      <c r="N1731" t="inlineStr">
        <is>
          <t>Article</t>
        </is>
      </c>
      <c r="T1731" t="inlineStr">
        <is>
          <t>Sources of indoor and outdoor PM2.5 concentrations in primary schools</t>
        </is>
      </c>
      <c r="U1731" t="inlineStr">
        <is>
          <t>PMF; Aerosol; Indoor; Outdoor; Barcelona</t>
        </is>
      </c>
      <c r="V1731" t="inlineStr">
        <is>
          <t>FACTOR-ANALYTIC MODELS; AIR-POLLUTANTS; INDOOR/OUTDOOR RELATIONSHIPS; PARTICULATE MATTER; METAL-IONS; EXPOSURE; URBAN; PM10; PARTICLES; BARCELONA</t>
        </is>
      </c>
      <c r="W1731" t="inlineStr">
        <is>
          <t>Children spend a third of their day in the classroom, where air pollution levels may differ substantially from those outdoors due to specific indoor sources. Air pollution exposure assessments based on atmospheric particle mass measured outdoors may therefore have little to do with the daily PM dose received by school children. This study aims to investigate outdoor and indoor sources of PM2.5 measured at 39 primary schools in Barcelona during 2012. On average 47% of indoor PM2.5 measured concentrations was found to be generated indoors due to continuous resuspension of soil particles (13%) and a mixed source (34%) comprising organic (skin flakes, clothes fibers, possible condensation of VOCs) and Ca-rich particles (from chalk and building deterioration). Emissions from seven outdoor sources penetrated easily indoors being responsible for the remaining 53% of measured PM2.5 indoors. Un3paved playgrounds were found to increase mineral contributions in classrooms by 5-6 mu g/m(3) on average with respect to schools with paved playgrounds. Weekday traffic contributions varied considerably across Barcelona within ranges of 1-14 mu g/m(3) outdoor and 1-10 mu g/m(3) indoor. Indoors, traffic contributions were significantly higher (more than twofold) for classrooms with windows oriented directly to the street, rather than to the interior of the block or to playgrounds. This highlights the importance of urban planning in order to reduce children's exposure to traffic emissions. (C) 2014 Elsevier B.V. All rights reserved.</t>
        </is>
      </c>
      <c r="X1731" t="inlineStr">
        <is>
          <t>[Amato, F.; Rivas, I.; Viana, M.; Moreno, T.; Bouso, L.; Reche, C.; Alastuey, A.; Querol, X.] IDAEA Spanish Natl Res Council CSIC, Inst Environm Assessment &amp; Water Res, Barcelona 08034, Spain; [Rivas, I.; Alvarez-Pedrerol, M.; Sunyer, J.] Ctr Res Environm Epidemiol CREAL, Barcelona 08003, Spain; [Sunyer, J.] Hosp del Mar, Res Inst IMIM, Barcelona 08003, Spain; [Rivas, I.; Bouso, L.; Alvarez-Pedrerol, M.; Sunyer, J.] Univ Pompeu Fabra, Barcelona 08003, Spain; [Rivas, I.; Bouso, L.; Alvarez-Pedrerol, M.; Sunyer, J.] CIBER Epidemiol &amp; Salud Publ CIBERESP, Madrid 28029, Spain; [Rivas, I.] Univ Autonoma Barcelona, Inst Ciencia &amp; Tecnol Ambientals, Bellaterra Cerdanyola 08193, Spain</t>
        </is>
      </c>
      <c r="Y1731" t="inlineStr">
        <is>
          <t>Consejo Superior de Investigaciones Cientificas (CSIC); CSIC - Centro de Investigacion y Desarrollo Pascual Vila (CID-CSIC); CSIC - Instituto de Diagnostico Ambiental y Estudios del Agua (IDAEA); Pompeu Fabra University; Hospital del Mar Research Institute; Hospital del Mar; Pompeu Fabra University; CIBER - Centro de Investigacion Biomedica en Red; CIBERESP; Autonomous University of Barcelona</t>
        </is>
      </c>
      <c r="Z1731" t="inlineStr">
        <is>
          <t>Amato, F (corresponding author), IDAEA Spanish Natl Res Council CSIC, Inst Environm Assessment &amp; Water Res, C Jordi Girona 18-26, Barcelona 08034, Spain.</t>
        </is>
      </c>
      <c r="AA1731" t="inlineStr">
        <is>
          <t>fulvio.amato@idaea.csic.es</t>
        </is>
      </c>
      <c r="AB1731" t="inlineStr">
        <is>
          <t>Sunyer, Jordi/G-6909-2014; Viana, Mar/L-5600-2014; Alastuey, Andres/E-1706-2014; AMATO, FULVIO/H-4598-2015; Querol, Xavier/E-2800-2014; Moreno, Teresa/C-9349-2009; Rivas, Ioar/J-1505-2016</t>
        </is>
      </c>
      <c r="AC1731" t="inlineStr">
        <is>
          <t>Sunyer, Jordi/0000-0002-2602-4110; Viana, Mar/0000-0002-4073-3802; Alastuey, Andres/0000-0002-5453-5495; AMATO, FULVIO/0000-0003-1546-9154; Querol, Xavier/0000-0002-6549-9899; Moreno, Teresa/0000-0003-3235-1027; Rivas, Ioar/0000-0002-4743-619X; Reche, Cristina/0000-0002-3387-3989</t>
        </is>
      </c>
      <c r="AD1731" t="inlineStr">
        <is>
          <t>European Community Seventh Framework Program (ERC Advanced Grant) - the BREATHE project [268479]; IMPACT [CGL2011-26574]; VAMOS [CLG2010-19464-CLI]; CECAT [CTM2011-14730-E]; AXA Research Fund; Generalitat de Catalunya [2009 SGR8]</t>
        </is>
      </c>
      <c r="AE1731" t="inlineStr">
        <is>
          <t>European Community Seventh Framework Program (ERC Advanced Grant) - the BREATHE project; IMPACT; VAMOS; CECAT; AXA Research Fund(AXA Research Fund); Generalitat de Catalunya(Generalitat de Catalunya)</t>
        </is>
      </c>
      <c r="AF1731" t="inlineStr">
        <is>
          <t>The research leading to these results has received funding from the European Community Seventh Framework Program (ERC Advanced Grant) under grant agreement number 268479 - the BREATHE project. The authors are indebted to the schools Antoni Brusi, Baloo, Betania - Patmos, Centre d'estudis Montseny, Col.legi Shalom, Costa i Llobera, El sagrer, Els Llorers, Escola Pia de Sarria, Escola Pia Balmes, Escola concertada Ramon Llull, Escola Nostra Sra. de Lourdes, Escola Tecnica Professional del Clot, Ferran i Clua, Francesc Macia, Frederic Mistral, Infant Jesus, Joan Maragall, Jovellanos, La Llacuna del Poblenou, Lloret, Menendez Pidal, Nuestra Senora del Rosario, Miralletes, Ramon Llull, Rius i Taulet, Pau Vila, Pere Vila, Pi d'en Xandri, Projecte, Prosperitat, Sant Ramon Nonat - Sagrat Cor, Santa Anna, Sant Gregori, Sagrat Cor Diputacio, Tres Pins, Tomas Moro, Torrent d'en Melis, Virolai. Additional funding was received from national projects IMPACT (CGL2011-26574), VAMOS (CLG2010-19464-CLI) and CECAT (CTM2011-14730-E). Support is acknowledged to Dr. Wes Gibbons, AXA Research Fund and Generalitat de Catalunya 2009 SGR8.</t>
        </is>
      </c>
      <c r="AH1731" t="n">
        <v>41</v>
      </c>
      <c r="AI1731" t="n">
        <v>138</v>
      </c>
      <c r="AJ1731" t="n">
        <v>138</v>
      </c>
      <c r="AK1731" t="n">
        <v>2</v>
      </c>
      <c r="AL1731" t="n">
        <v>90</v>
      </c>
      <c r="AM1731" t="inlineStr">
        <is>
          <t>ELSEVIER SCIENCE BV</t>
        </is>
      </c>
      <c r="AN1731" t="inlineStr">
        <is>
          <t>AMSTERDAM</t>
        </is>
      </c>
      <c r="AO1731" t="inlineStr">
        <is>
          <t>PO BOX 211, 1000 AE AMSTERDAM, NETHERLANDS</t>
        </is>
      </c>
      <c r="AP1731" t="inlineStr">
        <is>
          <t>0048-9697</t>
        </is>
      </c>
      <c r="AQ1731" t="inlineStr">
        <is>
          <t>1879-1026</t>
        </is>
      </c>
      <c r="AS1731" t="inlineStr">
        <is>
          <t>SCI TOTAL ENVIRON</t>
        </is>
      </c>
      <c r="AT1731" t="inlineStr">
        <is>
          <t>Sci. Total Environ.</t>
        </is>
      </c>
      <c r="AU1731" t="inlineStr">
        <is>
          <t>AUG 15</t>
        </is>
      </c>
      <c r="AV1731" t="n">
        <v>2014</v>
      </c>
      <c r="AW1731" t="n">
        <v>490</v>
      </c>
      <c r="BC1731" t="n">
        <v>757</v>
      </c>
      <c r="BD1731" t="n">
        <v>765</v>
      </c>
      <c r="BF1731" t="inlineStr">
        <is>
          <t>10.1016/j.scitotenv.2014.05.051</t>
        </is>
      </c>
      <c r="BG1731">
        <f>HYPERLINK("http://dx.doi.org/10.1016/j.scitotenv.2014.05.051","http://dx.doi.org/10.1016/j.scitotenv.2014.05.051")</f>
        <v/>
      </c>
      <c r="BJ1731" t="n">
        <v>9</v>
      </c>
      <c r="BK1731" t="inlineStr">
        <is>
          <t>Environmental Sciences</t>
        </is>
      </c>
      <c r="BL1731" t="inlineStr">
        <is>
          <t>Science Citation Index Expanded (SCI-EXPANDED)</t>
        </is>
      </c>
      <c r="BM1731" t="inlineStr">
        <is>
          <t>Environmental Sciences &amp; Ecology</t>
        </is>
      </c>
      <c r="BN1731" t="inlineStr">
        <is>
          <t>AY0NT</t>
        </is>
      </c>
      <c r="BO1731" t="n">
        <v>24907610</v>
      </c>
      <c r="BS1731" t="inlineStr">
        <is>
          <t>2023-10-26</t>
        </is>
      </c>
      <c r="BT1731" t="inlineStr">
        <is>
          <t>WOS:000347293800080</t>
        </is>
      </c>
      <c r="BU1731">
        <f>HYPERLINK("https%3A%2F%2Fwww.webofscience.com%2Fwos%2Fwoscc%2Ffull-record%2FWOS:000347293800080","View Full Record in Web of Science")</f>
        <v/>
      </c>
    </row>
    <row r="1732">
      <c r="A1732" t="inlineStr">
        <is>
          <t>J</t>
        </is>
      </c>
      <c r="B1732" t="inlineStr">
        <is>
          <t>Knapp, M; Gustat, J; Darensbourg, R; Myers, L; Johnson, C</t>
        </is>
      </c>
      <c r="F1732" t="inlineStr">
        <is>
          <t>Knapp, Megan; Gustat, Jeanette; Darensbourg, Revonda; Myers, Leann; Johnson, Carolyn</t>
        </is>
      </c>
      <c r="J1732" t="inlineStr">
        <is>
          <t>INTERNATIONAL JOURNAL OF ENVIRONMENTAL RESEARCH AND PUBLIC HEALTH</t>
        </is>
      </c>
      <c r="M1732" t="inlineStr">
        <is>
          <t>English</t>
        </is>
      </c>
      <c r="N1732" t="inlineStr">
        <is>
          <t>Article</t>
        </is>
      </c>
      <c r="T1732" t="inlineStr">
        <is>
          <t>The Relationships between Park Quality, Park Usage, and Levels of Physical Activity in Low-Income, African American Neighborhoods</t>
        </is>
      </c>
      <c r="U1732" t="inlineStr">
        <is>
          <t>parks; neighborhoods; physical activity; African American; built environment; disorder</t>
        </is>
      </c>
      <c r="V1732" t="inlineStr">
        <is>
          <t>PUBLIC-HEALTH; OBESITY; ADULTS; CRIME; DETERMINANTS; DISADVANTAGE; ENVIRONMENT; FEATURES; WOMEN; YOUTH</t>
        </is>
      </c>
      <c r="W1732" t="inlineStr">
        <is>
          <t>Parks can be an important, low-cost neighborhood resource to increase physical activity and reduce overweight and obesity. The quality of parks, however, may impact use. This study used observational data to examine the relationships between park quality, park usage and levels of physical activity among users in 31 parks within low-income, African American neighborhoods. Relationships between park use and park characteristics (signs of disorder, attractiveness, and number of activity settings) varied by gender and user activity level. No variables of interest were significant for overall number of male users; whereas, disorder and attractiveness were significant for overall number of female users. Parks with signs of disorder were associated with 49% fewer female users (IRR = 0.51, 95% CI = (0.34-0.77)) and attractive parks with 146% more female users (IRR = 2.46, 95% CI = (1.39-4.33)). Similar significant relationships were found among active but not sedentary female users. Communities may consider increasing park maintenance and addressing attractiveness in existing parks as a relatively low-cost environmental strategy to encourage park use, increase physical activity, and reduce the burden of obesity, especially among women in low-income, African-American communities.</t>
        </is>
      </c>
      <c r="X1732" t="inlineStr">
        <is>
          <t>[Knapp, Megan; Darensbourg, Revonda; Johnson, Carolyn] Tulane Univ, Dept Global Community Hlth &amp; Behav Sci, New Orleans, LA 70112 USA; [Gustat, Jeanette] Tulane Univ, Dept Epidemiol, New Orleans, LA 70112 USA; [Myers, Leann] Tulane Univ, Dept Global Biostat &amp; Data Sci, New Orleans, LA 70112 USA</t>
        </is>
      </c>
      <c r="Y1732" t="inlineStr">
        <is>
          <t>Tulane University; Tulane University; Tulane University</t>
        </is>
      </c>
      <c r="Z1732" t="inlineStr">
        <is>
          <t>Knapp, M (corresponding author), Tulane Univ, Dept Global Community Hlth &amp; Behav Sci, New Orleans, LA 70112 USA.</t>
        </is>
      </c>
      <c r="AA1732" t="inlineStr">
        <is>
          <t>mknapp3@tulane.edu; gustat@tulane.edu; rdarens@tulane.edu; myersl@tulane.edu; cjohnso5@tulane.edu</t>
        </is>
      </c>
      <c r="AC1732" t="inlineStr">
        <is>
          <t>Myers, Leann/0000-0003-0333-7517; Knapp, Megan/0000-0001-8575-9101</t>
        </is>
      </c>
      <c r="AD1732" t="inlineStr">
        <is>
          <t>Centers for Disease Control and Prevention, Prevention Research Center Program [U48DP005050]</t>
        </is>
      </c>
      <c r="AE1732" t="inlineStr">
        <is>
          <t>Centers for Disease Control and Prevention, Prevention Research Center Program(United States Department of Health &amp; Human ServicesCenters for Disease Control &amp; Prevention - USA)</t>
        </is>
      </c>
      <c r="AF1732" t="inlineStr">
        <is>
          <t>This research was supported by Cooperative Agreement #U48DP005050 funded by the Centers for Disease Control and Prevention, Prevention Research Center Program. Its contents are solely the responsibility of the authors and do not necessarily represent the official views of the Centers for Disease Control and Prevention or the Department of Health and Human Services.</t>
        </is>
      </c>
      <c r="AH1732" t="n">
        <v>55</v>
      </c>
      <c r="AI1732" t="n">
        <v>31</v>
      </c>
      <c r="AJ1732" t="n">
        <v>31</v>
      </c>
      <c r="AK1732" t="n">
        <v>3</v>
      </c>
      <c r="AL1732" t="n">
        <v>25</v>
      </c>
      <c r="AM1732" t="inlineStr">
        <is>
          <t>MDPI</t>
        </is>
      </c>
      <c r="AN1732" t="inlineStr">
        <is>
          <t>BASEL</t>
        </is>
      </c>
      <c r="AO1732" t="inlineStr">
        <is>
          <t>ST ALBAN-ANLAGE 66, CH-4052 BASEL, SWITZERLAND</t>
        </is>
      </c>
      <c r="AP1732" t="inlineStr">
        <is>
          <t>1660-4601</t>
        </is>
      </c>
      <c r="AS1732" t="inlineStr">
        <is>
          <t>INT J ENV RES PUB HE</t>
        </is>
      </c>
      <c r="AT1732" t="inlineStr">
        <is>
          <t>Int. J. Environ. Res. Public Health</t>
        </is>
      </c>
      <c r="AU1732" t="inlineStr">
        <is>
          <t>JAN 1</t>
        </is>
      </c>
      <c r="AV1732" t="n">
        <v>2019</v>
      </c>
      <c r="AW1732" t="n">
        <v>16</v>
      </c>
      <c r="AX1732" t="n">
        <v>1</v>
      </c>
      <c r="BE1732" t="n">
        <v>85</v>
      </c>
      <c r="BF1732" t="inlineStr">
        <is>
          <t>10.3390/ijerph16010085</t>
        </is>
      </c>
      <c r="BG1732">
        <f>HYPERLINK("http://dx.doi.org/10.3390/ijerph16010085","http://dx.doi.org/10.3390/ijerph16010085")</f>
        <v/>
      </c>
      <c r="BJ1732" t="n">
        <v>9</v>
      </c>
      <c r="BK1732" t="inlineStr">
        <is>
          <t>Environmental Sciences; Public, Environmental &amp; Occupational Health</t>
        </is>
      </c>
      <c r="BL1732" t="inlineStr">
        <is>
          <t>Science Citation Index Expanded (SCI-EXPANDED); Social Science Citation Index (SSCI)</t>
        </is>
      </c>
      <c r="BM1732" t="inlineStr">
        <is>
          <t>Environmental Sciences &amp; Ecology; Public, Environmental &amp; Occupational Health</t>
        </is>
      </c>
      <c r="BN1732" t="inlineStr">
        <is>
          <t>HM0BZ</t>
        </is>
      </c>
      <c r="BO1732" t="n">
        <v>30598003</v>
      </c>
      <c r="BP1732" t="inlineStr">
        <is>
          <t>Green Published, gold, Green Submitted</t>
        </is>
      </c>
      <c r="BS1732" t="inlineStr">
        <is>
          <t>2023-10-26</t>
        </is>
      </c>
      <c r="BT1732" t="inlineStr">
        <is>
          <t>WOS:000459111400085</t>
        </is>
      </c>
      <c r="BU1732">
        <f>HYPERLINK("https%3A%2F%2Fwww.webofscience.com%2Fwos%2Fwoscc%2Ffull-record%2FWOS:000459111400085","View Full Record in Web of Science")</f>
        <v/>
      </c>
    </row>
    <row r="1733">
      <c r="A1733" t="inlineStr">
        <is>
          <t>J</t>
        </is>
      </c>
      <c r="B1733" t="inlineStr">
        <is>
          <t>Kim, HJ; Park, D</t>
        </is>
      </c>
      <c r="F1733" t="inlineStr">
        <is>
          <t>Kim, Hee-jeong; Park, Dahye</t>
        </is>
      </c>
      <c r="J1733" t="inlineStr">
        <is>
          <t>INTERNATIONAL JOURNAL OF ENVIRONMENTAL RESEARCH AND PUBLIC HEALTH</t>
        </is>
      </c>
      <c r="M1733" t="inlineStr">
        <is>
          <t>English</t>
        </is>
      </c>
      <c r="N1733" t="inlineStr">
        <is>
          <t>Article</t>
        </is>
      </c>
      <c r="T1733" t="inlineStr">
        <is>
          <t>Gender-Specific Factors Associated with Health-Related Quality of Life in Obese Korean Older Adults: Evidence from the 2020 Korean National Health and Nutrition Examination Survey</t>
        </is>
      </c>
      <c r="U1733" t="inlineStr">
        <is>
          <t>gender; health-related quality of life; obesity; older adults</t>
        </is>
      </c>
      <c r="W1733" t="inlineStr">
        <is>
          <t>Given the increasing aging population in South Korea, the quality of life of older adults must be ensured. This cross-sectional descriptive study investigated the gender-specific factors associated with health-related quality of life in obese older adults aged 65 years and above based on Korean National Health and Nutrition Examination Survey (KNHNES) 2020 data. In total, 507 obese Korean older adults participated in the 8th KNHNES. Chi-square tests and logistic regression analysis were performed to determine the variation in health-related quality of life according to socioeconomic and health-related factors and assess their inter-relationships. The influencing factors of health-related quality of life in obese Korean older adults were national health insurance (odds ratio (OR) = 1.02, 95% confidence interval (CI): 0.40-2.21), private health insurance (OR = 0.36, 95% CI: 0.28-0.75), arthritis (OR = 6.64, 95% CI: 2.57-17.14), and good dietary lifestyle (OR = 0.07, 95% CI: 0.05-0.93) in men; and private health insurance (OR = 2.66, 95% CI: 1.05-6.72), arthritis (OR = 2.81, 95% CI: 1.44-5.51), and physical activity (OR = 4.33, 95% CI: 1.71-10.94) affected health-related quality of life in women. The importance of health behaviors should be considered in the development of health programs and interventions for improving the quality of life of older adults.</t>
        </is>
      </c>
      <c r="X1733" t="inlineStr">
        <is>
          <t>[Kim, Hee-jeong] Namseoul Univ, Dept Nursing, 91 Daehak Ro, Cheonan Si 31020, South Korea; [Park, Dahye] Semyung Univ, Dept Nursing, Semyungro 65, Jecheon Si 27136, South Korea</t>
        </is>
      </c>
      <c r="Y1733" t="inlineStr">
        <is>
          <t>Namseoul University; Semyung University</t>
        </is>
      </c>
      <c r="Z1733" t="inlineStr">
        <is>
          <t>Park, D (corresponding author), Semyung Univ, Dept Nursing, Semyungro 65, Jecheon Si 27136, South Korea.</t>
        </is>
      </c>
      <c r="AA1733" t="inlineStr">
        <is>
          <t>yshbb@nsu.ac.kr; dhpark@semyung.ac.kr</t>
        </is>
      </c>
      <c r="AC1733" t="inlineStr">
        <is>
          <t>PARK, DAHYE/0000-0002-8775-0298</t>
        </is>
      </c>
      <c r="AD1733" t="inlineStr">
        <is>
          <t>Namseoul University</t>
        </is>
      </c>
      <c r="AE1733" t="inlineStr">
        <is>
          <t>Namseoul University</t>
        </is>
      </c>
      <c r="AF1733" t="inlineStr">
        <is>
          <t>This work was supported by Namseoul University.</t>
        </is>
      </c>
      <c r="AH1733" t="n">
        <v>28</v>
      </c>
      <c r="AI1733" t="n">
        <v>0</v>
      </c>
      <c r="AJ1733" t="n">
        <v>0</v>
      </c>
      <c r="AK1733" t="n">
        <v>2</v>
      </c>
      <c r="AL1733" t="n">
        <v>4</v>
      </c>
      <c r="AM1733" t="inlineStr">
        <is>
          <t>MDPI</t>
        </is>
      </c>
      <c r="AN1733" t="inlineStr">
        <is>
          <t>BASEL</t>
        </is>
      </c>
      <c r="AO1733" t="inlineStr">
        <is>
          <t>ST ALBAN-ANLAGE 66, CH-4052 BASEL, SWITZERLAND</t>
        </is>
      </c>
      <c r="AQ1733" t="inlineStr">
        <is>
          <t>1660-4601</t>
        </is>
      </c>
      <c r="AS1733" t="inlineStr">
        <is>
          <t>INT J ENV RES PUB HE</t>
        </is>
      </c>
      <c r="AT1733" t="inlineStr">
        <is>
          <t>Int. J. Environ. Res. Public Health</t>
        </is>
      </c>
      <c r="AU1733" t="inlineStr">
        <is>
          <t>JUL</t>
        </is>
      </c>
      <c r="AV1733" t="n">
        <v>2022</v>
      </c>
      <c r="AW1733" t="n">
        <v>19</v>
      </c>
      <c r="AX1733" t="n">
        <v>14</v>
      </c>
      <c r="BE1733" t="n">
        <v>8275</v>
      </c>
      <c r="BF1733" t="inlineStr">
        <is>
          <t>10.3390/ijerph19148275</t>
        </is>
      </c>
      <c r="BG1733">
        <f>HYPERLINK("http://dx.doi.org/10.3390/ijerph19148275","http://dx.doi.org/10.3390/ijerph19148275")</f>
        <v/>
      </c>
      <c r="BJ1733" t="n">
        <v>11</v>
      </c>
      <c r="BK1733" t="inlineStr">
        <is>
          <t>Environmental Sciences; Public, Environmental &amp; Occupational Health</t>
        </is>
      </c>
      <c r="BL1733" t="inlineStr">
        <is>
          <t>Science Citation Index Expanded (SCI-EXPANDED); Social Science Citation Index (SSCI)</t>
        </is>
      </c>
      <c r="BM1733" t="inlineStr">
        <is>
          <t>Environmental Sciences &amp; Ecology; Public, Environmental &amp; Occupational Health</t>
        </is>
      </c>
      <c r="BN1733" t="inlineStr">
        <is>
          <t>3H9OS</t>
        </is>
      </c>
      <c r="BO1733" t="n">
        <v>35886127</v>
      </c>
      <c r="BP1733" t="inlineStr">
        <is>
          <t>gold, Green Published</t>
        </is>
      </c>
      <c r="BS1733" t="inlineStr">
        <is>
          <t>2023-10-26</t>
        </is>
      </c>
      <c r="BT1733" t="inlineStr">
        <is>
          <t>WOS:000832358300001</t>
        </is>
      </c>
      <c r="BU1733">
        <f>HYPERLINK("https%3A%2F%2Fwww.webofscience.com%2Fwos%2Fwoscc%2Ffull-record%2FWOS:000832358300001","View Full Record in Web of Science")</f>
        <v/>
      </c>
    </row>
    <row r="1734">
      <c r="A1734" t="inlineStr">
        <is>
          <t>J</t>
        </is>
      </c>
      <c r="B1734" t="inlineStr">
        <is>
          <t>Huang, JM; Chang, HY; Wang, YS</t>
        </is>
      </c>
      <c r="F1734" t="inlineStr">
        <is>
          <t>Huang, Jou-Man; Chang, Heui-Yung; Wang, Yu-Su</t>
        </is>
      </c>
      <c r="J1734" t="inlineStr">
        <is>
          <t>SUSTAINABILITY</t>
        </is>
      </c>
      <c r="M1734" t="inlineStr">
        <is>
          <t>English</t>
        </is>
      </c>
      <c r="N1734" t="inlineStr">
        <is>
          <t>Article</t>
        </is>
      </c>
      <c r="T1734" t="inlineStr">
        <is>
          <t>Spatiotemporal Changes in the Built Environment Characteristics and Urban Heat Island Effect in a Medium-Sized City, Chiayi City, Taiwan</t>
        </is>
      </c>
      <c r="U1734" t="inlineStr">
        <is>
          <t>built environment factors; UHI; tropical medium-sized city; artificial area; building coverage rate; green coverage rate; mobile transects</t>
        </is>
      </c>
      <c r="V1734" t="inlineStr">
        <is>
          <t>INTENSITY; IMPACT</t>
        </is>
      </c>
      <c r="W1734" t="inlineStr">
        <is>
          <t>This study took Chiayi City-a tropical, medium-sized city-as an example to investigate the urban heat island (UHI) effect using mobile transects and built environment characteristics in 2018. The findings were compared to those from a study in 1999 to explore the spatiotemporal changes in the built environment characteristics and UHI phenomenon. The result for the UHI intensity (UHII) during the day was approximately 4.1 degrees C and at midnight was approximately 2.5 degrees C. Compared with the survey in 1999, the UHII during the day increased by approximately 1.3 degrees C, and the UHII at midnight decreased by approximately 1.2 degrees C. The trend of the spatial distribution of the increasing artificial area ratio (AAR) proved the importance of urban land use expansion on UHI. The results of the air temperature survey were incorporated with the nesting space in GIS to explore the role of built environment characteristics in UHI effects. The higher the population density (PD) and artificial area ratio (AAR) were, the closer the proximity was to the downtown area. The green area ratio (GAR) was less than 0.2 in the downtown area and increased closer to the rural areas. The built environment factors were analyzed in detail and correlated with the UHI effect. The air temperature in the daytime increased with the population density (PD) and artificial area ratio (AAR), but decreased with the green area ratio (GAR) (r = +/- 0.3-0.4). The result showed good agreement with previous studies.</t>
        </is>
      </c>
      <c r="X1734" t="inlineStr">
        <is>
          <t>[Huang, Jou-Man] Natl Chiayi Univ, Dept Landscape Architecture, Chiayi 60004, Taiwan; [Chang, Heui-Yung; Wang, Yu-Su] Natl Kaohsiung Univ, Dept Civil &amp; Environm Engn, Kaohsiung 81148, Taiwan</t>
        </is>
      </c>
      <c r="Y1734" t="inlineStr">
        <is>
          <t>National Chiayi University; National University Kaohsiung</t>
        </is>
      </c>
      <c r="Z1734" t="inlineStr">
        <is>
          <t>Huang, JM (corresponding author), Natl Chiayi Univ, Dept Landscape Architecture, Chiayi 60004, Taiwan.</t>
        </is>
      </c>
      <c r="AA1734" t="inlineStr">
        <is>
          <t>jouman@mail.ncyu.edu.tw; hychang@nuk.edu.tw; yusu84466@gmail.com</t>
        </is>
      </c>
      <c r="AB1734" t="inlineStr">
        <is>
          <t>Chang, Heui-Yung/ABA-2029-2021</t>
        </is>
      </c>
      <c r="AC1734" t="inlineStr">
        <is>
          <t>Chang, Heui-Yung/0000-0002-6048-3441</t>
        </is>
      </c>
      <c r="AD1734" t="inlineStr">
        <is>
          <t>Ministry of Science and Technology, Taiwan; MOST [107-2221-E-415-002-MY2]</t>
        </is>
      </c>
      <c r="AE1734" t="inlineStr">
        <is>
          <t>Ministry of Science and Technology, Taiwan(Ministry of Science and Technology, Taiwan); MOST</t>
        </is>
      </c>
      <c r="AF1734" t="inlineStr">
        <is>
          <t>The support for this study from the Ministry of Science and Technology, Taiwan through grant No. MOST 107-2221-E-415-002-MY2 is gratefully acknowledged.</t>
        </is>
      </c>
      <c r="AH1734" t="n">
        <v>24</v>
      </c>
      <c r="AI1734" t="n">
        <v>7</v>
      </c>
      <c r="AJ1734" t="n">
        <v>7</v>
      </c>
      <c r="AK1734" t="n">
        <v>0</v>
      </c>
      <c r="AL1734" t="n">
        <v>14</v>
      </c>
      <c r="AM1734" t="inlineStr">
        <is>
          <t>MDPI</t>
        </is>
      </c>
      <c r="AN1734" t="inlineStr">
        <is>
          <t>BASEL</t>
        </is>
      </c>
      <c r="AO1734" t="inlineStr">
        <is>
          <t>ST ALBAN-ANLAGE 66, CH-4052 BASEL, SWITZERLAND</t>
        </is>
      </c>
      <c r="AQ1734" t="inlineStr">
        <is>
          <t>2071-1050</t>
        </is>
      </c>
      <c r="AS1734" t="inlineStr">
        <is>
          <t>SUSTAINABILITY-BASEL</t>
        </is>
      </c>
      <c r="AT1734" t="inlineStr">
        <is>
          <t>Sustainability</t>
        </is>
      </c>
      <c r="AU1734" t="inlineStr">
        <is>
          <t>JAN</t>
        </is>
      </c>
      <c r="AV1734" t="n">
        <v>2020</v>
      </c>
      <c r="AW1734" t="n">
        <v>12</v>
      </c>
      <c r="AX1734" t="n">
        <v>1</v>
      </c>
      <c r="BE1734" t="n">
        <v>365</v>
      </c>
      <c r="BF1734" t="inlineStr">
        <is>
          <t>10.3390/su12010365</t>
        </is>
      </c>
      <c r="BG1734">
        <f>HYPERLINK("http://dx.doi.org/10.3390/su12010365","http://dx.doi.org/10.3390/su12010365")</f>
        <v/>
      </c>
      <c r="BJ1734" t="n">
        <v>16</v>
      </c>
      <c r="BK1734" t="inlineStr">
        <is>
          <t>Green &amp; Sustainable Science &amp; Technology; Environmental Sciences; Environmental Studies</t>
        </is>
      </c>
      <c r="BL1734" t="inlineStr">
        <is>
          <t>Science Citation Index Expanded (SCI-EXPANDED); Social Science Citation Index (SSCI)</t>
        </is>
      </c>
      <c r="BM1734" t="inlineStr">
        <is>
          <t>Science &amp; Technology - Other Topics; Environmental Sciences &amp; Ecology</t>
        </is>
      </c>
      <c r="BN1734" t="inlineStr">
        <is>
          <t>KX5YC</t>
        </is>
      </c>
      <c r="BP1734" t="inlineStr">
        <is>
          <t>Green Published, gold</t>
        </is>
      </c>
      <c r="BS1734" t="inlineStr">
        <is>
          <t>2023-10-26</t>
        </is>
      </c>
      <c r="BT1734" t="inlineStr">
        <is>
          <t>WOS:000521955600365</t>
        </is>
      </c>
      <c r="BU1734">
        <f>HYPERLINK("https%3A%2F%2Fwww.webofscience.com%2Fwos%2Fwoscc%2Ffull-record%2FWOS:000521955600365","View Full Record in Web of Science")</f>
        <v/>
      </c>
    </row>
    <row r="1735">
      <c r="A1735" t="inlineStr">
        <is>
          <t>J</t>
        </is>
      </c>
      <c r="B1735" t="inlineStr">
        <is>
          <t>Kim, YJ; Lee, C</t>
        </is>
      </c>
      <c r="F1735" t="inlineStr">
        <is>
          <t>Kim, Young-Jae; Lee, Chanam</t>
        </is>
      </c>
      <c r="J1735" t="inlineStr">
        <is>
          <t>INTERNATIONAL JOURNAL OF ENVIRONMENTAL RESEARCH AND PUBLIC HEALTH</t>
        </is>
      </c>
      <c r="M1735" t="inlineStr">
        <is>
          <t>English</t>
        </is>
      </c>
      <c r="N1735" t="inlineStr">
        <is>
          <t>Article</t>
        </is>
      </c>
      <c r="T1735" t="inlineStr">
        <is>
          <t>Built and Natural Environmental Correlates of Parental Safety Concerns for Children's Active Travel to School</t>
        </is>
      </c>
      <c r="U1735" t="inlineStr">
        <is>
          <t>active travel to school; home-to-school route; built and natural environment; parental safety concerns; children</t>
        </is>
      </c>
      <c r="V1735" t="inlineStr">
        <is>
          <t>PHYSICAL-ACTIVITY; WALKING; TRANSPORTATION; DISTANCE; BARRIERS; ROUTE; MODE</t>
        </is>
      </c>
      <c r="W1735" t="inlineStr">
        <is>
          <t>This cross-sectional study examines built and natural environmental correlates of parental safety concerns for children's active travel to school (ATS), controlling for socio-demographic, attitudinal, and social factors. Questionnaire surveys (n = 3291) completed by parents who had 1st-6th grade children were collected in 2011 from 20 elementary schools in Austin, Texas. Objectively-measured built and natural environmental data were derived from two software programs: Geographic Information Systems (GIS) and Environment for Visualizing Images (ENVI). Ordinal least square regressions were used for statistical analyses in this study. Results from the fully adjusted final model showed that bike lanes, the presence of highway and railroads, the presence of sex offenders, and steep slopes along the home-to-school route were associated with increased parental safety concerns, while greater intersection density and greater tree canopy coverage along the route were associated with decreased parental safety concerns. Natural elements and walking-friendly elements of the built environment appear important in reducing parental safety concerns, which is a necessary step toward promoting children's ATS.</t>
        </is>
      </c>
      <c r="X1735" t="inlineStr">
        <is>
          <t>[Kim, Young-Jae] Yeungnam Univ, Dept Forest Resources &amp; Landscape Architecture, 280 Daehak Ro, Gyongsan 38541, Gyeongbuk, South Korea; [Lee, Chanam] Texas A&amp;M Univ, Dept Landscape Architecture &amp; Urban Planning, 3137 TAMU, College Stn, TX 77843 USA</t>
        </is>
      </c>
      <c r="Y1735" t="inlineStr">
        <is>
          <t>Yeungnam University; Texas A&amp;M University System; Texas A&amp;M University College Station</t>
        </is>
      </c>
      <c r="Z1735" t="inlineStr">
        <is>
          <t>Kim, YJ (corresponding author), Yeungnam Univ, Dept Forest Resources &amp; Landscape Architecture, 280 Daehak Ro, Gyongsan 38541, Gyeongbuk, South Korea.</t>
        </is>
      </c>
      <c r="AA1735" t="inlineStr">
        <is>
          <t>youngjae_kim@yu.ac.kr; chanam@tamu.edu</t>
        </is>
      </c>
      <c r="AD1735" t="inlineStr">
        <is>
          <t>Robert Wood Johnson Foundation's Active Living Research program [65539]; Yeungnam University</t>
        </is>
      </c>
      <c r="AE1735" t="inlineStr">
        <is>
          <t>Robert Wood Johnson Foundation's Active Living Research program; Yeungnam University</t>
        </is>
      </c>
      <c r="AF1735" t="inlineStr">
        <is>
          <t>This study was funded by the Robert Wood Johnson Foundation's Active Living Research program (Grant ID: 65539) and was supported by the 2018 Yeungnam University Research Grant.</t>
        </is>
      </c>
      <c r="AH1735" t="n">
        <v>42</v>
      </c>
      <c r="AI1735" t="n">
        <v>10</v>
      </c>
      <c r="AJ1735" t="n">
        <v>10</v>
      </c>
      <c r="AK1735" t="n">
        <v>4</v>
      </c>
      <c r="AL1735" t="n">
        <v>27</v>
      </c>
      <c r="AM1735" t="inlineStr">
        <is>
          <t>MDPI</t>
        </is>
      </c>
      <c r="AN1735" t="inlineStr">
        <is>
          <t>BASEL</t>
        </is>
      </c>
      <c r="AO1735" t="inlineStr">
        <is>
          <t>ST ALBAN-ANLAGE 66, CH-4052 BASEL, SWITZERLAND</t>
        </is>
      </c>
      <c r="AQ1735" t="inlineStr">
        <is>
          <t>1660-4601</t>
        </is>
      </c>
      <c r="AS1735" t="inlineStr">
        <is>
          <t>INT J ENV RES PUB HE</t>
        </is>
      </c>
      <c r="AT1735" t="inlineStr">
        <is>
          <t>Int. J. Environ. Res. Public Health</t>
        </is>
      </c>
      <c r="AU1735" t="inlineStr">
        <is>
          <t>JAN 2</t>
        </is>
      </c>
      <c r="AV1735" t="n">
        <v>2020</v>
      </c>
      <c r="AW1735" t="n">
        <v>17</v>
      </c>
      <c r="AX1735" t="n">
        <v>2</v>
      </c>
      <c r="BE1735" t="n">
        <v>517</v>
      </c>
      <c r="BF1735" t="inlineStr">
        <is>
          <t>10.3390/ijerph17020517</t>
        </is>
      </c>
      <c r="BG1735">
        <f>HYPERLINK("http://dx.doi.org/10.3390/ijerph17020517","http://dx.doi.org/10.3390/ijerph17020517")</f>
        <v/>
      </c>
      <c r="BJ1735" t="n">
        <v>13</v>
      </c>
      <c r="BK1735" t="inlineStr">
        <is>
          <t>Environmental Sciences; Public, Environmental &amp; Occupational Health</t>
        </is>
      </c>
      <c r="BL1735" t="inlineStr">
        <is>
          <t>Science Citation Index Expanded (SCI-EXPANDED); Social Science Citation Index (SSCI)</t>
        </is>
      </c>
      <c r="BM1735" t="inlineStr">
        <is>
          <t>Environmental Sciences &amp; Ecology; Public, Environmental &amp; Occupational Health</t>
        </is>
      </c>
      <c r="BN1735" t="inlineStr">
        <is>
          <t>KQ3LG</t>
        </is>
      </c>
      <c r="BO1735" t="n">
        <v>31947555</v>
      </c>
      <c r="BP1735" t="inlineStr">
        <is>
          <t>Green Published, gold</t>
        </is>
      </c>
      <c r="BS1735" t="inlineStr">
        <is>
          <t>2023-10-26</t>
        </is>
      </c>
      <c r="BT1735" t="inlineStr">
        <is>
          <t>WOS:000516827400138</t>
        </is>
      </c>
      <c r="BU1735">
        <f>HYPERLINK("https%3A%2F%2Fwww.webofscience.com%2Fwos%2Fwoscc%2Ffull-record%2FWOS:000516827400138","View Full Record in Web of Science")</f>
        <v/>
      </c>
    </row>
    <row r="1736">
      <c r="A1736" t="inlineStr">
        <is>
          <t>J</t>
        </is>
      </c>
      <c r="B1736" t="inlineStr">
        <is>
          <t>Hwang, J; Park, S</t>
        </is>
      </c>
      <c r="F1736" t="inlineStr">
        <is>
          <t>Hwang, Jongseok; Park, Soonjee</t>
        </is>
      </c>
      <c r="J1736" t="inlineStr">
        <is>
          <t>INTERNATIONAL JOURNAL OF ENVIRONMENTAL RESEARCH AND PUBLIC HEALTH</t>
        </is>
      </c>
      <c r="M1736" t="inlineStr">
        <is>
          <t>English</t>
        </is>
      </c>
      <c r="N1736" t="inlineStr">
        <is>
          <t>Article</t>
        </is>
      </c>
      <c r="T1736" t="inlineStr">
        <is>
          <t>Gender-Specific Risk Factors and Prevalence for Sarcopenia among Community-Dwelling Young-Old Adults</t>
        </is>
      </c>
      <c r="U1736" t="inlineStr">
        <is>
          <t>sarcopenia; young-old adults; risk factors; prevalence; odd ratio</t>
        </is>
      </c>
      <c r="V1736" t="inlineStr">
        <is>
          <t>SCREENING TOOL; OBESITY; INFLAMMATION; MORTALITY; ORIGINS; PEOPLE; COHORT</t>
        </is>
      </c>
      <c r="W1736" t="inlineStr">
        <is>
          <t>Sarcopenia in the elderly is a serious global public health problem. Numerous sarcopenia studies classified their subjects into a single group, but health conditions and body composition vary according to age. This study examined the prevalence of sarcopenia according to gender and assessed the gender-specific risk factors in young-old adults. In this study, 2697 participants in Korea aged from 65 to 74 years were analyzed from Korea National Health and Nutrition Examination Surveys. The prevalence of sarcopenia in males and females was 19.2% (CI 95%: 16.4-22.3) and 26.4% (23.7-29.4), respectively. The risk factors in men were age, body mass index (BMI), waist circumference (WC), skeletal muscle index (SMI), fasting glucose (FG), triglyceride, and systolic blood pressure (SBP). Their odd ratios were 1.447, 0.102, 1.494, 0.211, 0.877, 1.012, and 1.347. The risk factors in women were age, height, weight, BMI, WC, SMI, and fasting glucose with values of 1.489, 0.096, 0.079, 0.158, 0.042, and 1.071, respectively. The prevalence of sarcopenia was higher in females than in males. Overall, the clinical risk factors in males were age, height, BMI, WC, SMI, FG, triglyceride, and SBP. Age, height, weight, BMI, WC, SMI, and FG were the risk factors for women.</t>
        </is>
      </c>
      <c r="X1736" t="inlineStr">
        <is>
          <t>[Hwang, Jongseok] Yeungnam Univ, Inst Human Ecol, Gyongsan 38541, South Korea; [Park, Soonjee] Yeungnam Univ, Dept Clothing &amp; Fash, Gyongsan 38541, South Korea</t>
        </is>
      </c>
      <c r="Y1736" t="inlineStr">
        <is>
          <t>Yeungnam University; Yeungnam University</t>
        </is>
      </c>
      <c r="Z1736" t="inlineStr">
        <is>
          <t>Park, S (corresponding author), Yeungnam Univ, Dept Clothing &amp; Fash, Gyongsan 38541, South Korea.</t>
        </is>
      </c>
      <c r="AA1736" t="inlineStr">
        <is>
          <t>sfcsfc44@naver.com; spark@yu.ac.kr</t>
        </is>
      </c>
      <c r="AC1736" t="inlineStr">
        <is>
          <t>Hwang, Jongseok/0000-0003-3376-5619</t>
        </is>
      </c>
      <c r="AD1736" t="inlineStr">
        <is>
          <t>Basic Science Research Program through the National Research Foundation of Korea - Ministry of Education [2021R1A6A1A03040177]; National Research Foundation of Korea [2021R1A6A1A03040177] Funding Source: Korea Institute of Science &amp; Technology Information (KISTI), National Science &amp; Technology Information Service (NTIS)</t>
        </is>
      </c>
      <c r="AE1736" t="inlineStr">
        <is>
          <t>Basic Science Research Program through the National Research Foundation of Korea - Ministry of Education(Ministry of Education (MOE), Republic of KoreaNational Research Foundation of Korea); National Research Foundation of Korea(National Research Foundation of Korea)</t>
        </is>
      </c>
      <c r="AF1736" t="inlineStr">
        <is>
          <t>This research was supported by the Basic Science Research Program through the National Research Foundation of Korea, funded by the Ministry of Education (2021R1A6A1A03040177).</t>
        </is>
      </c>
      <c r="AH1736" t="n">
        <v>45</v>
      </c>
      <c r="AI1736" t="n">
        <v>6</v>
      </c>
      <c r="AJ1736" t="n">
        <v>6</v>
      </c>
      <c r="AK1736" t="n">
        <v>1</v>
      </c>
      <c r="AL1736" t="n">
        <v>4</v>
      </c>
      <c r="AM1736" t="inlineStr">
        <is>
          <t>MDPI</t>
        </is>
      </c>
      <c r="AN1736" t="inlineStr">
        <is>
          <t>BASEL</t>
        </is>
      </c>
      <c r="AO1736" t="inlineStr">
        <is>
          <t>ST ALBAN-ANLAGE 66, CH-4052 BASEL, SWITZERLAND</t>
        </is>
      </c>
      <c r="AQ1736" t="inlineStr">
        <is>
          <t>1660-4601</t>
        </is>
      </c>
      <c r="AS1736" t="inlineStr">
        <is>
          <t>INT J ENV RES PUB HE</t>
        </is>
      </c>
      <c r="AT1736" t="inlineStr">
        <is>
          <t>Int. J. Environ. Res. Public Health</t>
        </is>
      </c>
      <c r="AU1736" t="inlineStr">
        <is>
          <t>JUN</t>
        </is>
      </c>
      <c r="AV1736" t="n">
        <v>2022</v>
      </c>
      <c r="AW1736" t="n">
        <v>19</v>
      </c>
      <c r="AX1736" t="n">
        <v>12</v>
      </c>
      <c r="BE1736" t="n">
        <v>7232</v>
      </c>
      <c r="BF1736" t="inlineStr">
        <is>
          <t>10.3390/ijerph19127232</t>
        </is>
      </c>
      <c r="BG1736">
        <f>HYPERLINK("http://dx.doi.org/10.3390/ijerph19127232","http://dx.doi.org/10.3390/ijerph19127232")</f>
        <v/>
      </c>
      <c r="BJ1736" t="n">
        <v>9</v>
      </c>
      <c r="BK1736" t="inlineStr">
        <is>
          <t>Environmental Sciences; Public, Environmental &amp; Occupational Health</t>
        </is>
      </c>
      <c r="BL1736" t="inlineStr">
        <is>
          <t>Science Citation Index Expanded (SCI-EXPANDED); Social Science Citation Index (SSCI)</t>
        </is>
      </c>
      <c r="BM1736" t="inlineStr">
        <is>
          <t>Environmental Sciences &amp; Ecology; Public, Environmental &amp; Occupational Health</t>
        </is>
      </c>
      <c r="BN1736" t="inlineStr">
        <is>
          <t>2K6LK</t>
        </is>
      </c>
      <c r="BO1736" t="n">
        <v>35742480</v>
      </c>
      <c r="BP1736" t="inlineStr">
        <is>
          <t>Green Published, gold</t>
        </is>
      </c>
      <c r="BS1736" t="inlineStr">
        <is>
          <t>2023-10-26</t>
        </is>
      </c>
      <c r="BT1736" t="inlineStr">
        <is>
          <t>WOS:000816444600001</t>
        </is>
      </c>
      <c r="BU1736">
        <f>HYPERLINK("https%3A%2F%2Fwww.webofscience.com%2Fwos%2Fwoscc%2Ffull-record%2FWOS:000816444600001","View Full Record in Web of Science")</f>
        <v/>
      </c>
    </row>
    <row r="1737">
      <c r="A1737" t="inlineStr">
        <is>
          <t>J</t>
        </is>
      </c>
      <c r="B1737" t="inlineStr">
        <is>
          <t>Xu, HP; Li, J; Wu, JM; Kang, J</t>
        </is>
      </c>
      <c r="F1737" t="inlineStr">
        <is>
          <t>Xu, Hongpeng; Li, Jing; Wu, Jianmei; Kang, Jian</t>
        </is>
      </c>
      <c r="J1737" t="inlineStr">
        <is>
          <t>SUSTAINABILITY</t>
        </is>
      </c>
      <c r="M1737" t="inlineStr">
        <is>
          <t>English</t>
        </is>
      </c>
      <c r="N1737" t="inlineStr">
        <is>
          <t>Article</t>
        </is>
      </c>
      <c r="T1737" t="inlineStr">
        <is>
          <t>Evaluation of Wood Coverage on Building Facades Towards Sustainability</t>
        </is>
      </c>
      <c r="U1737" t="inlineStr">
        <is>
          <t>acceptance; wood coverage; building facade; eye-tracking; wood building; sustainability</t>
        </is>
      </c>
      <c r="V1737" t="inlineStr">
        <is>
          <t>CONSUMER PREFERENCES; INTERIOR WOOD; EYE; CHOICE; ROOM</t>
        </is>
      </c>
      <c r="W1737" t="inlineStr">
        <is>
          <t>This study explores the acceptance of different wood coverages on building facades with the aim of optimization of materials, and in turn improving overall sustainability. It firstly develops the principal physical variables and evaluation criteria; then, test models are created using an orthogonal design experiment; finally, two evaluation methods are used to comprehensively test acceptance, based on a questionnaire and an eye-tracking study. The results show that: (1) The effects of the amount of wood coverage and the wood patterns are significant, whereas the effect of material combinations is insignificant. (2) The acceptance of building facades is at the highest level when the amount of wood coverage is 65%. (3) The amounts of wood coverage for facades in the range of 35% to 50% are effective when designing the facade of wood buildings, in order to implement the dual targets of saving wood and higher acceptance.</t>
        </is>
      </c>
      <c r="X1737" t="inlineStr">
        <is>
          <t>[Xu, Hongpeng; Li, Jing; Wu, Jianmei; Kang, Jian] Harbin Inst Technol, Sch Architecture, Minist Ind &amp; Informat, Key Lab Cold Reg Urban &amp; Rural Human Settlement E, Harbin 150006, Heilongjiang, Peoples R China; [Kang, Jian] UCL, The Bartlett, Inst Environm Design &amp; Engn, London WC1H 0NN, England</t>
        </is>
      </c>
      <c r="Y1737" t="inlineStr">
        <is>
          <t>Harbin Institute of Technology; University of London; University College London</t>
        </is>
      </c>
      <c r="Z1737" t="inlineStr">
        <is>
          <t>Kang, J (corresponding author), Harbin Inst Technol, Sch Architecture, Minist Ind &amp; Informat, Key Lab Cold Reg Urban &amp; Rural Human Settlement E, Harbin 150006, Heilongjiang, Peoples R China.;Kang, J (corresponding author), UCL, The Bartlett, Inst Environm Design &amp; Engn, London WC1H 0NN, England.</t>
        </is>
      </c>
      <c r="AA1737" t="inlineStr">
        <is>
          <t>xu-hp@163.com; muzi_QZ@126.com; wjmtutu@126.com; j.kang@ucl.ac.uk</t>
        </is>
      </c>
      <c r="AC1737" t="inlineStr">
        <is>
          <t>Kang, Jian/0000-0001-8995-5636; Jing, Li/0000-0002-6655-2006; , Jianmei/0000-0001-5394-5030</t>
        </is>
      </c>
      <c r="AD1737" t="inlineStr">
        <is>
          <t>National Natural Science Foundation of China [51478137]</t>
        </is>
      </c>
      <c r="AE1737" t="inlineStr">
        <is>
          <t>National Natural Science Foundation of China(National Natural Science Foundation of China (NSFC))</t>
        </is>
      </c>
      <c r="AF1737" t="inlineStr">
        <is>
          <t>This research was funded by National Natural Science Foundation of China (General Program, Grant No. 51478137).</t>
        </is>
      </c>
      <c r="AH1737" t="n">
        <v>43</v>
      </c>
      <c r="AI1737" t="n">
        <v>7</v>
      </c>
      <c r="AJ1737" t="n">
        <v>7</v>
      </c>
      <c r="AK1737" t="n">
        <v>1</v>
      </c>
      <c r="AL1737" t="n">
        <v>43</v>
      </c>
      <c r="AM1737" t="inlineStr">
        <is>
          <t>MDPI</t>
        </is>
      </c>
      <c r="AN1737" t="inlineStr">
        <is>
          <t>BASEL</t>
        </is>
      </c>
      <c r="AO1737" t="inlineStr">
        <is>
          <t>ST ALBAN-ANLAGE 66, CH-4052 BASEL, SWITZERLAND</t>
        </is>
      </c>
      <c r="AP1737" t="inlineStr">
        <is>
          <t>2071-1050</t>
        </is>
      </c>
      <c r="AS1737" t="inlineStr">
        <is>
          <t>SUSTAINABILITY-BASEL</t>
        </is>
      </c>
      <c r="AT1737" t="inlineStr">
        <is>
          <t>Sustainability</t>
        </is>
      </c>
      <c r="AU1737" t="inlineStr">
        <is>
          <t>MAR 1</t>
        </is>
      </c>
      <c r="AV1737" t="n">
        <v>2019</v>
      </c>
      <c r="AW1737" t="n">
        <v>11</v>
      </c>
      <c r="AX1737" t="n">
        <v>5</v>
      </c>
      <c r="BE1737" t="n">
        <v>1407</v>
      </c>
      <c r="BF1737" t="inlineStr">
        <is>
          <t>10.3390/su11051407</t>
        </is>
      </c>
      <c r="BG1737">
        <f>HYPERLINK("http://dx.doi.org/10.3390/su11051407","http://dx.doi.org/10.3390/su11051407")</f>
        <v/>
      </c>
      <c r="BJ1737" t="n">
        <v>12</v>
      </c>
      <c r="BK1737" t="inlineStr">
        <is>
          <t>Green &amp; Sustainable Science &amp; Technology; Environmental Sciences; Environmental Studies</t>
        </is>
      </c>
      <c r="BL1737" t="inlineStr">
        <is>
          <t>Science Citation Index Expanded (SCI-EXPANDED); Social Science Citation Index (SSCI)</t>
        </is>
      </c>
      <c r="BM1737" t="inlineStr">
        <is>
          <t>Science &amp; Technology - Other Topics; Environmental Sciences &amp; Ecology</t>
        </is>
      </c>
      <c r="BN1737" t="inlineStr">
        <is>
          <t>HQ8GA</t>
        </is>
      </c>
      <c r="BP1737" t="inlineStr">
        <is>
          <t>Green Submitted, Green Published, gold</t>
        </is>
      </c>
      <c r="BS1737" t="inlineStr">
        <is>
          <t>2023-10-26</t>
        </is>
      </c>
      <c r="BT1737" t="inlineStr">
        <is>
          <t>WOS:000462661000191</t>
        </is>
      </c>
      <c r="BU1737">
        <f>HYPERLINK("https%3A%2F%2Fwww.webofscience.com%2Fwos%2Fwoscc%2Ffull-record%2FWOS:000462661000191","View Full Record in Web of Science")</f>
        <v/>
      </c>
    </row>
    <row r="1738">
      <c r="A1738" t="inlineStr">
        <is>
          <t>J</t>
        </is>
      </c>
      <c r="B1738" t="inlineStr">
        <is>
          <t>Ren, XC; Lu, C</t>
        </is>
      </c>
      <c r="F1738" t="inlineStr">
        <is>
          <t>Ren, Xiaocui; Lu, Chen</t>
        </is>
      </c>
      <c r="J1738" t="inlineStr">
        <is>
          <t>SUSTAINABILITY</t>
        </is>
      </c>
      <c r="M1738" t="inlineStr">
        <is>
          <t>English</t>
        </is>
      </c>
      <c r="N1738" t="inlineStr">
        <is>
          <t>Article</t>
        </is>
      </c>
      <c r="T1738" t="inlineStr">
        <is>
          <t>Effect of Children's Support on Depression among Older Adults Living Alone or with a Spouse: A Comparative Analysis between Urban and Rural Areas of China</t>
        </is>
      </c>
      <c r="U1738" t="inlineStr">
        <is>
          <t>children's support; older adults; depression; urban-rural differences; CHARLS</t>
        </is>
      </c>
      <c r="V1738" t="inlineStr">
        <is>
          <t>INTERGENERATIONAL SUPPORT; INSTRUMENTAL SUPPORT; SOCIAL SUPPORT; SYMPTOMS; COMMUNITY; PARENTS; HEALTH; GRANDCHILDREN; ARRANGEMENTS; TRANSFERS</t>
        </is>
      </c>
      <c r="W1738" t="inlineStr">
        <is>
          <t>Against the backdrop of rapid urbanization and severe population aging, older adults living alone or with a spouse in China have become a special and vulnerable group that deserve more research attention. Based on a national sample of 3886 older adults (&gt;= 60 years old) living alone or with a spouse, we used multiple linear regression models to investigate the effect of children's support on depression among older adults living alone or with a spouse in China. A comparative analysis was conducted to examine the differences between urban and rural areas. The results indicated that financial support from children was negatively correlated with depression among older adults living alone or with a spouse, especially in rural areas. Their children's frequency of contact also significantly alleviated depression among non-cohabiting parents in rural areas, but not for the same types of parents living in urban areas. Compared with financial support, their children's frequency of contact contributes more to decreasing depression among older adults living alone or with a spouse. The effect of their children's support on depression is comparable to that of demographic characteristics, which are usually deemed as important factors in the psychological health of older adults. Moreover, we found that the marginal effects of self-rated health and pain were significant and much higher than other control variables, especially in the urban model.</t>
        </is>
      </c>
      <c r="X1738" t="inlineStr">
        <is>
          <t>[Ren, Xiaocui] Univ Chinese Acad Sci, Sino Danish Coll, Beijing 100190, Peoples R China; [Lu, Chen] Univ Chinese Acad Sci, Sch Publ Policy &amp; Management, Beijing 100049, Peoples R China</t>
        </is>
      </c>
      <c r="Y1738" t="inlineStr">
        <is>
          <t>Chinese Academy of Sciences; University of Chinese Academy of Sciences, CAS; Chinese Academy of Sciences; University of Chinese Academy of Sciences, CAS</t>
        </is>
      </c>
      <c r="Z1738" t="inlineStr">
        <is>
          <t>Lu, C (corresponding author), Univ Chinese Acad Sci, Sch Publ Policy &amp; Management, Beijing 100049, Peoples R China.</t>
        </is>
      </c>
      <c r="AA1738" t="inlineStr">
        <is>
          <t>renxiaocui18@mails.ucas.ac.cn; lvchen@ucas.ac.cn</t>
        </is>
      </c>
      <c r="AD1738" t="inlineStr">
        <is>
          <t>National Natural Science Foundation of China [41671124]; University of Chinese Academy of Sciences [Y95402CXX2]</t>
        </is>
      </c>
      <c r="AE1738" t="inlineStr">
        <is>
          <t>National Natural Science Foundation of China(National Natural Science Foundation of China (NSFC)); University of Chinese Academy of Sciences(Chinese Academy of Sciences)</t>
        </is>
      </c>
      <c r="AF1738" t="inlineStr">
        <is>
          <t>This research was funded by the National Natural Science Foundation of China (41671124) and the University of Chinese Academy of Sciences (Y95402CXX2).</t>
        </is>
      </c>
      <c r="AH1738" t="n">
        <v>59</v>
      </c>
      <c r="AI1738" t="n">
        <v>1</v>
      </c>
      <c r="AJ1738" t="n">
        <v>1</v>
      </c>
      <c r="AK1738" t="n">
        <v>10</v>
      </c>
      <c r="AL1738" t="n">
        <v>53</v>
      </c>
      <c r="AM1738" t="inlineStr">
        <is>
          <t>MDPI</t>
        </is>
      </c>
      <c r="AN1738" t="inlineStr">
        <is>
          <t>BASEL</t>
        </is>
      </c>
      <c r="AO1738" t="inlineStr">
        <is>
          <t>ST ALBAN-ANLAGE 66, CH-4052 BASEL, SWITZERLAND</t>
        </is>
      </c>
      <c r="AQ1738" t="inlineStr">
        <is>
          <t>2071-1050</t>
        </is>
      </c>
      <c r="AS1738" t="inlineStr">
        <is>
          <t>SUSTAINABILITY-BASEL</t>
        </is>
      </c>
      <c r="AT1738" t="inlineStr">
        <is>
          <t>Sustainability</t>
        </is>
      </c>
      <c r="AU1738" t="inlineStr">
        <is>
          <t>JUN</t>
        </is>
      </c>
      <c r="AV1738" t="n">
        <v>2021</v>
      </c>
      <c r="AW1738" t="n">
        <v>13</v>
      </c>
      <c r="AX1738" t="n">
        <v>11</v>
      </c>
      <c r="BE1738" t="n">
        <v>6315</v>
      </c>
      <c r="BF1738" t="inlineStr">
        <is>
          <t>10.3390/su13116315</t>
        </is>
      </c>
      <c r="BG1738">
        <f>HYPERLINK("http://dx.doi.org/10.3390/su13116315","http://dx.doi.org/10.3390/su13116315")</f>
        <v/>
      </c>
      <c r="BJ1738" t="n">
        <v>15</v>
      </c>
      <c r="BK1738" t="inlineStr">
        <is>
          <t>Green &amp; Sustainable Science &amp; Technology; Environmental Sciences; Environmental Studies</t>
        </is>
      </c>
      <c r="BL1738" t="inlineStr">
        <is>
          <t>Science Citation Index Expanded (SCI-EXPANDED); Social Science Citation Index (SSCI)</t>
        </is>
      </c>
      <c r="BM1738" t="inlineStr">
        <is>
          <t>Science &amp; Technology - Other Topics; Environmental Sciences &amp; Ecology</t>
        </is>
      </c>
      <c r="BN1738" t="inlineStr">
        <is>
          <t>SR0RB</t>
        </is>
      </c>
      <c r="BP1738" t="inlineStr">
        <is>
          <t>gold</t>
        </is>
      </c>
      <c r="BS1738" t="inlineStr">
        <is>
          <t>2023-10-26</t>
        </is>
      </c>
      <c r="BT1738" t="inlineStr">
        <is>
          <t>WOS:000660751800001</t>
        </is>
      </c>
      <c r="BU1738">
        <f>HYPERLINK("https%3A%2F%2Fwww.webofscience.com%2Fwos%2Fwoscc%2Ffull-record%2FWOS:000660751800001","View Full Record in Web of Science")</f>
        <v/>
      </c>
    </row>
    <row r="1739">
      <c r="A1739" t="inlineStr">
        <is>
          <t>J</t>
        </is>
      </c>
      <c r="B1739" t="inlineStr">
        <is>
          <t>Echeverria, CA; Ozkan, J; Pahlevani, F; Willcox, M; Sahajwalla, V</t>
        </is>
      </c>
      <c r="F1739" t="inlineStr">
        <is>
          <t>Echeverria, Claudia A.; Ozkan, Jerome; Pahlevani, Farshid; Willcox, Mark; Sahajwalla, Veena</t>
        </is>
      </c>
      <c r="J1739" t="inlineStr">
        <is>
          <t>JOURNAL OF CLEANER PRODUCTION</t>
        </is>
      </c>
      <c r="M1739" t="inlineStr">
        <is>
          <t>English</t>
        </is>
      </c>
      <c r="N1739" t="inlineStr">
        <is>
          <t>Article</t>
        </is>
      </c>
      <c r="T1739" t="inlineStr">
        <is>
          <t>Effect of hydrothermal hot-compression method on the antimicrobial performance of green building materials from heterogeneous cellulose wastes</t>
        </is>
      </c>
      <c r="U1739" t="inlineStr">
        <is>
          <t>Building microbiology; Coffee waste; Green manufacturing; Indoor environment; Material biodeterioration; Wet-forming</t>
        </is>
      </c>
      <c r="V1739" t="inlineStr">
        <is>
          <t>LIFE-CYCLE-ASSESSMENT; OF-THE-ART; THERMAL INSULATION MATERIALS; ENVIRONMENTAL IMPACTS; HEAT-TREATMENT; DRY HEAT; WOOD; SPECTROSCOPY; IMPROVEMENT; COMPOSITES</t>
        </is>
      </c>
      <c r="W1739" t="inlineStr">
        <is>
          <t>Microbiomes in the built environment is an emerging topic of high-relevance, as biodeterioration and biodegradation of porous and polymer materials may be major public health risk factors. Epidemiological studies have confirmed indoor airborne microorganisms and their metabolites cause significant toxic immune reactions, with clinical effects associated with more than 60% of occupants' chronic infections. The present study reports the potential inhibitory effect on microbial and fungal colonization of hydrothermal hot-compression for the manufacture of a series of novel cellulose-based panels engineered for insulating building applications. This method was examined as it is a green manufacturing technique which simultaneously self-bonds the cellulose fibres, as well as potentially having an anti-microbial effect. The technique renders the novel materials non-toxic, additive-free, biodegradation resistant, as well as increasing the recyclability potential of the materials at their end-of-life. Prototypes were formulated from three cellulosic materials sourced from complex post-consumer coffee industry heterogeneous waste stream -jute textile, paper cups, and coffee grounds- holding initially high-levels of microbiological contamination. The raw materials were characterized with Infrared Spectroscopy (FTIR) and Scanning Electronic Microscopy (SEM). Microbial species were identified using culture-dependent and culture-independent DNA quantitative methods for the raw materials, as well as the processed panels. The experimental results confirmed a high-level of bacterial and fungal contamination with ubiquitous environmental bacteria such as Bacillus, Burkholderia, and Stenotrophomonas species for the Jute textile and Paper cup fibres. However, the microbes were minimized or non-detectable for all three processed panel samples. This promising result demonstrates that complex cellulosic waste materials can be converted to low-microbial biomass potential industrial feedstock for the green manufacturing of building materials. (C) 2020 Elsevier Ltd. All rights reserved.</t>
        </is>
      </c>
      <c r="X1739" t="inlineStr">
        <is>
          <t>[Echeverria, Claudia A.; Pahlevani, Farshid; Sahajwalla, Veena] UNSW, Ctr Sustainable Mat Res &amp; Technol SMaRT, Sch Mat Sci &amp; Engn, Fac Sci, Kensington, NSW, Australia; [Ozkan, Jerome; Willcox, Mark] UNSW Sydney, Fac Sci, Sch Optometry &amp; Vis Sci, Kensington, NSW, Australia; [Ozkan, Jerome] UNSW Sydney, Sch Biol Earth &amp; Environm Sci, Fac Sci, Kensington, NSW, Australia</t>
        </is>
      </c>
      <c r="Y1739" t="inlineStr">
        <is>
          <t>University of New South Wales Sydney; University of New South Wales Sydney; University of New South Wales Sydney</t>
        </is>
      </c>
      <c r="Z1739" t="inlineStr">
        <is>
          <t>Echeverria, CA (corresponding author), Univ New South Wales Sydney, Fac Sci, Ctr Sustainable Mat Res &amp; Technol SMaRT, Sch Mat Sci &amp; Engn, UNSW Kensington Campus,Gate 2,High St,Hilmer Bldg, Kensington, NSW 2052, Australia.</t>
        </is>
      </c>
      <c r="AA1739" t="inlineStr">
        <is>
          <t>c.echeverria@unswalumni.com; j.ozkan@unsw.edu.au; f.pahlevani@unsw.edu.au; m.willcox@unsw.edu.au; veena@unsw.edu.au</t>
        </is>
      </c>
      <c r="AB1739" t="inlineStr">
        <is>
          <t>; Pahlevani, Farshid/P-9917-2016</t>
        </is>
      </c>
      <c r="AC1739" t="inlineStr">
        <is>
          <t>Ozkan, Jerome/0000-0001-6194-1128; willcox, mark/0000-0003-3842-7563; Pahlevani, Farshid/0000-0002-0833-3227; Echeverria, Claudia/0000-0002-5931-3883; Sahajwalla, Veena/0000-0001-9528-9967</t>
        </is>
      </c>
      <c r="AD1739" t="inlineStr">
        <is>
          <t>Australian Research Training Program Award (RTP); Australian Research Council's Industrial Transformation Research Hub funding scheme [IH130200025]; Australian Government National Health and Medical Research Council (NHMRC) Biomedical Fellowship [GNT1112537]</t>
        </is>
      </c>
      <c r="AE1739" t="inlineStr">
        <is>
          <t>Australian Research Training Program Award (RTP); Australian Research Council's Industrial Transformation Research Hub funding scheme(Australian Research Council); Australian Government National Health and Medical Research Council (NHMRC) Biomedical Fellowship(National Health and Medical Research Council (NHMRC) of Australia)</t>
        </is>
      </c>
      <c r="AF1739" t="inlineStr">
        <is>
          <t>This study was financially supported under the Australian Research Training Program Award (RTP), as well as the Australian Research Council's Industrial Transformation Research Hub funding scheme project IH130200025. The microbial study was supported by the Australian Government National Health and Medical Research Council (NHMRC) Biomedical Fellowship GNT1112537. The authors gratefully acknowledge the technical support provided by Electron Microscope Unit (EMU) and the Spectroscopy laboratory in the Mark Wainwright Analytical Centre UNSW Sydney.</t>
        </is>
      </c>
      <c r="AH1739" t="n">
        <v>129</v>
      </c>
      <c r="AI1739" t="n">
        <v>5</v>
      </c>
      <c r="AJ1739" t="n">
        <v>5</v>
      </c>
      <c r="AK1739" t="n">
        <v>9</v>
      </c>
      <c r="AL1739" t="n">
        <v>32</v>
      </c>
      <c r="AM1739" t="inlineStr">
        <is>
          <t>ELSEVIER SCI LTD</t>
        </is>
      </c>
      <c r="AN1739" t="inlineStr">
        <is>
          <t>OXFORD</t>
        </is>
      </c>
      <c r="AO1739" t="inlineStr">
        <is>
          <t>THE BOULEVARD, LANGFORD LANE, KIDLINGTON, OXFORD OX5 1GB, OXON, ENGLAND</t>
        </is>
      </c>
      <c r="AP1739" t="inlineStr">
        <is>
          <t>0959-6526</t>
        </is>
      </c>
      <c r="AQ1739" t="inlineStr">
        <is>
          <t>1879-1786</t>
        </is>
      </c>
      <c r="AS1739" t="inlineStr">
        <is>
          <t>J CLEAN PROD</t>
        </is>
      </c>
      <c r="AT1739" t="inlineStr">
        <is>
          <t>J. Clean Prod.</t>
        </is>
      </c>
      <c r="AU1739" t="inlineStr">
        <is>
          <t>JAN 20</t>
        </is>
      </c>
      <c r="AV1739" t="n">
        <v>2021</v>
      </c>
      <c r="AW1739" t="n">
        <v>280</v>
      </c>
      <c r="AY1739" t="n">
        <v>1</v>
      </c>
      <c r="BE1739" t="n">
        <v>124377</v>
      </c>
      <c r="BF1739" t="inlineStr">
        <is>
          <t>10.1016/j.jclepro.2020.124377</t>
        </is>
      </c>
      <c r="BG1739">
        <f>HYPERLINK("http://dx.doi.org/10.1016/j.jclepro.2020.124377","http://dx.doi.org/10.1016/j.jclepro.2020.124377")</f>
        <v/>
      </c>
      <c r="BJ1739" t="n">
        <v>15</v>
      </c>
      <c r="BK1739" t="inlineStr">
        <is>
          <t>Green &amp; Sustainable Science &amp; Technology; Engineering, Environmental; Environmental Sciences</t>
        </is>
      </c>
      <c r="BL1739" t="inlineStr">
        <is>
          <t>Science Citation Index Expanded (SCI-EXPANDED)</t>
        </is>
      </c>
      <c r="BM1739" t="inlineStr">
        <is>
          <t>Science &amp; Technology - Other Topics; Engineering; Environmental Sciences &amp; Ecology</t>
        </is>
      </c>
      <c r="BN1739" t="inlineStr">
        <is>
          <t>PZ1YW</t>
        </is>
      </c>
      <c r="BS1739" t="inlineStr">
        <is>
          <t>2023-10-26</t>
        </is>
      </c>
      <c r="BT1739" t="inlineStr">
        <is>
          <t>WOS:000612538300009</t>
        </is>
      </c>
      <c r="BU1739">
        <f>HYPERLINK("https%3A%2F%2Fwww.webofscience.com%2Fwos%2Fwoscc%2Ffull-record%2FWOS:000612538300009","View Full Record in Web of Science")</f>
        <v/>
      </c>
    </row>
    <row r="1740">
      <c r="A1740" t="inlineStr">
        <is>
          <t>J</t>
        </is>
      </c>
      <c r="B1740" t="inlineStr">
        <is>
          <t>Venier, M; Audy, O; Vojta, S; Becanová, J; Romanak, K; Melymuk, L; Krátká, M; Kukucka, P; Okeme, J; Saini, A; Diamond, ML; Klánová, J</t>
        </is>
      </c>
      <c r="F1740" t="inlineStr">
        <is>
          <t>Venier, Marta; Audy, Ondrej; Vojta, Simon; Becanova, Jitka; Romanak, Kevin; Melymuk, Lisa; Kratka, Martina; Kukucka, Petr; Okeme, Joseph; Saini, Amandeep; Diamond, Miriam L.; Klanova, Jana</t>
        </is>
      </c>
      <c r="J1740" t="inlineStr">
        <is>
          <t>ENVIRONMENT INTERNATIONAL</t>
        </is>
      </c>
      <c r="M1740" t="inlineStr">
        <is>
          <t>English</t>
        </is>
      </c>
      <c r="N1740" t="inlineStr">
        <is>
          <t>Article</t>
        </is>
      </c>
      <c r="T1740" t="inlineStr">
        <is>
          <t>Brominated flame retardants in the indoor environment - Comparative study of indoor contamination from three countries</t>
        </is>
      </c>
      <c r="U1740" t="inlineStr">
        <is>
          <t>Brominated flame retardants; Indoor; Air; Dust; Window film</t>
        </is>
      </c>
      <c r="V1740" t="inlineStr">
        <is>
          <t>POLYBROMINATED DIPHENYL ETHERS; IN-HOUSE DUST; SEMIVOLATILE ORGANIC-COMPOUNDS; PASSIVE AIR SAMPLERS; DECHLORANE PLUS; COMPOUNDS SVOCS; BREAST-MILK; NEW-ZEALAND; PHASE-OUT; PBDES</t>
        </is>
      </c>
      <c r="W1740" t="inlineStr">
        <is>
          <t>Concentrations of more than 20 brominated flame retardants (FRs), including polybrominated diphenyl ethers (PBDEs) and emerging FRs, were measured in air, dust and window wipes from 63 homes in Canada, the Czech Republic and the United States in the spring and summer of 2013. Among the PBDEs, the highest concentrations were generally BDE-209 in all three matrices, followed by Penta-BDEs. Among alternative FRs, EHTBB and BEHTBP were detected at the highest concentrations. DBDPE was also a major alternative FR detected in dust and air. Bromobenzenes were detected at lower levels than PBDEs and other alternative FRs; among the bromobenzenes, HBB and PBEB were the most abundant compounds. In general, FR levels were highest in the US and lowest in the Czech Republic - a geographic trend that reflects the flame retardants' market. No statistically significant differences were detected between bedroom and living room FR concentrations in the same house (n = 10), suggesting that sources of FRs are widespread indoors and mixing between rooms. The concentrations of FRs in air, dust, and window film were significantly correlated, especially for PBDEs. We found a significant relationship between the concentrations in dust and window film and in the gas phase for FRs with log K-OA values &lt;14, suggesting that equilibrium was reached for these but not compounds with log K-OA values &gt;14. This hypothesis was confirmed by a large discrepancy between values predicted using a partitioning model and the measured values for FRs with log K-OA values &gt;14. (C) 2016 Elsevier Ltd. All rights reserved.</t>
        </is>
      </c>
      <c r="X1740" t="inlineStr">
        <is>
          <t>[Venier, Marta; Romanak, Kevin] Masaryk Univ, RECETOX, Kamenice 753-5,Pavil A29, Brno 62500, Czech Republic; [Audy, Ondrej; Vojta, Simon; Becanova, Jitka; Melymuk, Lisa; Kratka, Martina; Kukucka, Petr; Klanova, Jana] Indiana Univ, Sch Publ &amp; Environm Affairs, 702 Walnut Grove Ave, Bloomington, IN 47405 USA; [Okeme, Joseph; Saini, Amandeep; Diamond, Miriam L.] Univ Toronto Scarborough, Dept Phys &amp; Environm Sci, 1265 Mil Trail, Toronto, ON M1C 1A4, Canada; [Diamond, Miriam L.] Univ Toronto, Dept Earth Sci, 22 Russell St, Toronto, ON M5S 3B1, Canada</t>
        </is>
      </c>
      <c r="Y1740" t="inlineStr">
        <is>
          <t>Masaryk University Brno; Indiana University System; Indiana University Bloomington; University of Toronto; University Toronto Scarborough; University of Toronto</t>
        </is>
      </c>
      <c r="Z1740" t="inlineStr">
        <is>
          <t>Venier, M (corresponding author), Masaryk Univ, RECETOX, Kamenice 753-5,Pavil A29, Brno 62500, Czech Republic.</t>
        </is>
      </c>
      <c r="AB1740" t="inlineStr">
        <is>
          <t>Klanova, Jana/H-1207-2012; Melymuk, Lisa/H-1061-2017; Melymuk, Lisa/AAF-2526-2021; Diamond, Miriam L/D-1770-2013; Kukucka, Petr/F-7064-2016</t>
        </is>
      </c>
      <c r="AC1740" t="inlineStr">
        <is>
          <t>Klanova, Jana/0000-0002-8818-5307; Melymuk, Lisa/0000-0001-6042-7688; Melymuk, Lisa/0000-0001-6042-7688; Diamond, Miriam L/0000-0001-6296-6431; Kukucka, Petr/0000-0003-1733-8334; Vojta, Simon/0000-0003-4528-8346; Saini, Amandeep/0000-0003-0880-1147; Becanova, Jitka/0000-0002-3091-1054</t>
        </is>
      </c>
      <c r="AD1740" t="inlineStr">
        <is>
          <t>Czech-American Scientific Cooperation Program (AMVIS/KONTAKT II) [LH12074]; U.S. Environmental Protection Agencys Great Lakes National Program Office [GL00E01422]; Allergy, Genes and Environment Network (AllerGen NCE) [12AS13]; Natural Sciences and Engineering Research Council of Canada (NSERC) [RGPAS 429679-12, RGPIN 124042-12]; Czech Ministry of Education [LM2011028, LO1214]</t>
        </is>
      </c>
      <c r="AE1740" t="inlineStr">
        <is>
          <t>Czech-American Scientific Cooperation Program (AMVIS/KONTAKT II); U.S. Environmental Protection Agencys Great Lakes National Program Office(United States Environmental Protection Agency); Allergy, Genes and Environment Network (AllerGen NCE); Natural Sciences and Engineering Research Council of Canada (NSERC)(Natural Sciences and Engineering Research Council of Canada (NSERC)); Czech Ministry of Education(Ministry of Education, Youth &amp; Sports - Czech Republic)</t>
        </is>
      </c>
      <c r="AF1740" t="inlineStr">
        <is>
          <t>This work was supported by the Czech-American Scientific Cooperation Program (AMVIS/KONTAKT II, LH12074), and U.S. Environmental Protection Agencys Great Lakes National Program Office (Grant GL00E01422, Todd Nettesheim, project officer). Support in Canada was provided by Allergy, Genes and Environment Network (AllerGen NCE; grant no, 12AS13) and the Natural Sciences and Engineering Research Council of Canada (NSERC; grant nos. RGPAS 429679-12 and RGPIN 124042-12). RECETOX research infrastructure was supported by the Czech Ministry of Education (LM2011028, LO1214). We thank all volunteers in Bloomington, IN, USA, Toronto, Canada and Brno, Czech Republic for their participation. We also thank Ronald A. Hites for helpful discussion and for his comments on the text.</t>
        </is>
      </c>
      <c r="AH1740" t="n">
        <v>57</v>
      </c>
      <c r="AI1740" t="n">
        <v>104</v>
      </c>
      <c r="AJ1740" t="n">
        <v>113</v>
      </c>
      <c r="AK1740" t="n">
        <v>7</v>
      </c>
      <c r="AL1740" t="n">
        <v>185</v>
      </c>
      <c r="AM1740" t="inlineStr">
        <is>
          <t>PERGAMON-ELSEVIER SCIENCE LTD</t>
        </is>
      </c>
      <c r="AN1740" t="inlineStr">
        <is>
          <t>OXFORD</t>
        </is>
      </c>
      <c r="AO1740" t="inlineStr">
        <is>
          <t>THE BOULEVARD, LANGFORD LANE, KIDLINGTON, OXFORD OX5 1GB, ENGLAND</t>
        </is>
      </c>
      <c r="AP1740" t="inlineStr">
        <is>
          <t>0160-4120</t>
        </is>
      </c>
      <c r="AQ1740" t="inlineStr">
        <is>
          <t>1873-6750</t>
        </is>
      </c>
      <c r="AS1740" t="inlineStr">
        <is>
          <t>ENVIRON INT</t>
        </is>
      </c>
      <c r="AT1740" t="inlineStr">
        <is>
          <t>Environ. Int.</t>
        </is>
      </c>
      <c r="AU1740" t="inlineStr">
        <is>
          <t>SEP</t>
        </is>
      </c>
      <c r="AV1740" t="n">
        <v>2016</v>
      </c>
      <c r="AW1740" t="n">
        <v>94</v>
      </c>
      <c r="BC1740" t="n">
        <v>150</v>
      </c>
      <c r="BD1740" t="n">
        <v>160</v>
      </c>
      <c r="BF1740" t="inlineStr">
        <is>
          <t>10.1016/j.envint.2016.04.029</t>
        </is>
      </c>
      <c r="BG1740">
        <f>HYPERLINK("http://dx.doi.org/10.1016/j.envint.2016.04.029","http://dx.doi.org/10.1016/j.envint.2016.04.029")</f>
        <v/>
      </c>
      <c r="BJ1740" t="n">
        <v>11</v>
      </c>
      <c r="BK1740" t="inlineStr">
        <is>
          <t>Environmental Sciences</t>
        </is>
      </c>
      <c r="BL1740" t="inlineStr">
        <is>
          <t>Science Citation Index Expanded (SCI-EXPANDED)</t>
        </is>
      </c>
      <c r="BM1740" t="inlineStr">
        <is>
          <t>Environmental Sciences &amp; Ecology</t>
        </is>
      </c>
      <c r="BN1740" t="inlineStr">
        <is>
          <t>DU6QF</t>
        </is>
      </c>
      <c r="BO1740" t="n">
        <v>27248661</v>
      </c>
      <c r="BS1740" t="inlineStr">
        <is>
          <t>2023-10-26</t>
        </is>
      </c>
      <c r="BT1740" t="inlineStr">
        <is>
          <t>WOS:000382339000017</t>
        </is>
      </c>
      <c r="BU1740">
        <f>HYPERLINK("https%3A%2F%2Fwww.webofscience.com%2Fwos%2Fwoscc%2Ffull-record%2FWOS:000382339000017","View Full Record in Web of Science")</f>
        <v/>
      </c>
    </row>
    <row r="1741">
      <c r="A1741" t="inlineStr">
        <is>
          <t>J</t>
        </is>
      </c>
      <c r="B1741" t="inlineStr">
        <is>
          <t>Xia, Y; Zhang, HH; Cao, LM; Zhao, YH</t>
        </is>
      </c>
      <c r="F1741" t="inlineStr">
        <is>
          <t>Xia, Yang; Zhang, Hehua; Cao, Limin; Zhao, Yuhong</t>
        </is>
      </c>
      <c r="J1741" t="inlineStr">
        <is>
          <t>ENVIRONMENTAL RESEARCH</t>
        </is>
      </c>
      <c r="M1741" t="inlineStr">
        <is>
          <t>English</t>
        </is>
      </c>
      <c r="N1741" t="inlineStr">
        <is>
          <t>Article</t>
        </is>
      </c>
      <c r="T1741" t="inlineStr">
        <is>
          <t>Household solid fuel use and peak expiratory flow in middle-aged and older adults in China: A large cohort study (2011-2015)</t>
        </is>
      </c>
      <c r="U1741" t="inlineStr">
        <is>
          <t>Solid fuel use; Indoor air pollution; Peak expiratory flow</t>
        </is>
      </c>
      <c r="W1741" t="inlineStr">
        <is>
          <t>Indoor air pollution caused by solid fuel use in cooking and heating in China is common. The relationship between household solid fuel use and peak expiratory flow (PEF) in middle-aged and older adults in China has not been clarified. The aim of this study was to assess the relationship between long-term household solid fuel use (clean for both cooking and heating, solid for either cooking or heating, and solid for both cooking and heating) and PEF changes in middle-aged and older adults using a nationally representative prospective cohort. Covariance analysis was used to compare PEF changes in different indoor air pollution exposure groups. Separate analysis of cooking and heating as well as sub-group analyses by age, sex and smoking status were conducted, linear mixed growth model analysis was used to evaluate the association between cooking fuel type and PEF. A total of 6818 participants were enrolled in the cohort analysis. Results revealed that solid fuel use in cooking and heating separately or conjointly were associated with reduced PEF (solid fuel use in cooking: least square mean [LSM] = 19.9, 95% confidence interval [CI]: 11.5-28.2, P = 0.03; solid fuel use in heating: LSM = 19.4, 95% CI:11.2-27.5, P = 0.04; both solid fuel use: LSM = 17.6, 95% CI: 9.3-25.9, P for trend 0.0001), especially in participants aged 65 years (LSM =-9.22, 95% CI: 27.9-69.52, P for trend &lt;0.0001), females (LSM =-6.41, 95% CI: 19.12-6.30, P for trend &lt;0.0001) and current or former smokers (LSM =-21.55, 95% CI: 36.14 to-6.97, P &lt; 0.02). Compared to that of participants using clean fuels for cooking, PEF of participants using solid fuels were decreased by 3.5 l/min per 2 years over a 4-year follow-up. This cohort study highlights the adverse effects of indoor air pollution on lung function in middle aged and older adults in China.</t>
        </is>
      </c>
      <c r="X1741" t="inlineStr">
        <is>
          <t>[Xia, Yang; Zhao, Yuhong] China Med Univ, Dept Clin Epidemiol, Shengjing Hosp, Sanhao St 36, Shenyang 110004, Liaoning, Peoples R China; [Zhang, Hehua; Zhao, Yuhong] China Med Univ, Clin Res Ctr, Shengjing Hosp, Sanhao St 36, Shenyang 110004, Liaoning, Peoples R China; [Cao, Limin] Third Cent Hosp Tianjin, Jintang Rd 83, Tianjin 300170, Peoples R China</t>
        </is>
      </c>
      <c r="Y1741" t="inlineStr">
        <is>
          <t>China Medical University; China Medical University</t>
        </is>
      </c>
      <c r="Z1741" t="inlineStr">
        <is>
          <t>Zhao, YH (corresponding author), China Med Univ, Dept Clin Epidemiol, Shengjing Hosp, Sanhao St 36, Shenyang 110004, Liaoning, Peoples R China.;Zhao, YH (corresponding author), China Med Univ, Clin Res Ctr, Shengjing Hosp, Sanhao St 36, Shenyang 110004, Liaoning, Peoples R China.</t>
        </is>
      </c>
      <c r="AA1741" t="inlineStr">
        <is>
          <t>zhaoyh@sj-hospital.org</t>
        </is>
      </c>
      <c r="AB1741" t="inlineStr">
        <is>
          <t>Xia, Yang/AAW-9116-2021</t>
        </is>
      </c>
      <c r="AC1741" t="inlineStr">
        <is>
          <t>Xia, Yang/0000-0001-8783-1592</t>
        </is>
      </c>
      <c r="AD1741" t="inlineStr">
        <is>
          <t>National Key R&amp;D Project of China [2017YFC0907401]; National Natural Science Foundation of China [81903302]; China Postdoctoral Science Foundation [2018M641753]; Natural Science Foundation of Liaoning Province [2020MS172]; 345 Talent Project of Shengjing Hospital of China Medical University [M0294, M0287]</t>
        </is>
      </c>
      <c r="AE1741" t="inlineStr">
        <is>
          <t>National Key R&amp;D Project of China; National Natural Science Foundation of China(National Natural Science Foundation of China (NSFC)); China Postdoctoral Science Foundation(China Postdoctoral Science Foundation); Natural Science Foundation of Liaoning Province(Natural Science Foundation of Liaoning Province); 345 Talent Project of Shengjing Hospital of China Medical University</t>
        </is>
      </c>
      <c r="AF1741" t="inlineStr">
        <is>
          <t>This study was supported by National Key R&amp;D Project of China (grant number 2017YFC0907401, 2017), National Natural Science Foundation of China (No. 81903302), China Postdoctoral Science Foundation (No. 2018M641753), Natural Science Foundation of Liaoning Province (No. 2020MS172), and 345 Talent Project of Shengjing Hospital of China Medical University (No. M0294, No. M0287).</t>
        </is>
      </c>
      <c r="AH1741" t="n">
        <v>38</v>
      </c>
      <c r="AI1741" t="n">
        <v>9</v>
      </c>
      <c r="AJ1741" t="n">
        <v>9</v>
      </c>
      <c r="AK1741" t="n">
        <v>2</v>
      </c>
      <c r="AL1741" t="n">
        <v>15</v>
      </c>
      <c r="AM1741" t="inlineStr">
        <is>
          <t>ACADEMIC PRESS INC ELSEVIER SCIENCE</t>
        </is>
      </c>
      <c r="AN1741" t="inlineStr">
        <is>
          <t>SAN DIEGO</t>
        </is>
      </c>
      <c r="AO1741" t="inlineStr">
        <is>
          <t>525 B ST, STE 1900, SAN DIEGO, CA 92101-4495 USA</t>
        </is>
      </c>
      <c r="AP1741" t="inlineStr">
        <is>
          <t>0013-9351</t>
        </is>
      </c>
      <c r="AQ1741" t="inlineStr">
        <is>
          <t>1096-0953</t>
        </is>
      </c>
      <c r="AS1741" t="inlineStr">
        <is>
          <t>ENVIRON RES</t>
        </is>
      </c>
      <c r="AT1741" t="inlineStr">
        <is>
          <t>Environ. Res.</t>
        </is>
      </c>
      <c r="AU1741" t="inlineStr">
        <is>
          <t>FEB</t>
        </is>
      </c>
      <c r="AV1741" t="n">
        <v>2021</v>
      </c>
      <c r="AW1741" t="n">
        <v>193</v>
      </c>
      <c r="BE1741" t="n">
        <v>110566</v>
      </c>
      <c r="BF1741" t="inlineStr">
        <is>
          <t>10.1016/j.envres.2020.110566</t>
        </is>
      </c>
      <c r="BG1741">
        <f>HYPERLINK("http://dx.doi.org/10.1016/j.envres.2020.110566","http://dx.doi.org/10.1016/j.envres.2020.110566")</f>
        <v/>
      </c>
      <c r="BJ1741" t="n">
        <v>7</v>
      </c>
      <c r="BK1741" t="inlineStr">
        <is>
          <t>Environmental Sciences; Public, Environmental &amp; Occupational Health</t>
        </is>
      </c>
      <c r="BL1741" t="inlineStr">
        <is>
          <t>Science Citation Index Expanded (SCI-EXPANDED)</t>
        </is>
      </c>
      <c r="BM1741" t="inlineStr">
        <is>
          <t>Environmental Sciences &amp; Ecology; Public, Environmental &amp; Occupational Health</t>
        </is>
      </c>
      <c r="BN1741" t="inlineStr">
        <is>
          <t>QB1YS</t>
        </is>
      </c>
      <c r="BO1741" t="n">
        <v>33278475</v>
      </c>
      <c r="BS1741" t="inlineStr">
        <is>
          <t>2023-10-26</t>
        </is>
      </c>
      <c r="BT1741" t="inlineStr">
        <is>
          <t>WOS:000613939500007</t>
        </is>
      </c>
      <c r="BU1741">
        <f>HYPERLINK("https%3A%2F%2Fwww.webofscience.com%2Fwos%2Fwoscc%2Ffull-record%2FWOS:000613939500007","View Full Record in Web of Science")</f>
        <v/>
      </c>
    </row>
    <row r="1742">
      <c r="A1742" t="inlineStr">
        <is>
          <t>J</t>
        </is>
      </c>
      <c r="B1742" t="inlineStr">
        <is>
          <t>You, B; Zhou, W; Li, JY; Li, ZJ; Sun, YL</t>
        </is>
      </c>
      <c r="F1742" t="inlineStr">
        <is>
          <t>You, Bo; Zhou, Wei; Li, Junyao; Li, Zhijie; Sun, Yele</t>
        </is>
      </c>
      <c r="J1742" t="inlineStr">
        <is>
          <t>ENVIRONMENT INTERNATIONAL</t>
        </is>
      </c>
      <c r="M1742" t="inlineStr">
        <is>
          <t>English</t>
        </is>
      </c>
      <c r="N1742" t="inlineStr">
        <is>
          <t>Review</t>
        </is>
      </c>
      <c r="T1742" t="inlineStr">
        <is>
          <t>A review of indoor Gaseous organic compounds and human chemical Exposure: Insights from Real-time measurements</t>
        </is>
      </c>
      <c r="U1742" t="inlineStr">
        <is>
          <t>Volatile organic compounds; Sources; Sinks; Indoor chemistry; Human health; Mass spectrometry</t>
        </is>
      </c>
      <c r="V1742" t="inlineStr">
        <is>
          <t>LIMONENE OXIDATION-PRODUCTS; REACTION-MASS-SPECTROMETRY; GAS-PHASE ORGANICS; AIR-POLLUTANTS; CARBOXYLIC-ACIDS; NITROUS-ACID; RESOLVED MEASUREMENTS; KETOCARBOXYLIC ACIDS; RESIDENTIAL INDOOR; DICARBOXYLIC-ACIDS</t>
        </is>
      </c>
      <c r="W1742" t="inlineStr">
        <is>
          <t>Gaseous organic compounds, mainly volatile organic compounds (VOCs), have become a wide concern in various indoor environments where we spend the majority of our daily time. The sources, compositions, variations, and sinks of indoor VOCs are extremely complex, and their potential impacts on human health are less understood. Owing to the deployment of the state-of-the-art real-time mass spectrometry during the last two decades, our understanding of the sources, dynamic changes and chemical transformations of VOCs indoors has been significantly improved. This review aims to summarize the key findings from mass spectrometry measurements in recent indoor studies including residence, classroom, office, sports center, etc. The sources and sinks, com-positions and distributions of indoor VOCs, and the factors (e.g., human activities, air exchange rate, temperature and humidity) driving the changes in indoor VOCs are discussed. The physical and chemical processes of gas -particle partitioning and secondary oxidation processes of VOCs, and their impacts on human health are sum-marized. Finally, the recommendations for future research directions on indoor VOCs measurements and indoor chemistry are proposed.</t>
        </is>
      </c>
      <c r="X1742" t="inlineStr">
        <is>
          <t>[You, Bo; Zhou, Wei; Li, Junyao; Li, Zhijie; Sun, Yele] Chinese Acad Sci, Inst Atmospher Phys, State Key Lab Atmospher Boundary Layer Phys &amp; Atmo, Beijing 100029, Peoples R China; [You, Bo; Li, Junyao; Li, Zhijie; Sun, Yele] Univ Chinese Acad Sci, Coll Earth &amp; Planetary Sci, Beijing 100049, Peoples R China</t>
        </is>
      </c>
      <c r="Y1742" t="inlineStr">
        <is>
          <t>Chinese Academy of Sciences; Institute of Atmospheric Physics, CAS; Chinese Academy of Sciences; University of Chinese Academy of Sciences, CAS</t>
        </is>
      </c>
      <c r="Z1742" t="inlineStr">
        <is>
          <t>Sun, YL (corresponding author), Chinese Acad Sci, Inst Atmospher Phys, State Key Lab Atmospher Boundary Layer Phys &amp; Atmo, Beijing 100029, Peoples R China.;Sun, YL (corresponding author), Univ Chinese Acad Sci, Coll Earth &amp; Planetary Sci, Beijing 100049, Peoples R China.</t>
        </is>
      </c>
      <c r="AA1742" t="inlineStr">
        <is>
          <t>sunyele@mail.iap.ac.cn</t>
        </is>
      </c>
      <c r="AB1742" t="inlineStr">
        <is>
          <t>Sun, Yele/F-1314-2010; You, Bo/JEY-0662-2023</t>
        </is>
      </c>
      <c r="AC1742" t="inlineStr">
        <is>
          <t>Sun, Yele/0000-0003-2354-0221;</t>
        </is>
      </c>
      <c r="AD1742" t="inlineStr">
        <is>
          <t>National Natural Science Foundation of China [41975170]</t>
        </is>
      </c>
      <c r="AE1742" t="inlineStr">
        <is>
          <t>National Natural Science Foundation of China(National Natural Science Foundation of China (NSFC))</t>
        </is>
      </c>
      <c r="AF1742" t="inlineStr">
        <is>
          <t>This study was financially supported by the National Natural Science Foundation of China (Nos. 41975170).</t>
        </is>
      </c>
      <c r="AH1742" t="n">
        <v>225</v>
      </c>
      <c r="AI1742" t="n">
        <v>3</v>
      </c>
      <c r="AJ1742" t="n">
        <v>3</v>
      </c>
      <c r="AK1742" t="n">
        <v>20</v>
      </c>
      <c r="AL1742" t="n">
        <v>67</v>
      </c>
      <c r="AM1742" t="inlineStr">
        <is>
          <t>PERGAMON-ELSEVIER SCIENCE LTD</t>
        </is>
      </c>
      <c r="AN1742" t="inlineStr">
        <is>
          <t>OXFORD</t>
        </is>
      </c>
      <c r="AO1742" t="inlineStr">
        <is>
          <t>THE BOULEVARD, LANGFORD LANE, KIDLINGTON, OXFORD OX5 1GB, ENGLAND</t>
        </is>
      </c>
      <c r="AP1742" t="inlineStr">
        <is>
          <t>0160-4120</t>
        </is>
      </c>
      <c r="AQ1742" t="inlineStr">
        <is>
          <t>1873-6750</t>
        </is>
      </c>
      <c r="AS1742" t="inlineStr">
        <is>
          <t>ENVIRON INT</t>
        </is>
      </c>
      <c r="AT1742" t="inlineStr">
        <is>
          <t>Environ. Int.</t>
        </is>
      </c>
      <c r="AU1742" t="inlineStr">
        <is>
          <t>DEC</t>
        </is>
      </c>
      <c r="AV1742" t="n">
        <v>2022</v>
      </c>
      <c r="AW1742" t="n">
        <v>170</v>
      </c>
      <c r="BE1742" t="n">
        <v>107611</v>
      </c>
      <c r="BF1742" t="inlineStr">
        <is>
          <t>10.1016/j.envint.2022.107611</t>
        </is>
      </c>
      <c r="BG1742">
        <f>HYPERLINK("http://dx.doi.org/10.1016/j.envint.2022.107611","http://dx.doi.org/10.1016/j.envint.2022.107611")</f>
        <v/>
      </c>
      <c r="BI1742" t="inlineStr">
        <is>
          <t>NOV 2022</t>
        </is>
      </c>
      <c r="BJ1742" t="n">
        <v>15</v>
      </c>
      <c r="BK1742" t="inlineStr">
        <is>
          <t>Environmental Sciences</t>
        </is>
      </c>
      <c r="BL1742" t="inlineStr">
        <is>
          <t>Science Citation Index Expanded (SCI-EXPANDED)</t>
        </is>
      </c>
      <c r="BM1742" t="inlineStr">
        <is>
          <t>Environmental Sciences &amp; Ecology</t>
        </is>
      </c>
      <c r="BN1742" t="inlineStr">
        <is>
          <t>6D0NM</t>
        </is>
      </c>
      <c r="BO1742" t="n">
        <v>36335895</v>
      </c>
      <c r="BP1742" t="inlineStr">
        <is>
          <t>gold</t>
        </is>
      </c>
      <c r="BS1742" t="inlineStr">
        <is>
          <t>2023-10-26</t>
        </is>
      </c>
      <c r="BT1742" t="inlineStr">
        <is>
          <t>WOS:000882398800010</t>
        </is>
      </c>
      <c r="BU1742">
        <f>HYPERLINK("https%3A%2F%2Fwww.webofscience.com%2Fwos%2Fwoscc%2Ffull-record%2FWOS:000882398800010","View Full Record in Web of Science")</f>
        <v/>
      </c>
    </row>
    <row r="1743">
      <c r="A1743" t="inlineStr">
        <is>
          <t>J</t>
        </is>
      </c>
      <c r="B1743" t="inlineStr">
        <is>
          <t>Belizan, M; Chaparro, RM; Santero, M; Elorriaga, N; Kartschmit, N; Rubinstein, AL; Irazola, VE</t>
        </is>
      </c>
      <c r="F1743" t="inlineStr">
        <is>
          <t>Belizan, Maria; Martin Chaparro, R.; Santero, Marilina; Elorriaga, Natalia; Kartschmit, Nadja; Rubinstein, Adolfo L.; Irazola, Vilma E.</t>
        </is>
      </c>
      <c r="J1743" t="inlineStr">
        <is>
          <t>INTERNATIONAL JOURNAL OF ENVIRONMENTAL RESEARCH AND PUBLIC HEALTH</t>
        </is>
      </c>
      <c r="M1743" t="inlineStr">
        <is>
          <t>English</t>
        </is>
      </c>
      <c r="N1743" t="inlineStr">
        <is>
          <t>Article</t>
        </is>
      </c>
      <c r="T1743" t="inlineStr">
        <is>
          <t>Barriers and Facilitators for the Implementation and Evaluation of Community-Based Interventions to Promote Physical Activity and Healthy Diet: A Mixed Methods Study in Argentina</t>
        </is>
      </c>
      <c r="U1743" t="inlineStr">
        <is>
          <t>healthy environments; physical activity; healthy diet; health promotion</t>
        </is>
      </c>
      <c r="V1743" t="inlineStr">
        <is>
          <t>BUILT ENVIRONMENT; OBESITY; POLICY; STATE; FOCUS</t>
        </is>
      </c>
      <c r="W1743" t="inlineStr">
        <is>
          <t>Background: Obesogenic environments promote sedentary behavior and high dietary energy intake. The objective of the study was to identify barriers and facilitators to the implementation and impact evaluation of projects oriented to promote physical activity and healthy diet at community level. We analyzed experiences of the projects implemented within the Healthy Municipalities and Communities Program (HMCP) in Argentina. Methods: A mixed methods approach included (1) in-depth semi-structured interviews, with 44 stakeholders; and (2) electronic survey completed by 206 individuals from 96 municipalities across the country. Results: The most important barriers included the lack of: adequate funding (43%); skilled personnel (42%); equipment and material resources (31%); technical support for data management and analysis (20%); training on project designs (12%); political support from local authorities (17%) and acceptance of the proposed intervention by the local community (9%). Facilitators included motivated local leaders, inter-sectorial participation and seizing local resources. Project evaluation was mostly based on process rather than outcome indicators. Conclusions: This study contributes to a better understanding of the difficulties in the implementation of community-based intervention projects. Findings may guide stakeholders on how to facilitate local initiatives. There is a need to improve project evaluation strategies by incorporating process, outcome and context specific indicators.</t>
        </is>
      </c>
      <c r="X1743" t="inlineStr">
        <is>
          <t>[Belizan, Maria; Martin Chaparro, R.; Santero, Marilina; Elorriaga, Natalia; Rubinstein, Adolfo L.; Irazola, Vilma E.] IECS, Dr Emilio Ravignani 2024,C1414CPV, Buenos Aires, DF, Argentina; [Kartschmit, Nadja] Martin Luther Univ Halle Wittenberg, Inst Med Epidemiol Biometr &amp; Informat, D-06097 Halle, Saale, Germany</t>
        </is>
      </c>
      <c r="Y1743" t="inlineStr">
        <is>
          <t>Martin Luther University Halle Wittenberg</t>
        </is>
      </c>
      <c r="Z1743" t="inlineStr">
        <is>
          <t>Belizan, M (corresponding author), IECS, Dr Emilio Ravignani 2024,C1414CPV, Buenos Aires, DF, Argentina.</t>
        </is>
      </c>
      <c r="AA1743" t="inlineStr">
        <is>
          <t>mbelizan@iecs.org.ar; mchaparro@iecs.org.ar; msantero@iecs.org.ar; nelorriaga@iecs.org.ar; nadja.kartschmit@uk-halle.de; adolfo.rubinstein@gmail.com; virazola@iecs.org.ar</t>
        </is>
      </c>
      <c r="AB1743" t="inlineStr">
        <is>
          <t>Santero, Marilina/AAM-7582-2020</t>
        </is>
      </c>
      <c r="AC1743" t="inlineStr">
        <is>
          <t>Santero, Marilina/0000-0001-5371-0979; Elorriaga, Natalia/0000-0001-5496-9835; Belizan, Maria/0000-0002-8739-5249</t>
        </is>
      </c>
      <c r="AD1743" t="inlineStr">
        <is>
          <t>IDRC-International Development Research Center, Canada</t>
        </is>
      </c>
      <c r="AE1743" t="inlineStr">
        <is>
          <t>IDRC-International Development Research Center, Canada(International Development Research Centre - IDRC)</t>
        </is>
      </c>
      <c r="AF1743" t="inlineStr">
        <is>
          <t>IDRC-International Development Research Center, Canada.</t>
        </is>
      </c>
      <c r="AH1743" t="n">
        <v>45</v>
      </c>
      <c r="AI1743" t="n">
        <v>11</v>
      </c>
      <c r="AJ1743" t="n">
        <v>11</v>
      </c>
      <c r="AK1743" t="n">
        <v>0</v>
      </c>
      <c r="AL1743" t="n">
        <v>5</v>
      </c>
      <c r="AM1743" t="inlineStr">
        <is>
          <t>MDPI</t>
        </is>
      </c>
      <c r="AN1743" t="inlineStr">
        <is>
          <t>BASEL</t>
        </is>
      </c>
      <c r="AO1743" t="inlineStr">
        <is>
          <t>ST ALBAN-ANLAGE 66, CH-4052 BASEL, SWITZERLAND</t>
        </is>
      </c>
      <c r="AQ1743" t="inlineStr">
        <is>
          <t>1660-4601</t>
        </is>
      </c>
      <c r="AS1743" t="inlineStr">
        <is>
          <t>INT J ENV RES PUB HE</t>
        </is>
      </c>
      <c r="AT1743" t="inlineStr">
        <is>
          <t>Int. J. Environ. Res. Public Health</t>
        </is>
      </c>
      <c r="AU1743" t="inlineStr">
        <is>
          <t>JAN 2</t>
        </is>
      </c>
      <c r="AV1743" t="n">
        <v>2019</v>
      </c>
      <c r="AW1743" t="n">
        <v>16</v>
      </c>
      <c r="AX1743" t="n">
        <v>2</v>
      </c>
      <c r="BE1743" t="n">
        <v>213</v>
      </c>
      <c r="BF1743" t="inlineStr">
        <is>
          <t>10.3390/ijerph16020213</t>
        </is>
      </c>
      <c r="BG1743">
        <f>HYPERLINK("http://dx.doi.org/10.3390/ijerph16020213","http://dx.doi.org/10.3390/ijerph16020213")</f>
        <v/>
      </c>
      <c r="BJ1743" t="n">
        <v>14</v>
      </c>
      <c r="BK1743" t="inlineStr">
        <is>
          <t>Environmental Sciences; Public, Environmental &amp; Occupational Health</t>
        </is>
      </c>
      <c r="BL1743" t="inlineStr">
        <is>
          <t>Science Citation Index Expanded (SCI-EXPANDED); Social Science Citation Index (SSCI)</t>
        </is>
      </c>
      <c r="BM1743" t="inlineStr">
        <is>
          <t>Environmental Sciences &amp; Ecology; Public, Environmental &amp; Occupational Health</t>
        </is>
      </c>
      <c r="BN1743" t="inlineStr">
        <is>
          <t>HM0CF</t>
        </is>
      </c>
      <c r="BO1743" t="n">
        <v>30646502</v>
      </c>
      <c r="BP1743" t="inlineStr">
        <is>
          <t>Green Published, Green Submitted, gold</t>
        </is>
      </c>
      <c r="BS1743" t="inlineStr">
        <is>
          <t>2023-10-26</t>
        </is>
      </c>
      <c r="BT1743" t="inlineStr">
        <is>
          <t>WOS:000459112100048</t>
        </is>
      </c>
      <c r="BU1743">
        <f>HYPERLINK("https%3A%2F%2Fwww.webofscience.com%2Fwos%2Fwoscc%2Ffull-record%2FWOS:000459112100048","View Full Record in Web of Science")</f>
        <v/>
      </c>
    </row>
    <row r="1744">
      <c r="A1744" t="inlineStr">
        <is>
          <t>J</t>
        </is>
      </c>
      <c r="B1744" t="inlineStr">
        <is>
          <t>Sardella, A; Lenzo, V; Alibrandi, A; Catalano, A; Corica, F; Quattropani, MC; Basile, G</t>
        </is>
      </c>
      <c r="F1744" t="inlineStr">
        <is>
          <t>Sardella, Alberto; Lenzo, Vittorio; Alibrandi, Angela; Catalano, Antonino; Corica, Francesco; Quattropani, Maria C.; Basile, Giorgio</t>
        </is>
      </c>
      <c r="J1744" t="inlineStr">
        <is>
          <t>INTERNATIONAL JOURNAL OF ENVIRONMENTAL RESEARCH AND PUBLIC HEALTH</t>
        </is>
      </c>
      <c r="M1744" t="inlineStr">
        <is>
          <t>English</t>
        </is>
      </c>
      <c r="N1744" t="inlineStr">
        <is>
          <t>Article</t>
        </is>
      </c>
      <c r="T1744" t="inlineStr">
        <is>
          <t>A Clinical Bridge between Family Caregivers and Older Adults: The Contribution of Patients' Frailty and Optimism on Caregiver Burden</t>
        </is>
      </c>
      <c r="U1744" t="inlineStr">
        <is>
          <t>caregiver burden; clinical psychology; dispositional optimism; family caregiver; frailty; older adults</t>
        </is>
      </c>
      <c r="V1744" t="inlineStr">
        <is>
          <t>QUALITY-OF-LIFE; RISK-FACTORS; DISPOSITIONAL OPTIMISM; INFORMAL CAREGIVERS; HEALTH; DEMENTIA; ANXIETY; PEOPLE; DEPRESSION; DISORDERS</t>
        </is>
      </c>
      <c r="W1744" t="inlineStr">
        <is>
          <t>The association between caregiver burden and the physical frailty of older adults has been the object of previous studies. The contribution of patients' dispositional optimism on caregiver burden is a poorly investigated topic. The present study aimed at investigating whether older adults' multidimensional frailty and optimism might contribute to the burden of their family caregivers. The Caregiver Burden Inventory was used to measure the care-related burden of caregivers. The multidimensional frailty status of each patient was evaluated by calculating a frailty index, and the revised Life Orientation Test was used to evaluate patients' dispositional optimism. The study involved eighty family caregivers (mean age 64.28 +/- 8.6) and eighty older patients (mean age 80.45 +/- 7.13). Our results showed that higher frailty status and lower levels of optimism among patients were significantly associated with higher levels of overall burden and higher burden related to the restriction of personal time among caregivers. Patients' frailty was additionally associated with caregivers' greater feelings of failure, physical stress, role conflicts, and embarrassment. Understanding the close connection between patient-related factors and the burden of caregivers appears to be an actual challenge with significant clinical, social, and public health implications.</t>
        </is>
      </c>
      <c r="X1744" t="inlineStr">
        <is>
          <t>[Sardella, Alberto; Quattropani, Maria C.] Univ Messina, Dept Clin &amp; Expt Med, I-98125 Messina, Italy; [Lenzo, Vittorio] Dante Alighieri Univ Foreigners Reggio Calabria, Dept Social &amp; Educ Sci Mediterranean Area, I-89125 Reggio Di Calabria, Italy; [Alibrandi, Angela] Univ Messina, Unit Stat &amp; Math Sci, Dept Econ, I-98123 Messina, Italy; [Catalano, Antonino; Corica, Francesco; Basile, Giorgio] Univ Messina, Sch &amp; Unit Geriatr, Dept Clin &amp; Expt Med, I-98125 Messina, Italy</t>
        </is>
      </c>
      <c r="Y1744" t="inlineStr">
        <is>
          <t>University of Messina; University of Messina; University of Messina</t>
        </is>
      </c>
      <c r="Z1744" t="inlineStr">
        <is>
          <t>Basile, G (corresponding author), Univ Messina, Sch &amp; Unit Geriatr, Dept Clin &amp; Expt Med, I-98125 Messina, Italy.</t>
        </is>
      </c>
      <c r="AA1744" t="inlineStr">
        <is>
          <t>asardella@unime.it; v.lenzo@unidarc.it; angela.alibrandi@unime.it; catalanoa@unime.it; coricaf@unime.it; maria.quattropani@unime.it; giorgio.basile@unime.it</t>
        </is>
      </c>
      <c r="AB1744" t="inlineStr">
        <is>
          <t>Sardella, Alberto/Q-1184-2019; Quattropani, Maria C./G-3504-2015; Lenzo, Vittorio/C-9425-2017; Catalano, Antonino/H-7109-2016; Basile, Giorgio/GLS-6497-2022</t>
        </is>
      </c>
      <c r="AC1744" t="inlineStr">
        <is>
          <t>Sardella, Alberto/0000-0003-0193-6786; Quattropani, Maria C./0000-0003-0711-6412; Lenzo, Vittorio/0000-0001-8391-5123; Catalano, Antonino/0000-0003-3890-2299; Basile, Giorgio/0000-0002-0040-8618</t>
        </is>
      </c>
      <c r="AH1744" t="n">
        <v>62</v>
      </c>
      <c r="AI1744" t="n">
        <v>8</v>
      </c>
      <c r="AJ1744" t="n">
        <v>8</v>
      </c>
      <c r="AK1744" t="n">
        <v>3</v>
      </c>
      <c r="AL1744" t="n">
        <v>8</v>
      </c>
      <c r="AM1744" t="inlineStr">
        <is>
          <t>MDPI</t>
        </is>
      </c>
      <c r="AN1744" t="inlineStr">
        <is>
          <t>BASEL</t>
        </is>
      </c>
      <c r="AO1744" t="inlineStr">
        <is>
          <t>ST ALBAN-ANLAGE 66, CH-4052 BASEL, SWITZERLAND</t>
        </is>
      </c>
      <c r="AQ1744" t="inlineStr">
        <is>
          <t>1660-4601</t>
        </is>
      </c>
      <c r="AS1744" t="inlineStr">
        <is>
          <t>INT J ENV RES PUB HE</t>
        </is>
      </c>
      <c r="AT1744" t="inlineStr">
        <is>
          <t>Int. J. Environ. Res. Public Health</t>
        </is>
      </c>
      <c r="AU1744" t="inlineStr">
        <is>
          <t>APR</t>
        </is>
      </c>
      <c r="AV1744" t="n">
        <v>2021</v>
      </c>
      <c r="AW1744" t="n">
        <v>18</v>
      </c>
      <c r="AX1744" t="n">
        <v>7</v>
      </c>
      <c r="BE1744" t="n">
        <v>3406</v>
      </c>
      <c r="BF1744" t="inlineStr">
        <is>
          <t>10.3390/ijerph18073406</t>
        </is>
      </c>
      <c r="BG1744">
        <f>HYPERLINK("http://dx.doi.org/10.3390/ijerph18073406","http://dx.doi.org/10.3390/ijerph18073406")</f>
        <v/>
      </c>
      <c r="BJ1744" t="n">
        <v>11</v>
      </c>
      <c r="BK1744" t="inlineStr">
        <is>
          <t>Environmental Sciences; Public, Environmental &amp; Occupational Health</t>
        </is>
      </c>
      <c r="BL1744" t="inlineStr">
        <is>
          <t>Science Citation Index Expanded (SCI-EXPANDED); Social Science Citation Index (SSCI)</t>
        </is>
      </c>
      <c r="BM1744" t="inlineStr">
        <is>
          <t>Environmental Sciences &amp; Ecology; Public, Environmental &amp; Occupational Health</t>
        </is>
      </c>
      <c r="BN1744" t="inlineStr">
        <is>
          <t>RK7WM</t>
        </is>
      </c>
      <c r="BO1744" t="n">
        <v>33806026</v>
      </c>
      <c r="BP1744" t="inlineStr">
        <is>
          <t>Green Published, gold</t>
        </is>
      </c>
      <c r="BS1744" t="inlineStr">
        <is>
          <t>2023-10-26</t>
        </is>
      </c>
      <c r="BT1744" t="inlineStr">
        <is>
          <t>WOS:000638501600001</t>
        </is>
      </c>
      <c r="BU1744">
        <f>HYPERLINK("https%3A%2F%2Fwww.webofscience.com%2Fwos%2Fwoscc%2Ffull-record%2FWOS:000638501600001","View Full Record in Web of Science")</f>
        <v/>
      </c>
    </row>
    <row r="1745">
      <c r="A1745" t="inlineStr">
        <is>
          <t>J</t>
        </is>
      </c>
      <c r="B1745" t="inlineStr">
        <is>
          <t>Kopcakova, J; Veselska, ZD; Geckova, AM; Bucksch, J; Nalecz, H; Sigmundova, D; van Dijk, JP; Reijneveld, SA</t>
        </is>
      </c>
      <c r="F1745" t="inlineStr">
        <is>
          <t>Kopcakova, Jaroslava; Veselska, Zuzana Dankulincova; Geckova, Andrea Madarasova; Bucksch, Jens; Nalecz, Hanna; Sigmundova, Dagmar; van Dijk, Jitse P.; Reijneveld, Sijmen A.</t>
        </is>
      </c>
      <c r="J1745" t="inlineStr">
        <is>
          <t>INTERNATIONAL JOURNAL OF ENVIRONMENTAL RESEARCH AND PUBLIC HEALTH</t>
        </is>
      </c>
      <c r="M1745" t="inlineStr">
        <is>
          <t>English</t>
        </is>
      </c>
      <c r="N1745" t="inlineStr">
        <is>
          <t>Article</t>
        </is>
      </c>
      <c r="T1745" t="inlineStr">
        <is>
          <t>Is a Perceived Activity-Friendly Environment Associated with More Physical Activity and Fewer Screen-Based Activities in Adolescents?</t>
        </is>
      </c>
      <c r="U1745" t="inlineStr">
        <is>
          <t>physical activity; screen-based activities; perceived activity-friendly environment; adolescence</t>
        </is>
      </c>
      <c r="V1745" t="inlineStr">
        <is>
          <t>SEDENTARY BEHAVIOR; NEIGHBORHOOD ENVIRONMENT; CHILDREN; YOUTH; SCHOOL</t>
        </is>
      </c>
      <c r="W1745" t="inlineStr">
        <is>
          <t>Background: The aim of this study is to explore if perception of an activity-friendly environment is associated with more physical activity and fewer screen-based activities among adolescents. Methods: We collected self-reported data in 2014 via the Health Behavior in School-aged Children cross-sectional study from four European countries (n = 13,800, mean age = 14.4, 49.4% boys). We explored the association of perceived environment (e.g., There are other children nearby home to go out and play with) with physical activity and screen-based activities using a binary logistic regression model adjusted for age, gender, family affluence and country. Results: An environment perceived as activity-friendly was associated with higher odds that adolescents meet recommendations for physical activity (odds ratio (OR) for one standard deviation (SD) change = 1.11, 95% confidence interval (CI) 1.05-1.18) and lower odds for excessive screen-based activities (OR for 1 SD better = 0.93, 95% CI 0.88-0.98). Conclusions: Investment into an activity-friendly environment may support the promotion of active life styles in adolescence.</t>
        </is>
      </c>
      <c r="X1745" t="inlineStr">
        <is>
          <t>[Kopcakova, Jaroslava; Veselska, Zuzana Dankulincova; Geckova, Andrea Madarasova] Pavol Josef Safarik Univ Kosice, Fac Med, Dept Hlth Psychol, Tr SNP 1, Kosice 04011, Slovakia; [Kopcakova, Jaroslava; Veselska, Zuzana Dankulincova; Geckova, Andrea Madarasova; van Dijk, Jitse P.] Pavol Josef Safarik Univ Kosice, Grad Sch, Kosice Inst Soc &amp; Hlth, Tr SNP 1, Kosice 04011, Slovakia; [Geckova, Andrea Madarasova; Sigmundova, Dagmar] Palacky Univ Olomouc, Inst Act Lifestyle, Fac Phys Culture, Tr Miru 117, Olomouc 77111, Czech Republic; [Bucksch, Jens] Univ Bielefeld, Sch Publ Hlth, POB 10 01 31, D-33501 Bielefeld, Germany; [Nalecz, Hanna] Jozef Pilsudski Univ Phys Educ, Fac Phys Educ, Marymoncka 34 Str, PL-00968 Warsaw, Poland; [van Dijk, Jitse P.] Palacky Univ Olomouc, Olomouc Univ, Social Hlth Inst, Univ 22, Olomouc 77111, Czech Republic; [van Dijk, Jitse P.] Palacky Univ Olomouc, Fac Med &amp; Dent, Dept Social Med &amp; Publ Hlth, Olomouc 77111, Czech Republic; [van Dijk, Jitse P.; Reijneveld, Sijmen A.] Univ Groningen, Univ Med Ctr Groningen, Dept Community &amp; Occupat Med, A Deusinglaan 1, NL-9713 AV Groningen, Netherlands</t>
        </is>
      </c>
      <c r="Y1745" t="inlineStr">
        <is>
          <t>University of Pavol Jozef Safarik Kosice; University of Pavol Jozef Safarik Kosice; Palacky University Olomouc; University of Bielefeld; Jozef Pilsudski University Physical Education in Warsaw; Palacky University Olomouc; Palacky University Olomouc; University of Groningen</t>
        </is>
      </c>
      <c r="Z1745" t="inlineStr">
        <is>
          <t>Kopcakova, J (corresponding author), Pavol Josef Safarik Univ Kosice, Fac Med, Dept Hlth Psychol, Tr SNP 1, Kosice 04011, Slovakia.;Kopcakova, J (corresponding author), Pavol Josef Safarik Univ Kosice, Grad Sch, Kosice Inst Soc &amp; Hlth, Tr SNP 1, Kosice 04011, Slovakia.</t>
        </is>
      </c>
      <c r="AA1745" t="inlineStr">
        <is>
          <t>jaroslava.kopcakova@upjs.sk; zuzana.veselska@upjs.sk; geckova.andrea.madarasova@upjs.sk; jens.bucksch@hbsc.org; hania.nalecz@hbsc.org; dagmar.sigmundova@upol.cz; j.p.van.dijk@umcg.nl; s.a.reijneveld@umcg.nl</t>
        </is>
      </c>
      <c r="AB1745" t="inlineStr">
        <is>
          <t>Sigmundová, Dagmar/G-6413-2016; Nalecz, Hanna/B-6788-2013; Nalecz, Hanna/IWU-5531-2023; Geckova, Andrea Madarasova/C-4082-2012; Geckova, Andrea Madarasova/AAF-2993-2019; Dankulincova, Zuzana/J-7738-2016</t>
        </is>
      </c>
      <c r="AC1745" t="inlineStr">
        <is>
          <t>Sigmundová, Dagmar/0000-0002-2603-8117; Nalecz, Hanna/0000-0003-0384-6469; Geckova, Andrea Madarasova/0000-0003-2993-3798; Geckova, Andrea Madarasova/0000-0003-2993-3798; Dankulincova, Zuzana/0000-0001-7599-2196; Reijneveld, Sijmen/0000-0002-1206-7523; Kopcakova, Jaroslava/0000-0002-9101-0583</t>
        </is>
      </c>
      <c r="AD1745" t="inlineStr">
        <is>
          <t>Slovak Research and Development Support Agency [APVV-0032-11, APVV-15-0012]; Czech Science Foundation (GACR) [GA14-02804S]; Scientific Grant Agency of the Ministry of Education, Science, Research and Sport of the Slovak Republic; Slovak Academy of Sciences [1/0895/14, 1/0981/15]; National Science Center in Poland [2013/09/B/HS6/03438]</t>
        </is>
      </c>
      <c r="AE1745" t="inlineStr">
        <is>
          <t>Slovak Research and Development Support Agency(Slovak Research and Development Agency); Czech Science Foundation (GACR)(Grant Agency of the Czech Republic); Scientific Grant Agency of the Ministry of Education, Science, Research and Sport of the Slovak Republic; Slovak Academy of Sciences(Slovak Academy of Sciences); National Science Center in Poland(National Science Centre, Poland)</t>
        </is>
      </c>
      <c r="AF1745" t="inlineStr">
        <is>
          <t>This research was supported by the Slovak Research and Development Support Agency under Contract No. APVV-0032-11 and APVV-15-0012 and the Czech Science Foundation (GACR No. GA14-02804S). This work was also supported by the Scientific Grant Agency of the Ministry of Education, Science, Research and Sport of the Slovak Republic and the Slovak Academy of Sciences, reg. no. 1/0895/14 and 1/0981/15 and by the National Science Center in Poland, no. 2013/09/B/HS6/03438.</t>
        </is>
      </c>
      <c r="AH1745" t="n">
        <v>25</v>
      </c>
      <c r="AI1745" t="n">
        <v>9</v>
      </c>
      <c r="AJ1745" t="n">
        <v>11</v>
      </c>
      <c r="AK1745" t="n">
        <v>2</v>
      </c>
      <c r="AL1745" t="n">
        <v>24</v>
      </c>
      <c r="AM1745" t="inlineStr">
        <is>
          <t>MDPI</t>
        </is>
      </c>
      <c r="AN1745" t="inlineStr">
        <is>
          <t>BASEL</t>
        </is>
      </c>
      <c r="AO1745" t="inlineStr">
        <is>
          <t>ST ALBAN-ANLAGE 66, CH-4052 BASEL, SWITZERLAND</t>
        </is>
      </c>
      <c r="AQ1745" t="inlineStr">
        <is>
          <t>1660-4601</t>
        </is>
      </c>
      <c r="AS1745" t="inlineStr">
        <is>
          <t>INT J ENV RES PUB HE</t>
        </is>
      </c>
      <c r="AT1745" t="inlineStr">
        <is>
          <t>Int. J. Environ. Res. Public Health</t>
        </is>
      </c>
      <c r="AU1745" t="inlineStr">
        <is>
          <t>JAN</t>
        </is>
      </c>
      <c r="AV1745" t="n">
        <v>2017</v>
      </c>
      <c r="AW1745" t="n">
        <v>14</v>
      </c>
      <c r="AX1745" t="n">
        <v>1</v>
      </c>
      <c r="BE1745" t="n">
        <v>39</v>
      </c>
      <c r="BF1745" t="inlineStr">
        <is>
          <t>10.3390/ijerph14010039</t>
        </is>
      </c>
      <c r="BG1745">
        <f>HYPERLINK("http://dx.doi.org/10.3390/ijerph14010039","http://dx.doi.org/10.3390/ijerph14010039")</f>
        <v/>
      </c>
      <c r="BJ1745" t="n">
        <v>8</v>
      </c>
      <c r="BK1745" t="inlineStr">
        <is>
          <t>Environmental Sciences; Public, Environmental &amp; Occupational Health</t>
        </is>
      </c>
      <c r="BL1745" t="inlineStr">
        <is>
          <t>Science Citation Index Expanded (SCI-EXPANDED); Social Science Citation Index (SSCI)</t>
        </is>
      </c>
      <c r="BM1745" t="inlineStr">
        <is>
          <t>Environmental Sciences &amp; Ecology; Public, Environmental &amp; Occupational Health</t>
        </is>
      </c>
      <c r="BN1745" t="inlineStr">
        <is>
          <t>EI6AU</t>
        </is>
      </c>
      <c r="BO1745" t="n">
        <v>28054953</v>
      </c>
      <c r="BP1745" t="inlineStr">
        <is>
          <t>Green Submitted, Green Published, gold</t>
        </is>
      </c>
      <c r="BS1745" t="inlineStr">
        <is>
          <t>2023-10-26</t>
        </is>
      </c>
      <c r="BT1745" t="inlineStr">
        <is>
          <t>WOS:000392578200039</t>
        </is>
      </c>
      <c r="BU1745">
        <f>HYPERLINK("https%3A%2F%2Fwww.webofscience.com%2Fwos%2Fwoscc%2Ffull-record%2FWOS:000392578200039","View Full Record in Web of Science")</f>
        <v/>
      </c>
    </row>
    <row r="1746">
      <c r="A1746" t="inlineStr">
        <is>
          <t>J</t>
        </is>
      </c>
      <c r="B1746" t="inlineStr">
        <is>
          <t>Isaacson, M; Tripathi, A; Samanta, T; D'Ambrosio, L; Coughlin, J</t>
        </is>
      </c>
      <c r="F1746" t="inlineStr">
        <is>
          <t>Isaacson, Michal; Tripathi, Ashwin; Samanta, Tannistha; D'Ambrosio, Lisa; Coughlin, Joseph</t>
        </is>
      </c>
      <c r="J1746" t="inlineStr">
        <is>
          <t>INTERNATIONAL JOURNAL OF ENVIRONMENTAL RESEARCH AND PUBLIC HEALTH</t>
        </is>
      </c>
      <c r="M1746" t="inlineStr">
        <is>
          <t>English</t>
        </is>
      </c>
      <c r="N1746" t="inlineStr">
        <is>
          <t>Article</t>
        </is>
      </c>
      <c r="T1746" t="inlineStr">
        <is>
          <t>Giving Voice to the Environment as the Silent Partner in Aging: Examining the Moderating Roles of Gender and Family Structure in Older Adult Wellbeing</t>
        </is>
      </c>
      <c r="U1746" t="inlineStr">
        <is>
          <t>spatial mobility; wellbeing; older adults; family structure; gender; India</t>
        </is>
      </c>
      <c r="V1746" t="inlineStr">
        <is>
          <t>LIVING ARRANGEMENTS; DEVELOPING-WORLD; HEALTH; REFLECTIONS; MOBILITY</t>
        </is>
      </c>
      <c r="W1746" t="inlineStr">
        <is>
          <t>Gerontological scholarship has long seen the environment to be a silent partner in aging. Environmental Gerontology, an established approach in Social Gerontology, has shown how the everyday lives of older adults are deeply entangled in socio-spatial environments. Adopting an Environmental Gerontology approach, we explore social and cultural dimensions of the association between out-of-home mobility and wellbeing among older adults in a north western city of India. This was established by combining high resolution time-space data collected using GPS receivers, questionnaire data and time diaries. Following a multi-staged analytical strategy, we first examine the correlation between out-of-home mobility and wellbeing using bivariate correlation. Second, we introduce gender and family structure into regression models as moderating variables to improve the models' explanatory power. Finally, we use our results to reinterpret the Ecological Press Model of Aging to include familial structure as a factor that moderates environmental stress. Findings emphasize the central role that social constructs play in the long-established relationship between the environment and the wellbeing of older adults.</t>
        </is>
      </c>
      <c r="X1746" t="inlineStr">
        <is>
          <t>[Isaacson, Michal] Univ Haifa, Gerontol Dept, IL-3498838 Haifa, Israel; [Tripathi, Ashwin; Samanta, Tannistha] Indian Inst Technol, Gandhinagar 382355, Gujarat, India; [D'Ambrosio, Lisa; Coughlin, Joseph] MIT, AgeLab, 77 Massachusetts Ave, Cambridge, MA 02139 USA</t>
        </is>
      </c>
      <c r="Y1746" t="inlineStr">
        <is>
          <t>University of Haifa; Indian Institute of Technology System (IIT System); Indian Institute of Technology (IIT) - Gandhinagar; Massachusetts Institute of Technology (MIT)</t>
        </is>
      </c>
      <c r="Z1746" t="inlineStr">
        <is>
          <t>Isaacson, M (corresponding author), Univ Haifa, Gerontol Dept, IL-3498838 Haifa, Israel.</t>
        </is>
      </c>
      <c r="AA1746" t="inlineStr">
        <is>
          <t>Misaacson@univ.haifa.ac.il; ashwin.tripathi@iitgn.ac.in; tannistha@iitgn.ac.in; dambrosi@mit.edu; coughlin@MIT.EDU</t>
        </is>
      </c>
      <c r="AC1746" t="inlineStr">
        <is>
          <t>Tripathi, Ashwin/0000-0001-9584-1301; Isaacson, Michal/0000-0001-7628-0692</t>
        </is>
      </c>
      <c r="AH1746" t="n">
        <v>50</v>
      </c>
      <c r="AI1746" t="n">
        <v>3</v>
      </c>
      <c r="AJ1746" t="n">
        <v>3</v>
      </c>
      <c r="AK1746" t="n">
        <v>1</v>
      </c>
      <c r="AL1746" t="n">
        <v>4</v>
      </c>
      <c r="AM1746" t="inlineStr">
        <is>
          <t>MDPI</t>
        </is>
      </c>
      <c r="AN1746" t="inlineStr">
        <is>
          <t>BASEL</t>
        </is>
      </c>
      <c r="AO1746" t="inlineStr">
        <is>
          <t>ST ALBAN-ANLAGE 66, CH-4052 BASEL, SWITZERLAND</t>
        </is>
      </c>
      <c r="AQ1746" t="inlineStr">
        <is>
          <t>1660-4601</t>
        </is>
      </c>
      <c r="AS1746" t="inlineStr">
        <is>
          <t>INT J ENV RES PUB HE</t>
        </is>
      </c>
      <c r="AT1746" t="inlineStr">
        <is>
          <t>Int. J. Environ. Res. Public Health</t>
        </is>
      </c>
      <c r="AU1746" t="inlineStr">
        <is>
          <t>JUN</t>
        </is>
      </c>
      <c r="AV1746" t="n">
        <v>2020</v>
      </c>
      <c r="AW1746" t="n">
        <v>17</v>
      </c>
      <c r="AX1746" t="n">
        <v>12</v>
      </c>
      <c r="BE1746" t="n">
        <v>4373</v>
      </c>
      <c r="BF1746" t="inlineStr">
        <is>
          <t>10.3390/ijerph17124373</t>
        </is>
      </c>
      <c r="BG1746">
        <f>HYPERLINK("http://dx.doi.org/10.3390/ijerph17124373","http://dx.doi.org/10.3390/ijerph17124373")</f>
        <v/>
      </c>
      <c r="BJ1746" t="n">
        <v>18</v>
      </c>
      <c r="BK1746" t="inlineStr">
        <is>
          <t>Environmental Sciences; Public, Environmental &amp; Occupational Health</t>
        </is>
      </c>
      <c r="BL1746" t="inlineStr">
        <is>
          <t>Science Citation Index Expanded (SCI-EXPANDED); Social Science Citation Index (SSCI)</t>
        </is>
      </c>
      <c r="BM1746" t="inlineStr">
        <is>
          <t>Environmental Sciences &amp; Ecology; Public, Environmental &amp; Occupational Health</t>
        </is>
      </c>
      <c r="BN1746" t="inlineStr">
        <is>
          <t>ML2JY</t>
        </is>
      </c>
      <c r="BO1746" t="n">
        <v>32570808</v>
      </c>
      <c r="BP1746" t="inlineStr">
        <is>
          <t>Green Published, gold</t>
        </is>
      </c>
      <c r="BS1746" t="inlineStr">
        <is>
          <t>2023-10-26</t>
        </is>
      </c>
      <c r="BT1746" t="inlineStr">
        <is>
          <t>WOS:000549300000001</t>
        </is>
      </c>
      <c r="BU1746">
        <f>HYPERLINK("https%3A%2F%2Fwww.webofscience.com%2Fwos%2Fwoscc%2Ffull-record%2FWOS:000549300000001","View Full Record in Web of Science")</f>
        <v/>
      </c>
    </row>
    <row r="1747">
      <c r="A1747" t="inlineStr">
        <is>
          <t>J</t>
        </is>
      </c>
      <c r="B1747" t="inlineStr">
        <is>
          <t>Pichlhöfer, A; Sesto, E; Hollands, J; Korjenic, A</t>
        </is>
      </c>
      <c r="F1747" t="inlineStr">
        <is>
          <t>Pichlhoefer, Alexander; Sesto, Eldira; Hollands, Jutta; Korjenic, Azra</t>
        </is>
      </c>
      <c r="J1747" t="inlineStr">
        <is>
          <t>SUSTAINABILITY</t>
        </is>
      </c>
      <c r="M1747" t="inlineStr">
        <is>
          <t>English</t>
        </is>
      </c>
      <c r="N1747" t="inlineStr">
        <is>
          <t>Article</t>
        </is>
      </c>
      <c r="T1747" t="inlineStr">
        <is>
          <t>Health-Related Benefits of Different Indoor Plant Species in a School Setting</t>
        </is>
      </c>
      <c r="U1747" t="inlineStr">
        <is>
          <t>indoor plants; hygrothermal comfort; indoor air quality (IAQ); healthy classroom environment; carbon dioxide; particulate matter</t>
        </is>
      </c>
      <c r="V1747" t="inlineStr">
        <is>
          <t>AIR-POLLUTION; REMOVAL; HUMIDITY; GREEN; TEMPERATURE; PERCEPTIONS; PERFORMANCE; MICROCOSM; INFLUENZA; SYSTEM</t>
        </is>
      </c>
      <c r="W1747" t="inlineStr">
        <is>
          <t>Humans spend more than 80% of their lives indoors resulting in an increased demand for high indoor air quality (IAQ). At the same time, indoor air tends to be at least twice as polluted as outdoor air, and health threats caused by long-term exposure to indoor air pollution are rising. Few experiments under real-life conditions have demonstrated positive effects of indoor plants on parameters related to IAQ, resulting in improved humidity and temperature, reduced particulate matter concentration and CO2 levels. Indoor living walls allow the presence of many plants-without taking up valuable floor area. This article presents the results of conducted measurements on four do-it-yourself green walls planted with different plant species that are typically used for vertical indoor greenery (golden pothos, Boston fern, spider plant and a combination of plants) in a school setting. Besides the parameters of air humidity and temperature, CO2, mold spore and particulate matter levels, influences on room acoustics were investigated. Based on a custom-developed evaluation matrix, the plants were compared with each other and a reference without plants. The results show that no species led to deterioration of IAQ. Golden pothos had the most substantial effect and delivered improvements in all examined parameters.</t>
        </is>
      </c>
      <c r="X1747" t="inlineStr">
        <is>
          <t>[Pichlhoefer, Alexander; Sesto, Eldira; Hollands, Jutta; Korjenic, Azra] Vienna Univ Technol, Fac Civil Engn, Inst Mat Technol Bldg Phys &amp; Bldg Ecol, Res Unit Ecol Bldg Technol, Karlspl 13-207-3, A-1040 Vienna, Austria</t>
        </is>
      </c>
      <c r="Y1747" t="inlineStr">
        <is>
          <t>Technische Universitat Wien</t>
        </is>
      </c>
      <c r="Z1747" t="inlineStr">
        <is>
          <t>Pichlhöfer, A (corresponding author), Vienna Univ Technol, Fac Civil Engn, Inst Mat Technol Bldg Phys &amp; Bldg Ecol, Res Unit Ecol Bldg Technol, Karlspl 13-207-3, A-1040 Vienna, Austria.</t>
        </is>
      </c>
      <c r="AA1747" t="inlineStr">
        <is>
          <t>alexander.pichlhoefer@tuwien.ac.at; eldira.sesto@tuwien.ac.at; jutta.hollands@tuwien.ac.at; azra.korjenic@tuwien.ac.at</t>
        </is>
      </c>
      <c r="AC1747" t="inlineStr">
        <is>
          <t>Korjenic, Azra/0000-0002-2904-9532</t>
        </is>
      </c>
      <c r="AD1747" t="inlineStr">
        <is>
          <t>project Weiterfuhrende Untersuchungen und Monitoring der grunen Wande am GRG7 Kandlgasse/Further investigations and monitoring of the green walls at GRG7 Kandlgasse - Austrian Federal Ministry for Climate Action, Environment, Energy, Mobility, Innovation [KFI:607419-0002-III-I3-2019]</t>
        </is>
      </c>
      <c r="AE1747" t="inlineStr">
        <is>
          <t>project Weiterfuhrende Untersuchungen und Monitoring der grunen Wande am GRG7 Kandlgasse/Further investigations and monitoring of the green walls at GRG7 Kandlgasse - Austrian Federal Ministry for Climate Action, Environment, Energy, Mobility, Innovation</t>
        </is>
      </c>
      <c r="AF1747" t="inlineStr">
        <is>
          <t>This research was supported by the project Weiterfuhrende Untersuchungen und Monitoring der grunen Wande am GRG7 Kandlgasse/Further investigations and monitoring of the green walls at GRG7 Kandlgasse, KFI:607419-0002-III-I3-2019, funded by the Austrian Federal Ministry for Climate Action, Environment, Energy, Mobility, Innovation and Technology (BMK).</t>
        </is>
      </c>
      <c r="AH1747" t="n">
        <v>59</v>
      </c>
      <c r="AI1747" t="n">
        <v>5</v>
      </c>
      <c r="AJ1747" t="n">
        <v>5</v>
      </c>
      <c r="AK1747" t="n">
        <v>8</v>
      </c>
      <c r="AL1747" t="n">
        <v>60</v>
      </c>
      <c r="AM1747" t="inlineStr">
        <is>
          <t>MDPI</t>
        </is>
      </c>
      <c r="AN1747" t="inlineStr">
        <is>
          <t>BASEL</t>
        </is>
      </c>
      <c r="AO1747" t="inlineStr">
        <is>
          <t>ST ALBAN-ANLAGE 66, CH-4052 BASEL, SWITZERLAND</t>
        </is>
      </c>
      <c r="AQ1747" t="inlineStr">
        <is>
          <t>2071-1050</t>
        </is>
      </c>
      <c r="AS1747" t="inlineStr">
        <is>
          <t>SUSTAINABILITY-BASEL</t>
        </is>
      </c>
      <c r="AT1747" t="inlineStr">
        <is>
          <t>Sustainability</t>
        </is>
      </c>
      <c r="AU1747" t="inlineStr">
        <is>
          <t>SEP</t>
        </is>
      </c>
      <c r="AV1747" t="n">
        <v>2021</v>
      </c>
      <c r="AW1747" t="n">
        <v>13</v>
      </c>
      <c r="AX1747" t="n">
        <v>17</v>
      </c>
      <c r="BE1747" t="n">
        <v>9566</v>
      </c>
      <c r="BF1747" t="inlineStr">
        <is>
          <t>10.3390/su13179566</t>
        </is>
      </c>
      <c r="BG1747">
        <f>HYPERLINK("http://dx.doi.org/10.3390/su13179566","http://dx.doi.org/10.3390/su13179566")</f>
        <v/>
      </c>
      <c r="BJ1747" t="n">
        <v>28</v>
      </c>
      <c r="BK1747" t="inlineStr">
        <is>
          <t>Green &amp; Sustainable Science &amp; Technology; Environmental Sciences; Environmental Studies</t>
        </is>
      </c>
      <c r="BL1747" t="inlineStr">
        <is>
          <t>Science Citation Index Expanded (SCI-EXPANDED); Social Science Citation Index (SSCI)</t>
        </is>
      </c>
      <c r="BM1747" t="inlineStr">
        <is>
          <t>Science &amp; Technology - Other Topics; Environmental Sciences &amp; Ecology</t>
        </is>
      </c>
      <c r="BN1747" t="inlineStr">
        <is>
          <t>UO2CX</t>
        </is>
      </c>
      <c r="BP1747" t="inlineStr">
        <is>
          <t>Green Submitted, gold</t>
        </is>
      </c>
      <c r="BS1747" t="inlineStr">
        <is>
          <t>2023-10-26</t>
        </is>
      </c>
      <c r="BT1747" t="inlineStr">
        <is>
          <t>WOS:000694508900001</t>
        </is>
      </c>
      <c r="BU1747">
        <f>HYPERLINK("https%3A%2F%2Fwww.webofscience.com%2Fwos%2Fwoscc%2Ffull-record%2FWOS:000694508900001","View Full Record in Web of Science")</f>
        <v/>
      </c>
    </row>
    <row r="1748">
      <c r="A1748" t="inlineStr">
        <is>
          <t>J</t>
        </is>
      </c>
      <c r="B1748" t="inlineStr">
        <is>
          <t>Li, L; Hughes, L; Arnot, JA</t>
        </is>
      </c>
      <c r="F1748" t="inlineStr">
        <is>
          <t>Li, Li; Hughes, Lauren; Arnot, Jon A.</t>
        </is>
      </c>
      <c r="J1748" t="inlineStr">
        <is>
          <t>ENVIRONMENT INTERNATIONAL</t>
        </is>
      </c>
      <c r="M1748" t="inlineStr">
        <is>
          <t>English</t>
        </is>
      </c>
      <c r="N1748" t="inlineStr">
        <is>
          <t>Article</t>
        </is>
      </c>
      <c r="T1748" t="inlineStr">
        <is>
          <t>Addressing uncertainty in mouthing-mediated ingestion of chemicals on indoor surfaces, objects, and dust</t>
        </is>
      </c>
      <c r="U1748" t="inlineStr">
        <is>
          <t>Mouthing-mediated ingestion; Dust; Hand-to-mouth; Object-to-mouth; Hand loading; Handwipe</t>
        </is>
      </c>
      <c r="V1748" t="inlineStr">
        <is>
          <t>CHILDRENS RESIDENTIAL EXPOSURE; FLAME RETARDANTS; FREQUENCY DATA; HAND WIPES; GAS-PHASE; METAANALYSIS; HANDWIPES; RATES; AIR; ASSOCIATIONS</t>
        </is>
      </c>
      <c r="W1748" t="inlineStr">
        <is>
          <t>In indoor environments, humans ingest chemicals present as surface residues and bound to settled particles (dust), through mouthing hands (hand-to-mouth transfer) and objects (object-to-mouth transfer). Here, we introduce a novel modeling approach in support of systematic investigation into the mouthing-mediated ingestion of chemicals present in indoor environments. This model explicitly considers the indoor dynamics of dust and chemicals, building on mechanistic links with physicochemical properties of chemicals, features of the indoor environment, and human activity patterns. The evaluation of this model demonstrates that it satisfactorily reproduces chemical hand loadings and exposure data reported in the literature. We then use the evaluated model to investigate the response of mouthing-mediated ingestion to chemical partitioning between the gas phase and solid phases, expressed as the octanol-air partition coefficient (KOA). Assuming a unit emission rate to the indoor environment, we find that low-volatility chemicals (with a KOA greater than 109) are more efficiently enriched in hand skin, resulting in higher mouthing-mediated ingestion than other compounds. For individuals living in a room with a typical level of dustiness, more than half of the chemical mass found in their hands comes from dust transfer, whereas more than half of the chemical mass ingested is the fraction present as residues on hands. We also use the new model to explore how the mouthing-mediated ingestion of chemicals is dependent on factors describing the indoor environment and human behavior. The model predicts that less frequent cleaning leads to higher accumulation of dust on indoor surfaces, thereby transferring more chemicals to hands and mouth in each contact. Introducing more dust into the room, but maintaining the same cleanup frequency, increases the dustiness of indoor surfaces, which promotes the transfer of relatively volatile chemicals (with a KOA lower than 109) to hands and mouth but decreases the transfer of chemicals with low volatility. More frequent hand contact with indoor surfaces increases both the hand loading and mouthing-mediated ingestion of chemicals, but the increases are more remarkable for adults than children because the higher surface contact frequency of children saturates hand loadings. An increase in handwashing frequency lowers the hand loading and mouthingmediated ingestion of chemicals and this mitigating process is more prominent for relatively volatile chemicals. The new evaluated modeling approach can facilitate the prediction of mouthing-mediated ingestion for various age groups and the model predictions can be used to aid future fate and (bio)monitoring studies focusing on indoor contamination.</t>
        </is>
      </c>
      <c r="X1748" t="inlineStr">
        <is>
          <t>[Li, Li] Univ Nevada Reno, Sch Community Hlth Sci, Reno, NV 89557 USA; [Hughes, Lauren; Arnot, Jon A.] ARC Arnot Res &amp; Consulting, Toronto, ON M4M 1W4, Canada; [Arnot, Jon A.] Univ Toronto Scarborough, Dept Phys &amp; Environm Sci, Toronto, ON M1C 1A4, Canada; [Arnot, Jon A.] Univ Toronto, Dept Pharmacol &amp; Toxicol, Toronto, ON M5S 1A8, Canada</t>
        </is>
      </c>
      <c r="Y1748" t="inlineStr">
        <is>
          <t>Nevada System of Higher Education (NSHE); University of Nevada Reno; University of Toronto; University Toronto Scarborough; University of Toronto</t>
        </is>
      </c>
      <c r="Z1748" t="inlineStr">
        <is>
          <t>Li, L (corresponding author), 1664 N Virginia St,Mail Stop 0274, Reno, NV 89557 USA.</t>
        </is>
      </c>
      <c r="AA1748" t="inlineStr">
        <is>
          <t>lili@unr.edu</t>
        </is>
      </c>
      <c r="AB1748" t="inlineStr">
        <is>
          <t>Li, Li/AAH-4031-2019</t>
        </is>
      </c>
      <c r="AC1748" t="inlineStr">
        <is>
          <t>Li, Li/0000-0002-5157-7366</t>
        </is>
      </c>
      <c r="AD1748" t="inlineStr">
        <is>
          <t>American Chemistry Council Long-Range Research Initiative program</t>
        </is>
      </c>
      <c r="AE1748" t="inlineStr">
        <is>
          <t>American Chemistry Council Long-Range Research Initiative program</t>
        </is>
      </c>
      <c r="AF1748" t="inlineStr">
        <is>
          <t>The authors acknowledge funding from the American Chemistry Council Long-Range Research Initiative program. This publication has not been formally reviewed by the American Chemistry Council. The views expressed in this document are solely those of the authors.</t>
        </is>
      </c>
      <c r="AH1748" t="n">
        <v>65</v>
      </c>
      <c r="AI1748" t="n">
        <v>17</v>
      </c>
      <c r="AJ1748" t="n">
        <v>17</v>
      </c>
      <c r="AK1748" t="n">
        <v>0</v>
      </c>
      <c r="AL1748" t="n">
        <v>17</v>
      </c>
      <c r="AM1748" t="inlineStr">
        <is>
          <t>PERGAMON-ELSEVIER SCIENCE LTD</t>
        </is>
      </c>
      <c r="AN1748" t="inlineStr">
        <is>
          <t>OXFORD</t>
        </is>
      </c>
      <c r="AO1748" t="inlineStr">
        <is>
          <t>THE BOULEVARD, LANGFORD LANE, KIDLINGTON, OXFORD OX5 1GB, ENGLAND</t>
        </is>
      </c>
      <c r="AP1748" t="inlineStr">
        <is>
          <t>0160-4120</t>
        </is>
      </c>
      <c r="AQ1748" t="inlineStr">
        <is>
          <t>1873-6750</t>
        </is>
      </c>
      <c r="AS1748" t="inlineStr">
        <is>
          <t>ENVIRON INT</t>
        </is>
      </c>
      <c r="AT1748" t="inlineStr">
        <is>
          <t>Environ. Int.</t>
        </is>
      </c>
      <c r="AU1748" t="inlineStr">
        <is>
          <t>JAN</t>
        </is>
      </c>
      <c r="AV1748" t="n">
        <v>2021</v>
      </c>
      <c r="AW1748" t="n">
        <v>146</v>
      </c>
      <c r="BE1748" t="n">
        <v>106266</v>
      </c>
      <c r="BF1748" t="inlineStr">
        <is>
          <t>10.1016/j.envint.2020.106266</t>
        </is>
      </c>
      <c r="BG1748">
        <f>HYPERLINK("http://dx.doi.org/10.1016/j.envint.2020.106266","http://dx.doi.org/10.1016/j.envint.2020.106266")</f>
        <v/>
      </c>
      <c r="BJ1748" t="n">
        <v>12</v>
      </c>
      <c r="BK1748" t="inlineStr">
        <is>
          <t>Environmental Sciences</t>
        </is>
      </c>
      <c r="BL1748" t="inlineStr">
        <is>
          <t>Science Citation Index Expanded (SCI-EXPANDED); Social Science Citation Index (SSCI)</t>
        </is>
      </c>
      <c r="BM1748" t="inlineStr">
        <is>
          <t>Environmental Sciences &amp; Ecology</t>
        </is>
      </c>
      <c r="BN1748" t="inlineStr">
        <is>
          <t>PN6ZP</t>
        </is>
      </c>
      <c r="BO1748" t="n">
        <v>33395928</v>
      </c>
      <c r="BP1748" t="inlineStr">
        <is>
          <t>gold</t>
        </is>
      </c>
      <c r="BS1748" t="inlineStr">
        <is>
          <t>2023-10-26</t>
        </is>
      </c>
      <c r="BT1748" t="inlineStr">
        <is>
          <t>WOS:000604625600004</t>
        </is>
      </c>
      <c r="BU1748">
        <f>HYPERLINK("https%3A%2F%2Fwww.webofscience.com%2Fwos%2Fwoscc%2Ffull-record%2FWOS:000604625600004","View Full Record in Web of Science")</f>
        <v/>
      </c>
    </row>
    <row r="1749">
      <c r="A1749" t="inlineStr">
        <is>
          <t>J</t>
        </is>
      </c>
      <c r="B1749" t="inlineStr">
        <is>
          <t>Yao, YJ; Xiao, YT; Luo, J; Wang, GF; Ström, J; Suuberg, E</t>
        </is>
      </c>
      <c r="F1749" t="inlineStr">
        <is>
          <t>Yao, Yijun; Xiao, Yuting; Luo, Jian; Wang, Genfu; Strom, Jonathan; Suuberg, Eric</t>
        </is>
      </c>
      <c r="J1749" t="inlineStr">
        <is>
          <t>SCIENCE OF THE TOTAL ENVIRONMENT</t>
        </is>
      </c>
      <c r="M1749" t="inlineStr">
        <is>
          <t>English</t>
        </is>
      </c>
      <c r="N1749" t="inlineStr">
        <is>
          <t>Article</t>
        </is>
      </c>
      <c r="T1749" t="inlineStr">
        <is>
          <t>High-frequency fluctuations of indoor pressure: A potential driving force for vapor intrusion in urban areas</t>
        </is>
      </c>
      <c r="U1749" t="inlineStr">
        <is>
          <t>Vapor intrusion; Indoor pressure fluctuation; Numerical simulation; Risk assessment</t>
        </is>
      </c>
      <c r="V1749" t="inlineStr">
        <is>
          <t>CONTAMINANT SUBSLAB CONCENTRATION; 2-DIMENSIONAL ANALYTICAL-MODEL; SOIL TEXTURE; GROUNDWATER; BUILDINGS; TRANSPORT; DRIVEN; ENTRY; BIODEGRADATION; BASEMENT</t>
        </is>
      </c>
      <c r="W1749" t="inlineStr">
        <is>
          <t>In this study, we examine the impact of a building's indoor pressure fluctuations in drawing subsurface volatile contaminants into the building, and how the presence of an impervious pavement surrounding the building influences this. Even in the absence of communication between the subsurface soil gas and ambient air fluctuations of building indoor pressure can cause upward advection of contaminated soil gas from the subfoundation zone into a building. For cases with the paved ground surface, the simulated volumetric soil gas entry rates are lower than steady-state cases with constant -5 indoor-outdoor pressure difference, by at least half an order of magnitude. When the indoor pressure fluctuation rate exceeds about 5 Path (which corresponds a sinusoidal fluctuation with a period of 2 h), the predicted indoor air concentration of paved scenarios will be higher than the conventional case. When both the building foundation and surrounding pavement block diffusional escape of the volatile soil gas contaminants to the atmosphere, high subfoundation soil gas contaminant concentrations can exist, and contaminant entry into the building through foundation breaches is enhanced beyond what would be expected from diffusion as the building undergoes normal pressure cycling. Upward advection into the building may be induced even when the indoor pressure appears, based on limited measurements, to be higher than that in the subslab, particularly when the indoor pressure in the building quickly fluctuates. This represents a limitation on VI mitigation approaches that rely on indoor pressurization, if those approaches cannot at the same time control significant fluctuation of indoor pressure. (C) 2019 Published by Elsevier B.V.</t>
        </is>
      </c>
      <c r="X1749" t="inlineStr">
        <is>
          <t>[Yao, Yijun; Xiao, Yuting; Wang, Genfu] Chinese Acad Sci, Inst Soil Sci, Key Lab Soil Environm &amp; Pollut Remediat, Nanjing 210008, Peoples R China; [Yao, Yijun; Xiao, Yuting] Univ Chinese Acad Sci, Beijing 100049, Peoples R China; [Luo, Jian] Georgia Inst Technol, Sch Civil &amp; Environm Engn, Atlanta, GA 30332 USA; [Strom, Jonathan; Suuberg, Eric] Brown Univ, Sch Engn, Providence, RI 02912 USA</t>
        </is>
      </c>
      <c r="Y1749" t="inlineStr">
        <is>
          <t>Chinese Academy of Sciences; Institute of Soil Science, CAS; Chinese Academy of Sciences; University of Chinese Academy of Sciences, CAS; University System of Georgia; Georgia Institute of Technology; Brown University</t>
        </is>
      </c>
      <c r="Z1749" t="inlineStr">
        <is>
          <t>Yao, YJ (corresponding author), Chinese Acad Sci, Inst Soil Sci, Key Lab Soil Environm &amp; Pollut Remediat, Nanjing 210008, Peoples R China.</t>
        </is>
      </c>
      <c r="AA1749" t="inlineStr">
        <is>
          <t>Yijun_Yao@issas.ac.cn</t>
        </is>
      </c>
      <c r="AB1749" t="inlineStr">
        <is>
          <t>Yao, Yijun/C-4232-2013; Suuberg, Eric Michael/AGF-8232-2022</t>
        </is>
      </c>
      <c r="AC1749" t="inlineStr">
        <is>
          <t>Yao, Yijun/0000-0001-5827-8716;</t>
        </is>
      </c>
      <c r="AD1749" t="inlineStr">
        <is>
          <t>National Key Research and Development Programof China [2018YFC1801100]; National Natural Science Foundation of China [41771494]; National Institute of Environmental Health Sciences [P42ES013660]</t>
        </is>
      </c>
      <c r="AE1749" t="inlineStr">
        <is>
          <t>National Key Research and Development Programof China; National Natural Science Foundation of China(National Natural Science Foundation of China (NSFC)); National Institute of Environmental Health Sciences(United States Department of Health &amp; Human ServicesNational Institutes of Health (NIH) - USANIH National Institute of Environmental Health Sciences (NIEHS))</t>
        </is>
      </c>
      <c r="AF1749" t="inlineStr">
        <is>
          <t>This work was funded in part by National Key Research and Development Programof China (no. 2018YFC1801100); National Natural Science Foundation of China (no. 41771494) and National Institute of Environmental Health Sciences (no. P42ES013660).</t>
        </is>
      </c>
      <c r="AH1749" t="n">
        <v>41</v>
      </c>
      <c r="AI1749" t="n">
        <v>3</v>
      </c>
      <c r="AJ1749" t="n">
        <v>5</v>
      </c>
      <c r="AK1749" t="n">
        <v>2</v>
      </c>
      <c r="AL1749" t="n">
        <v>39</v>
      </c>
      <c r="AM1749" t="inlineStr">
        <is>
          <t>ELSEVIER</t>
        </is>
      </c>
      <c r="AN1749" t="inlineStr">
        <is>
          <t>AMSTERDAM</t>
        </is>
      </c>
      <c r="AO1749" t="inlineStr">
        <is>
          <t>RADARWEG 29, 1043 NX AMSTERDAM, NETHERLANDS</t>
        </is>
      </c>
      <c r="AP1749" t="inlineStr">
        <is>
          <t>0048-9697</t>
        </is>
      </c>
      <c r="AQ1749" t="inlineStr">
        <is>
          <t>1879-1026</t>
        </is>
      </c>
      <c r="AS1749" t="inlineStr">
        <is>
          <t>SCI TOTAL ENVIRON</t>
        </is>
      </c>
      <c r="AT1749" t="inlineStr">
        <is>
          <t>Sci. Total Environ.</t>
        </is>
      </c>
      <c r="AU1749" t="inlineStr">
        <is>
          <t>MAR 25</t>
        </is>
      </c>
      <c r="AV1749" t="n">
        <v>2020</v>
      </c>
      <c r="AW1749" t="n">
        <v>710</v>
      </c>
      <c r="BE1749" t="n">
        <v>136309</v>
      </c>
      <c r="BF1749" t="inlineStr">
        <is>
          <t>10.1016/j.scitotenv.2019.136309</t>
        </is>
      </c>
      <c r="BG1749">
        <f>HYPERLINK("http://dx.doi.org/10.1016/j.scitotenv.2019.136309","http://dx.doi.org/10.1016/j.scitotenv.2019.136309")</f>
        <v/>
      </c>
      <c r="BJ1749" t="n">
        <v>10</v>
      </c>
      <c r="BK1749" t="inlineStr">
        <is>
          <t>Environmental Sciences</t>
        </is>
      </c>
      <c r="BL1749" t="inlineStr">
        <is>
          <t>Science Citation Index Expanded (SCI-EXPANDED)</t>
        </is>
      </c>
      <c r="BM1749" t="inlineStr">
        <is>
          <t>Environmental Sciences &amp; Ecology</t>
        </is>
      </c>
      <c r="BN1749" t="inlineStr">
        <is>
          <t>KI1EZ</t>
        </is>
      </c>
      <c r="BO1749" t="n">
        <v>31926413</v>
      </c>
      <c r="BP1749" t="inlineStr">
        <is>
          <t>Green Accepted</t>
        </is>
      </c>
      <c r="BS1749" t="inlineStr">
        <is>
          <t>2023-10-26</t>
        </is>
      </c>
      <c r="BT1749" t="inlineStr">
        <is>
          <t>WOS:000511088800067</t>
        </is>
      </c>
      <c r="BU1749">
        <f>HYPERLINK("https%3A%2F%2Fwww.webofscience.com%2Fwos%2Fwoscc%2Ffull-record%2FWOS:000511088800067","View Full Record in Web of Science")</f>
        <v/>
      </c>
    </row>
    <row r="1750">
      <c r="A1750" t="inlineStr">
        <is>
          <t>J</t>
        </is>
      </c>
      <c r="B1750" t="inlineStr">
        <is>
          <t>Watanabe, D; Yoshida, T; Yokoyama, K; Yoshinaka, Y; Watanabe, Y; Kikutani, T; Yoshida, M; Yamada, Y; Kimura, M</t>
        </is>
      </c>
      <c r="F1750" t="inlineStr">
        <is>
          <t>Watanabe, Daiki; Yoshida, Tsukasa; Yokoyama, Keiichi; Yoshinaka, Yasuko; Watanabe, Yuya; Kikutani, Takeshi; Yoshida, Mitsuyoshi; Yamada, Yosuke; Kimura, Misaka</t>
        </is>
      </c>
      <c r="H1750" t="inlineStr">
        <is>
          <t>Kyoto-Kameoka Study Grp</t>
        </is>
      </c>
      <c r="J1750" t="inlineStr">
        <is>
          <t>INTERNATIONAL JOURNAL OF ENVIRONMENTAL RESEARCH AND PUBLIC HEALTH</t>
        </is>
      </c>
      <c r="M1750" t="inlineStr">
        <is>
          <t>English</t>
        </is>
      </c>
      <c r="N1750" t="inlineStr">
        <is>
          <t>Article</t>
        </is>
      </c>
      <c r="T1750" t="inlineStr">
        <is>
          <t>Association between Mixing Ability of Masticatory Functions Measured Using Color-Changing Chewing Gum and Frailty among Japanese Older Adults: The Kyoto-Kameoka Study</t>
        </is>
      </c>
      <c r="U1750" t="inlineStr">
        <is>
          <t>mixing ability; color-changing chewing gum; frailty; older adults; cross-sectional study</t>
        </is>
      </c>
      <c r="V1750" t="inlineStr">
        <is>
          <t>GLOBAL ORAL-HEALTH; CLINICAL-PRACTICE; PEOPLE; DISABILITY; MORTALITY; DISEASE; COHORT; DEATH; CALL</t>
        </is>
      </c>
      <c r="W1750" t="inlineStr">
        <is>
          <t>The relationship between mixing ability of masticatory functions and frailty has not been well evaluated. This study investigated the prevalence of physical and comprehensive frailty and its association with mixing ability in 1106 older adults aged &gt;= 65 years who underwent physical examination as part of the Japanese Kyoto-Kameoka Study. Mixing ability was assessed using color-changing chewing gum (1-5 points, 5 representing the best mixing ability). Participants were divided into four groups (5 points, 4 points, 3 points, and 1 or 2 points). The modified Japanese versions of the Cardiovascular Health Study (mJ-CHS) criteria and the validated Kihon Checklist (KCL) were used to assess physical and comprehensive frailty, respectively. Multivariate logistic regression was used to evaluate the association between frailty and mixing ability. The prevalence of physical and comprehensive frailty was 11.8% and 27.9%, respectively. After adjusting for confounders, the odds ratios of physical and comprehensive frailty comparing the highest to the lowest chewing gum score groups were 3.64 (95% confidence interval (CI): 1.62 to 8.18;pfor trend = 0.001) and 2.09 (95% CI: 1.09 to 4.03;pfor trend = 0.009), respectively. Mixing-ability tests involving chewing gum may be an indicator associated with both physical and comprehensive frailty.</t>
        </is>
      </c>
      <c r="X1750" t="inlineStr">
        <is>
          <t>[Watanabe, Daiki; Yoshida, Tsukasa; Watanabe, Yuya; Yamada, Yosuke] Natl Inst Hlth &amp; Nutr, Natl Inst Biomed Innovat Hlth &amp; Nutr, Tokyo 1628636, Japan; [Watanabe, Daiki; Yoshida, Tsukasa; Yokoyama, Keiichi; Yamada, Yosuke; Kimura, Misaka] Kyoto Univ Adv Sci, Inst Act Hlth, Kyoto 6218555, Japan; [Yoshida, Tsukasa; Yokoyama, Keiichi; Watanabe, Yuya; Yamada, Yosuke; Kimura, Misaka] Kyoto Prefectural Univ Med, Lab Appl Hlth Sci, Kyoto 6028566, Japan; [Yoshida, Tsukasa] Kameoka City Govt, Senior Citizens Welf Sect, Kyoto 6218501, Japan; [Yoshinaka, Yasuko] Kyoto Univ Adv Sci, Ctr Fac Dev, Kyoto 6218555, Japan; [Watanabe, Yuya] Doshisha Univ, Fac Hlth &amp; Sports Sci, Kyoto 6100394, Japan; [Kikutani, Takeshi] Nippon Dent Univ Tokyo, Div Rehabil Speech &amp; Swallowing Disorders, Tokyo 1840011, Japan; [Yoshida, Mitsuyoshi] Hiroshima Univ, Dept Adv Prosthodont, Grad Sch Biomed &amp; Hlth Sci, Hiroshima 7390046, Japan; [Kimura, Misaka] Doshisha Womens Coll Liberal Arts, Dept Nursing, Kyoto 6100395, Japan</t>
        </is>
      </c>
      <c r="Y1750" t="inlineStr">
        <is>
          <t>National Institute of Health &amp; Nutrition - Japan; Kyoto Prefectural University of Medicine; Doshisha University; Nippon Dental University; Hiroshima University</t>
        </is>
      </c>
      <c r="Z1750" t="inlineStr">
        <is>
          <t>Watanabe, D (corresponding author), Natl Inst Hlth &amp; Nutr, Natl Inst Biomed Innovat Hlth &amp; Nutr, Tokyo 1628636, Japan.;Watanabe, D; Kimura, M (corresponding author), Kyoto Univ Adv Sci, Inst Act Hlth, Kyoto 6218555, Japan.;Kimura, M (corresponding author), Kyoto Prefectural Univ Med, Lab Appl Hlth Sci, Kyoto 6028566, Japan.;Kimura, M (corresponding author), Doshisha Womens Coll Liberal Arts, Dept Nursing, Kyoto 6100395, Japan.</t>
        </is>
      </c>
      <c r="AA1750" t="inlineStr">
        <is>
          <t>d2watanabe@nibiohn.go.jp; t-yoshida@nibiohn.go.jp; physiol.yokoyama@gmail.com; yoshinaka.yasuko@kuas.ac.jp; yuwatana@mail.doshisha.ac.jp; kikutani@tokyo.ndu.ac.jp; mitsu@hiroshima-u.ac.jp; yamaday@nibiohn.go.jp; kimura.misaka@kuas.ac.jp</t>
        </is>
      </c>
      <c r="AB1750" t="inlineStr">
        <is>
          <t>Yamada, Yosuke/AAX-7073-2020; Kikutani, Takeshi/ABA-3337-2020; Kikutani, Takeshi/AAI-9024-2021; Daiki, Watanabe/ACT-7855-2022; Yoshida, Tsukasa/AFN-8818-2022</t>
        </is>
      </c>
      <c r="AC1750" t="inlineStr">
        <is>
          <t>Yamada, Yosuke/0000-0002-4284-6317; Kikutani, Takeshi/0000-0003-3815-5545; Daiki, Watanabe/0000-0001-5644-1428; Yoshida, Tsukasa/0000-0003-2304-6872</t>
        </is>
      </c>
      <c r="AD1750" t="inlineStr">
        <is>
          <t>JSPS KAKENHI [24240091, 15H05363]; Grants-in-Aid for Scientific Research [15H05363] Funding Source: KAKEN</t>
        </is>
      </c>
      <c r="AE1750" t="inlineStr">
        <is>
          <t>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is>
      </c>
      <c r="AF1750" t="inlineStr">
        <is>
          <t>This work was supported by JSPS KAKENHI grant numbers 24240091 and 15H05363. In addition, we were supported by the Kyoto Prefecture Community-based Integrated older adults Care Systems Promotion Organization since 2011.</t>
        </is>
      </c>
      <c r="AH1750" t="n">
        <v>44</v>
      </c>
      <c r="AI1750" t="n">
        <v>14</v>
      </c>
      <c r="AJ1750" t="n">
        <v>14</v>
      </c>
      <c r="AK1750" t="n">
        <v>1</v>
      </c>
      <c r="AL1750" t="n">
        <v>11</v>
      </c>
      <c r="AM1750" t="inlineStr">
        <is>
          <t>MDPI</t>
        </is>
      </c>
      <c r="AN1750" t="inlineStr">
        <is>
          <t>BASEL</t>
        </is>
      </c>
      <c r="AO1750" t="inlineStr">
        <is>
          <t>ST ALBAN-ANLAGE 66, CH-4052 BASEL, SWITZERLAND</t>
        </is>
      </c>
      <c r="AQ1750" t="inlineStr">
        <is>
          <t>1660-4601</t>
        </is>
      </c>
      <c r="AS1750" t="inlineStr">
        <is>
          <t>INT J ENV RES PUB HE</t>
        </is>
      </c>
      <c r="AT1750" t="inlineStr">
        <is>
          <t>Int. J. Environ. Res. Public Health</t>
        </is>
      </c>
      <c r="AU1750" t="inlineStr">
        <is>
          <t>JUN</t>
        </is>
      </c>
      <c r="AV1750" t="n">
        <v>2020</v>
      </c>
      <c r="AW1750" t="n">
        <v>17</v>
      </c>
      <c r="AX1750" t="n">
        <v>12</v>
      </c>
      <c r="BE1750" t="n">
        <v>4555</v>
      </c>
      <c r="BF1750" t="inlineStr">
        <is>
          <t>10.3390/ijerph17124555</t>
        </is>
      </c>
      <c r="BG1750">
        <f>HYPERLINK("http://dx.doi.org/10.3390/ijerph17124555","http://dx.doi.org/10.3390/ijerph17124555")</f>
        <v/>
      </c>
      <c r="BJ1750" t="n">
        <v>14</v>
      </c>
      <c r="BK1750" t="inlineStr">
        <is>
          <t>Environmental Sciences; Public, Environmental &amp; Occupational Health</t>
        </is>
      </c>
      <c r="BL1750" t="inlineStr">
        <is>
          <t>Science Citation Index Expanded (SCI-EXPANDED); Social Science Citation Index (SSCI)</t>
        </is>
      </c>
      <c r="BM1750" t="inlineStr">
        <is>
          <t>Environmental Sciences &amp; Ecology; Public, Environmental &amp; Occupational Health</t>
        </is>
      </c>
      <c r="BN1750" t="inlineStr">
        <is>
          <t>ML1XI</t>
        </is>
      </c>
      <c r="BO1750" t="n">
        <v>32599944</v>
      </c>
      <c r="BP1750" t="inlineStr">
        <is>
          <t>gold, Green Published</t>
        </is>
      </c>
      <c r="BS1750" t="inlineStr">
        <is>
          <t>2023-10-26</t>
        </is>
      </c>
      <c r="BT1750" t="inlineStr">
        <is>
          <t>WOS:000549267200001</t>
        </is>
      </c>
      <c r="BU1750">
        <f>HYPERLINK("https%3A%2F%2Fwww.webofscience.com%2Fwos%2Fwoscc%2Ffull-record%2FWOS:000549267200001","View Full Record in Web of Science")</f>
        <v/>
      </c>
    </row>
    <row r="1751">
      <c r="A1751" t="inlineStr">
        <is>
          <t>J</t>
        </is>
      </c>
      <c r="B1751" t="inlineStr">
        <is>
          <t>Kang, K; Kim, T; Kim, H</t>
        </is>
      </c>
      <c r="F1751" t="inlineStr">
        <is>
          <t>Kang, Kyungmo; Kim, Taeyeon; Kim, Hyungkeun</t>
        </is>
      </c>
      <c r="J1751" t="inlineStr">
        <is>
          <t>JOURNAL OF HAZARDOUS MATERIALS</t>
        </is>
      </c>
      <c r="M1751" t="inlineStr">
        <is>
          <t>English</t>
        </is>
      </c>
      <c r="N1751" t="inlineStr">
        <is>
          <t>Article</t>
        </is>
      </c>
      <c r="T1751" t="inlineStr">
        <is>
          <t>Effect of indoor and outdoor sources on indoor particle concentrations in South Korean residential buildings</t>
        </is>
      </c>
      <c r="U1751" t="inlineStr">
        <is>
          <t>Particle Number Concentration; I; O ratio; Particle exposure; Residential apartments; Indoor air pollution sources; Outdoor air pollution sources</t>
        </is>
      </c>
      <c r="V1751" t="inlineStr">
        <is>
          <t>PARTICULATE MATTER; ULTRAFINE PARTICLES; PENETRATION COEFFICIENT; NATURAL VENTILATION; RURAL HOUSEHOLDS; AIR-POLLUTION; COOKING; FINE; PM2.5; EXPOSURES</t>
        </is>
      </c>
      <c r="W1751" t="inlineStr">
        <is>
          <t>The rising indoor air pollution from particles is a cause for concern especially in houses where children and the elderly reside. In South Korea, assessment of exposure to particle number (PN) in residential apartments, which account for 76% of all houses, is limited. In our study, the indoor and outdoor PN (sizes 0.3-10.0 &amp; micro;m) concentrations were measured in ten typical apartments for 24 h each. In addition, the occupants' schedules were examined by conducting a survey. Results showed that the average outdoor PN concentrations were 0.30-4.37 &amp; times; 109/m3 with very large deviations. Indoor peak events were mainly caused by cooking, and total emitted particles were 0.01-81.3 &amp; times; 1013 particles. Indoor PN concentrations were sustained for a long time because of inefficient ventilation that led to lowered attenuation. Indoor particles are generated during various indoor activities. The daily-integrated particle exposures were 21.4% and 78.6% for indoor and outdoor sources, respectively. Thus, outdoor sources were the predominant sources of particle exposure compared with indoor sources. In conclusion, penetration from outdoor sources needs to be reduced by adding air filtration to improve the airtightness of buildings when introducing outdoor air to lower the indoor PN concentration.</t>
        </is>
      </c>
      <c r="X1751" t="inlineStr">
        <is>
          <t>[Kang, Kyungmo; Kim, Taeyeon; Kim, Hyungkeun] Yonsei Univ, Dept Architecture &amp; Architectural Engn, Seoul 03722, South Korea; [Kang, Kyungmo] Korea Inst Construct Technol, Dept Living &amp; Built Environm Res, Go Yang 10223, South Korea</t>
        </is>
      </c>
      <c r="Y1751" t="inlineStr">
        <is>
          <t>Yonsei University</t>
        </is>
      </c>
      <c r="Z1751" t="inlineStr">
        <is>
          <t>Kim, T (corresponding author), Yonsei Univ, Dept Architecture &amp; Architectural Engn, Seoul 03722, South Korea.</t>
        </is>
      </c>
      <c r="AA1751" t="inlineStr">
        <is>
          <t>tkim@yonsei.ac.kr</t>
        </is>
      </c>
      <c r="AB1751" t="inlineStr">
        <is>
          <t>Kang, Kyungmo/AAB-7920-2022</t>
        </is>
      </c>
      <c r="AC1751" t="inlineStr">
        <is>
          <t>Kang, Kyungmo/0000-0003-2984-5739</t>
        </is>
      </c>
      <c r="AD1751" t="inlineStr">
        <is>
          <t>National Research Foundation of Korea (NRF) - Korean government (MSIT) [2019M3E7A1113090]; National Research Foundation of Korea (NRF) - Korean government (MOE) [2019M3E7A1113090]</t>
        </is>
      </c>
      <c r="AE1751" t="inlineStr">
        <is>
          <t>National Research Foundation of Korea (NRF) - Korean government (MSIT)(National Research Foundation of KoreaMinistry of Science &amp; ICT (MSIT), Republic of Korea); National Research Foundation of Korea (NRF) - Korean government (MOE)(National Research Foundation of Korea)</t>
        </is>
      </c>
      <c r="AF1751" t="inlineStr">
        <is>
          <t>Acknowledegments This work was supported by the National Research Foundation of Korea (NRF) grant funded by the Korean government (MSIT, MOE) and (No. 2019M3E7A1113090) . The funding agency had no role in the study design, the collection, analysis, or interpretation of data, the writing of the report, or the decision to submit the article for publication.</t>
        </is>
      </c>
      <c r="AH1751" t="n">
        <v>58</v>
      </c>
      <c r="AI1751" t="n">
        <v>14</v>
      </c>
      <c r="AJ1751" t="n">
        <v>14</v>
      </c>
      <c r="AK1751" t="n">
        <v>5</v>
      </c>
      <c r="AL1751" t="n">
        <v>36</v>
      </c>
      <c r="AM1751" t="inlineStr">
        <is>
          <t>ELSEVIER</t>
        </is>
      </c>
      <c r="AN1751" t="inlineStr">
        <is>
          <t>AMSTERDAM</t>
        </is>
      </c>
      <c r="AO1751" t="inlineStr">
        <is>
          <t>RADARWEG 29, 1043 NX AMSTERDAM, NETHERLANDS</t>
        </is>
      </c>
      <c r="AP1751" t="inlineStr">
        <is>
          <t>0304-3894</t>
        </is>
      </c>
      <c r="AQ1751" t="inlineStr">
        <is>
          <t>1873-3336</t>
        </is>
      </c>
      <c r="AS1751" t="inlineStr">
        <is>
          <t>J HAZARD MATER</t>
        </is>
      </c>
      <c r="AT1751" t="inlineStr">
        <is>
          <t>J. Hazard. Mater.</t>
        </is>
      </c>
      <c r="AU1751" t="inlineStr">
        <is>
          <t>AUG 15</t>
        </is>
      </c>
      <c r="AV1751" t="n">
        <v>2021</v>
      </c>
      <c r="AW1751" t="n">
        <v>416</v>
      </c>
      <c r="BE1751" t="n">
        <v>125852</v>
      </c>
      <c r="BF1751" t="inlineStr">
        <is>
          <t>10.1016/j.jhazmat.2021.125852</t>
        </is>
      </c>
      <c r="BG1751">
        <f>HYPERLINK("http://dx.doi.org/10.1016/j.jhazmat.2021.125852","http://dx.doi.org/10.1016/j.jhazmat.2021.125852")</f>
        <v/>
      </c>
      <c r="BI1751" t="inlineStr">
        <is>
          <t>APR 2021</t>
        </is>
      </c>
      <c r="BJ1751" t="n">
        <v>9</v>
      </c>
      <c r="BK1751" t="inlineStr">
        <is>
          <t>Engineering, Environmental; Environmental Sciences</t>
        </is>
      </c>
      <c r="BL1751" t="inlineStr">
        <is>
          <t>Science Citation Index Expanded (SCI-EXPANDED)</t>
        </is>
      </c>
      <c r="BM1751" t="inlineStr">
        <is>
          <t>Engineering; Environmental Sciences &amp; Ecology</t>
        </is>
      </c>
      <c r="BN1751" t="inlineStr">
        <is>
          <t>SX0BH</t>
        </is>
      </c>
      <c r="BO1751" t="n">
        <v>33873033</v>
      </c>
      <c r="BS1751" t="inlineStr">
        <is>
          <t>2023-10-26</t>
        </is>
      </c>
      <c r="BT1751" t="inlineStr">
        <is>
          <t>WOS:000664877000004</t>
        </is>
      </c>
      <c r="BU1751">
        <f>HYPERLINK("https%3A%2F%2Fwww.webofscience.com%2Fwos%2Fwoscc%2Ffull-record%2FWOS:000664877000004","View Full Record in Web of Science")</f>
        <v/>
      </c>
    </row>
    <row r="1752">
      <c r="A1752" t="inlineStr">
        <is>
          <t>J</t>
        </is>
      </c>
      <c r="B1752" t="inlineStr">
        <is>
          <t>Xue, CL; Zheng, XQ; Zhang, B; Yuan, ZY</t>
        </is>
      </c>
      <c r="F1752" t="inlineStr">
        <is>
          <t>Xue, Chunlu; Zheng, Xinqi; Zhang, Bo; Yuan, Zhiyuan</t>
        </is>
      </c>
      <c r="J1752" t="inlineStr">
        <is>
          <t>ECOLOGICAL INDICATORS</t>
        </is>
      </c>
      <c r="M1752" t="inlineStr">
        <is>
          <t>English</t>
        </is>
      </c>
      <c r="N1752" t="inlineStr">
        <is>
          <t>Article</t>
        </is>
      </c>
      <c r="T1752" t="inlineStr">
        <is>
          <t>Evolution of a multidimensional architectural landscape under urban regeneration: A case study of Jinan, China</t>
        </is>
      </c>
      <c r="U1752" t="inlineStr">
        <is>
          <t>Urban regeneration; Urban land use; Architectural landscape; Architecture type conversion</t>
        </is>
      </c>
      <c r="V1752" t="inlineStr">
        <is>
          <t>COMMUNITIES; GOVERNANCE; TOWN</t>
        </is>
      </c>
      <c r="W1752" t="inlineStr">
        <is>
          <t>Urban regeneration is a key to achieving the main goals of China's urbanisation plan. How to analyse the urban landscape of the rapid development in order to meet the challenges of urban planning and build liveable cities is a concern for both government and society. This analysis is based on a case study on downtown Jinan, China, covering the period 2001-2011. It explores urban architectural changes in the horizontal and vertical landscapes after a decade of urban regeneration, focusing on two aspects: construction purpose and number of floors. The study uses the land use transfer matrix method, along with landscape indexes and spatial autocorrelation analysis, based on cadastral data. Results show that the horizontal architectural landscape changed at the city's edges, with no apparent change in the city centre. With changes in urban functions, horizontal landscapes became broken, but patch shapes did not manifest obvious changes. Residential, commercial, and industrial landscapes were the dominant types. Most converted areas became residential landscapes. Vertical landscapes tended to feature upward development. Patch shapes became more complex and broken, landscape richness increased, and building types became less densely aggregated. The dominant landscape type changed from bungalows to multi-layer and low-layer buildings. Vertical space utilisation became increasingly intensive. Urban regeneration was carried out locally. Respective areas marked by horizontal or vertical architectural renewal showed significant positive spatial correlation, implying increasing spatial centralisation. Vertical landscape patches largely changed in line with the horizontal types, but not the other way round. Ramshackle areas and shantytowns were transformed. Urban land use developed intensively, forming vertically dense landscapes. These results will serve as reference source for urban planning, regeneration, land resources management, urban architectural design and layout, optimisation of the ecological environment, and construction of liveable cities. (C) 2015 Elsevier Ltd. All rights reserved.</t>
        </is>
      </c>
      <c r="X1752" t="inlineStr">
        <is>
          <t>[Xue, Chunlu; Zheng, Xinqi; Yuan, Zhiyuan] China Univ Geosci, Sch Informat Engn, Beijing 100083, Peoples R China; [Xue, Chunlu] China Univ Geosci, Sch Land Sci &amp; Technol, Beijing 100083, Peoples R China; [Zhang, Bo] Bur Land Resources Jinan, Jinan 250101, Shandong, Peoples R China</t>
        </is>
      </c>
      <c r="Y1752" t="inlineStr">
        <is>
          <t>China University of Geosciences; China University of Geosciences</t>
        </is>
      </c>
      <c r="Z1752" t="inlineStr">
        <is>
          <t>Zhang, B (corresponding author), 1 Longding Rd, Jinan 250101, Shandong, Peoples R China.</t>
        </is>
      </c>
      <c r="AA1752" t="inlineStr">
        <is>
          <t>zxqsd@126.com; tdcb11@126.com</t>
        </is>
      </c>
      <c r="AD1752" t="inlineStr">
        <is>
          <t>National Public Benefit (Land) Research Foundation of China [201111014]</t>
        </is>
      </c>
      <c r="AE1752" t="inlineStr">
        <is>
          <t>National Public Benefit (Land) Research Foundation of China</t>
        </is>
      </c>
      <c r="AF1752" t="inlineStr">
        <is>
          <t>This research was supported by the National Public Benefit (Land) Research Foundation of China (Grant No. 201111014). We are grateful to Jinan City Land Resources Bureau for providing the study data. We also thank Bing Geng, Lusha Yuan, Zongren Jia, Yibo Sun, and Qi Wang for providing suggestions before and during the preparation of this paper.</t>
        </is>
      </c>
      <c r="AH1752" t="n">
        <v>49</v>
      </c>
      <c r="AI1752" t="n">
        <v>15</v>
      </c>
      <c r="AJ1752" t="n">
        <v>16</v>
      </c>
      <c r="AK1752" t="n">
        <v>7</v>
      </c>
      <c r="AL1752" t="n">
        <v>132</v>
      </c>
      <c r="AM1752" t="inlineStr">
        <is>
          <t>ELSEVIER</t>
        </is>
      </c>
      <c r="AN1752" t="inlineStr">
        <is>
          <t>AMSTERDAM</t>
        </is>
      </c>
      <c r="AO1752" t="inlineStr">
        <is>
          <t>RADARWEG 29, 1043 NX AMSTERDAM, NETHERLANDS</t>
        </is>
      </c>
      <c r="AP1752" t="inlineStr">
        <is>
          <t>1470-160X</t>
        </is>
      </c>
      <c r="AQ1752" t="inlineStr">
        <is>
          <t>1872-7034</t>
        </is>
      </c>
      <c r="AS1752" t="inlineStr">
        <is>
          <t>ECOL INDIC</t>
        </is>
      </c>
      <c r="AT1752" t="inlineStr">
        <is>
          <t>Ecol. Indic.</t>
        </is>
      </c>
      <c r="AU1752" t="inlineStr">
        <is>
          <t>AUG</t>
        </is>
      </c>
      <c r="AV1752" t="n">
        <v>2015</v>
      </c>
      <c r="AW1752" t="n">
        <v>55</v>
      </c>
      <c r="BC1752" t="n">
        <v>12</v>
      </c>
      <c r="BD1752" t="n">
        <v>22</v>
      </c>
      <c r="BF1752" t="inlineStr">
        <is>
          <t>10.1016/j.ecolind.2015.02.036</t>
        </is>
      </c>
      <c r="BG1752">
        <f>HYPERLINK("http://dx.doi.org/10.1016/j.ecolind.2015.02.036","http://dx.doi.org/10.1016/j.ecolind.2015.02.036")</f>
        <v/>
      </c>
      <c r="BJ1752" t="n">
        <v>11</v>
      </c>
      <c r="BK1752" t="inlineStr">
        <is>
          <t>Biodiversity Conservation; Environmental Sciences</t>
        </is>
      </c>
      <c r="BL1752" t="inlineStr">
        <is>
          <t>Science Citation Index Expanded (SCI-EXPANDED); Social Science Citation Index (SSCI)</t>
        </is>
      </c>
      <c r="BM1752" t="inlineStr">
        <is>
          <t>Biodiversity &amp; Conservation; Environmental Sciences &amp; Ecology</t>
        </is>
      </c>
      <c r="BN1752" t="inlineStr">
        <is>
          <t>CK4HL</t>
        </is>
      </c>
      <c r="BS1752" t="inlineStr">
        <is>
          <t>2023-10-26</t>
        </is>
      </c>
      <c r="BT1752" t="inlineStr">
        <is>
          <t>WOS:000356184800002</t>
        </is>
      </c>
      <c r="BU1752">
        <f>HYPERLINK("https%3A%2F%2Fwww.webofscience.com%2Fwos%2Fwoscc%2Ffull-record%2FWOS:000356184800002","View Full Record in Web of Science")</f>
        <v/>
      </c>
    </row>
    <row r="1753">
      <c r="A1753" t="inlineStr">
        <is>
          <t>J</t>
        </is>
      </c>
      <c r="B1753" t="inlineStr">
        <is>
          <t>von Humboldt, S; Low, G; Leal, I</t>
        </is>
      </c>
      <c r="F1753" t="inlineStr">
        <is>
          <t>von Humboldt, Sofia; Low, Gail; Leal, Isabel</t>
        </is>
      </c>
      <c r="J1753" t="inlineStr">
        <is>
          <t>INTERNATIONAL JOURNAL OF ENVIRONMENTAL RESEARCH AND PUBLIC HEALTH</t>
        </is>
      </c>
      <c r="M1753" t="inlineStr">
        <is>
          <t>English</t>
        </is>
      </c>
      <c r="N1753" t="inlineStr">
        <is>
          <t>Article</t>
        </is>
      </c>
      <c r="T1753" t="inlineStr">
        <is>
          <t>Health Service Accessibility, Mental Health, and Changes in Behavior during the COVID-19 Pandemic: A Qualitative Study of Older Adults</t>
        </is>
      </c>
      <c r="U1753" t="inlineStr">
        <is>
          <t>access to health services; changes in behavior; health service accessibility; mental health; older adults</t>
        </is>
      </c>
      <c r="V1753" t="inlineStr">
        <is>
          <t>LIFE-STYLE; CARE; WELL; ADJUSTMENT; COHERENCE; SENSE</t>
        </is>
      </c>
      <c r="W1753" t="inlineStr">
        <is>
          <t>The COVID-19 pandemic has affected the access of older adults to health services. The two objectives of this study are understanding the influence of the COVID-19 pandemic on older adults' access to health services and exploring how health service accessibility during the pandemic influenced older adults' mental health and self-reported changes in behavior. This study included 346 older adults. Content analysis produced five themes: (1) decreased physical accessibility to health care providers (78%); (2) increased use of online health services and other virtual health care (69%); (3) growth in the online prescription of medication (67%); (4) difficulty obtaining information and accessing non-communicable disease and mental health indicators (65%); and (5) postponement of medical specialist consultations (51%). Regarding mental health, three themes emerged: (1) increased symptoms of anxiety, distress, and depression (89%); (2) the experience of traumatic situations (61%); and (3) the augmented use of alcohol or drugs (56%). Finally, the following changes in behavior were indicated: (1) frustrated behavior (92%); (2) emotional explosions (79%); and (3) changes in sleeping and eating behaviors (43%). Access to health services may have influenced the mental health and behavior of older adults, hence interventions in a pandemic must address their interactions with health services, their needs, and their well-being.</t>
        </is>
      </c>
      <c r="X1753" t="inlineStr">
        <is>
          <t>[von Humboldt, Sofia; Leal, Isabel] ISPA Inst Univ, William James Ctr Res, P-1149041 Lisbon, Portugal; [Low, Gail] Univ Alberta, Fac Nursing, Edmonton, AB T6G 2R3, Canada</t>
        </is>
      </c>
      <c r="Y1753" t="inlineStr">
        <is>
          <t>Instituto Superior Psicologia Aplicada (ISPA); University of Alberta</t>
        </is>
      </c>
      <c r="Z1753" t="inlineStr">
        <is>
          <t>von Humboldt, S (corresponding author), ISPA Inst Univ, William James Ctr Res, P-1149041 Lisbon, Portugal.</t>
        </is>
      </c>
      <c r="AA1753" t="inlineStr">
        <is>
          <t>sofia.humboldt@gmail.com; gaill@ualberta.ca; ileal@ispa.pt</t>
        </is>
      </c>
      <c r="AB1753" t="inlineStr">
        <is>
          <t>Low, Gail/IZQ-5262-2023; von Humboldt, Sofia/T-1434-2017</t>
        </is>
      </c>
      <c r="AC1753" t="inlineStr">
        <is>
          <t>Low, Gail/0000-0002-5004-3549; von Humboldt, Sofia/0000-0001-9664-6735</t>
        </is>
      </c>
      <c r="AD1753" t="inlineStr">
        <is>
          <t>Portuguese Foundation for Science and Technology (FCT) [SFRH/BPD/116114/2016]; Fundação para a Ciência e a Tecnologia [SFRH/BPD/116114/2016] Funding Source: FCT</t>
        </is>
      </c>
      <c r="AE1753" t="inlineStr">
        <is>
          <t>Portuguese Foundation for Science and Technology (FCT)(Fundacao para a Ciencia e a Tecnologia (FCT)); Fundação para a Ciência e a Tecnologia(Fundacao para a Ciencia e a Tecnologia (FCT))</t>
        </is>
      </c>
      <c r="AF1753" t="inlineStr">
        <is>
          <t>This research was funded by the Portuguese Foundation for Science and Technology (FCT) under grant number [SFRH/BPD/116114/2016].</t>
        </is>
      </c>
      <c r="AH1753" t="n">
        <v>57</v>
      </c>
      <c r="AI1753" t="n">
        <v>5</v>
      </c>
      <c r="AJ1753" t="n">
        <v>7</v>
      </c>
      <c r="AK1753" t="n">
        <v>4</v>
      </c>
      <c r="AL1753" t="n">
        <v>15</v>
      </c>
      <c r="AM1753" t="inlineStr">
        <is>
          <t>MDPI</t>
        </is>
      </c>
      <c r="AN1753" t="inlineStr">
        <is>
          <t>BASEL</t>
        </is>
      </c>
      <c r="AO1753" t="inlineStr">
        <is>
          <t>ST ALBAN-ANLAGE 66, CH-4052 BASEL, SWITZERLAND</t>
        </is>
      </c>
      <c r="AQ1753" t="inlineStr">
        <is>
          <t>1660-4601</t>
        </is>
      </c>
      <c r="AS1753" t="inlineStr">
        <is>
          <t>INT J ENV RES PUB HE</t>
        </is>
      </c>
      <c r="AT1753" t="inlineStr">
        <is>
          <t>Int. J. Environ. Res. Public Health</t>
        </is>
      </c>
      <c r="AU1753" t="inlineStr">
        <is>
          <t>APR</t>
        </is>
      </c>
      <c r="AV1753" t="n">
        <v>2022</v>
      </c>
      <c r="AW1753" t="n">
        <v>19</v>
      </c>
      <c r="AX1753" t="n">
        <v>7</v>
      </c>
      <c r="BE1753" t="n">
        <v>4277</v>
      </c>
      <c r="BF1753" t="inlineStr">
        <is>
          <t>10.3390/ijerph19074277</t>
        </is>
      </c>
      <c r="BG1753">
        <f>HYPERLINK("http://dx.doi.org/10.3390/ijerph19074277","http://dx.doi.org/10.3390/ijerph19074277")</f>
        <v/>
      </c>
      <c r="BJ1753" t="n">
        <v>13</v>
      </c>
      <c r="BK1753" t="inlineStr">
        <is>
          <t>Environmental Sciences; Public, Environmental &amp; Occupational Health</t>
        </is>
      </c>
      <c r="BL1753" t="inlineStr">
        <is>
          <t>Science Citation Index Expanded (SCI-EXPANDED); Social Science Citation Index (SSCI)</t>
        </is>
      </c>
      <c r="BM1753" t="inlineStr">
        <is>
          <t>Environmental Sciences &amp; Ecology; Public, Environmental &amp; Occupational Health</t>
        </is>
      </c>
      <c r="BN1753" t="inlineStr">
        <is>
          <t>0M3GA</t>
        </is>
      </c>
      <c r="BO1753" t="n">
        <v>35409957</v>
      </c>
      <c r="BP1753" t="inlineStr">
        <is>
          <t>Green Published, gold</t>
        </is>
      </c>
      <c r="BS1753" t="inlineStr">
        <is>
          <t>2023-10-26</t>
        </is>
      </c>
      <c r="BT1753" t="inlineStr">
        <is>
          <t>WOS:000782045700001</t>
        </is>
      </c>
      <c r="BU1753">
        <f>HYPERLINK("https%3A%2F%2Fwww.webofscience.com%2Fwos%2Fwoscc%2Ffull-record%2FWOS:000782045700001","View Full Record in Web of Science")</f>
        <v/>
      </c>
    </row>
    <row r="1754">
      <c r="A1754" t="inlineStr">
        <is>
          <t>J</t>
        </is>
      </c>
      <c r="B1754" t="inlineStr">
        <is>
          <t>Cheng, Z; Yang, Z; Xiong, J; Li, G</t>
        </is>
      </c>
      <c r="F1754" t="inlineStr">
        <is>
          <t>Cheng, Z.; Yang, Z.; Xiong, J.; Li, G.</t>
        </is>
      </c>
      <c r="J1754" t="inlineStr">
        <is>
          <t>INTERNATIONAL JOURNAL OF ENVIRONMENTAL SCIENCE AND TECHNOLOGY</t>
        </is>
      </c>
      <c r="M1754" t="inlineStr">
        <is>
          <t>English</t>
        </is>
      </c>
      <c r="N1754" t="inlineStr">
        <is>
          <t>Article; Early Access</t>
        </is>
      </c>
      <c r="T1754" t="inlineStr">
        <is>
          <t>Investigation on the pollutant concentration and optimal control strategy of pre-ventilation in office buildings</t>
        </is>
      </c>
      <c r="U1754" t="inlineStr">
        <is>
          <t>Indoor environment; Pollutants; Pre-ventilation; Control method; Optimized strategy</t>
        </is>
      </c>
      <c r="V1754" t="inlineStr">
        <is>
          <t>INDOOR AIR-QUALITY; THERMAL COMFORT; HEALTH-RISKS; IMPACTS; SYMPTOMS; SHANGHAI; EXPOSURE; HISTORY; CHINA; HOMES</t>
        </is>
      </c>
      <c r="W1754" t="inlineStr">
        <is>
          <t>Due to current high levels of pollutant concentrations in office buildings, this study investigated the effectiveness of removing pollutants using an upper supply and upper return central air conditioning system through field tests and experimental studies. Specifically, this study explored the relationship between indoor pollution and ventilation, investigated methods to improve indoor environments, assessed the feasibility of a pre-ventilation control scheme, and developed a time algorithm model for pre-ventilation control. We found that, when addressing smoking, the reduction in total volatile organic compound (TVOC) concentration was not significantly more noticeable than that of fine particulate matter (PM2.5), and to effectively eliminate smoke, the central air conditioning system should be based on changes in TVOC concentration. Different areas within public buildings should adopt varying ventilation strategies, depending on their function and the amount of pollutant emission, especially for places with intermittent emissions. Our findings also demonstrated that pre-ventilation not only reduced pollutant concentrations but also consumed minor energy. By implementing the pre-ventilation control model, indoor pollutants can be reduced prior to office building operation, resulting in a reasonable indoor environment that meets human health requirements.</t>
        </is>
      </c>
      <c r="X1754" t="inlineStr">
        <is>
          <t>[Cheng, Z.; Yang, Z.] Sichuan Univ, Coll Architecture &amp; Environm, Chengdu 610065, Peoples R China; [Cheng, Z.; Yang, Z.] Sichuan Univ, Coll Architecture &amp; Environm, MOE Key Lab Deep Earth Sci &amp; Engn, Chengdu 610065, Peoples R China; [Xiong, J.] Chongqing Univ, Joint Int Res Lab Green Bldg &amp; Built Environm, Minist Educ, Chongqing 400045, Peoples R China; [Li, G.] Ccteg Chongqing Engn Grp Co Ltd, Chongqing 400042, Peoples R China</t>
        </is>
      </c>
      <c r="Y1754" t="inlineStr">
        <is>
          <t>Sichuan University; Sichuan University; Chongqing University</t>
        </is>
      </c>
      <c r="Z1754" t="inlineStr">
        <is>
          <t>Li, G (corresponding author), Ccteg Chongqing Engn Grp Co Ltd, Chongqing 400042, Peoples R China.</t>
        </is>
      </c>
      <c r="AA1754" t="inlineStr">
        <is>
          <t>649606323@qq.com</t>
        </is>
      </c>
      <c r="AD1754" t="inlineStr">
        <is>
          <t>We express our acknowledgement to all members that have participated in this research project. The authors would like to thank the reviewers for their very useful comments. We thank Joint International Research Laboratory of Green Buildings and Built Envir; Joint International Research Laboratory of Green Buildings and Built Environments at Chongqing University</t>
        </is>
      </c>
      <c r="AE1754" t="inlineStr">
        <is>
          <t>We express our acknowledgement to all members that have participated in this research project. The authors would like to thank the reviewers for their very useful comments. We thank Joint International Research Laboratory of Green Buildings and Built Envir; Joint International Research Laboratory of Green Buildings and Built Environments at Chongqing University</t>
        </is>
      </c>
      <c r="AF1754" t="inlineStr">
        <is>
          <t>We express our acknowledgement to all members that have participated in this research project. The authors would like to thank the reviewers for their very useful comments. We thank Joint International Research Laboratory of Green Buildings and Built Environments at Chongqing University for providing technical support. We thank Nuoa Lei from Northwestern University for providing English grammar and logical assistance.</t>
        </is>
      </c>
      <c r="AH1754" t="n">
        <v>57</v>
      </c>
      <c r="AI1754" t="n">
        <v>0</v>
      </c>
      <c r="AJ1754" t="n">
        <v>0</v>
      </c>
      <c r="AK1754" t="n">
        <v>0</v>
      </c>
      <c r="AL1754" t="n">
        <v>0</v>
      </c>
      <c r="AM1754" t="inlineStr">
        <is>
          <t>SPRINGER</t>
        </is>
      </c>
      <c r="AN1754" t="inlineStr">
        <is>
          <t>NEW YORK</t>
        </is>
      </c>
      <c r="AO1754" t="inlineStr">
        <is>
          <t>ONE NEW YORK PLAZA, SUITE 4600, NEW YORK, NY, UNITED STATES</t>
        </is>
      </c>
      <c r="AP1754" t="inlineStr">
        <is>
          <t>1735-1472</t>
        </is>
      </c>
      <c r="AQ1754" t="inlineStr">
        <is>
          <t>1735-2630</t>
        </is>
      </c>
      <c r="AS1754" t="inlineStr">
        <is>
          <t>INT J ENVIRON SCI TE</t>
        </is>
      </c>
      <c r="AT1754" t="inlineStr">
        <is>
          <t>Int. J. Environ. Sci. Technol.</t>
        </is>
      </c>
      <c r="AU1754" t="inlineStr">
        <is>
          <t>2023 OCT 5</t>
        </is>
      </c>
      <c r="AV1754" t="n">
        <v>2023</v>
      </c>
      <c r="BF1754" t="inlineStr">
        <is>
          <t>10.1007/s13762-023-05235-7</t>
        </is>
      </c>
      <c r="BG1754">
        <f>HYPERLINK("http://dx.doi.org/10.1007/s13762-023-05235-7","http://dx.doi.org/10.1007/s13762-023-05235-7")</f>
        <v/>
      </c>
      <c r="BI1754" t="inlineStr">
        <is>
          <t>OCT 2023</t>
        </is>
      </c>
      <c r="BJ1754" t="n">
        <v>14</v>
      </c>
      <c r="BK1754" t="inlineStr">
        <is>
          <t>Environmental Sciences</t>
        </is>
      </c>
      <c r="BL1754" t="inlineStr">
        <is>
          <t>Science Citation Index Expanded (SCI-EXPANDED)</t>
        </is>
      </c>
      <c r="BM1754" t="inlineStr">
        <is>
          <t>Environmental Sciences &amp; Ecology</t>
        </is>
      </c>
      <c r="BN1754" t="inlineStr">
        <is>
          <t>T5YP6</t>
        </is>
      </c>
      <c r="BS1754" t="inlineStr">
        <is>
          <t>2023-10-26</t>
        </is>
      </c>
      <c r="BT1754" t="inlineStr">
        <is>
          <t>WOS:001078746300001</t>
        </is>
      </c>
      <c r="BU1754">
        <f>HYPERLINK("https%3A%2F%2Fwww.webofscience.com%2Fwos%2Fwoscc%2Ffull-record%2FWOS:001078746300001","View Full Record in Web of Science")</f>
        <v/>
      </c>
    </row>
    <row r="1755">
      <c r="A1755" t="inlineStr">
        <is>
          <t>J</t>
        </is>
      </c>
      <c r="B1755" t="inlineStr">
        <is>
          <t>Qiu, N; Gao, XL; Zhang, XG; Fu, JL; Wang, YC; Li, R</t>
        </is>
      </c>
      <c r="F1755" t="inlineStr">
        <is>
          <t>Qiu, Nan; Gao, Xiaoli; Zhang, Xinge; Fu, Jialin; Wang, Yechuang; Li, Rui</t>
        </is>
      </c>
      <c r="J1755" t="inlineStr">
        <is>
          <t>INTERNATIONAL JOURNAL OF ENVIRONMENTAL RESEARCH AND PUBLIC HEALTH</t>
        </is>
      </c>
      <c r="M1755" t="inlineStr">
        <is>
          <t>English</t>
        </is>
      </c>
      <c r="N1755" t="inlineStr">
        <is>
          <t>Article</t>
        </is>
      </c>
      <c r="T1755" t="inlineStr">
        <is>
          <t>Associations between Psychosocial Variables, Availability of Physical Activity Resources in Neighborhood Environment, and Out-of-School Physical Activity among Chinese Adolescents</t>
        </is>
      </c>
      <c r="U1755" t="inlineStr">
        <is>
          <t>physical activity; adolescent; peer support; parental support; neighborhood environment</t>
        </is>
      </c>
      <c r="V1755" t="inlineStr">
        <is>
          <t>AUTONOMOUS MOTIVATION; SELF-EFFICACY; AFTER-SCHOOL; PEER SUPPORT; CHILDREN; FITNESS; PATTERNS; STUDENTS; PROFILE</t>
        </is>
      </c>
      <c r="W1755" t="inlineStr">
        <is>
          <t>This study aimed to evaluate the relationship between psychosocial variables (peer support, parental support, autonomous motivation, and controlled motivation), availability of physical activity resources in a neighborhood environment, and out-of-school moderate to vigorous physical activity (MVPA) among Chinese adolescents. The questionnaire of Family Life, Activity, Sun, Health, and Eating (FLASHE) Study was used to collect information on demographics, socioeconomic status, psychosocial variables, available physical activity resources in the neighborhood environment, and minutes of out-of-school MVPA. ANOVA analysis and multiple regression analysis were performed. The mean age of the 3833 adolescents included in our analysis was 14.7 years old (SD = 1.7). Peer support (b = 9.35, 95% CI: 7.55-11.15), autonomous motivation (b = 6.46, 95% CI: 4.09-8.82), parental support (b = 3.90, 95% CI: 1.75-6.07), and availability of physical activity resources in neighborhood environment (b = 3.18, 95% CI: 1.99-4.36) were significantly associated with out-of-school MVPA (p &lt; 0.05). Controlled motivation was insignificantly related to minutes of out-of-school MVPA. Boys spent more time on out-of-school MVPA than girls (p &lt; 0.001) and had a high level of peer support, parental support, and motivation (p &lt; 0.05). Our findings suggest that interventions targeting the out-of-school MVPA among Chinese adolescents should focus on the psychosocial variables and neighborhood environment.</t>
        </is>
      </c>
      <c r="X1755" t="inlineStr">
        <is>
          <t>[Qiu, Nan; Fu, Jialin; Wang, Yechuang; Li, Rui] Wuhan Univ, Sch Hlth Sci, Dept Healthcare Management, Wuhan 430071, Peoples R China; [Gao, Xiaoli] Natl Univ Singapore, Fac Dent, Singapore 129800, Singapore; [Gao, Xiaoli] Natl Univ Singapore, Saw Swee Hock Sch Publ Hlth, Singapore 129800, Singapore; [Zhang, Xinge] Chinese Univ Hong Kong, Dept Med &amp; Therapeut, Shatin, Hong Kong 999077, Peoples R China</t>
        </is>
      </c>
      <c r="Y1755" t="inlineStr">
        <is>
          <t>Wuhan University; National University of Singapore; National University of Singapore; Chinese University of Hong Kong</t>
        </is>
      </c>
      <c r="Z1755" t="inlineStr">
        <is>
          <t>Li, R (corresponding author), Wuhan Univ, Sch Hlth Sci, Dept Healthcare Management, Wuhan 430071, Peoples R China.</t>
        </is>
      </c>
      <c r="AA1755" t="inlineStr">
        <is>
          <t>2013302170051@whu.edu.cn; dengx@nus.edu.sg; xinge@link.cuhk.edu.hk; fjl0708@whu.edu.cn; ywang20@whu.edu.cn; rli@whu.edu.cn</t>
        </is>
      </c>
      <c r="AB1755" t="inlineStr">
        <is>
          <t>Zhang, Xinge/ABD-9564-2020; GAO, XIAO/JED-3257-2023</t>
        </is>
      </c>
      <c r="AC1755" t="inlineStr">
        <is>
          <t>Li, Rui/0000-0001-7698-6927</t>
        </is>
      </c>
      <c r="AD1755" t="inlineStr">
        <is>
          <t>National Natural Science Foundation of China [81402668]</t>
        </is>
      </c>
      <c r="AE1755" t="inlineStr">
        <is>
          <t>National Natural Science Foundation of China(National Natural Science Foundation of China (NSFC))</t>
        </is>
      </c>
      <c r="AF1755" t="inlineStr">
        <is>
          <t>This research was funded by the National Natural Science Foundation of China, Grant Number 81402668.</t>
        </is>
      </c>
      <c r="AH1755" t="n">
        <v>45</v>
      </c>
      <c r="AI1755" t="n">
        <v>5</v>
      </c>
      <c r="AJ1755" t="n">
        <v>5</v>
      </c>
      <c r="AK1755" t="n">
        <v>3</v>
      </c>
      <c r="AL1755" t="n">
        <v>36</v>
      </c>
      <c r="AM1755" t="inlineStr">
        <is>
          <t>MDPI</t>
        </is>
      </c>
      <c r="AN1755" t="inlineStr">
        <is>
          <t>BASEL</t>
        </is>
      </c>
      <c r="AO1755" t="inlineStr">
        <is>
          <t>ST ALBAN-ANLAGE 66, CH-4052 BASEL, SWITZERLAND</t>
        </is>
      </c>
      <c r="AQ1755" t="inlineStr">
        <is>
          <t>1660-4601</t>
        </is>
      </c>
      <c r="AS1755" t="inlineStr">
        <is>
          <t>INT J ENV RES PUB HE</t>
        </is>
      </c>
      <c r="AT1755" t="inlineStr">
        <is>
          <t>Int. J. Environ. Res. Public Health</t>
        </is>
      </c>
      <c r="AU1755" t="inlineStr">
        <is>
          <t>JUN</t>
        </is>
      </c>
      <c r="AV1755" t="n">
        <v>2021</v>
      </c>
      <c r="AW1755" t="n">
        <v>18</v>
      </c>
      <c r="AX1755" t="n">
        <v>12</v>
      </c>
      <c r="BE1755" t="n">
        <v>6643</v>
      </c>
      <c r="BF1755" t="inlineStr">
        <is>
          <t>10.3390/ijerph18126643</t>
        </is>
      </c>
      <c r="BG1755">
        <f>HYPERLINK("http://dx.doi.org/10.3390/ijerph18126643","http://dx.doi.org/10.3390/ijerph18126643")</f>
        <v/>
      </c>
      <c r="BJ1755" t="n">
        <v>10</v>
      </c>
      <c r="BK1755" t="inlineStr">
        <is>
          <t>Environmental Sciences; Public, Environmental &amp; Occupational Health</t>
        </is>
      </c>
      <c r="BL1755" t="inlineStr">
        <is>
          <t>Science Citation Index Expanded (SCI-EXPANDED); Social Science Citation Index (SSCI)</t>
        </is>
      </c>
      <c r="BM1755" t="inlineStr">
        <is>
          <t>Environmental Sciences &amp; Ecology; Public, Environmental &amp; Occupational Health</t>
        </is>
      </c>
      <c r="BN1755" t="inlineStr">
        <is>
          <t>SY5CX</t>
        </is>
      </c>
      <c r="BO1755" t="n">
        <v>34205544</v>
      </c>
      <c r="BP1755" t="inlineStr">
        <is>
          <t>Green Published, gold</t>
        </is>
      </c>
      <c r="BS1755" t="inlineStr">
        <is>
          <t>2023-10-26</t>
        </is>
      </c>
      <c r="BT1755" t="inlineStr">
        <is>
          <t>WOS:000665907000001</t>
        </is>
      </c>
      <c r="BU1755">
        <f>HYPERLINK("https%3A%2F%2Fwww.webofscience.com%2Fwos%2Fwoscc%2Ffull-record%2FWOS:000665907000001","View Full Record in Web of Science")</f>
        <v/>
      </c>
    </row>
    <row r="1756">
      <c r="A1756" t="inlineStr">
        <is>
          <t>J</t>
        </is>
      </c>
      <c r="B1756" t="inlineStr">
        <is>
          <t>Weichenthal, S; Farrell, W; Goldberg, M; Joseph, L; Hatzopoulou, M</t>
        </is>
      </c>
      <c r="F1756" t="inlineStr">
        <is>
          <t>Weichenthal, Scott; Farrell, William; Goldberg, Mark; Joseph, Lawrence; Hatzopoulou, Marianne</t>
        </is>
      </c>
      <c r="J1756" t="inlineStr">
        <is>
          <t>ENVIRONMENTAL RESEARCH</t>
        </is>
      </c>
      <c r="M1756" t="inlineStr">
        <is>
          <t>English</t>
        </is>
      </c>
      <c r="N1756" t="inlineStr">
        <is>
          <t>Article</t>
        </is>
      </c>
      <c r="T1756" t="inlineStr">
        <is>
          <t>Characterizing the impact of traffic and the built environment on near-road ultrafine particle and black carbon concentrations</t>
        </is>
      </c>
      <c r="U1756" t="inlineStr">
        <is>
          <t>Ultrafine particles; Black carbon; Traffic; Built environment</t>
        </is>
      </c>
      <c r="V1756" t="inlineStr">
        <is>
          <t>AIR-POLLUTION; SPATIAL VARIABILITY; MONTREAL; EXPOSURE; CANCER</t>
        </is>
      </c>
      <c r="W1756" t="inlineStr">
        <is>
          <t>Background: Increasing evidence suggests that ultrafine particles (UFPs) may contribute to cardiorespiratory morbidity. We examined the relationship between near road UFPs and several traffic and built environment factors to identify predictors that may be used to estimate exposures in population-based studies. Black carbon (BC) was also examined. Methods: Data were collected on up to 6 occasions at 73 sites in Montreal, Canada over 6-week period during summer, 2012. After excluding highly correlated variables, road width, truck ratio (trucks/total traffic), building height, land zoning parameters, and meteorological factors were evaluated. Random-effect models were used to estimate percent changes in UFP and BC concentrations with interquartile changes in each candidate predictor adjusted for meteorological factors. Results: Mean pollutant concentrations varied substantially across sites (UFP range: 1977-94, 798 particles/cm(3); BC range: 29-9460 ng/m(3)). After adjusting for meteorology, interquartile increases in road width (14%, 95% CI: 0, 30), building height (13%, 95% CI: 5, 22), and truck ratio (13%, 95% CI: 3, 23) were the most important predictors of mean UFP concentrations. Road width (28%, 95% CI: 9, 51) and industrial zoning (18%, 95% CI: 2, 37) were the strongest predictors of maximum UFP concentrations. Industrial zoning (35%, 95% CI: 9, 67) was the strongest predictor of BC. Conclusions: A number of traffic and built environmental factors were identified as important predictors of near road UFP and BC concentrations. Exposure models incorporating these factors may be useful in evaluating the health effects of traffic related air pollution. Crown Copyright (C) 2014 Published by Elsevier Inc. This is an open access article under the CC BY-NC-ND license</t>
        </is>
      </c>
      <c r="X1756" t="inlineStr">
        <is>
          <t>[Weichenthal, Scott] Hlth Canada, Air Hlth Sci Div, Ottawa, ON K1A 0K9, Canada; [Farrell, William; Hatzopoulou, Marianne] McGill Univ, Dept Civil Engn, Montreal, PQ H3A 0C3, Canada; [Goldberg, Mark; Joseph, Lawrence] McGill Univ, Div Clin Epidemiol, Montreal, PQ H3A 1A1, Canada</t>
        </is>
      </c>
      <c r="Y1756" t="inlineStr">
        <is>
          <t>Health Canada; McGill University; McGill University</t>
        </is>
      </c>
      <c r="Z1756" t="inlineStr">
        <is>
          <t>Weichenthal, S (corresponding author), Hlth Canada, Air Hlth Sci Div, 269 Laurier Ave West, Ottawa, ON K1A 0K9, Canada.</t>
        </is>
      </c>
      <c r="AA1756" t="inlineStr">
        <is>
          <t>scott.weichenthal@hc-sc.gc.ca; william.farrell@mcgill.ca; mark.goldberg@mcgill.ca; lawrence.joseph@mcgill.ca; marianne.hatzopoulou@mcgill.ca</t>
        </is>
      </c>
      <c r="AC1756" t="inlineStr">
        <is>
          <t>Weichenthal, Scott/0000-0002-9634-5323</t>
        </is>
      </c>
      <c r="AD1756" t="inlineStr">
        <is>
          <t>Canadian Institutes of Health Research Funding Source: Medline</t>
        </is>
      </c>
      <c r="AE1756" t="inlineStr">
        <is>
          <t>Canadian Institutes of Health Research(Canadian Institutes of Health Research (CIHR))</t>
        </is>
      </c>
      <c r="AH1756" t="n">
        <v>25</v>
      </c>
      <c r="AI1756" t="n">
        <v>53</v>
      </c>
      <c r="AJ1756" t="n">
        <v>53</v>
      </c>
      <c r="AK1756" t="n">
        <v>4</v>
      </c>
      <c r="AL1756" t="n">
        <v>53</v>
      </c>
      <c r="AM1756" t="inlineStr">
        <is>
          <t>ACADEMIC PRESS INC ELSEVIER SCIENCE</t>
        </is>
      </c>
      <c r="AN1756" t="inlineStr">
        <is>
          <t>SAN DIEGO</t>
        </is>
      </c>
      <c r="AO1756" t="inlineStr">
        <is>
          <t>525 B ST, STE 1900, SAN DIEGO, CA 92101-4495 USA</t>
        </is>
      </c>
      <c r="AP1756" t="inlineStr">
        <is>
          <t>0013-9351</t>
        </is>
      </c>
      <c r="AQ1756" t="inlineStr">
        <is>
          <t>1096-0953</t>
        </is>
      </c>
      <c r="AS1756" t="inlineStr">
        <is>
          <t>ENVIRON RES</t>
        </is>
      </c>
      <c r="AT1756" t="inlineStr">
        <is>
          <t>Environ. Res.</t>
        </is>
      </c>
      <c r="AU1756" t="inlineStr">
        <is>
          <t>JUL</t>
        </is>
      </c>
      <c r="AV1756" t="n">
        <v>2014</v>
      </c>
      <c r="AW1756" t="n">
        <v>132</v>
      </c>
      <c r="BC1756" t="n">
        <v>305</v>
      </c>
      <c r="BD1756" t="n">
        <v>310</v>
      </c>
      <c r="BF1756" t="inlineStr">
        <is>
          <t>10.1016/j.envres.2014.04.007</t>
        </is>
      </c>
      <c r="BG1756">
        <f>HYPERLINK("http://dx.doi.org/10.1016/j.envres.2014.04.007","http://dx.doi.org/10.1016/j.envres.2014.04.007")</f>
        <v/>
      </c>
      <c r="BJ1756" t="n">
        <v>6</v>
      </c>
      <c r="BK1756" t="inlineStr">
        <is>
          <t>Environmental Sciences; Public, Environmental &amp; Occupational Health</t>
        </is>
      </c>
      <c r="BL1756" t="inlineStr">
        <is>
          <t>Science Citation Index Expanded (SCI-EXPANDED)</t>
        </is>
      </c>
      <c r="BM1756" t="inlineStr">
        <is>
          <t>Environmental Sciences &amp; Ecology; Public, Environmental &amp; Occupational Health</t>
        </is>
      </c>
      <c r="BN1756" t="inlineStr">
        <is>
          <t>AJ7FJ</t>
        </is>
      </c>
      <c r="BO1756" t="n">
        <v>24834826</v>
      </c>
      <c r="BP1756" t="inlineStr">
        <is>
          <t>hybrid</t>
        </is>
      </c>
      <c r="BS1756" t="inlineStr">
        <is>
          <t>2023-10-26</t>
        </is>
      </c>
      <c r="BT1756" t="inlineStr">
        <is>
          <t>WOS:000337862300042</t>
        </is>
      </c>
      <c r="BU1756">
        <f>HYPERLINK("https%3A%2F%2Fwww.webofscience.com%2Fwos%2Fwoscc%2Ffull-record%2FWOS:000337862300042","View Full Record in Web of Science")</f>
        <v/>
      </c>
    </row>
    <row r="1757">
      <c r="A1757" t="inlineStr">
        <is>
          <t>J</t>
        </is>
      </c>
      <c r="B1757" t="inlineStr">
        <is>
          <t>Dodson, RE; Udesky, JO; Colton, MD; McCauley, M; Camann, DE; Yau, AY; Adamkiewicz, G; Rudel, RA</t>
        </is>
      </c>
      <c r="F1757" t="inlineStr">
        <is>
          <t>Dodson, Robin E.; Udesky, Julia O.; Colton, Meryl D.; McCauley, Martha; Camann, David E.; Yau, Alice Y.; Adamkiewicz, Gary; Rudel, Ruthann A.</t>
        </is>
      </c>
      <c r="J1757" t="inlineStr">
        <is>
          <t>ENVIRONMENT INTERNATIONAL</t>
        </is>
      </c>
      <c r="M1757" t="inlineStr">
        <is>
          <t>English</t>
        </is>
      </c>
      <c r="N1757" t="inlineStr">
        <is>
          <t>Article</t>
        </is>
      </c>
      <c r="T1757" t="inlineStr">
        <is>
          <t>Chemical exposures in recently renovated low-income housing: Influence of building materials and occupant activities</t>
        </is>
      </c>
      <c r="U1757" t="inlineStr">
        <is>
          <t>Semivolatile organic compounds (SVOCs); Volatile organic compounds (VOCs); Indoor air; Surface wipes; Consumer products; Building materials</t>
        </is>
      </c>
      <c r="V1757" t="inlineStr">
        <is>
          <t>INDOOR AIR-QUALITY; POLYBROMINATED DIPHENYL ETHERS; ENDOCRINE-DISRUPTING COMPOUNDS; SEMIVOLATILE ORGANIC-COMPOUNDS; INTEGRATED PEST-MANAGEMENT; TOBACCO-SMOKE EXPOSURE; PBDE FLAME RETARDANTS; UNITED-STATES; DEVELOPMENTAL TOXICITY; PHTHALATE EXPOSURE</t>
        </is>
      </c>
      <c r="W1757" t="inlineStr">
        <is>
          <t>Health disparities in low-income communities may be linked to residential exposures to chemicals infiltrating from the outdoors and characteristics of and sources in the home. Indoor sources comprise those introduced by the occupant as well as releases from building materials. To examine the impact of renovation on indoor pollutants levels and to classify chemicals by predominant indoor sources, we collected indoor air and surface wipes from newly renovated green low-income housing units in Boston before and after occupancy. We targeted nearly 100 semivolatile organic compounds (SVOCs) and volatile organic compounds (VOCs), including phthalates, flame retardants, fragrance chemicals, pesticides, antimicrobials, petroleum chemicals, chlorinated solvents, and formaldehyde, as well as particulate matter. All homes had indoor air concentrations that exceeded available risk-based screening levels for at least one chemical. We categorized chemicals as primarily influenced by the occupant or as having building-related sources. While building-related chemicals observed in this study may be specific to the particular housing development, occupant-related findings might be generalizable to similar communities. Among 58 detected chemicals, we distinguished 25 as primarily occupant-related, including fragrance chemicals 6-acetyl-1,1,2,4,4,7-hexamethyltetralin (AHTN) and 1,3,4,6,7,8-hexahydro-4,6,6,7,8,8-hexamethylcyclopenta[g]-2-benzopyran (HHCB). The pre- to post-occupancy patterns of the remaining chemicals suggested important contributions from building materials for some, including dibutyl phthalate and xylene, whereas others, such as diethyl phthalate and formaldehyde, appeared to have both building and occupant sources. Chemical classification by source informs multi-level exposure reduction strategies in low-income housing.</t>
        </is>
      </c>
      <c r="X1757" t="inlineStr">
        <is>
          <t>[Dodson, Robin E.; Udesky, Julia O.; Rudel, Ruthann A.] Silent Spring Inst, 320 Nevada St, Newton, MA 02460 USA; [Colton, Meryl D.; Adamkiewicz, Gary] Harvard TH Chan Sch Publ Hlth, 401 Pk Dr, Boston, MA 02215 USA; [McCauley, Martha] Battelle Mem Inst, 505 King Ave, Columbus, OH 43201 USA; [Camann, David E.; Yau, Alice Y.] Southwest Res Inst, PO Drawer 28510, San Antonio, TX 78228 USA</t>
        </is>
      </c>
      <c r="Y1757" t="inlineStr">
        <is>
          <t>Harvard University; Harvard T.H. Chan School of Public Health; Battelle Memorial Institute; Southwest Research Institute</t>
        </is>
      </c>
      <c r="Z1757" t="inlineStr">
        <is>
          <t>Dodson, RE (corresponding author), Silent Spring Inst, 320 Nevada St, Newton, MA 02460 USA.</t>
        </is>
      </c>
      <c r="AA1757" t="inlineStr">
        <is>
          <t>dodson@silentspring.org; udesky@silentspring.org; gadamkie@hsph.harvard.edu; rudel@silentspring.org</t>
        </is>
      </c>
      <c r="AB1757" t="inlineStr">
        <is>
          <t>Rudel, Ruthann/AAJ-5956-2021</t>
        </is>
      </c>
      <c r="AC1757" t="inlineStr">
        <is>
          <t>Rudel, Ruthann/0000-0002-1809-4127</t>
        </is>
      </c>
      <c r="AD1757" t="inlineStr">
        <is>
          <t>U.S. Department of Housing and Urban Development [MALHH0229-10, MAHHU0005-12]</t>
        </is>
      </c>
      <c r="AE1757" t="inlineStr">
        <is>
          <t>U.S. Department of Housing and Urban Development</t>
        </is>
      </c>
      <c r="AF1757" t="inlineStr">
        <is>
          <t>This study was funded by the U.S. Department of Housing and Urban Development (Grant Nos. MALHH0229-10 and MAHHU0005-12).</t>
        </is>
      </c>
      <c r="AH1757" t="n">
        <v>91</v>
      </c>
      <c r="AI1757" t="n">
        <v>36</v>
      </c>
      <c r="AJ1757" t="n">
        <v>36</v>
      </c>
      <c r="AK1757" t="n">
        <v>3</v>
      </c>
      <c r="AL1757" t="n">
        <v>59</v>
      </c>
      <c r="AM1757" t="inlineStr">
        <is>
          <t>PERGAMON-ELSEVIER SCIENCE LTD</t>
        </is>
      </c>
      <c r="AN1757" t="inlineStr">
        <is>
          <t>OXFORD</t>
        </is>
      </c>
      <c r="AO1757" t="inlineStr">
        <is>
          <t>THE BOULEVARD, LANGFORD LANE, KIDLINGTON, OXFORD OX5 1GB, ENGLAND</t>
        </is>
      </c>
      <c r="AP1757" t="inlineStr">
        <is>
          <t>0160-4120</t>
        </is>
      </c>
      <c r="AQ1757" t="inlineStr">
        <is>
          <t>1873-6750</t>
        </is>
      </c>
      <c r="AS1757" t="inlineStr">
        <is>
          <t>ENVIRON INT</t>
        </is>
      </c>
      <c r="AT1757" t="inlineStr">
        <is>
          <t>Environ. Int.</t>
        </is>
      </c>
      <c r="AU1757" t="inlineStr">
        <is>
          <t>DEC</t>
        </is>
      </c>
      <c r="AV1757" t="n">
        <v>2017</v>
      </c>
      <c r="AW1757" t="n">
        <v>109</v>
      </c>
      <c r="BC1757" t="n">
        <v>114</v>
      </c>
      <c r="BD1757" t="n">
        <v>127</v>
      </c>
      <c r="BF1757" t="inlineStr">
        <is>
          <t>10.1016/j.envint.2017.07.007</t>
        </is>
      </c>
      <c r="BG1757">
        <f>HYPERLINK("http://dx.doi.org/10.1016/j.envint.2017.07.007","http://dx.doi.org/10.1016/j.envint.2017.07.007")</f>
        <v/>
      </c>
      <c r="BJ1757" t="n">
        <v>14</v>
      </c>
      <c r="BK1757" t="inlineStr">
        <is>
          <t>Environmental Sciences</t>
        </is>
      </c>
      <c r="BL1757" t="inlineStr">
        <is>
          <t>Science Citation Index Expanded (SCI-EXPANDED); Social Science Citation Index (SSCI)</t>
        </is>
      </c>
      <c r="BM1757" t="inlineStr">
        <is>
          <t>Environmental Sciences &amp; Ecology</t>
        </is>
      </c>
      <c r="BN1757" t="inlineStr">
        <is>
          <t>FK8GB</t>
        </is>
      </c>
      <c r="BO1757" t="n">
        <v>28916131</v>
      </c>
      <c r="BP1757" t="inlineStr">
        <is>
          <t>hybrid</t>
        </is>
      </c>
      <c r="BS1757" t="inlineStr">
        <is>
          <t>2023-10-26</t>
        </is>
      </c>
      <c r="BT1757" t="inlineStr">
        <is>
          <t>WOS:000413744800012</t>
        </is>
      </c>
      <c r="BU1757">
        <f>HYPERLINK("https%3A%2F%2Fwww.webofscience.com%2Fwos%2Fwoscc%2Ffull-record%2FWOS:000413744800012","View Full Record in Web of Science")</f>
        <v/>
      </c>
    </row>
    <row r="1758">
      <c r="A1758" t="inlineStr">
        <is>
          <t>J</t>
        </is>
      </c>
      <c r="B1758" t="inlineStr">
        <is>
          <t>Valderrama-Ulloa, C; Silva-Castillo, L; Sandoval-Grandi, C; Robles-Calderon, C; Rouault, F</t>
        </is>
      </c>
      <c r="F1758" t="inlineStr">
        <is>
          <t>Valderrama-Ulloa, Claudia; Silva-Castillo, Lorena; Sandoval-Grandi, Catalina; Robles-Calderon, Carlos; Rouault, Fabien</t>
        </is>
      </c>
      <c r="J1758" t="inlineStr">
        <is>
          <t>SUSTAINABILITY</t>
        </is>
      </c>
      <c r="M1758" t="inlineStr">
        <is>
          <t>English</t>
        </is>
      </c>
      <c r="N1758" t="inlineStr">
        <is>
          <t>Review</t>
        </is>
      </c>
      <c r="T1758" t="inlineStr">
        <is>
          <t>Indoor Environmental Quality in Latin American Buildings: A Systematic Literature Review</t>
        </is>
      </c>
      <c r="U1758" t="inlineStr">
        <is>
          <t>hygrothermal comfort; indoor air quality; acoustic comfort; visual comfort</t>
        </is>
      </c>
      <c r="V1758" t="inlineStr">
        <is>
          <t>ADAPTIVE THERMAL COMFORT; POSTOCCUPANCY EVALUATION; OFFICE BUILDINGS; AIR-QUALITY; ACOUSTIC PERFORMANCE; CONSTRUCTION SYSTEM; SCHOOL CLASSROOMS; TEMPERATE CLIMATE; HEALTH; BEHAVIOR</t>
        </is>
      </c>
      <c r="W1758" t="inlineStr">
        <is>
          <t>The amount of time people spend inside buildings is significant. Indoor environment quality deficiencies in some of these buildings may affect the health of its users. Therefore, a systematic literature review has been conducted to assess the quality of indoor environments in existing buildings in Latin America. The objectives of this review are (1) identifying countries and building types whose indoor environment quality has been analyzed the most, (2) identifying most used evaluation strategies, (3) identifying comfort types and most evaluated variables, and (4) determining whether or not Latin American buildings are comfortable and what local factors contribute to that effect. From the 100 selected papers for this analysis, it was noted that Brazil and Argentina led the studies on residences and schools. It was also noted that hygrothermal comfort was the most analyzed comfort type, with temperature and humidity leading the number of studies. Finally, this review shows a lack of studies including buildings whose users are sensitive to indoor environmental quality, such as nurseries, senior homes, or health facilities. Additionally, there is a sustained discrepancy between objective measuring methods and user perception. Furthermore, a detailed analysis of 88 buildings shows that in Latin America, 67.5% of buildings are uncomfortable; thus, it is necessary to improve the designs and regulatory standards, to educate users, and to improve building monitoring management at the operational stage.</t>
        </is>
      </c>
      <c r="X1758" t="inlineStr">
        <is>
          <t>[Valderrama-Ulloa, Claudia; Silva-Castillo, Lorena; Robles-Calderon, Carlos; Rouault, Fabien] Pontificia Univ Catolica Chile, Sch Civil Construct, Av Libertador Bernardo OHiggins 340, Santiago 8331150, Chile; [Sandoval-Grandi, Catalina] Pontificia Univ Catolica Chile, Sch Engn, Av Libertador Bernardo OHiggins 340, Santiago 8331150, Chile</t>
        </is>
      </c>
      <c r="Y1758" t="inlineStr">
        <is>
          <t>Pontificia Universidad Catolica de Chile; Pontificia Universidad Catolica de Chile</t>
        </is>
      </c>
      <c r="Z1758" t="inlineStr">
        <is>
          <t>Valderrama-Ulloa, C (corresponding author), Pontificia Univ Catolica Chile, Sch Civil Construct, Av Libertador Bernardo OHiggins 340, Santiago 8331150, Chile.</t>
        </is>
      </c>
      <c r="AA1758" t="inlineStr">
        <is>
          <t>c.valderrama@uc.cl; ldsilva1@uc.cl; cpsandoval@uc.cl; cerobles@uc.cl; frouault@uc.cl</t>
        </is>
      </c>
      <c r="AB1758" t="inlineStr">
        <is>
          <t>Rouault, Fabien/D-1919-2015; Valderrama Ulloa, Claudia/JJE-1811-2023; Rouault, Fabien/JBJ-7625-2023</t>
        </is>
      </c>
      <c r="AC1758" t="inlineStr">
        <is>
          <t>Rouault, Fabien/0000-0002-6585-7983; Valderrama Ulloa, Claudia/0000-0002-1603-9714; Rouault, Fabien/0000-0002-6585-7983</t>
        </is>
      </c>
      <c r="AH1758" t="n">
        <v>133</v>
      </c>
      <c r="AI1758" t="n">
        <v>6</v>
      </c>
      <c r="AJ1758" t="n">
        <v>6</v>
      </c>
      <c r="AK1758" t="n">
        <v>6</v>
      </c>
      <c r="AL1758" t="n">
        <v>23</v>
      </c>
      <c r="AM1758" t="inlineStr">
        <is>
          <t>MDPI</t>
        </is>
      </c>
      <c r="AN1758" t="inlineStr">
        <is>
          <t>BASEL</t>
        </is>
      </c>
      <c r="AO1758" t="inlineStr">
        <is>
          <t>ST ALBAN-ANLAGE 66, CH-4052 BASEL, SWITZERLAND</t>
        </is>
      </c>
      <c r="AQ1758" t="inlineStr">
        <is>
          <t>2071-1050</t>
        </is>
      </c>
      <c r="AS1758" t="inlineStr">
        <is>
          <t>SUSTAINABILITY-BASEL</t>
        </is>
      </c>
      <c r="AT1758" t="inlineStr">
        <is>
          <t>Sustainability</t>
        </is>
      </c>
      <c r="AU1758" t="inlineStr">
        <is>
          <t>JAN 2</t>
        </is>
      </c>
      <c r="AV1758" t="n">
        <v>2020</v>
      </c>
      <c r="AW1758" t="n">
        <v>12</v>
      </c>
      <c r="AX1758" t="n">
        <v>2</v>
      </c>
      <c r="BE1758" t="n">
        <v>643</v>
      </c>
      <c r="BF1758" t="inlineStr">
        <is>
          <t>10.3390/su12020643</t>
        </is>
      </c>
      <c r="BG1758">
        <f>HYPERLINK("http://dx.doi.org/10.3390/su12020643","http://dx.doi.org/10.3390/su12020643")</f>
        <v/>
      </c>
      <c r="BJ1758" t="n">
        <v>19</v>
      </c>
      <c r="BK1758" t="inlineStr">
        <is>
          <t>Green &amp; Sustainable Science &amp; Technology; Environmental Sciences; Environmental Studies</t>
        </is>
      </c>
      <c r="BL1758" t="inlineStr">
        <is>
          <t>Science Citation Index Expanded (SCI-EXPANDED); Social Science Citation Index (SSCI)</t>
        </is>
      </c>
      <c r="BM1758" t="inlineStr">
        <is>
          <t>Science &amp; Technology - Other Topics; Environmental Sciences &amp; Ecology</t>
        </is>
      </c>
      <c r="BN1758" t="inlineStr">
        <is>
          <t>KQ3KE</t>
        </is>
      </c>
      <c r="BP1758" t="inlineStr">
        <is>
          <t>Green Published, gold</t>
        </is>
      </c>
      <c r="BS1758" t="inlineStr">
        <is>
          <t>2023-10-26</t>
        </is>
      </c>
      <c r="BT1758" t="inlineStr">
        <is>
          <t>WOS:000516824600201</t>
        </is>
      </c>
      <c r="BU1758">
        <f>HYPERLINK("https%3A%2F%2Fwww.webofscience.com%2Fwos%2Fwoscc%2Ffull-record%2FWOS:000516824600201","View Full Record in Web of Science")</f>
        <v/>
      </c>
    </row>
    <row r="1759">
      <c r="A1759" t="inlineStr">
        <is>
          <t>J</t>
        </is>
      </c>
      <c r="B1759" t="inlineStr">
        <is>
          <t>Erlania; Bellgrove, A; Macreadie, PI; Young, MA; Holland, OJ; Clark, Z; Ierodiaconou, D; Carvalho, RC; Kennedy, D; Miller, AD</t>
        </is>
      </c>
      <c r="F1759" t="inlineStr">
        <is>
          <t>Erlania; Bellgrove, Alecia; Macreadie, Peter I.; Young, Mary A.; Holland, Owen J.; Clark, Zach; Ierodiaconou, Daniel; Carvalho, Rafael C.; Kennedy, David; Miller, Adam D.</t>
        </is>
      </c>
      <c r="J1759" t="inlineStr">
        <is>
          <t>SCIENCE OF THE TOTAL ENVIRONMENT</t>
        </is>
      </c>
      <c r="M1759" t="inlineStr">
        <is>
          <t>English</t>
        </is>
      </c>
      <c r="N1759" t="inlineStr">
        <is>
          <t>Article</t>
        </is>
      </c>
      <c r="T1759" t="inlineStr">
        <is>
          <t>Patterns and drivers of macroalgal 'blue carbon' transport and deposition in near-shore coastal environments</t>
        </is>
      </c>
      <c r="U1759" t="inlineStr">
        <is>
          <t>Seaweed carbon; Biomass export; Carbon deposition; Coastal sediments; eDNA; Biomarkers</t>
        </is>
      </c>
      <c r="V1759" t="inlineStr">
        <is>
          <t>ORGANIC-MATTER; PHYSICAL DISTURBANCES; MARINE MACROPHYTES; SEDIMENTS; BIODIVERSITY; DIVERSITY; HOTSPOTS; ADAPTATION; COMMUNITY; MARKERS</t>
        </is>
      </c>
      <c r="W1759" t="inlineStr">
        <is>
          <t>The role of macroalgae (seaweed) as a global contributor to carbon drawdown within marine sediments - termed 'blue carbon' - remains uncertain and controversial. While studies are needed to validate the potential for macroalgal-carbon sequestration in marine and coastal sediments, fundamental questions regarding the fate of dislodged macroalgal biomass need to be addressed. Evidence suggests macroalgal biomass may be advected and deposited within other vegetated coastal ecosystems and down to the deep ocean; however, contributions to near-shore sediments within coastal waters remain uncertain. In this study a combination of eDNA metabarcoding and surficial sediment sampling informed by seabed mapping from different physical environments was used to test for the presence of macroalgal carbon in near-shore coastal sediments in south-eastern Australia, and the physical factors influencing patterns of macroalgal transport and deposition. DNA products for a total of 68 macroalgal taxa, representing all major macroalgal groups (Phaeophyceae, Rhodophyta, and Chlorophyta) were successfully detected at 112 nearshore locations. These findings confirm the potential for macroalgal biomass to be exported into near-shore sediments and suggest macroalgal carbon donors could be both speciose and diverse. Modelling suggested that macroalgal transport and deposition, and total organic carbon (TOC), are influenced by complex interactions between several physical environmental factors including water depth, sediment grain size, wave orbital velocity, current speed, current direction, and the extent of the infralittoral zone around depositional areas. Extrapolation of the optimised model was used to predict spatial patterns of macroalgal deposition and TOC across the coastline and to identify potentially important carbon sinks. This study builds on recent studies providing empirical evidence for macroalgal biomass deposits in nearshore sediments, and a framework for predicting the spatial distribution of potential carbon sinks and informing future surveys aimed at determining the potential for long-term macroalgal carbon sequestration in marine sediments.</t>
        </is>
      </c>
      <c r="X1759" t="inlineStr">
        <is>
          <t>[Erlania; Bellgrove, Alecia; Young, Mary A.; Holland, Owen J.; Clark, Zach; Ierodiaconou, Daniel; Miller, Adam D.] Deakin Univ, Sch Life &amp; Environm Sci, Warrnambool, Vic 3280, Australia; [Macreadie, Peter I.] Deakin Univ, Sch Life &amp; Environm Sci, Burwood, Vic 3125, Australia; [Carvalho, Rafael C.] Monash Univ, Sch Earth Atmosphere &amp; Environm, Clayton, Australia; [Kennedy, David] Univ, Sch Geog Earth &amp; Atmospher Sci, Melbourne, Australia; [Erlania] Natl Res &amp; Innovat Agcy BRIN, Res Ctr Oceanog, Dki Jakar 14430, Indonesia</t>
        </is>
      </c>
      <c r="Y1759" t="inlineStr">
        <is>
          <t>Deakin University; Deakin University; Monash University; National Research &amp; Innovation Agency of Indonesia (BRIN)</t>
        </is>
      </c>
      <c r="Z1759" t="inlineStr">
        <is>
          <t>Erlania (corresponding author), Deakin Univ, Sch Life &amp; Environm Sci, Warrnambool, Vic 3280, Australia.</t>
        </is>
      </c>
      <c r="AA1759" t="inlineStr">
        <is>
          <t>erlania@deakin.edu.au</t>
        </is>
      </c>
      <c r="AB1759" t="inlineStr">
        <is>
          <t>Erlania, Ellyn/O-6145-2018</t>
        </is>
      </c>
      <c r="AC1759" t="inlineStr">
        <is>
          <t>Erlania, Ellyn/0000-0002-3131-7460; Holland, Owen/0000-0002-2244-9373</t>
        </is>
      </c>
      <c r="AD1759" t="inlineStr">
        <is>
          <t>Ecological Society of Australia; Bill Borthwick Scholarship 2019 through Victorian Environmental Assessment Council; School of Life and Environmental Sciences at Deakin University; Centre for Integrative Ecology (CIE) at Deakin University; Australia Awards Scholarship from the Department of Foreign Affairs and Trade (DFAT) Australia; Australian Research Council [DP200100575]; Australian Research Council [DP200100575] Funding Source: Australian Research Council</t>
        </is>
      </c>
      <c r="AE1759" t="inlineStr">
        <is>
          <t>Ecological Society of Australia; Bill Borthwick Scholarship 2019 through Victorian Environmental Assessment Council; School of Life and Environmental Sciences at Deakin University; Centre for Integrative Ecology (CIE) at Deakin University; Australia Awards Scholarship from the Department of Foreign Affairs and Trade (DFAT) Australia; Australian Research Council(Australian Research Council); Australian Research Council(Australian Research Council)</t>
        </is>
      </c>
      <c r="AF1759" t="inlineStr">
        <is>
          <t>This project was financially supported by Holsworth Wildlife Research Endowment 2019 and 2021 from Ecological Society of Australia, Bill Borthwick Scholarship 2019 through Victorian Environmental Assessment Council, School of Life and Environmental Sciences and Centre for Integrative Ecology (CIE) at Deakin University, and an Australia Awards Scholarship to the lead author from the Department of Foreign Affairs and Trade (DFAT) Australia, with contributions from an Australian Research Council Discovery Grant (DP200100575) (for carbon analysis) and the Victorian Coastal Monitoring Program, through the Victorian Government, Department of Environment, Land, Water and Planning Sustainability Fund, Deakin University and University of Melbourne for the sediment collection and grain-size analysis. We acknowledge technical assistance from Claudia Zanette and Josephine Woods for the sediment grain-size preparation and analysis, associate supervision from David Francis.</t>
        </is>
      </c>
      <c r="AH1759" t="n">
        <v>146</v>
      </c>
      <c r="AI1759" t="n">
        <v>0</v>
      </c>
      <c r="AJ1759" t="n">
        <v>0</v>
      </c>
      <c r="AK1759" t="n">
        <v>23</v>
      </c>
      <c r="AL1759" t="n">
        <v>23</v>
      </c>
      <c r="AM1759" t="inlineStr">
        <is>
          <t>ELSEVIER</t>
        </is>
      </c>
      <c r="AN1759" t="inlineStr">
        <is>
          <t>AMSTERDAM</t>
        </is>
      </c>
      <c r="AO1759" t="inlineStr">
        <is>
          <t>RADARWEG 29, 1043 NX AMSTERDAM, NETHERLANDS</t>
        </is>
      </c>
      <c r="AP1759" t="inlineStr">
        <is>
          <t>0048-9697</t>
        </is>
      </c>
      <c r="AQ1759" t="inlineStr">
        <is>
          <t>1879-1026</t>
        </is>
      </c>
      <c r="AS1759" t="inlineStr">
        <is>
          <t>SCI TOTAL ENVIRON</t>
        </is>
      </c>
      <c r="AT1759" t="inlineStr">
        <is>
          <t>Sci. Total Environ.</t>
        </is>
      </c>
      <c r="AU1759" t="inlineStr">
        <is>
          <t>SEP 10</t>
        </is>
      </c>
      <c r="AV1759" t="n">
        <v>2023</v>
      </c>
      <c r="AW1759" t="n">
        <v>890</v>
      </c>
      <c r="BE1759" t="n">
        <v>164430</v>
      </c>
      <c r="BF1759" t="inlineStr">
        <is>
          <t>10.1016/j.scitotenv.2023.164430</t>
        </is>
      </c>
      <c r="BG1759">
        <f>HYPERLINK("http://dx.doi.org/10.1016/j.scitotenv.2023.164430","http://dx.doi.org/10.1016/j.scitotenv.2023.164430")</f>
        <v/>
      </c>
      <c r="BI1759" t="inlineStr">
        <is>
          <t>JUN 2023</t>
        </is>
      </c>
      <c r="BJ1759" t="n">
        <v>15</v>
      </c>
      <c r="BK1759" t="inlineStr">
        <is>
          <t>Environmental Sciences</t>
        </is>
      </c>
      <c r="BL1759" t="inlineStr">
        <is>
          <t>Science Citation Index Expanded (SCI-EXPANDED)</t>
        </is>
      </c>
      <c r="BM1759" t="inlineStr">
        <is>
          <t>Environmental Sciences &amp; Ecology</t>
        </is>
      </c>
      <c r="BN1759" t="inlineStr">
        <is>
          <t>L7AQ4</t>
        </is>
      </c>
      <c r="BO1759" t="n">
        <v>37247743</v>
      </c>
      <c r="BP1759" t="inlineStr">
        <is>
          <t>hybrid</t>
        </is>
      </c>
      <c r="BS1759" t="inlineStr">
        <is>
          <t>2023-10-26</t>
        </is>
      </c>
      <c r="BT1759" t="inlineStr">
        <is>
          <t>WOS:001024752700001</t>
        </is>
      </c>
      <c r="BU1759">
        <f>HYPERLINK("https%3A%2F%2Fwww.webofscience.com%2Fwos%2Fwoscc%2Ffull-record%2FWOS:001024752700001","View Full Record in Web of Science")</f>
        <v/>
      </c>
    </row>
    <row r="1760">
      <c r="A1760" t="inlineStr">
        <is>
          <t>J</t>
        </is>
      </c>
      <c r="B1760" t="inlineStr">
        <is>
          <t>Klanica, R; Grison, H; Steffl, J; Beránek, R</t>
        </is>
      </c>
      <c r="F1760" t="inlineStr">
        <is>
          <t>Klanica, Radek; Grison, Hana; Steffl, Jindrich; Beranek, Roman</t>
        </is>
      </c>
      <c r="J1760" t="inlineStr">
        <is>
          <t>REMOTE SENSING</t>
        </is>
      </c>
      <c r="M1760" t="inlineStr">
        <is>
          <t>English</t>
        </is>
      </c>
      <c r="N1760" t="inlineStr">
        <is>
          <t>Article</t>
        </is>
      </c>
      <c r="T1760" t="inlineStr">
        <is>
          <t>Assessing the Volume of Defensive Structures for Architectural Energetics Analysis Using 3D Electrical Resistivity Tomography</t>
        </is>
      </c>
      <c r="U1760" t="inlineStr">
        <is>
          <t>electrical resistivity tomography; archaeological prospection; geophysics; hillfort; architectural energetics; volume</t>
        </is>
      </c>
      <c r="V1760" t="inlineStr">
        <is>
          <t>DATA INCORPORATING TOPOGRAPHY; BRONZE-AGE SETTLEMENT; INVERSION; 2D; CONSTRUCTION; FIDVAR</t>
        </is>
      </c>
      <c r="W1760" t="inlineStr">
        <is>
          <t>Architectural energetics is a methodology that translates architectural objects into a quantitative time-labor equivalent, from which information about past societies, labor organizations, or political relations can be inferred. Preceding such study, the volume of every architectural structure must be determined. This is usually done by in situ measurements and computing of volume by mathematical formulae or using UAV-based photogrammetry processed into digital surface model. However, both of these methods are impracticable in the case of buried or semi-buried monuments where the only remaining option is direct excavation. Hence, we introduce a new method for the determination of volumetric information based on the electrical resistivity tomography (ERT) geophysical method. We conducted our study at defensive lines (ramparts/ditches) within two hillforts of different ages, constructed from different building materials, in the Czech Republic. ERT surveys performed in 3D can differentiate ramparts/ditches in detail from the surrounding environment based on resistivity. Compared to previous excavations, the 3D inversion results show that ERT can obtain meaningful volumes based on the chosen resistivity threshold. The best results were achieved on homogeneous semi-buried ramparts and the ditch. ERT can be performed at a fraction of the cost of direct excavation. This method also leaves an intact site for future generations.</t>
        </is>
      </c>
      <c r="X1760" t="inlineStr">
        <is>
          <t>[Klanica, Radek; Grison, Hana; Beranek, Roman] CAS, Inst Geophys, Bocni 2-1401, Prague 14131, Czech Republic; [Steffl, Jindrich] Reg Museum Teplice, Zamecke Namesti 14, Teplice 41501, Czech Republic</t>
        </is>
      </c>
      <c r="Y1760" t="inlineStr">
        <is>
          <t>Czech Academy of Sciences; Institute of Geophysics of the Czech Academy of Sciences</t>
        </is>
      </c>
      <c r="Z1760" t="inlineStr">
        <is>
          <t>Klanica, R (corresponding author), CAS, Inst Geophys, Bocni 2-1401, Prague 14131, Czech Republic.</t>
        </is>
      </c>
      <c r="AA1760" t="inlineStr">
        <is>
          <t>rk@ig.cas.cz; grison@ig.cas.cz; jindra.ul@post.cz; beranek@ig.cas.cz</t>
        </is>
      </c>
      <c r="AB1760" t="inlineStr">
        <is>
          <t>Beránek, Roman/GRE-6374-2022; Klanica, Radek/H-3626-2017; Beránek, Roman/JGC-7073-2023; Grison, Hana/H-6373-2014</t>
        </is>
      </c>
      <c r="AC1760" t="inlineStr">
        <is>
          <t>Klanica, Radek/0000-0002-8302-7537; Grison, Hana/0000-0002-0402-2026; Beranek, Roman/0000-0002-7273-8472</t>
        </is>
      </c>
      <c r="AD1760" t="inlineStr">
        <is>
          <t>INTER-EXCELLENCE program of the Ministry of Education, Youth and Sport of the Czech Republic (MEYS) [LTC19029]</t>
        </is>
      </c>
      <c r="AE1760" t="inlineStr">
        <is>
          <t>INTER-EXCELLENCE program of the Ministry of Education, Youth and Sport of the Czech Republic (MEYS)</t>
        </is>
      </c>
      <c r="AF1760" t="inlineStr">
        <is>
          <t>This work was supported by the INTER-EXCELLENCE program of the Ministry of Education, Youth and Sport of the Czech Republic (MEYS), grant no. LTC19029.</t>
        </is>
      </c>
      <c r="AH1760" t="n">
        <v>42</v>
      </c>
      <c r="AI1760" t="n">
        <v>0</v>
      </c>
      <c r="AJ1760" t="n">
        <v>0</v>
      </c>
      <c r="AK1760" t="n">
        <v>0</v>
      </c>
      <c r="AL1760" t="n">
        <v>3</v>
      </c>
      <c r="AM1760" t="inlineStr">
        <is>
          <t>MDPI</t>
        </is>
      </c>
      <c r="AN1760" t="inlineStr">
        <is>
          <t>BASEL</t>
        </is>
      </c>
      <c r="AO1760" t="inlineStr">
        <is>
          <t>ST ALBAN-ANLAGE 66, CH-4052 BASEL, SWITZERLAND</t>
        </is>
      </c>
      <c r="AQ1760" t="inlineStr">
        <is>
          <t>2072-4292</t>
        </is>
      </c>
      <c r="AS1760" t="inlineStr">
        <is>
          <t>REMOTE SENS-BASEL</t>
        </is>
      </c>
      <c r="AT1760" t="inlineStr">
        <is>
          <t>Remote Sens.</t>
        </is>
      </c>
      <c r="AU1760" t="inlineStr">
        <is>
          <t>JUN</t>
        </is>
      </c>
      <c r="AV1760" t="n">
        <v>2022</v>
      </c>
      <c r="AW1760" t="n">
        <v>14</v>
      </c>
      <c r="AX1760" t="n">
        <v>11</v>
      </c>
      <c r="BE1760" t="n">
        <v>2652</v>
      </c>
      <c r="BF1760" t="inlineStr">
        <is>
          <t>10.3390/rs14112652</t>
        </is>
      </c>
      <c r="BG1760">
        <f>HYPERLINK("http://dx.doi.org/10.3390/rs14112652","http://dx.doi.org/10.3390/rs14112652")</f>
        <v/>
      </c>
      <c r="BJ1760" t="n">
        <v>15</v>
      </c>
      <c r="BK1760" t="inlineStr">
        <is>
          <t>Environmental Sciences; Geosciences, Multidisciplinary; Remote Sensing; Imaging Science &amp; Photographic Technology</t>
        </is>
      </c>
      <c r="BL1760" t="inlineStr">
        <is>
          <t>Science Citation Index Expanded (SCI-EXPANDED)</t>
        </is>
      </c>
      <c r="BM1760" t="inlineStr">
        <is>
          <t>Environmental Sciences &amp; Ecology; Geology; Remote Sensing; Imaging Science &amp; Photographic Technology</t>
        </is>
      </c>
      <c r="BN1760" t="inlineStr">
        <is>
          <t>1Z9MD</t>
        </is>
      </c>
      <c r="BP1760" t="inlineStr">
        <is>
          <t>gold</t>
        </is>
      </c>
      <c r="BS1760" t="inlineStr">
        <is>
          <t>2023-10-26</t>
        </is>
      </c>
      <c r="BT1760" t="inlineStr">
        <is>
          <t>WOS:000809138100001</t>
        </is>
      </c>
      <c r="BU1760">
        <f>HYPERLINK("https%3A%2F%2Fwww.webofscience.com%2Fwos%2Fwoscc%2Ffull-record%2FWOS:000809138100001","View Full Record in Web of Science")</f>
        <v/>
      </c>
    </row>
    <row r="1761">
      <c r="A1761" t="inlineStr">
        <is>
          <t>J</t>
        </is>
      </c>
      <c r="B1761" t="inlineStr">
        <is>
          <t>Wang, Q; Zhao, JY</t>
        </is>
      </c>
      <c r="F1761" t="inlineStr">
        <is>
          <t>Wang, Q.; Zhao, J. Y.</t>
        </is>
      </c>
      <c r="J1761" t="inlineStr">
        <is>
          <t>APPLIED ECOLOGY AND ENVIRONMENTAL RESEARCH</t>
        </is>
      </c>
      <c r="M1761" t="inlineStr">
        <is>
          <t>English</t>
        </is>
      </c>
      <c r="N1761" t="inlineStr">
        <is>
          <t>Article</t>
        </is>
      </c>
      <c r="T1761" t="inlineStr">
        <is>
          <t>INDOOR THERMAL ENVIRONMENT OF URBAN RESIDENTIAL BUILDINGS IN LHASA, CHINA</t>
        </is>
      </c>
      <c r="U1761" t="inlineStr">
        <is>
          <t>solar radiation intensity; non-uniformity; Dest-h; base temperature; building energy consumption</t>
        </is>
      </c>
      <c r="W1761" t="inlineStr">
        <is>
          <t>In Lhasa area, the solar radiation intensity is relatively high, so in order to satisfy the indoor natural lighting quality, it is easy to cause overheating in the south-facing room and non-uniform heat in the north-facing room with lower room temperature. In this paper, Dest-h software is used to simulate and study the base temperature and average energy consumption of non-heating residential buildings under different window-wall ratio and partition wall conditions, trying to find out the structural measures and design methods to improve the indoor thermal uniformity.</t>
        </is>
      </c>
      <c r="X1761" t="inlineStr">
        <is>
          <t>[Wang, Q.; Zhao, J. Y.] Changan Univ, Sch Architecture, 75 Changan Middle Rd, Xian 710061, Shaanxi, Peoples R China</t>
        </is>
      </c>
      <c r="Y1761" t="inlineStr">
        <is>
          <t>Chang'an University</t>
        </is>
      </c>
      <c r="Z1761" t="inlineStr">
        <is>
          <t>Zhao, JY (corresponding author), Changan Univ, Sch Architecture, 75 Changan Middle Rd, Xian 710061, Shaanxi, Peoples R China.</t>
        </is>
      </c>
      <c r="AA1761" t="inlineStr">
        <is>
          <t>zjyqtt@163.com</t>
        </is>
      </c>
      <c r="AD1761" t="inlineStr">
        <is>
          <t>National Key Research Project of China [2016YFC0700400]; Fundamental Research Funds for the Central Universities of China [310841172101]</t>
        </is>
      </c>
      <c r="AE1761" t="inlineStr">
        <is>
          <t>National Key Research Project of China; Fundamental Research Funds for the Central Universities of China(Fundamental Research Funds for the Central Universities)</t>
        </is>
      </c>
      <c r="AF1761" t="inlineStr">
        <is>
          <t>This work was financially supported by National Key Research Project of China (Project No.: 2016YFC0700400); Fundamental Research Funds for the Central Universities of China (Project No.: 310841172101).</t>
        </is>
      </c>
      <c r="AH1761" t="n">
        <v>14</v>
      </c>
      <c r="AI1761" t="n">
        <v>0</v>
      </c>
      <c r="AJ1761" t="n">
        <v>0</v>
      </c>
      <c r="AK1761" t="n">
        <v>5</v>
      </c>
      <c r="AL1761" t="n">
        <v>14</v>
      </c>
      <c r="AM1761" t="inlineStr">
        <is>
          <t>CORVINUS UNIV BUDAPEST</t>
        </is>
      </c>
      <c r="AN1761" t="inlineStr">
        <is>
          <t>BUDAPEST</t>
        </is>
      </c>
      <c r="AO1761" t="inlineStr">
        <is>
          <t>VILLANYI UT 29/43, BUDAPEST, H-1118, HUNGARY</t>
        </is>
      </c>
      <c r="AP1761" t="inlineStr">
        <is>
          <t>1589-1623</t>
        </is>
      </c>
      <c r="AQ1761" t="inlineStr">
        <is>
          <t>1785-0037</t>
        </is>
      </c>
      <c r="AS1761" t="inlineStr">
        <is>
          <t>APPL ECOL ENV RES</t>
        </is>
      </c>
      <c r="AT1761" t="inlineStr">
        <is>
          <t>Appl. Ecol. Environ. Res.</t>
        </is>
      </c>
      <c r="AV1761" t="n">
        <v>2019</v>
      </c>
      <c r="AW1761" t="n">
        <v>17</v>
      </c>
      <c r="AX1761" t="n">
        <v>4</v>
      </c>
      <c r="BC1761" t="n">
        <v>7909</v>
      </c>
      <c r="BD1761" t="n">
        <v>7916</v>
      </c>
      <c r="BF1761" t="inlineStr">
        <is>
          <t>10.15666/aeer/1704_79097916</t>
        </is>
      </c>
      <c r="BG1761">
        <f>HYPERLINK("http://dx.doi.org/10.15666/aeer/1704_79097916","http://dx.doi.org/10.15666/aeer/1704_79097916")</f>
        <v/>
      </c>
      <c r="BJ1761" t="n">
        <v>8</v>
      </c>
      <c r="BK1761" t="inlineStr">
        <is>
          <t>Ecology; Environmental Sciences</t>
        </is>
      </c>
      <c r="BL1761" t="inlineStr">
        <is>
          <t>Science Citation Index Expanded (SCI-EXPANDED)</t>
        </is>
      </c>
      <c r="BM1761" t="inlineStr">
        <is>
          <t>Environmental Sciences &amp; Ecology</t>
        </is>
      </c>
      <c r="BN1761" t="inlineStr">
        <is>
          <t>IM5XG</t>
        </is>
      </c>
      <c r="BP1761" t="inlineStr">
        <is>
          <t>gold</t>
        </is>
      </c>
      <c r="BS1761" t="inlineStr">
        <is>
          <t>2023-10-26</t>
        </is>
      </c>
      <c r="BT1761" t="inlineStr">
        <is>
          <t>WOS:000478066700049</t>
        </is>
      </c>
      <c r="BU1761">
        <f>HYPERLINK("https%3A%2F%2Fwww.webofscience.com%2Fwos%2Fwoscc%2Ffull-record%2FWOS:000478066700049","View Full Record in Web of Science")</f>
        <v/>
      </c>
    </row>
    <row r="1762">
      <c r="A1762" t="inlineStr">
        <is>
          <t>J</t>
        </is>
      </c>
      <c r="B1762" t="inlineStr">
        <is>
          <t>Marco, E; Lourencetti, C; Grimalt, JO; Gari, M; Fernández, P; Font-Ribera, L; Villanueva, CM; Kogevinas, M</t>
        </is>
      </c>
      <c r="F1762" t="inlineStr">
        <is>
          <t>Marco, Esther; Lourencetti, Carolina; Grimalt, Joan O.; Gari, Merce; Fernandez, Pilar; Font-Ribera, Laia; Villanueva, Cristina M.; Kogevinas, Manolis</t>
        </is>
      </c>
      <c r="J1762" t="inlineStr">
        <is>
          <t>ENVIRONMENTAL RESEARCH</t>
        </is>
      </c>
      <c r="M1762" t="inlineStr">
        <is>
          <t>English</t>
        </is>
      </c>
      <c r="N1762" t="inlineStr">
        <is>
          <t>Article</t>
        </is>
      </c>
      <c r="T1762" t="inlineStr">
        <is>
          <t>Influence of physical activity in the intake of trihalomethanes in indoor swimming pools</t>
        </is>
      </c>
      <c r="U1762" t="inlineStr">
        <is>
          <t>Water disinfection; Swimming pool; Exhaled breath; Trihalomethanes; Physical exercise; Distance swum; Bromoform; Dichlorobromomethane; Dibromochloromethane; Chloroform</t>
        </is>
      </c>
      <c r="V1762" t="inlineStr">
        <is>
          <t>DISINFECTION BY-PRODUCTS; VOLATILE ORGANIC-COMPOUNDS; DRINKING-WATER; ALVEOLAR AIR; EXPOSURE; CHLOROFORM; SWIMMERS; BLOOD; URINE; GENOTOXICITY</t>
        </is>
      </c>
      <c r="W1762" t="inlineStr">
        <is>
          <t>This study describes the relationship between physical activity and intake of trihalomethanes (THMs), namely chloroform (CHCl3), bromodichloromethane (CHCl2Br), dibromochloromethane (CHClBr2) and bromoform (CHBr3), in individuals exposed in two indoor swimming pools which used different disinfection agents, chlorine (Cl-SP) and bromine (Br-SP). CHCl3 and CHBr3 were the dominant compounds in air and water of the CI-SP and Br-SP, respectively. Physical exercise was assessed from distance swum and energy expenditure. The changes in exhaled breath concentrations of these compounds were measured from the differences after and before physical activity. A clear dependence between distance swum or energy expenditure and exhaled breath THM concentrations was observed. The statistically significant relationships involved higher THM concentrations at higher distances swum. However, air concentration was the major factor determining the CHCl3 and CHCl2Br intake in swimmers whereas distance swum was the main factor for CHBr3 intake. These two causes of THM incorporation into swimmers concurrently intensify the concentrations of these compounds into exhaled breath and pointed to inhalation as primary mechanism for THM uptake. Furthermore, the rates of THM incorporation were proportionally higher as higher was the degree of bromination of the THM species. This trend suggested that air-water partition mechanisms in the pulmonary system determined higher retention of the THM compounds with lower Henry's Law volatility constants than those of higher constant values. Inhalation is therefore the primary mechanisms for THM exposure of swimmers in indoor buildings. (C) 2015 Elsevier Inc. All rights reserved.</t>
        </is>
      </c>
      <c r="X1762" t="inlineStr">
        <is>
          <t>[Marco, Esther; Lourencetti, Carolina; Grimalt, Joan O.; Gari, Merce; Fernandez, Pilar] CSIC, IDEA, Dept Environm Chem, ES-08034 Barcelona, Catalonia, Spain; [Font-Ribera, Laia; Villanueva, Cristina M.; Kogevinas, Manolis] Ctr Res Environm Epidemiol CREAL, Barcelona 08003, Catalonia, Spain</t>
        </is>
      </c>
      <c r="Y1762" t="inlineStr">
        <is>
          <t>Consejo Superior de Investigaciones Cientificas (CSIC); Pompeu Fabra University</t>
        </is>
      </c>
      <c r="Z1762" t="inlineStr">
        <is>
          <t>Grimalt, JO (corresponding author), CSIC, IDEA, Dept Environm Chem, Jordi Girona 18, ES-08034 Barcelona, Catalonia, Spain.</t>
        </is>
      </c>
      <c r="AA1762" t="inlineStr">
        <is>
          <t>joan.grimat@idaea.csic.es</t>
        </is>
      </c>
      <c r="AB1762" t="inlineStr">
        <is>
          <t>Villanueva, Cristina M/N-1942-2014; Grimalt, Joan O/E-2073-2011; Garí, Mercè/J-5744-2017; Fernandez, Pilar/E-6182-2010; Kogevinas, Manolis/C-3918-2017</t>
        </is>
      </c>
      <c r="AC1762" t="inlineStr">
        <is>
          <t>Villanueva, Cristina M/0000-0002-0783-1259; Grimalt, Joan O/0000-0002-7391-5768; Garí, Mercè/0000-0001-6903-0732; Fernandez, Pilar/0000-0002-4535-5214; Kogevinas, Manolis/0000-0002-9605-0461; Lourencetti, Carolina/0009-0008-7170-0414; Font-Ribera, Laia/0000-0001-8447-4905</t>
        </is>
      </c>
      <c r="AD1762" t="inlineStr">
        <is>
          <t>Spanish Ministries of Research and Development and Economy and Competitiveness [SAF2005-07643-CO3-02, CTM2012-39298, CSD2007-00067]; HEALS from the European Union [LIFE12 ENV/GR/001040, FP7-ENV-2013-603946]; CSIC-Banco de Santander</t>
        </is>
      </c>
      <c r="AE1762" t="inlineStr">
        <is>
          <t>Spanish Ministries of Research and Development and Economy and Competitiveness; HEALS from the European Union; CSIC-Banco de Santander</t>
        </is>
      </c>
      <c r="AF1762" t="inlineStr">
        <is>
          <t>Financial support from PISCINA (SAF2005-07643-CO3-02), Expo-Cov (CTM2012-39298) and Consolider-Ingenio (CSD2007-00067) Projects from the Spanish Ministries of Research and Development and Economy and Competitiveness and (LIFE12 ENV/GR/001040) and HEALS (FP7-ENV-2013-603946) from the European Union is acknowledged. We also thank the INMA Cooperative Research Network. CL thanks the CSIC-Banco de Santander agreement for a PhD fellowship.</t>
        </is>
      </c>
      <c r="AH1762" t="n">
        <v>37</v>
      </c>
      <c r="AI1762" t="n">
        <v>18</v>
      </c>
      <c r="AJ1762" t="n">
        <v>20</v>
      </c>
      <c r="AK1762" t="n">
        <v>0</v>
      </c>
      <c r="AL1762" t="n">
        <v>45</v>
      </c>
      <c r="AM1762" t="inlineStr">
        <is>
          <t>ACADEMIC PRESS INC ELSEVIER SCIENCE</t>
        </is>
      </c>
      <c r="AN1762" t="inlineStr">
        <is>
          <t>SAN DIEGO</t>
        </is>
      </c>
      <c r="AO1762" t="inlineStr">
        <is>
          <t>525 B ST, STE 1900, SAN DIEGO, CA 92101-4495 USA</t>
        </is>
      </c>
      <c r="AP1762" t="inlineStr">
        <is>
          <t>0013-9351</t>
        </is>
      </c>
      <c r="AQ1762" t="inlineStr">
        <is>
          <t>1096-0953</t>
        </is>
      </c>
      <c r="AS1762" t="inlineStr">
        <is>
          <t>ENVIRON RES</t>
        </is>
      </c>
      <c r="AT1762" t="inlineStr">
        <is>
          <t>Environ. Res.</t>
        </is>
      </c>
      <c r="AU1762" t="inlineStr">
        <is>
          <t>JUL</t>
        </is>
      </c>
      <c r="AV1762" t="n">
        <v>2015</v>
      </c>
      <c r="AW1762" t="n">
        <v>140</v>
      </c>
      <c r="BC1762" t="n">
        <v>292</v>
      </c>
      <c r="BD1762" t="n">
        <v>299</v>
      </c>
      <c r="BF1762" t="inlineStr">
        <is>
          <t>10.1016/j.envres.2015.04.005</t>
        </is>
      </c>
      <c r="BG1762">
        <f>HYPERLINK("http://dx.doi.org/10.1016/j.envres.2015.04.005","http://dx.doi.org/10.1016/j.envres.2015.04.005")</f>
        <v/>
      </c>
      <c r="BJ1762" t="n">
        <v>8</v>
      </c>
      <c r="BK1762" t="inlineStr">
        <is>
          <t>Environmental Sciences; Public, Environmental &amp; Occupational Health</t>
        </is>
      </c>
      <c r="BL1762" t="inlineStr">
        <is>
          <t>Science Citation Index Expanded (SCI-EXPANDED)</t>
        </is>
      </c>
      <c r="BM1762" t="inlineStr">
        <is>
          <t>Environmental Sciences &amp; Ecology; Public, Environmental &amp; Occupational Health</t>
        </is>
      </c>
      <c r="BN1762" t="inlineStr">
        <is>
          <t>CM7VH</t>
        </is>
      </c>
      <c r="BO1762" t="n">
        <v>25885117</v>
      </c>
      <c r="BP1762" t="inlineStr">
        <is>
          <t>Green Submitted</t>
        </is>
      </c>
      <c r="BS1762" t="inlineStr">
        <is>
          <t>2023-10-26</t>
        </is>
      </c>
      <c r="BT1762" t="inlineStr">
        <is>
          <t>WOS:000357904100032</t>
        </is>
      </c>
      <c r="BU1762">
        <f>HYPERLINK("https%3A%2F%2Fwww.webofscience.com%2Fwos%2Fwoscc%2Ffull-record%2FWOS:000357904100032","View Full Record in Web of Science")</f>
        <v/>
      </c>
    </row>
    <row r="1763">
      <c r="A1763" t="inlineStr">
        <is>
          <t>J</t>
        </is>
      </c>
      <c r="B1763" t="inlineStr">
        <is>
          <t>Tavares, J; Sa-Couto, P; Reis, JD; Boltz, M; Capezuti, E</t>
        </is>
      </c>
      <c r="F1763" t="inlineStr">
        <is>
          <t>Tavares, Joao; Sa-Couto, Pedro; Reis, Joao Duarte; Boltz, Marie; Capezuti, Elizabeth</t>
        </is>
      </c>
      <c r="J1763" t="inlineStr">
        <is>
          <t>INTERNATIONAL JOURNAL OF ENVIRONMENTAL RESEARCH AND PUBLIC HEALTH</t>
        </is>
      </c>
      <c r="M1763" t="inlineStr">
        <is>
          <t>English</t>
        </is>
      </c>
      <c r="N1763" t="inlineStr">
        <is>
          <t>Article</t>
        </is>
      </c>
      <c r="T1763" t="inlineStr">
        <is>
          <t>The Role of Frailty in Predicting 3 and 6 Months Functional Decline in Hospitalized Older Adults: Findings from a Secondary Analysis</t>
        </is>
      </c>
      <c r="U1763" t="inlineStr">
        <is>
          <t>aged; frail older adults; frailty; hospitalization; functional status; adverse effects</t>
        </is>
      </c>
      <c r="W1763" t="inlineStr">
        <is>
          <t>Frailty represents one of the most relevant geriatric syndromes in the 21st century and is a predictor of adverse outcomes in hospitalized older adult, such as, functional decline (FD). This study aimed to examine if frailty, evaluated with the Frailty Index (FI), can predict FD during and after hospitalization (3 and 6 months). Secondary data analysis of a prospective cohort study of 101 hospitalized older adults was performed. The primary outcome was FD at discharge, 3 and 6 months. The FI was created from an original database using 40 health deficits. Functional decline models for each time-point were examined using a binary logistic regression. The prevalence of frailty was 57.4% with an average score of 0.25 (+/- 0.11). Frail patients had significant and higher values for functional decline and social support for all time periods and more hospital readmission in the 3 month period. Multivariable regression analysis showed that FI was a predictor of functional decline at discharge (OR = 1.07, 95% CI = 1.02-1.14) and 3-month (OR = 1.05, 95% CI = 1.01-1.09) but not 6-month (OR = 1.03, 95% CI = 0.99-1.09) follow-up. Findings suggest that frailty at admission of hospitalized older adults can predict functional decline at discharge and 3 months post-discharge.</t>
        </is>
      </c>
      <c r="X1763" t="inlineStr">
        <is>
          <t>[Tavares, Joao] Univ Aveiro, Sch Hlth Sci, P-3810193 Aveiro, Portugal; [Tavares, Joao] Ctr Hlth Technol &amp; Serv Res, P-3810193 Aveiro, Portugal; [Tavares, Joao] Hlth Sci Res Unit Nursing UICISA E, P-3000232 Coimbra, Portugal; [Sa-Couto, Pedro; Reis, Joao Duarte] Univ Aveiro, Dept Math DMAT, P-3810193 Aveiro, Portugal; [Boltz, Marie] Penn State Univ, Coll Nursing, University Pk, PA USA; [Capezuti, Elizabeth] CUNY Hunter Coll, Sch Nursing, New York, NY 10010 USA</t>
        </is>
      </c>
      <c r="Y1763" t="inlineStr">
        <is>
          <t>Universidade de Aveiro; Nursing School of Coimbra; Universidade de Aveiro; Pennsylvania Commonwealth System of Higher Education (PCSHE); Pennsylvania State University; Pennsylvania State University - University Park; City University of New York (CUNY) System; Hunter College (CUNY)</t>
        </is>
      </c>
      <c r="Z1763" t="inlineStr">
        <is>
          <t>Tavares, J (corresponding author), Univ Aveiro, Sch Hlth Sci, P-3810193 Aveiro, Portugal.;Tavares, J (corresponding author), Ctr Hlth Technol &amp; Serv Res, P-3810193 Aveiro, Portugal.;Tavares, J (corresponding author), Hlth Sci Res Unit Nursing UICISA E, P-3000232 Coimbra, Portugal.</t>
        </is>
      </c>
      <c r="AA1763" t="inlineStr">
        <is>
          <t>joaoptavares@ua.pt; p.sa.couto@ua.pt; jduarte.reis@ua.pt; mpb40@psu.edu; ec773@hunter.cuny.edu</t>
        </is>
      </c>
      <c r="AB1763" t="inlineStr">
        <is>
          <t>Tavares, João/Q-9552-2017</t>
        </is>
      </c>
      <c r="AC1763" t="inlineStr">
        <is>
          <t>Tavares, João/0000-0003-3027-7978; Sa-Couto, Pedro/0000-0002-5673-8683; Capezuti, Elizabeth/0000-0002-7450-6368</t>
        </is>
      </c>
      <c r="AD1763" t="inlineStr">
        <is>
          <t>FCT-Fundacao para a Ciencia e a Tecnologia, I.P., within CINTESIS, RD Unit [UIDB/4255/2020]; Portuguese Foundation for Science and Technology (FCT-Fundacao para a Ciencia e a Tecnologia), through CIDMA-Center for Research and Development in Mathematics and Applications [UIDB/04106/2020]</t>
        </is>
      </c>
      <c r="AE1763" t="inlineStr">
        <is>
          <t>FCT-Fundacao para a Ciencia e a Tecnologia, I.P., within CINTESIS, RD Unit; Portuguese Foundation for Science and Technology (FCT-Fundacao para a Ciencia e a Tecnologia), through CIDMA-Center for Research and Development in Mathematics and Applications</t>
        </is>
      </c>
      <c r="AF1763" t="inlineStr">
        <is>
          <t>This article was supported by National Funds through FCT-Fundacao para a Ciencia e a Tecnologia, I.P., within CINTESIS, R&amp;D Unit (reference UIDB/4255/2020). Pedro Sa-Couto's work was supported in part by the Portuguese Foundation for Science and Technology (FCT-Fundacao para a Ciencia e a Tecnologia), through CIDMA-Center for Research and Development in Mathematics and Applications, within project UIDB/04106/2020.</t>
        </is>
      </c>
      <c r="AH1763" t="n">
        <v>39</v>
      </c>
      <c r="AI1763" t="n">
        <v>2</v>
      </c>
      <c r="AJ1763" t="n">
        <v>2</v>
      </c>
      <c r="AK1763" t="n">
        <v>0</v>
      </c>
      <c r="AL1763" t="n">
        <v>5</v>
      </c>
      <c r="AM1763" t="inlineStr">
        <is>
          <t>MDPI</t>
        </is>
      </c>
      <c r="AN1763" t="inlineStr">
        <is>
          <t>BASEL</t>
        </is>
      </c>
      <c r="AO1763" t="inlineStr">
        <is>
          <t>ST ALBAN-ANLAGE 66, CH-4052 BASEL, SWITZERLAND</t>
        </is>
      </c>
      <c r="AQ1763" t="inlineStr">
        <is>
          <t>1660-4601</t>
        </is>
      </c>
      <c r="AS1763" t="inlineStr">
        <is>
          <t>INT J ENV RES PUB HE</t>
        </is>
      </c>
      <c r="AT1763" t="inlineStr">
        <is>
          <t>Int. J. Environ. Res. Public Health</t>
        </is>
      </c>
      <c r="AU1763" t="inlineStr">
        <is>
          <t>JUL</t>
        </is>
      </c>
      <c r="AV1763" t="n">
        <v>2021</v>
      </c>
      <c r="AW1763" t="n">
        <v>18</v>
      </c>
      <c r="AX1763" t="n">
        <v>13</v>
      </c>
      <c r="BE1763" t="n">
        <v>7126</v>
      </c>
      <c r="BF1763" t="inlineStr">
        <is>
          <t>10.3390/ijerph18137126</t>
        </is>
      </c>
      <c r="BG1763">
        <f>HYPERLINK("http://dx.doi.org/10.3390/ijerph18137126","http://dx.doi.org/10.3390/ijerph18137126")</f>
        <v/>
      </c>
      <c r="BJ1763" t="n">
        <v>13</v>
      </c>
      <c r="BK1763" t="inlineStr">
        <is>
          <t>Environmental Sciences; Public, Environmental &amp; Occupational Health</t>
        </is>
      </c>
      <c r="BL1763" t="inlineStr">
        <is>
          <t>Science Citation Index Expanded (SCI-EXPANDED); Social Science Citation Index (SSCI)</t>
        </is>
      </c>
      <c r="BM1763" t="inlineStr">
        <is>
          <t>Environmental Sciences &amp; Ecology; Public, Environmental &amp; Occupational Health</t>
        </is>
      </c>
      <c r="BN1763" t="inlineStr">
        <is>
          <t>TG0RU</t>
        </is>
      </c>
      <c r="BO1763" t="n">
        <v>34281063</v>
      </c>
      <c r="BP1763" t="inlineStr">
        <is>
          <t>Green Published, gold</t>
        </is>
      </c>
      <c r="BS1763" t="inlineStr">
        <is>
          <t>2023-10-26</t>
        </is>
      </c>
      <c r="BT1763" t="inlineStr">
        <is>
          <t>WOS:000671121400001</t>
        </is>
      </c>
      <c r="BU1763">
        <f>HYPERLINK("https%3A%2F%2Fwww.webofscience.com%2Fwos%2Fwoscc%2Ffull-record%2FWOS:000671121400001","View Full Record in Web of Science")</f>
        <v/>
      </c>
    </row>
    <row r="1764">
      <c r="A1764" t="inlineStr">
        <is>
          <t>J</t>
        </is>
      </c>
      <c r="B1764" t="inlineStr">
        <is>
          <t>Ronzi, S; Orton, L; Buckner, S; Bruce, N; Pope, D</t>
        </is>
      </c>
      <c r="F1764" t="inlineStr">
        <is>
          <t>Ronzi, Sara; Orton, Lois; Buckner, Stefanie; Bruce, Nigel; Pope, Daniel</t>
        </is>
      </c>
      <c r="J1764" t="inlineStr">
        <is>
          <t>INTERNATIONAL JOURNAL OF ENVIRONMENTAL RESEARCH AND PUBLIC HEALTH</t>
        </is>
      </c>
      <c r="M1764" t="inlineStr">
        <is>
          <t>English</t>
        </is>
      </c>
      <c r="N1764" t="inlineStr">
        <is>
          <t>Article</t>
        </is>
      </c>
      <c r="T1764" t="inlineStr">
        <is>
          <t>How is Respect and Social Inclusion Conceptualised by Older Adults in an Aspiring Age-Friendly City? A Photovoice Study in the North-West of England</t>
        </is>
      </c>
      <c r="U1764" t="inlineStr">
        <is>
          <t>Age-Friendly Cities; photovoice; qualitative research; healthy ageing; active ageing; older people; social inclusion; participation; UK</t>
        </is>
      </c>
      <c r="V1764" t="inlineStr">
        <is>
          <t>COMMUNITY INITIATIVES; RURAL COMMUNITIES; PHYSICAL-ACTIVITY; CITIES; PERCEPTIONS; ENVIRONMENT; WELL; PERSPECTIVES; METHODOLOGY; RESIDENTS</t>
        </is>
      </c>
      <c r="W1764" t="inlineStr">
        <is>
          <t>The World Health Organisation (WHO) Global Age-Friendly Cities (AFC) Guide classifies key characteristics of an AFC according to eight domains. Whilst much age-friendly practice and research have focused on domains of the physical environment, those related to the social environment have received less attention. Using a Photovoice methodology within a Community-Based Participatory Research approach, our study draws on photographs, interviews and focus groups among 26 older Liverpool residents (60+ years) to explore how the city promotes respect and social inclusion (a core WHO AFC domain). Being involved in this photovoice study allowed older adults across four contrasting neighbourhoods to communicate their perspectives directly to Liverpool's policymakers, service providers and third sector organisations. This paper provides novel insights into how: (i) respect and social inclusion are shaped by aspects of both physical and social environment, and (ii) the accessibility, affordability and sociability of physical spaces and wider social processes (e.g., neighbourhood fragmentation) contributed to or hindered participants' health, wellbeing, intergenerational relationships and feelings of inclusion and connection. Our findings suggest that respect and social inclusion are relevant across all eight domains of the WHO AFC Guide. It is core to an AFC and should be reflected in both city-based policies and evaluations.</t>
        </is>
      </c>
      <c r="X1764" t="inlineStr">
        <is>
          <t>[Ronzi, Sara] London Sch Hyg &amp; Trop Med, Fac Publ Hlth &amp; Policy, Dept Hlth Serv Res &amp; Policy, London WC1H 9SH, England; [Ronzi, Sara; Orton, Lois; Bruce, Nigel; Pope, Daniel] Univ Liverpool, Dept Publ Hlth Policy &amp; Syst, Liverpool L69 3DT, Merseyside, England; [Orton, Lois] Univ Sheffield, Dept Sociol Studies, Sheffield S10 2TU, S Yorkshire, England; [Buckner, Stefanie] Univ Cambridge, Cambridge Publ Hlth, Cambridge CB2 0SR, England</t>
        </is>
      </c>
      <c r="Y1764" t="inlineStr">
        <is>
          <t>University of London; London School of Hygiene &amp; Tropical Medicine; University of Liverpool; University of Sheffield; University of Cambridge</t>
        </is>
      </c>
      <c r="Z1764" t="inlineStr">
        <is>
          <t>Ronzi, S (corresponding author), London Sch Hyg &amp; Trop Med, Fac Publ Hlth &amp; Policy, Dept Hlth Serv Res &amp; Policy, London WC1H 9SH, England.;Ronzi, S (corresponding author), Univ Liverpool, Dept Publ Hlth Policy &amp; Syst, Liverpool L69 3DT, Merseyside, England.</t>
        </is>
      </c>
      <c r="AA1764" t="inlineStr">
        <is>
          <t>sara.ronzi@lshtm.ac.uk; l.orton@sheffield.ac.uk; sb959@medschl.cam.ac.uk; nigelbruce16@outlook.com; danpope@liverpool.ac.uk</t>
        </is>
      </c>
      <c r="AB1764" t="inlineStr">
        <is>
          <t>Pope, Daniel P/C-3054-2014; Ronzi, Sara/AAD-8392-2022</t>
        </is>
      </c>
      <c r="AC1764" t="inlineStr">
        <is>
          <t>Ronzi, Sara/0000-0002-6089-9586; Buckner, Stefanie/0000-0001-6820-7057; Pope, Daniel/0000-0003-2694-5478; Orton, Lois/0000-0002-9641-523X</t>
        </is>
      </c>
      <c r="AD1764" t="inlineStr">
        <is>
          <t>National Institute for Health Research School for Public Health Research; National Institute for Health Research School for Public Health Research Fellowship [PD-SPH-2015]</t>
        </is>
      </c>
      <c r="AE1764" t="inlineStr">
        <is>
          <t>National Institute for Health Research School for Public Health Research; National Institute for Health Research School for Public Health Research Fellowship</t>
        </is>
      </c>
      <c r="AF1764" t="inlineStr">
        <is>
          <t>This doctoral research was supported by the National Institute for Health Research School for Public Health Research. Since April 2020, Sara Ronzi has been supported by the National Institute for Health Research School for Public Health Research Fellowship, Grant Reference Number PD-SPH-2015. The views expressed are those of the author(s) and not necessarily those of the NIHR or the Department of Health and Social Care.</t>
        </is>
      </c>
      <c r="AH1764" t="n">
        <v>84</v>
      </c>
      <c r="AI1764" t="n">
        <v>11</v>
      </c>
      <c r="AJ1764" t="n">
        <v>11</v>
      </c>
      <c r="AK1764" t="n">
        <v>3</v>
      </c>
      <c r="AL1764" t="n">
        <v>40</v>
      </c>
      <c r="AM1764" t="inlineStr">
        <is>
          <t>MDPI</t>
        </is>
      </c>
      <c r="AN1764" t="inlineStr">
        <is>
          <t>BASEL</t>
        </is>
      </c>
      <c r="AO1764" t="inlineStr">
        <is>
          <t>ST ALBAN-ANLAGE 66, CH-4052 BASEL, SWITZERLAND</t>
        </is>
      </c>
      <c r="AQ1764" t="inlineStr">
        <is>
          <t>1660-4601</t>
        </is>
      </c>
      <c r="AS1764" t="inlineStr">
        <is>
          <t>INT J ENV RES PUB HE</t>
        </is>
      </c>
      <c r="AT1764" t="inlineStr">
        <is>
          <t>Int. J. Environ. Res. Public Health</t>
        </is>
      </c>
      <c r="AU1764" t="inlineStr">
        <is>
          <t>DEC</t>
        </is>
      </c>
      <c r="AV1764" t="n">
        <v>2020</v>
      </c>
      <c r="AW1764" t="n">
        <v>17</v>
      </c>
      <c r="AX1764" t="n">
        <v>24</v>
      </c>
      <c r="BE1764" t="n">
        <v>9246</v>
      </c>
      <c r="BF1764" t="inlineStr">
        <is>
          <t>10.3390/ijerph17249246</t>
        </is>
      </c>
      <c r="BG1764">
        <f>HYPERLINK("http://dx.doi.org/10.3390/ijerph17249246","http://dx.doi.org/10.3390/ijerph17249246")</f>
        <v/>
      </c>
      <c r="BJ1764" t="n">
        <v>29</v>
      </c>
      <c r="BK1764" t="inlineStr">
        <is>
          <t>Environmental Sciences; Public, Environmental &amp; Occupational Health</t>
        </is>
      </c>
      <c r="BL1764" t="inlineStr">
        <is>
          <t>Science Citation Index Expanded (SCI-EXPANDED); Social Science Citation Index (SSCI)</t>
        </is>
      </c>
      <c r="BM1764" t="inlineStr">
        <is>
          <t>Environmental Sciences &amp; Ecology; Public, Environmental &amp; Occupational Health</t>
        </is>
      </c>
      <c r="BN1764" t="inlineStr">
        <is>
          <t>PL0VN</t>
        </is>
      </c>
      <c r="BO1764" t="n">
        <v>33321914</v>
      </c>
      <c r="BP1764" t="inlineStr">
        <is>
          <t>gold, Green Submitted, Green Published, Green Accepted</t>
        </is>
      </c>
      <c r="BS1764" t="inlineStr">
        <is>
          <t>2023-10-26</t>
        </is>
      </c>
      <c r="BT1764" t="inlineStr">
        <is>
          <t>WOS:000602850700001</t>
        </is>
      </c>
      <c r="BU1764">
        <f>HYPERLINK("https%3A%2F%2Fwww.webofscience.com%2Fwos%2Fwoscc%2Ffull-record%2FWOS:000602850700001","View Full Record in Web of Science")</f>
        <v/>
      </c>
    </row>
    <row r="1765">
      <c r="A1765" t="inlineStr">
        <is>
          <t>J</t>
        </is>
      </c>
      <c r="B1765" t="inlineStr">
        <is>
          <t>Gherhes, V; Cernicova-Buca, M; Farcasiu, MA; Palea, A</t>
        </is>
      </c>
      <c r="F1765" t="inlineStr">
        <is>
          <t>Gherhes, Vasile; Cernicova-Buca, Mariana; Farcasiu, Marcela Alina; Palea, Adina</t>
        </is>
      </c>
      <c r="J1765" t="inlineStr">
        <is>
          <t>INTERNATIONAL JOURNAL OF ENVIRONMENTAL RESEARCH AND PUBLIC HEALTH</t>
        </is>
      </c>
      <c r="M1765" t="inlineStr">
        <is>
          <t>English</t>
        </is>
      </c>
      <c r="N1765" t="inlineStr">
        <is>
          <t>Article</t>
        </is>
      </c>
      <c r="T1765" t="inlineStr">
        <is>
          <t>Romanian Students' Environment-Related Routines during COVID-19 Home Confinement: Water, Plastic, and Paper Consumption</t>
        </is>
      </c>
      <c r="U1765" t="inlineStr">
        <is>
          <t>student campus; post-COVID-19 higher education; socio-ecological system; territorial sustainability; environmental policy; green university; environment-related routine; water consumption; plastic consumption; paper consumption</t>
        </is>
      </c>
      <c r="V1765" t="inlineStr">
        <is>
          <t>UNIVERSITY; BEHAVIOR; HOUSEHOLDS; SUSTAINABILITY; DETERMINANTS; PERCEPTIONS; EDUCATION; DEMAND; IMPACT; HABIT</t>
        </is>
      </c>
      <c r="W1765" t="inlineStr">
        <is>
          <t>The disruptive force of the COVID-19 pandemic is lessening in power and plans are being made for the postcrisis period, among which increasing the sustainability of higher education is of significant importance. The study aims at establishing students' existing environment-related routines during their home confinement, as a basis for applying green measures to campus living once academic life is resumed with the physical presence of students. The collected data rely on self-reported information provided by 816 students from Politehnica University of Timisoara (Romania), collected via an online, anonymous survey. The novelty of the approach is that household environment-related routines are investigated during a crisis period, with the possibility to build upon the results to implement tailored measures to encourage or diminish environmentally relevant consumption by young, highly skilled individuals. The students display a moderate awareness of environmental issues and indicate consumption routines that may be steered towards an increased sustainability-conscious campus life, through the combined intervention of the university, city administration, and stakeholder involvement. The findings are used to explore the possible directions for action towards increasing or contributing to the territorial sustainability in the socio-ecological context of Timisoara, the largest university city in the western part of Romania via educational, managerial and policy interventions.</t>
        </is>
      </c>
      <c r="X1765" t="inlineStr">
        <is>
          <t>[Gherhes, Vasile; Cernicova-Buca, Mariana; Farcasiu, Marcela Alina; Palea, Adina] Politehn Univ Timisoara, Dept Commun &amp; Foreign Languages, Timisoara 300006, Romania</t>
        </is>
      </c>
      <c r="Y1765" t="inlineStr">
        <is>
          <t>Polytechnic University of Timisoara</t>
        </is>
      </c>
      <c r="Z1765" t="inlineStr">
        <is>
          <t>Gherhes, V; Cernicova-Buca, M (corresponding author), Politehn Univ Timisoara, Dept Commun &amp; Foreign Languages, Timisoara 300006, Romania.</t>
        </is>
      </c>
      <c r="AA1765" t="inlineStr">
        <is>
          <t>vasile.gherhes@upt.ro; mariana.cernicova@upt.ro; marcela.farcasiu@upt.ro; Adina.palea@upt.ro</t>
        </is>
      </c>
      <c r="AB1765" t="inlineStr">
        <is>
          <t>Gherhes, Vasile/AAD-5568-2021; Palea, Adina/ABH-1097-2021; Cernicova-Buca, Mariana/N-6787-2014; FARCASIU, MARCELA ALINA/U-7895-2017; Gherhes, Vasile/ABL-0839-2022</t>
        </is>
      </c>
      <c r="AC1765" t="inlineStr">
        <is>
          <t>Gherhes, Vasile/0000-0001-8633-7584; Cernicova-Buca, Mariana/0000-0002-5736-9576; Gherhes, Vasile/0000-0001-8633-7584; FARCASIU, MARCELA ALINA/0000-0002-8390-4608; Palea, Adina/0000-0003-0542-5756</t>
        </is>
      </c>
      <c r="AH1765" t="n">
        <v>69</v>
      </c>
      <c r="AI1765" t="n">
        <v>6</v>
      </c>
      <c r="AJ1765" t="n">
        <v>6</v>
      </c>
      <c r="AK1765" t="n">
        <v>1</v>
      </c>
      <c r="AL1765" t="n">
        <v>15</v>
      </c>
      <c r="AM1765" t="inlineStr">
        <is>
          <t>MDPI</t>
        </is>
      </c>
      <c r="AN1765" t="inlineStr">
        <is>
          <t>BASEL</t>
        </is>
      </c>
      <c r="AO1765" t="inlineStr">
        <is>
          <t>ST ALBAN-ANLAGE 66, CH-4052 BASEL, SWITZERLAND</t>
        </is>
      </c>
      <c r="AQ1765" t="inlineStr">
        <is>
          <t>1660-4601</t>
        </is>
      </c>
      <c r="AS1765" t="inlineStr">
        <is>
          <t>INT J ENV RES PUB HE</t>
        </is>
      </c>
      <c r="AT1765" t="inlineStr">
        <is>
          <t>Int. J. Environ. Res. Public Health</t>
        </is>
      </c>
      <c r="AU1765" t="inlineStr">
        <is>
          <t>AUG</t>
        </is>
      </c>
      <c r="AV1765" t="n">
        <v>2021</v>
      </c>
      <c r="AW1765" t="n">
        <v>18</v>
      </c>
      <c r="AX1765" t="n">
        <v>15</v>
      </c>
      <c r="BE1765" t="n">
        <v>8209</v>
      </c>
      <c r="BF1765" t="inlineStr">
        <is>
          <t>10.3390/ijerph18158209</t>
        </is>
      </c>
      <c r="BG1765">
        <f>HYPERLINK("http://dx.doi.org/10.3390/ijerph18158209","http://dx.doi.org/10.3390/ijerph18158209")</f>
        <v/>
      </c>
      <c r="BJ1765" t="n">
        <v>24</v>
      </c>
      <c r="BK1765" t="inlineStr">
        <is>
          <t>Environmental Sciences; Public, Environmental &amp; Occupational Health</t>
        </is>
      </c>
      <c r="BL1765" t="inlineStr">
        <is>
          <t>Science Citation Index Expanded (SCI-EXPANDED); Social Science Citation Index (SSCI)</t>
        </is>
      </c>
      <c r="BM1765" t="inlineStr">
        <is>
          <t>Environmental Sciences &amp; Ecology; Public, Environmental &amp; Occupational Health</t>
        </is>
      </c>
      <c r="BN1765" t="inlineStr">
        <is>
          <t>TV8KM</t>
        </is>
      </c>
      <c r="BO1765" t="n">
        <v>34360502</v>
      </c>
      <c r="BP1765" t="inlineStr">
        <is>
          <t>Green Published, gold</t>
        </is>
      </c>
      <c r="BS1765" t="inlineStr">
        <is>
          <t>2023-10-26</t>
        </is>
      </c>
      <c r="BT1765" t="inlineStr">
        <is>
          <t>WOS:000681965300001</t>
        </is>
      </c>
      <c r="BU1765">
        <f>HYPERLINK("https%3A%2F%2Fwww.webofscience.com%2Fwos%2Fwoscc%2Ffull-record%2FWOS:000681965300001","View Full Record in Web of Science")</f>
        <v/>
      </c>
    </row>
    <row r="1766">
      <c r="A1766" t="inlineStr">
        <is>
          <t>J</t>
        </is>
      </c>
      <c r="B1766" t="inlineStr">
        <is>
          <t>Liu, Y; Wang, X; Xie, GL; Zhao, CC</t>
        </is>
      </c>
      <c r="F1766" t="inlineStr">
        <is>
          <t>Liu, Yang; Wang, Xin; Xie, Guilin; Zhao, Congcong</t>
        </is>
      </c>
      <c r="J1766" t="inlineStr">
        <is>
          <t>SUSTAINABILITY</t>
        </is>
      </c>
      <c r="M1766" t="inlineStr">
        <is>
          <t>English</t>
        </is>
      </c>
      <c r="N1766" t="inlineStr">
        <is>
          <t>Article</t>
        </is>
      </c>
      <c r="T1766" t="inlineStr">
        <is>
          <t>Study on the Relationship between Indoor Vertical Greening and Oxygen Content in High-Rise Buildings</t>
        </is>
      </c>
      <c r="U1766" t="inlineStr">
        <is>
          <t>high-rise buildings; indoor vertical greening; indoor oxygen content; oxygen determination</t>
        </is>
      </c>
      <c r="V1766" t="inlineStr">
        <is>
          <t>GREENERY; COMFORT; QUALITY</t>
        </is>
      </c>
      <c r="W1766" t="inlineStr">
        <is>
          <t>This article clarifies the quantitative relationship between vertical greening, indoor ventilation, and the oxygen content in high-rise buildings, with the aim of determining values for a high-oxygen-content threshold to assess the ventilation and greening of high-rise buildings. The quantitative index could be provided to architects to assist in the sustainable design of vertical greening in high-rise buildings. The quantitative index offers an effective, convenient, and environmentally friendly oxygen-content-testing method for interior spaces, while avoiding the air pollution caused by the current red phosphorus combustion method. Firstly, a floor of a high-rise building in Harbin was selected for on-site and fixed-point experiments. Secondly, through the design of a candle-burning experiment in a gas bottle, we measured the change in candle-burning time before and after installing vertical greening, as well as under different ventilation states. Finally, the changes in relative oxygen content in each functional space before and after vertical greening and under different ventilation states were statistically analyzed. The results showed that there was a potential correlation between indoor oxygen content and vertical greening placement in high-rise buildings; this correlation was found to be directly related to room orientation, the degree of the plants' photosynthesis, and indoor airflow. In general, vertical greening should be placed in south-facing rooms. For daily ventilation, two or more windows should be opened to ensure convection in rooms, which can increase their oxygen content.</t>
        </is>
      </c>
      <c r="X1766" t="inlineStr">
        <is>
          <t>[Liu, Yang; Wang, Xin; Zhao, Congcong] Zhejiang Sci Tech Univ, Sch Art &amp; Design, Hangzhou 310018, Peoples R China; [Xie, Guilin] Northeast Agr Univ, Coll Life Sci, Harbin 150030, Peoples R China</t>
        </is>
      </c>
      <c r="Y1766" t="inlineStr">
        <is>
          <t>Zhejiang Sci-Tech University; Northeast Agricultural University - China</t>
        </is>
      </c>
      <c r="Z1766" t="inlineStr">
        <is>
          <t>Liu, Y (corresponding author), Zhejiang Sci Tech Univ, Sch Art &amp; Design, Hangzhou 310018, Peoples R China.</t>
        </is>
      </c>
      <c r="AA1766" t="inlineStr">
        <is>
          <t>graceliu@zstu.edu.cn</t>
        </is>
      </c>
      <c r="AD1766" t="inlineStr">
        <is>
          <t>Zhejiang Provincial Natural Science Foundation Public Welfare Project Research on the Construction Method of Ecological Building Curtain Wall Based on Biomimetic Technology [18082087-D]</t>
        </is>
      </c>
      <c r="AE1766" t="inlineStr">
        <is>
          <t>Zhejiang Provincial Natural Science Foundation Public Welfare Project Research on the Construction Method of Ecological Building Curtain Wall Based on Biomimetic Technology</t>
        </is>
      </c>
      <c r="AF1766" t="inlineStr">
        <is>
          <t>This study was financed by Zhejiang Provincial Natural Science Foundation Public Welfare Project Research on the Construction Method of Ecological Building Curtain Wall Based on Biomimetic Technology. Project No.: 18082087-D.</t>
        </is>
      </c>
      <c r="AH1766" t="n">
        <v>34</v>
      </c>
      <c r="AI1766" t="n">
        <v>0</v>
      </c>
      <c r="AJ1766" t="n">
        <v>0</v>
      </c>
      <c r="AK1766" t="n">
        <v>10</v>
      </c>
      <c r="AL1766" t="n">
        <v>11</v>
      </c>
      <c r="AM1766" t="inlineStr">
        <is>
          <t>MDPI</t>
        </is>
      </c>
      <c r="AN1766" t="inlineStr">
        <is>
          <t>BASEL</t>
        </is>
      </c>
      <c r="AO1766" t="inlineStr">
        <is>
          <t>ST ALBAN-ANLAGE 66, CH-4052 BASEL, SWITZERLAND</t>
        </is>
      </c>
      <c r="AQ1766" t="inlineStr">
        <is>
          <t>2071-1050</t>
        </is>
      </c>
      <c r="AS1766" t="inlineStr">
        <is>
          <t>SUSTAINABILITY-BASEL</t>
        </is>
      </c>
      <c r="AT1766" t="inlineStr">
        <is>
          <t>Sustainability</t>
        </is>
      </c>
      <c r="AU1766" t="inlineStr">
        <is>
          <t>FEB</t>
        </is>
      </c>
      <c r="AV1766" t="n">
        <v>2023</v>
      </c>
      <c r="AW1766" t="n">
        <v>15</v>
      </c>
      <c r="AX1766" t="n">
        <v>3</v>
      </c>
      <c r="BE1766" t="n">
        <v>1916</v>
      </c>
      <c r="BF1766" t="inlineStr">
        <is>
          <t>10.3390/su15031916</t>
        </is>
      </c>
      <c r="BG1766">
        <f>HYPERLINK("http://dx.doi.org/10.3390/su15031916","http://dx.doi.org/10.3390/su15031916")</f>
        <v/>
      </c>
      <c r="BJ1766" t="n">
        <v>15</v>
      </c>
      <c r="BK1766" t="inlineStr">
        <is>
          <t>Green &amp; Sustainable Science &amp; Technology; Environmental Sciences; Environmental Studies</t>
        </is>
      </c>
      <c r="BL1766" t="inlineStr">
        <is>
          <t>Science Citation Index Expanded (SCI-EXPANDED); Social Science Citation Index (SSCI)</t>
        </is>
      </c>
      <c r="BM1766" t="inlineStr">
        <is>
          <t>Science &amp; Technology - Other Topics; Environmental Sciences &amp; Ecology</t>
        </is>
      </c>
      <c r="BN1766" t="inlineStr">
        <is>
          <t>8U0YD</t>
        </is>
      </c>
      <c r="BP1766" t="inlineStr">
        <is>
          <t>gold</t>
        </is>
      </c>
      <c r="BS1766" t="inlineStr">
        <is>
          <t>2023-10-26</t>
        </is>
      </c>
      <c r="BT1766" t="inlineStr">
        <is>
          <t>WOS:000929676400001</t>
        </is>
      </c>
      <c r="BU1766">
        <f>HYPERLINK("https%3A%2F%2Fwww.webofscience.com%2Fwos%2Fwoscc%2Ffull-record%2FWOS:000929676400001","View Full Record in Web of Science")</f>
        <v/>
      </c>
    </row>
    <row r="1767">
      <c r="A1767" t="inlineStr">
        <is>
          <t>J</t>
        </is>
      </c>
      <c r="B1767" t="inlineStr">
        <is>
          <t>Andersen, SC; Birgisdottir, H; Birkved, M</t>
        </is>
      </c>
      <c r="F1767" t="inlineStr">
        <is>
          <t>Andersen, Sarah C.; Birgisdottir, Harpa; Birkved, Morten</t>
        </is>
      </c>
      <c r="J1767" t="inlineStr">
        <is>
          <t>SUSTAINABILITY</t>
        </is>
      </c>
      <c r="M1767" t="inlineStr">
        <is>
          <t>English</t>
        </is>
      </c>
      <c r="N1767" t="inlineStr">
        <is>
          <t>Review</t>
        </is>
      </c>
      <c r="T1767" t="inlineStr">
        <is>
          <t>Life Cycle Assessments of Circular Economy in the Built Environment-A Scoping Review</t>
        </is>
      </c>
      <c r="U1767" t="inlineStr">
        <is>
          <t>circular economy; life cycle assessment; built environment; construction industry; methods and scope; scoping review</t>
        </is>
      </c>
      <c r="V1767" t="inlineStr">
        <is>
          <t>DEMOLITION WASTE; CONSTRUCTION; BENEFITS; BUILDINGS; IMPACTS; LCA; CONSERVATION; MITIGATION; EMISSIONS; DESIGN</t>
        </is>
      </c>
      <c r="W1767" t="inlineStr">
        <is>
          <t>The Circular Economy (CE) is gaining traction throughout all industries and nations globally. However, despite several attempts, no one-off solutions for assessing the benefits and pitfalls of CE have been established, and neither have any measures with which to determine decisions. In line with this general observation, the Built Environment (BE) is no different. A tendency is observed in which, for the assessment of the environmental impacts of CE, a Life Cycle Assessment (LCA) has been deemed suitable. This paper presents a scoping review, using the PRISMA statement extension for scoping reviews, documenting how LCA has been applied for assessment of CE in the BE. The review covers a broad scope of literature, scoping the landscape, and delimits it into publications where CE strategy has been defined explicitly and described as a CE investigation. Among the LCAs applied, the dominant system boundary choice is the attributional approach. The authors open the discussion on whether this is actually suitable for answering the questions posed in the CE paradigm. From the review, and the discussion, the conclusion suggests that there is no dominant procedure in applying LCA of CE in the BE, even despite commonly developed LCA standards for the BE. Few studies also present the consideration to reconsider the applied LCA, as CE puts new questions (and thereby a potentially greater system boundary, as CE may imply greater societal consequences) that do not necessarily fit into the linear LCA framework currently applied in the BE.</t>
        </is>
      </c>
      <c r="X1767" t="inlineStr">
        <is>
          <t>[Andersen, Sarah C.] Danish Technol Inst, Bldg &amp; Environm, DK-2630 Gregersensvej, Taastrup, Denmark; [Andersen, Sarah C.; Birkved, Morten] Univ Southern Denmark, Dept Green Technol IGT, SDU Life Cycle Engn, Campusvej 55, DK-5230 Odense, Denmark; [Birgisdottir, Harpa] Aalborg Univ, Dept Built Environm, AC Meyers Vaenge 15, DK-2450 Copenhagen, Denmark</t>
        </is>
      </c>
      <c r="Y1767" t="inlineStr">
        <is>
          <t>Danish Technological Institute; University of Southern Denmark; Aalborg University</t>
        </is>
      </c>
      <c r="Z1767" t="inlineStr">
        <is>
          <t>Andersen, SC (corresponding author), Danish Technol Inst, Bldg &amp; Environm, DK-2630 Gregersensvej, Taastrup, Denmark.;Andersen, SC (corresponding author), Univ Southern Denmark, Dept Green Technol IGT, SDU Life Cycle Engn, Campusvej 55, DK-5230 Odense, Denmark.</t>
        </is>
      </c>
      <c r="AA1767" t="inlineStr">
        <is>
          <t>saca@igt.sdu.dk; hbi@build.aau.dk; morb@igt.sdu.dk</t>
        </is>
      </c>
      <c r="AB1767" t="inlineStr">
        <is>
          <t>Birkved, Morten/IUQ-6101-2023</t>
        </is>
      </c>
      <c r="AC1767" t="inlineStr">
        <is>
          <t>Birkved, Morten/0000-0001-6989-1647; Andersen, Sarah Cecilie/0000-0001-7709-1076; Birgisdottir, Harpa/0000-0001-7642-4107</t>
        </is>
      </c>
      <c r="AD1767" t="inlineStr">
        <is>
          <t>Danish Technological Institute, Innovation Fund Denmark [0153-00117B]; association Realdania</t>
        </is>
      </c>
      <c r="AE1767" t="inlineStr">
        <is>
          <t>Danish Technological Institute, Innovation Fund Denmark; association Realdania</t>
        </is>
      </c>
      <c r="AF1767" t="inlineStr">
        <is>
          <t>This research is a part of industrial PhD project funded by The Danish Technological Institute, Innovation Fund Denmark (grant number: 0153-00117B) and the association Realdania. The funders had no role in study design, data collection and analysis, decision to publish, or preparation of the manuscript.</t>
        </is>
      </c>
      <c r="AH1767" t="n">
        <v>121</v>
      </c>
      <c r="AI1767" t="n">
        <v>6</v>
      </c>
      <c r="AJ1767" t="n">
        <v>6</v>
      </c>
      <c r="AK1767" t="n">
        <v>3</v>
      </c>
      <c r="AL1767" t="n">
        <v>13</v>
      </c>
      <c r="AM1767" t="inlineStr">
        <is>
          <t>MDPI</t>
        </is>
      </c>
      <c r="AN1767" t="inlineStr">
        <is>
          <t>BASEL</t>
        </is>
      </c>
      <c r="AO1767" t="inlineStr">
        <is>
          <t>ST ALBAN-ANLAGE 66, CH-4052 BASEL, SWITZERLAND</t>
        </is>
      </c>
      <c r="AQ1767" t="inlineStr">
        <is>
          <t>2071-1050</t>
        </is>
      </c>
      <c r="AS1767" t="inlineStr">
        <is>
          <t>SUSTAINABILITY-BASEL</t>
        </is>
      </c>
      <c r="AT1767" t="inlineStr">
        <is>
          <t>Sustainability</t>
        </is>
      </c>
      <c r="AU1767" t="inlineStr">
        <is>
          <t>JUN</t>
        </is>
      </c>
      <c r="AV1767" t="n">
        <v>2022</v>
      </c>
      <c r="AW1767" t="n">
        <v>14</v>
      </c>
      <c r="AX1767" t="n">
        <v>11</v>
      </c>
      <c r="BE1767" t="n">
        <v>6887</v>
      </c>
      <c r="BF1767" t="inlineStr">
        <is>
          <t>10.3390/su14116887</t>
        </is>
      </c>
      <c r="BG1767">
        <f>HYPERLINK("http://dx.doi.org/10.3390/su14116887","http://dx.doi.org/10.3390/su14116887")</f>
        <v/>
      </c>
      <c r="BJ1767" t="n">
        <v>31</v>
      </c>
      <c r="BK1767" t="inlineStr">
        <is>
          <t>Green &amp; Sustainable Science &amp; Technology; Environmental Sciences; Environmental Studies</t>
        </is>
      </c>
      <c r="BL1767" t="inlineStr">
        <is>
          <t>Science Citation Index Expanded (SCI-EXPANDED); Social Science Citation Index (SSCI)</t>
        </is>
      </c>
      <c r="BM1767" t="inlineStr">
        <is>
          <t>Science &amp; Technology - Other Topics; Environmental Sciences &amp; Ecology</t>
        </is>
      </c>
      <c r="BN1767" t="inlineStr">
        <is>
          <t>1Z7TU</t>
        </is>
      </c>
      <c r="BP1767" t="inlineStr">
        <is>
          <t>Green Published, gold</t>
        </is>
      </c>
      <c r="BS1767" t="inlineStr">
        <is>
          <t>2023-10-26</t>
        </is>
      </c>
      <c r="BT1767" t="inlineStr">
        <is>
          <t>WOS:000809022800001</t>
        </is>
      </c>
      <c r="BU1767">
        <f>HYPERLINK("https%3A%2F%2Fwww.webofscience.com%2Fwos%2Fwoscc%2Ffull-record%2FWOS:000809022800001","View Full Record in Web of Science")</f>
        <v/>
      </c>
    </row>
    <row r="1768">
      <c r="A1768" t="inlineStr">
        <is>
          <t>J</t>
        </is>
      </c>
      <c r="B1768" t="inlineStr">
        <is>
          <t>Zhang, X; Zhang, M; Zhao, ZP; Huang, ZJ; Deng, Q; Li, YC; Pan, A; Li, C; Chen, ZH; Zhou, MG; Yu, C; Stein, A; Jia, P; Wang, LM</t>
        </is>
      </c>
      <c r="F1768" t="inlineStr">
        <is>
          <t>Zhang, Xiao; Zhang, Mei; Zhao, Zhenping; Huang, Zhengjing; Deng, Qian; Li, Yichong; Pan, An; Li, Chun; Chen, Zhihua; Zhou, Maigeng; Yu, Chao; Stein, Alfred; Jia, Peng; Wang, Limin</t>
        </is>
      </c>
      <c r="J1768" t="inlineStr">
        <is>
          <t>ENVIRONMENTAL RESEARCH LETTERS</t>
        </is>
      </c>
      <c r="M1768" t="inlineStr">
        <is>
          <t>English</t>
        </is>
      </c>
      <c r="N1768" t="inlineStr">
        <is>
          <t>Article</t>
        </is>
      </c>
      <c r="T1768" t="inlineStr">
        <is>
          <t>Obesogenic environmental factors of adult obesity in China: a nationally representative cross-sectional study</t>
        </is>
      </c>
      <c r="U1768" t="inlineStr">
        <is>
          <t>obesity; adult; physical environment; built environment; food environment; socioeconomic environment</t>
        </is>
      </c>
      <c r="V1768" t="inlineStr">
        <is>
          <t>FINE PARTICULATE MATTER; AMBIENT AIR-POLLUTION; SOCIOECONOMIC-STATUS; CHILDHOOD OBESITY; ASSOCIATION; PREVALENCE; COUNTRIES; STRESS; WEIGHT; DIET</t>
        </is>
      </c>
      <c r="W1768" t="inlineStr">
        <is>
          <t>The prevalence of obesity is still rising among Chinese adults and may be attributed to environmental factors, which, however, has only been examined in western countries before. This study aimed to estimate associations between obesogenic environments and adult obesity in China, on the basis of the official 2013-4 nationally representative survey. General and abdominal obesity were defined by body mass index and waist circumference, respectively, according to both the Chinese and international criteria. The mean summer/winter temperature in provinces, the mean fine particulate matter (PM2.5) concentration, gross domestic product per capita, and education level in districts/counties, and the densities of fast-food restaurants, full-service restaurants, grocery stores, and supermarkets in subdistricts/towns were calculated. Five-level logistic regression models were used to estimate their associations with obesity, also in urban and rural regions separately. Both general and abdominal obesity in men were associated with the highest PM2.5 concentration, summer temperature, and density of full-service restaurants and grocery stores, as well as the lowest winter temperature. These associations were also observed in women except for summer temperature and density of full-service restaurants with abdominal obesity. Some associations varied by urban-rural regions. Also, the higher regional education level was associated with general and abdominal obesity in men. Additionally, obesity was associated with the increasing number of coexisting obesogenic environmental factors. Our findings call for more attention to citizens living in certain environments in China, such as cold winters and with more full-service restaurants and grocery stores. This is the first national, comprehensive obesogenic environment study in China, which generated evidence-based hypotheses for future longitudinal research and interventions on obesogenic environments in China.</t>
        </is>
      </c>
      <c r="X1768" t="inlineStr">
        <is>
          <t>[Zhang, Xiao; Zhang, Mei; Zhao, Zhenping; Huang, Zhengjing; Deng, Qian; Li, Yichong; Li, Chun; Chen, Zhihua; Zhou, Maigeng; Wang, Limin] Chinese Ctr Dis Control &amp; Prevent, Natl Ctr Chron &amp; Noncommunicable Dis Control &amp; Pr, Beijing, Peoples R China; [Pan, An] Huazhong Univ Sci &amp; Technol, Sch Publ Hlth, Tongji Med Coll, Wuhan, Peoples R China; [Yu, Chao] Chinese Acad Sci, Inst Remote Sensing &amp; Digital Earth, State Key Lab Remote Sensing Sci, Beijing, Peoples R China; [Stein, Alfred; Jia, Peng] Univ Twente, Fac Geoinformat Sci &amp; Earth Observat, Enschede, Netherlands; [Jia, Peng] Int Initiat Spatial Lifecourse Epidemiol ISLE, Hong Kong, Peoples R China; [Jia, Peng] Hong Kong Polytech Univ, Dept Land Surveying &amp; Geoinformat, Hong Kong, Peoples R China</t>
        </is>
      </c>
      <c r="Y1768" t="inlineStr">
        <is>
          <t>Chinese Center for Disease Control &amp; Prevention; National Center for Chronic &amp; Noncommunicable Disease Control &amp; Prevention, Chinese Center for Disease Control &amp; Prevention; Huazhong University of Science &amp; Technology; Chinese Academy of Sciences; The Institute of Remote Sensing &amp; Digital Earth, CAS; University of Twente; Hong Kong Polytechnic University</t>
        </is>
      </c>
      <c r="Z1768" t="inlineStr">
        <is>
          <t>Wang, LM (corresponding author), Chinese Ctr Dis Control &amp; Prevent, Natl Ctr Chron &amp; Noncommunicable Dis Control &amp; Pr, Beijing, Peoples R China.;Jia, P (corresponding author), Univ Twente, Fac Geoinformat Sci &amp; Earth Observat, Enschede, Netherlands.;Jia, P (corresponding author), Int Initiat Spatial Lifecourse Epidemiol ISLE, Hong Kong, Peoples R China.;Jia, P (corresponding author), Hong Kong Polytech Univ, Dept Land Surveying &amp; Geoinformat, Hong Kong, Peoples R China.</t>
        </is>
      </c>
      <c r="AA1768" t="inlineStr">
        <is>
          <t>jiapengff@hotmail.com; wanglimin@ncncd.chinacdc.cn</t>
        </is>
      </c>
      <c r="AB1768" t="inlineStr">
        <is>
          <t>Zhou, Maigeng/HCH-7703-2022; Jia, Peng/K-1446-2017; Zhao, Zhenping/R-6323-2016; Pan, An/C-5572-2011</t>
        </is>
      </c>
      <c r="AC1768" t="inlineStr">
        <is>
          <t>Jia, Peng/0000-0003-0110-3637; Zhao, Zhenping/0000-0003-4227-3034; Pan, An/0000-0002-1089-7945</t>
        </is>
      </c>
      <c r="AD1768" t="inlineStr">
        <is>
          <t>Chinese central government (Key Project of Public Health Program); National Key Research and Development Program of China [2018YFC1311700]; Natural Science Foundation of China [81473043, 81230066, 91546120]; State Key Laboratory of Urban and Regional Ecology of China [SKLURE2018-2-5]; Lorentz Center; Netherlands Organization for Scientific Research; Royal Netherlands Academy of Arts and Sciences; Chinese Center for Disease Control and Prevention; West China School of Public Health in Sichuan University</t>
        </is>
      </c>
      <c r="AE1768" t="inlineStr">
        <is>
          <t>Chinese central government (Key Project of Public Health Program); National Key Research and Development Program of China; Natural Science Foundation of China(National Natural Science Foundation of China (NSFC)); State Key Laboratory of Urban and Regional Ecology of China; Lorentz Center; Netherlands Organization for Scientific Research(Netherlands Organization for Scientific Research (NWO)); Royal Netherlands Academy of Arts and Sciences; Chinese Center for Disease Control and Prevention; West China School of Public Health in Sichuan University</t>
        </is>
      </c>
      <c r="AF1768" t="inlineStr">
        <is>
          <t>This study was supported by the Chinese central government (Key Project of Public Health Program), the National Key Research and Development Program of China (2018YFC1311700), the Natural Science Foundation of China (81473043, 81230066, and 91546120), and the State Key Laboratory of Urban and Regional Ecology of China (SKLURE2018-2-5). Dr Peng Jia, director of the International Initiative on Spatial Lifecourse Epidemiology (ISLE), thanks the Lorentz Center, the Netherlands Organization for Scientific Research, the Royal Netherlands Academy of Arts and Sciences, the Chinese Center for Disease Control and Prevention, and the West China School of Public Health in Sichuan University for funding the ISLE and supporting its research activities.</t>
        </is>
      </c>
      <c r="AH1768" t="n">
        <v>50</v>
      </c>
      <c r="AI1768" t="n">
        <v>29</v>
      </c>
      <c r="AJ1768" t="n">
        <v>31</v>
      </c>
      <c r="AK1768" t="n">
        <v>7</v>
      </c>
      <c r="AL1768" t="n">
        <v>50</v>
      </c>
      <c r="AM1768" t="inlineStr">
        <is>
          <t>IOP PUBLISHING LTD</t>
        </is>
      </c>
      <c r="AN1768" t="inlineStr">
        <is>
          <t>BRISTOL</t>
        </is>
      </c>
      <c r="AO1768" t="inlineStr">
        <is>
          <t>TEMPLE CIRCUS, TEMPLE WAY, BRISTOL BS1 6BE, ENGLAND</t>
        </is>
      </c>
      <c r="AP1768" t="inlineStr">
        <is>
          <t>1748-9326</t>
        </is>
      </c>
      <c r="AS1768" t="inlineStr">
        <is>
          <t>ENVIRON RES LETT</t>
        </is>
      </c>
      <c r="AT1768" t="inlineStr">
        <is>
          <t>Environ. Res. Lett.</t>
        </is>
      </c>
      <c r="AU1768" t="inlineStr">
        <is>
          <t>APR</t>
        </is>
      </c>
      <c r="AV1768" t="n">
        <v>2020</v>
      </c>
      <c r="AW1768" t="n">
        <v>15</v>
      </c>
      <c r="AX1768" t="n">
        <v>4</v>
      </c>
      <c r="BE1768" t="n">
        <v>44009</v>
      </c>
      <c r="BF1768" t="inlineStr">
        <is>
          <t>10.1088/1748-9326/ab6614</t>
        </is>
      </c>
      <c r="BG1768">
        <f>HYPERLINK("http://dx.doi.org/10.1088/1748-9326/ab6614","http://dx.doi.org/10.1088/1748-9326/ab6614")</f>
        <v/>
      </c>
      <c r="BJ1768" t="n">
        <v>13</v>
      </c>
      <c r="BK1768" t="inlineStr">
        <is>
          <t>Environmental Sciences; Meteorology &amp; Atmospheric Sciences</t>
        </is>
      </c>
      <c r="BL1768" t="inlineStr">
        <is>
          <t>Science Citation Index Expanded (SCI-EXPANDED); Social Science Citation Index (SSCI)</t>
        </is>
      </c>
      <c r="BM1768" t="inlineStr">
        <is>
          <t>Environmental Sciences &amp; Ecology; Meteorology &amp; Atmospheric Sciences</t>
        </is>
      </c>
      <c r="BN1768" t="inlineStr">
        <is>
          <t>KW8WV</t>
        </is>
      </c>
      <c r="BP1768" t="inlineStr">
        <is>
          <t>gold, Green Published</t>
        </is>
      </c>
      <c r="BS1768" t="inlineStr">
        <is>
          <t>2023-10-26</t>
        </is>
      </c>
      <c r="BT1768" t="inlineStr">
        <is>
          <t>WOS:000521465000001</t>
        </is>
      </c>
      <c r="BU1768">
        <f>HYPERLINK("https%3A%2F%2Fwww.webofscience.com%2Fwos%2Fwoscc%2Ffull-record%2FWOS:000521465000001","View Full Record in Web of Science")</f>
        <v/>
      </c>
    </row>
    <row r="1769">
      <c r="A1769" t="inlineStr">
        <is>
          <t>J</t>
        </is>
      </c>
      <c r="B1769" t="inlineStr">
        <is>
          <t>Shimatani, K; Komada, MT; Sato, J</t>
        </is>
      </c>
      <c r="F1769" t="inlineStr">
        <is>
          <t>Shimatani, Keiichi; Komada, Mayuko T.; Sato, Jun</t>
        </is>
      </c>
      <c r="J1769" t="inlineStr">
        <is>
          <t>INTERNATIONAL JOURNAL OF ENVIRONMENTAL RESEARCH AND PUBLIC HEALTH</t>
        </is>
      </c>
      <c r="M1769" t="inlineStr">
        <is>
          <t>English</t>
        </is>
      </c>
      <c r="N1769" t="inlineStr">
        <is>
          <t>Article</t>
        </is>
      </c>
      <c r="T1769" t="inlineStr">
        <is>
          <t>Impact of the Changes in the Frequency of Social Participation on All-Cause Mortality in Japanese Older Adults: A Nationwide Longitudinal Study</t>
        </is>
      </c>
      <c r="U1769" t="inlineStr">
        <is>
          <t>social participation; social activities; social capital; mortality; well-being; older adults</t>
        </is>
      </c>
      <c r="V1769" t="inlineStr">
        <is>
          <t>HAZARDS-MODEL; ASSOCIATION; WOMEN; MEN; HYPERTENSION; HEALTH; TIME; RISK</t>
        </is>
      </c>
      <c r="W1769" t="inlineStr">
        <is>
          <t>Previous studies have shown that more frequent social participation was associated with a reduced risk of mortality. However, limited studies have explored the changes in the frequency of social participation in older adults. We investigated the impact of the changes in the frequency of social participation on all-cause mortality in Japanese older adults aged 60 years and older. The current study, conducted as a secondary analysis, was a retrospective cohort study using open available data. The participants were 2240 older adults (45.4% male and 54.6% female) sampled nationwide from Japan who responded to the interview survey. Changes in the frequency of social participation were categorized into four groups (none, initiated, decreased, and continued pattern) based on the responses in the baseline and last surveys. The Cox proportional-hazards model showed a decreased risk of all-cause mortality in decreased and continued patterns of social participation. Stratified analysis by sex showed a decreased risk of mortality in the continued pattern only among males. The results of the current study suggest that the initiation of social participation at an earlier phase of life transition, such as retirement, may be beneficial for individuals.</t>
        </is>
      </c>
      <c r="X1769" t="inlineStr">
        <is>
          <t>[Shimatani, Keiichi; Komada, Mayuko T.; Sato, Jun] Tokyo Healthcare Univ, Higashigaoka Fac Nursing, Div Nursing, Tokyo 1528558, Japan</t>
        </is>
      </c>
      <c r="Z1769" t="inlineStr">
        <is>
          <t>Shimatani, K (corresponding author), Tokyo Healthcare Univ, Higashigaoka Fac Nursing, Div Nursing, Tokyo 1528558, Japan.</t>
        </is>
      </c>
      <c r="AA1769" t="inlineStr">
        <is>
          <t>k1-shimatani@umin.ac.jp; m-komada@thcu.ac.jp; j-satoh@thcu.ac.jp</t>
        </is>
      </c>
      <c r="AC1769" t="inlineStr">
        <is>
          <t>Shimatani, Keiichi/0000-0001-9309-4285</t>
        </is>
      </c>
      <c r="AH1769" t="n">
        <v>45</v>
      </c>
      <c r="AI1769" t="n">
        <v>1</v>
      </c>
      <c r="AJ1769" t="n">
        <v>1</v>
      </c>
      <c r="AK1769" t="n">
        <v>7</v>
      </c>
      <c r="AL1769" t="n">
        <v>10</v>
      </c>
      <c r="AM1769" t="inlineStr">
        <is>
          <t>MDPI</t>
        </is>
      </c>
      <c r="AN1769" t="inlineStr">
        <is>
          <t>BASEL</t>
        </is>
      </c>
      <c r="AO1769" t="inlineStr">
        <is>
          <t>ST ALBAN-ANLAGE 66, CH-4052 BASEL, SWITZERLAND</t>
        </is>
      </c>
      <c r="AQ1769" t="inlineStr">
        <is>
          <t>1660-4601</t>
        </is>
      </c>
      <c r="AS1769" t="inlineStr">
        <is>
          <t>INT J ENV RES PUB HE</t>
        </is>
      </c>
      <c r="AT1769" t="inlineStr">
        <is>
          <t>Int. J. Environ. Res. Public Health</t>
        </is>
      </c>
      <c r="AU1769" t="inlineStr">
        <is>
          <t>JAN</t>
        </is>
      </c>
      <c r="AV1769" t="n">
        <v>2022</v>
      </c>
      <c r="AW1769" t="n">
        <v>19</v>
      </c>
      <c r="AX1769" t="n">
        <v>1</v>
      </c>
      <c r="BE1769" t="n">
        <v>270</v>
      </c>
      <c r="BF1769" t="inlineStr">
        <is>
          <t>10.3390/ijerph19010270</t>
        </is>
      </c>
      <c r="BG1769">
        <f>HYPERLINK("http://dx.doi.org/10.3390/ijerph19010270","http://dx.doi.org/10.3390/ijerph19010270")</f>
        <v/>
      </c>
      <c r="BJ1769" t="n">
        <v>13</v>
      </c>
      <c r="BK1769" t="inlineStr">
        <is>
          <t>Environmental Sciences; Public, Environmental &amp; Occupational Health</t>
        </is>
      </c>
      <c r="BL1769" t="inlineStr">
        <is>
          <t>Science Citation Index Expanded (SCI-EXPANDED); Social Science Citation Index (SSCI)</t>
        </is>
      </c>
      <c r="BM1769" t="inlineStr">
        <is>
          <t>Environmental Sciences &amp; Ecology; Public, Environmental &amp; Occupational Health</t>
        </is>
      </c>
      <c r="BN1769" t="inlineStr">
        <is>
          <t>YV2UK</t>
        </is>
      </c>
      <c r="BO1769" t="n">
        <v>35010529</v>
      </c>
      <c r="BP1769" t="inlineStr">
        <is>
          <t>gold, Green Published</t>
        </is>
      </c>
      <c r="BS1769" t="inlineStr">
        <is>
          <t>2023-10-26</t>
        </is>
      </c>
      <c r="BT1769" t="inlineStr">
        <is>
          <t>WOS:000752586600001</t>
        </is>
      </c>
      <c r="BU1769">
        <f>HYPERLINK("https%3A%2F%2Fwww.webofscience.com%2Fwos%2Fwoscc%2Ffull-record%2FWOS:000752586600001","View Full Record in Web of Science")</f>
        <v/>
      </c>
    </row>
    <row r="1770">
      <c r="A1770" t="inlineStr">
        <is>
          <t>J</t>
        </is>
      </c>
      <c r="B1770" t="inlineStr">
        <is>
          <t>Xu, TR; Nordin, NA; Aini, AM</t>
        </is>
      </c>
      <c r="F1770" t="inlineStr">
        <is>
          <t>Xu, Tianrong; Nordin, Nikmatul Adha; Aini, Ainoriza Mohd</t>
        </is>
      </c>
      <c r="J1770" t="inlineStr">
        <is>
          <t>INTERNATIONAL JOURNAL OF ENVIRONMENTAL RESEARCH AND PUBLIC HEALTH</t>
        </is>
      </c>
      <c r="M1770" t="inlineStr">
        <is>
          <t>English</t>
        </is>
      </c>
      <c r="N1770" t="inlineStr">
        <is>
          <t>Review</t>
        </is>
      </c>
      <c r="T1770" t="inlineStr">
        <is>
          <t>Urban Green Space and Subjective Well-Being of Older People: A Systematic Literature Review</t>
        </is>
      </c>
      <c r="U1770" t="inlineStr">
        <is>
          <t>urban green space; subjective well-being; older people; green space characteristics</t>
        </is>
      </c>
      <c r="V1770" t="inlineStr">
        <is>
          <t>QUALITY-OF-LIFE; PHYSICAL-ACTIVITY; HEALTH-BENEFITS; MENTAL-HEALTH; SATISFACTION; ADULTS; NEIGHBORHOODS; PREFERENCES; ENVIRONMENT; LANDSCAPE</t>
        </is>
      </c>
      <c r="W1770" t="inlineStr">
        <is>
          <t>A growing number of articles have identified and reported the benefits and importance of urban green spaces for improving human well-being, but there is a significant knowledge gap regarding the impact of urban green spaces on the subjective well-being of older adults. The literature search (August 2015-August 2022) was derived from two major scientific databases, Google Scholar, and Web of Science. As a result, 2558 articles were found, 1527 of which were retrieved from WOS and the rest from Google Scholar. Bibliometric methods and VOSviewer software were used to screen and organize the articles in the relevant fields. Finally, 65 articles met the review criteria. The included studies aim to capture the benefits of various features of urban green spaces in meeting or enhancing the subjective well-being needs of older adults. The results of our review further support the existence of a strong link between older adults' subjective well-being and various features of urban green spaces, providing new insights for future in-depth reexamination and policy development. Furthermore, the relationship between urban green spaces and older adults' subjective well-being depends not only on the urban green spaces themselves but also on the characteristics of the older adult population that uses them.</t>
        </is>
      </c>
      <c r="X1770" t="inlineStr">
        <is>
          <t>[Xu, Tianrong; Nordin, Nikmatul Adha; Aini, Ainoriza Mohd] Univ Malaya, Ctr Sustainable Planning &amp; Real Estate SUPRE, Fac Built Environm, Kuala Lumpur 50603, Malaysia</t>
        </is>
      </c>
      <c r="Y1770" t="inlineStr">
        <is>
          <t>Universiti Malaya</t>
        </is>
      </c>
      <c r="Z1770" t="inlineStr">
        <is>
          <t>Nordin, NA (corresponding author), Univ Malaya, Ctr Sustainable Planning &amp; Real Estate SUPRE, Fac Built Environm, Kuala Lumpur 50603, Malaysia.</t>
        </is>
      </c>
      <c r="AA1770" t="inlineStr">
        <is>
          <t>nikmatul@um.edu.my</t>
        </is>
      </c>
      <c r="AB1770" t="inlineStr">
        <is>
          <t>MOHD AINI, AINORIZA/B-8189-2010; Nordin, Nikmatul Adha/B-9251-2010</t>
        </is>
      </c>
      <c r="AC1770" t="inlineStr">
        <is>
          <t>MOHD AINI, AINORIZA/0000-0003-1784-1917;</t>
        </is>
      </c>
      <c r="AH1770" t="n">
        <v>135</v>
      </c>
      <c r="AI1770" t="n">
        <v>5</v>
      </c>
      <c r="AJ1770" t="n">
        <v>5</v>
      </c>
      <c r="AK1770" t="n">
        <v>35</v>
      </c>
      <c r="AL1770" t="n">
        <v>58</v>
      </c>
      <c r="AM1770" t="inlineStr">
        <is>
          <t>MDPI</t>
        </is>
      </c>
      <c r="AN1770" t="inlineStr">
        <is>
          <t>BASEL</t>
        </is>
      </c>
      <c r="AO1770" t="inlineStr">
        <is>
          <t>ST ALBAN-ANLAGE 66, CH-4052 BASEL, SWITZERLAND</t>
        </is>
      </c>
      <c r="AQ1770" t="inlineStr">
        <is>
          <t>1660-4601</t>
        </is>
      </c>
      <c r="AS1770" t="inlineStr">
        <is>
          <t>INT J ENV RES PUB HE</t>
        </is>
      </c>
      <c r="AT1770" t="inlineStr">
        <is>
          <t>Int. J. Environ. Res. Public Health</t>
        </is>
      </c>
      <c r="AU1770" t="inlineStr">
        <is>
          <t>NOV</t>
        </is>
      </c>
      <c r="AV1770" t="n">
        <v>2022</v>
      </c>
      <c r="AW1770" t="n">
        <v>19</v>
      </c>
      <c r="AX1770" t="n">
        <v>21</v>
      </c>
      <c r="BE1770" t="n">
        <v>14227</v>
      </c>
      <c r="BF1770" t="inlineStr">
        <is>
          <t>10.3390/ijerph192114227</t>
        </is>
      </c>
      <c r="BG1770">
        <f>HYPERLINK("http://dx.doi.org/10.3390/ijerph192114227","http://dx.doi.org/10.3390/ijerph192114227")</f>
        <v/>
      </c>
      <c r="BJ1770" t="n">
        <v>29</v>
      </c>
      <c r="BK1770" t="inlineStr">
        <is>
          <t>Environmental Sciences; Public, Environmental &amp; Occupational Health</t>
        </is>
      </c>
      <c r="BL1770" t="inlineStr">
        <is>
          <t>Science Citation Index Expanded (SCI-EXPANDED); Social Science Citation Index (SSCI)</t>
        </is>
      </c>
      <c r="BM1770" t="inlineStr">
        <is>
          <t>Environmental Sciences &amp; Ecology; Public, Environmental &amp; Occupational Health</t>
        </is>
      </c>
      <c r="BN1770" t="inlineStr">
        <is>
          <t>6C7ZR</t>
        </is>
      </c>
      <c r="BO1770" t="n">
        <v>36361106</v>
      </c>
      <c r="BP1770" t="inlineStr">
        <is>
          <t>Green Published, gold</t>
        </is>
      </c>
      <c r="BS1770" t="inlineStr">
        <is>
          <t>2023-10-26</t>
        </is>
      </c>
      <c r="BT1770" t="inlineStr">
        <is>
          <t>WOS:000882227700001</t>
        </is>
      </c>
      <c r="BU1770">
        <f>HYPERLINK("https%3A%2F%2Fwww.webofscience.com%2Fwos%2Fwoscc%2Ffull-record%2FWOS:000882227700001","View Full Record in Web of Science")</f>
        <v/>
      </c>
    </row>
    <row r="1771">
      <c r="A1771" t="inlineStr">
        <is>
          <t>J</t>
        </is>
      </c>
      <c r="B1771" t="inlineStr">
        <is>
          <t>Shi, J; Xing, C; Chen, YT; Xu, ZW; Du, Q; Cui, YX</t>
        </is>
      </c>
      <c r="F1771" t="inlineStr">
        <is>
          <t>Shi, Jing; Xing, Chao; Chen, Yating; Xu, Zhengwen; Du, Qiong; Cui, Yixin</t>
        </is>
      </c>
      <c r="J1771" t="inlineStr">
        <is>
          <t>WATER ENVIRONMENT RESEARCH</t>
        </is>
      </c>
      <c r="M1771" t="inlineStr">
        <is>
          <t>English</t>
        </is>
      </c>
      <c r="N1771" t="inlineStr">
        <is>
          <t>Article</t>
        </is>
      </c>
      <c r="T1771" t="inlineStr">
        <is>
          <t>Pb2+ adsorption on TiO2@HF-waste building bricks: Kinetics, thermodynamics, and mechanisms</t>
        </is>
      </c>
      <c r="U1771" t="inlineStr">
        <is>
          <t>adsorption; Pb2+; TiO2; waste building bricks</t>
        </is>
      </c>
      <c r="V1771" t="inlineStr">
        <is>
          <t>HEAVY-METAL IONS; AQUEOUS-SOLUTIONS; ACTIVATED CARBON; POLYTHIOPHENE/TIO2 COMPOSITE; OPTICAL-PROPERTIES; PB(II) ADSORPTION; ENHANCED PB(II); LEAD(II) IONS; WASTE-WATER; REMOVAL</t>
        </is>
      </c>
      <c r="W1771" t="inlineStr">
        <is>
          <t>Pb2+ pollution poses severe threats to human health and ecosystem. In this study, based on the waste building bricks (WBB), the TiO2@HF-WBB was prepared for Pb2+ adsorption removal from wastewater. The adsorption of Pb2+ on TiO2@HF-WBB followed the pseudo-second-order kinetics and the Freundlich isotherm model. The thermodynamic parameters indicated that the adsorption process was endothermic, spontaneous, and irreversible, and also included physical adsorption and chemical adsorption simultaneously. Ca2+ and Mg2+ had little effect on Pb2+ adsorption. The effluent of fixed-bed was below 3 mu g/L within 1,000 BV. The desorption rate could reach 90% by simple operation. The possible mechanisms included the electrostatic interaction and the complexation. (C) 2019 Water Environment Federation</t>
        </is>
      </c>
      <c r="X1771" t="inlineStr">
        <is>
          <t>[Shi, Jing; Xing, Chao; Du, Qiong; Cui, Yixin] China Pharmaceut Univ, Sch Engn, Nanjing, Jiangsu, Peoples R China; [Chen, Yating; Xu, Zhengwen] Nanjing Univ Informat Sci &amp; Technol, Sch Environm Sci &amp; Engn, Nanjing, Jiangsu, Peoples R China</t>
        </is>
      </c>
      <c r="Y1771" t="inlineStr">
        <is>
          <t>China Pharmaceutical University; Nanjing University of Information Science &amp; Technology</t>
        </is>
      </c>
      <c r="Z1771" t="inlineStr">
        <is>
          <t>Xu, ZW (corresponding author), Nanjing Univ Informat Sci &amp; Technol, Sch Environm Sci &amp; Engn, Nanjing, Jiangsu, Peoples R China.</t>
        </is>
      </c>
      <c r="AA1771" t="inlineStr">
        <is>
          <t>zhouxu3037@sina.com</t>
        </is>
      </c>
      <c r="AD1771" t="inlineStr">
        <is>
          <t>Fundamental Research Funds for the Central Universities [2632019FY02]; Jiangsu Overseas Visiting Scholar Program for University Prominent Young &amp; Middle-aged Teachers and Presidents; Natural Science Foundation of Jiangsu Province [BK20160744]; National Natural Science Foundation of China [21707166]; College Students Innovation Project for the R&amp;D of Novel Drugs [J1310032]</t>
        </is>
      </c>
      <c r="AE1771" t="inlineStr">
        <is>
          <t>Fundamental Research Funds for the Central Universities(Fundamental Research Funds for the Central Universities); Jiangsu Overseas Visiting Scholar Program for University Prominent Young &amp; Middle-aged Teachers and Presidents; Natural Science Foundation of Jiangsu Province(Natural Science Foundation of Jiangsu Province); National Natural Science Foundation of China(National Natural Science Foundation of China (NSFC)); College Students Innovation Project for the R&amp;D of Novel Drugs</t>
        </is>
      </c>
      <c r="AF1771" t="inlineStr">
        <is>
          <t>This research was supported by the Fundamental Research Funds for the Central Universities (2632019FY02), Jiangsu Overseas Visiting Scholar Program for University Prominent Young &amp; Middle-aged Teachers and Presidents, Natural Science Foundation of Jiangsu Province (BK20160744), National Natural Science Foundation of China (21707166), and the College Students Innovation Project for the R&amp;D of Novel Drugs (J1310032).</t>
        </is>
      </c>
      <c r="AH1771" t="n">
        <v>58</v>
      </c>
      <c r="AI1771" t="n">
        <v>2</v>
      </c>
      <c r="AJ1771" t="n">
        <v>2</v>
      </c>
      <c r="AK1771" t="n">
        <v>2</v>
      </c>
      <c r="AL1771" t="n">
        <v>38</v>
      </c>
      <c r="AM1771" t="inlineStr">
        <is>
          <t>WILEY</t>
        </is>
      </c>
      <c r="AN1771" t="inlineStr">
        <is>
          <t>HOBOKEN</t>
        </is>
      </c>
      <c r="AO1771" t="inlineStr">
        <is>
          <t>111 RIVER ST, HOBOKEN 07030-5774, NJ USA</t>
        </is>
      </c>
      <c r="AP1771" t="inlineStr">
        <is>
          <t>1061-4303</t>
        </is>
      </c>
      <c r="AQ1771" t="inlineStr">
        <is>
          <t>1554-7531</t>
        </is>
      </c>
      <c r="AS1771" t="inlineStr">
        <is>
          <t>WATER ENVIRON RES</t>
        </is>
      </c>
      <c r="AT1771" t="inlineStr">
        <is>
          <t>Water Environ. Res.</t>
        </is>
      </c>
      <c r="AU1771" t="inlineStr">
        <is>
          <t>AUG</t>
        </is>
      </c>
      <c r="AV1771" t="n">
        <v>2019</v>
      </c>
      <c r="AW1771" t="n">
        <v>91</v>
      </c>
      <c r="AX1771" t="n">
        <v>8</v>
      </c>
      <c r="BC1771" t="n">
        <v>788</v>
      </c>
      <c r="BD1771" t="n">
        <v>796</v>
      </c>
      <c r="BF1771" t="inlineStr">
        <is>
          <t>10.1002/wer.1109</t>
        </is>
      </c>
      <c r="BG1771">
        <f>HYPERLINK("http://dx.doi.org/10.1002/wer.1109","http://dx.doi.org/10.1002/wer.1109")</f>
        <v/>
      </c>
      <c r="BJ1771" t="n">
        <v>9</v>
      </c>
      <c r="BK1771" t="inlineStr">
        <is>
          <t>Engineering, Environmental; Environmental Sciences; Limnology; Water Resources</t>
        </is>
      </c>
      <c r="BL1771" t="inlineStr">
        <is>
          <t>Science Citation Index Expanded (SCI-EXPANDED)</t>
        </is>
      </c>
      <c r="BM1771" t="inlineStr">
        <is>
          <t>Engineering; Environmental Sciences &amp; Ecology; Marine &amp; Freshwater Biology; Water Resources</t>
        </is>
      </c>
      <c r="BN1771" t="inlineStr">
        <is>
          <t>IJ4BX</t>
        </is>
      </c>
      <c r="BO1771" t="n">
        <v>30929294</v>
      </c>
      <c r="BS1771" t="inlineStr">
        <is>
          <t>2023-10-26</t>
        </is>
      </c>
      <c r="BT1771" t="inlineStr">
        <is>
          <t>WOS:000475850600014</t>
        </is>
      </c>
      <c r="BU1771">
        <f>HYPERLINK("https%3A%2F%2Fwww.webofscience.com%2Fwos%2Fwoscc%2Ffull-record%2FWOS:000475850600014","View Full Record in Web of Science")</f>
        <v/>
      </c>
    </row>
    <row r="1772">
      <c r="A1772" t="inlineStr">
        <is>
          <t>J</t>
        </is>
      </c>
      <c r="B1772" t="inlineStr">
        <is>
          <t>Torresin, S; Albatici, R; Aletta, F; Babich, F; Kang, J</t>
        </is>
      </c>
      <c r="F1772" t="inlineStr">
        <is>
          <t>Torresin, Simone; Albatici, Rossano; Aletta, Francesco; Babich, Francesco; Kang, Jian</t>
        </is>
      </c>
      <c r="J1772" t="inlineStr">
        <is>
          <t>SUSTAINABILITY</t>
        </is>
      </c>
      <c r="M1772" t="inlineStr">
        <is>
          <t>English</t>
        </is>
      </c>
      <c r="N1772" t="inlineStr">
        <is>
          <t>Review</t>
        </is>
      </c>
      <c r="T1772" t="inlineStr">
        <is>
          <t>Assessment Methods and Factors Determining Positive Indoor Soundscapes in Residential Buildings: A Systematic Review</t>
        </is>
      </c>
      <c r="U1772" t="inlineStr">
        <is>
          <t>soundscape; acoustic comfort; indoor environmental quality</t>
        </is>
      </c>
      <c r="V1772" t="inlineStr">
        <is>
          <t>ACOUSTIC COMFORT EVALUATION; ROAD TRAFFIC NOISE; WATER SOUNDS; SUBJECTIVE RESPONSES; INDUSTRIAL NOISE; ANNOYANCE; PERCEPTION; EXPOSURE; ASSOCIATIONS; SENSITIVITY</t>
        </is>
      </c>
      <c r="W1772" t="inlineStr">
        <is>
          <t>The design of an indoor acoustic environment positively perceived by building occupants requires a perceptual approach to be adopted in order to define what makes it sound good. Soundscape standards ISO 12913 have been introduced to assess how the acoustic environment is perceived, in context, by people. According to the standards, a straightforward characterization of a soundscape as positive is currently possible only through measurements by persons, because of a current gap in linking perceptual metrics to acoustic or psychoacoustic measurements. In addition, despite applying also to indoor contexts, methods and perceptual metrics described by the standards have been mainly derived from studies related to outdoor urban environments and it is not clear whether they could be directly applied indoor. For this reason, a systematic review was performed to investigate: (i) Data collection methods used in the literature for indoor residential soundscapes and (ii) factors, output of such methods, that characterize them positively. For this purpose, a systematic review has been conducted in accordance with the PRISMA guidelines (preferred reporting items for systematic reviews and meta-analyses) guidelines. The Scopus database was searched for peer-reviewed journal papers published in English, between 1 January 2009 and 24 June 2019, including: (1) field or laboratory studies relevant to residential buildings and (2) studies assessing factors that influence the perception by building users of indoor acoustic environments. The search excluded studies related to: (a) Speech perception issues; (b) noise-induced sleep disturbance; (c) acoustic perception by hearing impaired building users; (d) perception of vibrations or impact sounds. The search returned 1087 results. After the screening process, 37 articles were finally included. Given the differences in methodologic approaches, a quantitative meta-analysis could not be performed, and a qualitative approach was adopted instead. A large part of the selected literature reflected a general effort of minimizing noise annoyance by reducing noise exposure and, in particular, noise levels. Questionnaires and guided interviews were used to capture people's perception, while the adoption of soundwalks and non-participatory behavioral studies did not emerge in the review literature and need further investigation. The evaluation of a variety of auditory sensations both in their positive and negative dimensions, beyond annoyance, would be required to explore the positive perceptual potential of sounds. Besides sound level, a variety of factors related and unrelated to the acoustic environment were found to affect perceptual outcomes and a framework of evaluation has been proposed as a reference for future assessments. Results encourage the integration of soundscape methodologies into IEQ research, in order to enhance user health and well-being.</t>
        </is>
      </c>
      <c r="X1772" t="inlineStr">
        <is>
          <t>[Torresin, Simone; Albatici, Rossano] Univ Trento, Dept Civil Environm &amp; Mech Engn, Via Mesiano 20, I-38123 Trento, Italy; [Torresin, Simone; Babich, Francesco] Eurac Res, Inst Renewable Energy, A Volta Str,Via A Volta 13-A, I-39100 Bozen Bolzano, Italy; [Aletta, Francesco; Kang, Jian] Bartlett Univ Coll London UCL, UCL Inst Environm Design &amp; Engn, Cent House,14 Upper Woburn Pl, London WC1H 0NN, England</t>
        </is>
      </c>
      <c r="Y1772" t="inlineStr">
        <is>
          <t>University of Trento; European Academy of Bozen-Bolzano; University of London; University College London</t>
        </is>
      </c>
      <c r="Z1772" t="inlineStr">
        <is>
          <t>Torresin, S (corresponding author), Univ Trento, Dept Civil Environm &amp; Mech Engn, Via Mesiano 20, I-38123 Trento, Italy.;Torresin, S (corresponding author), Eurac Res, Inst Renewable Energy, A Volta Str,Via A Volta 13-A, I-39100 Bozen Bolzano, Italy.</t>
        </is>
      </c>
      <c r="AA1772" t="inlineStr">
        <is>
          <t>simone.torresin@eurac.edu; rossano.albatici@unitn.it; f.aletta@ucl.ac.uk; francesco.babich@eurac.edu; j.kang@ucl.ac.uk</t>
        </is>
      </c>
      <c r="AB1772" t="inlineStr">
        <is>
          <t>Torresin, Simone/L-8706-2019; Aletta, Francesco/U-4821-2017; Babich, Francesco/AAX-2047-2021; Albatici, Rossano/ABF-7995-2021</t>
        </is>
      </c>
      <c r="AC1772" t="inlineStr">
        <is>
          <t>Torresin, Simone/0000-0002-2935-0288; Aletta, Francesco/0000-0003-0351-3189; Babich, Francesco/0000-0002-2674-2163; Kang, Jian/0000-0001-8995-5636</t>
        </is>
      </c>
      <c r="AD1772" t="inlineStr">
        <is>
          <t>Programma di cooperazione Interreg V-A Italia-Svizzera 2014-2020, Project QAES [613474]</t>
        </is>
      </c>
      <c r="AE1772" t="inlineStr">
        <is>
          <t>Programma di cooperazione Interreg V-A Italia-Svizzera 2014-2020, Project QAES</t>
        </is>
      </c>
      <c r="AF1772" t="inlineStr">
        <is>
          <t>This research was funded by Programma di cooperazione Interreg V-A Italia-Svizzera 2014-2020, Project QAES ID n.613474.</t>
        </is>
      </c>
      <c r="AH1772" t="n">
        <v>63</v>
      </c>
      <c r="AI1772" t="n">
        <v>40</v>
      </c>
      <c r="AJ1772" t="n">
        <v>40</v>
      </c>
      <c r="AK1772" t="n">
        <v>8</v>
      </c>
      <c r="AL1772" t="n">
        <v>53</v>
      </c>
      <c r="AM1772" t="inlineStr">
        <is>
          <t>MDPI</t>
        </is>
      </c>
      <c r="AN1772" t="inlineStr">
        <is>
          <t>BASEL</t>
        </is>
      </c>
      <c r="AO1772" t="inlineStr">
        <is>
          <t>ST ALBAN-ANLAGE 66, CH-4052 BASEL, SWITZERLAND</t>
        </is>
      </c>
      <c r="AQ1772" t="inlineStr">
        <is>
          <t>2071-1050</t>
        </is>
      </c>
      <c r="AS1772" t="inlineStr">
        <is>
          <t>SUSTAINABILITY-BASEL</t>
        </is>
      </c>
      <c r="AT1772" t="inlineStr">
        <is>
          <t>Sustainability</t>
        </is>
      </c>
      <c r="AU1772" t="inlineStr">
        <is>
          <t>OCT 1</t>
        </is>
      </c>
      <c r="AV1772" t="n">
        <v>2019</v>
      </c>
      <c r="AW1772" t="n">
        <v>11</v>
      </c>
      <c r="AX1772" t="n">
        <v>19</v>
      </c>
      <c r="BE1772" t="n">
        <v>5290</v>
      </c>
      <c r="BF1772" t="inlineStr">
        <is>
          <t>10.3390/su11195290</t>
        </is>
      </c>
      <c r="BG1772">
        <f>HYPERLINK("http://dx.doi.org/10.3390/su11195290","http://dx.doi.org/10.3390/su11195290")</f>
        <v/>
      </c>
      <c r="BJ1772" t="n">
        <v>23</v>
      </c>
      <c r="BK1772" t="inlineStr">
        <is>
          <t>Green &amp; Sustainable Science &amp; Technology; Environmental Sciences; Environmental Studies</t>
        </is>
      </c>
      <c r="BL1772" t="inlineStr">
        <is>
          <t>Science Citation Index Expanded (SCI-EXPANDED); Social Science Citation Index (SSCI)</t>
        </is>
      </c>
      <c r="BM1772" t="inlineStr">
        <is>
          <t>Science &amp; Technology - Other Topics; Environmental Sciences &amp; Ecology</t>
        </is>
      </c>
      <c r="BN1772" t="inlineStr">
        <is>
          <t>JI5RS</t>
        </is>
      </c>
      <c r="BP1772" t="inlineStr">
        <is>
          <t>Green Published, gold</t>
        </is>
      </c>
      <c r="BS1772" t="inlineStr">
        <is>
          <t>2023-10-26</t>
        </is>
      </c>
      <c r="BT1772" t="inlineStr">
        <is>
          <t>WOS:000493525500149</t>
        </is>
      </c>
      <c r="BU1772">
        <f>HYPERLINK("https%3A%2F%2Fwww.webofscience.com%2Fwos%2Fwoscc%2Ffull-record%2FWOS:000493525500149","View Full Record in Web of Science")</f>
        <v/>
      </c>
    </row>
    <row r="1773">
      <c r="A1773" t="inlineStr">
        <is>
          <t>J</t>
        </is>
      </c>
      <c r="B1773" t="inlineStr">
        <is>
          <t>Nakai, Y; Makizako, H; Kiyama, R; Tomioka, K; Taniguchi, Y; Kubozono, T; Takenaka, T; Ohishi, M</t>
        </is>
      </c>
      <c r="F1773" t="inlineStr">
        <is>
          <t>Nakai, Yuki; Makizako, Hyuma; Kiyama, Ryoji; Tomioka, Kazutoshi; Taniguchi, Yoshiaki; Kubozono, Takuro; Takenaka, Toshihiro; Ohishi, Mitsuru</t>
        </is>
      </c>
      <c r="J1773" t="inlineStr">
        <is>
          <t>INTERNATIONAL JOURNAL OF ENVIRONMENTAL RESEARCH AND PUBLIC HEALTH</t>
        </is>
      </c>
      <c r="M1773" t="inlineStr">
        <is>
          <t>English</t>
        </is>
      </c>
      <c r="N1773" t="inlineStr">
        <is>
          <t>Article</t>
        </is>
      </c>
      <c r="T1773" t="inlineStr">
        <is>
          <t>Association between Chronic Pain and Physical Frailty in Community-Dwelling Older Adults</t>
        </is>
      </c>
      <c r="U1773" t="inlineStr">
        <is>
          <t>physical frailty; chronic pain; older individuals</t>
        </is>
      </c>
      <c r="V1773" t="inlineStr">
        <is>
          <t>CHRONIC WIDESPREAD PAIN; QUALITY-OF-LIFE; LONG-TERM-CARE; MUSCULOSKELETAL PAIN; PREVALENCE; DISABILITY; RISK; DEPRESSION; MORTALITY; BALANCE</t>
        </is>
      </c>
      <c r="W1773" t="inlineStr">
        <is>
          <t>This cross-sectional study investigated the association between chronic pain and physical frailty in community-dwelling older adults. We analyzed data obtained from 323 older adults (women: 74.6%) who participated in a community-based health check survey (the Tarumizu Study, 2017). Physical frailty was defined in terms of five parameters (exhaustion, slowness, weakness, low physical activity, and weight loss). We assessed the prevalence of chronic low back and knee pain using questionnaires. Participants whose pain had lasted two months were considered to have chronic pain. Among all participants, 138 (42.7%) had chronic pain, and 171 (53.0%) were categorized as having physical frailty or pre-frailty. Logistic regression analysis showed that chronic pain was significantly associated with the group combining frailty and pre-frailty (odds ratio 1.68, 95% confidence interval 1.03-2.76, p = 0.040) after adjustment for age, sex, body mass index, score on the 15-item Geriatric Depression Scale, and medications. Comparing the proportions of chronic pain among participants who responded to the sub-items, exhaustion (yes: 65.9%, no: 39.4%) demonstrated a significant association (p &lt; 0.001). Chronic pain could be associated with the group combining frailty and pre-frailty and is particularly associated with exhaustion in community-dwelling older adults. Therefore, there is a need for early intervention and consideration of the role of exhaustion when devising interventions for physical frailty in older individuals with chronic pain.</t>
        </is>
      </c>
      <c r="X1773" t="inlineStr">
        <is>
          <t>[Nakai, Yuki; Makizako, Hyuma; Kiyama, Ryoji] Kagoshima Univ, Fac Med, Sch Hlth Sci, Dept Phys Therapy, Kagoshima 8908544, Japan; [Nakai, Yuki; Tomioka, Kazutoshi; Taniguchi, Yoshiaki] Kagoshima Univ, Grad Sch Hlth Sci, Kagoshima 8908544, Japan; [Kubozono, Takuro; Ohishi, Mitsuru] Kagoshima Univ, Grad Sch Med &amp; Dent Sci, Dept Cardiovasc Med &amp; Hypertens, Kagoshima 8900075, Japan; [Takenaka, Toshihiro] Tarumizu Chuo Hosp, Tarumizu Municipal Med Ctr, Kagoshima 8912124, Japan</t>
        </is>
      </c>
      <c r="Y1773" t="inlineStr">
        <is>
          <t>Kagoshima University; Kagoshima University; Kagoshima University</t>
        </is>
      </c>
      <c r="Z1773" t="inlineStr">
        <is>
          <t>Makizako, H (corresponding author), Kagoshima Univ, Fac Med, Sch Hlth Sci, Dept Phys Therapy, Kagoshima 8908544, Japan.</t>
        </is>
      </c>
      <c r="AA1773" t="inlineStr">
        <is>
          <t>nakai@health.nop.kagoshima-u.ac.jp; makizako@health.nop.kagoshima-u.ac.jp; kiyama@health.nop.kagoshima-u.ac.jp; reha_tommy@yahoo.co.jp; p.taniguchi0601@gmail.com; kubozono@cepp.ne.jp; takenaka@tarumizumh.jp; ohishi@m2.kufm.kagoshima-u.ac.jp</t>
        </is>
      </c>
      <c r="AC1773" t="inlineStr">
        <is>
          <t>Nakai, Yuki/0000-0003-4748-7293</t>
        </is>
      </c>
      <c r="AD1773" t="inlineStr">
        <is>
          <t>AMED [JP18dk0207027]; Research Funding for Longevity Sciences from the National Center for Geriatrics and Gerontology (NCGG) [29-42]; JSPS KAKENHI [JP17K19870]</t>
        </is>
      </c>
      <c r="AE1773" t="inlineStr">
        <is>
          <t>AMED; Research Funding for Longevity Sciences from the National Center for Geriatrics and Gerontology (NCGG); JSPS KAKENHI(Ministry of Education, Culture, Sports, Science and Technology, Japan (MEXT)Japan Society for the Promotion of ScienceGrants-in-Aid for Scientific Research (KAKENHI))</t>
        </is>
      </c>
      <c r="AF1773" t="inlineStr">
        <is>
          <t>This work was supported by AMED under Grant Number JP18dk0207027; Research Funding for Longevity Sciences (29-42) from the National Center for Geriatrics and Gerontology (NCGG) and JSPS KAKENHI (Grant-in-Aid for challenging Exploratory Research) Grant Number JP17K19870.</t>
        </is>
      </c>
      <c r="AH1773" t="n">
        <v>37</v>
      </c>
      <c r="AI1773" t="n">
        <v>39</v>
      </c>
      <c r="AJ1773" t="n">
        <v>40</v>
      </c>
      <c r="AK1773" t="n">
        <v>1</v>
      </c>
      <c r="AL1773" t="n">
        <v>14</v>
      </c>
      <c r="AM1773" t="inlineStr">
        <is>
          <t>MDPI</t>
        </is>
      </c>
      <c r="AN1773" t="inlineStr">
        <is>
          <t>BASEL</t>
        </is>
      </c>
      <c r="AO1773" t="inlineStr">
        <is>
          <t>ST ALBAN-ANLAGE 66, CH-4052 BASEL, SWITZERLAND</t>
        </is>
      </c>
      <c r="AP1773" t="inlineStr">
        <is>
          <t>1661-7827</t>
        </is>
      </c>
      <c r="AQ1773" t="inlineStr">
        <is>
          <t>1660-4601</t>
        </is>
      </c>
      <c r="AS1773" t="inlineStr">
        <is>
          <t>INT J ENV RES PUB HE</t>
        </is>
      </c>
      <c r="AT1773" t="inlineStr">
        <is>
          <t>Int. J. Environ. Res. Public Health</t>
        </is>
      </c>
      <c r="AU1773" t="inlineStr">
        <is>
          <t>APR 2</t>
        </is>
      </c>
      <c r="AV1773" t="n">
        <v>2019</v>
      </c>
      <c r="AW1773" t="n">
        <v>16</v>
      </c>
      <c r="AX1773" t="n">
        <v>8</v>
      </c>
      <c r="BE1773" t="n">
        <v>1330</v>
      </c>
      <c r="BF1773" t="inlineStr">
        <is>
          <t>10.3390/ijerph16081330</t>
        </is>
      </c>
      <c r="BG1773">
        <f>HYPERLINK("http://dx.doi.org/10.3390/ijerph16081330","http://dx.doi.org/10.3390/ijerph16081330")</f>
        <v/>
      </c>
      <c r="BJ1773" t="n">
        <v>9</v>
      </c>
      <c r="BK1773" t="inlineStr">
        <is>
          <t>Environmental Sciences; Public, Environmental &amp; Occupational Health</t>
        </is>
      </c>
      <c r="BL1773" t="inlineStr">
        <is>
          <t>Science Citation Index Expanded (SCI-EXPANDED); Social Science Citation Index (SSCI)</t>
        </is>
      </c>
      <c r="BM1773" t="inlineStr">
        <is>
          <t>Environmental Sciences &amp; Ecology; Public, Environmental &amp; Occupational Health</t>
        </is>
      </c>
      <c r="BN1773" t="inlineStr">
        <is>
          <t>HX9RX</t>
        </is>
      </c>
      <c r="BO1773" t="n">
        <v>31013877</v>
      </c>
      <c r="BP1773" t="inlineStr">
        <is>
          <t>Green Published, Green Submitted, gold</t>
        </is>
      </c>
      <c r="BS1773" t="inlineStr">
        <is>
          <t>2023-10-26</t>
        </is>
      </c>
      <c r="BT1773" t="inlineStr">
        <is>
          <t>WOS:000467747100023</t>
        </is>
      </c>
      <c r="BU1773">
        <f>HYPERLINK("https%3A%2F%2Fwww.webofscience.com%2Fwos%2Fwoscc%2Ffull-record%2FWOS:000467747100023","View Full Record in Web of Science")</f>
        <v/>
      </c>
    </row>
    <row r="1774">
      <c r="A1774" t="inlineStr">
        <is>
          <t>J</t>
        </is>
      </c>
      <c r="B1774" t="inlineStr">
        <is>
          <t>Dai, XL; Shang, WZ; Liu, JJ; Xue, M; Wang, CC</t>
        </is>
      </c>
      <c r="F1774" t="inlineStr">
        <is>
          <t>Dai, Xilei; Shang, Wenzhe; Liu, Junjie; Xue, Min; Wang, Congcong</t>
        </is>
      </c>
      <c r="J1774" t="inlineStr">
        <is>
          <t>SCIENCE OF THE TOTAL ENVIRONMENT</t>
        </is>
      </c>
      <c r="M1774" t="inlineStr">
        <is>
          <t>English</t>
        </is>
      </c>
      <c r="N1774" t="inlineStr">
        <is>
          <t>Article</t>
        </is>
      </c>
      <c r="T1774" t="inlineStr">
        <is>
          <t>Achieving better indoor air quality with IoT systems for future buildings: Opportunities and challenges</t>
        </is>
      </c>
      <c r="U1774" t="inlineStr">
        <is>
          <t>Indoor air quality; Data-driven modeling; Machine learning; Internet of things; Occupant-centric control; Digital twins</t>
        </is>
      </c>
      <c r="V1774" t="inlineStr">
        <is>
          <t>FINE PARTICULATE MATTER; RESIDENTIAL BUILDINGS; PM2.5 CONCENTRATIONS; ENERGY OPTIMIZATION; PLATFORM; TIME; VENTILATION; POLLUTANTS; PREDICTION; EXPOSURE</t>
        </is>
      </c>
      <c r="W1774" t="inlineStr">
        <is>
          <t>With the development of IoT technology and low-cost indoor air quality (IAQ) sensors, the IoT-based IAQ monitoring platform has garnered significant research interest and demonstrated its potential in enhancing IAQ management. This study presents a comprehensive review of previous research on the development and application of IoT-based IAQ platforms in different built environments. It offers detailed insights into the design and implementation of recent IoT-based IAQ platforms. The findings indicate that the IoT-based IAQ platforms are able to provide reliable information for IAQ monitoring. To ensure quality control of the IoT-based IAQ platform, it is suggested to replace the sensors every 4-6 months for reliable monitoring. In another aspect, integrating data-driven technology into the platform is crucial for IAQ prediction and efficient control of ventilation systems, leveraging the wealth of data available from the IoT platform. According to recent studies that applied data-driven algorithms for IAQ management, it can be confirmed that the data-driven algorithms are able to prompt IAQ by providing either more information or a control strategy. However, it should be noted that only 9.1 % of the developed platforms integrated data-driven models for IAQ management. Based on our findings, current challenges and further opportunities are discussed. Future studies should focus on integrating data-driven algorithms into IoT-based IAQ platforms and developing digital twins that can be used for real building IAQ management. However, there is obvious tension between controlling ventilation for energy efficiency versus better air quality. It is important to make a balance between energy efficiency and better air quality according to the current situations of specific built environments. Also, the next generation of IoT-based IAQ platforms should include occupants in the loop to create a more occupant-centric IAQ management approach.</t>
        </is>
      </c>
      <c r="X1774" t="inlineStr">
        <is>
          <t>[Dai, Xilei] Natl Univ Singapore, Coll Design &amp; Engn, Dept Built Environm, 4 Architecture Dr, Singapore 117566, Singapore; [Shang, Wenzhe; Liu, Junjie; Xue, Min] Tianjin Univ, Sch Environm Sci &amp; Engn, Tianjin Key Lab Indoor Air Environm Qual Control, Tianjin 300072, Peoples R China; [Wang, Congcong] Beijing Univ Civil Engn &amp; Architecture, Sch Environm &amp; Energy Engn, Beijing 100044, Peoples R China</t>
        </is>
      </c>
      <c r="Y1774" t="inlineStr">
        <is>
          <t>National University of Singapore; Tianjin University; Beijing University of Civil Engineering &amp; Architecture</t>
        </is>
      </c>
      <c r="Z1774" t="inlineStr">
        <is>
          <t>Liu, JJ (corresponding author), Tianjin Univ, Sch Environm Sci &amp; Engn, Tianjin Key Lab Indoor Air Environm Qual Control, Tianjin 300072, Peoples R China.</t>
        </is>
      </c>
      <c r="AA1774" t="inlineStr">
        <is>
          <t>jjliu@tju.edu.cn</t>
        </is>
      </c>
      <c r="AD1774" t="inlineStr">
        <is>
          <t>National Key Research and Development Program of China [2022YFC3702803]; National Key Project of the Ministry of Science and Technology, China, on Green Buildings and Building Industrialization [2016YFC0700501]</t>
        </is>
      </c>
      <c r="AE1774" t="inlineStr">
        <is>
          <t>National Key Research and Development Program of China; National Key Project of the Ministry of Science and Technology, China, on Green Buildings and Building Industrialization</t>
        </is>
      </c>
      <c r="AF1774" t="inlineStr">
        <is>
          <t>&amp; nbsp;This work was supported by the National Key Research and Development Program of China through Grant No. 2022YFC3702803 and the National Key Project of the Ministry of Science and Technology, China, on Green Buildings and Building Industrialization through Grant No. 2016YFC0700501.</t>
        </is>
      </c>
      <c r="AH1774" t="n">
        <v>149</v>
      </c>
      <c r="AI1774" t="n">
        <v>0</v>
      </c>
      <c r="AJ1774" t="n">
        <v>0</v>
      </c>
      <c r="AK1774" t="n">
        <v>13</v>
      </c>
      <c r="AL1774" t="n">
        <v>13</v>
      </c>
      <c r="AM1774" t="inlineStr">
        <is>
          <t>ELSEVIER</t>
        </is>
      </c>
      <c r="AN1774" t="inlineStr">
        <is>
          <t>AMSTERDAM</t>
        </is>
      </c>
      <c r="AO1774" t="inlineStr">
        <is>
          <t>RADARWEG 29, 1043 NX AMSTERDAM, NETHERLANDS</t>
        </is>
      </c>
      <c r="AP1774" t="inlineStr">
        <is>
          <t>0048-9697</t>
        </is>
      </c>
      <c r="AQ1774" t="inlineStr">
        <is>
          <t>1879-1026</t>
        </is>
      </c>
      <c r="AS1774" t="inlineStr">
        <is>
          <t>SCI TOTAL ENVIRON</t>
        </is>
      </c>
      <c r="AT1774" t="inlineStr">
        <is>
          <t>Sci. Total Environ.</t>
        </is>
      </c>
      <c r="AU1774" t="inlineStr">
        <is>
          <t>OCT 15</t>
        </is>
      </c>
      <c r="AV1774" t="n">
        <v>2023</v>
      </c>
      <c r="AW1774" t="n">
        <v>895</v>
      </c>
      <c r="BE1774" t="n">
        <v>164858</v>
      </c>
      <c r="BF1774" t="inlineStr">
        <is>
          <t>10.1016/j.scitotenv.2023.164858</t>
        </is>
      </c>
      <c r="BG1774">
        <f>HYPERLINK("http://dx.doi.org/10.1016/j.scitotenv.2023.164858","http://dx.doi.org/10.1016/j.scitotenv.2023.164858")</f>
        <v/>
      </c>
      <c r="BI1774" t="inlineStr">
        <is>
          <t>JUN 2023</t>
        </is>
      </c>
      <c r="BJ1774" t="n">
        <v>14</v>
      </c>
      <c r="BK1774" t="inlineStr">
        <is>
          <t>Environmental Sciences</t>
        </is>
      </c>
      <c r="BL1774" t="inlineStr">
        <is>
          <t>Science Citation Index Expanded (SCI-EXPANDED)</t>
        </is>
      </c>
      <c r="BM1774" t="inlineStr">
        <is>
          <t>Environmental Sciences &amp; Ecology</t>
        </is>
      </c>
      <c r="BN1774" t="inlineStr">
        <is>
          <t>M8ON6</t>
        </is>
      </c>
      <c r="BO1774" t="n">
        <v>37343873</v>
      </c>
      <c r="BS1774" t="inlineStr">
        <is>
          <t>2023-10-26</t>
        </is>
      </c>
      <c r="BT1774" t="inlineStr">
        <is>
          <t>WOS:001032755300001</t>
        </is>
      </c>
      <c r="BU1774">
        <f>HYPERLINK("https%3A%2F%2Fwww.webofscience.com%2Fwos%2Fwoscc%2Ffull-record%2FWOS:001032755300001","View Full Record in Web of Science")</f>
        <v/>
      </c>
    </row>
    <row r="1775">
      <c r="A1775" t="inlineStr">
        <is>
          <t>J</t>
        </is>
      </c>
      <c r="B1775" t="inlineStr">
        <is>
          <t>Torpy, FR; Zavattaro, M; Irga, PJ</t>
        </is>
      </c>
      <c r="F1775" t="inlineStr">
        <is>
          <t>Torpy, F. R.; Zavattaro, M.; Irga, P. J.</t>
        </is>
      </c>
      <c r="J1775" t="inlineStr">
        <is>
          <t>AIR QUALITY ATMOSPHERE AND HEALTH</t>
        </is>
      </c>
      <c r="M1775" t="inlineStr">
        <is>
          <t>English</t>
        </is>
      </c>
      <c r="N1775" t="inlineStr">
        <is>
          <t>Article</t>
        </is>
      </c>
      <c r="T1775" t="inlineStr">
        <is>
          <t>Green wall technology for the phytoremediation of indoor air: a system for the reduction of high CO2 concentrations</t>
        </is>
      </c>
      <c r="U1775" t="inlineStr">
        <is>
          <t>Carbon dioxide; Indoor environment; Biofiltration; Phytoremediation; Sustainable buildings; Active green walls</t>
        </is>
      </c>
      <c r="V1775" t="inlineStr">
        <is>
          <t>FORMALDEHYDE REMOVAL; PLANTS; TEMPERATURE; BIOFILTRATION; PURIFICATION; PERFORMANCE; CAPABILITY; HUMIDITY</t>
        </is>
      </c>
      <c r="W1775" t="inlineStr">
        <is>
          <t>Along with the growing requirement to reduce building carbon emissions, a need has arisen to find energy efficient means of improving the quality of indoor air. Indoor plants have been shown to be capable of reducing most air pollutants; however, practical numbers of potted plants will not have the capacity to control many forms of air pollution, especially CO2. Green walls are space-efficient means of increasing the density of indoor plants. We assessed an active green wall for its potential to reduce CO2 in chambers and a test room. Chlorophytum comosum and Epipremnum aureum were both effective cultivars for CO2 removal at light densities greater than 50 mu mol m(-2) s(-1). Substrate ventilation increased the rate of CO2 draw down from chambers, possibly due to increased leaf gas exchange rates. Green walls were then tested in a 15.65-m(3) sealed simulation room, allowing the calculation of clean air delivery rate (CADR) and air changes per hour (ACH) equivalents based on CO2 draw down. Rates of CO2 draw down were modest under typical brightly lit indoor conditions (50 mu mol m(-2) s(-1)); however, when light intensity was increased to relatively bright levels, similar to indoor conditions next to a window or with the addition of supplementary lighting (250 mu mol m(-2) s(-1)), a 1-m(2) green wall was capable of significant quantifiable reductions of high CO2 concentrations within a sealed room environment. Extrapolating these findings indicates that a 5-m(2) green wall containing C. comosum could balance the respiratory emissions of a full-time occupant.</t>
        </is>
      </c>
      <c r="X1775" t="inlineStr">
        <is>
          <t>[Torpy, F. R.; Irga, P. J.] Univ Technol Sydney, Sch Life Sci, Plants &amp; Environm Qual Res Grp, Fac Sci, POB 123, Ultimo, NSW 2007, Australia; [Zavattaro, M.] Univ Technol Sydney, Sch Life Sci, Fac Sci, POB 123, Ultimo, NSW 2007, Australia</t>
        </is>
      </c>
      <c r="Y1775" t="inlineStr">
        <is>
          <t>University of Technology Sydney; University of Technology Sydney</t>
        </is>
      </c>
      <c r="Z1775" t="inlineStr">
        <is>
          <t>Torpy, FR (corresponding author), Univ Technol Sydney, Sch Life Sci, Plants &amp; Environm Qual Res Grp, Fac Sci, POB 123, Ultimo, NSW 2007, Australia.</t>
        </is>
      </c>
      <c r="AA1775" t="inlineStr">
        <is>
          <t>Fraser.Torpy@uts.edu.au</t>
        </is>
      </c>
      <c r="AB1775" t="inlineStr">
        <is>
          <t>Torpy, Fraser/I-5392-2019</t>
        </is>
      </c>
      <c r="AC1775" t="inlineStr">
        <is>
          <t>Irga, Peter/0000-0001-5952-0658; Torpy, Fraser/0000-0002-9137-6948</t>
        </is>
      </c>
      <c r="AD1775" t="inlineStr">
        <is>
          <t>Australian Government Department of Industry Research Connections linkage project; Junglefy Pty Ltd.</t>
        </is>
      </c>
      <c r="AE1775" t="inlineStr">
        <is>
          <t>Australian Government Department of Industry Research Connections linkage project; Junglefy Pty Ltd.</t>
        </is>
      </c>
      <c r="AF1775" t="inlineStr">
        <is>
          <t>This research was funded by an Australian Government Department of Industry Research Connections linkage project with Junglefy Pty Ltd. None of the authors have any commercial connection with either the funding body or Junglefy Pty Ltd. beyond the scope of this research project. We would like to thank Ashley Naomi Jane Douglas, Iain Berry and Russell Trenerry for their professional editing assistance with this work, and Gemma Armstrong for laboratory management.</t>
        </is>
      </c>
      <c r="AH1775" t="n">
        <v>45</v>
      </c>
      <c r="AI1775" t="n">
        <v>55</v>
      </c>
      <c r="AJ1775" t="n">
        <v>55</v>
      </c>
      <c r="AK1775" t="n">
        <v>6</v>
      </c>
      <c r="AL1775" t="n">
        <v>102</v>
      </c>
      <c r="AM1775" t="inlineStr">
        <is>
          <t>SPRINGER</t>
        </is>
      </c>
      <c r="AN1775" t="inlineStr">
        <is>
          <t>DORDRECHT</t>
        </is>
      </c>
      <c r="AO1775" t="inlineStr">
        <is>
          <t>VAN GODEWIJCKSTRAAT 30, 3311 GZ DORDRECHT, NETHERLANDS</t>
        </is>
      </c>
      <c r="AP1775" t="inlineStr">
        <is>
          <t>1873-9318</t>
        </is>
      </c>
      <c r="AQ1775" t="inlineStr">
        <is>
          <t>1873-9326</t>
        </is>
      </c>
      <c r="AS1775" t="inlineStr">
        <is>
          <t>AIR QUAL ATMOS HLTH</t>
        </is>
      </c>
      <c r="AT1775" t="inlineStr">
        <is>
          <t>Air Qual. Atmos. Health</t>
        </is>
      </c>
      <c r="AU1775" t="inlineStr">
        <is>
          <t>JUN</t>
        </is>
      </c>
      <c r="AV1775" t="n">
        <v>2017</v>
      </c>
      <c r="AW1775" t="n">
        <v>10</v>
      </c>
      <c r="AX1775" t="n">
        <v>5</v>
      </c>
      <c r="BC1775" t="n">
        <v>575</v>
      </c>
      <c r="BD1775" t="n">
        <v>585</v>
      </c>
      <c r="BF1775" t="inlineStr">
        <is>
          <t>10.1007/s11869-016-0452-x</t>
        </is>
      </c>
      <c r="BG1775">
        <f>HYPERLINK("http://dx.doi.org/10.1007/s11869-016-0452-x","http://dx.doi.org/10.1007/s11869-016-0452-x")</f>
        <v/>
      </c>
      <c r="BJ1775" t="n">
        <v>11</v>
      </c>
      <c r="BK1775" t="inlineStr">
        <is>
          <t>Environmental Sciences</t>
        </is>
      </c>
      <c r="BL1775" t="inlineStr">
        <is>
          <t>Science Citation Index Expanded (SCI-EXPANDED)</t>
        </is>
      </c>
      <c r="BM1775" t="inlineStr">
        <is>
          <t>Environmental Sciences &amp; Ecology</t>
        </is>
      </c>
      <c r="BN1775" t="inlineStr">
        <is>
          <t>EV3AV</t>
        </is>
      </c>
      <c r="BS1775" t="inlineStr">
        <is>
          <t>2023-10-26</t>
        </is>
      </c>
      <c r="BT1775" t="inlineStr">
        <is>
          <t>WOS:000401630200005</t>
        </is>
      </c>
      <c r="BU1775">
        <f>HYPERLINK("https%3A%2F%2Fwww.webofscience.com%2Fwos%2Fwoscc%2Ffull-record%2FWOS:000401630200005","View Full Record in Web of Science")</f>
        <v/>
      </c>
    </row>
    <row r="1776">
      <c r="A1776" t="inlineStr">
        <is>
          <t>J</t>
        </is>
      </c>
      <c r="B1776" t="inlineStr">
        <is>
          <t>Hwang, RL; Chen, WA; Weng, YT</t>
        </is>
      </c>
      <c r="F1776" t="inlineStr">
        <is>
          <t>Hwang, Ruey-Lung; Chen, Wei-An; Weng, Yu-Teng</t>
        </is>
      </c>
      <c r="J1776" t="inlineStr">
        <is>
          <t>ATMOSPHERE</t>
        </is>
      </c>
      <c r="M1776" t="inlineStr">
        <is>
          <t>English</t>
        </is>
      </c>
      <c r="N1776" t="inlineStr">
        <is>
          <t>Article</t>
        </is>
      </c>
      <c r="T1776" t="inlineStr">
        <is>
          <t>Strengthening Taiwan's Green Building Certification System from Aspects of Productivity and Energy Costs to Provide a Healthier Workplace</t>
        </is>
      </c>
      <c r="U1776" t="inlineStr">
        <is>
          <t>green buildings; building performance simulation; indoor environmental quality; thermal comfort; visual comfort; occupant productivity; energy consumption</t>
        </is>
      </c>
      <c r="V1776" t="inlineStr">
        <is>
          <t>INDOOR ENVIRONMENTAL-QUALITY; OFFICE BUILDINGS; VISUAL COMFORT; AIR-QUALITY; SATISFACTION; OCCUPANT; PERFORMANCE; LEED; DESIGN; IMPACT</t>
        </is>
      </c>
      <c r="W1776" t="inlineStr">
        <is>
          <t>This study estimates the relationship between poor indoor environmental quality (IEQ) and the increasing labor costs in green buildings in Taiwan. Specifically, poor performance of IEQ including HVAC, lighting, and indoor air quality, influences the health and well-being of occupants and leads to worse productivity, ultimately causing increased personnel cost. In Taiwan's green building certification (GBC) system, the energy-savings category is mandatory while the IEQ category is only optional. It means that certified building cases may not reach the expected level in IEQ. Thus, this study reviews the thermal environment, indoor air quality (IAQ), and illumination performances of IEQ-certified and non-IEQ-certified buildings in 20 green buildings. Building energy and IEQ simulations were conducted to analyze the relationships between indoor comfort, energy cost, and personnel cost in green buildings. The results show that IEQ-certified green buildings averagely perform better than non-IEQ-certified ones in the aspects of IEQ and building costs. Besides, 3 of 13 non-IEQ-certified green buildings undertake extremely high additional expenditure for the poor IEQ. The results correspond to some previous findings that green-certified buildings do not necessarily guarantee good building performance. This study further inspects the pros and cons of Taiwan's GBC system and proposes recommendations against its insufficient IEQ evaluation category. As the trade-off of energy-saving benefits with health and well-being in green buildings has always been a concern, this study aims to stimulate more quantitative research and promote a more comprehensive green building certification system in Taiwan.</t>
        </is>
      </c>
      <c r="X1776" t="inlineStr">
        <is>
          <t>[Hwang, Ruey-Lung] Natl Kaohsiung Normal Univ, Dept Ind Technol Educ, Kaohsiung 824004, Taiwan; [Chen, Wei-An] Natl Cheng Kung Univ, Dept Architecture, Tainan 70101, Taiwan; [Weng, Yu-Teng] Natl Taiwan Univ, Dept Bioenvironm Syst Engn, Taipei 10617, Taiwan</t>
        </is>
      </c>
      <c r="Y1776" t="inlineStr">
        <is>
          <t>National Kaohsiung Normal University; National Cheng Kung University; National Taiwan University</t>
        </is>
      </c>
      <c r="Z1776" t="inlineStr">
        <is>
          <t>Weng, YT (corresponding author), Natl Taiwan Univ, Dept Bioenvironm Syst Engn, Taipei 10617, Taiwan.</t>
        </is>
      </c>
      <c r="AA1776" t="inlineStr">
        <is>
          <t>rueylung@nknu.edu.tw; 11008055@gs.ncku.edu.tw; r04622034@ntu.edu.tw</t>
        </is>
      </c>
      <c r="AB1776" t="inlineStr">
        <is>
          <t>Chen, Wei-An/HCI-2173-2022</t>
        </is>
      </c>
      <c r="AC1776" t="inlineStr">
        <is>
          <t>Chen, Wei-An/0000-0003-4293-5827; Hwang, Ruey-Lung/0000-0002-4548-5836</t>
        </is>
      </c>
      <c r="AH1776" t="n">
        <v>70</v>
      </c>
      <c r="AI1776" t="n">
        <v>1</v>
      </c>
      <c r="AJ1776" t="n">
        <v>1</v>
      </c>
      <c r="AK1776" t="n">
        <v>2</v>
      </c>
      <c r="AL1776" t="n">
        <v>19</v>
      </c>
      <c r="AM1776" t="inlineStr">
        <is>
          <t>MDPI</t>
        </is>
      </c>
      <c r="AN1776" t="inlineStr">
        <is>
          <t>BASEL</t>
        </is>
      </c>
      <c r="AO1776" t="inlineStr">
        <is>
          <t>ST ALBAN-ANLAGE 66, CH-4052 BASEL, SWITZERLAND</t>
        </is>
      </c>
      <c r="AQ1776" t="inlineStr">
        <is>
          <t>2073-4433</t>
        </is>
      </c>
      <c r="AS1776" t="inlineStr">
        <is>
          <t>ATMOSPHERE-BASEL</t>
        </is>
      </c>
      <c r="AT1776" t="inlineStr">
        <is>
          <t>Atmosphere</t>
        </is>
      </c>
      <c r="AU1776" t="inlineStr">
        <is>
          <t>JAN</t>
        </is>
      </c>
      <c r="AV1776" t="n">
        <v>2022</v>
      </c>
      <c r="AW1776" t="n">
        <v>13</v>
      </c>
      <c r="AX1776" t="n">
        <v>1</v>
      </c>
      <c r="BE1776" t="n">
        <v>118</v>
      </c>
      <c r="BF1776" t="inlineStr">
        <is>
          <t>10.3390/atmos13010118</t>
        </is>
      </c>
      <c r="BG1776">
        <f>HYPERLINK("http://dx.doi.org/10.3390/atmos13010118","http://dx.doi.org/10.3390/atmos13010118")</f>
        <v/>
      </c>
      <c r="BJ1776" t="n">
        <v>18</v>
      </c>
      <c r="BK1776" t="inlineStr">
        <is>
          <t>Environmental Sciences; Meteorology &amp; Atmospheric Sciences</t>
        </is>
      </c>
      <c r="BL1776" t="inlineStr">
        <is>
          <t>Science Citation Index Expanded (SCI-EXPANDED)</t>
        </is>
      </c>
      <c r="BM1776" t="inlineStr">
        <is>
          <t>Environmental Sciences &amp; Ecology; Meteorology &amp; Atmospheric Sciences</t>
        </is>
      </c>
      <c r="BN1776" t="inlineStr">
        <is>
          <t>ZD7VD</t>
        </is>
      </c>
      <c r="BP1776" t="inlineStr">
        <is>
          <t>gold</t>
        </is>
      </c>
      <c r="BS1776" t="inlineStr">
        <is>
          <t>2023-10-26</t>
        </is>
      </c>
      <c r="BT1776" t="inlineStr">
        <is>
          <t>WOS:000758403400001</t>
        </is>
      </c>
      <c r="BU1776">
        <f>HYPERLINK("https%3A%2F%2Fwww.webofscience.com%2Fwos%2Fwoscc%2Ffull-record%2FWOS:000758403400001","View Full Record in Web of Science")</f>
        <v/>
      </c>
    </row>
    <row r="1777">
      <c r="A1777" t="inlineStr">
        <is>
          <t>J</t>
        </is>
      </c>
      <c r="B1777" t="inlineStr">
        <is>
          <t>Fu, RD; Zhang, XH; Yang, DG; Cai, TY; Zhang, YF</t>
        </is>
      </c>
      <c r="F1777" t="inlineStr">
        <is>
          <t>Fu, Runde; Zhang, Xinhuan; Yang, Degang; Cai, Tianyi; Zhang, Yufang</t>
        </is>
      </c>
      <c r="J1777" t="inlineStr">
        <is>
          <t>INTERNATIONAL JOURNAL OF ENVIRONMENTAL RESEARCH AND PUBLIC HEALTH</t>
        </is>
      </c>
      <c r="M1777" t="inlineStr">
        <is>
          <t>English</t>
        </is>
      </c>
      <c r="N1777" t="inlineStr">
        <is>
          <t>Article</t>
        </is>
      </c>
      <c r="T1777" t="inlineStr">
        <is>
          <t>The Relationship between Urban Vibrancy and Built Environment: An Empirical Study from an Emerging City in an Arid Region</t>
        </is>
      </c>
      <c r="U1777" t="inlineStr">
        <is>
          <t>urban vibrancy; built environment; influence; GWR; multi-source data; Urumqi</t>
        </is>
      </c>
      <c r="V1777" t="inlineStr">
        <is>
          <t>WALKING ACTIVITY; CITIES; CHINA</t>
        </is>
      </c>
      <c r="W1777" t="inlineStr">
        <is>
          <t>Creating a vital and lively urban environment is an inherent requirement of urban sustainable development, and understanding urban vibrancy is helpful for urban development policy making. The urban vibrancy theory needs more empirical supplementation and more evidence for the effect of the built environment on urban vibrancy. We use multisource urban spatial information data, including real-time population distribution (RPD) data and small catering business (SCB) data; quantitatively measure urban vibrancy; and build a comparative framework to explore the effect of the built environment on the urban vibrancy of a northwestern emerging city in China. The results demonstrate that the two urban vibrancy metrics present a spatial distribution pattern that is high in the south and low in the north areas of the city with significant spatial aggregation. Land-use intensity and diversity have strong positive effects on urban vibrancy but present a different pattern of effects on the two vibrancy measures. The influences on urban vibrancy of distance to the district center and distance to the nearest commercial complex are spatially complementary in the study area, and the effect of accessibility factors is weak. Our findings suggest that a somewhat cautious approach is required in the application of these classical planning theories to Urumqi.</t>
        </is>
      </c>
      <c r="X1777" t="inlineStr">
        <is>
          <t>[Fu, Runde; Zhang, Xinhuan; Yang, Degang; Cai, Tianyi; Zhang, Yufang] Chinese Acad Sci, State Key Lab Desert &amp; Oasis Ecol, Xinjiang Inst Ecol &amp; Geog, Urumqi 830011, Peoples R China; [Fu, Runde; Yang, Degang; Cai, Tianyi] Univ Chinese Acad Sci, Grad Sch, Beijing 100049, Peoples R China</t>
        </is>
      </c>
      <c r="Y1777" t="inlineStr">
        <is>
          <t>Chinese Academy of Sciences; Xinjiang Institute of Ecology &amp; Geography, CAS; Chinese Academy of Sciences; University of Chinese Academy of Sciences, CAS</t>
        </is>
      </c>
      <c r="Z1777" t="inlineStr">
        <is>
          <t>Zhang, XH (corresponding author), Chinese Acad Sci, State Key Lab Desert &amp; Oasis Ecol, Xinjiang Inst Ecol &amp; Geog, Urumqi 830011, Peoples R China.</t>
        </is>
      </c>
      <c r="AA1777" t="inlineStr">
        <is>
          <t>furunde18@mails.ucas.ac.cn; zhangxh@ms.xjb.ac.cn; dgyang@ms.xjb.ac.cn; caitianyi14@mails.ucas.ac.cn; zhangyf@ms.xjb.ac.cn</t>
        </is>
      </c>
      <c r="AC1777" t="inlineStr">
        <is>
          <t>yang, de gang/0000-0002-2774-921X</t>
        </is>
      </c>
      <c r="AD1777" t="inlineStr">
        <is>
          <t>Light project of the West [2019-XBQNXZ-A-005]</t>
        </is>
      </c>
      <c r="AE1777" t="inlineStr">
        <is>
          <t>Light project of the West</t>
        </is>
      </c>
      <c r="AF1777" t="inlineStr">
        <is>
          <t>This work was supported by the Light project of the West (2019-XBQNXZ-A-005).</t>
        </is>
      </c>
      <c r="AH1777" t="n">
        <v>54</v>
      </c>
      <c r="AI1777" t="n">
        <v>20</v>
      </c>
      <c r="AJ1777" t="n">
        <v>20</v>
      </c>
      <c r="AK1777" t="n">
        <v>10</v>
      </c>
      <c r="AL1777" t="n">
        <v>127</v>
      </c>
      <c r="AM1777" t="inlineStr">
        <is>
          <t>MDPI</t>
        </is>
      </c>
      <c r="AN1777" t="inlineStr">
        <is>
          <t>BASEL</t>
        </is>
      </c>
      <c r="AO1777" t="inlineStr">
        <is>
          <t>ST ALBAN-ANLAGE 66, CH-4052 BASEL, SWITZERLAND</t>
        </is>
      </c>
      <c r="AQ1777" t="inlineStr">
        <is>
          <t>1660-4601</t>
        </is>
      </c>
      <c r="AS1777" t="inlineStr">
        <is>
          <t>INT J ENV RES PUB HE</t>
        </is>
      </c>
      <c r="AT1777" t="inlineStr">
        <is>
          <t>Int. J. Environ. Res. Public Health</t>
        </is>
      </c>
      <c r="AU1777" t="inlineStr">
        <is>
          <t>JAN</t>
        </is>
      </c>
      <c r="AV1777" t="n">
        <v>2021</v>
      </c>
      <c r="AW1777" t="n">
        <v>18</v>
      </c>
      <c r="AX1777" t="n">
        <v>2</v>
      </c>
      <c r="BE1777" t="n">
        <v>525</v>
      </c>
      <c r="BF1777" t="inlineStr">
        <is>
          <t>10.3390/ijerph18020525</t>
        </is>
      </c>
      <c r="BG1777">
        <f>HYPERLINK("http://dx.doi.org/10.3390/ijerph18020525","http://dx.doi.org/10.3390/ijerph18020525")</f>
        <v/>
      </c>
      <c r="BJ1777" t="n">
        <v>20</v>
      </c>
      <c r="BK1777" t="inlineStr">
        <is>
          <t>Environmental Sciences; Public, Environmental &amp; Occupational Health</t>
        </is>
      </c>
      <c r="BL1777" t="inlineStr">
        <is>
          <t>Science Citation Index Expanded (SCI-EXPANDED); Social Science Citation Index (SSCI)</t>
        </is>
      </c>
      <c r="BM1777" t="inlineStr">
        <is>
          <t>Environmental Sciences &amp; Ecology; Public, Environmental &amp; Occupational Health</t>
        </is>
      </c>
      <c r="BN1777" t="inlineStr">
        <is>
          <t>PX3OO</t>
        </is>
      </c>
      <c r="BO1777" t="n">
        <v>33435212</v>
      </c>
      <c r="BP1777" t="inlineStr">
        <is>
          <t>Green Published, gold</t>
        </is>
      </c>
      <c r="BS1777" t="inlineStr">
        <is>
          <t>2023-10-26</t>
        </is>
      </c>
      <c r="BT1777" t="inlineStr">
        <is>
          <t>WOS:000611268400001</t>
        </is>
      </c>
      <c r="BU1777">
        <f>HYPERLINK("https%3A%2F%2Fwww.webofscience.com%2Fwos%2Fwoscc%2Ffull-record%2FWOS:000611268400001","View Full Record in Web of Science")</f>
        <v/>
      </c>
    </row>
    <row r="1778">
      <c r="A1778" t="inlineStr">
        <is>
          <t>J</t>
        </is>
      </c>
      <c r="B1778" t="inlineStr">
        <is>
          <t>Bi, H; Ye, ZR; Zhu, H</t>
        </is>
      </c>
      <c r="F1778" t="inlineStr">
        <is>
          <t>Bi, Hui; Ye, Zhirui; Zhu, He</t>
        </is>
      </c>
      <c r="J1778" t="inlineStr">
        <is>
          <t>JOURNAL OF CLEANER PRODUCTION</t>
        </is>
      </c>
      <c r="M1778" t="inlineStr">
        <is>
          <t>English</t>
        </is>
      </c>
      <c r="N1778" t="inlineStr">
        <is>
          <t>Article</t>
        </is>
      </c>
      <c r="T1778" t="inlineStr">
        <is>
          <t>Examining the nonlinear impacts of built environment on ridesourcing usage: Focus on the critical urban sub-regions</t>
        </is>
      </c>
      <c r="U1778" t="inlineStr">
        <is>
          <t>Sustainable transport; Ridesourcing usage island; Percolation theory; Gradient boosting decision trees; Non-linear effect; Built environment</t>
        </is>
      </c>
      <c r="V1778" t="inlineStr">
        <is>
          <t>BOOSTING DECISION TREES; TRAVEL; TAXI; RIDERSHIP; SERVICES; CHINA; PATTERNS; INDUSTRY; POLICIES; DEMAND</t>
        </is>
      </c>
      <c r="W1778" t="inlineStr">
        <is>
          <t>Ridesourcing or on-demand ridesharing, offers a sustainable mobility option that connects drivers with passengers via mobile application directly, which helps reduce unnecessary vehicle cruising and energy consumption. It plays a crucial role in urban mobility within the built environment. However, the interdependency between ridesourcing usage and built environment has not been addressed adequately, particularly in the critical regions that have significant influence on ridesourcing usage in an urban context. Based on percolation theory, this study suggests a new concept, namely ridesourcing usage islands, defined as geographical areas of interest with a high or low concentration of ridesourcing usage. Within these noteworthy areas, a machine learning method, gradient boosting decision trees (GBDT), is further innovatively adopted to investigate the refined and discontinuous non-linear impacts of built environment on ridesourcing usage. The results reveal a hierarchical structure of ridesourcing usage islands. Regional imbalances of travel supply and demand at usage island level are sporadically identified across several regions. Besides, the formation of usage islands is highly influenced by the surrounding built environment. Most importantly, employment density and residential density have joint contribution of almost 20% for ridesourcing pick up demand and drop off demand respectively, reflecting the role of ridesourcing in commuting. Regardless of island's type, built environment features show obvious threshold effects on ridesourcing usage, and their specific effective ranges are different from each other. Findings in this paper are expected to help better understand ridesourcing use as a function of urban built environment, and provide valuable inputs for ridesourcing management and sustainable urban development.</t>
        </is>
      </c>
      <c r="X1778" t="inlineStr">
        <is>
          <t>[Bi, Hui; Ye, Zhirui] Southeast Univ, Jiangsu Key Lab Urban ITS, Nanjing 210096, Jiangsu, Peoples R China; [Bi, Hui; Ye, Zhirui] Southeast Univ, Jiangsu Prov Collaborat Innovat Ctr Modern Urban, Nanjing 210096, Jiangsu, Peoples R China; [Bi, Hui; Ye, Zhirui] Southeast Univ, Sch Transportat, Nanjing 210096, Jiangsu, Peoples R China; [Zhu, He] Northeastern Univ, Khoury Coll Comp Sci, Boston, MA 02115 USA</t>
        </is>
      </c>
      <c r="Y1778" t="inlineStr">
        <is>
          <t>Southeast University - China; Southeast University - China; Southeast University - China; Northeastern University</t>
        </is>
      </c>
      <c r="Z1778" t="inlineStr">
        <is>
          <t>Ye, ZR (corresponding author), Southeast Univ, Jiangsu Key Lab Urban ITS, Nanjing 210096, Jiangsu, Peoples R China.</t>
        </is>
      </c>
      <c r="AA1778" t="inlineStr">
        <is>
          <t>yezhirui@seu.edu.cn</t>
        </is>
      </c>
      <c r="AD1778" t="inlineStr">
        <is>
          <t>Scientific Research Foundation of Graduate School of Southeast University [YBPY2156]; Na-tional Key R&amp;D Program of China [2018YFB1601000]; Funda-mental Research Funds for the Central Universities [2242021R10037]; Jiangsu Provincial Double-Innovation Ph.D. [JSSCBS20210108]</t>
        </is>
      </c>
      <c r="AE1778" t="inlineStr">
        <is>
          <t>Scientific Research Foundation of Graduate School of Southeast University; Na-tional Key R&amp;D Program of China; Funda-mental Research Funds for the Central Universities(Fundamental Research Funds for the Central Universities); Jiangsu Provincial Double-Innovation Ph.D.</t>
        </is>
      </c>
      <c r="AF1778" t="inlineStr">
        <is>
          <t>Acknowledgements This study has been sponsored by the Scientific Research Foundation of Graduate School of Southeast University (No. YBPY2156) , the Na-tional Key R&amp;D Program of China (No. 2018YFB1601000) , the Funda-mental Research Funds for the Central Universities (No. 2242021R10037) , and Jiangsu Provincial Double-Innovation Ph.D. Program (No. JSSCBS20210108) .</t>
        </is>
      </c>
      <c r="AH1778" t="n">
        <v>81</v>
      </c>
      <c r="AI1778" t="n">
        <v>4</v>
      </c>
      <c r="AJ1778" t="n">
        <v>4</v>
      </c>
      <c r="AK1778" t="n">
        <v>11</v>
      </c>
      <c r="AL1778" t="n">
        <v>42</v>
      </c>
      <c r="AM1778" t="inlineStr">
        <is>
          <t>ELSEVIER SCI LTD</t>
        </is>
      </c>
      <c r="AN1778" t="inlineStr">
        <is>
          <t>OXFORD</t>
        </is>
      </c>
      <c r="AO1778" t="inlineStr">
        <is>
          <t>THE BOULEVARD, LANGFORD LANE, KIDLINGTON, OXFORD OX5 1GB, OXON, ENGLAND</t>
        </is>
      </c>
      <c r="AP1778" t="inlineStr">
        <is>
          <t>0959-6526</t>
        </is>
      </c>
      <c r="AQ1778" t="inlineStr">
        <is>
          <t>1879-1786</t>
        </is>
      </c>
      <c r="AS1778" t="inlineStr">
        <is>
          <t>J CLEAN PROD</t>
        </is>
      </c>
      <c r="AT1778" t="inlineStr">
        <is>
          <t>J. Clean Prod.</t>
        </is>
      </c>
      <c r="AU1778" t="inlineStr">
        <is>
          <t>MAY 20</t>
        </is>
      </c>
      <c r="AV1778" t="n">
        <v>2022</v>
      </c>
      <c r="AW1778" t="n">
        <v>350</v>
      </c>
      <c r="BE1778" t="n">
        <v>131314</v>
      </c>
      <c r="BF1778" t="inlineStr">
        <is>
          <t>10.1016/j.jclepro.2022.131314</t>
        </is>
      </c>
      <c r="BG1778">
        <f>HYPERLINK("http://dx.doi.org/10.1016/j.jclepro.2022.131314","http://dx.doi.org/10.1016/j.jclepro.2022.131314")</f>
        <v/>
      </c>
      <c r="BI1778" t="inlineStr">
        <is>
          <t>MAR 2022</t>
        </is>
      </c>
      <c r="BJ1778" t="n">
        <v>14</v>
      </c>
      <c r="BK1778" t="inlineStr">
        <is>
          <t>Green &amp; Sustainable Science &amp; Technology; Engineering, Environmental; Environmental Sciences</t>
        </is>
      </c>
      <c r="BL1778" t="inlineStr">
        <is>
          <t>Science Citation Index Expanded (SCI-EXPANDED); Social Science Citation Index (SSCI)</t>
        </is>
      </c>
      <c r="BM1778" t="inlineStr">
        <is>
          <t>Science &amp; Technology - Other Topics; Engineering; Environmental Sciences &amp; Ecology</t>
        </is>
      </c>
      <c r="BN1778" t="inlineStr">
        <is>
          <t>0Z3EH</t>
        </is>
      </c>
      <c r="BS1778" t="inlineStr">
        <is>
          <t>2023-10-26</t>
        </is>
      </c>
      <c r="BT1778" t="inlineStr">
        <is>
          <t>WOS:000790962400004</t>
        </is>
      </c>
      <c r="BU1778">
        <f>HYPERLINK("https%3A%2F%2Fwww.webofscience.com%2Fwos%2Fwoscc%2Ffull-record%2FWOS:000790962400004","View Full Record in Web of Science")</f>
        <v/>
      </c>
    </row>
    <row r="1779">
      <c r="A1779" t="inlineStr">
        <is>
          <t>J</t>
        </is>
      </c>
      <c r="B1779" t="inlineStr">
        <is>
          <t>Na, I; Seo, J; Park, E; Lee, J</t>
        </is>
      </c>
      <c r="F1779" t="inlineStr">
        <is>
          <t>Na, Inyoung; Seo, Junyoung; Park, Eunjin; Lee, Jia</t>
        </is>
      </c>
      <c r="J1779" t="inlineStr">
        <is>
          <t>INTERNATIONAL JOURNAL OF ENVIRONMENTAL RESEARCH AND PUBLIC HEALTH</t>
        </is>
      </c>
      <c r="M1779" t="inlineStr">
        <is>
          <t>English</t>
        </is>
      </c>
      <c r="N1779" t="inlineStr">
        <is>
          <t>Article</t>
        </is>
      </c>
      <c r="T1779" t="inlineStr">
        <is>
          <t>Risk of Falls Associated with Long-Acting Benzodiazepines or Tricyclic Antidepressants Use in Community-Dwelling Older Adults: A Nationwide Population-Based Case-Crossover Study</t>
        </is>
      </c>
      <c r="U1779" t="inlineStr">
        <is>
          <t>benzodiazepine; tricyclic antidepressant; adverse effect; falls; older adults</t>
        </is>
      </c>
      <c r="V1779" t="inlineStr">
        <is>
          <t>MEDICATIONS</t>
        </is>
      </c>
      <c r="W1779" t="inlineStr">
        <is>
          <t>Background: Falls are common in older adults and increase in recent years. This study aimed to examine the risk of falls associated with long-acting benzodiazepines (BZDs) or tricyclic antidepressants (TCAs) use in community-dwelling older adults. Methods: A nationwide population-based case-crossover design was used. We screened information on 6,370,275 fall or fall fracture cases among community-dwelling elderly patients from the database of the national health insurance data warehouse in South Korea. We extracted the data of elderly patients who visited the hospital for a fall and were diagnosed with the first fall or fall fracture after prescription of long-acting BZDs (n = 1805) or TCAs (n = 554). The study used conditional logistic regression analysis to analyze the associations and stratified analysis by gender and age group to control for their confounding effects. Results: Risk of falls or fall fractures increased by more than two times after taking long-acting BZDs (odds ratio [OR] = 2.16; 95% confidence interval [CI] = 1.85-2.52) or TCAs (OR = 2.13; 95% CI = 1.62-2.83). The longer the prescription period of both, the higher the risk of falls or fall fractures was (&gt;= 49 days for long-acting BZDs vs. &gt;= 56 days for TCAs). Conclusions: Long-acting BZDs or TCAs should be avoided or prescribed for a shorter duration based on these adverse effects. Health care providers should focus on fall prevention practices in older adults who take such drugs.</t>
        </is>
      </c>
      <c r="X1779" t="inlineStr">
        <is>
          <t>[Na, Inyoung; Seo, Junyoung; Park, Eunjin] Kyung Hee Univ, Grad Sch, Seoul 02447, South Korea; [Lee, Jia] Kyung Hee Univ, Coll Nursing Sci, Seoul 02447, South Korea</t>
        </is>
      </c>
      <c r="Y1779" t="inlineStr">
        <is>
          <t>Kyung Hee University; Kyung Hee University</t>
        </is>
      </c>
      <c r="Z1779" t="inlineStr">
        <is>
          <t>Lee, J (corresponding author), Kyung Hee Univ, Coll Nursing Sci, Seoul 02447, South Korea.</t>
        </is>
      </c>
      <c r="AA1779" t="inlineStr">
        <is>
          <t>2niy2@hanmail.net; syrs929@hanmail.net; bisang8112@naver.com; leejia@khu.ac.kr</t>
        </is>
      </c>
      <c r="AC1779" t="inlineStr">
        <is>
          <t>Lee, Jia/0000-0002-1483-0633</t>
        </is>
      </c>
      <c r="AD1779" t="inlineStr">
        <is>
          <t>Korea Health Industry Development Institute (KHIDI) - Ministry of Health Welfare, Korea [HI20C2082]; Industrial Technology Innovation Program - Ministry of Trade, Industry &amp; Energy (MOTIE, Korea) [20012462]</t>
        </is>
      </c>
      <c r="AE1779" t="inlineStr">
        <is>
          <t>Korea Health Industry Development Institute (KHIDI) - Ministry of Health Welfare, Korea(Korea Health Industry Development Institute (KHIDI)); Industrial Technology Innovation Program - Ministry of Trade, Industry &amp; Energy (MOTIE, Korea)(Ministry of Trade, Industry &amp; Energy (MOTIE), Republic of Korea)</t>
        </is>
      </c>
      <c r="AF1779" t="inlineStr">
        <is>
          <t>This research was supported by a grant of the Korea Health Technology R&amp;D Project through the Korea Health Industry Development Institute (KHIDI), funded by the Ministry of Health &amp; Welfare, Korea (Grant number: HI20C2082) and by the Industrial Technology Innovation Program (20012462) funded by the Ministry of Trade, Industry &amp; Energy (MOTIE, Korea).</t>
        </is>
      </c>
      <c r="AH1779" t="n">
        <v>27</v>
      </c>
      <c r="AI1779" t="n">
        <v>0</v>
      </c>
      <c r="AJ1779" t="n">
        <v>0</v>
      </c>
      <c r="AK1779" t="n">
        <v>0</v>
      </c>
      <c r="AL1779" t="n">
        <v>3</v>
      </c>
      <c r="AM1779" t="inlineStr">
        <is>
          <t>MDPI</t>
        </is>
      </c>
      <c r="AN1779" t="inlineStr">
        <is>
          <t>BASEL</t>
        </is>
      </c>
      <c r="AO1779" t="inlineStr">
        <is>
          <t>ST ALBAN-ANLAGE 66, CH-4052 BASEL, SWITZERLAND</t>
        </is>
      </c>
      <c r="AQ1779" t="inlineStr">
        <is>
          <t>1660-4601</t>
        </is>
      </c>
      <c r="AS1779" t="inlineStr">
        <is>
          <t>INT J ENV RES PUB HE</t>
        </is>
      </c>
      <c r="AT1779" t="inlineStr">
        <is>
          <t>Int. J. Environ. Res. Public Health</t>
        </is>
      </c>
      <c r="AU1779" t="inlineStr">
        <is>
          <t>JUL</t>
        </is>
      </c>
      <c r="AV1779" t="n">
        <v>2022</v>
      </c>
      <c r="AW1779" t="n">
        <v>19</v>
      </c>
      <c r="AX1779" t="n">
        <v>14</v>
      </c>
      <c r="BE1779" t="n">
        <v>8564</v>
      </c>
      <c r="BF1779" t="inlineStr">
        <is>
          <t>10.3390/ijerph19148564</t>
        </is>
      </c>
      <c r="BG1779">
        <f>HYPERLINK("http://dx.doi.org/10.3390/ijerph19148564","http://dx.doi.org/10.3390/ijerph19148564")</f>
        <v/>
      </c>
      <c r="BJ1779" t="n">
        <v>10</v>
      </c>
      <c r="BK1779" t="inlineStr">
        <is>
          <t>Environmental Sciences; Public, Environmental &amp; Occupational Health</t>
        </is>
      </c>
      <c r="BL1779" t="inlineStr">
        <is>
          <t>Science Citation Index Expanded (SCI-EXPANDED); Social Science Citation Index (SSCI)</t>
        </is>
      </c>
      <c r="BM1779" t="inlineStr">
        <is>
          <t>Environmental Sciences &amp; Ecology; Public, Environmental &amp; Occupational Health</t>
        </is>
      </c>
      <c r="BN1779" t="inlineStr">
        <is>
          <t>3G6BQ</t>
        </is>
      </c>
      <c r="BO1779" t="n">
        <v>35886415</v>
      </c>
      <c r="BP1779" t="inlineStr">
        <is>
          <t>gold, Green Published</t>
        </is>
      </c>
      <c r="BS1779" t="inlineStr">
        <is>
          <t>2023-10-26</t>
        </is>
      </c>
      <c r="BT1779" t="inlineStr">
        <is>
          <t>WOS:000831438000001</t>
        </is>
      </c>
      <c r="BU1779">
        <f>HYPERLINK("https%3A%2F%2Fwww.webofscience.com%2Fwos%2Fwoscc%2Ffull-record%2FWOS:000831438000001","View Full Record in Web of Science")</f>
        <v/>
      </c>
    </row>
    <row r="1780">
      <c r="A1780" t="inlineStr">
        <is>
          <t>J</t>
        </is>
      </c>
      <c r="B1780" t="inlineStr">
        <is>
          <t>Guo, MZ; Maury-Ramirez, A; Poon, CS</t>
        </is>
      </c>
      <c r="F1780" t="inlineStr">
        <is>
          <t>Guo, Ming-Zhi; Maury-Ramirez, Anibal; Poon, Chi Sun</t>
        </is>
      </c>
      <c r="J1780" t="inlineStr">
        <is>
          <t>JOURNAL OF CLEANER PRODUCTION</t>
        </is>
      </c>
      <c r="M1780" t="inlineStr">
        <is>
          <t>English</t>
        </is>
      </c>
      <c r="N1780" t="inlineStr">
        <is>
          <t>Article</t>
        </is>
      </c>
      <c r="T1780" t="inlineStr">
        <is>
          <t>Self-cleaning ability of titanium dioxide clear paint coated architectural mortar and its potential in field application</t>
        </is>
      </c>
      <c r="U1780" t="inlineStr">
        <is>
          <t>Self-compacting architectural mortar; Rhodamine b degradation; Facade weathering; TiO2 mediated photocatalysis; Cementitious materials</t>
        </is>
      </c>
      <c r="V1780" t="inlineStr">
        <is>
          <t>PHOTOCATALYTIC DEGRADATION; NO REMOVAL; TIO2; SURFACE; DYE</t>
        </is>
      </c>
      <c r="W1780" t="inlineStr">
        <is>
          <t>The self-cleaning property of building materials is a much desirable function. It not only improves the aesthetic appearance of the building, but also effectively reduces the costs of routine maintenance. Normally, titanium dioxide (TiO2) incorporated cementitious materials display multiple photocatalytic functions, including the self-cleaning ability. However, attaining a photocatalytic functional building product with both a high photocatalytic efficiency and a robust weathering resistant ability still remains challenging. This study investigated the strategy of directly applying a TiO2 containing paint (clear in colour) on the surface of self-compacting architectural mortars (SCAM). Its self-cleaning (in terms of rhodamine b (RhB) degradation) and weathering resistant ability (accelerated facade weathering) were evaluated under both Ultraviolet-A (UV-A) and visible light irradiation. For comparison, 5% P25-TiO2-intermixed and dip-coated SCAM samples were also prepared and tested. The results showed that the TiO2 paint coated SCAM sample displayed both a high photocatalytic RhB removal ability and a robust weathering resistance under all conditions. In contrast, the 5% P25-TiO2-intermixed samples only achieved a significantly lower RhB removal efficiency. Although the P25-TiO2-coated SCAM delivered a satisfactory self-cleaning performance, it suffered a significant loss in the RhB abatement after subjecting to the facade weathering process. The overall results suggest that the TiO2 coated SCAM has the potential to be used as a resource and energy efficient product for air-purifying and self-cleaning applications. (C) 2015 Elsevier Ltd. All rights reserved.</t>
        </is>
      </c>
      <c r="X1780" t="inlineStr">
        <is>
          <t>[Guo, Ming-Zhi; Maury-Ramirez, Anibal; Poon, Chi Sun] Hong Kong Polytech Univ, Dept Civil &amp; Environm Engn, Kowloon, Hong Kong, Peoples R China; [Maury-Ramirez, Anibal] Pontificia Univ Javeriana Cali, Dept Civil &amp; Ind Engn, Cali, Colombia</t>
        </is>
      </c>
      <c r="Y1780" t="inlineStr">
        <is>
          <t>Hong Kong Polytechnic University; Pontificia Universidad Javeriana</t>
        </is>
      </c>
      <c r="Z1780" t="inlineStr">
        <is>
          <t>Poon, CS (corresponding author), Hong Kong Polytech Univ, Dept Civil &amp; Environm Engn, Kowloon, Hong Kong, Peoples R China.</t>
        </is>
      </c>
      <c r="AA1780" t="inlineStr">
        <is>
          <t>cecspoon@polyu.edu.hk</t>
        </is>
      </c>
      <c r="AB1780" t="inlineStr">
        <is>
          <t>Guo, Ming-Zhi/GYJ-0243-2022; Poon, Chi Sun/H-4152-2015</t>
        </is>
      </c>
      <c r="AC1780" t="inlineStr">
        <is>
          <t>Guo, Ming-Zhi/0000-0001-6358-8305; Maury-Ramirez, Anibal/0000-0002-7458-1667; Poon, Chi Sun/0000-0003-4912-3936</t>
        </is>
      </c>
      <c r="AD1780" t="inlineStr">
        <is>
          <t>Environment and Conservation Fund; Woo Wheelock Green Fund; Hong Kong Polytechnic University</t>
        </is>
      </c>
      <c r="AE1780" t="inlineStr">
        <is>
          <t>Environment and Conservation Fund; Woo Wheelock Green Fund; Hong Kong Polytechnic University(Hong Kong Polytechnic University)</t>
        </is>
      </c>
      <c r="AF1780" t="inlineStr">
        <is>
          <t>The authors wish to thank the Environment and Conservation Fund, the Woo Wheelock Green Fund and the Hong Kong Polytechnic University for funding supports.</t>
        </is>
      </c>
      <c r="AH1780" t="n">
        <v>27</v>
      </c>
      <c r="AI1780" t="n">
        <v>75</v>
      </c>
      <c r="AJ1780" t="n">
        <v>75</v>
      </c>
      <c r="AK1780" t="n">
        <v>1</v>
      </c>
      <c r="AL1780" t="n">
        <v>92</v>
      </c>
      <c r="AM1780" t="inlineStr">
        <is>
          <t>ELSEVIER SCI LTD</t>
        </is>
      </c>
      <c r="AN1780" t="inlineStr">
        <is>
          <t>OXFORD</t>
        </is>
      </c>
      <c r="AO1780" t="inlineStr">
        <is>
          <t>THE BOULEVARD, LANGFORD LANE, KIDLINGTON, OXFORD OX5 1GB, OXON, ENGLAND</t>
        </is>
      </c>
      <c r="AP1780" t="inlineStr">
        <is>
          <t>0959-6526</t>
        </is>
      </c>
      <c r="AQ1780" t="inlineStr">
        <is>
          <t>1879-1786</t>
        </is>
      </c>
      <c r="AS1780" t="inlineStr">
        <is>
          <t>J CLEAN PROD</t>
        </is>
      </c>
      <c r="AT1780" t="inlineStr">
        <is>
          <t>J. Clean Prod.</t>
        </is>
      </c>
      <c r="AU1780" t="inlineStr">
        <is>
          <t>JAN 20</t>
        </is>
      </c>
      <c r="AV1780" t="n">
        <v>2016</v>
      </c>
      <c r="AW1780" t="n">
        <v>112</v>
      </c>
      <c r="AY1780" t="n">
        <v>4</v>
      </c>
      <c r="BC1780" t="n">
        <v>3583</v>
      </c>
      <c r="BD1780" t="n">
        <v>3588</v>
      </c>
      <c r="BF1780" t="inlineStr">
        <is>
          <t>10.1016/j.jclepro.2015.10.079</t>
        </is>
      </c>
      <c r="BG1780">
        <f>HYPERLINK("http://dx.doi.org/10.1016/j.jclepro.2015.10.079","http://dx.doi.org/10.1016/j.jclepro.2015.10.079")</f>
        <v/>
      </c>
      <c r="BJ1780" t="n">
        <v>6</v>
      </c>
      <c r="BK1780" t="inlineStr">
        <is>
          <t>Green &amp; Sustainable Science &amp; Technology; Engineering, Environmental; Environmental Sciences</t>
        </is>
      </c>
      <c r="BL1780" t="inlineStr">
        <is>
          <t>Science Citation Index Expanded (SCI-EXPANDED)</t>
        </is>
      </c>
      <c r="BM1780" t="inlineStr">
        <is>
          <t>Science &amp; Technology - Other Topics; Engineering; Environmental Sciences &amp; Ecology</t>
        </is>
      </c>
      <c r="BN1780" t="inlineStr">
        <is>
          <t>DB0OM</t>
        </is>
      </c>
      <c r="BS1780" t="inlineStr">
        <is>
          <t>2023-10-26</t>
        </is>
      </c>
      <c r="BT1780" t="inlineStr">
        <is>
          <t>WOS:000368207400132</t>
        </is>
      </c>
      <c r="BU1780">
        <f>HYPERLINK("https%3A%2F%2Fwww.webofscience.com%2Fwos%2Fwoscc%2Ffull-record%2FWOS:000368207400132","View Full Record in Web of Science")</f>
        <v/>
      </c>
    </row>
    <row r="1781">
      <c r="A1781" t="inlineStr">
        <is>
          <t>J</t>
        </is>
      </c>
      <c r="B1781" t="inlineStr">
        <is>
          <t>Saini, J; Dutta, M; Marques, G</t>
        </is>
      </c>
      <c r="F1781" t="inlineStr">
        <is>
          <t>Saini, Jagriti; Dutta, Maitreyee; Marques, Goncalo</t>
        </is>
      </c>
      <c r="J1781" t="inlineStr">
        <is>
          <t>SUSTAINABLE ENVIRONMENT RESEARCH</t>
        </is>
      </c>
      <c r="M1781" t="inlineStr">
        <is>
          <t>English</t>
        </is>
      </c>
      <c r="N1781" t="inlineStr">
        <is>
          <t>Review</t>
        </is>
      </c>
      <c r="T1781" t="inlineStr">
        <is>
          <t>A comprehensive review on indoor air quality monitoring systems for enhanced public health</t>
        </is>
      </c>
      <c r="U1781" t="inlineStr">
        <is>
          <t>Developing countries; Environmental health; Indoor air quality monitoring; Indoor air pollution; Public health; Occupational health</t>
        </is>
      </c>
      <c r="V1781" t="inlineStr">
        <is>
          <t>RESPIRATORY-INFECTIONS; DEVELOPING-COUNTRIES; POLLUTION; ASSOCIATION; BIOMASS; FUEL; COMBUSTION; SYMPTOMS; EXPOSURE; WOMEN</t>
        </is>
      </c>
      <c r="W1781" t="inlineStr">
        <is>
          <t>Indoor air pollution (IAP) is a relevant area of concern for most developing countries as it has a direct impact on mortality and morbidity. Around 3 billion people throughout the world use coal and biomass (crop residues, wood, dung, and charcoal) as the primary source of domestic energy. Moreover, humans spend 80-90% of their routine time indoors, so indoor air quality (IAQ) leaves a direct impact on overall health and work efficiency. In this paper, the authors described the relationship between IAP exposure and associated risks. The main idea is to discuss the use of wireless technologies for the development of cyber-physical systems for real-time monitoring. Furthermore, it provides a critical review of microcontrollers used for system designing and challenges in the development of real-time monitoring systems. This paper also presents some new ideas and scopes in the field of IAQ monitoring for the researchers.</t>
        </is>
      </c>
      <c r="X1781" t="inlineStr">
        <is>
          <t>[Saini, Jagriti; Dutta, Maitreyee] Natl Inst Tech Teachers Training &amp; Res, Chandigarh 160019, India; [Marques, Goncalo] Univ Beira Interior, Inst Telecommun, P-6201001 Covilha, Portugal</t>
        </is>
      </c>
      <c r="Y1781" t="inlineStr">
        <is>
          <t>National Institute of Technical Teachers Training &amp; Research, Chandigarh; Universidade da Beira Interior</t>
        </is>
      </c>
      <c r="Z1781" t="inlineStr">
        <is>
          <t>Saini, J (corresponding author), Natl Inst Tech Teachers Training &amp; Res, Chandigarh 160019, India.</t>
        </is>
      </c>
      <c r="AA1781" t="inlineStr">
        <is>
          <t>jagritis1327@gmail.com</t>
        </is>
      </c>
      <c r="AB1781" t="inlineStr">
        <is>
          <t>Marques, Goncalo/N-1805-2018; Dutta, Maitreyee/AAR-4294-2020; Saini, Jagriti/HPE-5621-2023</t>
        </is>
      </c>
      <c r="AC1781" t="inlineStr">
        <is>
          <t>Marques, Goncalo/0000-0001-5834-6571; Saini, Dr. Jagriti/0000-0001-6903-3722; Dutta, Maitreyee/0000-0002-2608-6821</t>
        </is>
      </c>
      <c r="AH1781" t="n">
        <v>50</v>
      </c>
      <c r="AI1781" t="n">
        <v>85</v>
      </c>
      <c r="AJ1781" t="n">
        <v>86</v>
      </c>
      <c r="AK1781" t="n">
        <v>5</v>
      </c>
      <c r="AL1781" t="n">
        <v>52</v>
      </c>
      <c r="AM1781" t="inlineStr">
        <is>
          <t>BMC</t>
        </is>
      </c>
      <c r="AN1781" t="inlineStr">
        <is>
          <t>LONDON</t>
        </is>
      </c>
      <c r="AO1781" t="inlineStr">
        <is>
          <t>CAMPUS, 4 CRINAN ST, LONDON N1 9XW, ENGLAND</t>
        </is>
      </c>
      <c r="AP1781" t="inlineStr">
        <is>
          <t>2468-2039</t>
        </is>
      </c>
      <c r="AS1781" t="inlineStr">
        <is>
          <t>SUSTAIN ENVIRON RES</t>
        </is>
      </c>
      <c r="AT1781" t="inlineStr">
        <is>
          <t>Sustain. Environ. Res.</t>
        </is>
      </c>
      <c r="AU1781" t="inlineStr">
        <is>
          <t>JAN 29</t>
        </is>
      </c>
      <c r="AV1781" t="n">
        <v>2020</v>
      </c>
      <c r="AW1781" t="n">
        <v>30</v>
      </c>
      <c r="AX1781" t="n">
        <v>1</v>
      </c>
      <c r="BE1781" t="n">
        <v>6</v>
      </c>
      <c r="BF1781" t="inlineStr">
        <is>
          <t>10.1186/s42834-020-0047-y</t>
        </is>
      </c>
      <c r="BG1781">
        <f>HYPERLINK("http://dx.doi.org/10.1186/s42834-020-0047-y","http://dx.doi.org/10.1186/s42834-020-0047-y")</f>
        <v/>
      </c>
      <c r="BJ1781" t="n">
        <v>12</v>
      </c>
      <c r="BK1781" t="inlineStr">
        <is>
          <t>Green &amp; Sustainable Science &amp; Technology; Engineering, Environmental; Environmental Sciences</t>
        </is>
      </c>
      <c r="BL1781" t="inlineStr">
        <is>
          <t>Science Citation Index Expanded (SCI-EXPANDED)</t>
        </is>
      </c>
      <c r="BM1781" t="inlineStr">
        <is>
          <t>Science &amp; Technology - Other Topics; Engineering; Environmental Sciences &amp; Ecology</t>
        </is>
      </c>
      <c r="BN1781" t="inlineStr">
        <is>
          <t>KV5BA</t>
        </is>
      </c>
      <c r="BP1781" t="inlineStr">
        <is>
          <t>gold</t>
        </is>
      </c>
      <c r="BS1781" t="inlineStr">
        <is>
          <t>2023-10-26</t>
        </is>
      </c>
      <c r="BT1781" t="inlineStr">
        <is>
          <t>WOS:000520496300001</t>
        </is>
      </c>
      <c r="BU1781">
        <f>HYPERLINK("https%3A%2F%2Fwww.webofscience.com%2Fwos%2Fwoscc%2Ffull-record%2FWOS:000520496300001","View Full Record in Web of Science")</f>
        <v/>
      </c>
    </row>
    <row r="1782">
      <c r="A1782" t="inlineStr">
        <is>
          <t>J</t>
        </is>
      </c>
      <c r="B1782" t="inlineStr">
        <is>
          <t>Wu, F; Liu, Y; Zeng, YY; Yan, H; Zhang, Y; Li, LH</t>
        </is>
      </c>
      <c r="F1782" t="inlineStr">
        <is>
          <t>Wu, Fan; Liu, Yue; Zeng, Yingyan; Yan, Hui; Zhang, Yi; Li, Ling-Hin</t>
        </is>
      </c>
      <c r="J1782" t="inlineStr">
        <is>
          <t>SUSTAINABILITY</t>
        </is>
      </c>
      <c r="M1782" t="inlineStr">
        <is>
          <t>English</t>
        </is>
      </c>
      <c r="N1782" t="inlineStr">
        <is>
          <t>Article</t>
        </is>
      </c>
      <c r="T1782" t="inlineStr">
        <is>
          <t>Evaluation of the Human Settlements Environment of Public Housing Community: A Case Study of Guangzhou</t>
        </is>
      </c>
      <c r="U1782" t="inlineStr">
        <is>
          <t>public housing community; human settlements environment; residential satisfaction; built environment evaluation</t>
        </is>
      </c>
      <c r="V1782" t="inlineStr">
        <is>
          <t>RESIDENTIAL SATISFACTION; OGUN STATE; DETERMINANTS; QUALITY</t>
        </is>
      </c>
      <c r="W1782" t="inlineStr">
        <is>
          <t>With the improvement of social housing policies and an increase in the quantity of public housing stock, issues such as poor property management service, poor housing quality, and insufficient public services remain to be resolved. This study focuses on the human settlement environments of public housing communities in Guangzhou and establishes an evaluation system containing built environments and housing environments satisfaction criteria. In our analysis, the evaluation system was modified using data collected from surveys through factor analysis, which reduced dimensions to the indoor environment, the community environment, and social relations. Moreover, multivariable regression analysis was performed to identify the differences of needs among residents with different living environments and family backgrounds. The result shows that housing area, transportation resources, and public services have met the basic needs of residents who were generally satisfied with the community environment of their public housing. However, acoustic insulation and community amenities in the city were found to be relatively poor and still have space for improvement. Further, requirements on indoor housing environments and social relations of residents living alone need more attention. Specific recommendations based on this study can be used as a reference for future public housing construction and improvements.</t>
        </is>
      </c>
      <c r="X1782" t="inlineStr">
        <is>
          <t>[Wu, Fan; Zeng, Yingyan; Yan, Hui] South China Univ Technol, Dept Construct Management, Sch Civil Engn &amp; Transportat, Guangzhou 510641, Peoples R China; [Liu, Yue] Loughborough Univ, Sch Architecture Bldg &amp; Civil Engn, Loughborough LE11 3TU, Leics, England; [Zhang, Yi] Guangzhou Municipal Housing &amp; Urban Rural Dev Bur, Guangzhou 510030, Peoples R China; [Li, Ling-Hin] Univ Hong Kong, Dept Real Estate &amp; Construct, Pokfulam Rd, Hong Kong, Peoples R China</t>
        </is>
      </c>
      <c r="Y1782" t="inlineStr">
        <is>
          <t>South China University of Technology; Loughborough University; University of Hong Kong</t>
        </is>
      </c>
      <c r="Z1782" t="inlineStr">
        <is>
          <t>Li, LH (corresponding author), Univ Hong Kong, Dept Real Estate &amp; Construct, Pokfulam Rd, Hong Kong, Peoples R China.</t>
        </is>
      </c>
      <c r="AA1782" t="inlineStr">
        <is>
          <t>ctfanwu@scut.edu.cn; eulaliu19@gmail.com; zengyingyan@foxmail.com; cthyan@scut.edu.cn; zbbzhangyi@gz.gov.cn; lhli@hku.hk</t>
        </is>
      </c>
      <c r="AC1782" t="inlineStr">
        <is>
          <t>Li, Ling-hin/0000-0001-9185-4463</t>
        </is>
      </c>
      <c r="AH1782" t="n">
        <v>44</v>
      </c>
      <c r="AI1782" t="n">
        <v>9</v>
      </c>
      <c r="AJ1782" t="n">
        <v>9</v>
      </c>
      <c r="AK1782" t="n">
        <v>8</v>
      </c>
      <c r="AL1782" t="n">
        <v>44</v>
      </c>
      <c r="AM1782" t="inlineStr">
        <is>
          <t>MDPI</t>
        </is>
      </c>
      <c r="AN1782" t="inlineStr">
        <is>
          <t>BASEL</t>
        </is>
      </c>
      <c r="AO1782" t="inlineStr">
        <is>
          <t>ST ALBAN-ANLAGE 66, CH-4052 BASEL, SWITZERLAND</t>
        </is>
      </c>
      <c r="AQ1782" t="inlineStr">
        <is>
          <t>2071-1050</t>
        </is>
      </c>
      <c r="AS1782" t="inlineStr">
        <is>
          <t>SUSTAINABILITY-BASEL</t>
        </is>
      </c>
      <c r="AT1782" t="inlineStr">
        <is>
          <t>Sustainability</t>
        </is>
      </c>
      <c r="AU1782" t="inlineStr">
        <is>
          <t>SEP</t>
        </is>
      </c>
      <c r="AV1782" t="n">
        <v>2020</v>
      </c>
      <c r="AW1782" t="n">
        <v>12</v>
      </c>
      <c r="AX1782" t="n">
        <v>18</v>
      </c>
      <c r="BE1782" t="n">
        <v>7361</v>
      </c>
      <c r="BF1782" t="inlineStr">
        <is>
          <t>10.3390/su12187361</t>
        </is>
      </c>
      <c r="BG1782">
        <f>HYPERLINK("http://dx.doi.org/10.3390/su12187361","http://dx.doi.org/10.3390/su12187361")</f>
        <v/>
      </c>
      <c r="BJ1782" t="n">
        <v>17</v>
      </c>
      <c r="BK1782" t="inlineStr">
        <is>
          <t>Green &amp; Sustainable Science &amp; Technology; Environmental Sciences; Environmental Studies</t>
        </is>
      </c>
      <c r="BL1782" t="inlineStr">
        <is>
          <t>Science Citation Index Expanded (SCI-EXPANDED); Social Science Citation Index (SSCI)</t>
        </is>
      </c>
      <c r="BM1782" t="inlineStr">
        <is>
          <t>Science &amp; Technology - Other Topics; Environmental Sciences &amp; Ecology</t>
        </is>
      </c>
      <c r="BN1782" t="inlineStr">
        <is>
          <t>OJ9NS</t>
        </is>
      </c>
      <c r="BP1782" t="inlineStr">
        <is>
          <t>gold, Green Published</t>
        </is>
      </c>
      <c r="BS1782" t="inlineStr">
        <is>
          <t>2023-10-26</t>
        </is>
      </c>
      <c r="BT1782" t="inlineStr">
        <is>
          <t>WOS:000584281700001</t>
        </is>
      </c>
      <c r="BU1782">
        <f>HYPERLINK("https%3A%2F%2Fwww.webofscience.com%2Fwos%2Fwoscc%2Ffull-record%2FWOS:000584281700001","View Full Record in Web of Science")</f>
        <v/>
      </c>
    </row>
    <row r="1783">
      <c r="A1783" t="inlineStr">
        <is>
          <t>J</t>
        </is>
      </c>
      <c r="B1783" t="inlineStr">
        <is>
          <t>Paulik, R; Stephens, SA; Bell, RG; Wadhwa, S; Popovich, B</t>
        </is>
      </c>
      <c r="F1783" t="inlineStr">
        <is>
          <t>Paulik, Ryan; Stephens, Scott A.; Bell, Robert G.; Wadhwa, Sanjay; Popovich, Ben</t>
        </is>
      </c>
      <c r="J1783" t="inlineStr">
        <is>
          <t>SUSTAINABILITY</t>
        </is>
      </c>
      <c r="M1783" t="inlineStr">
        <is>
          <t>English</t>
        </is>
      </c>
      <c r="N1783" t="inlineStr">
        <is>
          <t>Article</t>
        </is>
      </c>
      <c r="T1783" t="inlineStr">
        <is>
          <t>National-Scale Built-Environment Exposure to 100-Year Extreme Sea Levels and Sea-Level Rise</t>
        </is>
      </c>
      <c r="U1783" t="inlineStr">
        <is>
          <t>extreme sea-levels; sea-level rise; flooding; exposure; built-environment; buildings; infrastructure; RiskScape</t>
        </is>
      </c>
      <c r="V1783" t="inlineStr">
        <is>
          <t>CLIMATE-CHANGE; TIPPING POINTS; RIVER FLOODS; NEW-ZEALAND; COASTAL; ADAPTATION; IMPACTS; PATHWAYS; COSTS</t>
        </is>
      </c>
      <c r="W1783" t="inlineStr">
        <is>
          <t>Coastal flooding from extreme sea levels will increase in frequency and magnitude as global climate change forces sea-level rise (SLR). Extreme sea-level events, rare in the recent past (i.e., once per century), are projected to occur at least once per year by 2050 along many of the world's coastlines. Information showing where and how built-environment exposure increases with SLR, enables timely adaptation before damaging thresholds are reached. This study presents a first national-scale assessment of New Zealand's built-environment exposure to future coastal flooding. We use an analytical risk model framework, RiskScape, to enumerate land, buildings and infrastructure exposed to a present and future 100-year extreme sea-level flood event (ESL100). We used high-resolution topographic data to assess incremental exposure to 0.1 m SLR increases. This approach detects variable rates in the potential magnitude and timing of future flood exposure in response to SLR over decadal scales. National built-land and asset exposure to ESL100 flooding doubles with less than 1 m SLR, indicating low-lying areas are likely to experience rapid exposure increases from modest increases in SLR expected within the next few decades. This highlights an urgent need for national and regional actions to anticipate and adaptively plan to reduce future socio-economic impacts arising from flood exposure to extreme sea-levels and SLR.</t>
        </is>
      </c>
      <c r="X1783" t="inlineStr">
        <is>
          <t>[Paulik, Ryan; Popovich, Ben] Natl Inst Water &amp; Atmospher Res NIWA, 301 Evans Bay, Wellington 6021, New Zealand; [Stephens, Scott A.; Bell, Robert G.; Wadhwa, Sanjay] Natl Inst Water &amp; Atmospher Res NIWA, Silverdale Rd, Hamilton 3216, New Zealand</t>
        </is>
      </c>
      <c r="Y1783" t="inlineStr">
        <is>
          <t>National Institute of Water &amp; Atmospheric Research (NIWA) - New Zealand; National Institute of Water &amp; Atmospheric Research (NIWA) - New Zealand</t>
        </is>
      </c>
      <c r="Z1783" t="inlineStr">
        <is>
          <t>Paulik, R (corresponding author), Natl Inst Water &amp; Atmospher Res NIWA, 301 Evans Bay, Wellington 6021, New Zealand.</t>
        </is>
      </c>
      <c r="AA1783" t="inlineStr">
        <is>
          <t>ryan.paulik@niwa.co.nz; Scott.Stephens@niwa.co.nz; rob.bell@niwa.co.nz; sanjay.wadhwa@niwa.co.nz; benjamin.popovich@niwa.co.nz</t>
        </is>
      </c>
      <c r="AC1783" t="inlineStr">
        <is>
          <t>Bell, Robert/0000-0002-8490-8942; Paulik, Ryan/0000-0003-1147-6816; Stephens, Scott/0000-0002-6573-8757</t>
        </is>
      </c>
      <c r="AD1783" t="inlineStr">
        <is>
          <t>Deep South Challenge (MBIE CONTRACT NUMBER) [C01X1412]; National Institute of Water and Atmospheric Research (NIWA) through the New Zealand Government's Science Strategic Investment Fund (SSIF) [CARH2006]; New Zealand Ministry of Business, Innovation &amp; Employment (MBIE) [C01X1412] Funding Source: New Zealand Ministry of Business, Innovation &amp; Employment (MBIE)</t>
        </is>
      </c>
      <c r="AE1783" t="inlineStr">
        <is>
          <t>Deep South Challenge (MBIE CONTRACT NUMBER)(New Zealand Ministry of Business, Innovation and Employment (MBIE)); National Institute of Water and Atmospheric Research (NIWA) through the New Zealand Government's Science Strategic Investment Fund (SSIF); New Zealand Ministry of Business, Innovation &amp; Employment (MBIE)(New Zealand Ministry of Business, Innovation and Employment (MBIE))</t>
        </is>
      </c>
      <c r="AF1783" t="inlineStr">
        <is>
          <t>The study was funded by the Deep South Challenge (MBIE CONTRACT NUMBER: C01X1412) and National Institute of Water and Atmospheric Research (NIWA) through the New Zealand Government's Science Strategic Investment Fund (SSIF), grant number CARH2006.</t>
        </is>
      </c>
      <c r="AH1783" t="n">
        <v>49</v>
      </c>
      <c r="AI1783" t="n">
        <v>21</v>
      </c>
      <c r="AJ1783" t="n">
        <v>21</v>
      </c>
      <c r="AK1783" t="n">
        <v>2</v>
      </c>
      <c r="AL1783" t="n">
        <v>20</v>
      </c>
      <c r="AM1783" t="inlineStr">
        <is>
          <t>MDPI</t>
        </is>
      </c>
      <c r="AN1783" t="inlineStr">
        <is>
          <t>BASEL</t>
        </is>
      </c>
      <c r="AO1783" t="inlineStr">
        <is>
          <t>ST ALBAN-ANLAGE 66, CH-4052 BASEL, SWITZERLAND</t>
        </is>
      </c>
      <c r="AQ1783" t="inlineStr">
        <is>
          <t>2071-1050</t>
        </is>
      </c>
      <c r="AS1783" t="inlineStr">
        <is>
          <t>SUSTAINABILITY-BASEL</t>
        </is>
      </c>
      <c r="AT1783" t="inlineStr">
        <is>
          <t>Sustainability</t>
        </is>
      </c>
      <c r="AU1783" t="inlineStr">
        <is>
          <t>FEB 2</t>
        </is>
      </c>
      <c r="AV1783" t="n">
        <v>2020</v>
      </c>
      <c r="AW1783" t="n">
        <v>12</v>
      </c>
      <c r="AX1783" t="n">
        <v>4</v>
      </c>
      <c r="BE1783" t="n">
        <v>1513</v>
      </c>
      <c r="BF1783" t="inlineStr">
        <is>
          <t>10.3390/su12041513</t>
        </is>
      </c>
      <c r="BG1783">
        <f>HYPERLINK("http://dx.doi.org/10.3390/su12041513","http://dx.doi.org/10.3390/su12041513")</f>
        <v/>
      </c>
      <c r="BJ1783" t="n">
        <v>16</v>
      </c>
      <c r="BK1783" t="inlineStr">
        <is>
          <t>Green &amp; Sustainable Science &amp; Technology; Environmental Sciences; Environmental Studies</t>
        </is>
      </c>
      <c r="BL1783" t="inlineStr">
        <is>
          <t>Science Citation Index Expanded (SCI-EXPANDED); Social Science Citation Index (SSCI)</t>
        </is>
      </c>
      <c r="BM1783" t="inlineStr">
        <is>
          <t>Science &amp; Technology - Other Topics; Environmental Sciences &amp; Ecology</t>
        </is>
      </c>
      <c r="BN1783" t="inlineStr">
        <is>
          <t>KY3GT</t>
        </is>
      </c>
      <c r="BP1783" t="inlineStr">
        <is>
          <t>gold, Green Published</t>
        </is>
      </c>
      <c r="BS1783" t="inlineStr">
        <is>
          <t>2023-10-26</t>
        </is>
      </c>
      <c r="BT1783" t="inlineStr">
        <is>
          <t>WOS:000522460200231</t>
        </is>
      </c>
      <c r="BU1783">
        <f>HYPERLINK("https%3A%2F%2Fwww.webofscience.com%2Fwos%2Fwoscc%2Ffull-record%2FWOS:000522460200231","View Full Record in Web of Science")</f>
        <v/>
      </c>
    </row>
    <row r="1784">
      <c r="A1784" t="inlineStr">
        <is>
          <t>J</t>
        </is>
      </c>
      <c r="B1784" t="inlineStr">
        <is>
          <t>Lin, YZ; Zhao, B; Ma, XJ</t>
        </is>
      </c>
      <c r="F1784" t="inlineStr">
        <is>
          <t>Lin, Yuanzheng; Zhao, Bin; Ma, Xiujie</t>
        </is>
      </c>
      <c r="J1784" t="inlineStr">
        <is>
          <t>INTERNATIONAL JOURNAL OF ENVIRONMENTAL RESEARCH AND PUBLIC HEALTH</t>
        </is>
      </c>
      <c r="M1784" t="inlineStr">
        <is>
          <t>English</t>
        </is>
      </c>
      <c r="N1784" t="inlineStr">
        <is>
          <t>Article</t>
        </is>
      </c>
      <c r="T1784" t="inlineStr">
        <is>
          <t>The Influence of Guozhuang Dance on the Subjective Well-Being of Older Adults: The Chain Mediating Effect of Group Identity and Self-Efficacy</t>
        </is>
      </c>
      <c r="U1784" t="inlineStr">
        <is>
          <t>Guozhuang dance; subjective well-being; group identity; self-efficacy; older adults; mediating role</t>
        </is>
      </c>
      <c r="V1784" t="inlineStr">
        <is>
          <t>QUALITY-OF-LIFE; SOCIAL IDENTITY; PHYSICAL-ACTIVITY; HEALTH; EXERCISE; EXPERIENCE; BELIEFS; ANXIETY; TRIAL; TIME</t>
        </is>
      </c>
      <c r="W1784" t="inlineStr">
        <is>
          <t>Background: In the context of the gradually accelerating aging of the population, the subjective well-being of older adults has received extensive research attention. Guozhuang Dance is a collective aerobic exercise that plays an important role in the physical activity of older Chinese adults. Studying the intrinsic relationship between Guozhuang Dance and the subjective well-being can help improve the quality of life and well-being of older adults in their later years. This study was conducted in Chengdu City, Sichuan Province, China, where many older adults practice Guozhuang Dance. Previous studies pointed out that group identity and self-efficacy can influence well-being in a collective exercise. Methods: For this study, we recruited 520 adults (male = 228, female = 292) aged 65 years or older from Chengdu who participated in Guozhuang Dance, to conduct a survey to understand the effect of this exercise on their subjective well-being. The Guozhuang Dance exercise scale, the group identity scale, the self-efficacy scale, and the subjective well-being scale were used in the study. We used SPSS for the descriptive statistical analysis, and AMOS for the structural equation modeling. Results: The results of the study show that Guozhuang Dance has a positive effect on enhancing the subjective well-being of older adults and can increase the subjective well-being through the chain mediating effect of group identity and self-efficacy. Conclusions: We suggest that effective measures should be taken to encourage older adults to participate in Guozhuang Dance, in order to enhance their subjective well-being.</t>
        </is>
      </c>
      <c r="X1784" t="inlineStr">
        <is>
          <t>[Lin, Yuanzheng; Zhao, Bin; Ma, Xiujie] Chengdu Sport Univ, Sch Wushu, Chengdu 610041, Peoples R China; [Zhao, Bin; Ma, Xiujie] Chengdu Sport Univ, Chinese Guoshu Acad, Chengdu 610041, Peoples R China</t>
        </is>
      </c>
      <c r="Y1784" t="inlineStr">
        <is>
          <t>Chengdu Sport University; Chengdu Sport University</t>
        </is>
      </c>
      <c r="Z1784" t="inlineStr">
        <is>
          <t>Ma, XJ (corresponding author), Chengdu Sport Univ, Sch Wushu, Chengdu 610041, Peoples R China.;Ma, XJ (corresponding author), Chengdu Sport Univ, Chinese Guoshu Acad, Chengdu 610041, Peoples R China.</t>
        </is>
      </c>
      <c r="AA1784" t="inlineStr">
        <is>
          <t>ma.xiujie@outlook.com</t>
        </is>
      </c>
      <c r="AB1784" t="inlineStr">
        <is>
          <t>Lin, Yuanzheng/AAA-6872-2020</t>
        </is>
      </c>
      <c r="AC1784" t="inlineStr">
        <is>
          <t>Lin, Yuanzheng/0000-0002-6108-7416; Xiujie, MA/0000-0002-2422-3351</t>
        </is>
      </c>
      <c r="AD1784" t="inlineStr">
        <is>
          <t>Sichuan Social Science Fund [SC21ZW003]</t>
        </is>
      </c>
      <c r="AE1784" t="inlineStr">
        <is>
          <t>Sichuan Social Science Fund</t>
        </is>
      </c>
      <c r="AF1784" t="inlineStr">
        <is>
          <t>This research was funded by the Sichuan Social Science Fund, grant number SC21ZW003.</t>
        </is>
      </c>
      <c r="AH1784" t="n">
        <v>77</v>
      </c>
      <c r="AI1784" t="n">
        <v>0</v>
      </c>
      <c r="AJ1784" t="n">
        <v>0</v>
      </c>
      <c r="AK1784" t="n">
        <v>27</v>
      </c>
      <c r="AL1784" t="n">
        <v>61</v>
      </c>
      <c r="AM1784" t="inlineStr">
        <is>
          <t>MDPI</t>
        </is>
      </c>
      <c r="AN1784" t="inlineStr">
        <is>
          <t>BASEL</t>
        </is>
      </c>
      <c r="AO1784" t="inlineStr">
        <is>
          <t>ST ALBAN-ANLAGE 66, CH-4052 BASEL, SWITZERLAND</t>
        </is>
      </c>
      <c r="AQ1784" t="inlineStr">
        <is>
          <t>1660-4601</t>
        </is>
      </c>
      <c r="AS1784" t="inlineStr">
        <is>
          <t>INT J ENV RES PUB HE</t>
        </is>
      </c>
      <c r="AT1784" t="inlineStr">
        <is>
          <t>Int. J. Environ. Res. Public Health</t>
        </is>
      </c>
      <c r="AU1784" t="inlineStr">
        <is>
          <t>NOV</t>
        </is>
      </c>
      <c r="AV1784" t="n">
        <v>2022</v>
      </c>
      <c r="AW1784" t="n">
        <v>19</v>
      </c>
      <c r="AX1784" t="n">
        <v>21</v>
      </c>
      <c r="BE1784" t="n">
        <v>14545</v>
      </c>
      <c r="BF1784" t="inlineStr">
        <is>
          <t>10.3390/ijerph192114545</t>
        </is>
      </c>
      <c r="BG1784">
        <f>HYPERLINK("http://dx.doi.org/10.3390/ijerph192114545","http://dx.doi.org/10.3390/ijerph192114545")</f>
        <v/>
      </c>
      <c r="BJ1784" t="n">
        <v>15</v>
      </c>
      <c r="BK1784" t="inlineStr">
        <is>
          <t>Environmental Sciences; Public, Environmental &amp; Occupational Health</t>
        </is>
      </c>
      <c r="BL1784" t="inlineStr">
        <is>
          <t>Science Citation Index Expanded (SCI-EXPANDED); Social Science Citation Index (SSCI)</t>
        </is>
      </c>
      <c r="BM1784" t="inlineStr">
        <is>
          <t>Environmental Sciences &amp; Ecology; Public, Environmental &amp; Occupational Health</t>
        </is>
      </c>
      <c r="BN1784" t="inlineStr">
        <is>
          <t>6E6BK</t>
        </is>
      </c>
      <c r="BO1784" t="n">
        <v>36361424</v>
      </c>
      <c r="BP1784" t="inlineStr">
        <is>
          <t>gold, Green Published</t>
        </is>
      </c>
      <c r="BS1784" t="inlineStr">
        <is>
          <t>2023-10-26</t>
        </is>
      </c>
      <c r="BT1784" t="inlineStr">
        <is>
          <t>WOS:000883462800001</t>
        </is>
      </c>
      <c r="BU1784">
        <f>HYPERLINK("https%3A%2F%2Fwww.webofscience.com%2Fwos%2Fwoscc%2Ffull-record%2FWOS:000883462800001","View Full Record in Web of Science")</f>
        <v/>
      </c>
    </row>
    <row r="1785">
      <c r="A1785" t="inlineStr">
        <is>
          <t>J</t>
        </is>
      </c>
      <c r="B1785" t="inlineStr">
        <is>
          <t>Teyton, A; Tremblay, M; Tardif, I; Lemieux, MA; Nour, K; Benmarhnia, T</t>
        </is>
      </c>
      <c r="F1785" t="inlineStr">
        <is>
          <t>Teyton, Anais; Tremblay, Mathieu; Tardif, Isabelle; Lemieux, Marc-Andre; Nour, Kareen; Benmarhnia, Tarik</t>
        </is>
      </c>
      <c r="J1785" t="inlineStr">
        <is>
          <t>ENVIRONMENTAL HEALTH PERSPECTIVES</t>
        </is>
      </c>
      <c r="M1785" t="inlineStr">
        <is>
          <t>English</t>
        </is>
      </c>
      <c r="N1785" t="inlineStr">
        <is>
          <t>Article</t>
        </is>
      </c>
      <c r="T1785" t="inlineStr">
        <is>
          <t>A Longitudinal Study on the Impact of Indoor Temperature on Heat-Related Symptoms in Older Adults Living in Non-Air-Conditioned Households</t>
        </is>
      </c>
      <c r="V1785" t="inlineStr">
        <is>
          <t>CLIMATE-CHANGE; HEALTH; CITY; HOSPITALIZATIONS; ENVIRONMENT; MORTALITY; WAVE; HUMIDITY; EXPOSURE; DEATH</t>
        </is>
      </c>
      <c r="W1785" t="inlineStr">
        <is>
          <t>BACKGROUND: Both chronic and acute heat result in a substantial health burden globally, causing particular concern for at-risk populations, such as older adults. Outdoor temperatures are often assessed as the exposure and are used for heat warning systems despite individuals spending most of their time indoors. Many studies use ecological designs, with death or hospitalizations rates. Individual-level outcomes that are directly related to heat-symptoms should also be considered to refine prevention efforts. OBJECTIVES: In this longitudinal study, we assessed the association between indoor temperature and proximal symptoms in individuals &gt;= 60 years of age living in non-air-conditioned households in Monteregie, Quebec, during the 2017-2018 summer months. METHODS: We gathered continuously measured indoor temperature and humidity from HOBO sensors and repeated health-related questionnaires about health-related symptoms administered across three periods of increasing outdoor temperatures, where the reference measurement (T1) occurred during a cool period with a target temperature of 18-22 degrees C and two measurements (T2 and T3) occurred during warmer periods with target temperatures of 28-30 degrees C and 30-33 degrees C, respectively. We used generalized estimating equations with Poisson regression models and estimated risk ratios (RRs) between temperature, humidity, and each heat-related symptom. RESULTS: Participants (n = 277) had an average age (mean +/- standard deviation) of 72.8 +/- 7.02 y. Higher indoor temperatures were associated with increased risk of dry mouth (T3 RR = 2.5; 95% CI: 1.8, 3.5), fatigue (RR = 2.3; 95% CI: 1.8, 3.0), thirst (RR = 3.4; 95% CI: 2.5, 4.5), less frequent urination (RR = 3.7; 95% CI: 1.8, 7.3), and trouble sleeping (RR = 2.2; 95% CI: 1.6, 3.2) compared with T1. We identified a nonlinear relationship with indoor temperatures across most symptoms of interest. DISCUSSION: This study identified that increasing indoor temperatures were associated with various health symptoms. By considering the prevalence of these early stage outcomes and indoor temperature exposures, adaptation strategies may be improved to minimize the burden of heat among vulnerable communities.</t>
        </is>
      </c>
      <c r="X1785" t="inlineStr">
        <is>
          <t>[Teyton, Anais; Benmarhnia, Tarik] Univ Calif San Diego, Herbert Wertheim Sch Publ Hlth, La Jolla, CA USA; [Teyton, Anais; Benmarhnia, Tarik] Univ Calif San Diego, Scripps Inst Oceanog, La Jolla, CA USA; [Teyton, Anais] San Diego State Univ, Sch Publ Hlth, San Diego, CA USA; [Tremblay, Mathieu; Tardif, Isabelle; Lemieux, Marc-Andre; Nour, Kareen] Ctr integre Sante &amp; Serv sociaux Monteregie, Publ Hlth Dept, Longueuil, PQ, Canada; [Benmarhnia, Tarik] Univ Calif San Diego, Herbert Wertheim Sch Publ Hlth, 9500 Gilman Dr, La Jolla, CA 92093 USA; [Benmarhnia, Tarik] Univ Calif San Diego, Scripps Inst Oceanog, 9500 Gilman Dr, La Jolla, CA 92093 USA</t>
        </is>
      </c>
      <c r="Y1785" t="inlineStr">
        <is>
          <t>University of California System; University of California San Diego; University of California System; University of California San Diego; Scripps Institution of Oceanography; California State University System; San Diego State University; University of California System; University of California San Diego; University of California System; University of California San Diego; Scripps Institution of Oceanography</t>
        </is>
      </c>
      <c r="Z1785" t="inlineStr">
        <is>
          <t>Benmarhnia, T (corresponding author), Univ Calif San Diego, Herbert Wertheim Sch Publ Hlth, 9500 Gilman Dr, La Jolla, CA 92093 USA.;Benmarhnia, T (corresponding author), Univ Calif San Diego, Scripps Inst Oceanog, 9500 Gilman Dr, La Jolla, CA 92093 USA.</t>
        </is>
      </c>
      <c r="AA1785" t="inlineStr">
        <is>
          <t>tbenmarhnia@ucsd.edu</t>
        </is>
      </c>
      <c r="AB1785" t="inlineStr">
        <is>
          <t>Teyton, Anais/AAC-4160-2022</t>
        </is>
      </c>
      <c r="AC1785" t="inlineStr">
        <is>
          <t>Teyton, Anais/0000-0001-7154-5540</t>
        </is>
      </c>
      <c r="AD1785" t="inlineStr">
        <is>
          <t>Fonds vert</t>
        </is>
      </c>
      <c r="AE1785" t="inlineStr">
        <is>
          <t>Fonds vert</t>
        </is>
      </c>
      <c r="AF1785" t="inlineStr">
        <is>
          <t>This research was supported by the Fonds vert funding through the Quebec Climate Change 2013-2020 Action Plan.</t>
        </is>
      </c>
      <c r="AH1785" t="n">
        <v>62</v>
      </c>
      <c r="AI1785" t="n">
        <v>3</v>
      </c>
      <c r="AJ1785" t="n">
        <v>3</v>
      </c>
      <c r="AK1785" t="n">
        <v>4</v>
      </c>
      <c r="AL1785" t="n">
        <v>10</v>
      </c>
      <c r="AM1785" t="inlineStr">
        <is>
          <t>US DEPT HEALTH HUMAN SCIENCES PUBLIC HEALTH SCIENCE</t>
        </is>
      </c>
      <c r="AN1785" t="inlineStr">
        <is>
          <t>RES TRIANGLE PK</t>
        </is>
      </c>
      <c r="AO1785" t="inlineStr">
        <is>
          <t>NATL INST HEALTH, NATL INST ENVIRONMENTAL HEALTH SCIENCES, PO BOX 12233, RES TRIANGLE PK, NC 27709-2233 USA</t>
        </is>
      </c>
      <c r="AP1785" t="inlineStr">
        <is>
          <t>0091-6765</t>
        </is>
      </c>
      <c r="AQ1785" t="inlineStr">
        <is>
          <t>1552-9924</t>
        </is>
      </c>
      <c r="AS1785" t="inlineStr">
        <is>
          <t>ENVIRON HEALTH PERSP</t>
        </is>
      </c>
      <c r="AT1785" t="inlineStr">
        <is>
          <t>Environ. Health Perspect.</t>
        </is>
      </c>
      <c r="AU1785" t="inlineStr">
        <is>
          <t>JUL</t>
        </is>
      </c>
      <c r="AV1785" t="n">
        <v>2022</v>
      </c>
      <c r="AW1785" t="n">
        <v>130</v>
      </c>
      <c r="AX1785" t="n">
        <v>7</v>
      </c>
      <c r="BE1785" t="n">
        <v>77003</v>
      </c>
      <c r="BF1785" t="inlineStr">
        <is>
          <t>10.1289/EHP10291</t>
        </is>
      </c>
      <c r="BG1785">
        <f>HYPERLINK("http://dx.doi.org/10.1289/EHP10291","http://dx.doi.org/10.1289/EHP10291")</f>
        <v/>
      </c>
      <c r="BJ1785" t="n">
        <v>8</v>
      </c>
      <c r="BK1785" t="inlineStr">
        <is>
          <t>Environmental Sciences; Public, Environmental &amp; Occupational Health; Toxicology</t>
        </is>
      </c>
      <c r="BL1785" t="inlineStr">
        <is>
          <t>Science Citation Index Expanded (SCI-EXPANDED)</t>
        </is>
      </c>
      <c r="BM1785" t="inlineStr">
        <is>
          <t>Environmental Sciences &amp; Ecology; Public, Environmental &amp; Occupational Health; Toxicology</t>
        </is>
      </c>
      <c r="BN1785" t="inlineStr">
        <is>
          <t>5A8BW</t>
        </is>
      </c>
      <c r="BO1785" t="n">
        <v>35857398</v>
      </c>
      <c r="BP1785" t="inlineStr">
        <is>
          <t>gold, Green Published</t>
        </is>
      </c>
      <c r="BS1785" t="inlineStr">
        <is>
          <t>2023-10-26</t>
        </is>
      </c>
      <c r="BT1785" t="inlineStr">
        <is>
          <t>WOS:000863107600004</t>
        </is>
      </c>
      <c r="BU1785">
        <f>HYPERLINK("https%3A%2F%2Fwww.webofscience.com%2Fwos%2Fwoscc%2Ffull-record%2FWOS:000863107600004","View Full Record in Web of Science")</f>
        <v/>
      </c>
    </row>
    <row r="1786">
      <c r="A1786" t="inlineStr">
        <is>
          <t>J</t>
        </is>
      </c>
      <c r="B1786" t="inlineStr">
        <is>
          <t>Can, E; Üzmez, ÖÖ; Dögeroglu, T; Gaga, EO</t>
        </is>
      </c>
      <c r="F1786" t="inlineStr">
        <is>
          <t>Can, Emre; Uzmez, Ozlem Ozden; Dogeroglu, Tuncay; Gaga, Eftade O.</t>
        </is>
      </c>
      <c r="J1786" t="inlineStr">
        <is>
          <t>ATMOSPHERIC POLLUTION RESEARCH</t>
        </is>
      </c>
      <c r="M1786" t="inlineStr">
        <is>
          <t>English</t>
        </is>
      </c>
      <c r="N1786" t="inlineStr">
        <is>
          <t>Article</t>
        </is>
      </c>
      <c r="T1786" t="inlineStr">
        <is>
          <t>Indoor air quality assessment in painting and printmaking department of a fine arts faculty building</t>
        </is>
      </c>
      <c r="U1786" t="inlineStr">
        <is>
          <t>Indoor air quality; Fine arts; Painting and printmaking department; Diffusive sampling</t>
        </is>
      </c>
      <c r="V1786" t="inlineStr">
        <is>
          <t>VOLATILE ORGANIC-COMPOUNDS; HONG-KONG; SOURCE APPORTIONMENT; RISK-ASSESSMENT; PERSONAL EXPOSURE; NITROGEN-DIOXIDE; PASSIVE SAMPLER; RECEPTOR MODEL; COMPOUNDS VOCS; CARE-CENTERS</t>
        </is>
      </c>
      <c r="W1786" t="inlineStr">
        <is>
          <t>Measurements for indoor air quality assessment were carried out in Painting and Printmaking Department of Anadolu University Faculty of Fine Arts in Turkey. Concentrations of nitrogen dioxide (NO2), ozone (O-3) and 29 Volatile Organic Compounds (VOCs) were measured simultaneously by using diffusive samplers. Simultaneous outdoor measurements were also performed at some sampling points. Analyses of NO2 and ozone samples were performed by using ion chromatography and VOCs were analyzed by using gas chromatography-mass spectrometry. Indoor NO2 and ozone concentrations varied between 13.47-89.77 mu g m(-3) and 3.89-51.82 mu g m(-3), respectively. Average indoor NO2 concentration was obtained as 35.37 +/- 10.9 mu g m(-3). Indoor/outdoor NO2 ratio (I/O) was found as 1.44 +/- 0.4 which indicated the presence of some indoor sources. Average indoor ozone concentration was 9.97 +/- 4.4 mu g m(-3) and I/O ratio was obtained lower than 1 (0.46 +/- 0.4). The highest VOC concentrations were observed at workshops where oil painting and stained glass studies were performed. Especially, the concentrations obtained from the stained glass workshop (benzene: 3.98 +/- 1.3 mu g m(-3), toluene: 999.33 +/- 104.2 mu g m(-3), ethly benzene: 66.06 +/- 16.1 mu g m(-3), m,p xylene: 129.44 +/- 33.1 mu g m(-3), o-xylene: 76.14 +/- 23.1 mu g m(-3)) were much higher than the other sampling points. Toluene concentrations exceeded the WHO (World Health Organization) limit value (260 mu g m(-3) weekly average) at 40% of the sampling points. Cancer risks were estimated by using the personal exposure concentrations. Lifetime cancer risks for the people working in the department such as faculty members and technicians were obtained higher than USEPA acceptable risk value (1 x 10(-6)) while the risks for the students were below this value. Copyright (c) 2015 Turkish National Committee for Air Pollution Research and Control. Production and hosting by Elsevier B.V. All rights reserved.</t>
        </is>
      </c>
      <c r="X1786" t="inlineStr">
        <is>
          <t>[Can, Emre; Uzmez, Ozlem Ozden; Dogeroglu, Tuncay; Gaga, Eftade O.] Anadolu Univ, Fac Engn, Dept Environm Engn, Iki Eylul Campus, TR-26555 Eskisehir, Turkey</t>
        </is>
      </c>
      <c r="Y1786" t="inlineStr">
        <is>
          <t>Anadolu University</t>
        </is>
      </c>
      <c r="Z1786" t="inlineStr">
        <is>
          <t>Gaga, EO (corresponding author), Anadolu Univ, Fac Engn, Dept Environm Engn, Iki Eylul Campus, TR-26555 Eskisehir, Turkey.</t>
        </is>
      </c>
      <c r="AA1786" t="inlineStr">
        <is>
          <t>enternasyonelsalala@gmail.com; oozden@anadolu.edu.tr; tdogeroglu@anadolu.edu.tr; egaga@anadolu.edu.tr</t>
        </is>
      </c>
      <c r="AB1786" t="inlineStr">
        <is>
          <t>Ozden, Ozlem/P-1828-2019; Gaga, Eftade/A-1436-2018; gaga, eftade/AAC-1367-2020; Dogeroglu, Tuncay/Q-1654-2019</t>
        </is>
      </c>
      <c r="AC1786" t="inlineStr">
        <is>
          <t>Ozden, Ozlem/0000-0003-4310-788X; Gaga, Eftade/0000-0003-3182-9340;</t>
        </is>
      </c>
      <c r="AH1786" t="n">
        <v>63</v>
      </c>
      <c r="AI1786" t="n">
        <v>30</v>
      </c>
      <c r="AJ1786" t="n">
        <v>30</v>
      </c>
      <c r="AK1786" t="n">
        <v>1</v>
      </c>
      <c r="AL1786" t="n">
        <v>53</v>
      </c>
      <c r="AM1786" t="inlineStr">
        <is>
          <t>TURKISH NATL COMMITTEE AIR POLLUTION RES &amp; CONTROL-TUNCAP</t>
        </is>
      </c>
      <c r="AN1786" t="inlineStr">
        <is>
          <t>BUCA</t>
        </is>
      </c>
      <c r="AO1786" t="inlineStr">
        <is>
          <t>DOKUZ EYLUL UNIV, DEPT ENVIRONMENTAL ENGINEERING, TINAZTEPE CAMPUS, BUCA, IZMIR 35160, TURKEY</t>
        </is>
      </c>
      <c r="AP1786" t="inlineStr">
        <is>
          <t>1309-1042</t>
        </is>
      </c>
      <c r="AS1786" t="inlineStr">
        <is>
          <t>ATMOS POLLUT RES</t>
        </is>
      </c>
      <c r="AT1786" t="inlineStr">
        <is>
          <t>Atmos. Pollut. Res.</t>
        </is>
      </c>
      <c r="AU1786" t="inlineStr">
        <is>
          <t>NOV</t>
        </is>
      </c>
      <c r="AV1786" t="n">
        <v>2015</v>
      </c>
      <c r="AW1786" t="n">
        <v>6</v>
      </c>
      <c r="AX1786" t="n">
        <v>6</v>
      </c>
      <c r="BC1786" t="n">
        <v>1035</v>
      </c>
      <c r="BD1786" t="n">
        <v>1045</v>
      </c>
      <c r="BF1786" t="inlineStr">
        <is>
          <t>10.1016/j.apr.2015.05.008</t>
        </is>
      </c>
      <c r="BG1786">
        <f>HYPERLINK("http://dx.doi.org/10.1016/j.apr.2015.05.008","http://dx.doi.org/10.1016/j.apr.2015.05.008")</f>
        <v/>
      </c>
      <c r="BJ1786" t="n">
        <v>11</v>
      </c>
      <c r="BK1786" t="inlineStr">
        <is>
          <t>Environmental Sciences</t>
        </is>
      </c>
      <c r="BL1786" t="inlineStr">
        <is>
          <t>Science Citation Index Expanded (SCI-EXPANDED)</t>
        </is>
      </c>
      <c r="BM1786" t="inlineStr">
        <is>
          <t>Environmental Sciences &amp; Ecology</t>
        </is>
      </c>
      <c r="BN1786" t="inlineStr">
        <is>
          <t>DH1ER</t>
        </is>
      </c>
      <c r="BS1786" t="inlineStr">
        <is>
          <t>2023-10-26</t>
        </is>
      </c>
      <c r="BT1786" t="inlineStr">
        <is>
          <t>WOS:000372527700014</t>
        </is>
      </c>
      <c r="BU1786">
        <f>HYPERLINK("https%3A%2F%2Fwww.webofscience.com%2Fwos%2Fwoscc%2Ffull-record%2FWOS:000372527700014","View Full Record in Web of Science")</f>
        <v/>
      </c>
    </row>
    <row r="1787">
      <c r="A1787" t="inlineStr">
        <is>
          <t>J</t>
        </is>
      </c>
      <c r="B1787" t="inlineStr">
        <is>
          <t>Andre, N; Agbangla, NF</t>
        </is>
      </c>
      <c r="F1787" t="inlineStr">
        <is>
          <t>Andre, Nathalie; Agbangla, Nounagnon Frutueux</t>
        </is>
      </c>
      <c r="J1787" t="inlineStr">
        <is>
          <t>INTERNATIONAL JOURNAL OF ENVIRONMENTAL RESEARCH AND PUBLIC HEALTH</t>
        </is>
      </c>
      <c r="M1787" t="inlineStr">
        <is>
          <t>English</t>
        </is>
      </c>
      <c r="N1787" t="inlineStr">
        <is>
          <t>Review</t>
        </is>
      </c>
      <c r="T1787" t="inlineStr">
        <is>
          <t>Are Barriers the Same Whether I Want to Start or Maintain Exercise? A Narrative Review on Healthy Older Adults</t>
        </is>
      </c>
      <c r="U1787" t="inlineStr">
        <is>
          <t>barriers; older adults; exercise behavior; stages of change</t>
        </is>
      </c>
      <c r="V1787" t="inlineStr">
        <is>
          <t>TIME PHYSICAL-ACTIVITY; ACTIVITY BEHAVIOR-CHANGE; PERCEIVED BARRIERS; TRANSTHEORETICAL MODEL; PLANNED BEHAVIOR; WOMEN; BENEFITS; DETERMINANTS; MOTIVATORS; PEOPLE</t>
        </is>
      </c>
      <c r="W1787" t="inlineStr">
        <is>
          <t>To help older adults begin or adhere to regular physical exercise, several studies have endeavored to identify barriers to active behavior. However, there is a lack of information about barriers for active older people. In addition, most of the reviews of the literature compare only active people to inactive or sedentary people without examining in detail the barriers with respect to the degree of commitment to behavioral change. Finally, there is no consistency in the results of studies investigating the effects of barriers on the relationship between stages of change and exercise behavior. The first aim of this narrative review is to compare barriers that affect exercise stages of change from those that affect levels of exercise behavior in a healthy older population and the factors that can lead to relapse or dropout; the second aim is to identify the extent to which barriers hinder the relationships between stages of change and exercise behaviors. The results showed that barriers are well identified in sedentary people and in the first two stages of change (pre-contemplation and contemplation) compared to active seniors and other stages of change (preparation, action and maintenance). Consistency between the formulations of the different stages in comparison with the transtheoretical model and the definition of barriers and the limitations of measuring physical activity in the different studies are discussed. Finally, novel perspectives of research are proposed to address the flaws in the reviewed studies.</t>
        </is>
      </c>
      <c r="X1787" t="inlineStr">
        <is>
          <t>[Andre, Nathalie] Univ Poitiers, UMR CNRS 7295, Ctr Rech Cognit &amp; Apprentissage, F-86000 Poitiers, France; [Andre, Nathalie] Univ Poitiers, USR CNRS 3565, Maison Sci Homme &amp; Soc, F-86000 Poitiers, France; [Agbangla, Nounagnon Frutueux] Univ Paris, EA 3625, Inst Sci Sport Sante Paris I3SP, F-75015 Paris, France; [Agbangla, Nounagnon Frutueux] Univ Littoral Cote dOpale, Univ Lille, Unite Rech Pluridisciplinaire Sport Sante Soc URe, ULR 7369,Univ Artois, F-59000 Lille, France</t>
        </is>
      </c>
      <c r="Y1787" t="inlineStr">
        <is>
          <t>Universite de Poitiers; Centre National de la Recherche Scientifique (CNRS); CNRS - National Institute for Biology (INSB); Universite de Poitiers; UDICE-French Research Universities; Universite Paris Cite; Universite de Lille - ISITE; Universite de Lille; Universite d'Artois</t>
        </is>
      </c>
      <c r="Z1787" t="inlineStr">
        <is>
          <t>Andre, N (corresponding author), Univ Poitiers, UMR CNRS 7295, Ctr Rech Cognit &amp; Apprentissage, F-86000 Poitiers, France.;Andre, N (corresponding author), Univ Poitiers, USR CNRS 3565, Maison Sci Homme &amp; Soc, F-86000 Poitiers, France.;Agbangla, NF (corresponding author), Univ Paris, EA 3625, Inst Sci Sport Sante Paris I3SP, F-75015 Paris, France.;Agbangla, NF (corresponding author), Univ Littoral Cote dOpale, Univ Lille, Unite Rech Pluridisciplinaire Sport Sante Soc URe, ULR 7369,Univ Artois, F-59000 Lille, France.</t>
        </is>
      </c>
      <c r="AA1787" t="inlineStr">
        <is>
          <t>nathalie.andre@univ-poitiers.fr; pfrutueux@gmail.com</t>
        </is>
      </c>
      <c r="AB1787" t="inlineStr">
        <is>
          <t>Nounagnon, Agbangla Frutueux/M-8985-2019</t>
        </is>
      </c>
      <c r="AC1787" t="inlineStr">
        <is>
          <t>Nounagnon, Agbangla Frutueux/0000-0001-6734-3022</t>
        </is>
      </c>
      <c r="AH1787" t="n">
        <v>90</v>
      </c>
      <c r="AI1787" t="n">
        <v>9</v>
      </c>
      <c r="AJ1787" t="n">
        <v>9</v>
      </c>
      <c r="AK1787" t="n">
        <v>3</v>
      </c>
      <c r="AL1787" t="n">
        <v>22</v>
      </c>
      <c r="AM1787" t="inlineStr">
        <is>
          <t>MDPI</t>
        </is>
      </c>
      <c r="AN1787" t="inlineStr">
        <is>
          <t>BASEL</t>
        </is>
      </c>
      <c r="AO1787" t="inlineStr">
        <is>
          <t>ST ALBAN-ANLAGE 66, CH-4052 BASEL, SWITZERLAND</t>
        </is>
      </c>
      <c r="AQ1787" t="inlineStr">
        <is>
          <t>1660-4601</t>
        </is>
      </c>
      <c r="AS1787" t="inlineStr">
        <is>
          <t>INT J ENV RES PUB HE</t>
        </is>
      </c>
      <c r="AT1787" t="inlineStr">
        <is>
          <t>Int. J. Environ. Res. Public Health</t>
        </is>
      </c>
      <c r="AU1787" t="inlineStr">
        <is>
          <t>SEP</t>
        </is>
      </c>
      <c r="AV1787" t="n">
        <v>2020</v>
      </c>
      <c r="AW1787" t="n">
        <v>17</v>
      </c>
      <c r="AX1787" t="n">
        <v>17</v>
      </c>
      <c r="BE1787" t="n">
        <v>6247</v>
      </c>
      <c r="BF1787" t="inlineStr">
        <is>
          <t>10.3390/ijerph17176247</t>
        </is>
      </c>
      <c r="BG1787">
        <f>HYPERLINK("http://dx.doi.org/10.3390/ijerph17176247","http://dx.doi.org/10.3390/ijerph17176247")</f>
        <v/>
      </c>
      <c r="BJ1787" t="n">
        <v>20</v>
      </c>
      <c r="BK1787" t="inlineStr">
        <is>
          <t>Environmental Sciences; Public, Environmental &amp; Occupational Health</t>
        </is>
      </c>
      <c r="BL1787" t="inlineStr">
        <is>
          <t>Science Citation Index Expanded (SCI-EXPANDED); Social Science Citation Index (SSCI)</t>
        </is>
      </c>
      <c r="BM1787" t="inlineStr">
        <is>
          <t>Environmental Sciences &amp; Ecology; Public, Environmental &amp; Occupational Health</t>
        </is>
      </c>
      <c r="BN1787" t="inlineStr">
        <is>
          <t>NO8FN</t>
        </is>
      </c>
      <c r="BO1787" t="n">
        <v>32867337</v>
      </c>
      <c r="BP1787" t="inlineStr">
        <is>
          <t>Green Published, gold</t>
        </is>
      </c>
      <c r="BS1787" t="inlineStr">
        <is>
          <t>2023-10-26</t>
        </is>
      </c>
      <c r="BT1787" t="inlineStr">
        <is>
          <t>WOS:000569723500001</t>
        </is>
      </c>
      <c r="BU1787">
        <f>HYPERLINK("https%3A%2F%2Fwww.webofscience.com%2Fwos%2Fwoscc%2Ffull-record%2FWOS:000569723500001","View Full Record in Web of Science")</f>
        <v/>
      </c>
    </row>
    <row r="1788">
      <c r="A1788" t="inlineStr">
        <is>
          <t>J</t>
        </is>
      </c>
      <c r="B1788" t="inlineStr">
        <is>
          <t>Piglowska, M; Kostka, T; Guligowska, A</t>
        </is>
      </c>
      <c r="F1788" t="inlineStr">
        <is>
          <t>Piglowska, Malgorzata; Kostka, Tomasz; Guligowska, Agnieszka</t>
        </is>
      </c>
      <c r="J1788" t="inlineStr">
        <is>
          <t>INTERNATIONAL JOURNAL OF ENVIRONMENTAL RESEARCH AND PUBLIC HEALTH</t>
        </is>
      </c>
      <c r="M1788" t="inlineStr">
        <is>
          <t>English</t>
        </is>
      </c>
      <c r="N1788" t="inlineStr">
        <is>
          <t>Article</t>
        </is>
      </c>
      <c r="T1788" t="inlineStr">
        <is>
          <t>Do Determinants of Quality of Life Differ in Older People Living in the Community and Nursing Homes?</t>
        </is>
      </c>
      <c r="U1788" t="inlineStr">
        <is>
          <t>nutritional status; older people; physical activity; quality of life</t>
        </is>
      </c>
      <c r="V1788" t="inlineStr">
        <is>
          <t>PHYSICAL-ACTIVITY; NUTRITIONAL-STATUS; HEALTH-STATUS; URINARY-INCONTINENCE; ASSOCIATION; ADULTS; RESIDENTS; RISK</t>
        </is>
      </c>
      <c r="W1788" t="inlineStr">
        <is>
          <t>Objectives: The aim of the present study was to examine and compare the relationship between nutritional status, physical activity (PA) level, concomitant chronic diseases, and quality of life (QoL) in community-dwelling (CD) older people and nursing home (NH) residents. Material and Methods: One hundred NH residents aged 60 years and above and one hundred sex- and age-matched CD older adults were examined. The QoL was examined with the EuroQol-5D questionnaire. Nutritional status was assessed with the Mini Nutritional Assessment questionnaire (MNA), anthropometric measures, and bioimpedance analysis (BIA). The 7-Day Recall Questionnaire and the Stanford Usual Activity Questionnaire were performed to evaluate the PA energy expenditure level (PA-EE) and the health-related behaviours (PA-HRB), respectively. Results: CD subjects presented a significantly higher self-assessment in the VAS scale in comparison with NH residents (CD: 65.3 +/- 19.4 vs. NH 58.2 +/- 21.4; p &lt; 0.05), but there were no differences within the five dimensions of QoL. In NH patients, the VAS scale was not correlated with any of the variables evaluating the nutritional status and body composition, while in the CD group correlated positively with MNA (rS = 0.36; p &lt; 0.001), % of FFM (rS = 0.22; p&lt; 0.05), body density (rS = 0.22; p &lt; 0.05) and negatively with % of FM (rS = -0.22; p &lt; 0.05). In an institutional environment, only concomitant diseases (mainly urinary incontinence) were found as independent determinants for QoL. In the community, independent determinants of QoL besides concomitant diseases (mainly ischaemic heart disease) were nutritional status or PA-HRB. Conclusions: Determinants of QoL are different depending on the living environment the older adults. Proper nutritional status and beneficial PA behaviours, are crucial for higher QoL of CD elderly, while for NH residents, the main determinants of QoL are chronic conditions.</t>
        </is>
      </c>
      <c r="X1788" t="inlineStr">
        <is>
          <t>[Piglowska, Malgorzata; Kostka, Tomasz; Guligowska, Agnieszka] Med Univ Lodz, Hlth Ageing Res Ctr, Dept Geriatr, Hallera 1 Sq, PL-90647 Lodz, Poland</t>
        </is>
      </c>
      <c r="Y1788" t="inlineStr">
        <is>
          <t>Medical University Lodz</t>
        </is>
      </c>
      <c r="Z1788" t="inlineStr">
        <is>
          <t>Guligowska, A (corresponding author), Med Univ Lodz, Hlth Ageing Res Ctr, Dept Geriatr, Hallera 1 Sq, PL-90647 Lodz, Poland.</t>
        </is>
      </c>
      <c r="AA1788" t="inlineStr">
        <is>
          <t>agnieszka.guligowska@umed.lodz.pl</t>
        </is>
      </c>
      <c r="AC1788" t="inlineStr">
        <is>
          <t>Guligowska, Agnieszka/0000-0002-6928-3892; Kostka, Tomasz/0000-0003-0437-650X</t>
        </is>
      </c>
      <c r="AD1788" t="inlineStr">
        <is>
          <t>[503/6-077-01/503-61-001]</t>
        </is>
      </c>
      <c r="AF1788" t="inlineStr">
        <is>
          <t>This study was supported by institutional fund: 503/6-077-01/503-61-001.</t>
        </is>
      </c>
      <c r="AH1788" t="n">
        <v>51</v>
      </c>
      <c r="AI1788" t="n">
        <v>1</v>
      </c>
      <c r="AJ1788" t="n">
        <v>1</v>
      </c>
      <c r="AK1788" t="n">
        <v>2</v>
      </c>
      <c r="AL1788" t="n">
        <v>3</v>
      </c>
      <c r="AM1788" t="inlineStr">
        <is>
          <t>MDPI</t>
        </is>
      </c>
      <c r="AN1788" t="inlineStr">
        <is>
          <t>BASEL</t>
        </is>
      </c>
      <c r="AO1788" t="inlineStr">
        <is>
          <t>ST ALBAN-ANLAGE 66, CH-4052 BASEL, SWITZERLAND</t>
        </is>
      </c>
      <c r="AQ1788" t="inlineStr">
        <is>
          <t>1660-4601</t>
        </is>
      </c>
      <c r="AS1788" t="inlineStr">
        <is>
          <t>INT J ENV RES PUB HE</t>
        </is>
      </c>
      <c r="AT1788" t="inlineStr">
        <is>
          <t>Int. J. Environ. Res. Public Health</t>
        </is>
      </c>
      <c r="AU1788" t="inlineStr">
        <is>
          <t>JAN</t>
        </is>
      </c>
      <c r="AV1788" t="n">
        <v>2023</v>
      </c>
      <c r="AW1788" t="n">
        <v>20</v>
      </c>
      <c r="AX1788" t="n">
        <v>2</v>
      </c>
      <c r="BE1788" t="n">
        <v>916</v>
      </c>
      <c r="BF1788" t="inlineStr">
        <is>
          <t>10.3390/ijerph20020916</t>
        </is>
      </c>
      <c r="BG1788">
        <f>HYPERLINK("http://dx.doi.org/10.3390/ijerph20020916","http://dx.doi.org/10.3390/ijerph20020916")</f>
        <v/>
      </c>
      <c r="BJ1788" t="n">
        <v>12</v>
      </c>
      <c r="BK1788" t="inlineStr">
        <is>
          <t>Environmental Sciences; Public, Environmental &amp; Occupational Health</t>
        </is>
      </c>
      <c r="BL1788" t="inlineStr">
        <is>
          <t>Science Citation Index Expanded (SCI-EXPANDED); Social Science Citation Index (SSCI)</t>
        </is>
      </c>
      <c r="BM1788" t="inlineStr">
        <is>
          <t>Environmental Sciences &amp; Ecology; Public, Environmental &amp; Occupational Health</t>
        </is>
      </c>
      <c r="BN1788" t="inlineStr">
        <is>
          <t>7Y7NG</t>
        </is>
      </c>
      <c r="BO1788" t="n">
        <v>36673674</v>
      </c>
      <c r="BP1788" t="inlineStr">
        <is>
          <t>gold, Green Published</t>
        </is>
      </c>
      <c r="BS1788" t="inlineStr">
        <is>
          <t>2023-10-26</t>
        </is>
      </c>
      <c r="BT1788" t="inlineStr">
        <is>
          <t>WOS:000915060500001</t>
        </is>
      </c>
      <c r="BU1788">
        <f>HYPERLINK("https%3A%2F%2Fwww.webofscience.com%2Fwos%2Fwoscc%2Ffull-record%2FWOS:000915060500001","View Full Record in Web of Science")</f>
        <v/>
      </c>
    </row>
    <row r="1789">
      <c r="A1789" t="inlineStr">
        <is>
          <t>J</t>
        </is>
      </c>
      <c r="B1789" t="inlineStr">
        <is>
          <t>Yau, YH; Phuah, KS</t>
        </is>
      </c>
      <c r="F1789" t="inlineStr">
        <is>
          <t>Yau, Yat Huang; Phuah, Kok Sun</t>
        </is>
      </c>
      <c r="J1789" t="inlineStr">
        <is>
          <t>AIR QUALITY ATMOSPHERE AND HEALTH</t>
        </is>
      </c>
      <c r="M1789" t="inlineStr">
        <is>
          <t>English</t>
        </is>
      </c>
      <c r="N1789" t="inlineStr">
        <is>
          <t>Article</t>
        </is>
      </c>
      <c r="T1789" t="inlineStr">
        <is>
          <t>Indoor air quality study in four Malaysian hospitals for centralized and non-centralized ACMV systems</t>
        </is>
      </c>
      <c r="U1789" t="inlineStr">
        <is>
          <t>IAQ; Thermal comfort; Malaysian hospitals; ACMV systems; Sick building syndrome; Indoor contaminants</t>
        </is>
      </c>
      <c r="V1789" t="inlineStr">
        <is>
          <t>BUILDINGS; HUMIDITY; MOISTURE</t>
        </is>
      </c>
      <c r="W1789" t="inlineStr">
        <is>
          <t>This study aimed to investigate indoor air quality (IAQ) and thermal comfort in the four Malaysian hospitals with the aid of subjective assessment and objective measurements. The hospitals were selected randomly from the pool of government registry by considering the type of air-conditioning and mechanical ventilation (ACMV) systems installed in them. Thermal comfort parameters such as indoor air temperature, relative humidity, and air velocity, as well as IAQ indicators, for example, carbon dioxide (CO2), carbon monoxide (CO), formaldehyde (HCHO), and total volatile organic compounds (TVOC), were measured in the present study. Furthermore, the questionnaire survey was conducted by engaging 87 staff members from the investigated hospitals to determine the occupant's thermal sensation and health issues when exposed to particular hospital environments. The results reveal that the indoor air conditions in most of the areas in the selected hospitals have exceeded the recommended threshold limits. However, most of the occupants in each selected hospital feel comfortable with their localized thermal settings. The data obtained demonstrate that the selected hospitals' internal environmental conditions and indoor air quality (IAQ) are appalling, resulting in sick building syndrome (SBS). The IAQ audits in hospitals reveal that more occupants under the centralized ACMV systems feel uncomfortable than in non-centralized ACMV systems. This indicates that occupants prefer higher temperature and humidity than those specified in ASHRAE Standard-55, which promote energy savings. However, the centralized ACMV hospitals exhibit a better IAQ control for chemical and particulate contaminants.</t>
        </is>
      </c>
      <c r="X1789" t="inlineStr">
        <is>
          <t>[Yau, Yat Huang; Phuah, Kok Sun] Univ Malaya, Dept Mech Engn, Kuala Lumpur 50603, Malaysia; [Yau, Yat Huang] Univ Malaya, Ctr Energy Sci, Kuala Lumpur 50603, Malaysia; [Yau, Yat Huang] Univ Malaya, Fac Engn, Dept Mech Engn, UM Daikin Lab, Kuala Lumpur 50603, Malaysia</t>
        </is>
      </c>
      <c r="Y1789" t="inlineStr">
        <is>
          <t>Universiti Malaya; Universiti Malaya; Universiti Malaya</t>
        </is>
      </c>
      <c r="Z1789" t="inlineStr">
        <is>
          <t>Yau, YH (corresponding author), Univ Malaya, Dept Mech Engn, Kuala Lumpur 50603, Malaysia.;Yau, YH (corresponding author), Univ Malaya, Ctr Energy Sci, Kuala Lumpur 50603, Malaysia.;Yau, YH (corresponding author), Univ Malaya, Fac Engn, Dept Mech Engn, UM Daikin Lab, Kuala Lumpur 50603, Malaysia.</t>
        </is>
      </c>
      <c r="AA1789" t="inlineStr">
        <is>
          <t>yhyau@um.edu.my</t>
        </is>
      </c>
      <c r="AB1789" t="inlineStr">
        <is>
          <t>YAU, YAT/C-1075-2010</t>
        </is>
      </c>
      <c r="AC1789" t="inlineStr">
        <is>
          <t>YAU, YAT/0000-0002-4942-3640</t>
        </is>
      </c>
      <c r="AD1789" t="inlineStr">
        <is>
          <t>Daikin Fellowship [PV018-2016]; University of Malaya via SATU grant [ST001-2021, RK005-2020]</t>
        </is>
      </c>
      <c r="AE1789" t="inlineStr">
        <is>
          <t>Daikin Fellowship; University of Malaya via SATU grant</t>
        </is>
      </c>
      <c r="AF1789" t="inlineStr">
        <is>
          <t>The research project is partially funded by the Daikin Fellowship Grant PV018-2016. In addition, University of Malaya provides partial financial assistance via SATU grant ST001-2021 as well as partnership grant RK005-2020 to the first author for research work to be conducted at the HVAC&amp;R Lab at the Department of Mechanical Engineering, University of Malaya.</t>
        </is>
      </c>
      <c r="AH1789" t="n">
        <v>32</v>
      </c>
      <c r="AI1789" t="n">
        <v>0</v>
      </c>
      <c r="AJ1789" t="n">
        <v>0</v>
      </c>
      <c r="AK1789" t="n">
        <v>2</v>
      </c>
      <c r="AL1789" t="n">
        <v>6</v>
      </c>
      <c r="AM1789" t="inlineStr">
        <is>
          <t>SPRINGER</t>
        </is>
      </c>
      <c r="AN1789" t="inlineStr">
        <is>
          <t>DORDRECHT</t>
        </is>
      </c>
      <c r="AO1789" t="inlineStr">
        <is>
          <t>VAN GODEWIJCKSTRAAT 30, 3311 GZ DORDRECHT, NETHERLANDS</t>
        </is>
      </c>
      <c r="AP1789" t="inlineStr">
        <is>
          <t>1873-9318</t>
        </is>
      </c>
      <c r="AQ1789" t="inlineStr">
        <is>
          <t>1873-9326</t>
        </is>
      </c>
      <c r="AS1789" t="inlineStr">
        <is>
          <t>AIR QUAL ATMOS HLTH</t>
        </is>
      </c>
      <c r="AT1789" t="inlineStr">
        <is>
          <t>Air Qual. Atmos. Health</t>
        </is>
      </c>
      <c r="AU1789" t="inlineStr">
        <is>
          <t>FEB</t>
        </is>
      </c>
      <c r="AV1789" t="n">
        <v>2023</v>
      </c>
      <c r="AW1789" t="n">
        <v>16</v>
      </c>
      <c r="AX1789" t="n">
        <v>2</v>
      </c>
      <c r="BC1789" t="n">
        <v>375</v>
      </c>
      <c r="BD1789" t="n">
        <v>390</v>
      </c>
      <c r="BF1789" t="inlineStr">
        <is>
          <t>10.1007/s11869-022-01280-2</t>
        </is>
      </c>
      <c r="BG1789">
        <f>HYPERLINK("http://dx.doi.org/10.1007/s11869-022-01280-2","http://dx.doi.org/10.1007/s11869-022-01280-2")</f>
        <v/>
      </c>
      <c r="BI1789" t="inlineStr">
        <is>
          <t>NOV 2022</t>
        </is>
      </c>
      <c r="BJ1789" t="n">
        <v>16</v>
      </c>
      <c r="BK1789" t="inlineStr">
        <is>
          <t>Environmental Sciences</t>
        </is>
      </c>
      <c r="BL1789" t="inlineStr">
        <is>
          <t>Science Citation Index Expanded (SCI-EXPANDED)</t>
        </is>
      </c>
      <c r="BM1789" t="inlineStr">
        <is>
          <t>Environmental Sciences &amp; Ecology</t>
        </is>
      </c>
      <c r="BN1789" t="inlineStr">
        <is>
          <t>T2MB1</t>
        </is>
      </c>
      <c r="BS1789" t="inlineStr">
        <is>
          <t>2023-10-26</t>
        </is>
      </c>
      <c r="BT1789" t="inlineStr">
        <is>
          <t>WOS:000881703700002</t>
        </is>
      </c>
      <c r="BU1789">
        <f>HYPERLINK("https%3A%2F%2Fwww.webofscience.com%2Fwos%2Fwoscc%2Ffull-record%2FWOS:000881703700002","View Full Record in Web of Science")</f>
        <v/>
      </c>
    </row>
    <row r="1790">
      <c r="A1790" t="inlineStr">
        <is>
          <t>J</t>
        </is>
      </c>
      <c r="B1790" t="inlineStr">
        <is>
          <t>Zhao, QF; Wang, J; Nicholas, S; Maitland, E; Sun, JJ; Jiao, C; Xu, LZ; Leng, AL</t>
        </is>
      </c>
      <c r="F1790" t="inlineStr">
        <is>
          <t>Zhao, Qinfeng; Wang, Jian; Nicholas, Stephen; Maitland, Elizabeth; Sun, Jingjie; Jiao, Chen; Xu, Lizheng; Leng, Anli</t>
        </is>
      </c>
      <c r="J1790" t="inlineStr">
        <is>
          <t>INTERNATIONAL JOURNAL OF ENVIRONMENTAL RESEARCH AND PUBLIC HEALTH</t>
        </is>
      </c>
      <c r="M1790" t="inlineStr">
        <is>
          <t>English</t>
        </is>
      </c>
      <c r="N1790" t="inlineStr">
        <is>
          <t>Article</t>
        </is>
      </c>
      <c r="T1790" t="inlineStr">
        <is>
          <t>Health-Related Quality of Life and Health Service Use among Multimorbid Middle-Aged and Older-Aged Adults in China: A Cross-Sectional Study in Shandong Province</t>
        </is>
      </c>
      <c r="U1790" t="inlineStr">
        <is>
          <t>China; multimorbidity; middle-aged and old-aged adults</t>
        </is>
      </c>
      <c r="V1790" t="inlineStr">
        <is>
          <t>CARE UTILIZATION; ASSOCIATION; PREVALENCE; DISEASES; VALUES</t>
        </is>
      </c>
      <c r="W1790" t="inlineStr">
        <is>
          <t>(1) Background: The management of multiple chronic diseases challenges China's health system, but current research has neglected how multimorbidity is associated with poor health-related quality of life (HRQOL) and high health service demands by middle-aged and older adults. (2) Methods: A cross-sectional study was conducted in Shandong province, China in 2018 across three age groups: Middle-aged (45 to 59 years), young-old (60 to 74 years), and old-old (75 or above years). The information about socio-economic, health-related behaviors, HRQOL, and health service utilization was collected via face-to-face structured questionnaires. The EQ-5D-3L instrument, comprising a health description system and a visual analog scale (VAS), was used to measure participants' HRQOL, and chi(2) tests and the one-way ANOVA test were used to analyze differences in socio-demographic factors and HRQOL among the different age groups. Logistic regression models estimated the associations between lifestyle factors, health service utilization, and multimorbidity across age groups. (3) Results: There were 17,867 adults aged 45 or above in our sample, with 9259 (51.82%) female and 65.60% living in rural areas. Compared with the middle-aged adults, the young-old and old-old were more likely to be single and to have a lower level of education and income, with the old-old having lower levels than the young-old (P &lt; 0.001). We found that 2465 (13.80%) suffered multimorbidities of whom 75.21% were older persons (aged 60 or above). As age increased, both the mean values of EQ-5D utility and the VAS scale decreased, displaying an inverse trend to the increase in the number of chronic diseases (P &lt; 0.05). Ex-smokers and physical check-ups for middle or young-old respondents and overweight/obesity for all participants (P &lt; 0.05) were positively correlated with multimorbidity. Drinking within the past month for all participants (P &lt; 0.001), and daily tooth-brushing for middle (P &lt; 0.05) and young-old participants (P &lt; 0.001), were negatively associated with multimorbidity. Multimorbidities increased service utilization including outpatient and inpatient visits and taking self-medicine; and the probability of health utilization was the lowest for the old-old multimorbid patients (P &lt; 0.001). (4) Conclusions: The prevalence and decline in HRQOL of multimorbid middle-aged and older-aged people were severe in Shandong province. Old patients also faced limited access to health services. We recommend early prevention and intervention to address the prevalence of middle-aged and old-aged multimorbidity. Further, the government should set-up special treatment channels for multiple chronic disease sufferers, improve medical insurance policies for the older-aged groups, and set-up multiple chronic disease insurance to effectively alleviate the costs of medical utilization caused by economic pressure for outpatients and inpatients with chronic diseases.</t>
        </is>
      </c>
      <c r="X1790" t="inlineStr">
        <is>
          <t>[Zhao, Qinfeng; Jiao, Chen] Shandong Univ, Cheeloo Coll Med, Ctr Hlth Management &amp; Policy Res, Sch Publ Hlth, Jinan 250012, Peoples R China; [Zhao, Qinfeng; Jiao, Chen] Shandong Univ, NHC Key Lab Hlth Econ &amp; Policy Res, Jinan 250012, Peoples R China; [Wang, Jian] Wuhan Univ, Dong Fureng Inst Econ &amp; Social Dev, 54 Dongsi Lishi Hutong, Beijing 100010, Peoples R China; [Wang, Jian] Wuhan Univ, Ctr Hlth Econ &amp; Management, Econ &amp; Management Sch, Luojia Hill, Wuhan 430072, Peoples R China; [Nicholas, Stephen] Australian Natl Inst Management &amp; Commerce, 1 Cent Ave Australian Technol Pk, Eveleigh, NSW 2015, Australia; [Nicholas, Stephen] Guangdong Univ Foreign Studies, Guangdong Inst Int Strategies, 2 Baiyun North Ave, Guangzhou 510420, Peoples R China; [Nicholas, Stephen] Tianjin Normal Univ, Sch Econ, 339 Binshui West Ave, Tianjin 300387, Peoples R China; [Nicholas, Stephen] Tianjin Normal Univ, Sch Management, 339 Binshui West Ave, Tianjin 300387, Peoples R China; [Nicholas, Stephen] Univ Newcastle, Newcastle Business Sch, Univ Dr, Newcastle, NSW 2308, Australia; [Maitland, Elizabeth] Univ Liverpool, Sch Management, Chatham Bldg,Chatham St, Liverpool L69 7ZH, Merseyside, England; [Sun, Jingjie] Shandong Hlth Commiss Med Management Serv Ctr, Jinan 250012, Peoples R China; [Xu, Lizheng] UNSW Sydney, UNSW Med, Sydney, NSW 2052, Australia; [Xu, Lizheng] George Inst Global Hlth, Newtown, NSW 2042, Australia; [Leng, Anli] Shandong Univ, Sch Polit Sci &amp; Publ Adm, Inst Governance, 72 Binhai Rd, Qingdao 266237, Peoples R China</t>
        </is>
      </c>
      <c r="Y1790" t="inlineStr">
        <is>
          <t>Shandong University; Shandong University; Wuhan University; Wuhan University; Guangdong University of Foreign Studies; Tianjin Normal University; Tianjin Normal University; University of Newcastle; University of Liverpool; University of New South Wales Sydney; George Institute for Global Health; University of Sydney; Shandong University</t>
        </is>
      </c>
      <c r="Z1790" t="inlineStr">
        <is>
          <t>Leng, AL (corresponding author), Shandong Univ, Sch Polit Sci &amp; Publ Adm, Inst Governance, 72 Binhai Rd, Qingdao 266237, Peoples R China.</t>
        </is>
      </c>
      <c r="AA1790" t="inlineStr">
        <is>
          <t>zhaoqinfeng6@mail.sdu.edu.cn; wangjian993@whu.edu.cn; stephen.nicholas@newcastle.edu.au; e.maitland@liverpool.ac.uk; sunjingjie@shandong.cn; 201835804@mail.sdu.edu.cn; lizheng.xu@unsw.edu.au; lenganli@sdu.edu.cn</t>
        </is>
      </c>
      <c r="AB1790" t="inlineStr">
        <is>
          <t>Wang, Jian/AAI-6424-2021; NICHOLAS, STEPHEN/ABE-4726-2021; Leng, Anli/ABG-3086-2021; Maitland, Elizabeth T/O-7703-2018</t>
        </is>
      </c>
      <c r="AC1790" t="inlineStr">
        <is>
          <t>Wang, Jian/0000-0001-8769-7928; Maitland, Elizabeth T/0000-0003-1551-4787; leng, anli/0000-0002-6775-2085; Nicholas, Stephen/0000-0001-6770-7105</t>
        </is>
      </c>
      <c r="AD1790" t="inlineStr">
        <is>
          <t>National Natural Science Foundation of China [72004117, 71703081]; Shandong University Center for Health Economics Experiment and Public Policy Research; NHC Key Laboratory of Health Economics and Policy Research (Shandong University); Australian Government Research Training Program Scholarship</t>
        </is>
      </c>
      <c r="AE1790" t="inlineStr">
        <is>
          <t>National Natural Science Foundation of China(National Natural Science Foundation of China (NSFC)); Shandong University Center for Health Economics Experiment and Public Policy Research; NHC Key Laboratory of Health Economics and Policy Research (Shandong University); Australian Government Research Training Program Scholarship(Australian GovernmentDepartment of Industry, Innovation and Science)</t>
        </is>
      </c>
      <c r="AF1790" t="inlineStr">
        <is>
          <t>The authors would like to thank all the participants for their cooperation. This study was supported by the National Natural Science Foundation of China (grant numbers 72004117 and 71703081); Shandong University Center for Health Economics Experiment and Public Policy Research; and the NHC Key Laboratory of Health Economics and Policy Research (Shandong University). L.X. was supported by the Australian Government Research Training Program Scholarship. The authors thank three reviewers for their supportive comments.</t>
        </is>
      </c>
      <c r="AH1790" t="n">
        <v>39</v>
      </c>
      <c r="AI1790" t="n">
        <v>13</v>
      </c>
      <c r="AJ1790" t="n">
        <v>13</v>
      </c>
      <c r="AK1790" t="n">
        <v>5</v>
      </c>
      <c r="AL1790" t="n">
        <v>38</v>
      </c>
      <c r="AM1790" t="inlineStr">
        <is>
          <t>MDPI</t>
        </is>
      </c>
      <c r="AN1790" t="inlineStr">
        <is>
          <t>BASEL</t>
        </is>
      </c>
      <c r="AO1790" t="inlineStr">
        <is>
          <t>ST ALBAN-ANLAGE 66, CH-4052 BASEL, SWITZERLAND</t>
        </is>
      </c>
      <c r="AQ1790" t="inlineStr">
        <is>
          <t>1660-4601</t>
        </is>
      </c>
      <c r="AS1790" t="inlineStr">
        <is>
          <t>INT J ENV RES PUB HE</t>
        </is>
      </c>
      <c r="AT1790" t="inlineStr">
        <is>
          <t>Int. J. Environ. Res. Public Health</t>
        </is>
      </c>
      <c r="AU1790" t="inlineStr">
        <is>
          <t>DEC</t>
        </is>
      </c>
      <c r="AV1790" t="n">
        <v>2020</v>
      </c>
      <c r="AW1790" t="n">
        <v>17</v>
      </c>
      <c r="AX1790" t="n">
        <v>24</v>
      </c>
      <c r="BE1790" t="n">
        <v>9261</v>
      </c>
      <c r="BF1790" t="inlineStr">
        <is>
          <t>10.3390/ijerph17249261</t>
        </is>
      </c>
      <c r="BG1790">
        <f>HYPERLINK("http://dx.doi.org/10.3390/ijerph17249261","http://dx.doi.org/10.3390/ijerph17249261")</f>
        <v/>
      </c>
      <c r="BJ1790" t="n">
        <v>13</v>
      </c>
      <c r="BK1790" t="inlineStr">
        <is>
          <t>Environmental Sciences; Public, Environmental &amp; Occupational Health</t>
        </is>
      </c>
      <c r="BL1790" t="inlineStr">
        <is>
          <t>Science Citation Index Expanded (SCI-EXPANDED); Social Science Citation Index (SSCI)</t>
        </is>
      </c>
      <c r="BM1790" t="inlineStr">
        <is>
          <t>Environmental Sciences &amp; Ecology; Public, Environmental &amp; Occupational Health</t>
        </is>
      </c>
      <c r="BN1790" t="inlineStr">
        <is>
          <t>PK9ZQ</t>
        </is>
      </c>
      <c r="BO1790" t="n">
        <v>33322307</v>
      </c>
      <c r="BP1790" t="inlineStr">
        <is>
          <t>gold, Green Published</t>
        </is>
      </c>
      <c r="BS1790" t="inlineStr">
        <is>
          <t>2023-10-26</t>
        </is>
      </c>
      <c r="BT1790" t="inlineStr">
        <is>
          <t>WOS:000602793800001</t>
        </is>
      </c>
      <c r="BU1790">
        <f>HYPERLINK("https%3A%2F%2Fwww.webofscience.com%2Fwos%2Fwoscc%2Ffull-record%2FWOS:000602793800001","View Full Record in Web of Science")</f>
        <v/>
      </c>
    </row>
    <row r="1791">
      <c r="A1791" t="inlineStr">
        <is>
          <t>J</t>
        </is>
      </c>
      <c r="B1791" t="inlineStr">
        <is>
          <t>Mauritzson, E; McKee, KJ; Elf, M; Borg, J</t>
        </is>
      </c>
      <c r="F1791" t="inlineStr">
        <is>
          <t>Mauritzson, Elin; McKee, Kevin J.; Elf, Marie; Borg, Johan</t>
        </is>
      </c>
      <c r="J1791" t="inlineStr">
        <is>
          <t>INTERNATIONAL JOURNAL OF ENVIRONMENTAL RESEARCH AND PUBLIC HEALTH</t>
        </is>
      </c>
      <c r="M1791" t="inlineStr">
        <is>
          <t>English</t>
        </is>
      </c>
      <c r="N1791" t="inlineStr">
        <is>
          <t>Article</t>
        </is>
      </c>
      <c r="T1791" t="inlineStr">
        <is>
          <t>Older Adults' Experiences, Worries and Preventive Measures Regarding Home Hazards: A Survey on Home Safety in Sweden</t>
        </is>
      </c>
      <c r="U1791" t="inlineStr">
        <is>
          <t>home safety; preventive behaviour; national survey; older adults; +70 years of age; self-reported health; neighbourhood; worry; community living; social support</t>
        </is>
      </c>
      <c r="V1791" t="inlineStr">
        <is>
          <t>AGING IN-PLACE; FALLS PREVENTION; PEOPLE; PERSPECTIVES; AWARENESS; EDUCATION; SECURITY; BELIEFS; CARE</t>
        </is>
      </c>
      <c r="W1791" t="inlineStr">
        <is>
          <t>Home safety is important for preventing injuries and accidents among older adults living at home. Feeling safe at home is also essential for older adults' well-being. Thus, this study aimed to explore older adults' perceptions of safety in their homes by examining their experiences, worries and preventive measures in relation to a range of potential home-based health and safety hazards. The study was a national cross-sectional telephone survey of 400 randomly selected adults over 70 years of age living at home in ordinary housing in Sweden. Participants were asked for their experience of, worry about, and preventive measures taken regarding fifteen home hazards. Data were also collected on background variables including age, health, and cohabitation status. Falls and stab/cut injuries were the most experienced hazards and worry was highest for burglary and falls, while preventive measures were most common for fire and burglary. While older adults' experience and worry regarding home hazards were associated with preventive measures, these associations were not strong and other factors were associated with preventive behaviour. Further identification of the main determinants of older adults' preventive behaviour can contribute to policy for effectively reducing home accidents.</t>
        </is>
      </c>
      <c r="X1791" t="inlineStr">
        <is>
          <t>[Mauritzson, Elin; McKee, Kevin J.; Elf, Marie; Borg, Johan] Dalarna Univ, Sch Hlth &amp; Welf, S-79188 Falun, Sweden</t>
        </is>
      </c>
      <c r="Y1791" t="inlineStr">
        <is>
          <t>Dalarna University</t>
        </is>
      </c>
      <c r="Z1791" t="inlineStr">
        <is>
          <t>Mauritzson, E (corresponding author), Dalarna Univ, Sch Hlth &amp; Welf, S-79188 Falun, Sweden.</t>
        </is>
      </c>
      <c r="AA1791" t="inlineStr">
        <is>
          <t>emu@du.se</t>
        </is>
      </c>
      <c r="AC1791" t="inlineStr">
        <is>
          <t>Mauritzson, Elin/0000-0002-9696-4175; Elf, Marie/0000-0001-7044-8896</t>
        </is>
      </c>
      <c r="AD1791" t="inlineStr">
        <is>
          <t>Laensfoersaekringsgruppens Forsknings- &amp; Utvecklingsfond [P3/19]</t>
        </is>
      </c>
      <c r="AE1791" t="inlineStr">
        <is>
          <t>Laensfoersaekringsgruppens Forsknings- &amp; Utvecklingsfond</t>
        </is>
      </c>
      <c r="AF1791" t="inlineStr">
        <is>
          <t>This research was funded by Laensfoersaekringsgruppens Forsknings- &amp; Utvecklingsfond, grant number P3/19.</t>
        </is>
      </c>
      <c r="AH1791" t="n">
        <v>46</v>
      </c>
      <c r="AI1791" t="n">
        <v>0</v>
      </c>
      <c r="AJ1791" t="n">
        <v>0</v>
      </c>
      <c r="AK1791" t="n">
        <v>1</v>
      </c>
      <c r="AL1791" t="n">
        <v>4</v>
      </c>
      <c r="AM1791" t="inlineStr">
        <is>
          <t>MDPI</t>
        </is>
      </c>
      <c r="AN1791" t="inlineStr">
        <is>
          <t>BASEL</t>
        </is>
      </c>
      <c r="AO1791" t="inlineStr">
        <is>
          <t>ST ALBAN-ANLAGE 66, CH-4052 BASEL, SWITZERLAND</t>
        </is>
      </c>
      <c r="AQ1791" t="inlineStr">
        <is>
          <t>1660-4601</t>
        </is>
      </c>
      <c r="AS1791" t="inlineStr">
        <is>
          <t>INT J ENV RES PUB HE</t>
        </is>
      </c>
      <c r="AT1791" t="inlineStr">
        <is>
          <t>Int. J. Environ. Res. Public Health</t>
        </is>
      </c>
      <c r="AU1791" t="inlineStr">
        <is>
          <t>JAN</t>
        </is>
      </c>
      <c r="AV1791" t="n">
        <v>2023</v>
      </c>
      <c r="AW1791" t="n">
        <v>20</v>
      </c>
      <c r="AX1791" t="n">
        <v>2</v>
      </c>
      <c r="BE1791" t="n">
        <v>1458</v>
      </c>
      <c r="BF1791" t="inlineStr">
        <is>
          <t>10.3390/ijerph20021458</t>
        </is>
      </c>
      <c r="BG1791">
        <f>HYPERLINK("http://dx.doi.org/10.3390/ijerph20021458","http://dx.doi.org/10.3390/ijerph20021458")</f>
        <v/>
      </c>
      <c r="BJ1791" t="n">
        <v>14</v>
      </c>
      <c r="BK1791" t="inlineStr">
        <is>
          <t>Environmental Sciences; Public, Environmental &amp; Occupational Health</t>
        </is>
      </c>
      <c r="BL1791" t="inlineStr">
        <is>
          <t>Science Citation Index Expanded (SCI-EXPANDED); Social Science Citation Index (SSCI)</t>
        </is>
      </c>
      <c r="BM1791" t="inlineStr">
        <is>
          <t>Environmental Sciences &amp; Ecology; Public, Environmental &amp; Occupational Health</t>
        </is>
      </c>
      <c r="BN1791" t="inlineStr">
        <is>
          <t>8B6LJ</t>
        </is>
      </c>
      <c r="BO1791" t="n">
        <v>36674213</v>
      </c>
      <c r="BP1791" t="inlineStr">
        <is>
          <t>gold, Green Published</t>
        </is>
      </c>
      <c r="BS1791" t="inlineStr">
        <is>
          <t>2023-10-26</t>
        </is>
      </c>
      <c r="BT1791" t="inlineStr">
        <is>
          <t>WOS:000917034900001</t>
        </is>
      </c>
      <c r="BU1791">
        <f>HYPERLINK("https%3A%2F%2Fwww.webofscience.com%2Fwos%2Fwoscc%2Ffull-record%2FWOS:000917034900001","View Full Record in Web of Science")</f>
        <v/>
      </c>
    </row>
    <row r="1792">
      <c r="A1792" t="inlineStr">
        <is>
          <t>J</t>
        </is>
      </c>
      <c r="B1792" t="inlineStr">
        <is>
          <t>Loupa, G; Polyzou, C; Zarogianni, AM; Ouzounis, K; Rapsomanikis, S</t>
        </is>
      </c>
      <c r="F1792" t="inlineStr">
        <is>
          <t>Loupa, G.; Polyzou, C.; Zarogianni, A. M.; Ouzounis, K.; Rapsomanikis, S.</t>
        </is>
      </c>
      <c r="J1792" t="inlineStr">
        <is>
          <t>ENVIRONMENTAL MONITORING AND ASSESSMENT</t>
        </is>
      </c>
      <c r="M1792" t="inlineStr">
        <is>
          <t>English</t>
        </is>
      </c>
      <c r="N1792" t="inlineStr">
        <is>
          <t>Article</t>
        </is>
      </c>
      <c r="T1792" t="inlineStr">
        <is>
          <t>Indoor and outdoor elemental mercury: a comparison of three different cases</t>
        </is>
      </c>
      <c r="U1792" t="inlineStr">
        <is>
          <t>GEM concentration; Indoor air quality; Mercury deposition; Vehicle exhaust; Sources of mercury</t>
        </is>
      </c>
      <c r="V1792" t="inlineStr">
        <is>
          <t>ATMOSPHERIC MERCURY; VAPOR</t>
        </is>
      </c>
      <c r="W1792" t="inlineStr">
        <is>
          <t>Gaseous elemental mercury (GEM) concentrations were determined in three different indoor environments: an office in a building with no indoor sources of mercury (Bldg. I), an office affected by indoor mercury emissions from an adjacent laboratory (Bldg. II), and finally, an office where an outdoor mercury spill occurred accidentally (Bldg. III). The maximum recorded indoor GEM concentrations, with the largest variation in time, were observed in Bldg. II, with a continuous indoor mercury source (lower to upper quartile 15 to 62 ng m(-3)). The lowest values were recorded in Bldg. I (lower to upper quartile 3 to 5 ng m(-3)), where indoor GEM levels were affected mainly by the exhaust of vehicles in the parking lot of the building. The monitoring of GEM indoors (lower to upper quartile 15 to 42 ng m(-3)), and outdoors (in several heights) of the Bldg. III, revealed that the cleaning up procedure that followed the spill was not adequate. Auxiliary measurements in the first two cases were the indoor microclimatic conditions, as well as the indoor CO2 concentrations, and in the third case the outdoor meteorological data. The exhaust of vehicles, the chemical reagents, and an outdoor mercury spill were found to mainly affect the observed indoor GEM levels. People in Bldg. II and people walking through the area, where Hg-0 was spilled, were found to be exposed to concentrations above some guide values.</t>
        </is>
      </c>
      <c r="X1792" t="inlineStr">
        <is>
          <t>[Loupa, G.; Polyzou, C.; Zarogianni, A. M.; Ouzounis, K.; Rapsomanikis, S.] Democritus Univ Thrace, Fac Engn, Dept Environm Engn, Lab Atmospher Pollut &amp; Control Engn Atmospher Pol, GR-67100 Xanthi, Greece</t>
        </is>
      </c>
      <c r="Y1792" t="inlineStr">
        <is>
          <t>Democritus University of Thrace</t>
        </is>
      </c>
      <c r="Z1792" t="inlineStr">
        <is>
          <t>Loupa, G (corresponding author), Democritus Univ Thrace, Fac Engn, Dept Environm Engn, Lab Atmospher Pollut &amp; Control Engn Atmospher Pol, GR-67100 Xanthi, Greece.</t>
        </is>
      </c>
      <c r="AA1792" t="inlineStr">
        <is>
          <t>gloupa@env.duth.gr</t>
        </is>
      </c>
      <c r="AB1792" t="inlineStr">
        <is>
          <t>Loupa, Glykeria/AAM-8394-2021; S., Rapsomanikis/AAM-8686-2021; RAPSOMANIKIS, SPYRIDON/GRO-5661-2022</t>
        </is>
      </c>
      <c r="AC1792" t="inlineStr">
        <is>
          <t>Loupa, Glykeria/0000-0001-8497-1629; RAPSOMANIKIS, SPYRIDON/0000-0002-7883-0894; Polyzou, Christiana/0000-0001-6486-4981; Zarogianni, Aikaterini-Maria/0000-0002-9883-741X</t>
        </is>
      </c>
      <c r="AH1792" t="n">
        <v>17</v>
      </c>
      <c r="AI1792" t="n">
        <v>3</v>
      </c>
      <c r="AJ1792" t="n">
        <v>3</v>
      </c>
      <c r="AK1792" t="n">
        <v>0</v>
      </c>
      <c r="AL1792" t="n">
        <v>9</v>
      </c>
      <c r="AM1792" t="inlineStr">
        <is>
          <t>SPRINGER</t>
        </is>
      </c>
      <c r="AN1792" t="inlineStr">
        <is>
          <t>DORDRECHT</t>
        </is>
      </c>
      <c r="AO1792" t="inlineStr">
        <is>
          <t>VAN GODEWIJCKSTRAAT 30, 3311 GZ DORDRECHT, NETHERLANDS</t>
        </is>
      </c>
      <c r="AP1792" t="inlineStr">
        <is>
          <t>0167-6369</t>
        </is>
      </c>
      <c r="AQ1792" t="inlineStr">
        <is>
          <t>1573-2959</t>
        </is>
      </c>
      <c r="AS1792" t="inlineStr">
        <is>
          <t>ENVIRON MONIT ASSESS</t>
        </is>
      </c>
      <c r="AT1792" t="inlineStr">
        <is>
          <t>Environ. Monit. Assess.</t>
        </is>
      </c>
      <c r="AU1792" t="inlineStr">
        <is>
          <t>FEB</t>
        </is>
      </c>
      <c r="AV1792" t="n">
        <v>2017</v>
      </c>
      <c r="AW1792" t="n">
        <v>189</v>
      </c>
      <c r="AX1792" t="n">
        <v>2</v>
      </c>
      <c r="BE1792" t="n">
        <v>72</v>
      </c>
      <c r="BF1792" t="inlineStr">
        <is>
          <t>10.1007/s10661-017-5781-1</t>
        </is>
      </c>
      <c r="BG1792">
        <f>HYPERLINK("http://dx.doi.org/10.1007/s10661-017-5781-1","http://dx.doi.org/10.1007/s10661-017-5781-1")</f>
        <v/>
      </c>
      <c r="BJ1792" t="n">
        <v>10</v>
      </c>
      <c r="BK1792" t="inlineStr">
        <is>
          <t>Environmental Sciences</t>
        </is>
      </c>
      <c r="BL1792" t="inlineStr">
        <is>
          <t>Science Citation Index Expanded (SCI-EXPANDED)</t>
        </is>
      </c>
      <c r="BM1792" t="inlineStr">
        <is>
          <t>Environmental Sciences &amp; Ecology</t>
        </is>
      </c>
      <c r="BN1792" t="inlineStr">
        <is>
          <t>EK0VS</t>
        </is>
      </c>
      <c r="BO1792" t="n">
        <v>28116605</v>
      </c>
      <c r="BS1792" t="inlineStr">
        <is>
          <t>2023-10-26</t>
        </is>
      </c>
      <c r="BT1792" t="inlineStr">
        <is>
          <t>WOS:000393645800027</t>
        </is>
      </c>
      <c r="BU1792">
        <f>HYPERLINK("https%3A%2F%2Fwww.webofscience.com%2Fwos%2Fwoscc%2Ffull-record%2FWOS:000393645800027","View Full Record in Web of Science")</f>
        <v/>
      </c>
    </row>
    <row r="1793">
      <c r="A1793" t="inlineStr">
        <is>
          <t>J</t>
        </is>
      </c>
      <c r="B1793" t="inlineStr">
        <is>
          <t>Portela-Pino, I; Alvariñas-Villaverde, M; Pino-Juste, M</t>
        </is>
      </c>
      <c r="F1793" t="inlineStr">
        <is>
          <t>Portela-Pino, Iago; Alvarinas-Villaverde, Myriam; Pino-Juste, Margarita</t>
        </is>
      </c>
      <c r="J1793" t="inlineStr">
        <is>
          <t>SUSTAINABILITY</t>
        </is>
      </c>
      <c r="M1793" t="inlineStr">
        <is>
          <t>English</t>
        </is>
      </c>
      <c r="N1793" t="inlineStr">
        <is>
          <t>Article</t>
        </is>
      </c>
      <c r="T1793" t="inlineStr">
        <is>
          <t>Environmental Barriers as a Determining Factor of Physical Activity</t>
        </is>
      </c>
      <c r="U1793" t="inlineStr">
        <is>
          <t>environment; physical activity; environmental barriers</t>
        </is>
      </c>
      <c r="V1793" t="inlineStr">
        <is>
          <t>PERCEIVED BARRIERS; BUILT ENVIRONMENT; FACILITATORS; CHILDREN; HEALTH; PARTICIPATION; INEQUALITIES; ADOLESCENTS; PREDICTORS; ATTRIBUTES</t>
        </is>
      </c>
      <c r="W1793" t="inlineStr">
        <is>
          <t>Physical activity (PA) has been shown to be an important variable in achieving a good quality of life. The objective of this study was to determine adolescents' perceptions of environmental barriers to PA based on age, gender, geographic location, body mass index (BMI), PA index, and whether they engage in sports or not. The sample was made up of 849 adolescents aged between 12 and 17 years old. The PA Questionnaire for Adolescents (PAQ-A) and three questions on environmental barriers were used. Among the results, we should point out that adolescents hardly perceive any environmental barriers. There are no differences in the perception of barriers neither in terms of gender nor BMI. As adolescents get older, they consider that there are few recreational spaces, that the distance is not adequate, and that there is no accessibility to them or they do not encourage walking. The adolescents who perceive the greatest barriers are those who live in settlements of 10,000-50,000 inhabitants, especially those more linked to the neighborhood and to the accessibility and availability of spaces. It seems especially important to establish health policies in order to neutralize the barriers related to the accessibility and availability of spaces and the neighborhood-related barriers.</t>
        </is>
      </c>
      <c r="X1793" t="inlineStr">
        <is>
          <t>[Portela-Pino, Iago] Isabel I Univ, Fac Hlth Sci, Dept Hlth Sci, Burgos 09003, Spain; [Alvarinas-Villaverde, Myriam] Univ Vigo, Fac Educ &amp; Sport Sci, Dept Special Didact, Vigo 36310, Spain; [Pino-Juste, Margarita] Univ Vigo, Fac Educ &amp; Sport Sci, Sch Org &amp; Res Methods, Dept Didact, Vigo 36310, Spain</t>
        </is>
      </c>
      <c r="Y1793" t="inlineStr">
        <is>
          <t>Universidade de Vigo; Universidade de Vigo</t>
        </is>
      </c>
      <c r="Z1793" t="inlineStr">
        <is>
          <t>Alvariñas-Villaverde, M (corresponding author), Univ Vigo, Fac Educ &amp; Sport Sci, Dept Special Didact, Vigo 36310, Spain.</t>
        </is>
      </c>
      <c r="AA1793" t="inlineStr">
        <is>
          <t>iagoportt92@gmail.com; myalva@uvigo.es; mpino@uvigo.es</t>
        </is>
      </c>
      <c r="AB1793" t="inlineStr">
        <is>
          <t>Pino, Iago/AAD-8309-2022; Pino-Juste, Margarita/K-9242-2014; Alvariñas-Villaverde, Myriam/L-2323-2014; Portela-Pino, Iago/H-9226-2016</t>
        </is>
      </c>
      <c r="AC1793" t="inlineStr">
        <is>
          <t>Pino-Juste, Margarita/0000-0002-2551-5903; Alvariñas-Villaverde, Myriam/0000-0003-2768-269X; Portela-Pino, Iago/0000-0002-4232-2089</t>
        </is>
      </c>
      <c r="AH1793" t="n">
        <v>47</v>
      </c>
      <c r="AI1793" t="n">
        <v>1</v>
      </c>
      <c r="AJ1793" t="n">
        <v>1</v>
      </c>
      <c r="AK1793" t="n">
        <v>5</v>
      </c>
      <c r="AL1793" t="n">
        <v>12</v>
      </c>
      <c r="AM1793" t="inlineStr">
        <is>
          <t>MDPI</t>
        </is>
      </c>
      <c r="AN1793" t="inlineStr">
        <is>
          <t>BASEL</t>
        </is>
      </c>
      <c r="AO1793" t="inlineStr">
        <is>
          <t>ST ALBAN-ANLAGE 66, CH-4052 BASEL, SWITZERLAND</t>
        </is>
      </c>
      <c r="AQ1793" t="inlineStr">
        <is>
          <t>2071-1050</t>
        </is>
      </c>
      <c r="AS1793" t="inlineStr">
        <is>
          <t>SUSTAINABILITY-BASEL</t>
        </is>
      </c>
      <c r="AT1793" t="inlineStr">
        <is>
          <t>Sustainability</t>
        </is>
      </c>
      <c r="AU1793" t="inlineStr">
        <is>
          <t>MAR</t>
        </is>
      </c>
      <c r="AV1793" t="n">
        <v>2021</v>
      </c>
      <c r="AW1793" t="n">
        <v>13</v>
      </c>
      <c r="AX1793" t="n">
        <v>6</v>
      </c>
      <c r="BE1793" t="n">
        <v>3019</v>
      </c>
      <c r="BF1793" t="inlineStr">
        <is>
          <t>10.3390/su13063019</t>
        </is>
      </c>
      <c r="BG1793">
        <f>HYPERLINK("http://dx.doi.org/10.3390/su13063019","http://dx.doi.org/10.3390/su13063019")</f>
        <v/>
      </c>
      <c r="BJ1793" t="n">
        <v>12</v>
      </c>
      <c r="BK1793" t="inlineStr">
        <is>
          <t>Green &amp; Sustainable Science &amp; Technology; Environmental Sciences; Environmental Studies</t>
        </is>
      </c>
      <c r="BL1793" t="inlineStr">
        <is>
          <t>Science Citation Index Expanded (SCI-EXPANDED); Social Science Citation Index (SSCI)</t>
        </is>
      </c>
      <c r="BM1793" t="inlineStr">
        <is>
          <t>Science &amp; Technology - Other Topics; Environmental Sciences &amp; Ecology</t>
        </is>
      </c>
      <c r="BN1793" t="inlineStr">
        <is>
          <t>RV4BC</t>
        </is>
      </c>
      <c r="BP1793" t="inlineStr">
        <is>
          <t>Green Published, gold</t>
        </is>
      </c>
      <c r="BS1793" t="inlineStr">
        <is>
          <t>2023-10-26</t>
        </is>
      </c>
      <c r="BT1793" t="inlineStr">
        <is>
          <t>WOS:000645779300001</t>
        </is>
      </c>
      <c r="BU1793">
        <f>HYPERLINK("https%3A%2F%2Fwww.webofscience.com%2Fwos%2Fwoscc%2Ffull-record%2FWOS:000645779300001","View Full Record in Web of Science")</f>
        <v/>
      </c>
    </row>
    <row r="1794">
      <c r="A1794" t="inlineStr">
        <is>
          <t>J</t>
        </is>
      </c>
      <c r="B1794" t="inlineStr">
        <is>
          <t>Kang, I; McCreery, A; Azimi, P; Gramigna, A; Baca, G; Abromitis, K; Wang, MY; Zeng, YC; Scheu, R; Crowder, T; Evens, A; Stephens, B</t>
        </is>
      </c>
      <c r="F1794" t="inlineStr">
        <is>
          <t>Kang, Insung; McCreery, Anna; Azimi, Parham; Gramigna, Amanda; Baca, Griselda; Abromitis, Kari; Wang, Mingyu; Zeng, Yicheng; Scheu, Rachel; Crowder, Tim; Evens, Anne; Stephens, Brent</t>
        </is>
      </c>
      <c r="J1794" t="inlineStr">
        <is>
          <t>SCIENCE OF THE TOTAL ENVIRONMENT</t>
        </is>
      </c>
      <c r="M1794" t="inlineStr">
        <is>
          <t>English</t>
        </is>
      </c>
      <c r="N1794" t="inlineStr">
        <is>
          <t>Article</t>
        </is>
      </c>
      <c r="T1794" t="inlineStr">
        <is>
          <t>Indoor air quality impacts of residential mechanical ventilation system retrofits in existing homes in Chicago, IL</t>
        </is>
      </c>
      <c r="U1794" t="inlineStr">
        <is>
          <t>Indoor air quality; Residential mechanical ventilation; Field measurements; Infiltration</t>
        </is>
      </c>
      <c r="V1794" t="inlineStr">
        <is>
          <t>SINGLE-FAMILY RESIDENCES; SHORT-TERM MORTALITY; NEW-YORK-CITY; ULTRAFINE PARTICLES; PARTICULATE MATTER; NITROGEN-DIOXIDE; FINE PARTICLES; RESPIRATORY SYMPTOMS; ENERGY IMPLICATIONS; CLEANING PRODUCTS</t>
        </is>
      </c>
      <c r="W1794" t="inlineStr">
        <is>
          <t>Mechanical ventilation systems are used in residences to introduce ventilation air and dilute indoor-generated pollutants. A variety of ventilation system types can be used in home retrofits, influencing indoor air quality (IAQ) in different ways. Here we describe the Breathe Easy Project, a &gt;2-year longitudinal, pseudo-randomized, crossover study designed to assess IAQ and adult asthma outcomes before and after installing resi-dential mechanical ventilation systems in 40 existing homes in Chicago, IL. Each home received one of three types of ventilation systems: continuous exhaust-only, intermittent powered central-fan-integrated-supply (CFIS), or continuous balanced system with an energy recovery ventilator (ERV). Homes with central heating and/or cooling systems also received MERV 10 filter replacements. Approximately weeklong field measurements were conducted at each home on a quarterly basis throughout the study to monitor environmental conditions, ventilation operation, and indoor and outdoor pollutants, including size-resolved particles (0.3-10 mu m), ozone (O-3), nitrogen dioxide (NO2), carbon dioxide (CO2), carbon monoxide (CO), and indoor formaldehyde (HCHO). Mean reductions in indoor/outdoor (I/O) ratios across all systems after the intervention were approximately 12% (p = 0.001), 10% (p = 0.008), 42% (p &lt; 0.001), 39% (p = 0.002), and 33% (p = 0.007), for CO2, NO2, and estimated PM1, PM2.5, and PM10, respectively. There was a reduction in I/O ratios for all measured constituents with each type of system, on average, but with varying magnitude and levels of statistical significance. The magnitudes of mean differences in I/O pollutant concentrations ratios were generally largest for most pollutants in the homes that received continuous balanced with ERV and smallest in the homes that received in-termittent CFIS systems, with apparent benefits to providing ventilation continuously rather than intermittently. All ventilation system types maintained similar indoor temperatures during pre-and post-intervention periods. (C) 2021 Elsevier B.V. All rights reserved.</t>
        </is>
      </c>
      <c r="X1794" t="inlineStr">
        <is>
          <t>[Kang, Insung; Wang, Mingyu; Zeng, Yicheng; Stephens, Brent] Illinois Inst Technol, Dept Civil Architectural &amp; Environm Engn, Chicago, IL USA; [McCreery, Anna; Gramigna, Amanda; Baca, Griselda; Scheu, Rachel; Crowder, Tim; Evens, Anne] Elevate, Chicago, IL USA; [Azimi, Parham] Harvard TH Chan Sch Publ Hlth, Dept Environm Hlth, Boston, MA USA</t>
        </is>
      </c>
      <c r="Y1794" t="inlineStr">
        <is>
          <t>Illinois Institute of Technology; Harvard University; Harvard T.H. Chan School of Public Health</t>
        </is>
      </c>
      <c r="Z1794" t="inlineStr">
        <is>
          <t>Stephens, B (corresponding author), Illinois Inst Technol, Dept Civil Architectural &amp; Environm Engn, Chicago, IL USA.</t>
        </is>
      </c>
      <c r="AA1794" t="inlineStr">
        <is>
          <t>brent@iit.edu</t>
        </is>
      </c>
      <c r="AB1794" t="inlineStr">
        <is>
          <t>McCreery, Anna C/B-4910-2015</t>
        </is>
      </c>
      <c r="AC1794" t="inlineStr">
        <is>
          <t>McCreery, Anna C/0000-0002-8477-2635; Kang, Insung/0000-0002-1475-8950</t>
        </is>
      </c>
      <c r="AD1794" t="inlineStr">
        <is>
          <t>U.S. Department of Housing and Urban Development (HUD) [ILHHU0031-16]; ComEd through their Energy Efficiency Program's Emerging Technologies initiative [P-0136]</t>
        </is>
      </c>
      <c r="AE1794" t="inlineStr">
        <is>
          <t>U.S. Department of Housing and Urban Development (HUD); ComEd through their Energy Efficiency Program's Emerging Technologies initiative</t>
        </is>
      </c>
      <c r="AF1794" t="inlineStr">
        <is>
          <t>This studywas funded by the U.S. Department of Housing and Urban Development (HUD) (Grant No. ILHHU0031-16). Additional funding was provided by ComEd through their Energy Efficiency Program's Emerging Technologies initiative (Project No. P-0136). The authors thank our colleagues at the Built Environment Research Group at Illinois Institute of Technology, including Mohammad Heidarinejad and Jongki Lee for their assistance on ventilation system assignments, calibrations, and field measurements, and team members at Elevate Energy of their contributions, especially the program support staff who coordinated visits and installations and the research team who helped conceive of the project, including Margaret Garascia, Deborah Philbrick, and Marjorie Isaacson. Heewoo Seo and Zahra Keshavarz also assisted with the field measurements and assembling the monitoring boxes. We are also deeply appreciative of the contractors (Nick and Eddie Construction) who completed the ventilation system installations. The study team would like to thank the Chicago Bungalow Association for invaluable assistance with participant recruitment, as well as Broan-NuTone LLC, Panasonic Eco Solutions North America, RenewAire, Aprilaire, and TexAir Filters for in-kind donations of mechanical ventilation system equipment and air filters for use in the study. We are especially grateful for our study participants, who completed dozens of surveys, invited us into their homes for air quality monitoring, and allowed us to install ventilation systems in their homes. This researchwould not have been possible without their support.</t>
        </is>
      </c>
      <c r="AH1794" t="n">
        <v>114</v>
      </c>
      <c r="AI1794" t="n">
        <v>17</v>
      </c>
      <c r="AJ1794" t="n">
        <v>18</v>
      </c>
      <c r="AK1794" t="n">
        <v>4</v>
      </c>
      <c r="AL1794" t="n">
        <v>32</v>
      </c>
      <c r="AM1794" t="inlineStr">
        <is>
          <t>ELSEVIER</t>
        </is>
      </c>
      <c r="AN1794" t="inlineStr">
        <is>
          <t>AMSTERDAM</t>
        </is>
      </c>
      <c r="AO1794" t="inlineStr">
        <is>
          <t>RADARWEG 29, 1043 NX AMSTERDAM, NETHERLANDS</t>
        </is>
      </c>
      <c r="AP1794" t="inlineStr">
        <is>
          <t>0048-9697</t>
        </is>
      </c>
      <c r="AQ1794" t="inlineStr">
        <is>
          <t>1879-1026</t>
        </is>
      </c>
      <c r="AS1794" t="inlineStr">
        <is>
          <t>SCI TOTAL ENVIRON</t>
        </is>
      </c>
      <c r="AT1794" t="inlineStr">
        <is>
          <t>Sci. Total Environ.</t>
        </is>
      </c>
      <c r="AU1794" t="inlineStr">
        <is>
          <t>JAN 15</t>
        </is>
      </c>
      <c r="AV1794" t="n">
        <v>2022</v>
      </c>
      <c r="AW1794" t="n">
        <v>804</v>
      </c>
      <c r="BE1794" t="n">
        <v>150129</v>
      </c>
      <c r="BF1794" t="inlineStr">
        <is>
          <t>10.1016/j.scitotenv.2021.150129</t>
        </is>
      </c>
      <c r="BG1794">
        <f>HYPERLINK("http://dx.doi.org/10.1016/j.scitotenv.2021.150129","http://dx.doi.org/10.1016/j.scitotenv.2021.150129")</f>
        <v/>
      </c>
      <c r="BI1794" t="inlineStr">
        <is>
          <t>SEP 2021</t>
        </is>
      </c>
      <c r="BJ1794" t="n">
        <v>17</v>
      </c>
      <c r="BK1794" t="inlineStr">
        <is>
          <t>Environmental Sciences</t>
        </is>
      </c>
      <c r="BL1794" t="inlineStr">
        <is>
          <t>Science Citation Index Expanded (SCI-EXPANDED)</t>
        </is>
      </c>
      <c r="BM1794" t="inlineStr">
        <is>
          <t>Environmental Sciences &amp; Ecology</t>
        </is>
      </c>
      <c r="BN1794" t="inlineStr">
        <is>
          <t>WC6SU</t>
        </is>
      </c>
      <c r="BO1794" t="n">
        <v>34798726</v>
      </c>
      <c r="BS1794" t="inlineStr">
        <is>
          <t>2023-10-26</t>
        </is>
      </c>
      <c r="BT1794" t="inlineStr">
        <is>
          <t>WOS:000704386700014</t>
        </is>
      </c>
      <c r="BU1794">
        <f>HYPERLINK("https%3A%2F%2Fwww.webofscience.com%2Fwos%2Fwoscc%2Ffull-record%2FWOS:000704386700014","View Full Record in Web of Science")</f>
        <v/>
      </c>
    </row>
    <row r="1795">
      <c r="A1795" t="inlineStr">
        <is>
          <t>J</t>
        </is>
      </c>
      <c r="B1795" t="inlineStr">
        <is>
          <t>Doiron, D; Setton, EM; Shairsingh, K; Brauer, M; Hystad, P; Ross, NA; Brook, JR</t>
        </is>
      </c>
      <c r="F1795" t="inlineStr">
        <is>
          <t>Doiron, Dany; Setton, Eleanor M.; Shairsingh, Kerolyn; Brauer, Michael; Hystad, Perry; Ross, Nancy A.; Brook, Jeffrey R.</t>
        </is>
      </c>
      <c r="J1795" t="inlineStr">
        <is>
          <t>ENVIRONMENT INTERNATIONAL</t>
        </is>
      </c>
      <c r="M1795" t="inlineStr">
        <is>
          <t>English</t>
        </is>
      </c>
      <c r="N1795" t="inlineStr">
        <is>
          <t>Article</t>
        </is>
      </c>
      <c r="T1795" t="inlineStr">
        <is>
          <t>Healthy built environment: Spatial patterns and relationships of multiple exposures and deprivation in Toronto, Montreal and Vancouver</t>
        </is>
      </c>
      <c r="U1795" t="inlineStr">
        <is>
          <t>Walkability; Deprivation; Built environment; Greenness; Urban environmental health; Air quality</t>
        </is>
      </c>
      <c r="V1795" t="inlineStr">
        <is>
          <t>AIR-POLLUTION EXPOSURE; NITROGEN-DIOXIDE; GREENNESS; MORTALITY; ASSOCIATIONS; VARIABILITY; POVERTY; MODELS; INDEX; RISK</t>
        </is>
      </c>
      <c r="W1795" t="inlineStr">
        <is>
          <t>Background: Various aspects of the urban environment and neighbourhood socio-economic status interact with each other to affect health. Few studies to date have quantitatively assessed intersections of multiple urban environmental factors and their distribution across levels of deprivation. Objectives: To explore the spatial patterns of urban environmental exposures within three large Canadian cities, assess how exposures are distributed across socio-economic deprivation gradients, and identify clusters of favourable or unfavourable environmental characteristics. Methods: We indexed nationally standardized estimates of active living friendliness (i.e. walkability), NO2 air pollution, and greenness to 6-digit postal codes within the cities of Toronto, Montreal and Vancouver. We compared the distribution of within-city exposure tertiles across quintiles of material deprivation. Tertiles of each exposure were then overlaid with each other in order to identify potentially favorable (high walkability, low NO2, high greenness) and unfavorable (low walkability, high NO2, and low greenness) environments. Results: In all three cities, high walkability was more common in least deprived areas and less prevalent in highly deprived areas. We also generally saw a greater prevalence of postal codes with high vegetation indices and low NO2 in areas with low deprivation, and a lower greenness prevalence and higher NO2 concentrations in highly deprived areas, suggesting environmental inequity is occurring. Our study showed that relatively few postal codes were simultaneously characterized by desirable or undesirable walkability, NO2 and greenness tertiles. Discussion: Spatial analyses of multiple standardized urban environmental factors such as the ones presented in this manuscript can help refine municipal investments and policy priorities. This study illustrates a methodology to prioritize areas for interventions that increase active living and exposure to urban vegetation, as well as lower air pollution. Our results also highlight the importance of considering the intersections between the built environment and socio-economic status in city planning and urban public health decision-making.</t>
        </is>
      </c>
      <c r="X1795" t="inlineStr">
        <is>
          <t>[Doiron, Dany] McGill Univ, Res Inst, Resp Epidemiol &amp; Clin Res Unit, Hlth Ctr, Montreal, PQ, Canada; [Setton, Eleanor M.] Univ Victoria, Geog Dept, Victoria, BC, Canada; [Shairsingh, Kerolyn; Brook, Jeffrey R.] Univ Toronto, Dept Chem Engn &amp; Appl Chem, Southern Ontario Ctr Atmospher Aerosol Res, Toronto, ON, Canada; [Brauer, Michael] Univ British Columbia, Sch Populat &amp; Publ Hlth, Vancouver, BC, Canada; [Hystad, Perry] Oregon State Univ, Coll Publ Hlth &amp; Human Sci, Corvallis, OR 97331 USA; [Ross, Nancy A.] McGill Univ, Dept Geog, Montreal, PQ, Canada; [Brook, Jeffrey R.] Univ Toronto, Dalla Lana Sch Publ Hlth, Toronto, ON, Canada</t>
        </is>
      </c>
      <c r="Y1795" t="inlineStr">
        <is>
          <t>McGill University; University of Victoria; University of Toronto; University of British Columbia; Oregon State University; McGill University; University of Toronto</t>
        </is>
      </c>
      <c r="Z1795" t="inlineStr">
        <is>
          <t>Doiron, D (corresponding author), McGill Univ, Res Inst, Hlth Ctr, 5252 de Maisonneuve Ouest,Suite 3D-10, Montreal, PQ H4A 3S5, Canada.</t>
        </is>
      </c>
      <c r="AA1795" t="inlineStr">
        <is>
          <t>dany.doiron@mail.mcgill.ca</t>
        </is>
      </c>
      <c r="AB1795" t="inlineStr">
        <is>
          <t>Brauer, Michael/Y-2810-2019</t>
        </is>
      </c>
      <c r="AC1795" t="inlineStr">
        <is>
          <t>Brauer, Michael/0000-0002-9103-9343; Shairsingh, Kerolyn/0000-0002-9529-3322</t>
        </is>
      </c>
      <c r="AD1795" t="inlineStr">
        <is>
          <t>Canadian Institutes of Health Research (CIHR)</t>
        </is>
      </c>
      <c r="AE1795" t="inlineStr">
        <is>
          <t>Canadian Institutes of Health Research (CIHR)(Canadian Institutes of Health Research (CIHR))</t>
        </is>
      </c>
      <c r="AF1795" t="inlineStr">
        <is>
          <t>This work was supported by funding from the Canadian Institutes of Health Research (CIHR).</t>
        </is>
      </c>
      <c r="AH1795" t="n">
        <v>61</v>
      </c>
      <c r="AI1795" t="n">
        <v>22</v>
      </c>
      <c r="AJ1795" t="n">
        <v>22</v>
      </c>
      <c r="AK1795" t="n">
        <v>1</v>
      </c>
      <c r="AL1795" t="n">
        <v>16</v>
      </c>
      <c r="AM1795" t="inlineStr">
        <is>
          <t>PERGAMON-ELSEVIER SCIENCE LTD</t>
        </is>
      </c>
      <c r="AN1795" t="inlineStr">
        <is>
          <t>OXFORD</t>
        </is>
      </c>
      <c r="AO1795" t="inlineStr">
        <is>
          <t>THE BOULEVARD, LANGFORD LANE, KIDLINGTON, OXFORD OX5 1GB, ENGLAND</t>
        </is>
      </c>
      <c r="AP1795" t="inlineStr">
        <is>
          <t>0160-4120</t>
        </is>
      </c>
      <c r="AQ1795" t="inlineStr">
        <is>
          <t>1873-6750</t>
        </is>
      </c>
      <c r="AS1795" t="inlineStr">
        <is>
          <t>ENVIRON INT</t>
        </is>
      </c>
      <c r="AT1795" t="inlineStr">
        <is>
          <t>Environ. Int.</t>
        </is>
      </c>
      <c r="AU1795" t="inlineStr">
        <is>
          <t>OCT</t>
        </is>
      </c>
      <c r="AV1795" t="n">
        <v>2020</v>
      </c>
      <c r="AW1795" t="n">
        <v>143</v>
      </c>
      <c r="BE1795" t="n">
        <v>106003</v>
      </c>
      <c r="BF1795" t="inlineStr">
        <is>
          <t>10.1016/j.envint.2020.106003</t>
        </is>
      </c>
      <c r="BG1795">
        <f>HYPERLINK("http://dx.doi.org/10.1016/j.envint.2020.106003","http://dx.doi.org/10.1016/j.envint.2020.106003")</f>
        <v/>
      </c>
      <c r="BJ1795" t="n">
        <v>11</v>
      </c>
      <c r="BK1795" t="inlineStr">
        <is>
          <t>Environmental Sciences</t>
        </is>
      </c>
      <c r="BL1795" t="inlineStr">
        <is>
          <t>Science Citation Index Expanded (SCI-EXPANDED); Social Science Citation Index (SSCI)</t>
        </is>
      </c>
      <c r="BM1795" t="inlineStr">
        <is>
          <t>Environmental Sciences &amp; Ecology</t>
        </is>
      </c>
      <c r="BN1795" t="inlineStr">
        <is>
          <t>PY7EO</t>
        </is>
      </c>
      <c r="BO1795" t="n">
        <v>32763633</v>
      </c>
      <c r="BP1795" t="inlineStr">
        <is>
          <t>Green Published, gold</t>
        </is>
      </c>
      <c r="BS1795" t="inlineStr">
        <is>
          <t>2023-10-26</t>
        </is>
      </c>
      <c r="BT1795" t="inlineStr">
        <is>
          <t>WOS:000612205000019</t>
        </is>
      </c>
      <c r="BU1795">
        <f>HYPERLINK("https%3A%2F%2Fwww.webofscience.com%2Fwos%2Fwoscc%2Ffull-record%2FWOS:000612205000019","View Full Record in Web of Science")</f>
        <v/>
      </c>
    </row>
    <row r="1796">
      <c r="A1796" t="inlineStr">
        <is>
          <t>J</t>
        </is>
      </c>
      <c r="B1796" t="inlineStr">
        <is>
          <t>Chen, CA; Lai, MC; Huang, H; Wu, CE</t>
        </is>
      </c>
      <c r="F1796" t="inlineStr">
        <is>
          <t>Chen, Chun-An; Lai, Ming-Chi; Huang, Hsuan; Wu, Cheng-En</t>
        </is>
      </c>
      <c r="J1796" t="inlineStr">
        <is>
          <t>INTERNATIONAL JOURNAL OF ENVIRONMENTAL RESEARCH AND PUBLIC HEALTH</t>
        </is>
      </c>
      <c r="M1796" t="inlineStr">
        <is>
          <t>English</t>
        </is>
      </c>
      <c r="N1796" t="inlineStr">
        <is>
          <t>Article</t>
        </is>
      </c>
      <c r="T1796" t="inlineStr">
        <is>
          <t>Interventions for Body Composition and Upper and Lower Extremity Muscle Strength in Older Adults in Rural Taiwan: A Horizontal Case Study</t>
        </is>
      </c>
      <c r="U1796" t="inlineStr">
        <is>
          <t>rural; older adults; body composition; physical activity program; high-protein supplementation</t>
        </is>
      </c>
      <c r="V1796" t="inlineStr">
        <is>
          <t>DIETARY-PROTEIN INTAKE; PHYSICAL-ACTIVITY; SKELETAL-MUSCLE; WEIGHT-LOSS; LEAN MASS; SUPPLEMENTATION; EXERCISE; FRAILTY; OBESITY; SARCOPENIA</t>
        </is>
      </c>
      <c r="W1796" t="inlineStr">
        <is>
          <t>The purpose of this study was to understand the effects of a physical activity program and high-protein supplementation on body composition and upper and lower extremity muscle strength in male older adults in rural areas. In this study, 60 healthy male older adults (mean age 77.5 +/- 4.6 years) from rural areas were recruited and randomly assigned to experimental group A (intervention of the physical activity program and high-protein supplementation), experimental group B (daily routine, with only intervention of high-protein supplementation), or control group C (daily routine). Experimental group A (EGa) carried out a physical activity plan three times a week, with an exercise intensity and calorie consumption of 250 kcal (5METs x 2/3hr x 75) for 3 months and drank a high-protein supplement (1.3 g/kg BW/day) after each exercise; experimental group B (EGb) followed only the intervention of high-protein supplementation. All the participants underwent preand post-tests for body composition, waist-hip circumference (WC, HC), handgrip strength (HS), 30 s dominant arm curl, 30 s sit to stand, and 2 min step tests. The results of the study showed that EGa significantly decreased body mass index (BMI), body fat mass (BFM), body fat percentage (BFP), WC, HC, and waist-to-hip ratio (WHR) and increased basal metabolic rate and muscle mass. Although both EGa and EGb used high-protein supplementation, EGa's added three-month intervention of a physical activity program made it easier for that group to increase muscle mass and muscle strength. The WHR decreased from 1.015 to 0.931, representing a decrease of 8.28%, and an obvious weight loss effect was achieved. Thus, we concluded that the best way to maintain muscle strength in older adults is through physical activity with resistance and protein supplementation, which can reduce muscle loss in older adults.</t>
        </is>
      </c>
      <c r="X1796" t="inlineStr">
        <is>
          <t>[Chen, Chun-An; Lai, Ming-Chi; Wu, Cheng-En] Chung Hua Univ, PhD Program Technol Management, Hsinchu 30012, Taiwan; [Huang, Hsuan] Natl Cheng Kung Univ, Dept Occupat Therapy, Tainan 701401, Taiwan</t>
        </is>
      </c>
      <c r="Y1796" t="inlineStr">
        <is>
          <t>Chung Hua University; National Cheng Kung University</t>
        </is>
      </c>
      <c r="Z1796" t="inlineStr">
        <is>
          <t>Lai, MC (corresponding author), Chung Hua Univ, PhD Program Technol Management, Hsinchu 30012, Taiwan.</t>
        </is>
      </c>
      <c r="AA1796" t="inlineStr">
        <is>
          <t>cachen@chu.edu.tw; d10903005@chu.edu.tw; i74060011@ncku.edu.tw; d10903006@chu.edu.tw</t>
        </is>
      </c>
      <c r="AB1796" t="inlineStr">
        <is>
          <t>WU, CHENG-EN/HLQ-4670-2023; Chen, Chun-An/AAR-5054-2021</t>
        </is>
      </c>
      <c r="AC1796" t="inlineStr">
        <is>
          <t>WU, CHENG-EN/0000-0002-3732-0759; huang, xuan/0000-0003-2617-8299</t>
        </is>
      </c>
      <c r="AH1796" t="n">
        <v>64</v>
      </c>
      <c r="AI1796" t="n">
        <v>1</v>
      </c>
      <c r="AJ1796" t="n">
        <v>1</v>
      </c>
      <c r="AK1796" t="n">
        <v>0</v>
      </c>
      <c r="AL1796" t="n">
        <v>2</v>
      </c>
      <c r="AM1796" t="inlineStr">
        <is>
          <t>MDPI</t>
        </is>
      </c>
      <c r="AN1796" t="inlineStr">
        <is>
          <t>BASEL</t>
        </is>
      </c>
      <c r="AO1796" t="inlineStr">
        <is>
          <t>ST ALBAN-ANLAGE 66, CH-4052 BASEL, SWITZERLAND</t>
        </is>
      </c>
      <c r="AQ1796" t="inlineStr">
        <is>
          <t>1660-4601</t>
        </is>
      </c>
      <c r="AS1796" t="inlineStr">
        <is>
          <t>INT J ENV RES PUB HE</t>
        </is>
      </c>
      <c r="AT1796" t="inlineStr">
        <is>
          <t>Int. J. Environ. Res. Public Health</t>
        </is>
      </c>
      <c r="AU1796" t="inlineStr">
        <is>
          <t>JUL</t>
        </is>
      </c>
      <c r="AV1796" t="n">
        <v>2022</v>
      </c>
      <c r="AW1796" t="n">
        <v>19</v>
      </c>
      <c r="AX1796" t="n">
        <v>13</v>
      </c>
      <c r="BE1796" t="n">
        <v>7869</v>
      </c>
      <c r="BF1796" t="inlineStr">
        <is>
          <t>10.3390/ijerph19137869</t>
        </is>
      </c>
      <c r="BG1796">
        <f>HYPERLINK("http://dx.doi.org/10.3390/ijerph19137869","http://dx.doi.org/10.3390/ijerph19137869")</f>
        <v/>
      </c>
      <c r="BJ1796" t="n">
        <v>14</v>
      </c>
      <c r="BK1796" t="inlineStr">
        <is>
          <t>Environmental Sciences; Public, Environmental &amp; Occupational Health</t>
        </is>
      </c>
      <c r="BL1796" t="inlineStr">
        <is>
          <t>Science Citation Index Expanded (SCI-EXPANDED); Social Science Citation Index (SSCI)</t>
        </is>
      </c>
      <c r="BM1796" t="inlineStr">
        <is>
          <t>Environmental Sciences &amp; Ecology; Public, Environmental &amp; Occupational Health</t>
        </is>
      </c>
      <c r="BN1796" t="inlineStr">
        <is>
          <t>2S9TM</t>
        </is>
      </c>
      <c r="BO1796" t="n">
        <v>35805529</v>
      </c>
      <c r="BP1796" t="inlineStr">
        <is>
          <t>Green Published, gold</t>
        </is>
      </c>
      <c r="BS1796" t="inlineStr">
        <is>
          <t>2023-10-26</t>
        </is>
      </c>
      <c r="BT1796" t="inlineStr">
        <is>
          <t>WOS:000822127700001</t>
        </is>
      </c>
      <c r="BU1796">
        <f>HYPERLINK("https%3A%2F%2Fwww.webofscience.com%2Fwos%2Fwoscc%2Ffull-record%2FWOS:000822127700001","View Full Record in Web of Science")</f>
        <v/>
      </c>
    </row>
    <row r="1797">
      <c r="A1797" t="inlineStr">
        <is>
          <t>J</t>
        </is>
      </c>
      <c r="B1797" t="inlineStr">
        <is>
          <t>Ma, J; Li, CJ; Kwan, MP; Chai, YW</t>
        </is>
      </c>
      <c r="F1797" t="inlineStr">
        <is>
          <t>Ma, Jing; Li, Chunjiang; Kwan, Mei-Po; Chai, Yanwei</t>
        </is>
      </c>
      <c r="J1797" t="inlineStr">
        <is>
          <t>INTERNATIONAL JOURNAL OF ENVIRONMENTAL RESEARCH AND PUBLIC HEALTH</t>
        </is>
      </c>
      <c r="M1797" t="inlineStr">
        <is>
          <t>English</t>
        </is>
      </c>
      <c r="N1797" t="inlineStr">
        <is>
          <t>Article</t>
        </is>
      </c>
      <c r="T1797" t="inlineStr">
        <is>
          <t>A Multilevel Analysis of Perceived Noise Pollution, Geographic Contexts and Mental Health in Beijing</t>
        </is>
      </c>
      <c r="U1797" t="inlineStr">
        <is>
          <t>noise pollution; mental disorders; built environment; multilevel model; China</t>
        </is>
      </c>
      <c r="V1797" t="inlineStr">
        <is>
          <t>ROAD-TRAFFIC NOISE; QUALITY-OF-LIFE; URBAN BUILT ENVIRONMENT; RISK-FACTORS; AIRCRAFT NOISE; ANNOYANCE; EXPOSURE; ASSOCIATIONS; POPULATION; INEQUALITY</t>
        </is>
      </c>
      <c r="W1797" t="inlineStr">
        <is>
          <t>With rapid urbanization and increase in car ownership, ambient noise pollution resulting from diversified sources (e.g., road traffic, railway, commercial services) has become a severe environmental problem in the populated areas in China. However, research on the spatial variation of noise pollution and its potential effects on urban residents' mental health has to date been quite scarce in developing countries like China. Using a health survey conducted in Beijing in 2017, we for the first time investigated the spatial distributions of multiple noise pollution perceived by residents in Beijing, including road traffic noise, railway (or subway) noise, commercial noise, and housing renovation (or construction) noise. Our results indicate that there is geographic variability in noise pollution at the neighborhood scale, and road traffic and housing renovation/construction are the principal sources of noise pollution in Beijing. We then employed Bayesian multilevel logistic models to examine the associations between diversified noise pollution and urban residents' mental health symptoms, including anxiety, stress, fatigue, headache, and sleep disturbance, while controlling for a wide range of confounding factors such as socio-demographics, objective built environment characteristics, social environment and geographic context. The results show that perceived higher noise-pollution exposure is significantly associated with worse mental health, while physical environment variables seem to contribute little to variations in self-reported mental disorders, except for proximity to the main road. Social factors or socio-demographic attributes, such as age and income, are significant covariates of urban residents' mental health, while the social environment (i.e., community attachment) and housing satisfaction are significantly correlated with anxiety and stress. This study provides empirical evidence on the noise-health relationships in the Chinese context and sheds light on the policy implications for environmental pollution mitigation and healthy city development in China.</t>
        </is>
      </c>
      <c r="X1797" t="inlineStr">
        <is>
          <t>[Ma, Jing] Beijing Normal Univ, Fac Geog Sci, Beijing Key Lab Remote Sensing Environm &amp; Digital, Beijing 100875, Peoples R China; [Li, Chunjiang; Chai, Yanwei] Peking Univ, Coll Urban &amp; Environm Sci, Beijing 100871, Peoples R China; [Kwan, Mei-Po] Univ Illinois, Dept Geog &amp; Geog Informat Sci, Nat Hist Bldg,MC 150,1301 W Green St, Urbana, IL 61801 USA; [Kwan, Mei-Po] Univ Utrecht, Fac Geosci, Dept Human Geog &amp; Spatial Planning, POB 80125, NL-3508 TC Utrecht, Netherlands</t>
        </is>
      </c>
      <c r="Y1797" t="inlineStr">
        <is>
          <t>Beijing Normal University; Peking University; University of Illinois System; University of Illinois Urbana-Champaign; Utrecht University</t>
        </is>
      </c>
      <c r="Z1797" t="inlineStr">
        <is>
          <t>Chai, YW (corresponding author), Peking Univ, Coll Urban &amp; Environm Sci, Beijing 100871, Peoples R China.</t>
        </is>
      </c>
      <c r="AA1797" t="inlineStr">
        <is>
          <t>jing.ma@bnu.edu.cn; lcjiang@pku.edu.cn; mpk654@gmail.com; chyw@pku.edu.cn</t>
        </is>
      </c>
      <c r="AB1797" t="inlineStr">
        <is>
          <t>Kwan, Mei-Po/S-4162-2016</t>
        </is>
      </c>
      <c r="AC1797" t="inlineStr">
        <is>
          <t>Kwan, Mei-Po/0000-0001-8602-9258; Chai, Yanwei/0000-0003-2513-3769; Li, Chunjiang/0000-0002-9852-7067</t>
        </is>
      </c>
      <c r="AD1797" t="inlineStr">
        <is>
          <t>National Natural Science Foundation of China [41601148, 41529101, 41571153]; John Simon Guggenheim Memorial Foundation Fellowship</t>
        </is>
      </c>
      <c r="AE1797" t="inlineStr">
        <is>
          <t>National Natural Science Foundation of China(National Natural Science Foundation of China (NSFC)); John Simon Guggenheim Memorial Foundation Fellowship</t>
        </is>
      </c>
      <c r="AF1797" t="inlineStr">
        <is>
          <t>This work was funded by the National Natural Science Foundation of China (Grants No. 41601148, 41529101 and 41571153). In addition, Mei-Po Kwan was supported by a John Simon Guggenheim Memorial Foundation Fellowship.</t>
        </is>
      </c>
      <c r="AH1797" t="n">
        <v>77</v>
      </c>
      <c r="AI1797" t="n">
        <v>60</v>
      </c>
      <c r="AJ1797" t="n">
        <v>64</v>
      </c>
      <c r="AK1797" t="n">
        <v>9</v>
      </c>
      <c r="AL1797" t="n">
        <v>114</v>
      </c>
      <c r="AM1797" t="inlineStr">
        <is>
          <t>MDPI</t>
        </is>
      </c>
      <c r="AN1797" t="inlineStr">
        <is>
          <t>BASEL</t>
        </is>
      </c>
      <c r="AO1797" t="inlineStr">
        <is>
          <t>ST ALBAN-ANLAGE 66, CH-4052 BASEL, SWITZERLAND</t>
        </is>
      </c>
      <c r="AQ1797" t="inlineStr">
        <is>
          <t>1660-4601</t>
        </is>
      </c>
      <c r="AS1797" t="inlineStr">
        <is>
          <t>INT J ENV RES PUB HE</t>
        </is>
      </c>
      <c r="AT1797" t="inlineStr">
        <is>
          <t>Int. J. Environ. Res. Public Health</t>
        </is>
      </c>
      <c r="AU1797" t="inlineStr">
        <is>
          <t>JUL</t>
        </is>
      </c>
      <c r="AV1797" t="n">
        <v>2018</v>
      </c>
      <c r="AW1797" t="n">
        <v>15</v>
      </c>
      <c r="AX1797" t="n">
        <v>7</v>
      </c>
      <c r="BE1797" t="n">
        <v>1479</v>
      </c>
      <c r="BF1797" t="inlineStr">
        <is>
          <t>10.3390/ijerph15071479</t>
        </is>
      </c>
      <c r="BG1797">
        <f>HYPERLINK("http://dx.doi.org/10.3390/ijerph15071479","http://dx.doi.org/10.3390/ijerph15071479")</f>
        <v/>
      </c>
      <c r="BJ1797" t="n">
        <v>18</v>
      </c>
      <c r="BK1797" t="inlineStr">
        <is>
          <t>Environmental Sciences; Public, Environmental &amp; Occupational Health</t>
        </is>
      </c>
      <c r="BL1797" t="inlineStr">
        <is>
          <t>Science Citation Index Expanded (SCI-EXPANDED); Social Science Citation Index (SSCI)</t>
        </is>
      </c>
      <c r="BM1797" t="inlineStr">
        <is>
          <t>Environmental Sciences &amp; Ecology; Public, Environmental &amp; Occupational Health</t>
        </is>
      </c>
      <c r="BN1797" t="inlineStr">
        <is>
          <t>GU7XC</t>
        </is>
      </c>
      <c r="BO1797" t="n">
        <v>30011780</v>
      </c>
      <c r="BP1797" t="inlineStr">
        <is>
          <t>Green Published, Green Submitted, gold</t>
        </is>
      </c>
      <c r="BS1797" t="inlineStr">
        <is>
          <t>2023-10-26</t>
        </is>
      </c>
      <c r="BT1797" t="inlineStr">
        <is>
          <t>WOS:000445543500186</t>
        </is>
      </c>
      <c r="BU1797">
        <f>HYPERLINK("https%3A%2F%2Fwww.webofscience.com%2Fwos%2Fwoscc%2Ffull-record%2FWOS:000445543500186","View Full Record in Web of Science")</f>
        <v/>
      </c>
    </row>
    <row r="1798">
      <c r="A1798" t="inlineStr">
        <is>
          <t>J</t>
        </is>
      </c>
      <c r="B1798" t="inlineStr">
        <is>
          <t>Chang, CH; Chuang, ML; Tan, JC; Hsieh, CC; Chou, CC</t>
        </is>
      </c>
      <c r="F1798" t="inlineStr">
        <is>
          <t>Chang, Chih-Hsiung; Chuang, Mei-Ling; Tan, Jia-Cheng; Hsieh, Chuen-Chyi; Chou, Chien-Cheng</t>
        </is>
      </c>
      <c r="J1798" t="inlineStr">
        <is>
          <t>SUSTAINABILITY</t>
        </is>
      </c>
      <c r="M1798" t="inlineStr">
        <is>
          <t>English</t>
        </is>
      </c>
      <c r="N1798" t="inlineStr">
        <is>
          <t>Article</t>
        </is>
      </c>
      <c r="T1798" t="inlineStr">
        <is>
          <t>Indoor Safety Monitoring for Falls or Restricted Areas Using Wi-Fi Channel State Information and Deep Learning Methods in Mega Building Construction Projects</t>
        </is>
      </c>
      <c r="U1798" t="inlineStr">
        <is>
          <t>channel state information (CSI); deep learning; fall accident; construction safety</t>
        </is>
      </c>
      <c r="V1798" t="inlineStr">
        <is>
          <t>IDENTIFICATION; VISUALIZATION; RECOGNITION; ONTOLOGY; DESIGN</t>
        </is>
      </c>
      <c r="W1798" t="inlineStr">
        <is>
          <t>With the trend of sustainable development growing worldwide, both the numbers of new mega building construction projects and renovations to existing high-rise buildings are increasing. At such construction sites, most construction workers can be described as performing various activities in indoor spaces. The literature shows that the indoor safety protection measures in such construction sites are often imperfect, resulting in an endless stream of incidents such as falls. Thus, this research aims at developing a flexible indoor safety warning system, based on Wi-Fi-generated channel state information (CSI), for monitoring the construction workers approaching restricted areas or floor openings. In the proposed approach, construction workers do not have to carry any sensors, and each indoor space only needs to have the specified Wi-Fi devices installed. Since deep learning methods are employed to analyze the CSI data collected, the total deployment time, including setting up the Wi-Fi devices and performing data collection and training work, has been measured. Efficiency and effectiveness of the developed system, along with further developments, have been evaluated and discussed by 12 construction safety experts. It is expected that the proposed approach can be enhanced to accommodate other types of safety hazards and be implemented in all mega building construction projects so that the construction workers can have safer working environments.</t>
        </is>
      </c>
      <c r="X1798" t="inlineStr">
        <is>
          <t>[Chang, Chih-Hsiung; Chuang, Mei-Ling; Tan, Jia-Cheng; Hsieh, Chuen-Chyi; Chou, Chien-Cheng] Natl Cent Univ, Dept Civil Engn, Informat Technol Disaster Prevent IT Program, Taoyuan 32001, Taiwan; [Chuang, Mei-Ling] Taoyuan Metro Corp, Taoyuan 33743, Taiwan</t>
        </is>
      </c>
      <c r="Y1798" t="inlineStr">
        <is>
          <t>National Central University</t>
        </is>
      </c>
      <c r="Z1798" t="inlineStr">
        <is>
          <t>Chou, CC (corresponding author), Natl Cent Univ, Dept Civil Engn, Informat Technol Disaster Prevent IT Program, Taoyuan 32001, Taiwan.</t>
        </is>
      </c>
      <c r="AA1798" t="inlineStr">
        <is>
          <t>ccchou@ncu.edu.tw</t>
        </is>
      </c>
      <c r="AC1798" t="inlineStr">
        <is>
          <t>Chou, Chien-Cheng/0000-0002-8569-4536</t>
        </is>
      </c>
      <c r="AD1798" t="inlineStr">
        <is>
          <t>National Science and Technology Council of Taiwan [MOST 111-2221-E-008-024-MY3, MOST 108-2623-E-008-005-D]; Architecture and Building Research Institute, Ministry of the Interior of Taiwan [11115B0001]; Institute for Information Industry, Bureau of Energy-Ministry of Economic Affairs of Taiwan; Environmental Protection Department-New Taipei City Government of Taiwan [111-E0208, PP22050042]</t>
        </is>
      </c>
      <c r="AE1798" t="inlineStr">
        <is>
          <t>National Science and Technology Council of Taiwan; Architecture and Building Research Institute, Ministry of the Interior of Taiwan; Institute for Information Industry, Bureau of Energy-Ministry of Economic Affairs of Taiwan; Environmental Protection Department-New Taipei City Government of Taiwan</t>
        </is>
      </c>
      <c r="AF1798" t="inlineStr">
        <is>
          <t>The research was supported by National Science and Technology Council of Taiwan under Project Nos. MOST 111-2221-E-008-024-MY3 and MOST 108-2623-E-008-005-D, by Architecture and Building Research Institute, Ministry of the Interior of Taiwan under Collaborative Project No. 11115B0001, and by Institute for Information Industry, Bureau of Energy-Ministry of Economic Affairs of Taiwan and Environmental Protection Department-New Taipei City Government of Taiwan under Project Nos. 111-E0208 and PP22050042.</t>
        </is>
      </c>
      <c r="AH1798" t="n">
        <v>60</v>
      </c>
      <c r="AI1798" t="n">
        <v>1</v>
      </c>
      <c r="AJ1798" t="n">
        <v>1</v>
      </c>
      <c r="AK1798" t="n">
        <v>2</v>
      </c>
      <c r="AL1798" t="n">
        <v>5</v>
      </c>
      <c r="AM1798" t="inlineStr">
        <is>
          <t>MDPI</t>
        </is>
      </c>
      <c r="AN1798" t="inlineStr">
        <is>
          <t>BASEL</t>
        </is>
      </c>
      <c r="AO1798" t="inlineStr">
        <is>
          <t>ST ALBAN-ANLAGE 66, CH-4052 BASEL, SWITZERLAND</t>
        </is>
      </c>
      <c r="AQ1798" t="inlineStr">
        <is>
          <t>2071-1050</t>
        </is>
      </c>
      <c r="AS1798" t="inlineStr">
        <is>
          <t>SUSTAINABILITY-BASEL</t>
        </is>
      </c>
      <c r="AT1798" t="inlineStr">
        <is>
          <t>Sustainability</t>
        </is>
      </c>
      <c r="AU1798" t="inlineStr">
        <is>
          <t>NOV</t>
        </is>
      </c>
      <c r="AV1798" t="n">
        <v>2022</v>
      </c>
      <c r="AW1798" t="n">
        <v>14</v>
      </c>
      <c r="AX1798" t="n">
        <v>22</v>
      </c>
      <c r="BE1798" t="n">
        <v>15034</v>
      </c>
      <c r="BF1798" t="inlineStr">
        <is>
          <t>10.3390/su142215034</t>
        </is>
      </c>
      <c r="BG1798">
        <f>HYPERLINK("http://dx.doi.org/10.3390/su142215034","http://dx.doi.org/10.3390/su142215034")</f>
        <v/>
      </c>
      <c r="BJ1798" t="n">
        <v>20</v>
      </c>
      <c r="BK1798" t="inlineStr">
        <is>
          <t>Green &amp; Sustainable Science &amp; Technology; Environmental Sciences; Environmental Studies</t>
        </is>
      </c>
      <c r="BL1798" t="inlineStr">
        <is>
          <t>Science Citation Index Expanded (SCI-EXPANDED); Social Science Citation Index (SSCI)</t>
        </is>
      </c>
      <c r="BM1798" t="inlineStr">
        <is>
          <t>Science &amp; Technology - Other Topics; Environmental Sciences &amp; Ecology</t>
        </is>
      </c>
      <c r="BN1798" t="inlineStr">
        <is>
          <t>6K9DX</t>
        </is>
      </c>
      <c r="BP1798" t="inlineStr">
        <is>
          <t>gold</t>
        </is>
      </c>
      <c r="BS1798" t="inlineStr">
        <is>
          <t>2023-10-26</t>
        </is>
      </c>
      <c r="BT1798" t="inlineStr">
        <is>
          <t>WOS:000887794200001</t>
        </is>
      </c>
      <c r="BU1798">
        <f>HYPERLINK("https%3A%2F%2Fwww.webofscience.com%2Fwos%2Fwoscc%2Ffull-record%2FWOS:000887794200001","View Full Record in Web of Science")</f>
        <v/>
      </c>
    </row>
    <row r="1799">
      <c r="A1799" t="inlineStr">
        <is>
          <t>J</t>
        </is>
      </c>
      <c r="B1799" t="inlineStr">
        <is>
          <t>Chen, X; Huang, JC; Yang, HX</t>
        </is>
      </c>
      <c r="F1799" t="inlineStr">
        <is>
          <t>Chen, Xi; Huang, Junchao; Yang, Hongxing</t>
        </is>
      </c>
      <c r="J1799" t="inlineStr">
        <is>
          <t>JOURNAL OF CLEANER PRODUCTION</t>
        </is>
      </c>
      <c r="M1799" t="inlineStr">
        <is>
          <t>English</t>
        </is>
      </c>
      <c r="N1799" t="inlineStr">
        <is>
          <t>Article</t>
        </is>
      </c>
      <c r="T1799" t="inlineStr">
        <is>
          <t>Multi-criterion optimization of integrated photovoltaic facade with inter-building effects in diverse neighborhood densities</t>
        </is>
      </c>
      <c r="U1799" t="inlineStr">
        <is>
          <t>Photovoltaic envelope; Energy demand; Visual discomfort; Multi-criterion optimization; Decision-making</t>
        </is>
      </c>
      <c r="V1799" t="inlineStr">
        <is>
          <t>SIMULATION-BASED APPROACH; ENERGY PERFORMANCE; RESIDENTIAL BUILDINGS; ARCHITECTURAL DESIGN; SENSITIVITY-ANALYSIS; URBAN; IMPACT; DEMAND; MODEL; EFFICIENCY</t>
        </is>
      </c>
      <c r="W1799" t="inlineStr">
        <is>
          <t>Inter-building effects have been proved to have significant impacts on the energy and indoor environmental performance of adjacent building developments in densified urban environment. Therefore, this study presents a multi-criterion design optimization and decision-making approach for an integrated PV facade design considering miscellaneous inter-building factors as well as corresponding criteria specification in major green building assessment schemes. The impact of the surface reflectance and facade geometry is quantified for the lighting energy demand, HVAC energy demand, photovoltaic (PV) energy supply and indoor visual discomfort time respectively with a robust global sensitivity approach in diverse urban density scenarios. Wall reflection is determined to be the most important urban design factor contributing to 34%-66% variation of different performance indicators as per the availability of solar radiation on different building surfaces. Multi-dimension parametric analyses and design optimizations of PV envelope design parameters are then conducted for different neighborhood densities with fixed surface properties of peripheral building facades. Sensitivity indices of window and shading design parameters are subject to significant variation when considering surface properties of peripheral buildings. Furthermore, the performance of two different decision-making strategies (i.e. Technique for Order of Preference by Similarity to Ideal Solution and Minimum Distance to the Utopia Point methods) is compared based on criteria weightings from green building assessment schemes. The final optimum solution closest to the ideal is then determined by two-dimensional charts of objective functions. The integrated design optimization considering peripheral reflection can change the estimated net energy demand by up to 8.84% (mainly in PV supply and lighting demand). These research findings can promote the integration of synergetic energy and indoor environment design strategies and expand the penetration of renewable applications in urban areas. (c) 2019 Elsevier Ltd. All rights reserved.</t>
        </is>
      </c>
      <c r="X1799" t="inlineStr">
        <is>
          <t>[Chen, Xi; Huang, Junchao; Yang, Hongxing] Hong Kong Polytech Univ, RERG, Dept Bldg Serv Engn, Kowloon, Hong Kong, Peoples R China; [Chen, Xi] Open Univ Hong Kong, Sch Sci &amp; Technol, Kowloon, Hong Kong, Peoples R China</t>
        </is>
      </c>
      <c r="Y1799" t="inlineStr">
        <is>
          <t>Hong Kong Polytechnic University; Hong Kong Metropolitan University</t>
        </is>
      </c>
      <c r="Z1799" t="inlineStr">
        <is>
          <t>Chen, X (corresponding author), Open Univ Hong Kong, Sch Sci &amp; Technol, Kowloon, Hong Kong, Peoples R China.</t>
        </is>
      </c>
      <c r="AA1799" t="inlineStr">
        <is>
          <t>climber027@gmail.com</t>
        </is>
      </c>
      <c r="AB1799" t="inlineStr">
        <is>
          <t>CHEN, Patrick/AGE-2671-2022; CHEN, XI/P-2323-2014; CHEN, XI/AAL-9640-2021; Yang, Hongxing/E-5737-2014</t>
        </is>
      </c>
      <c r="AC1799" t="inlineStr">
        <is>
          <t>CHEN, Patrick/0000-0003-2168-9057; CHEN, XI/0000-0003-2168-9057; CHEN, XI/0000-0003-2168-9057; Yang, Hongxing/0000-0001-5117-5394</t>
        </is>
      </c>
      <c r="AD1799" t="inlineStr">
        <is>
          <t>Innovation and Technology Fund [ITS/171/16FX]; Postdoctoral Fellow Scheme of the Faculty of Construction and Environment, The Hong Kong Polytechnic University [K-ZM2G]</t>
        </is>
      </c>
      <c r="AE1799" t="inlineStr">
        <is>
          <t>Innovation and Technology Fund; Postdoctoral Fellow Scheme of the Faculty of Construction and Environment, The Hong Kong Polytechnic University</t>
        </is>
      </c>
      <c r="AF1799" t="inlineStr">
        <is>
          <t>The work described in this paper was supported by the Innovation and Technology Fund with project No. ITS/171/16FX and the Postdoctoral Fellow Scheme of the Faculty of Construction and Environment, The Hong Kong Polytechnic University (Grant No.: K-ZM2G).</t>
        </is>
      </c>
      <c r="AH1799" t="n">
        <v>47</v>
      </c>
      <c r="AI1799" t="n">
        <v>6</v>
      </c>
      <c r="AJ1799" t="n">
        <v>6</v>
      </c>
      <c r="AK1799" t="n">
        <v>4</v>
      </c>
      <c r="AL1799" t="n">
        <v>36</v>
      </c>
      <c r="AM1799" t="inlineStr">
        <is>
          <t>ELSEVIER SCI LTD</t>
        </is>
      </c>
      <c r="AN1799" t="inlineStr">
        <is>
          <t>OXFORD</t>
        </is>
      </c>
      <c r="AO1799" t="inlineStr">
        <is>
          <t>THE BOULEVARD, LANGFORD LANE, KIDLINGTON, OXFORD OX5 1GB, OXON, ENGLAND</t>
        </is>
      </c>
      <c r="AP1799" t="inlineStr">
        <is>
          <t>0959-6526</t>
        </is>
      </c>
      <c r="AQ1799" t="inlineStr">
        <is>
          <t>1879-1786</t>
        </is>
      </c>
      <c r="AS1799" t="inlineStr">
        <is>
          <t>J CLEAN PROD</t>
        </is>
      </c>
      <c r="AT1799" t="inlineStr">
        <is>
          <t>J. Clean Prod.</t>
        </is>
      </c>
      <c r="AU1799" t="inlineStr">
        <is>
          <t>MAR 1</t>
        </is>
      </c>
      <c r="AV1799" t="n">
        <v>2020</v>
      </c>
      <c r="AW1799" t="n">
        <v>248</v>
      </c>
      <c r="BE1799" t="n">
        <v>119269</v>
      </c>
      <c r="BF1799" t="inlineStr">
        <is>
          <t>10.1016/j.jclepro.2019.119269</t>
        </is>
      </c>
      <c r="BG1799">
        <f>HYPERLINK("http://dx.doi.org/10.1016/j.jclepro.2019.119269","http://dx.doi.org/10.1016/j.jclepro.2019.119269")</f>
        <v/>
      </c>
      <c r="BJ1799" t="n">
        <v>22</v>
      </c>
      <c r="BK1799" t="inlineStr">
        <is>
          <t>Green &amp; Sustainable Science &amp; Technology; Engineering, Environmental; Environmental Sciences</t>
        </is>
      </c>
      <c r="BL1799" t="inlineStr">
        <is>
          <t>Science Citation Index Expanded (SCI-EXPANDED)</t>
        </is>
      </c>
      <c r="BM1799" t="inlineStr">
        <is>
          <t>Science &amp; Technology - Other Topics; Engineering; Environmental Sciences &amp; Ecology</t>
        </is>
      </c>
      <c r="BN1799" t="inlineStr">
        <is>
          <t>KC7PA</t>
        </is>
      </c>
      <c r="BS1799" t="inlineStr">
        <is>
          <t>2023-10-26</t>
        </is>
      </c>
      <c r="BT1799" t="inlineStr">
        <is>
          <t>WOS:000507364000084</t>
        </is>
      </c>
      <c r="BU1799">
        <f>HYPERLINK("https%3A%2F%2Fwww.webofscience.com%2Fwos%2Fwoscc%2Ffull-record%2FWOS:000507364000084","View Full Record in Web of Science")</f>
        <v/>
      </c>
    </row>
    <row r="1800">
      <c r="A1800" t="inlineStr">
        <is>
          <t>J</t>
        </is>
      </c>
      <c r="B1800" t="inlineStr">
        <is>
          <t>Amoruso, FM; Dietrich, U; Schuetze, T</t>
        </is>
      </c>
      <c r="F1800" t="inlineStr">
        <is>
          <t>Amoruso, Fabrizio Maria; Dietrich, Udo; Schuetze, Thorsten</t>
        </is>
      </c>
      <c r="J1800" t="inlineStr">
        <is>
          <t>SUSTAINABILITY</t>
        </is>
      </c>
      <c r="M1800" t="inlineStr">
        <is>
          <t>English</t>
        </is>
      </c>
      <c r="N1800" t="inlineStr">
        <is>
          <t>Article</t>
        </is>
      </c>
      <c r="T1800" t="inlineStr">
        <is>
          <t>Development of a Building Information Modeling-Parametric Workflow Based Renovation Strategy for an Exemplary Apartment Building in Seoul, Korea</t>
        </is>
      </c>
      <c r="U1800" t="inlineStr">
        <is>
          <t>apartment units; Building Information Modeling (BIM); parametric optimization software; environmental assessment; comfort analysis; energy simulations; modular construction</t>
        </is>
      </c>
      <c r="V1800" t="inlineStr">
        <is>
          <t>ENERGY-CONSUMPTION; REDEVELOPMENT; GENTRIFICATION; DISPLACEMENT</t>
        </is>
      </c>
      <c r="W1800" t="inlineStr">
        <is>
          <t>Apartments in South Korea have high maintenance costs and an average lifetime of 25 years due to poor construction qualities. The common apartment redevelopment strategy is completely demolishing the neighborhoods and then replacing them with new buildings. However, this research discusses the framework for the refurbishment of an existing building in Seoul using Building Information Modeling (BIM) and parametric tools. The virtual model of an exemplary existing building is constructed in a BIM environment. Parametric software is used to simulate the building's environmental performance, in order to determine its energy demand for heating and cooling and the indoor comfort. In order to reduce the energy demand for heating and cooling, improve the indoor comfort, generate photovoltaic energy and extend the building's lifetime, a modular building envelope renovation system is developed. Building simulation results of the improved building envelope are used to quantify the differences with the existing building. The research results illustrate significant improvements in energy performance, comfort and lifetime extension that can be achieved. Furthermore, a guideline for a streamlined building optimization process is provided, that can be transferred and used for the planning and optimization of other building renovation projects.</t>
        </is>
      </c>
      <c r="X1800" t="inlineStr">
        <is>
          <t>[Amoruso, Fabrizio Maria] HafenCity Univ, Dept Architecture, Ueberseeallee 16, D-20457 Hamburg, Germany; [Dietrich, Udo] HafenCity Univ, Dept Bldg Phys, Ueberseeallee 16, D-20457 Hamburg, Germany; [Schuetze, Thorsten] SungKyunKwan Univ, Dept Architecture, Coll Engn, 2066 Seobu Ru, Suwon 440746, Gyeonggi Do, South Korea</t>
        </is>
      </c>
      <c r="Y1800" t="inlineStr">
        <is>
          <t>University of Hamburg; University of Hamburg; Sungkyunkwan University (SKKU)</t>
        </is>
      </c>
      <c r="Z1800" t="inlineStr">
        <is>
          <t>Schuetze, T (corresponding author), SungKyunKwan Univ, Dept Architecture, Coll Engn, 2066 Seobu Ru, Suwon 440746, Gyeonggi Do, South Korea.</t>
        </is>
      </c>
      <c r="AA1800" t="inlineStr">
        <is>
          <t>fabrizio.m.amoruso@gmail.com; udo.dietrich@hcu-hamburg.de; t.schuetze@skku.edu</t>
        </is>
      </c>
      <c r="AB1800" t="inlineStr">
        <is>
          <t>Schuetze, Thorsten/ABA-5119-2021</t>
        </is>
      </c>
      <c r="AC1800" t="inlineStr">
        <is>
          <t>Schuetze, Thorsten/0000-0001-7849-2330; Amoruso, Fabrizio Maria/0000-0001-7915-8107</t>
        </is>
      </c>
      <c r="AD1800" t="inlineStr">
        <is>
          <t>National Research Foundation of Korea (NRF); Ministry of Education [2018R1D1A1B07050989]; SungKyunKwan University 2018 College of Engineering Research Promotion Project; National Research Foundation of Korea [2018R1D1A1B07050989] Funding Source: Korea Institute of Science &amp; Technology Information (KISTI), National Science &amp; Technology Information Service (NTIS)</t>
        </is>
      </c>
      <c r="AE1800" t="inlineStr">
        <is>
          <t>National Research Foundation of Korea (NRF)(National Research Foundation of Korea); Ministry of Education; SungKyunKwan University 2018 College of Engineering Research Promotion Project; National Research Foundation of Korea(National Research Foundation of Korea)</t>
        </is>
      </c>
      <c r="AF1800" t="inlineStr">
        <is>
          <t>This research was supported by Basic Science Research Program through the National Research Foundation of Korea (NRF) and funded by the Ministry of Education (2018R1D1A1B07050989). This research was also supported by SungKyunKwan University 2018 College of Engineering Research Promotion Project.</t>
        </is>
      </c>
      <c r="AH1800" t="n">
        <v>91</v>
      </c>
      <c r="AI1800" t="n">
        <v>15</v>
      </c>
      <c r="AJ1800" t="n">
        <v>15</v>
      </c>
      <c r="AK1800" t="n">
        <v>2</v>
      </c>
      <c r="AL1800" t="n">
        <v>24</v>
      </c>
      <c r="AM1800" t="inlineStr">
        <is>
          <t>MDPI</t>
        </is>
      </c>
      <c r="AN1800" t="inlineStr">
        <is>
          <t>BASEL</t>
        </is>
      </c>
      <c r="AO1800" t="inlineStr">
        <is>
          <t>ST ALBAN-ANLAGE 66, CH-4052 BASEL, SWITZERLAND</t>
        </is>
      </c>
      <c r="AQ1800" t="inlineStr">
        <is>
          <t>2071-1050</t>
        </is>
      </c>
      <c r="AS1800" t="inlineStr">
        <is>
          <t>SUSTAINABILITY-BASEL</t>
        </is>
      </c>
      <c r="AT1800" t="inlineStr">
        <is>
          <t>Sustainability</t>
        </is>
      </c>
      <c r="AU1800" t="inlineStr">
        <is>
          <t>DEC</t>
        </is>
      </c>
      <c r="AV1800" t="n">
        <v>2018</v>
      </c>
      <c r="AW1800" t="n">
        <v>10</v>
      </c>
      <c r="AX1800" t="n">
        <v>12</v>
      </c>
      <c r="BE1800" t="n">
        <v>4494</v>
      </c>
      <c r="BF1800" t="inlineStr">
        <is>
          <t>10.3390/su10124494</t>
        </is>
      </c>
      <c r="BG1800">
        <f>HYPERLINK("http://dx.doi.org/10.3390/su10124494","http://dx.doi.org/10.3390/su10124494")</f>
        <v/>
      </c>
      <c r="BJ1800" t="n">
        <v>30</v>
      </c>
      <c r="BK1800" t="inlineStr">
        <is>
          <t>Green &amp; Sustainable Science &amp; Technology; Environmental Sciences; Environmental Studies</t>
        </is>
      </c>
      <c r="BL1800" t="inlineStr">
        <is>
          <t>Science Citation Index Expanded (SCI-EXPANDED); Social Science Citation Index (SSCI)</t>
        </is>
      </c>
      <c r="BM1800" t="inlineStr">
        <is>
          <t>Science &amp; Technology - Other Topics; Environmental Sciences &amp; Ecology</t>
        </is>
      </c>
      <c r="BN1800" t="inlineStr">
        <is>
          <t>HG9OL</t>
        </is>
      </c>
      <c r="BP1800" t="inlineStr">
        <is>
          <t>gold, Green Submitted</t>
        </is>
      </c>
      <c r="BS1800" t="inlineStr">
        <is>
          <t>2023-10-26</t>
        </is>
      </c>
      <c r="BT1800" t="inlineStr">
        <is>
          <t>WOS:000455338100160</t>
        </is>
      </c>
      <c r="BU1800">
        <f>HYPERLINK("https%3A%2F%2Fwww.webofscience.com%2Fwos%2Fwoscc%2Ffull-record%2FWOS:000455338100160","View Full Record in Web of Science")</f>
        <v/>
      </c>
    </row>
    <row r="1801">
      <c r="A1801" t="inlineStr">
        <is>
          <t>J</t>
        </is>
      </c>
      <c r="B1801" t="inlineStr">
        <is>
          <t>Dickson, ED; Hamby, DM</t>
        </is>
      </c>
      <c r="F1801" t="inlineStr">
        <is>
          <t>Dickson, E. D.; Hamby, D. M.</t>
        </is>
      </c>
      <c r="J1801" t="inlineStr">
        <is>
          <t>JOURNAL OF RADIOLOGICAL PROTECTION</t>
        </is>
      </c>
      <c r="M1801" t="inlineStr">
        <is>
          <t>English</t>
        </is>
      </c>
      <c r="N1801" t="inlineStr">
        <is>
          <t>Article</t>
        </is>
      </c>
      <c r="T1801" t="inlineStr">
        <is>
          <t>Building protection- and building shielding-factors for environmental exposure to radionuclides and monoenergetic photon emissions</t>
        </is>
      </c>
      <c r="U1801" t="inlineStr">
        <is>
          <t>contaminant deposition; building protection factor; building shielding factor; probabilistic risk assessment; radiological emergency response planning</t>
        </is>
      </c>
      <c r="V1801" t="inlineStr">
        <is>
          <t>URBAN ENVIRONMENTS; GAMMA-EXPOSURES</t>
        </is>
      </c>
      <c r="W1801" t="inlineStr">
        <is>
          <t>We describe a simplified method for calculating both building protection-and shielding-factors for generic one-and two-story housing-unit models that are source-term dependent. Typically, radionuclide-independent factors are applied generically to external dose coefficients to account for the radiation shielding effects of indoor residences. In reality, the shielding effectiveness of each housing-unit would change over time as the radionuclide mixture and gamma-ray energy spectrum change due to physical effects such as deposition, radioactive decay, weathering effects, and decontamination efforts. Thus, it is necessary to develop factors designed for multiple photon energy spectrums to generate a more realistic estimate of the shielding effectiveness of a particular building. It is impractical to develop factors specific to a spectrum of photons emitted by each radionuclide of interest. Therefore, Monte Carlo simulations have been performed for sixteen monoenergetic photon energies from 0.10 to 3.0 MeV to characterize the 3D radiation fluence through each housing-unit produced by two idealized, yet realistic, environmental exposure scenarios. Results of these simulations were then used to develop fitted logarithmic functions (extrapolated to 0.0 MeV) to correlate an estimated factor to any monoenergetic photon energy up to 3.0 MeV. To verify these functions, another series of Monte Carlo simulations were performed for a select set of radionuclides to develop radionuclide-specific building protection-and shielding-factors. Good agreement is achieved between factors estimated using the presented functions and those calculated directly using Monte Carlo methods. Factors predicted by these functions are found to be in general agreement with other study results reported on similar structures which applied various computational methods and source-terms. This study only focuses on generic one- and two-story homes to provide a practical application that can contribute to improve the preparedness for and the response to a nuclear or radiological emergency.</t>
        </is>
      </c>
      <c r="X1801" t="inlineStr">
        <is>
          <t>[Dickson, E. D.] US Nucl Regulatory Commiss, Rockville, DC 20555 USA; [Hamby, D. M.] Oregon State Univ, Dept Nucl Engn &amp; Radiat Hlth Phys, Corvallis, OR 97331 USA</t>
        </is>
      </c>
      <c r="Y1801" t="inlineStr">
        <is>
          <t>Oregon State University</t>
        </is>
      </c>
      <c r="Z1801" t="inlineStr">
        <is>
          <t>Dickson, ED (corresponding author), US Nucl Regulatory Commiss, Rockville, DC 20555 USA.</t>
        </is>
      </c>
      <c r="AA1801" t="inlineStr">
        <is>
          <t>elijah.dickson@gmail.com; david.hamby@oregonstate.edu</t>
        </is>
      </c>
      <c r="AB1801" t="inlineStr">
        <is>
          <t>Hamby, David M/J-5989-2017</t>
        </is>
      </c>
      <c r="AC1801" t="inlineStr">
        <is>
          <t>Hamby, David M/0000-0003-0227-9095</t>
        </is>
      </c>
      <c r="AH1801" t="n">
        <v>46</v>
      </c>
      <c r="AI1801" t="n">
        <v>6</v>
      </c>
      <c r="AJ1801" t="n">
        <v>6</v>
      </c>
      <c r="AK1801" t="n">
        <v>2</v>
      </c>
      <c r="AL1801" t="n">
        <v>5</v>
      </c>
      <c r="AM1801" t="inlineStr">
        <is>
          <t>IOP Publishing Ltd</t>
        </is>
      </c>
      <c r="AN1801" t="inlineStr">
        <is>
          <t>BRISTOL</t>
        </is>
      </c>
      <c r="AO1801" t="inlineStr">
        <is>
          <t>TEMPLE CIRCUS, TEMPLE WAY, BRISTOL BS1 6BE, ENGLAND</t>
        </is>
      </c>
      <c r="AP1801" t="inlineStr">
        <is>
          <t>0952-4746</t>
        </is>
      </c>
      <c r="AQ1801" t="inlineStr">
        <is>
          <t>1361-6498</t>
        </is>
      </c>
      <c r="AS1801" t="inlineStr">
        <is>
          <t>J RADIOL PROT</t>
        </is>
      </c>
      <c r="AT1801" t="inlineStr">
        <is>
          <t>J. Radiol. Prot.</t>
        </is>
      </c>
      <c r="AU1801" t="inlineStr">
        <is>
          <t>SEP</t>
        </is>
      </c>
      <c r="AV1801" t="n">
        <v>2016</v>
      </c>
      <c r="AW1801" t="n">
        <v>36</v>
      </c>
      <c r="AX1801" t="n">
        <v>3</v>
      </c>
      <c r="BC1801" t="n">
        <v>579</v>
      </c>
      <c r="BD1801" t="n">
        <v>615</v>
      </c>
      <c r="BF1801" t="inlineStr">
        <is>
          <t>10.1088/0952-4746/36/3/579</t>
        </is>
      </c>
      <c r="BG1801">
        <f>HYPERLINK("http://dx.doi.org/10.1088/0952-4746/36/3/579","http://dx.doi.org/10.1088/0952-4746/36/3/579")</f>
        <v/>
      </c>
      <c r="BJ1801" t="n">
        <v>37</v>
      </c>
      <c r="BK1801" t="inlineStr">
        <is>
          <t>Environmental Sciences; Public, Environmental &amp; Occupational Health; Nuclear Science &amp; Technology; Radiology, Nuclear Medicine &amp; Medical Imaging</t>
        </is>
      </c>
      <c r="BL1801" t="inlineStr">
        <is>
          <t>Science Citation Index Expanded (SCI-EXPANDED)</t>
        </is>
      </c>
      <c r="BM1801" t="inlineStr">
        <is>
          <t>Environmental Sciences &amp; Ecology; Public, Environmental &amp; Occupational Health; Nuclear Science &amp; Technology; Radiology, Nuclear Medicine &amp; Medical Imaging</t>
        </is>
      </c>
      <c r="BN1801" t="inlineStr">
        <is>
          <t>EE6IB</t>
        </is>
      </c>
      <c r="BO1801" t="n">
        <v>27460970</v>
      </c>
      <c r="BS1801" t="inlineStr">
        <is>
          <t>2023-10-26</t>
        </is>
      </c>
      <c r="BT1801" t="inlineStr">
        <is>
          <t>WOS:000389712100015</t>
        </is>
      </c>
      <c r="BU1801">
        <f>HYPERLINK("https%3A%2F%2Fwww.webofscience.com%2Fwos%2Fwoscc%2Ffull-record%2FWOS:000389712100015","View Full Record in Web of Science")</f>
        <v/>
      </c>
    </row>
    <row r="1802">
      <c r="A1802" t="inlineStr">
        <is>
          <t>J</t>
        </is>
      </c>
      <c r="B1802" t="inlineStr">
        <is>
          <t>Kurbaniyazov, S; Abdimutalip, N; Kozhabekova, Z; Tazhekova, A; Toychibekova, G; Shalabayeva, G; Akeshova, M</t>
        </is>
      </c>
      <c r="F1802" t="inlineStr">
        <is>
          <t>Kurbaniyazov, Saken; Abdimutalip, Nurlybek; Kozhabekova, Zakhida; Tazhekova, Akmaral; Toychibekova, Gaziza; Shalabayeva, Gulshat; Akeshova, Madina</t>
        </is>
      </c>
      <c r="J1802" t="inlineStr">
        <is>
          <t>FRESENIUS ENVIRONMENTAL BULLETIN</t>
        </is>
      </c>
      <c r="M1802" t="inlineStr">
        <is>
          <t>English</t>
        </is>
      </c>
      <c r="N1802" t="inlineStr">
        <is>
          <t>Article</t>
        </is>
      </c>
      <c r="T1802" t="inlineStr">
        <is>
          <t>A COMPREHENSIVE STUDY OF VARIOUS LOAM PROPERTIES OF BESARIK FIELD TO OBTAIN ECO FRIENDLY BUILDING MATERIALS</t>
        </is>
      </c>
      <c r="U1802" t="inlineStr">
        <is>
          <t>Loam; coating; building material; gypsum; analysis</t>
        </is>
      </c>
      <c r="W1802" t="inlineStr">
        <is>
          <t>The study the ways to use local raw clay (loam) is for the manufacture of building materials of sufficient high quality and in the development of technologies of applying the colored polymer decorative and protective coatings on it for the purpose of coating the historical architectural monuments. The coverings should improve decorative properties of building construction and be resistant and durable in an operational environment.</t>
        </is>
      </c>
      <c r="X1802" t="inlineStr">
        <is>
          <t>[Kurbaniyazov, Saken; Abdimutalip, Nurlybek; Toychibekova, Gaziza; Shalabayeva, Gulshat; Akeshova, Madina] HA Yasavi Int Kazakh Turkish Univ, Turkestan, Kazakhstan; [Kozhabekova, Zakhida] South Kazakhstan Pedag Inst, Shymkent, Kazakhstan; [Tazhekova, Akmaral] Syrdaria Univ, Fac Nat Sci &amp; Math, Zhetysay, Kazakhstan</t>
        </is>
      </c>
      <c r="Y1802" t="inlineStr">
        <is>
          <t>Akhmet Yassawi International Kazakh-Turkish University</t>
        </is>
      </c>
      <c r="Z1802" t="inlineStr">
        <is>
          <t>Toychibekova, G (corresponding author), HA Yassawe Int Kazakh Turkish Univ, Fac Nat Sci, Dept Ecol &amp; Chem, Turkestan 161200, Kazakhstan.</t>
        </is>
      </c>
      <c r="AA1802" t="inlineStr">
        <is>
          <t>gazi_toychibekova@mail.ru</t>
        </is>
      </c>
      <c r="AB1802" t="inlineStr">
        <is>
          <t>Tazhekova, Akmaral/IAQ-8631-2023; Akeshova, Madina/ABE-9337-2021; Toychibekova, Gaziza/D-4966-2018</t>
        </is>
      </c>
      <c r="AC1802" t="inlineStr">
        <is>
          <t>Tazhekova, Akmaral/0000-0001-8812-9738;</t>
        </is>
      </c>
      <c r="AD1802" t="inlineStr">
        <is>
          <t>Ministry of Education and Science of the Republic of Kazakhstan [0112RK02315]; Faculty of Natural Sciences and Mathematics of the Syrdaria University</t>
        </is>
      </c>
      <c r="AE1802" t="inlineStr">
        <is>
          <t>Ministry of Education and Science of the Republic of Kazakhstan(Government of the Republic of KazakhstanMinistry of Education and Science of the Republic of Kazakhstan); Faculty of Natural Sciences and Mathematics of the Syrdaria University</t>
        </is>
      </c>
      <c r="AF1802" t="inlineStr">
        <is>
          <t>Scientific research was supported by Ministry of Education and Science of the Republic of Kazakhstan, Project 0112RK02315. We are grateful to all participants of the filed surveys for their help. N.A. and A.T. were supported by several grants of the Faculty of Natural Sciences and Mathematics of the Syrdaria University. We also thank Dr. A. Fazylov and his research group who made the spectral analysis</t>
        </is>
      </c>
      <c r="AH1802" t="n">
        <v>7</v>
      </c>
      <c r="AI1802" t="n">
        <v>0</v>
      </c>
      <c r="AJ1802" t="n">
        <v>0</v>
      </c>
      <c r="AK1802" t="n">
        <v>1</v>
      </c>
      <c r="AL1802" t="n">
        <v>7</v>
      </c>
      <c r="AM1802" t="inlineStr">
        <is>
          <t>PARLAR SCIENTIFIC PUBLICATIONS (P S P)</t>
        </is>
      </c>
      <c r="AN1802" t="inlineStr">
        <is>
          <t>FREISING</t>
        </is>
      </c>
      <c r="AO1802" t="inlineStr">
        <is>
          <t>ANGERSTR. 12, 85354 FREISING, GERMANY</t>
        </is>
      </c>
      <c r="AP1802" t="inlineStr">
        <is>
          <t>1018-4619</t>
        </is>
      </c>
      <c r="AQ1802" t="inlineStr">
        <is>
          <t>1610-2304</t>
        </is>
      </c>
      <c r="AS1802" t="inlineStr">
        <is>
          <t>FRESEN ENVIRON BULL</t>
        </is>
      </c>
      <c r="AT1802" t="inlineStr">
        <is>
          <t>Fresenius Environ. Bull.</t>
        </is>
      </c>
      <c r="AV1802" t="n">
        <v>2018</v>
      </c>
      <c r="AW1802" t="n">
        <v>27</v>
      </c>
      <c r="AX1802" t="n">
        <v>9</v>
      </c>
      <c r="BC1802" t="n">
        <v>5858</v>
      </c>
      <c r="BD1802" t="n">
        <v>5862</v>
      </c>
      <c r="BJ1802" t="n">
        <v>5</v>
      </c>
      <c r="BK1802" t="inlineStr">
        <is>
          <t>Environmental Sciences</t>
        </is>
      </c>
      <c r="BL1802" t="inlineStr">
        <is>
          <t>Science Citation Index Expanded (SCI-EXPANDED)</t>
        </is>
      </c>
      <c r="BM1802" t="inlineStr">
        <is>
          <t>Environmental Sciences &amp; Ecology</t>
        </is>
      </c>
      <c r="BN1802" t="inlineStr">
        <is>
          <t>GW1MY</t>
        </is>
      </c>
      <c r="BS1802" t="inlineStr">
        <is>
          <t>2023-10-26</t>
        </is>
      </c>
      <c r="BT1802" t="inlineStr">
        <is>
          <t>WOS:000446644900009</t>
        </is>
      </c>
      <c r="BU1802">
        <f>HYPERLINK("https%3A%2F%2Fwww.webofscience.com%2Fwos%2Fwoscc%2Ffull-record%2FWOS:000446644900009","View Full Record in Web of Science")</f>
        <v/>
      </c>
    </row>
    <row r="1803">
      <c r="A1803" t="inlineStr">
        <is>
          <t>J</t>
        </is>
      </c>
      <c r="B1803" t="inlineStr">
        <is>
          <t>Zhu, JS; Li, Q; Cao, R; Sun, K; Liu, T; Garibaldi, JM; Li, QQ; Liu, BZ; Qiu, GP</t>
        </is>
      </c>
      <c r="F1803" t="inlineStr">
        <is>
          <t>Zhu, Jiasong; Li, Qing; Cao, Rui; Sun, Ke; Liu, Tao; Garibaldi, Jonathan M.; Li, Qingquan; Liu, Bozhi; Qiu, Guoping</t>
        </is>
      </c>
      <c r="J1803" t="inlineStr">
        <is>
          <t>REMOTE SENSING</t>
        </is>
      </c>
      <c r="M1803" t="inlineStr">
        <is>
          <t>English</t>
        </is>
      </c>
      <c r="N1803" t="inlineStr">
        <is>
          <t>Article</t>
        </is>
      </c>
      <c r="T1803" t="inlineStr">
        <is>
          <t>Indoor Topological Localization Using a Visual Landmark Sequence</t>
        </is>
      </c>
      <c r="U1803" t="inlineStr">
        <is>
          <t>visual landmark sequence; indoor topological localization; convolutional neural network (CNN); second order hidden Markov model</t>
        </is>
      </c>
      <c r="V1803" t="inlineStr">
        <is>
          <t>NAVIGATION; RECOGNITION</t>
        </is>
      </c>
      <c r="W1803" t="inlineStr">
        <is>
          <t>This paper presents a novel indoor topological localization method based on mobile phone videos. Conventional methods suffer from indoor dynamic environmental changes and scene ambiguity. The proposed Visual Landmark Sequence-based Indoor Localization (VLSIL) method is capable of addressing problems by taking steady indoor objects as landmarks. Unlike many feature or appearance matching-based localization methods, our method utilizes highly abstracted landmark sematic information to represent locations and thus is invariant to illumination changes, temporal variations, and occlusions. We match consistently detected landmarks against the topological map based on the occurrence order in the videos. The proposed approach contains two components: a convolutional neural network (CNN)-based landmark detector and a topological matching algorithm. The proposed detector is capable of reliably and accurately detecting landmarks. The other part is the matching algorithm built on the second order hidden Markov model and it can successfully handle the environmental ambiguity by fusing sematic and connectivity information of landmarks. To evaluate the method, we conduct extensive experiments on the real world dataset collected in two indoor environments, and the results show that our deep neural network-based indoor landmark detector accurately detects all landmarks and is expected to be utilized in similar environments without retraining and that VLSIL can effectively localize indoor landmarks.</t>
        </is>
      </c>
      <c r="X1803" t="inlineStr">
        <is>
          <t>[Zhu, Jiasong; Li, Qing; Cao, Rui; Sun, Ke; Li, Qingquan] Shenzhen Univ, Shenzhen Key Lab Spatial Smart Sensing &amp; Serv, Shenzhen 518060, Peoples R China; [Zhu, Jiasong; Li, Qing; Cao, Rui; Sun, Ke; Li, Qingquan] Shenzhen Univ, Key Lab Geoenvironm Monitoring Coastal Zone, Natl Adm Surveying Mapping &amp; Geoinformat, Shenzhen 518060, Peoples R China; [Li, Qing; Garibaldi, Jonathan M.; Qiu, Guoping] Univ Nottingham, Sch Comp Sci, Nottingham NG8 1BB, England; [Li, Qing; Cao, Rui; Liu, Bozhi; Qiu, Guoping] Shenzhen Univ, Coll Informat Engn, Shenzhen 518060, Peoples R China; [Li, Qing; Cao, Rui; Liu, Bozhi; Qiu, Guoping] Shenzhen Univ, Guangdong Key Lab Intelligent Informat Proc, Shenzhen 518060, Peoples R China; [Cao, Rui] Univ Nottingham Ningbo China, Int Doctoral Innovat Ctr, Ningbo 315100, Zhejiang, Peoples R China; [Cao, Rui] Univ Nottingham Ningbo China, Sch Comp Sci, Ningbo 315100, Zhejiang, Peoples R China; [Liu, Tao] Henan Univ Econ &amp; Law, Coll Resource &amp; Environm, Zhengzhou 450046, Henan, Peoples R China</t>
        </is>
      </c>
      <c r="Y1803" t="inlineStr">
        <is>
          <t>Shenzhen University; Shenzhen University; University of Nottingham; Shenzhen University; Shenzhen University; University of Nottingham Ningbo China; University of Nottingham Ningbo China; Henan University of Economics &amp; Law</t>
        </is>
      </c>
      <c r="Z1803" t="inlineStr">
        <is>
          <t>Li, Q (corresponding author), Shenzhen Univ, Shenzhen Key Lab Spatial Smart Sensing &amp; Serv, Shenzhen 518060, Peoples R China.;Li, Q (corresponding author), Shenzhen Univ, Key Lab Geoenvironm Monitoring Coastal Zone, Natl Adm Surveying Mapping &amp; Geoinformat, Shenzhen 518060, Peoples R China.;Li, Q (corresponding author), Univ Nottingham, Sch Comp Sci, Nottingham NG8 1BB, England.;Li, Q (corresponding author), Shenzhen Univ, Coll Informat Engn, Shenzhen 518060, Peoples R China.;Li, Q (corresponding author), Shenzhen Univ, Guangdong Key Lab Intelligent Informat Proc, Shenzhen 518060, Peoples R China.</t>
        </is>
      </c>
      <c r="AA1803" t="inlineStr">
        <is>
          <t>zhujiasong@gmail.com; qing.li@nottingham.ac.uk; rui.cao@nottingham.edu.cn; sk100.force@gmail.com; liutao@huel.edu.cn; jon.garibaldi@nottingham.ac.uk; liqq@szu.edu.cn; bozhi.liu@hotmail.com; qiu@szu.edu.cn</t>
        </is>
      </c>
      <c r="AB1803" t="inlineStr">
        <is>
          <t>Cao, Rui/AAL-3946-2020</t>
        </is>
      </c>
      <c r="AC1803" t="inlineStr">
        <is>
          <t>Cao, Rui/0000-0002-1440-4175; Qiu, Guoping/0000-0002-5877-5648; Li, Qingquan/0000-0002-2438-6046; Garibaldi, Jonathan/0000-0002-9690-7074; SUN, KE/0000-0002-3116-3203</t>
        </is>
      </c>
      <c r="AD1803" t="inlineStr">
        <is>
          <t>National Natural Science Foundation of China [41871329]; Shenzhen Future Industry Development Funding Program [201607281039561400]; Shenzhen Scientific Research and Development Funding Program [JCYJ20170818092931604]; Horizon Centre for Doctoral Training at the University of Nottingham (RCUK) [EP/L015463/1]</t>
        </is>
      </c>
      <c r="AE1803" t="inlineStr">
        <is>
          <t>National Natural Science Foundation of China(National Natural Science Foundation of China (NSFC)); Shenzhen Future Industry Development Funding Program; Shenzhen Scientific Research and Development Funding Program; Horizon Centre for Doctoral Training at the University of Nottingham (RCUK)</t>
        </is>
      </c>
      <c r="AF1803" t="inlineStr">
        <is>
          <t>This work was supported in part by the National Natural Science Foundation of China under Grant 41871329, in part by the Shenzhen Future Industry Development Funding Program under Grant 201607281039561400, in part by the Shenzhen Scientific Research and Development Funding Program under Grant JCYJ20170818092931604, and in part by the Horizon Centre for Doctoral Training at the University of Nottingham (RCUK Grant No. EP/L015463/1).</t>
        </is>
      </c>
      <c r="AH1803" t="n">
        <v>50</v>
      </c>
      <c r="AI1803" t="n">
        <v>14</v>
      </c>
      <c r="AJ1803" t="n">
        <v>14</v>
      </c>
      <c r="AK1803" t="n">
        <v>4</v>
      </c>
      <c r="AL1803" t="n">
        <v>29</v>
      </c>
      <c r="AM1803" t="inlineStr">
        <is>
          <t>MDPI</t>
        </is>
      </c>
      <c r="AN1803" t="inlineStr">
        <is>
          <t>BASEL</t>
        </is>
      </c>
      <c r="AO1803" t="inlineStr">
        <is>
          <t>ST ALBAN-ANLAGE 66, CH-4052 BASEL, SWITZERLAND</t>
        </is>
      </c>
      <c r="AQ1803" t="inlineStr">
        <is>
          <t>2072-4292</t>
        </is>
      </c>
      <c r="AS1803" t="inlineStr">
        <is>
          <t>REMOTE SENS-BASEL</t>
        </is>
      </c>
      <c r="AT1803" t="inlineStr">
        <is>
          <t>Remote Sens.</t>
        </is>
      </c>
      <c r="AU1803" t="inlineStr">
        <is>
          <t>JAN 1</t>
        </is>
      </c>
      <c r="AV1803" t="n">
        <v>2019</v>
      </c>
      <c r="AW1803" t="n">
        <v>11</v>
      </c>
      <c r="AX1803" t="n">
        <v>1</v>
      </c>
      <c r="BE1803" t="n">
        <v>73</v>
      </c>
      <c r="BF1803" t="inlineStr">
        <is>
          <t>10.3390/rs11010073</t>
        </is>
      </c>
      <c r="BG1803">
        <f>HYPERLINK("http://dx.doi.org/10.3390/rs11010073","http://dx.doi.org/10.3390/rs11010073")</f>
        <v/>
      </c>
      <c r="BJ1803" t="n">
        <v>24</v>
      </c>
      <c r="BK1803" t="inlineStr">
        <is>
          <t>Environmental Sciences; Geosciences, Multidisciplinary; Remote Sensing; Imaging Science &amp; Photographic Technology</t>
        </is>
      </c>
      <c r="BL1803" t="inlineStr">
        <is>
          <t>Science Citation Index Expanded (SCI-EXPANDED)</t>
        </is>
      </c>
      <c r="BM1803" t="inlineStr">
        <is>
          <t>Environmental Sciences &amp; Ecology; Geology; Remote Sensing; Imaging Science &amp; Photographic Technology</t>
        </is>
      </c>
      <c r="BN1803" t="inlineStr">
        <is>
          <t>HK4NP</t>
        </is>
      </c>
      <c r="BP1803" t="inlineStr">
        <is>
          <t>Green Accepted, gold, Green Published, Green Submitted</t>
        </is>
      </c>
      <c r="BS1803" t="inlineStr">
        <is>
          <t>2023-10-26</t>
        </is>
      </c>
      <c r="BT1803" t="inlineStr">
        <is>
          <t>WOS:000457935600073</t>
        </is>
      </c>
      <c r="BU1803">
        <f>HYPERLINK("https%3A%2F%2Fwww.webofscience.com%2Fwos%2Fwoscc%2Ffull-record%2FWOS:000457935600073","View Full Record in Web of Science")</f>
        <v/>
      </c>
    </row>
    <row r="1804">
      <c r="A1804" t="inlineStr">
        <is>
          <t>J</t>
        </is>
      </c>
      <c r="B1804" t="inlineStr">
        <is>
          <t>Liu, Q; Zhu, MJ; Xiao, ZP</t>
        </is>
      </c>
      <c r="F1804" t="inlineStr">
        <is>
          <t>Liu, Qian; Zhu, Mingjian; Xiao, Zuopeng</t>
        </is>
      </c>
      <c r="J1804" t="inlineStr">
        <is>
          <t>SUSTAINABILITY</t>
        </is>
      </c>
      <c r="M1804" t="inlineStr">
        <is>
          <t>English</t>
        </is>
      </c>
      <c r="N1804" t="inlineStr">
        <is>
          <t>Article</t>
        </is>
      </c>
      <c r="T1804" t="inlineStr">
        <is>
          <t>Workplace Parking Provision and Built Environments: Improving Context-Specific Parking Standards Towards Sustainable Transport</t>
        </is>
      </c>
      <c r="U1804" t="inlineStr">
        <is>
          <t>parking provision; built environment; context-specific parking standards; GWR; general office; China</t>
        </is>
      </c>
      <c r="V1804" t="inlineStr">
        <is>
          <t>REQUIREMENTS; POLICIES; MINIMUM; MANAGEMENT; DEMAND; REFORM; CHINA</t>
        </is>
      </c>
      <c r="W1804" t="inlineStr">
        <is>
          <t>Both academics and practitioners concur that parking restraints should be actively introduced in urban centers and job-intensive areas, to prevent overdependence on automobiles. Many Chinese metropolises have reduced the level of parking minimums for non-residential premises in central and transit-rich areas. However, there is a lack of research examining the effectiveness of these policies. Taking Shenzhen as a case study, this paper compares the parking supply with the parking minimums at each policy period, and analyzes the spatial characteristics of parking provision for office use. The descriptive analysis found that the effects of minimum parking requirements (MPRs) on parking provision vary by floor area ratio (FAR), operation period, and transit accessibility. By conducting a geographical weighted regression (GWR) model, this paper further examines the spatially varying effects of the built environment on parking provision. The modeling results conclude that the significance and strength of the effects of built environments on parking provision vary across space. (1) The total parking quantity increases with the growth of the FAR, and this increasing effect is larger in suburban areas than in the city proper. (2) Lot size has a positive relationship with parking provision, and the effects are stronger in areas with higher parking demand. (3) Transit accessibility has inconsistent associations with parking provision at different locations, in terms of the direction and strength of the influence. These results provide relevant insights into the development of context-specific parking policies in the high-density contexts of China's large cities.</t>
        </is>
      </c>
      <c r="X1804" t="inlineStr">
        <is>
          <t>[Liu, Qian] Shenzhen Univ, Sch Architecture &amp; Urban Planning, Shenzhen 518000, Peoples R China; [Zhu, Mingjian] South China Univ Technol, Sch Design, Guangzhou 510006, Guangdong, Peoples R China; [Xiao, Zuopeng] Harbin Inst Technol, Fac Architecture, Shenzhen 518000, Peoples R China</t>
        </is>
      </c>
      <c r="Y1804" t="inlineStr">
        <is>
          <t>Shenzhen University; South China University of Technology; Harbin Institute of Technology</t>
        </is>
      </c>
      <c r="Z1804" t="inlineStr">
        <is>
          <t>Zhu, MJ (corresponding author), South China Univ Technol, Sch Design, Guangzhou 510006, Guangdong, Peoples R China.</t>
        </is>
      </c>
      <c r="AA1804" t="inlineStr">
        <is>
          <t>liuqian-chair@126.com; zhumj@scut.edu.cn; tacxzp@foxmail.com</t>
        </is>
      </c>
      <c r="AB1804" t="inlineStr">
        <is>
          <t>Xiao, Zuopeng/GWZ-5862-2022</t>
        </is>
      </c>
      <c r="AC1804" t="inlineStr">
        <is>
          <t>LIU, Qian/0000-0003-0987-4778</t>
        </is>
      </c>
      <c r="AD1804" t="inlineStr">
        <is>
          <t>National Natural Science Foundation for Young Scholar of China [51608328, 31600437]</t>
        </is>
      </c>
      <c r="AE1804" t="inlineStr">
        <is>
          <t>National Natural Science Foundation for Young Scholar of China(National Natural Science Foundation of China (NSFC)National Science Fund for Distinguished Young Scholars)</t>
        </is>
      </c>
      <c r="AF1804" t="inlineStr">
        <is>
          <t>This research was funded by [National Natural Science Foundation for Young Scholar of China] grant number [51608328 and 31600437].</t>
        </is>
      </c>
      <c r="AH1804" t="n">
        <v>38</v>
      </c>
      <c r="AI1804" t="n">
        <v>2</v>
      </c>
      <c r="AJ1804" t="n">
        <v>2</v>
      </c>
      <c r="AK1804" t="n">
        <v>0</v>
      </c>
      <c r="AL1804" t="n">
        <v>17</v>
      </c>
      <c r="AM1804" t="inlineStr">
        <is>
          <t>MDPI</t>
        </is>
      </c>
      <c r="AN1804" t="inlineStr">
        <is>
          <t>BASEL</t>
        </is>
      </c>
      <c r="AO1804" t="inlineStr">
        <is>
          <t>ST ALBAN-ANLAGE 66, CH-4052 BASEL, SWITZERLAND</t>
        </is>
      </c>
      <c r="AQ1804" t="inlineStr">
        <is>
          <t>2071-1050</t>
        </is>
      </c>
      <c r="AS1804" t="inlineStr">
        <is>
          <t>SUSTAINABILITY-BASEL</t>
        </is>
      </c>
      <c r="AT1804" t="inlineStr">
        <is>
          <t>Sustainability</t>
        </is>
      </c>
      <c r="AU1804" t="inlineStr">
        <is>
          <t>FEB 2</t>
        </is>
      </c>
      <c r="AV1804" t="n">
        <v>2019</v>
      </c>
      <c r="AW1804" t="n">
        <v>11</v>
      </c>
      <c r="AX1804" t="n">
        <v>4</v>
      </c>
      <c r="BE1804" t="n">
        <v>1142</v>
      </c>
      <c r="BF1804" t="inlineStr">
        <is>
          <t>10.3390/su11041142</t>
        </is>
      </c>
      <c r="BG1804">
        <f>HYPERLINK("http://dx.doi.org/10.3390/su11041142","http://dx.doi.org/10.3390/su11041142")</f>
        <v/>
      </c>
      <c r="BJ1804" t="n">
        <v>23</v>
      </c>
      <c r="BK1804" t="inlineStr">
        <is>
          <t>Green &amp; Sustainable Science &amp; Technology; Environmental Sciences; Environmental Studies</t>
        </is>
      </c>
      <c r="BL1804" t="inlineStr">
        <is>
          <t>Science Citation Index Expanded (SCI-EXPANDED); Social Science Citation Index (SSCI)</t>
        </is>
      </c>
      <c r="BM1804" t="inlineStr">
        <is>
          <t>Science &amp; Technology - Other Topics; Environmental Sciences &amp; Ecology</t>
        </is>
      </c>
      <c r="BN1804" t="inlineStr">
        <is>
          <t>HO3JV</t>
        </is>
      </c>
      <c r="BP1804" t="inlineStr">
        <is>
          <t>Green Submitted, Green Published, gold</t>
        </is>
      </c>
      <c r="BS1804" t="inlineStr">
        <is>
          <t>2023-10-26</t>
        </is>
      </c>
      <c r="BT1804" t="inlineStr">
        <is>
          <t>WOS:000460819100202</t>
        </is>
      </c>
      <c r="BU1804">
        <f>HYPERLINK("https%3A%2F%2Fwww.webofscience.com%2Fwos%2Fwoscc%2Ffull-record%2FWOS:000460819100202","View Full Record in Web of Science")</f>
        <v/>
      </c>
    </row>
    <row r="1805">
      <c r="A1805" t="inlineStr">
        <is>
          <t>J</t>
        </is>
      </c>
      <c r="B1805" t="inlineStr">
        <is>
          <t>Ouali, N; Lehouche, H; Belkhier, Y; Achour, A</t>
        </is>
      </c>
      <c r="F1805" t="inlineStr">
        <is>
          <t>Ouali, Nassima; Lehouche, Hocine; Belkhier, Youcef; Achour, Abdelyazid</t>
        </is>
      </c>
      <c r="J1805" t="inlineStr">
        <is>
          <t>ENERGY SOURCES PART A-RECOVERY UTILIZATION AND ENVIRONMENTAL EFFECTS</t>
        </is>
      </c>
      <c r="M1805" t="inlineStr">
        <is>
          <t>English</t>
        </is>
      </c>
      <c r="N1805" t="inlineStr">
        <is>
          <t>Article; Early Access</t>
        </is>
      </c>
      <c r="T1805" t="inlineStr">
        <is>
          <t>Indoor temperature regulation and energy consumption inside a working office in building system using a predictive functional control</t>
        </is>
      </c>
      <c r="U1805" t="inlineStr">
        <is>
          <t>Building thermal comfort; energy consumption; building hvac control; predictive functional control; energy saving in building</t>
        </is>
      </c>
      <c r="V1805" t="inlineStr">
        <is>
          <t>MODEL; DESIGN; MANAGEMENT</t>
        </is>
      </c>
      <c r="W1805" t="inlineStr">
        <is>
          <t>This paper presents a novel control approach for indoor temperature regulation in tertiary buildings, based on predictive functional control. The main control objective is to reduce the energy consumption while ensuring the desired thermal comfort of the occupants. The novelty of this approach may perform in the presence of disturbances such occupancy profile, electrical equipment, indoor temperature, surrounding temperatures and weather data. Predictive functional control algorithm consists in using a dynamic model of the process inside the controller in real time in order to anticipate the future behavior of the system. The proposed method is successfully illustrated using an example of temperature control of a working office which is implemented in the SIMBAD toolbox (SIMulator of Buildings and Devices) integrated into the Matlab/Simulink environment. The proposed control compromises a class of control algorithms that utilizes an online process model to optimize the future response of a plant. The efficiency of the proposed control has been validated using good performance indexes for various scenarios. Simulation results revealed a good level of comfort is ensured with a minimum energy (3.2015 kWh), temperature regulation with a very low error, a high level of comfort is generated in the office room during working hours. Thus, demonstrating the validity and effectiveness of this control strategy.</t>
        </is>
      </c>
      <c r="X1805" t="inlineStr">
        <is>
          <t>[Ouali, Nassima; Lehouche, Hocine; Achour, Abdelyazid] Univ Bejaia, Fac Technol, Lab Technol Ind &amp; Informat LTII, Bejaia 06000, Algeria; [Belkhier, Youcef] Czech Tech Univ, Fac Elect Engn, Dept Comp Sci, Prague, Czech Republic</t>
        </is>
      </c>
      <c r="Y1805" t="inlineStr">
        <is>
          <t>Universite de Bejaia; Czech Technical University Prague</t>
        </is>
      </c>
      <c r="Z1805" t="inlineStr">
        <is>
          <t>Ouali, N (corresponding author), Univ Bejaia, Fac Technol, Lab Technol Ind &amp; Informat LTII, Bejaia 06000, Algeria.</t>
        </is>
      </c>
      <c r="AA1805" t="inlineStr">
        <is>
          <t>nassima.ouali@univ-bejaia.dz</t>
        </is>
      </c>
      <c r="AB1805" t="inlineStr">
        <is>
          <t>Belkhier, Youcef/AAK-4992-2021</t>
        </is>
      </c>
      <c r="AC1805" t="inlineStr">
        <is>
          <t>Belkhier, Youcef/0000-0002-7520-2286</t>
        </is>
      </c>
      <c r="AH1805" t="n">
        <v>30</v>
      </c>
      <c r="AI1805" t="n">
        <v>4</v>
      </c>
      <c r="AJ1805" t="n">
        <v>4</v>
      </c>
      <c r="AK1805" t="n">
        <v>5</v>
      </c>
      <c r="AL1805" t="n">
        <v>21</v>
      </c>
      <c r="AM1805" t="inlineStr">
        <is>
          <t>TAYLOR &amp; FRANCIS INC</t>
        </is>
      </c>
      <c r="AN1805" t="inlineStr">
        <is>
          <t>PHILADELPHIA</t>
        </is>
      </c>
      <c r="AO1805" t="inlineStr">
        <is>
          <t>530 WALNUT STREET, STE 850, PHILADELPHIA, PA 19106 USA</t>
        </is>
      </c>
      <c r="AP1805" t="inlineStr">
        <is>
          <t>1556-7036</t>
        </is>
      </c>
      <c r="AQ1805" t="inlineStr">
        <is>
          <t>1556-7230</t>
        </is>
      </c>
      <c r="AS1805" t="inlineStr">
        <is>
          <t>ENERG SOURCE PART A</t>
        </is>
      </c>
      <c r="AT1805" t="inlineStr">
        <is>
          <t>Energy Sources Part A-Recovery Util. Environ. Eff.</t>
        </is>
      </c>
      <c r="AU1805" t="inlineStr">
        <is>
          <t>2021 DEC 26</t>
        </is>
      </c>
      <c r="AV1805" t="n">
        <v>2021</v>
      </c>
      <c r="BF1805" t="inlineStr">
        <is>
          <t>10.1080/15567036.2021.2017517</t>
        </is>
      </c>
      <c r="BG1805">
        <f>HYPERLINK("http://dx.doi.org/10.1080/15567036.2021.2017517","http://dx.doi.org/10.1080/15567036.2021.2017517")</f>
        <v/>
      </c>
      <c r="BI1805" t="inlineStr">
        <is>
          <t>DEC 2021</t>
        </is>
      </c>
      <c r="BJ1805" t="n">
        <v>21</v>
      </c>
      <c r="BK1805" t="inlineStr">
        <is>
          <t>Energy &amp; Fuels; Engineering, Chemical; Environmental Sciences</t>
        </is>
      </c>
      <c r="BL1805" t="inlineStr">
        <is>
          <t>Science Citation Index Expanded (SCI-EXPANDED)</t>
        </is>
      </c>
      <c r="BM1805" t="inlineStr">
        <is>
          <t>Energy &amp; Fuels; Engineering; Environmental Sciences &amp; Ecology</t>
        </is>
      </c>
      <c r="BN1805" t="inlineStr">
        <is>
          <t>XU0UB</t>
        </is>
      </c>
      <c r="BS1805" t="inlineStr">
        <is>
          <t>2023-10-26</t>
        </is>
      </c>
      <c r="BT1805" t="inlineStr">
        <is>
          <t>WOS:000733990300001</t>
        </is>
      </c>
      <c r="BU1805">
        <f>HYPERLINK("https%3A%2F%2Fwww.webofscience.com%2Fwos%2Fwoscc%2Ffull-record%2FWOS:000733990300001","View Full Record in Web of Science")</f>
        <v/>
      </c>
    </row>
    <row r="1806">
      <c r="A1806" t="inlineStr">
        <is>
          <t>J</t>
        </is>
      </c>
      <c r="B1806" t="inlineStr">
        <is>
          <t>Fábrega-Cuadros, R; Hita-Contreras, F; Martínez-Amat, A; Jiménez-García, JD; Achalandabaso-Ochoa, A; Lavilla-Lerma, L; García-Garro, PA; Alvarez-Salvago, F; Aibar-Almazán, A</t>
        </is>
      </c>
      <c r="F1806" t="inlineStr">
        <is>
          <t>Fabrega-Cuadros, Raquel; Hita-Contreras, Fidel; Martinez-Amat, Antonio; Daniel Jimenez-Garcia, Jose; Achalandabaso-Ochoa, Alexander; Lavilla-Lerma, Leyre; Alexandra Garcia-Garro, Patricia; Alvarez-Salvago, Francisco; Aibar-Almazan, Agustin</t>
        </is>
      </c>
      <c r="J1806" t="inlineStr">
        <is>
          <t>INTERNATIONAL JOURNAL OF ENVIRONMENTAL RESEARCH AND PUBLIC HEALTH</t>
        </is>
      </c>
      <c r="M1806" t="inlineStr">
        <is>
          <t>English</t>
        </is>
      </c>
      <c r="N1806" t="inlineStr">
        <is>
          <t>Article</t>
        </is>
      </c>
      <c r="T1806" t="inlineStr">
        <is>
          <t>Associations between the Severity of Sarcopenia and Health-Related Quality of Life in Community-Dwelling Middle-Aged and Older Adults</t>
        </is>
      </c>
      <c r="U1806" t="inlineStr">
        <is>
          <t>sarcopenia; older adults; quality of life; anxiety; depression</t>
        </is>
      </c>
      <c r="V1806" t="inlineStr">
        <is>
          <t>SKELETAL-MUSCLE MASS; PHYSICAL-ACTIVITY; HOSPITAL ANXIETY; SPANISH VERSION; PEOPLE; DEFINITION; PREVALENCE; VALIDATION; STRENGTH; COHORT</t>
        </is>
      </c>
      <c r="W1806" t="inlineStr">
        <is>
          <t>(1) Background: The aim of this study was to analyze the associations between severity of sarcopenia and health-related quality of life (HRQoL) among community-dwelling middle-aged and older adults. (2) Methods: A cross-sectional study involving 304 older-adult participants was used to assess the severity of sarcopenia by measuring muscle strength (handgrip dynamometer), muscle mass (bioelectrical impedance analysis), and physical performance (Timed Up-and-Go test). The generic 36-item Short-Form Health Survey (SF-36) was used to evaluate HRQoL. Anxiety and depression (Hospital Anxiety and Depression Scale) as well as age were considered as possible confounders. Probable sarcopenia was determined by low muscle strength; confirmed sarcopenia was defined by the presence of both low muscle strength and muscle mass; and severe sarcopenia was defined by low muscle strength and mass along with poor physical performance. (3) Results: The linear regression analysis showed that the presence of probable sarcopenia was associated with the SF-36 domains physical role (adjusted R-2 = 0.183), general health (adjusted R-2 = 0.290), and social functioning (adjusted R-2 = 0.299). As for the SF-36 mental (MCS) and physical (PCS) component summary scores, probable sarcopenia, as well as depression and anxiety, remained associated with MCS (adjusted R-2 = 0.518), and these three variables, together with age, were linked to PCS (adjusted R-2 = 0.340). (4) Conclusions: Probable sarcopenia, but not confirmed or severe sarcopenia, was independently associated with poor HRQoL. More precisely, it was related to PCS and MCS, as well as to the physical role, general health, and social functioning of SF-36 domains.</t>
        </is>
      </c>
      <c r="X1806" t="inlineStr">
        <is>
          <t>[Fabrega-Cuadros, Raquel; Hita-Contreras, Fidel; Martinez-Amat, Antonio; Achalandabaso-Ochoa, Alexander; Lavilla-Lerma, Leyre; Aibar-Almazan, Agustin] Univ Jaen, Fac Hlth Sci, Dept Hlth Sci, Jaen 23071, Spain; [Daniel Jimenez-Garcia, Jose] Univ Cadiz, Fac Educ Sci, Dept Phys Educ, MOVE IT Res Grp, Cadiz 11003, Spain; [Alexandra Garcia-Garro, Patricia] Antonio Jose Camacho Univ Inst, GIP Pedag Res Grp, Fac Distance &amp; Virtual Educ, Santiago De Cali 760001, Colombia; [Alvarez-Salvago, Francisco] European Univ Valencia, Fac Hlth Sci, Dept Physiotherapy, Valencia 46112, Spain</t>
        </is>
      </c>
      <c r="Y1806" t="inlineStr">
        <is>
          <t>Universidad de Jaen; Universidad de Cadiz</t>
        </is>
      </c>
      <c r="Z1806" t="inlineStr">
        <is>
          <t>Jiménez-García, JD (corresponding author), Univ Cadiz, Fac Educ Sci, Dept Phys Educ, MOVE IT Res Grp, Cadiz 11003, Spain.</t>
        </is>
      </c>
      <c r="AA1806" t="inlineStr">
        <is>
          <t>rfabrega@ujaen.es; fhita@ujaen.es; amamat@ujaen.es; josedanieljimenezgarcia@gmail.com; aaochoa@ujaen.es; llavilla@ujaen.es; vidaymovimiento2012@hotmail.com; salvagofran@gmail.com; aaibar@ujaen.es</t>
        </is>
      </c>
      <c r="AB1806" t="inlineStr">
        <is>
          <t>Martínez-Amat, Antonio/M-6062-2015; Fábrega Cuadros, Raquel/GXM-6405-2022; Achalandabaso, Alexander/K-7337-2018; Martínez-Amat, Antonio/S-2156-2019; Hita Contreras, Fidel/H-8170-2015; GARCÍA, JOSÉ DANIEL JIMÉNEZ/AAB-4059-2020</t>
        </is>
      </c>
      <c r="AC1806" t="inlineStr">
        <is>
          <t>Martínez-Amat, Antonio/0000-0002-9652-791X; Achalandabaso, Alexander/0000-0003-1989-2988; Martínez-Amat, Antonio/0000-0002-9652-791X; Hita Contreras, Fidel/0000-0001-7215-5456; GARCÍA, JOSÉ DANIEL JIMÉNEZ/0000-0002-4219-3993; Aibar Almazan, Agustin/0000-0002-9386-9199; Lavilla- Lerma, Maria Leyre/0000-0002-1295-1968; Fabrega Cuadros, Raquel/0000-0003-3018-1511; Garcia Garro, Patricia Alexandra/0000-0003-2539-6745; Alvarez Salvago, Francisco/0000-0002-1108-2174</t>
        </is>
      </c>
      <c r="AD1806" t="inlineStr">
        <is>
          <t>[1260735]</t>
        </is>
      </c>
      <c r="AF1806" t="inlineStr">
        <is>
          <t>This work was supported by project 1260735, integrated into the 2014-2020 FEDER Operational Programme in Andalusia.</t>
        </is>
      </c>
      <c r="AH1806" t="n">
        <v>50</v>
      </c>
      <c r="AI1806" t="n">
        <v>8</v>
      </c>
      <c r="AJ1806" t="n">
        <v>8</v>
      </c>
      <c r="AK1806" t="n">
        <v>2</v>
      </c>
      <c r="AL1806" t="n">
        <v>11</v>
      </c>
      <c r="AM1806" t="inlineStr">
        <is>
          <t>MDPI</t>
        </is>
      </c>
      <c r="AN1806" t="inlineStr">
        <is>
          <t>BASEL</t>
        </is>
      </c>
      <c r="AO1806" t="inlineStr">
        <is>
          <t>ST ALBAN-ANLAGE 66, CH-4052 BASEL, SWITZERLAND</t>
        </is>
      </c>
      <c r="AQ1806" t="inlineStr">
        <is>
          <t>1660-4601</t>
        </is>
      </c>
      <c r="AS1806" t="inlineStr">
        <is>
          <t>INT J ENV RES PUB HE</t>
        </is>
      </c>
      <c r="AT1806" t="inlineStr">
        <is>
          <t>Int. J. Environ. Res. Public Health</t>
        </is>
      </c>
      <c r="AU1806" t="inlineStr">
        <is>
          <t>AUG</t>
        </is>
      </c>
      <c r="AV1806" t="n">
        <v>2021</v>
      </c>
      <c r="AW1806" t="n">
        <v>18</v>
      </c>
      <c r="AX1806" t="n">
        <v>15</v>
      </c>
      <c r="BE1806" t="n">
        <v>8026</v>
      </c>
      <c r="BF1806" t="inlineStr">
        <is>
          <t>10.3390/ijerph18158026</t>
        </is>
      </c>
      <c r="BG1806">
        <f>HYPERLINK("http://dx.doi.org/10.3390/ijerph18158026","http://dx.doi.org/10.3390/ijerph18158026")</f>
        <v/>
      </c>
      <c r="BJ1806" t="n">
        <v>11</v>
      </c>
      <c r="BK1806" t="inlineStr">
        <is>
          <t>Environmental Sciences; Public, Environmental &amp; Occupational Health</t>
        </is>
      </c>
      <c r="BL1806" t="inlineStr">
        <is>
          <t>Science Citation Index Expanded (SCI-EXPANDED); Social Science Citation Index (SSCI)</t>
        </is>
      </c>
      <c r="BM1806" t="inlineStr">
        <is>
          <t>Environmental Sciences &amp; Ecology; Public, Environmental &amp; Occupational Health</t>
        </is>
      </c>
      <c r="BN1806" t="inlineStr">
        <is>
          <t>TV5WO</t>
        </is>
      </c>
      <c r="BO1806" t="n">
        <v>34360318</v>
      </c>
      <c r="BP1806" t="inlineStr">
        <is>
          <t>gold, Green Published</t>
        </is>
      </c>
      <c r="BS1806" t="inlineStr">
        <is>
          <t>2023-10-26</t>
        </is>
      </c>
      <c r="BT1806" t="inlineStr">
        <is>
          <t>WOS:000681793900001</t>
        </is>
      </c>
      <c r="BU1806">
        <f>HYPERLINK("https%3A%2F%2Fwww.webofscience.com%2Fwos%2Fwoscc%2Ffull-record%2FWOS:000681793900001","View Full Record in Web of Science")</f>
        <v/>
      </c>
    </row>
    <row r="1807">
      <c r="A1807" t="inlineStr">
        <is>
          <t>J</t>
        </is>
      </c>
      <c r="B1807" t="inlineStr">
        <is>
          <t>Nam, S; Lee, MJ; Hong, I</t>
        </is>
      </c>
      <c r="F1807" t="inlineStr">
        <is>
          <t>Nam, Sanghun; Lee, Mi Jung; Hong, Ickpyo</t>
        </is>
      </c>
      <c r="J1807" t="inlineStr">
        <is>
          <t>INTERNATIONAL JOURNAL OF ENVIRONMENTAL RESEARCH AND PUBLIC HEALTH</t>
        </is>
      </c>
      <c r="M1807" t="inlineStr">
        <is>
          <t>English</t>
        </is>
      </c>
      <c r="N1807" t="inlineStr">
        <is>
          <t>Article</t>
        </is>
      </c>
      <c r="T1807" t="inlineStr">
        <is>
          <t>Developing a Cross-National Disability Measure for Older Adult Populations across Korea, China, and Japan</t>
        </is>
      </c>
      <c r="U1807" t="inlineStr">
        <is>
          <t>cognitive function; physical function; cross-national; East Asian older adults</t>
        </is>
      </c>
      <c r="V1807" t="inlineStr">
        <is>
          <t>SCALE; LIFE; US</t>
        </is>
      </c>
      <c r="W1807" t="inlineStr">
        <is>
          <t>This study aims to develop a universal scale for comparing cognitive and physical functions among countries using health survey data from China, Korea, and Japan. This study used the data of 934 participants from the Korean Longitude Study of Aging, 2506 participants from the China Health and Retirement Longitude Study, and 178 participants from the Japanese Study of Aging and Retirement. Each physical and cognitive function item in the three countries has five key items. The anchoring method used the key items to link each cognitive and physical function of the three countries. We investigated the psychometric characteristics of the final item using the Rasch analysis. We extracted 13 items of 19 cognitive function items and 20 items out of 29 physical function items using the anchoring method and the Rasch analysis. The Rasch analysis showed good fit statistics for 13 cognitive function items and 20 physical function items. The measurement scale developed in this study will enable valid comparisons of older adults' cognitive and physical functions across these three countries.</t>
        </is>
      </c>
      <c r="X1807" t="inlineStr">
        <is>
          <t>[Nam, Sanghun] Yonsei Univ, Grad Sch, Dept Occupat Therapy, Wonju 26493, South Korea; [Lee, Mi Jung] Univ Texas Med Branch, Dept Nutr Metab &amp; Rehabil Sci, Galveston, TX 77555 USA; [Hong, Ickpyo] Yonsei Univ, Coll Software &amp; Digital Healthcare Convergence, Dept Occupat Therapy, Wonju 26493, South Korea</t>
        </is>
      </c>
      <c r="Y1807" t="inlineStr">
        <is>
          <t>Yonsei University; University of Texas System; University of Texas Medical Branch Galveston; Yonsei University</t>
        </is>
      </c>
      <c r="Z1807" t="inlineStr">
        <is>
          <t>Hong, I (corresponding author), Yonsei Univ, Coll Software &amp; Digital Healthcare Convergence, Dept Occupat Therapy, Wonju 26493, South Korea.</t>
        </is>
      </c>
      <c r="AA1807" t="inlineStr">
        <is>
          <t>ihong@yonsei.ac.kr</t>
        </is>
      </c>
      <c r="AC1807" t="inlineStr">
        <is>
          <t>Lee, Mi Jung/0000-0002-2753-8105; Hong, Ickpyo/0000-0001-5404-7646; Nam, Sanghun/0000-0002-0842-8955</t>
        </is>
      </c>
      <c r="AD1807" t="inlineStr">
        <is>
          <t>National Research Foundation of Korea (NRF) [2020R1G1A1100265, K12 HD055929]; National Institutes of Health (NIH); National Research Foundation of Korea [2020R1G1A1100265] Funding Source: Korea Institute of Science &amp; Technology Information (KISTI), National Science &amp; Technology Information Service (NTIS)</t>
        </is>
      </c>
      <c r="AE1807" t="inlineStr">
        <is>
          <t>National Research Foundation of Korea (NRF)(National Research Foundation of Korea); National Institutes of Health (NIH)(United States Department of Health &amp; Human ServicesNational Institutes of Health (NIH) - USA); National Research Foundation of Korea(National Research Foundation of Korea)</t>
        </is>
      </c>
      <c r="AF1807" t="inlineStr">
        <is>
          <t>This research was funded in part by National Research Foundation of Korea (NRF), grant number 2020R1G1A1100265. Its contents are solely the responsibility of the authors and do not necessarily represent the official views of the NRF. In addition, this research was supported in part by grant#K12 HD055929 from the National Institutes of Health (NIH). Its contents are solely the responsibility of the authors and do not necessarily represent the official views of the NIH.</t>
        </is>
      </c>
      <c r="AH1807" t="n">
        <v>57</v>
      </c>
      <c r="AI1807" t="n">
        <v>1</v>
      </c>
      <c r="AJ1807" t="n">
        <v>1</v>
      </c>
      <c r="AK1807" t="n">
        <v>1</v>
      </c>
      <c r="AL1807" t="n">
        <v>3</v>
      </c>
      <c r="AM1807" t="inlineStr">
        <is>
          <t>MDPI</t>
        </is>
      </c>
      <c r="AN1807" t="inlineStr">
        <is>
          <t>BASEL</t>
        </is>
      </c>
      <c r="AO1807" t="inlineStr">
        <is>
          <t>ST ALBAN-ANLAGE 66, CH-4052 BASEL, SWITZERLAND</t>
        </is>
      </c>
      <c r="AQ1807" t="inlineStr">
        <is>
          <t>1660-4601</t>
        </is>
      </c>
      <c r="AS1807" t="inlineStr">
        <is>
          <t>INT J ENV RES PUB HE</t>
        </is>
      </c>
      <c r="AT1807" t="inlineStr">
        <is>
          <t>Int. J. Environ. Res. Public Health</t>
        </is>
      </c>
      <c r="AU1807" t="inlineStr">
        <is>
          <t>AUG</t>
        </is>
      </c>
      <c r="AV1807" t="n">
        <v>2022</v>
      </c>
      <c r="AW1807" t="n">
        <v>19</v>
      </c>
      <c r="AX1807" t="n">
        <v>16</v>
      </c>
      <c r="BE1807" t="n">
        <v>10338</v>
      </c>
      <c r="BF1807" t="inlineStr">
        <is>
          <t>10.3390/ijerph191610338</t>
        </is>
      </c>
      <c r="BG1807">
        <f>HYPERLINK("http://dx.doi.org/10.3390/ijerph191610338","http://dx.doi.org/10.3390/ijerph191610338")</f>
        <v/>
      </c>
      <c r="BJ1807" t="n">
        <v>11</v>
      </c>
      <c r="BK1807" t="inlineStr">
        <is>
          <t>Environmental Sciences; Public, Environmental &amp; Occupational Health</t>
        </is>
      </c>
      <c r="BL1807" t="inlineStr">
        <is>
          <t>Science Citation Index Expanded (SCI-EXPANDED); Social Science Citation Index (SSCI)</t>
        </is>
      </c>
      <c r="BM1807" t="inlineStr">
        <is>
          <t>Environmental Sciences &amp; Ecology; Public, Environmental &amp; Occupational Health</t>
        </is>
      </c>
      <c r="BN1807" t="inlineStr">
        <is>
          <t>4B2AW</t>
        </is>
      </c>
      <c r="BO1807" t="n">
        <v>36011988</v>
      </c>
      <c r="BP1807" t="inlineStr">
        <is>
          <t>gold, Green Published</t>
        </is>
      </c>
      <c r="BS1807" t="inlineStr">
        <is>
          <t>2023-10-26</t>
        </is>
      </c>
      <c r="BT1807" t="inlineStr">
        <is>
          <t>WOS:000845588300001</t>
        </is>
      </c>
      <c r="BU1807">
        <f>HYPERLINK("https%3A%2F%2Fwww.webofscience.com%2Fwos%2Fwoscc%2Ffull-record%2FWOS:000845588300001","View Full Record in Web of Science")</f>
        <v/>
      </c>
    </row>
    <row r="1808">
      <c r="A1808" t="inlineStr">
        <is>
          <t>J</t>
        </is>
      </c>
      <c r="B1808" t="inlineStr">
        <is>
          <t>Li, ZX; Huang, XR; White, M</t>
        </is>
      </c>
      <c r="F1808" t="inlineStr">
        <is>
          <t>Li, Zhixian; Huang, Xiaoran; White, Marcus</t>
        </is>
      </c>
      <c r="J1808" t="inlineStr">
        <is>
          <t>INTERNATIONAL JOURNAL OF ENVIRONMENTAL RESEARCH AND PUBLIC HEALTH</t>
        </is>
      </c>
      <c r="M1808" t="inlineStr">
        <is>
          <t>English</t>
        </is>
      </c>
      <c r="N1808" t="inlineStr">
        <is>
          <t>Article</t>
        </is>
      </c>
      <c r="T1808" t="inlineStr">
        <is>
          <t>Effects of the Visual Character of Transitional Spaces on Human Stress Recovery in a Virtual Reality Environment</t>
        </is>
      </c>
      <c r="U1808" t="inlineStr">
        <is>
          <t>linear environment; curved environment; human stress recovery; transitional space; virtual reality (VR)</t>
        </is>
      </c>
      <c r="V1808" t="inlineStr">
        <is>
          <t>MENTAL-HEALTH; ARCHITECTURE; PREFERENCES; JUDGMENTS; RESPONSES; DESIGN; SCALE; WORLD</t>
        </is>
      </c>
      <c r="W1808" t="inlineStr">
        <is>
          <t>As people's levels of stress increase with the complexity of contemporary urban life, the stress healing agenda in built environments has become more critical than ever. Previous research has demonstrated that linear and nonlinear shapes in the environment have an impact on human stress recovery. However, to date, most studies have focused on indoor and outdoor spaces, while research on transitional spaces is still limited. Transitional spaces connect the interior with the exterior and are ubiquitous in the city, such as plazas, open cafes, and urban corridors. We hypothesize that curved and linear environments affect human stress recovery differently in transitional spaces. To test this hypothesis, virtual reality (VR) technology and experiments were conducted with 40 participants. At the end of the Trier Social Stress Test (TSST), participants were randomly assigned to four VR environments to test which environment is more effective in stress recovery for humans. Participants' physiological data, including heart rate and blood pressure, were measured by bio-monitoring sensors. The psychological data were tested by the State-Trait Anxiety Inventory (STAI). In general, the resulting data indicate that the curved environment is more effective than the linear environment for the recovery of human stress in transitional spaces.</t>
        </is>
      </c>
      <c r="X1808" t="inlineStr">
        <is>
          <t>[Li, Zhixian] Univ Calif Berkeley, Coll Environm Design, Berkeley, CA 94720 USA; [Huang, Xiaoran] North China Univ Technol, Sch Architecture &amp; Art, Beijing 100144, Peoples R China; [Huang, Xiaoran; White, Marcus] Swinburne Univ Technol, Ctr Design Innovat, Hawthorn, Vic 3122, Australia</t>
        </is>
      </c>
      <c r="Y1808" t="inlineStr">
        <is>
          <t>University of California System; University of California Berkeley; North China University of Technology; Swinburne University of Technology</t>
        </is>
      </c>
      <c r="Z1808" t="inlineStr">
        <is>
          <t>Huang, XR (corresponding author), North China Univ Technol, Sch Architecture &amp; Art, Beijing 100144, Peoples R China.;Huang, XR (corresponding author), Swinburne Univ Technol, Ctr Design Innovat, Hawthorn, Vic 3122, Australia.</t>
        </is>
      </c>
      <c r="AA1808" t="inlineStr">
        <is>
          <t>xiaoran.huang@ncut.edu.cn</t>
        </is>
      </c>
      <c r="AC1808" t="inlineStr">
        <is>
          <t>Huang, Xiaoran/0000-0002-8702-2805; Li, Zhixian/0000-0003-2649-8137; White, Marcus/0000-0002-2238-9251</t>
        </is>
      </c>
      <c r="AD1808" t="inlineStr">
        <is>
          <t>National Natural Science Foundation of China (NSFC) [52208039]; National key R&amp;D program Science and Technology Winter Olympics key project Evacuation system and support technology for assisting physically challenged communities [2020YFF0304900]; R&amp;D Program of Beijing Municipal Education Commission [KM202210009008]; University Innovation and Entrepreneurship Training Programme [108051360022XN353, 108051360022XN370]; Australian Research Council Linkage Project [LP190100089]; Australian Research Council [LP190100089] Funding Source: Australian Research Council</t>
        </is>
      </c>
      <c r="AE1808" t="inlineStr">
        <is>
          <t>National Natural Science Foundation of China (NSFC)(National Natural Science Foundation of China (NSFC)); National key R&amp;D program Science and Technology Winter Olympics key project Evacuation system and support technology for assisting physically challenged communities; R&amp;D Program of Beijing Municipal Education Commission; University Innovation and Entrepreneurship Training Programme; Australian Research Council Linkage Project(Australian Research Council); Australian Research Council(Australian Research Council)</t>
        </is>
      </c>
      <c r="AF1808" t="inlineStr">
        <is>
          <t>This project is funded by the National Natural Science Foundation of China (NSFC) (52208039), the National key R&amp;D program Science and Technology Winter Olympics key project Evacuation system and support technology for assisting physically challenged communities (2020YFF0304900), R&amp;D Program of Beijing Municipal Education Commission (KM202210009008), The University Innovation and Entrepreneurship Training Programme (108051360022XN353), (108051360022XN370), and the Australian Research Council Linkage Project (LP190100089).</t>
        </is>
      </c>
      <c r="AH1808" t="n">
        <v>68</v>
      </c>
      <c r="AI1808" t="n">
        <v>0</v>
      </c>
      <c r="AJ1808" t="n">
        <v>0</v>
      </c>
      <c r="AK1808" t="n">
        <v>17</v>
      </c>
      <c r="AL1808" t="n">
        <v>36</v>
      </c>
      <c r="AM1808" t="inlineStr">
        <is>
          <t>MDPI</t>
        </is>
      </c>
      <c r="AN1808" t="inlineStr">
        <is>
          <t>BASEL</t>
        </is>
      </c>
      <c r="AO1808" t="inlineStr">
        <is>
          <t>ST ALBAN-ANLAGE 66, CH-4052 BASEL, SWITZERLAND</t>
        </is>
      </c>
      <c r="AQ1808" t="inlineStr">
        <is>
          <t>1660-4601</t>
        </is>
      </c>
      <c r="AS1808" t="inlineStr">
        <is>
          <t>INT J ENV RES PUB HE</t>
        </is>
      </c>
      <c r="AT1808" t="inlineStr">
        <is>
          <t>Int. J. Environ. Res. Public Health</t>
        </is>
      </c>
      <c r="AU1808" t="inlineStr">
        <is>
          <t>OCT</t>
        </is>
      </c>
      <c r="AV1808" t="n">
        <v>2022</v>
      </c>
      <c r="AW1808" t="n">
        <v>19</v>
      </c>
      <c r="AX1808" t="n">
        <v>20</v>
      </c>
      <c r="BE1808" t="n">
        <v>13143</v>
      </c>
      <c r="BF1808" t="inlineStr">
        <is>
          <t>10.3390/ijerph192013143</t>
        </is>
      </c>
      <c r="BG1808">
        <f>HYPERLINK("http://dx.doi.org/10.3390/ijerph192013143","http://dx.doi.org/10.3390/ijerph192013143")</f>
        <v/>
      </c>
      <c r="BJ1808" t="n">
        <v>16</v>
      </c>
      <c r="BK1808" t="inlineStr">
        <is>
          <t>Environmental Sciences; Public, Environmental &amp; Occupational Health</t>
        </is>
      </c>
      <c r="BL1808" t="inlineStr">
        <is>
          <t>Science Citation Index Expanded (SCI-EXPANDED); Social Science Citation Index (SSCI)</t>
        </is>
      </c>
      <c r="BM1808" t="inlineStr">
        <is>
          <t>Environmental Sciences &amp; Ecology; Public, Environmental &amp; Occupational Health</t>
        </is>
      </c>
      <c r="BN1808" t="inlineStr">
        <is>
          <t>5P2JW</t>
        </is>
      </c>
      <c r="BO1808" t="n">
        <v>36293723</v>
      </c>
      <c r="BP1808" t="inlineStr">
        <is>
          <t>gold, Green Published</t>
        </is>
      </c>
      <c r="BS1808" t="inlineStr">
        <is>
          <t>2023-10-26</t>
        </is>
      </c>
      <c r="BT1808" t="inlineStr">
        <is>
          <t>WOS:000872984300001</t>
        </is>
      </c>
      <c r="BU1808">
        <f>HYPERLINK("https%3A%2F%2Fwww.webofscience.com%2Fwos%2Fwoscc%2Ffull-record%2FWOS:000872984300001","View Full Record in Web of Science")</f>
        <v/>
      </c>
    </row>
    <row r="1809">
      <c r="A1809" t="inlineStr">
        <is>
          <t>J</t>
        </is>
      </c>
      <c r="B1809" t="inlineStr">
        <is>
          <t>Son, YJ; Kim, DY; Won, MH</t>
        </is>
      </c>
      <c r="F1809" t="inlineStr">
        <is>
          <t>Son, Youn-Jung; Kim, Da-Young; Won, Mi Hwa</t>
        </is>
      </c>
      <c r="J1809" t="inlineStr">
        <is>
          <t>INTERNATIONAL JOURNAL OF ENVIRONMENTAL RESEARCH AND PUBLIC HEALTH</t>
        </is>
      </c>
      <c r="M1809" t="inlineStr">
        <is>
          <t>English</t>
        </is>
      </c>
      <c r="N1809" t="inlineStr">
        <is>
          <t>Article</t>
        </is>
      </c>
      <c r="T1809" t="inlineStr">
        <is>
          <t>Sex Differences in the Association between Atrial Fibrillation and 90-Day Adverse Outcomes among Older Adults with Heart Failure: A Retrospective Cohort Study</t>
        </is>
      </c>
      <c r="U1809" t="inlineStr">
        <is>
          <t>heart failure; older adults; atrial fibrillation; sex; patient readmission; emergencies; retrospective studies</t>
        </is>
      </c>
      <c r="V1809" t="inlineStr">
        <is>
          <t>EMERGENCY-DEPARTMENT; EPIDEMIOLOGY; IMPACT; RISK; PATHOPHYSIOLOGY; MORTALITY</t>
        </is>
      </c>
      <c r="W1809" t="inlineStr">
        <is>
          <t>Sex differences in the prognostic impact of coexisting atrial fibrillation (AF) in older patients with heart failure (HF) have not been well-studied. This study, therefore, compared sex differences in the association between AF and its 90-day adverse outcomes (hospital readmissions and emergency room (ER) visits) among older adults with HF. Of the 250 older adult patients, the prevalence rates of coexisting AF between male and female HF patients were 46.0% and 31.0%, respectively. In both male and female older patients, patients with AF have a significantly higher readmission rate (male 46.0%, and female 34.3%) than those without AF (male 6.8%, and female 12.8%). However, there are no significant differences in the association between AF and ER visits in both male and female older HF patients. The multivariate logistic analysis showed that coexisting AF significantly increased the risk of 90-day hospital readmission in both male and female older patients. In addition, older age in males and longer periods of time after an HF diagnosis in females were associated with an increased risk of hospital readmission. Consequently, prospective cohort studies are needed to identify the impact of coexisting AF on short- and long-term outcomes in older adult HF patients by sex.</t>
        </is>
      </c>
      <c r="X1809" t="inlineStr">
        <is>
          <t>[Son, Youn-Jung] Chung Ang Univ, Red Cross Coll Nursing, Seoul 06974, South Korea; [Kim, Da-Young] Chung Ang Univ, Grad Sch, Dept Nursing, Seoul 06974, South Korea; [Won, Mi Hwa] Wonkwang Univ, Dept Nursing, Iksan 54538, South Korea</t>
        </is>
      </c>
      <c r="Y1809" t="inlineStr">
        <is>
          <t>Chung Ang University; Chung Ang University; Wonkwang University</t>
        </is>
      </c>
      <c r="Z1809" t="inlineStr">
        <is>
          <t>Won, MH (corresponding author), Wonkwang Univ, Dept Nursing, Iksan 54538, South Korea.</t>
        </is>
      </c>
      <c r="AA1809" t="inlineStr">
        <is>
          <t>yjson@cau.ac.kr; dayo2316@gmail.com; mihwon7729@gmail.com</t>
        </is>
      </c>
      <c r="AC1809" t="inlineStr">
        <is>
          <t>Son, Youn-Jung/0000-0002-0961-9606; Kim, Da-Young/0000-0003-3133-0099; Won, Mi Hwa/0000-0002-3452-7295</t>
        </is>
      </c>
      <c r="AD1809" t="inlineStr">
        <is>
          <t>Chung-Ang University</t>
        </is>
      </c>
      <c r="AE1809" t="inlineStr">
        <is>
          <t>Chung-Ang University(Chung Ang University)</t>
        </is>
      </c>
      <c r="AF1809" t="inlineStr">
        <is>
          <t>This research was supported by the Chung-Ang University Research Scholarship Grants in 2020.</t>
        </is>
      </c>
      <c r="AH1809" t="n">
        <v>42</v>
      </c>
      <c r="AI1809" t="n">
        <v>2</v>
      </c>
      <c r="AJ1809" t="n">
        <v>2</v>
      </c>
      <c r="AK1809" t="n">
        <v>0</v>
      </c>
      <c r="AL1809" t="n">
        <v>1</v>
      </c>
      <c r="AM1809" t="inlineStr">
        <is>
          <t>MDPI</t>
        </is>
      </c>
      <c r="AN1809" t="inlineStr">
        <is>
          <t>BASEL</t>
        </is>
      </c>
      <c r="AO1809" t="inlineStr">
        <is>
          <t>ST ALBAN-ANLAGE 66, CH-4052 BASEL, SWITZERLAND</t>
        </is>
      </c>
      <c r="AQ1809" t="inlineStr">
        <is>
          <t>1660-4601</t>
        </is>
      </c>
      <c r="AS1809" t="inlineStr">
        <is>
          <t>INT J ENV RES PUB HE</t>
        </is>
      </c>
      <c r="AT1809" t="inlineStr">
        <is>
          <t>Int. J. Environ. Res. Public Health</t>
        </is>
      </c>
      <c r="AU1809" t="inlineStr">
        <is>
          <t>MAR</t>
        </is>
      </c>
      <c r="AV1809" t="n">
        <v>2021</v>
      </c>
      <c r="AW1809" t="n">
        <v>18</v>
      </c>
      <c r="AX1809" t="n">
        <v>5</v>
      </c>
      <c r="BE1809" t="n">
        <v>2237</v>
      </c>
      <c r="BF1809" t="inlineStr">
        <is>
          <t>10.3390/ijerph18052237</t>
        </is>
      </c>
      <c r="BG1809">
        <f>HYPERLINK("http://dx.doi.org/10.3390/ijerph18052237","http://dx.doi.org/10.3390/ijerph18052237")</f>
        <v/>
      </c>
      <c r="BJ1809" t="n">
        <v>10</v>
      </c>
      <c r="BK1809" t="inlineStr">
        <is>
          <t>Environmental Sciences; Public, Environmental &amp; Occupational Health</t>
        </is>
      </c>
      <c r="BL1809" t="inlineStr">
        <is>
          <t>Science Citation Index Expanded (SCI-EXPANDED); Social Science Citation Index (SSCI)</t>
        </is>
      </c>
      <c r="BM1809" t="inlineStr">
        <is>
          <t>Environmental Sciences &amp; Ecology; Public, Environmental &amp; Occupational Health</t>
        </is>
      </c>
      <c r="BN1809" t="inlineStr">
        <is>
          <t>QV7DN</t>
        </is>
      </c>
      <c r="BO1809" t="n">
        <v>33668276</v>
      </c>
      <c r="BP1809" t="inlineStr">
        <is>
          <t>gold, Green Published</t>
        </is>
      </c>
      <c r="BS1809" t="inlineStr">
        <is>
          <t>2023-10-26</t>
        </is>
      </c>
      <c r="BT1809" t="inlineStr">
        <is>
          <t>WOS:000628127400001</t>
        </is>
      </c>
      <c r="BU1809">
        <f>HYPERLINK("https%3A%2F%2Fwww.webofscience.com%2Fwos%2Fwoscc%2Ffull-record%2FWOS:000628127400001","View Full Record in Web of Science")</f>
        <v/>
      </c>
    </row>
    <row r="1810">
      <c r="A1810" t="inlineStr">
        <is>
          <t>J</t>
        </is>
      </c>
      <c r="B1810" t="inlineStr">
        <is>
          <t>Zhang, Y; Wu, W; Li, Y; Liu, QX; Li, CY</t>
        </is>
      </c>
      <c r="F1810" t="inlineStr">
        <is>
          <t>Zhang, Yi; Wu, Wei; Li, Yuan; Liu, Qixing; Li, Chaoyang</t>
        </is>
      </c>
      <c r="J1810" t="inlineStr">
        <is>
          <t>SUSTAINABILITY</t>
        </is>
      </c>
      <c r="M1810" t="inlineStr">
        <is>
          <t>English</t>
        </is>
      </c>
      <c r="N1810" t="inlineStr">
        <is>
          <t>Article</t>
        </is>
      </c>
      <c r="T1810" t="inlineStr">
        <is>
          <t>Does the Built Environment Make a Difference? An Investigation of Household Vehicle Use in Zhongshan Metropolitan Area, China</t>
        </is>
      </c>
      <c r="U1810" t="inlineStr">
        <is>
          <t>household vehicle use; car and motorcycle trips; built environment; neighborhood type; negative binomial regression</t>
        </is>
      </c>
      <c r="V1810" t="inlineStr">
        <is>
          <t>TRAVEL BEHAVIOR; URBAN FORM; LAND-USE; NEIGHBORHOOD; WALKING; OWNERSHIP; FREQUENCY; DENSITY; CHOICE; HOMES</t>
        </is>
      </c>
      <c r="W1810" t="inlineStr">
        <is>
          <t>To address worsening urban traffic and environmental issues, planners and policy makers in China have begun to recognize the importance of shaping vehicle use through the built environment. However, very few studies can be found that examine the relationship between the built environment and vehicle use in the Chinese context. With data collected in Zhongshan Metropolitan Area, this study examined how two built environment representations-simple measures and neighborhood types-were related to household car trips and motorcycle trips in China. The results of the negative binomial regression models showed that the household socio-demographic measures displayed significant association, and the built environment representations enhanced the explanatory powers. All else being equal, households in Zhongshan would generate less car and motorcycle trips if located in neighborhoods with denser land use development, better transit service and less connective street networks. In order to shape vehicle use, the findings provided informative insights for planners and policy makers to form a relatively high density of land use developments, slow down the construction of street networks, provide more jobs adjacent to residential areas and facilitate easy access to public transportation services.</t>
        </is>
      </c>
      <c r="X1810" t="inlineStr">
        <is>
          <t>[Zhang, Yi; Li, Chaoyang] Shanghai Jiao Tong Univ, Sch Naval Architecture Ocean &amp; Civil Engn, Shanghai 200240, Peoples R China; [Wu, Wei] Changsha Univ Sci &amp; Technol, Sch Traff &amp; Transportat Engn, Changsha 410004, Hunan, Peoples R China; [Li, Yuan] Xiamen Univ, Sch Architecture &amp; Civil Engn, Xiamen 361005, Peoples R China; [Liu, Qixing] Erasmus Univ, Rotterdam Sch Management, NL-3062 PA Rotterdam, Netherlands</t>
        </is>
      </c>
      <c r="Y1810" t="inlineStr">
        <is>
          <t>Shanghai Jiao Tong University; Changsha University of Science &amp; Technology; Xiamen University; Erasmus University Rotterdam; Erasmus University Rotterdam - Excl Erasmus MC</t>
        </is>
      </c>
      <c r="Z1810" t="inlineStr">
        <is>
          <t>Li, CY (corresponding author), Shanghai Jiao Tong Univ, Sch Naval Architecture Ocean &amp; Civil Engn, 800 Dongchuan Rd, Shanghai 200240, Peoples R China.</t>
        </is>
      </c>
      <c r="AA1810" t="inlineStr">
        <is>
          <t>darrenzhy@sjtu.edu.cn; weilliamwu@gmail.com; liyuan79@xmu.edu.cn; qliu@mba15.rsm.nl; cyljjf@sjtu.edu.cn</t>
        </is>
      </c>
      <c r="AB1810" t="inlineStr">
        <is>
          <t>ZHANG, YI/L-7428-2019; Li, Chao/GSM-8117-2022</t>
        </is>
      </c>
      <c r="AC1810" t="inlineStr">
        <is>
          <t>Li, Chao/0000-0001-6110-6210</t>
        </is>
      </c>
      <c r="AD1810" t="inlineStr">
        <is>
          <t>National Social Science Foundation of China [12ZD203, 14BSH032]; National Natural Science Foundation of China [51308336, 71273235]; China Postdoctoral Science Foundation [2013M541522]</t>
        </is>
      </c>
      <c r="AE1810" t="inlineStr">
        <is>
          <t>National Social Science Foundation of China(National Office of Philosophy and Social Sciences); National Natural Science Foundation of China(National Natural Science Foundation of China (NSFC)); China Postdoctoral Science Foundation(China Postdoctoral Science Foundation)</t>
        </is>
      </c>
      <c r="AF1810" t="inlineStr">
        <is>
          <t>The authors acknowledge the financial support of Project 12&amp;ZD203 of the National Social Science Foundation of China, Project 14BSH032 of the National Social Science Foundation of China, Project 51308336 of the National Natural Science Foundation of China, Project 71273235 of the National Natural Science Foundation of China, and Project 2013M541522 of the China Postdoctoral Science Foundation.</t>
        </is>
      </c>
      <c r="AH1810" t="n">
        <v>49</v>
      </c>
      <c r="AI1810" t="n">
        <v>30</v>
      </c>
      <c r="AJ1810" t="n">
        <v>30</v>
      </c>
      <c r="AK1810" t="n">
        <v>1</v>
      </c>
      <c r="AL1810" t="n">
        <v>42</v>
      </c>
      <c r="AM1810" t="inlineStr">
        <is>
          <t>MDPI</t>
        </is>
      </c>
      <c r="AN1810" t="inlineStr">
        <is>
          <t>BASEL</t>
        </is>
      </c>
      <c r="AO1810" t="inlineStr">
        <is>
          <t>ST ALBAN-ANLAGE 66, CH-4052 BASEL, SWITZERLAND</t>
        </is>
      </c>
      <c r="AQ1810" t="inlineStr">
        <is>
          <t>2071-1050</t>
        </is>
      </c>
      <c r="AS1810" t="inlineStr">
        <is>
          <t>SUSTAINABILITY-BASEL</t>
        </is>
      </c>
      <c r="AT1810" t="inlineStr">
        <is>
          <t>Sustainability</t>
        </is>
      </c>
      <c r="AU1810" t="inlineStr">
        <is>
          <t>AUG</t>
        </is>
      </c>
      <c r="AV1810" t="n">
        <v>2014</v>
      </c>
      <c r="AW1810" t="n">
        <v>6</v>
      </c>
      <c r="AX1810" t="n">
        <v>8</v>
      </c>
      <c r="BC1810" t="n">
        <v>4910</v>
      </c>
      <c r="BD1810" t="n">
        <v>4930</v>
      </c>
      <c r="BF1810" t="inlineStr">
        <is>
          <t>10.3390/su6084910</t>
        </is>
      </c>
      <c r="BG1810">
        <f>HYPERLINK("http://dx.doi.org/10.3390/su6084910","http://dx.doi.org/10.3390/su6084910")</f>
        <v/>
      </c>
      <c r="BJ1810" t="n">
        <v>21</v>
      </c>
      <c r="BK1810" t="inlineStr">
        <is>
          <t>Green &amp; Sustainable Science &amp; Technology; Environmental Sciences; Environmental Studies</t>
        </is>
      </c>
      <c r="BL1810" t="inlineStr">
        <is>
          <t>Science Citation Index Expanded (SCI-EXPANDED); Social Science Citation Index (SSCI)</t>
        </is>
      </c>
      <c r="BM1810" t="inlineStr">
        <is>
          <t>Science &amp; Technology - Other Topics; Environmental Sciences &amp; Ecology</t>
        </is>
      </c>
      <c r="BN1810" t="inlineStr">
        <is>
          <t>AO1UG</t>
        </is>
      </c>
      <c r="BP1810" t="inlineStr">
        <is>
          <t>Green Published, Green Submitted, gold</t>
        </is>
      </c>
      <c r="BS1810" t="inlineStr">
        <is>
          <t>2023-10-26</t>
        </is>
      </c>
      <c r="BT1810" t="inlineStr">
        <is>
          <t>WOS:000341099800013</t>
        </is>
      </c>
      <c r="BU1810">
        <f>HYPERLINK("https%3A%2F%2Fwww.webofscience.com%2Fwos%2Fwoscc%2Ffull-record%2FWOS:000341099800013","View Full Record in Web of Science")</f>
        <v/>
      </c>
    </row>
    <row r="1811">
      <c r="A1811" t="inlineStr">
        <is>
          <t>J</t>
        </is>
      </c>
      <c r="B1811" t="inlineStr">
        <is>
          <t>Lai, KY; Kumari, S; Gallacher, J; Webster, C; Sarkar, C</t>
        </is>
      </c>
      <c r="F1811" t="inlineStr">
        <is>
          <t>Lai, Ka Yan; Kumari, Sarika; Gallacher, John; Webster, Chris; Sarkar, Chinmoy</t>
        </is>
      </c>
      <c r="J1811" t="inlineStr">
        <is>
          <t>ENVIRONMENT INTERNATIONAL</t>
        </is>
      </c>
      <c r="M1811" t="inlineStr">
        <is>
          <t>English</t>
        </is>
      </c>
      <c r="N1811" t="inlineStr">
        <is>
          <t>Article</t>
        </is>
      </c>
      <c r="T1811" t="inlineStr">
        <is>
          <t>Associations of residential walkability and greenness with arterial stiffness in the UK Biobank</t>
        </is>
      </c>
      <c r="U1811" t="inlineStr">
        <is>
          <t>Arterial stiffness; Walkability; NDVI greenness; Built environment; UK Biobank; UKBUMP</t>
        </is>
      </c>
      <c r="V1811" t="inlineStr">
        <is>
          <t>LONG-TERM EXPOSURE; PHYSICAL-ACTIVITY; CARDIOVASCULAR RISK; AIR-POLLUTION; NEIGHBORHOOD WALKABILITY; URBAN GREEN; DISEASE; HYPERTENSION; HEART; REPRESENTATIVENESS</t>
        </is>
      </c>
      <c r="W1811" t="inlineStr">
        <is>
          <t>Background: Arterial stiffness is a key non-invasive marker of early vascular ageing, however, little is known of its associations with urban built environment. We examined the associations of objectively-measured residential walkability and greenness with arterial stiffness in a large UK-wide population cohort. Methods: We employed data from the baseline UK Biobank cohort comprising adult participants recruited over the period of 2006 to 2010. Residential walkability index, defined as a function of density (residential, retail and public transit), street-level design, and destination accessibility was measured using a 1-Km dwelling catchment, while greenness was modelled as the mean Normalized Difference Vegetation Index (NDVI) of 0.5-metre resolution assessed within a 0.5-Km catchment. Arterial stiffness index (ASI) was measured non-invasively from the pulse waveform. Linear regression models were developed to examine associations of walkability and greenness with arterial stiffness. Restricted cubic spline (RCS) models were developed to examine dose-response relationships. We also examined effect modifications by sex and age, as well as the interaction effect of greenness and walkability. Results: This cross-sectional study used a target sample of 169,704 UK Biobank participants aged &gt;= 39 years. After full adjustments, in reference to the lowest walkability exposure quartile, those in the highest were associated with lower ASI (13 = -0.083 m/s, 95% CI: -0.14 to -0.03, p = 0.005). Participants in the third and fourth NDVI greenness exposure quartiles were also associated with lower ASI (13 = -0.074 m/s, -0.14 to -0.01, p &lt; 0.020 for the third and 13 = -0.293 m/s, -0.36 to -0.23, p &lt; 0.001 for the fourth quartiles in reference to the first). The inverse association between NDVI greenness and ASI was more pronounced among women (p &lt; 0.001), older adults (p = 0.011) and among participants in the highest walkability quartile (p &lt; 0.001). Conclusion: Designing more walkable and greener residential environments can be a preventive intervention aimed at lowering the population distribution of vascular ageing and associated cardiovascular risks.</t>
        </is>
      </c>
      <c r="X1811" t="inlineStr">
        <is>
          <t>[Lai, Ka Yan; Kumari, Sarika; Webster, Chris; Sarkar, Chinmoy] Univ Hong Kong, Hlth High Dens Cities Lab, HKUrbanLab, Pokfulam, Knowles Bldg,Pokfulam Rd, Hong Kong, Peoples R China; [Gallacher, John] Univ Oxford, Warneford Hosp, Dept Psychiat, Oxford OX3 7JX, England; [Sarkar, Chinmoy] Univ Hong Kong, Sch Publ Hlth, Pokfulam, Patrick Manson Bldg,Sassoon Rd, Hong Kong, Peoples R China</t>
        </is>
      </c>
      <c r="Y1811" t="inlineStr">
        <is>
          <t>University of Hong Kong; University of Oxford; University of Hong Kong</t>
        </is>
      </c>
      <c r="Z1811" t="inlineStr">
        <is>
          <t>Sarkar, C (corresponding author), Univ Hong Kong, Hlth High Dens Cities Lab, HKUrbanLab, Pokfulam, Knowles Bldg,Pokfulam Rd, Hong Kong, Peoples R China.</t>
        </is>
      </c>
      <c r="AA1811" t="inlineStr">
        <is>
          <t>csarkar@hku.hk</t>
        </is>
      </c>
      <c r="AB1811" t="inlineStr">
        <is>
          <t>Webster, Christopher John/F-2039-2013</t>
        </is>
      </c>
      <c r="AC1811" t="inlineStr">
        <is>
          <t>Webster, Christopher John/0000-0002-2171-7495; Lai, Ka Yan/0000-0002-0764-244X; Sarkar, Chinmoy/0000-0001-5374-217X</t>
        </is>
      </c>
      <c r="AD1811" t="inlineStr">
        <is>
          <t>Hong Kong University's Post Graduate Research Fellowship; National Academy of Medicine, Washington -The University of Hong Kong Fellowship in Global Health Leadership</t>
        </is>
      </c>
      <c r="AE1811" t="inlineStr">
        <is>
          <t>Hong Kong University's Post Graduate Research Fellowship; National Academy of Medicine, Washington -The University of Hong Kong Fellowship in Global Health Leadership</t>
        </is>
      </c>
      <c r="AF1811" t="inlineStr">
        <is>
          <t>LKY was funded by Hong Kong University's Post Graduate Research Fellowship. CS acknowledges the National Academy of Medicine, Washington -The University of Hong Kong Fellowship in Global Health Leadership. The research used the UK Biobank resource (approved application number: 11730). We thank the Ordnance Survey GB, UK's National Mapping Agency, and Manchester Information and Associated Services (University of Manchester) for providing access to its UK-wide spatial data for use in this study.</t>
        </is>
      </c>
      <c r="AH1811" t="n">
        <v>68</v>
      </c>
      <c r="AI1811" t="n">
        <v>11</v>
      </c>
      <c r="AJ1811" t="n">
        <v>11</v>
      </c>
      <c r="AK1811" t="n">
        <v>3</v>
      </c>
      <c r="AL1811" t="n">
        <v>32</v>
      </c>
      <c r="AM1811" t="inlineStr">
        <is>
          <t>PERGAMON-ELSEVIER SCIENCE LTD</t>
        </is>
      </c>
      <c r="AN1811" t="inlineStr">
        <is>
          <t>OXFORD</t>
        </is>
      </c>
      <c r="AO1811" t="inlineStr">
        <is>
          <t>THE BOULEVARD, LANGFORD LANE, KIDLINGTON, OXFORD OX5 1GB, ENGLAND</t>
        </is>
      </c>
      <c r="AP1811" t="inlineStr">
        <is>
          <t>0160-4120</t>
        </is>
      </c>
      <c r="AQ1811" t="inlineStr">
        <is>
          <t>1873-6750</t>
        </is>
      </c>
      <c r="AS1811" t="inlineStr">
        <is>
          <t>ENVIRON INT</t>
        </is>
      </c>
      <c r="AT1811" t="inlineStr">
        <is>
          <t>Environ. Int.</t>
        </is>
      </c>
      <c r="AU1811" t="inlineStr">
        <is>
          <t>JAN</t>
        </is>
      </c>
      <c r="AV1811" t="n">
        <v>2022</v>
      </c>
      <c r="AW1811" t="n">
        <v>158</v>
      </c>
      <c r="BE1811" t="n">
        <v>106960</v>
      </c>
      <c r="BF1811" t="inlineStr">
        <is>
          <t>10.1016/j.envint.2021.106960</t>
        </is>
      </c>
      <c r="BG1811">
        <f>HYPERLINK("http://dx.doi.org/10.1016/j.envint.2021.106960","http://dx.doi.org/10.1016/j.envint.2021.106960")</f>
        <v/>
      </c>
      <c r="BI1811" t="inlineStr">
        <is>
          <t>OCT 2021</t>
        </is>
      </c>
      <c r="BJ1811" t="n">
        <v>10</v>
      </c>
      <c r="BK1811" t="inlineStr">
        <is>
          <t>Environmental Sciences</t>
        </is>
      </c>
      <c r="BL1811" t="inlineStr">
        <is>
          <t>Science Citation Index Expanded (SCI-EXPANDED)</t>
        </is>
      </c>
      <c r="BM1811" t="inlineStr">
        <is>
          <t>Environmental Sciences &amp; Ecology</t>
        </is>
      </c>
      <c r="BN1811" t="inlineStr">
        <is>
          <t>WW5BA</t>
        </is>
      </c>
      <c r="BO1811" t="n">
        <v>34735956</v>
      </c>
      <c r="BP1811" t="inlineStr">
        <is>
          <t>Green Published, gold</t>
        </is>
      </c>
      <c r="BS1811" t="inlineStr">
        <is>
          <t>2023-10-26</t>
        </is>
      </c>
      <c r="BT1811" t="inlineStr">
        <is>
          <t>WOS:000717930500001</t>
        </is>
      </c>
      <c r="BU1811">
        <f>HYPERLINK("https%3A%2F%2Fwww.webofscience.com%2Fwos%2Fwoscc%2Ffull-record%2FWOS:000717930500001","View Full Record in Web of Science")</f>
        <v/>
      </c>
    </row>
    <row r="1812">
      <c r="A1812" t="inlineStr">
        <is>
          <t>J</t>
        </is>
      </c>
      <c r="B1812" t="inlineStr">
        <is>
          <t>Rey, JF; Goyette, S; Gandolla, M; Palacios, M; Barazza, F; Pernot, JG</t>
        </is>
      </c>
      <c r="F1812" t="inlineStr">
        <is>
          <t>Rey, Joan Frederic; Goyette, Stephane; Gandolla, Mauro; Palacios, Martha; Barazza, Fabio; Goyette Pernot, Joelle</t>
        </is>
      </c>
      <c r="J1812" t="inlineStr">
        <is>
          <t>ATMOSPHERE</t>
        </is>
      </c>
      <c r="M1812" t="inlineStr">
        <is>
          <t>English</t>
        </is>
      </c>
      <c r="N1812" t="inlineStr">
        <is>
          <t>Article</t>
        </is>
      </c>
      <c r="T1812" t="inlineStr">
        <is>
          <t>Long-Term Impacts of Weather Conditions on Indoor Radon Concentration Measurements in Switzerland</t>
        </is>
      </c>
      <c r="U1812" t="inlineStr">
        <is>
          <t>radon; indoor radon levels; meteorological parameters; Switzerland; Jura mountains; public health concern</t>
        </is>
      </c>
      <c r="V1812" t="inlineStr">
        <is>
          <t>RESIDENTIAL RADON; HOUSES; RN-222</t>
        </is>
      </c>
      <c r="W1812" t="inlineStr">
        <is>
          <t>Radon is a natural and radioactive gas that can accumulate in indoor environments. Indoor radon concentration (IRC) is influenced, among other factors, by meteorology, which is the subject of this paper. Weather parameters impact indoor radon levels and have already been investigated, but rarely in Switzerland. Moreover, there is a strong need for a better understanding of the radon behaviour inside buildings in Switzerland for public health concerns as Switzerland is a radon prone area. Based on long-term, continuous, and hourly radon measurements, radon distributions classified according to different weather event definitions were investigated and then compared at three different study sites in Western Switzerland. Outdoor temperature influences the most indoor radon, and it is globally anti-correlated. Wind influences indoor radon, but it strongly depends on intensity, direction, and building characteristics. Precipitation influences periodically indoor radon levels relatively to their intensity. Atmospheric pressure and relative humidity do not seem to be huge determinants on IRC. Our results are in line with previous findings and provide a vivid example in Western Switzerland. This paper underlines the different influence complexities of radon, and the need to communicate about it within the broader public and with construction professionals, to raise awareness.</t>
        </is>
      </c>
      <c r="X1812" t="inlineStr">
        <is>
          <t>[Rey, Joan Frederic; Goyette, Stephane; Goyette Pernot, Joelle] HES SO Univ Appl Sci &amp; Arts Western, Sch Engn &amp; Architecture Fribourg, Western Swiss Ctr Indoor Air Qual &amp; Radon CroqAIR, Transform Inst, CH-1700 Fribourg, Switzerland; [Goyette, Stephane] Univ Geneva, Inst Environm Sci, Blvd Carl Vogt 66, CH-1205 Geneva, Switzerland; [Gandolla, Mauro] ECONS SA, CH-6934 Bioggio, Switzerland; [Palacios, Martha; Barazza, Fabio] Fed Off Publ Hlth, CH-3097 Liebefeld, Switzerland</t>
        </is>
      </c>
      <c r="Y1812" t="inlineStr">
        <is>
          <t>University of Geneva</t>
        </is>
      </c>
      <c r="Z1812" t="inlineStr">
        <is>
          <t>Rey, JF (corresponding author), HES SO Univ Appl Sci &amp; Arts Western, Sch Engn &amp; Architecture Fribourg, Western Swiss Ctr Indoor Air Qual &amp; Radon CroqAIR, Transform Inst, CH-1700 Fribourg, Switzerland.</t>
        </is>
      </c>
      <c r="AA1812" t="inlineStr">
        <is>
          <t>joanfrederic.rey@hefr.ch; stephane.goyette@unige.ch; mauro.gandolla@econs.ch; martha.palacios@bag.admin.ch; fabio.barazza@bag.admin.ch; Joelle.Goyette@hefr.ch</t>
        </is>
      </c>
      <c r="AB1812" t="inlineStr">
        <is>
          <t>Rey, Joan/GQA-4670-2022</t>
        </is>
      </c>
      <c r="AC1812" t="inlineStr">
        <is>
          <t>Goyette, Stephane/0000-0001-5199-5974; Goyette Pernot, Joelle/0000-0003-4699-0196; Rey, Joan/0000-0003-2109-7641</t>
        </is>
      </c>
      <c r="AH1812" t="n">
        <v>54</v>
      </c>
      <c r="AI1812" t="n">
        <v>6</v>
      </c>
      <c r="AJ1812" t="n">
        <v>6</v>
      </c>
      <c r="AK1812" t="n">
        <v>0</v>
      </c>
      <c r="AL1812" t="n">
        <v>7</v>
      </c>
      <c r="AM1812" t="inlineStr">
        <is>
          <t>MDPI</t>
        </is>
      </c>
      <c r="AN1812" t="inlineStr">
        <is>
          <t>BASEL</t>
        </is>
      </c>
      <c r="AO1812" t="inlineStr">
        <is>
          <t>ST ALBAN-ANLAGE 66, CH-4052 BASEL, SWITZERLAND</t>
        </is>
      </c>
      <c r="AQ1812" t="inlineStr">
        <is>
          <t>2073-4433</t>
        </is>
      </c>
      <c r="AS1812" t="inlineStr">
        <is>
          <t>ATMOSPHERE-BASEL</t>
        </is>
      </c>
      <c r="AT1812" t="inlineStr">
        <is>
          <t>Atmosphere</t>
        </is>
      </c>
      <c r="AU1812" t="inlineStr">
        <is>
          <t>JAN</t>
        </is>
      </c>
      <c r="AV1812" t="n">
        <v>2022</v>
      </c>
      <c r="AW1812" t="n">
        <v>13</v>
      </c>
      <c r="AX1812" t="n">
        <v>1</v>
      </c>
      <c r="BE1812" t="n">
        <v>92</v>
      </c>
      <c r="BF1812" t="inlineStr">
        <is>
          <t>10.3390/atmos13010092</t>
        </is>
      </c>
      <c r="BG1812">
        <f>HYPERLINK("http://dx.doi.org/10.3390/atmos13010092","http://dx.doi.org/10.3390/atmos13010092")</f>
        <v/>
      </c>
      <c r="BJ1812" t="n">
        <v>19</v>
      </c>
      <c r="BK1812" t="inlineStr">
        <is>
          <t>Environmental Sciences; Meteorology &amp; Atmospheric Sciences</t>
        </is>
      </c>
      <c r="BL1812" t="inlineStr">
        <is>
          <t>Science Citation Index Expanded (SCI-EXPANDED)</t>
        </is>
      </c>
      <c r="BM1812" t="inlineStr">
        <is>
          <t>Environmental Sciences &amp; Ecology; Meteorology &amp; Atmospheric Sciences</t>
        </is>
      </c>
      <c r="BN1812" t="inlineStr">
        <is>
          <t>YL9CZ</t>
        </is>
      </c>
      <c r="BP1812" t="inlineStr">
        <is>
          <t>Green Submitted, gold</t>
        </is>
      </c>
      <c r="BS1812" t="inlineStr">
        <is>
          <t>2023-10-26</t>
        </is>
      </c>
      <c r="BT1812" t="inlineStr">
        <is>
          <t>WOS:000746184900001</t>
        </is>
      </c>
      <c r="BU1812">
        <f>HYPERLINK("https%3A%2F%2Fwww.webofscience.com%2Fwos%2Fwoscc%2Ffull-record%2FWOS:000746184900001","View Full Record in Web of Science")</f>
        <v/>
      </c>
    </row>
    <row r="1813">
      <c r="A1813" t="inlineStr">
        <is>
          <t>J</t>
        </is>
      </c>
      <c r="B1813" t="inlineStr">
        <is>
          <t>Al-Ali, A; Maghelal, P; Alawadi, K</t>
        </is>
      </c>
      <c r="F1813" t="inlineStr">
        <is>
          <t>Al-Ali, Anfal; Maghelal, Praveen; Alawadi, Khaled</t>
        </is>
      </c>
      <c r="J1813" t="inlineStr">
        <is>
          <t>SUSTAINABILITY</t>
        </is>
      </c>
      <c r="M1813" t="inlineStr">
        <is>
          <t>English</t>
        </is>
      </c>
      <c r="N1813" t="inlineStr">
        <is>
          <t>Article</t>
        </is>
      </c>
      <c r="T1813" t="inlineStr">
        <is>
          <t>Assessing Neighborhood Satisfaction and Social Capital in a Multi-Cultural Setting of an Abu Dhabi Neighborhood</t>
        </is>
      </c>
      <c r="U1813" t="inlineStr">
        <is>
          <t>social capital; neighborhood satisfaction; built environment; open space; Abu Dhabi</t>
        </is>
      </c>
      <c r="V1813" t="inlineStr">
        <is>
          <t>PHYSICAL-ACTIVITY; RESIDENTS PERCEPTIONS; URBAN DESIGN; ENVIRONMENT; LANDSCAPE; WALKING; PARKS; FORM</t>
        </is>
      </c>
      <c r="W1813" t="inlineStr">
        <is>
          <t>Behavioral research studies propose that urban open spaces contribute to enhance sociability in urban areas. The urban areas in the city of Abu Dhabi are less appealing to attract vibrant activity and social life. This study investigates the role of the built environment in the enhancement of neighborhood satisfaction and social capital in a residential neighborhood of Abu Dhabi. A total of 145 residents were surveyed for their perception, attitude, and behavior. Regression analyses to predict the role of the built environment of the open space, as well as the ethnicity of respondents, on measures of neighborhood satisfaction and social capital were performed. Spatial data and audit tools were used to assess the lack of suitable built-environment in the study area. Results indicate that improvements to the built environment can improve both the social capital and neighborhood satisfaction of the urban residents of Abu Dhabi. Implications of this study include recommendations to enhance the experience of urban spaces in arid regions like Abu Dhabi. Recommendations include adding landscape elements, providing a comfortable walking environment, adding attractive locations and destinations, and a clean and safe environment with attractive buildings or homes.</t>
        </is>
      </c>
      <c r="X1813" t="inlineStr">
        <is>
          <t>[Al-Ali, Anfal] Khalifa Univ, Sustainable Crit Infrastruct Program, Abu Dhabi 127788, U Arab Emirates; [Maghelal, Praveen; Alawadi, Khaled] Khalifa Univ, Sustainable Crit Infrastruct Program, Abu Dhabi 127788, U Arab Emirates</t>
        </is>
      </c>
      <c r="Y1813" t="inlineStr">
        <is>
          <t>Khalifa University of Science &amp; Technology; Khalifa University of Science &amp; Technology</t>
        </is>
      </c>
      <c r="Z1813" t="inlineStr">
        <is>
          <t>Maghelal, P (corresponding author), Khalifa Univ, Sustainable Crit Infrastruct Program, Abu Dhabi 127788, U Arab Emirates.</t>
        </is>
      </c>
      <c r="AA1813" t="inlineStr">
        <is>
          <t>anfal.a.08@gmail.com; praveen.maghelal@ku.ac.ae; khaled.alawadi@ku.ac.ae</t>
        </is>
      </c>
      <c r="AB1813" t="inlineStr">
        <is>
          <t>Maghelal, Praveen/P-9743-2017; Maghelal, Praveen/JHT-4374-2023</t>
        </is>
      </c>
      <c r="AC1813" t="inlineStr">
        <is>
          <t>Maghelal, Praveen/0000-0003-0324-9955;</t>
        </is>
      </c>
      <c r="AH1813" t="n">
        <v>54</v>
      </c>
      <c r="AI1813" t="n">
        <v>8</v>
      </c>
      <c r="AJ1813" t="n">
        <v>8</v>
      </c>
      <c r="AK1813" t="n">
        <v>4</v>
      </c>
      <c r="AL1813" t="n">
        <v>15</v>
      </c>
      <c r="AM1813" t="inlineStr">
        <is>
          <t>MDPI</t>
        </is>
      </c>
      <c r="AN1813" t="inlineStr">
        <is>
          <t>BASEL</t>
        </is>
      </c>
      <c r="AO1813" t="inlineStr">
        <is>
          <t>ST ALBAN-ANLAGE 66, CH-4052 BASEL, SWITZERLAND</t>
        </is>
      </c>
      <c r="AQ1813" t="inlineStr">
        <is>
          <t>2071-1050</t>
        </is>
      </c>
      <c r="AS1813" t="inlineStr">
        <is>
          <t>SUSTAINABILITY-BASEL</t>
        </is>
      </c>
      <c r="AT1813" t="inlineStr">
        <is>
          <t>Sustainability</t>
        </is>
      </c>
      <c r="AU1813" t="inlineStr">
        <is>
          <t>APR</t>
        </is>
      </c>
      <c r="AV1813" t="n">
        <v>2020</v>
      </c>
      <c r="AW1813" t="n">
        <v>12</v>
      </c>
      <c r="AX1813" t="n">
        <v>8</v>
      </c>
      <c r="BE1813" t="n">
        <v>3200</v>
      </c>
      <c r="BF1813" t="inlineStr">
        <is>
          <t>10.3390/su12083200</t>
        </is>
      </c>
      <c r="BG1813">
        <f>HYPERLINK("http://dx.doi.org/10.3390/su12083200","http://dx.doi.org/10.3390/su12083200")</f>
        <v/>
      </c>
      <c r="BJ1813" t="n">
        <v>16</v>
      </c>
      <c r="BK1813" t="inlineStr">
        <is>
          <t>Green &amp; Sustainable Science &amp; Technology; Environmental Sciences; Environmental Studies</t>
        </is>
      </c>
      <c r="BL1813" t="inlineStr">
        <is>
          <t>Science Citation Index Expanded (SCI-EXPANDED); Social Science Citation Index (SSCI)</t>
        </is>
      </c>
      <c r="BM1813" t="inlineStr">
        <is>
          <t>Science &amp; Technology - Other Topics; Environmental Sciences &amp; Ecology</t>
        </is>
      </c>
      <c r="BN1813" t="inlineStr">
        <is>
          <t>LR3MY</t>
        </is>
      </c>
      <c r="BP1813" t="inlineStr">
        <is>
          <t>Green Published, gold</t>
        </is>
      </c>
      <c r="BS1813" t="inlineStr">
        <is>
          <t>2023-10-26</t>
        </is>
      </c>
      <c r="BT1813" t="inlineStr">
        <is>
          <t>WOS:000535598700133</t>
        </is>
      </c>
      <c r="BU1813">
        <f>HYPERLINK("https%3A%2F%2Fwww.webofscience.com%2Fwos%2Fwoscc%2Ffull-record%2FWOS:000535598700133","View Full Record in Web of Science")</f>
        <v/>
      </c>
    </row>
    <row r="1814">
      <c r="A1814" t="inlineStr">
        <is>
          <t>J</t>
        </is>
      </c>
      <c r="B1814" t="inlineStr">
        <is>
          <t>López, CPS; Troia, F; Nocera, F</t>
        </is>
      </c>
      <c r="F1814" t="inlineStr">
        <is>
          <t>Polo Lopez, Cristina S.; Troia, Floriana; Nocera, Francesco</t>
        </is>
      </c>
      <c r="J1814" t="inlineStr">
        <is>
          <t>SUSTAINABILITY</t>
        </is>
      </c>
      <c r="M1814" t="inlineStr">
        <is>
          <t>English</t>
        </is>
      </c>
      <c r="N1814" t="inlineStr">
        <is>
          <t>Article</t>
        </is>
      </c>
      <c r="T1814" t="inlineStr">
        <is>
          <t>Photovoltaic BIPV Systems and Architectural Heritage: New Balance between Conservation and Transformation. An Assessment Method for Heritage Values Compatibility and Energy Benefits of Interventions</t>
        </is>
      </c>
      <c r="U1814" t="inlineStr">
        <is>
          <t>solar energy; heritage buildings; energy efficiency; building integrated photovoltaic BIPV; renewable energy sources (RES)</t>
        </is>
      </c>
      <c r="V1814" t="inlineStr">
        <is>
          <t>HISTORIC BUILDINGS; INTEGRATION; CRITERIA; REFURBISHMENT; EFFICIENCY; RETROFITS; DESIGN</t>
        </is>
      </c>
      <c r="W1814" t="inlineStr">
        <is>
          <t>This paper proposes to identify an approach methodology for the incorporation of building-integrated photovoltaic systems (BIPV) in existing architectural heritage, considering regulatory, conservation and energy aspects. The main objective is to provide information about guidance criteria related to the integration of BIPV in historical buildings and about intervention methods. That will be followed by the development of useful data to reorient and update the guidelines and guidance documents, both for the design approach and for the evaluation of potential future interventions. The research methodology includes a categorization and analysis of European and Swiss case studies, taking into account the state of preservation of the building before the intervention, the data of the applied photovoltaic technology and the aesthetic and energy contribution of the intervention. The result, in the form of graphic schedules, provides complete information for a real evaluation of the analyzed case studies and of the BIPV technological system used in historical contexts. This research promotes a conscious BIPV as a real opportunity to use technology and a contemporary architectural language capable of dialoguing with pre-existing buildings to significantly improve energy efficiency and determine a new value system for the historical building and its environment.</t>
        </is>
      </c>
      <c r="X1814" t="inlineStr">
        <is>
          <t>[Polo Lopez, Cristina S.] Univ Appl Sci &amp; Arts Southern Switzerland SUPSI, Swiss BIPV Competence Ctr, Innovat Envelope Grp,Dept Environm Construct &amp; De, Bldg Syst Sect,Inst Appl Sustainabil Built Enviro, Via Francesco Catenazzi 23, CH-6850 Mendrisio, Switzerland; [Troia, Floriana; Nocera, Francesco] Univ Catania, Dept Civil Engn &amp; Architecture DICAR, Viale A Doria 6, I-95125 Catania, Italy</t>
        </is>
      </c>
      <c r="Y1814" t="inlineStr">
        <is>
          <t>University of Catania</t>
        </is>
      </c>
      <c r="Z1814" t="inlineStr">
        <is>
          <t>López, CPS (corresponding author), Univ Appl Sci &amp; Arts Southern Switzerland SUPSI, Swiss BIPV Competence Ctr, Innovat Envelope Grp,Dept Environm Construct &amp; De, Bldg Syst Sect,Inst Appl Sustainabil Built Enviro, Via Francesco Catenazzi 23, CH-6850 Mendrisio, Switzerland.</t>
        </is>
      </c>
      <c r="AA1814" t="inlineStr">
        <is>
          <t>cristina.polo@supsi.ch; troiafloriana@virgilio.it; francesco.nocera@unict.it</t>
        </is>
      </c>
      <c r="AB1814" t="inlineStr">
        <is>
          <t>; Nocera, Francesco/C-4712-2013</t>
        </is>
      </c>
      <c r="AC1814" t="inlineStr">
        <is>
          <t>Polo Lopez, Cristina Silvia/0000-0001-6590-1043; Nocera, Francesco/0000-0001-5673-5418</t>
        </is>
      </c>
      <c r="AD1814" t="inlineStr">
        <is>
          <t>European Union, European Regional Development Fund; Italian Government; Interreg V-A Italy-Switzerland Cooperation Program [603882]; Interreg Alpine Space Project ATLAS [ASP644]; NPR (SECO) through the coordinated European regional development fund; Swiss Federal Office of Energy (SFOE) [SI/501896-01]; Swiss Confederation</t>
        </is>
      </c>
      <c r="AE1814" t="inlineStr">
        <is>
          <t>European Union, European Regional Development Fund(European Union (EU)); Italian Government; Interreg V-A Italy-Switzerland Cooperation Program; Interreg Alpine Space Project ATLAS; NPR (SECO) through the coordinated European regional development fund; Swiss Federal Office of Energy (SFOE); Swiss Confederation</t>
        </is>
      </c>
      <c r="AF1814" t="inlineStr">
        <is>
          <t>This research was co-financed by the European Union, European Regional Development Fund, the Italian Government, the Swiss Confederation and Cantons, as part of the Interreg V-A Italy-Switzerland Cooperation Program, within the context of the BIPV meets History Value-chain creation for the building integrated photovoltaics in the energy retrofit of transnational historic buildings project (grant No. 603882). In addition, authors are especially grateful for the financial support to the Interreg Alpine Space Project ATLAS (grant No. ASP644) which works are cofinanced under the NPR (SECO) through the coordinated European regional development fund and coordinated by the Federal Office for Spatial Development (ARE) and express their gratitude to Swiss Federal Office of Energy (SFOE) for supporting the participation to the joint IEA-SHC Task59/IEA-EBC Annex76 activities (grant No. SI/501896-01).</t>
        </is>
      </c>
      <c r="AH1814" t="n">
        <v>85</v>
      </c>
      <c r="AI1814" t="n">
        <v>5</v>
      </c>
      <c r="AJ1814" t="n">
        <v>5</v>
      </c>
      <c r="AK1814" t="n">
        <v>5</v>
      </c>
      <c r="AL1814" t="n">
        <v>21</v>
      </c>
      <c r="AM1814" t="inlineStr">
        <is>
          <t>MDPI</t>
        </is>
      </c>
      <c r="AN1814" t="inlineStr">
        <is>
          <t>BASEL</t>
        </is>
      </c>
      <c r="AO1814" t="inlineStr">
        <is>
          <t>ST ALBAN-ANLAGE 66, CH-4052 BASEL, SWITZERLAND</t>
        </is>
      </c>
      <c r="AQ1814" t="inlineStr">
        <is>
          <t>2071-1050</t>
        </is>
      </c>
      <c r="AS1814" t="inlineStr">
        <is>
          <t>SUSTAINABILITY-BASEL</t>
        </is>
      </c>
      <c r="AT1814" t="inlineStr">
        <is>
          <t>Sustainability</t>
        </is>
      </c>
      <c r="AU1814" t="inlineStr">
        <is>
          <t>MAY</t>
        </is>
      </c>
      <c r="AV1814" t="n">
        <v>2021</v>
      </c>
      <c r="AW1814" t="n">
        <v>13</v>
      </c>
      <c r="AX1814" t="n">
        <v>9</v>
      </c>
      <c r="BE1814" t="n">
        <v>5107</v>
      </c>
      <c r="BF1814" t="inlineStr">
        <is>
          <t>10.3390/su13095107</t>
        </is>
      </c>
      <c r="BG1814">
        <f>HYPERLINK("http://dx.doi.org/10.3390/su13095107","http://dx.doi.org/10.3390/su13095107")</f>
        <v/>
      </c>
      <c r="BJ1814" t="n">
        <v>31</v>
      </c>
      <c r="BK1814" t="inlineStr">
        <is>
          <t>Green &amp; Sustainable Science &amp; Technology; Environmental Sciences; Environmental Studies</t>
        </is>
      </c>
      <c r="BL1814" t="inlineStr">
        <is>
          <t>Science Citation Index Expanded (SCI-EXPANDED); Social Science Citation Index (SSCI)</t>
        </is>
      </c>
      <c r="BM1814" t="inlineStr">
        <is>
          <t>Science &amp; Technology - Other Topics; Environmental Sciences &amp; Ecology</t>
        </is>
      </c>
      <c r="BN1814" t="inlineStr">
        <is>
          <t>SC7SJ</t>
        </is>
      </c>
      <c r="BP1814" t="inlineStr">
        <is>
          <t>gold</t>
        </is>
      </c>
      <c r="BS1814" t="inlineStr">
        <is>
          <t>2023-10-26</t>
        </is>
      </c>
      <c r="BT1814" t="inlineStr">
        <is>
          <t>WOS:000650865500001</t>
        </is>
      </c>
      <c r="BU1814">
        <f>HYPERLINK("https%3A%2F%2Fwww.webofscience.com%2Fwos%2Fwoscc%2Ffull-record%2FWOS:000650865500001","View Full Record in Web of Science")</f>
        <v/>
      </c>
    </row>
    <row r="1815">
      <c r="A1815" t="inlineStr">
        <is>
          <t>J</t>
        </is>
      </c>
      <c r="B1815" t="inlineStr">
        <is>
          <t>da Silva, WA; Martins, VF; Haas, AN; Gonçalves, AK</t>
        </is>
      </c>
      <c r="F1815" t="inlineStr">
        <is>
          <t>da Silva, Wagner Albo; Martins, Valeria Feijo; Haas, Aline Nogueira; Goncalves, Andrea Kruger</t>
        </is>
      </c>
      <c r="J1815" t="inlineStr">
        <is>
          <t>INTERNATIONAL JOURNAL OF ENVIRONMENTAL RESEARCH AND PUBLIC HEALTH</t>
        </is>
      </c>
      <c r="M1815" t="inlineStr">
        <is>
          <t>English</t>
        </is>
      </c>
      <c r="N1815" t="inlineStr">
        <is>
          <t>Article</t>
        </is>
      </c>
      <c r="T1815" t="inlineStr">
        <is>
          <t>Online Exercise Training Program for Brazilian Older Adults: Effects on Physical Fitness and Health-Related Variables of a Feasibility Study in Times of COVID-19</t>
        </is>
      </c>
      <c r="U1815" t="inlineStr">
        <is>
          <t>older adult; internet-based intervention; exercise; feasibility studies; COVID-19</t>
        </is>
      </c>
      <c r="V1815" t="inlineStr">
        <is>
          <t>FEAR</t>
        </is>
      </c>
      <c r="W1815" t="inlineStr">
        <is>
          <t>The COVID-19 pandemic brought negative consequences such as social isolation and limited access to health services, especially for older adults. The objective was to evaluate effects of an online exercise training program and physical fitness and health-related variables on Brazilian older adults during the COVID-19 pandemic and secondarily to assess the feasibility and application of an online program. A study was developed with twenty older adults who participated in a 9-month online exercise program. The physical fitness, depressive symptoms, concern about falling, and quality of life were assessed pre- and post-intervention. One-way repeated measures ANOVA and effect size was used. The feasibility was proven by the adherence to the program, in addition to the absence of identification of adverse effects. The results showed that physical fitness was improved (upper limb strength) or maintained (lower limb strength, lower and upper limb flexibility, cardiorespiratory fitness), as well as for most of the health-related variables (depressive symptoms, concern about falling, and quality of life domains). The study was developed in the first COVID-19 lockdown in Brazil, but positive and important results were obtained. This research supports the feasibility of the online exercise training program and provides a basis for an online exercise program for older adults.</t>
        </is>
      </c>
      <c r="X1815" t="inlineStr">
        <is>
          <t>[da Silva, Wagner Albo; Martins, Valeria Feijo; Haas, Aline Nogueira; Goncalves, Andrea Kruger] Univ Fed Rio Grande do Sul, Sch Phys Educ Physiotherapy &amp; Dance, LaBiodin Biodynam Lab, BR-90010150 Porto Alegre, RS, Brazil</t>
        </is>
      </c>
      <c r="Y1815" t="inlineStr">
        <is>
          <t>Universidade Federal do Rio Grande do Sul</t>
        </is>
      </c>
      <c r="Z1815" t="inlineStr">
        <is>
          <t>Gonçalves, AK (corresponding author), Univ Fed Rio Grande do Sul, Sch Phys Educ Physiotherapy &amp; Dance, LaBiodin Biodynam Lab, BR-90010150 Porto Alegre, RS, Brazil.</t>
        </is>
      </c>
      <c r="AA1815" t="inlineStr">
        <is>
          <t>andreakg@ufrgs.br</t>
        </is>
      </c>
      <c r="AB1815" t="inlineStr">
        <is>
          <t>Gonçalves, ana/JJF-8262-2023; GONÇALVES, ANA KATHERINE/K-2300-2017; Gonçalves, Ana/JFN-2203-2023; Haas, Aline Nogueira/U-2319-2019</t>
        </is>
      </c>
      <c r="AC1815" t="inlineStr">
        <is>
          <t>GONÇALVES, ANA KATHERINE/0000-0002-8351-5119; Haas, Aline Nogueira/0000-0003-4583-0668; Goncalves, Andrea Kruger/0000-0003-2772-3260; Martins, Valeria Feijo/0000-0001-5079-947X</t>
        </is>
      </c>
      <c r="AD1815" t="inlineStr">
        <is>
          <t>coordination for the improvement of higher education personnel-Brazil (CAPES) [001]</t>
        </is>
      </c>
      <c r="AE1815" t="inlineStr">
        <is>
          <t>coordination for the improvement of higher education personnel-Brazil (CAPES)(Coordenacao de Aperfeicoamento de Pessoal de Nivel Superior (CAPES))</t>
        </is>
      </c>
      <c r="AF1815" t="inlineStr">
        <is>
          <t>The study was supported by a grant from the coordination for the improvement of higher education personnel-Brazil (CAPES)-financing code 001, for the masters and doctorate scholarships.</t>
        </is>
      </c>
      <c r="AH1815" t="n">
        <v>29</v>
      </c>
      <c r="AI1815" t="n">
        <v>0</v>
      </c>
      <c r="AJ1815" t="n">
        <v>0</v>
      </c>
      <c r="AK1815" t="n">
        <v>3</v>
      </c>
      <c r="AL1815" t="n">
        <v>5</v>
      </c>
      <c r="AM1815" t="inlineStr">
        <is>
          <t>MDPI</t>
        </is>
      </c>
      <c r="AN1815" t="inlineStr">
        <is>
          <t>BASEL</t>
        </is>
      </c>
      <c r="AO1815" t="inlineStr">
        <is>
          <t>ST ALBAN-ANLAGE 66, CH-4052 BASEL, SWITZERLAND</t>
        </is>
      </c>
      <c r="AQ1815" t="inlineStr">
        <is>
          <t>1660-4601</t>
        </is>
      </c>
      <c r="AS1815" t="inlineStr">
        <is>
          <t>INT J ENV RES PUB HE</t>
        </is>
      </c>
      <c r="AT1815" t="inlineStr">
        <is>
          <t>Int. J. Environ. Res. Public Health</t>
        </is>
      </c>
      <c r="AU1815" t="inlineStr">
        <is>
          <t>NOV</t>
        </is>
      </c>
      <c r="AV1815" t="n">
        <v>2022</v>
      </c>
      <c r="AW1815" t="n">
        <v>19</v>
      </c>
      <c r="AX1815" t="n">
        <v>21</v>
      </c>
      <c r="BE1815" t="n">
        <v>14042</v>
      </c>
      <c r="BF1815" t="inlineStr">
        <is>
          <t>10.3390/ijerph192114042</t>
        </is>
      </c>
      <c r="BG1815">
        <f>HYPERLINK("http://dx.doi.org/10.3390/ijerph192114042","http://dx.doi.org/10.3390/ijerph192114042")</f>
        <v/>
      </c>
      <c r="BJ1815" t="n">
        <v>10</v>
      </c>
      <c r="BK1815" t="inlineStr">
        <is>
          <t>Environmental Sciences; Public, Environmental &amp; Occupational Health</t>
        </is>
      </c>
      <c r="BL1815" t="inlineStr">
        <is>
          <t>Science Citation Index Expanded (SCI-EXPANDED); Social Science Citation Index (SSCI)</t>
        </is>
      </c>
      <c r="BM1815" t="inlineStr">
        <is>
          <t>Environmental Sciences &amp; Ecology; Public, Environmental &amp; Occupational Health</t>
        </is>
      </c>
      <c r="BN1815" t="inlineStr">
        <is>
          <t>6B2TI</t>
        </is>
      </c>
      <c r="BO1815" t="n">
        <v>36360923</v>
      </c>
      <c r="BP1815" t="inlineStr">
        <is>
          <t>Green Published, gold</t>
        </is>
      </c>
      <c r="BS1815" t="inlineStr">
        <is>
          <t>2023-10-26</t>
        </is>
      </c>
      <c r="BT1815" t="inlineStr">
        <is>
          <t>WOS:000881191500001</t>
        </is>
      </c>
      <c r="BU1815">
        <f>HYPERLINK("https%3A%2F%2Fwww.webofscience.com%2Fwos%2Fwoscc%2Ffull-record%2FWOS:000881191500001","View Full Record in Web of Science")</f>
        <v/>
      </c>
    </row>
    <row r="1816">
      <c r="A1816" t="inlineStr">
        <is>
          <t>J</t>
        </is>
      </c>
      <c r="B1816" t="inlineStr">
        <is>
          <t>Li, CB; Guo, YQ</t>
        </is>
      </c>
      <c r="F1816" t="inlineStr">
        <is>
          <t>Li, Chengbo; Guo, Yanqi</t>
        </is>
      </c>
      <c r="J1816" t="inlineStr">
        <is>
          <t>INTERNATIONAL JOURNAL OF ENVIRONMENTAL RESEARCH AND PUBLIC HEALTH</t>
        </is>
      </c>
      <c r="M1816" t="inlineStr">
        <is>
          <t>English</t>
        </is>
      </c>
      <c r="N1816" t="inlineStr">
        <is>
          <t>Article</t>
        </is>
      </c>
      <c r="T1816" t="inlineStr">
        <is>
          <t>The Effect of Socio-Economic Status on Health Information Literacy among Urban Older Adults: Evidence from Western China</t>
        </is>
      </c>
      <c r="U1816" t="inlineStr">
        <is>
          <t>health information literacy; health information literacy deficit; socio-economic status; social gradient; older Chinese adults</t>
        </is>
      </c>
      <c r="V1816" t="inlineStr">
        <is>
          <t>SOCIAL GRADIENTS; EUROPEAN COUNTRIES; INEQUALITIES; INTERNET; DETERMINANTS; ATTENDANCE; SEEKING; TRENDS</t>
        </is>
      </c>
      <c r="W1816" t="inlineStr">
        <is>
          <t>The present study aimed to observe the effect of socio-economic status on health information literacy and to identify whether there is a social gradient for health information literacy among urban older adults in Western China. This study employed a cross-sectional research design, and 812 urban participants aged 60 and older were enrolled in Western China. In the current study, only 16.7% of urban older adults reported having adequate health information literacy. Binary logistic regression analysis showed that socio-economic status factors including educational attainment, ethnicity, and financial strain were significantly and tightly associated with health information literacy. Additionally, other factors including suffering from chronic diseases, information-seeking activity, reading magazines and books, and watching television were also significantly linked to health information literacy. Consistent with existing studies, the findings indicate the health information literacy deficit and demonstrate the crucial impact of socio-economic status on health information literacy, which implies a social gradient in health information literacy. The importance of other factors related to health information literacy are discussed as well. The results suggest that reducing the health information literacy deficit and social gradient in health information literacy must be considered as an important priority when developing public health and health education strategies, programs, and actions among urban older adults in Western China.</t>
        </is>
      </c>
      <c r="X1816" t="inlineStr">
        <is>
          <t>[Li, Chengbo; Guo, Yanqi] Chongqing Univ, Sch Journalism &amp; Commun, Chongqing 400044, Peoples R China</t>
        </is>
      </c>
      <c r="Y1816" t="inlineStr">
        <is>
          <t>Chongqing University</t>
        </is>
      </c>
      <c r="Z1816" t="inlineStr">
        <is>
          <t>Li, CB (corresponding author), Chongqing Univ, Sch Journalism &amp; Commun, Chongqing 400044, Peoples R China.</t>
        </is>
      </c>
      <c r="AA1816" t="inlineStr">
        <is>
          <t>lichengbo2009@126.com</t>
        </is>
      </c>
      <c r="AC1816" t="inlineStr">
        <is>
          <t>li, cheng bo/0000-0003-1367-201X</t>
        </is>
      </c>
      <c r="AD1816" t="inlineStr">
        <is>
          <t>National Planning Office of Philosophy and Social Science [16CRK014]; China Central Universities Fundamental Research Funds [2020CDJSK07XK09]</t>
        </is>
      </c>
      <c r="AE1816" t="inlineStr">
        <is>
          <t>National Planning Office of Philosophy and Social Science; China Central Universities Fundamental Research Funds</t>
        </is>
      </c>
      <c r="AF1816" t="inlineStr">
        <is>
          <t>This research was funded by National Planning Office of Philosophy and Social Science grant number [16CRK014] and China Central Universities Fundamental Research Funds grant number [2020CDJSK07XK09].</t>
        </is>
      </c>
      <c r="AH1816" t="n">
        <v>69</v>
      </c>
      <c r="AI1816" t="n">
        <v>8</v>
      </c>
      <c r="AJ1816" t="n">
        <v>8</v>
      </c>
      <c r="AK1816" t="n">
        <v>16</v>
      </c>
      <c r="AL1816" t="n">
        <v>113</v>
      </c>
      <c r="AM1816" t="inlineStr">
        <is>
          <t>MDPI</t>
        </is>
      </c>
      <c r="AN1816" t="inlineStr">
        <is>
          <t>BASEL</t>
        </is>
      </c>
      <c r="AO1816" t="inlineStr">
        <is>
          <t>ST ALBAN-ANLAGE 66, CH-4052 BASEL, SWITZERLAND</t>
        </is>
      </c>
      <c r="AQ1816" t="inlineStr">
        <is>
          <t>1660-4601</t>
        </is>
      </c>
      <c r="AS1816" t="inlineStr">
        <is>
          <t>INT J ENV RES PUB HE</t>
        </is>
      </c>
      <c r="AT1816" t="inlineStr">
        <is>
          <t>Int. J. Environ. Res. Public Health</t>
        </is>
      </c>
      <c r="AU1816" t="inlineStr">
        <is>
          <t>APR</t>
        </is>
      </c>
      <c r="AV1816" t="n">
        <v>2021</v>
      </c>
      <c r="AW1816" t="n">
        <v>18</v>
      </c>
      <c r="AX1816" t="n">
        <v>7</v>
      </c>
      <c r="BE1816" t="n">
        <v>3501</v>
      </c>
      <c r="BF1816" t="inlineStr">
        <is>
          <t>10.3390/ijerph18073501</t>
        </is>
      </c>
      <c r="BG1816">
        <f>HYPERLINK("http://dx.doi.org/10.3390/ijerph18073501","http://dx.doi.org/10.3390/ijerph18073501")</f>
        <v/>
      </c>
      <c r="BJ1816" t="n">
        <v>14</v>
      </c>
      <c r="BK1816" t="inlineStr">
        <is>
          <t>Environmental Sciences; Public, Environmental &amp; Occupational Health</t>
        </is>
      </c>
      <c r="BL1816" t="inlineStr">
        <is>
          <t>Science Citation Index Expanded (SCI-EXPANDED); Social Science Citation Index (SSCI)</t>
        </is>
      </c>
      <c r="BM1816" t="inlineStr">
        <is>
          <t>Environmental Sciences &amp; Ecology; Public, Environmental &amp; Occupational Health</t>
        </is>
      </c>
      <c r="BN1816" t="inlineStr">
        <is>
          <t>RK8EJ</t>
        </is>
      </c>
      <c r="BO1816" t="n">
        <v>33800562</v>
      </c>
      <c r="BP1816" t="inlineStr">
        <is>
          <t>gold, Green Published</t>
        </is>
      </c>
      <c r="BS1816" t="inlineStr">
        <is>
          <t>2023-10-26</t>
        </is>
      </c>
      <c r="BT1816" t="inlineStr">
        <is>
          <t>WOS:000638522100001</t>
        </is>
      </c>
      <c r="BU1816">
        <f>HYPERLINK("https%3A%2F%2Fwww.webofscience.com%2Fwos%2Fwoscc%2Ffull-record%2FWOS:000638522100001","View Full Record in Web of Science")</f>
        <v/>
      </c>
    </row>
    <row r="1817">
      <c r="A1817" t="inlineStr">
        <is>
          <t>J</t>
        </is>
      </c>
      <c r="B1817" t="inlineStr">
        <is>
          <t>Lemamsha, H; Papadopoulos, C; Randhawa, G</t>
        </is>
      </c>
      <c r="F1817" t="inlineStr">
        <is>
          <t>Lemamsha, Hamdi; Papadopoulos, Chris; Randhawa, Gurch</t>
        </is>
      </c>
      <c r="J1817" t="inlineStr">
        <is>
          <t>INTERNATIONAL JOURNAL OF ENVIRONMENTAL RESEARCH AND PUBLIC HEALTH</t>
        </is>
      </c>
      <c r="M1817" t="inlineStr">
        <is>
          <t>English</t>
        </is>
      </c>
      <c r="N1817" t="inlineStr">
        <is>
          <t>Article</t>
        </is>
      </c>
      <c r="T1817" t="inlineStr">
        <is>
          <t>Perceived Environmental Factors Associated with Obesity in Libyan Men and Women</t>
        </is>
      </c>
      <c r="U1817" t="inlineStr">
        <is>
          <t>obesity; Libya; neighbourhood environment</t>
        </is>
      </c>
      <c r="V1817" t="inlineStr">
        <is>
          <t>BODY-MASS INDEX; URBAN BUILT ENVIRONMENT; TIME PHYSICAL-ACTIVITY; PUBLIC-HEALTH CRISIS; LAND-USE MEASURES; OBESOGENIC ENVIRONMENTS; MULTILEVEL ANALYSIS; FOOD ENVIRONMENTS; OVERWEIGHT; NEIGHBORHOOD</t>
        </is>
      </c>
      <c r="W1817" t="inlineStr">
        <is>
          <t>Background: There is a lack of research pertaining to the links between built environment attributes and obesity in adults in the Eastern Mediterranean Region. In the Libyan context, no previous studies have been conducted to investigate this relationship. Therefore, the aim of this study was to examine associations between perceived neighbourhood built environmental attributes and obesity among Libyan men and women. The prevalence of overweight and obesity was also assessed. Methods: A cross-sectional study design was used for the population-based survey in Benghazi, Libya. A multi-stage cluster sampling technique was used to select Libyan adults from the Benghazi electoral register. The Physical Activity Neighbourhood Environment Scale (PANES) was used to measure participants' perception of neighbourhood environmental factors. Using the Tanita BC-601 Segmental Body Composition Monitor and a portable stadiometer, anthropometric measurements were taken at a mutually agreeable place by qualified nurses. Results: Four hundred and one Libyan adults were recruited (78% response rate). Participants were aged 20-65 years, 63% were female, and all had lived in Benghazi for over 10 years. The prevalence of obesity and overweight was 42.4% and 32.9% respectively. A significant association was found between BMI and 6 neighbourhood environment attributes, specifically: street connectivity, unsafe environment and committing crimes at night, and neighbourhood aesthetics. For men only, these were: access to public transport, access to recreational facilities, and unsafe environment and committing crimes during the day. The attribute 'residential density zones' was only significant for women. Conclusions: The study suggests that Libyan people are at risk of living in neighbourhoods with unsupportive environmental features of physical activity, which are likely to promote obesity of both genders. The findings of this study could inform Libyan health policies about interventions in the obesogenic environments that might slow the obesity epidemic and contain the public health crisis. This study suggests that further research is needed, within the Libyan context, to explore the impact of the neighbourhood environment attributes on contributing to increased obesity.</t>
        </is>
      </c>
      <c r="X1817" t="inlineStr">
        <is>
          <t>[Lemamsha, Hamdi] Univ Omar Al Mukhtar, Fac Med Sci, Al Bayda Campus,Labraq Rd,B1L12, Al Bayda, Libya; [Papadopoulos, Chris; Randhawa, Gurch] Univ Bedfordshire, Inst Hlth Res, Putteridge Bury Campus,Hitchin Rd, Luton LU2 8LE, Beds, England</t>
        </is>
      </c>
      <c r="Y1817" t="inlineStr">
        <is>
          <t>Omar Al Mukhtar University; University of Bedfordshire</t>
        </is>
      </c>
      <c r="Z1817" t="inlineStr">
        <is>
          <t>Randhawa, G (corresponding author), Univ Bedfordshire, Inst Hlth Res, Putteridge Bury Campus,Hitchin Rd, Luton LU2 8LE, Beds, England.</t>
        </is>
      </c>
      <c r="AA1817" t="inlineStr">
        <is>
          <t>dr_hamdi_lemamsha@outlook.com; chris.papadopoulos@beds.ac.uk; gurch.randhawa@beds.ac.uk</t>
        </is>
      </c>
      <c r="AC1817" t="inlineStr">
        <is>
          <t>randhawa, gurch/0000-0002-2289-5859</t>
        </is>
      </c>
      <c r="AD1817" t="inlineStr">
        <is>
          <t>Ministry of Higher Education and Scientific Research, Libya</t>
        </is>
      </c>
      <c r="AE1817" t="inlineStr">
        <is>
          <t>Ministry of Higher Education and Scientific Research, Libya</t>
        </is>
      </c>
      <c r="AF1817" t="inlineStr">
        <is>
          <t>This research was funded by the Ministry of Higher Education and Scientific Research, Libya.</t>
        </is>
      </c>
      <c r="AH1817" t="n">
        <v>66</v>
      </c>
      <c r="AI1817" t="n">
        <v>3</v>
      </c>
      <c r="AJ1817" t="n">
        <v>3</v>
      </c>
      <c r="AK1817" t="n">
        <v>1</v>
      </c>
      <c r="AL1817" t="n">
        <v>9</v>
      </c>
      <c r="AM1817" t="inlineStr">
        <is>
          <t>MDPI</t>
        </is>
      </c>
      <c r="AN1817" t="inlineStr">
        <is>
          <t>BASEL</t>
        </is>
      </c>
      <c r="AO1817" t="inlineStr">
        <is>
          <t>ST ALBAN-ANLAGE 66, CH-4052 BASEL, SWITZERLAND</t>
        </is>
      </c>
      <c r="AP1817" t="inlineStr">
        <is>
          <t>1660-4601</t>
        </is>
      </c>
      <c r="AS1817" t="inlineStr">
        <is>
          <t>INT J ENV RES PUB HE</t>
        </is>
      </c>
      <c r="AT1817" t="inlineStr">
        <is>
          <t>Int. J. Environ. Res. Public Health</t>
        </is>
      </c>
      <c r="AU1817" t="inlineStr">
        <is>
          <t>FEB</t>
        </is>
      </c>
      <c r="AV1817" t="n">
        <v>2018</v>
      </c>
      <c r="AW1817" t="n">
        <v>15</v>
      </c>
      <c r="AX1817" t="n">
        <v>2</v>
      </c>
      <c r="BE1817" t="n">
        <v>301</v>
      </c>
      <c r="BF1817" t="inlineStr">
        <is>
          <t>10.3390/ijerph15020301</t>
        </is>
      </c>
      <c r="BG1817">
        <f>HYPERLINK("http://dx.doi.org/10.3390/ijerph15020301","http://dx.doi.org/10.3390/ijerph15020301")</f>
        <v/>
      </c>
      <c r="BJ1817" t="n">
        <v>16</v>
      </c>
      <c r="BK1817" t="inlineStr">
        <is>
          <t>Environmental Sciences; Public, Environmental &amp; Occupational Health</t>
        </is>
      </c>
      <c r="BL1817" t="inlineStr">
        <is>
          <t>Science Citation Index Expanded (SCI-EXPANDED); Social Science Citation Index (SSCI)</t>
        </is>
      </c>
      <c r="BM1817" t="inlineStr">
        <is>
          <t>Environmental Sciences &amp; Ecology; Public, Environmental &amp; Occupational Health</t>
        </is>
      </c>
      <c r="BN1817" t="inlineStr">
        <is>
          <t>FY3LM</t>
        </is>
      </c>
      <c r="BO1817" t="n">
        <v>29425161</v>
      </c>
      <c r="BP1817" t="inlineStr">
        <is>
          <t>gold, Green Published, Green Submitted</t>
        </is>
      </c>
      <c r="BS1817" t="inlineStr">
        <is>
          <t>2023-10-26</t>
        </is>
      </c>
      <c r="BT1817" t="inlineStr">
        <is>
          <t>WOS:000426721400126</t>
        </is>
      </c>
      <c r="BU1817">
        <f>HYPERLINK("https%3A%2F%2Fwww.webofscience.com%2Fwos%2Fwoscc%2Ffull-record%2FWOS:000426721400126","View Full Record in Web of Science")</f>
        <v/>
      </c>
    </row>
    <row r="1818">
      <c r="A1818" t="inlineStr">
        <is>
          <t>J</t>
        </is>
      </c>
      <c r="B1818" t="inlineStr">
        <is>
          <t>Charreire, H; Verdot, C; de Edelenyi, FS; Deschasaux-Tanguy, M; Srour, B; Druesne-Pecollo, N; Esseddik, Y; Allès, B; Baudry, J; Deschamps, V; Salanave, B; Galan, P; Hercberg, S; Julia, C; Kesse-Guyot, E; Bellicha, A; Touvier, M; Oppert, JM</t>
        </is>
      </c>
      <c r="F1818" t="inlineStr">
        <is>
          <t>Charreire, Helene; Verdot, Charlotte; de Edelenyi, Fabien Szabo; Deschasaux-Tanguy, Melanie; Srour, Bernard; Druesne-Pecollo, Nathalie; Esseddik, Younes; Alles, Benjamin; Baudry, Julia; Deschamps, Valerie; Salanave, Benoit; Galan, Pilar; Hercberg, Serge; Julia, Chantal; Kesse-Guyot, Emmanuelle; Bellicha, Alice; Touvier, Mathilde; Oppert, Jean-Michel</t>
        </is>
      </c>
      <c r="H1818" t="inlineStr">
        <is>
          <t>Sapris Study Grp</t>
        </is>
      </c>
      <c r="J1818" t="inlineStr">
        <is>
          <t>INTERNATIONAL JOURNAL OF ENVIRONMENTAL RESEARCH AND PUBLIC HEALTH</t>
        </is>
      </c>
      <c r="M1818" t="inlineStr">
        <is>
          <t>English</t>
        </is>
      </c>
      <c r="N1818" t="inlineStr">
        <is>
          <t>Article</t>
        </is>
      </c>
      <c r="T1818" t="inlineStr">
        <is>
          <t>Correlates of Changes in Physical Activity and Sedentary Behaviors during the COVID-19 Lockdown in France: The NutriNet-Sante Cohort Study</t>
        </is>
      </c>
      <c r="U1818" t="inlineStr">
        <is>
          <t>longitudinal study; physical activity; sedentary behavior; COVID-19; lockdown; adults</t>
        </is>
      </c>
      <c r="W1818" t="inlineStr">
        <is>
          <t>Background: COVID-19 lockdowns represent natural experiments where limitations of movement impact on lifestyle behaviors. The aim of this paper was to assess how lockdowns have influenced physical activity and sedentary behaviors among French adults. Methods: 32,409 adults from the NutriNet-Sante study filled out questionnaires in April 2020 (the first 2 weeks after the start of lockdown) and in May 2020 (2 weeks before the lockdown ended). Participants were asked about changes in physical activity level and sitting time, types of physical activity performed, and main reasons for change. Results: For decreased physical activity, similar rates were found at the beginning and end of the lockdown (58 and 55%-56 and 53%, in women and men, respectively). For increased physical activity, the figures were lower (20 and 14%-23 and 18%, in women and men, respectively). The participants with a decreasing physical activity evolution were older and more likely to be living in urban areas. The main reasons for (i) decreased physical activity were limitations of movement and not liking indoor exercise, (ii) increased physical activity were to stay physically fit and healthy. Physical activity changes were inversely associated with reported depressive symptoms. Conclusions: Changes in physical activity and sedentary behaviors are heterogenous for both genders during the lockdown.</t>
        </is>
      </c>
      <c r="X1818" t="inlineStr">
        <is>
          <t>[Charreire, Helene] Univ Paris Est Creteil, Lab Urba, F-94000 Creteil, France; [Charreire, Helene; de Edelenyi, Fabien Szabo; Deschasaux-Tanguy, Melanie; Srour, Bernard; Druesne-Pecollo, Nathalie; Esseddik, Younes; Alles, Benjamin; Baudry, Julia; Galan, Pilar; Hercberg, Serge; Julia, Chantal; Kesse-Guyot, Emmanuelle; Bellicha, Alice; Touvier, Mathilde; Oppert, Jean-Michel] Sorbonne Paris Nord Univ, Univ Paris Cite,CRESS,Nutr Epidemiol Res Team ERE, Inst Natl Rech Agr Alimentat &amp; Environm INRAE, INSERM,CNAM,Epidemiol &amp; Stat Res Ctr, F-93017 Bobigny, France; [Charreire, Helene] Inst Univ France IUF, F-75005 Paris, France; [Verdot, Charlotte; Deschamps, Valerie; Salanave, Benoit] Sorbonne Paris Nord Univ, Univ Paris Cite,CRESS,INSERM,CNAM,Nutr Surveillan, Inst Natl Rech Agr Alimentat &amp; Environm INRAE, French Publ Hlth Agcy,Epidemiol &amp; Stat Res Ctr, F-93017 Bobigny, France; [Hercberg, Serge; Julia, Chantal] Avicenne Hosp, AP HP, Publ Hlth Dept, F-93000 Bobigny, France; [Oppert, Jean-Michel] Sorbonne Univ, Pitie Salpetriere Hosp, AP HP,Dept Nutr, Human Nutr Res Ctr Ile de France CRNH IdF, F-75013 Paris, France</t>
        </is>
      </c>
      <c r="Y1818" t="inlineStr">
        <is>
          <t>Universite Paris-Est-Creteil-Val-de-Marne (UPEC); UDICE-French Research Universities; Universite Paris Cite; Institut National de la Sante et de la Recherche Medicale (Inserm); heSam Universite; Conservatoire National Arts &amp; Metiers (CNAM); INRAE; Institut Universitaire de France; heSam Universite; Conservatoire National Arts &amp; Metiers (CNAM); INRAE; UDICE-French Research Universities; Universite Paris Cite; Institut National de la Sante et de la Recherche Medicale (Inserm); Assistance Publique Hopitaux Paris (APHP); Hopital Universitaire Avicenne - APHP; UDICE-French Research Universities; Universite Paris Cite; Hopital Universitaire Hotel-Dieu - APHP; Hopital Universitaire Paul-Brousse - APHP; UDICE-French Research Universities; Universite Paris Cite; Assistance Publique Hopitaux Paris (APHP); Hopital Universitaire Saint-Louis - APHP; Sorbonne Universite; Hopital Universitaire Cochin - APHP; Hopital Universitaire Hotel-Dieu - APHP; Hopital Universitaire Paul-Brousse - APHP; Hopital Universitaire Pitie-Salpetriere - APHP</t>
        </is>
      </c>
      <c r="Z1818" t="inlineStr">
        <is>
          <t>Charreire, H (corresponding author), Univ Paris Est Creteil, Lab Urba, F-94000 Creteil, France.;Charreire, H (corresponding author), Sorbonne Paris Nord Univ, Univ Paris Cite,CRESS,Nutr Epidemiol Res Team ERE, Inst Natl Rech Agr Alimentat &amp; Environm INRAE, INSERM,CNAM,Epidemiol &amp; Stat Res Ctr, F-93017 Bobigny, France.;Charreire, H (corresponding author), Inst Univ France IUF, F-75005 Paris, France.</t>
        </is>
      </c>
      <c r="AA1818" t="inlineStr">
        <is>
          <t>helene.charreire@u-pec.fr</t>
        </is>
      </c>
      <c r="AB1818" t="inlineStr">
        <is>
          <t>Verdot, Charlotte/F-3050-2017; Touvier, Mathilde/E-8817-2017; Oppert, Jean-Michel/F-2810-2017; de Edelenyi, Fabien Szabo/F-2715-2017; Serge, Hercberg/F-3038-2017; Kesse-Guyot, Emmanuelle/F-2692-2017; Alles, Benjamin/F-1006-2017; Galan, Pilar/F-2908-2017</t>
        </is>
      </c>
      <c r="AC1818" t="inlineStr">
        <is>
          <t>Verdot, Charlotte/0000-0002-7383-1222; Touvier, Mathilde/0000-0002-8322-8857; de Edelenyi, Fabien Szabo/0000-0002-8487-6557; Serge, Hercberg/0000-0002-3168-1350; Kesse-Guyot, Emmanuelle/0000-0002-9715-3534; Alles, Benjamin/0000-0002-7970-171X; Deschasaux, Melanie/0000-0002-3359-420X; Galan, Pilar/0000-0003-1706-3107; Julia, Chantal/0000-0003-2006-5269; Srour, Bernard/0000-0002-1277-3380; Bellicha, Alice/0000-0002-5572-487X</t>
        </is>
      </c>
      <c r="AD1818" t="inlineStr">
        <is>
          <t>Ministere de la Sante, Sante Publique France; Institut National de la Sante et de la RechercheMedicale (INSERM); Institut National de Recherche pour l'Agriculture, l'Alimentation et l'Environnement (INRAE); Conservatoire National des Arts et Metiers (CNAM); Universite Sorbonne Paris Nord; ANR [0009/SAPRIS/997/NB]; Fondation pour la Recherche Medicale (FRM); General Directorate of Research and Innovation (DGRI); Gustave Roussy Institute</t>
        </is>
      </c>
      <c r="AE1818" t="inlineStr">
        <is>
          <t>Ministere de la Sante, Sante Publique France; Institut National de la Sante et de la RechercheMedicale (INSERM)(Institut National de la Sante et de la Recherche Medicale (Inserm)); Institut National de Recherche pour l'Agriculture, l'Alimentation et l'Environnement (INRAE); Conservatoire National des Arts et Metiers (CNAM); Universite Sorbonne Paris Nord; ANR(Agence Nationale de la Recherche (ANR)); Fondation pour la Recherche Medicale (FRM)(Fondation pour la Recherche Medicale); General Directorate of Research and Innovation (DGRI); Gustave Roussy Institute</t>
        </is>
      </c>
      <c r="AF1818" t="inlineStr">
        <is>
          <t>The NutriNet-Sante cohort study was supported by the following public institutions: Ministere de la Sante, Sante Publique France, Institut National de la Sante et de la RechercheMedicale (INSERM), Institut National de Recherche pour l'Agriculture, l'Alimentation et l'Environnement (INRAE), Conservatoire National des Arts et Metiers Y(CNAM) and Universite Sorbonne Paris Nord. Study investigators are independent from the funders. The SAPRIS/SAPRIS-SERO projects received funding from the ANR Flash program of March 2020 (0009/SAPRIS/997/NB), the Fondation pour la Recherche Medicale (FRM), the General Directorate of Research and Innovation (DGRI) and the Gustave Roussy Institute. Funders had no role in the study design, the collection, analysis, and interpretation of data, the writing of the manuscript, or the decision to submit the article for publication.</t>
        </is>
      </c>
      <c r="AH1818" t="n">
        <v>38</v>
      </c>
      <c r="AI1818" t="n">
        <v>2</v>
      </c>
      <c r="AJ1818" t="n">
        <v>2</v>
      </c>
      <c r="AK1818" t="n">
        <v>2</v>
      </c>
      <c r="AL1818" t="n">
        <v>6</v>
      </c>
      <c r="AM1818" t="inlineStr">
        <is>
          <t>MDPI</t>
        </is>
      </c>
      <c r="AN1818" t="inlineStr">
        <is>
          <t>BASEL</t>
        </is>
      </c>
      <c r="AO1818" t="inlineStr">
        <is>
          <t>ST ALBAN-ANLAGE 66, CH-4052 BASEL, SWITZERLAND</t>
        </is>
      </c>
      <c r="AQ1818" t="inlineStr">
        <is>
          <t>1660-4601</t>
        </is>
      </c>
      <c r="AS1818" t="inlineStr">
        <is>
          <t>INT J ENV RES PUB HE</t>
        </is>
      </c>
      <c r="AT1818" t="inlineStr">
        <is>
          <t>Int. J. Environ. Res. Public Health</t>
        </is>
      </c>
      <c r="AU1818" t="inlineStr">
        <is>
          <t>OCT</t>
        </is>
      </c>
      <c r="AV1818" t="n">
        <v>2022</v>
      </c>
      <c r="AW1818" t="n">
        <v>19</v>
      </c>
      <c r="AX1818" t="n">
        <v>19</v>
      </c>
      <c r="BE1818" t="n">
        <v>12370</v>
      </c>
      <c r="BF1818" t="inlineStr">
        <is>
          <t>10.3390/ijerph191912370</t>
        </is>
      </c>
      <c r="BG1818">
        <f>HYPERLINK("http://dx.doi.org/10.3390/ijerph191912370","http://dx.doi.org/10.3390/ijerph191912370")</f>
        <v/>
      </c>
      <c r="BJ1818" t="n">
        <v>17</v>
      </c>
      <c r="BK1818" t="inlineStr">
        <is>
          <t>Environmental Sciences; Public, Environmental &amp; Occupational Health</t>
        </is>
      </c>
      <c r="BL1818" t="inlineStr">
        <is>
          <t>Science Citation Index Expanded (SCI-EXPANDED); Social Science Citation Index (SSCI)</t>
        </is>
      </c>
      <c r="BM1818" t="inlineStr">
        <is>
          <t>Environmental Sciences &amp; Ecology; Public, Environmental &amp; Occupational Health</t>
        </is>
      </c>
      <c r="BN1818" t="inlineStr">
        <is>
          <t>5H9TO</t>
        </is>
      </c>
      <c r="BO1818" t="n">
        <v>36231670</v>
      </c>
      <c r="BP1818" t="inlineStr">
        <is>
          <t>gold, Green Published</t>
        </is>
      </c>
      <c r="BS1818" t="inlineStr">
        <is>
          <t>2023-10-26</t>
        </is>
      </c>
      <c r="BT1818" t="inlineStr">
        <is>
          <t>WOS:000868013100001</t>
        </is>
      </c>
      <c r="BU1818">
        <f>HYPERLINK("https%3A%2F%2Fwww.webofscience.com%2Fwos%2Fwoscc%2Ffull-record%2FWOS:000868013100001","View Full Record in Web of Science")</f>
        <v/>
      </c>
    </row>
    <row r="1819">
      <c r="A1819" t="inlineStr">
        <is>
          <t>J</t>
        </is>
      </c>
      <c r="B1819" t="inlineStr">
        <is>
          <t>Wang, SQ; Yung, EHK; Cerin, E; Yu, YF; Yu, PH</t>
        </is>
      </c>
      <c r="F1819" t="inlineStr">
        <is>
          <t>Wang, Siqiang; Yung, Esther Hiu Kwan; Cerin, Ester; Yu, Yifan; Yu, Peiheng</t>
        </is>
      </c>
      <c r="J1819" t="inlineStr">
        <is>
          <t>INTERNATIONAL JOURNAL OF ENVIRONMENTAL RESEARCH AND PUBLIC HEALTH</t>
        </is>
      </c>
      <c r="M1819" t="inlineStr">
        <is>
          <t>English</t>
        </is>
      </c>
      <c r="N1819" t="inlineStr">
        <is>
          <t>Article</t>
        </is>
      </c>
      <c r="T1819" t="inlineStr">
        <is>
          <t>Older People's Usage Pattern, Satisfaction with Community Facility and Well-Being in Urban Old Districts</t>
        </is>
      </c>
      <c r="U1819" t="inlineStr">
        <is>
          <t>community facility; usage pattern; well-being; older people; urban old district</t>
        </is>
      </c>
      <c r="V1819" t="inlineStr">
        <is>
          <t>SPATIAL-DISTRIBUTION; BUILT ENVIRONMENT; HEALTH OUTCOMES; HIGH-DENSITY; OPEN SPACES; WALKING; CITY; LEVEL; NEIGHBORHOODS; ACCESSIBILITY</t>
        </is>
      </c>
      <c r="W1819" t="inlineStr">
        <is>
          <t>Community facilities are an important element that supports older people's daily life and promotes their well-being. However, there is a dearth of comprehensive studies on the effect of planning and design of different types of community facilities on older people's usage patterns and satisfaction. This study aims to provide a framework to explore the relationship among the planning of community facilities, older people's usage and satisfaction level and well-being for different types of community facilities. Both spatial analysis and questionnaire survey (n = 497) methods are employed in this study. This study finds that commercial (89.34%), municipal (83.10%) and leisure (88.13%) facilities are most commonly used by older people. This study suggests that older people's frequency of visiting community facilities is mainly affected by the purpose of visiting a community facility. Planning and design quality of the community facility are found to be significantly associated with older people's satisfaction level with using a community facility. In addition, older people's higher satisfaction level and usage level of community facilities could increase their physical and psychological well-being. The findings of this study not only contribute to the knowledge gap of older people's usage and satisfaction with using community facilities but also suggest that planners should aim toward a better distribution of community facilities to improve older adults' well-being.</t>
        </is>
      </c>
      <c r="X1819" t="inlineStr">
        <is>
          <t>[Wang, Siqiang; Yung, Esther Hiu Kwan; Yu, Peiheng] Hong Kong Polytech Univ, Dept Bldg &amp; Real Estate, Hong Kong, Peoples R China; [Cerin, Ester] Australian Catholic Univ, Mary MacKillop Inst Hlth Res, Melbourne, Vic 3000, Australia; [Cerin, Ester] Univ Hong Kong, Sch Publ Hlth, Hong Kong, Peoples R China; [Yu, Yifan] Tongji Univ, Coll Architecture &amp; Urban Planning, Shanghai 200092, Peoples R China</t>
        </is>
      </c>
      <c r="Y1819" t="inlineStr">
        <is>
          <t>Hong Kong Polytechnic University; Australian Catholic University; University of Hong Kong; Tongji University</t>
        </is>
      </c>
      <c r="Z1819" t="inlineStr">
        <is>
          <t>Wang, SQ (corresponding author), Hong Kong Polytech Univ, Dept Bldg &amp; Real Estate, Hong Kong, Peoples R China.</t>
        </is>
      </c>
      <c r="AA1819" t="inlineStr">
        <is>
          <t>siqiang-clarence.wang@connect.polyu.hk</t>
        </is>
      </c>
      <c r="AB1819" t="inlineStr">
        <is>
          <t>WANG, Siqiang/HZM-3777-2023; /L-1271-2015</t>
        </is>
      </c>
      <c r="AC1819" t="inlineStr">
        <is>
          <t>YU, Peiheng/0000-0002-8774-535X; WANG, Siqiang/0000-0001-9361-7197; /0000-0002-7599-165X; Yung, Esther/0000-0003-0028-9062</t>
        </is>
      </c>
      <c r="AD1819" t="inlineStr">
        <is>
          <t>General Research Fund of the Hong Kong SAR Government [PolyU 156102/18H]</t>
        </is>
      </c>
      <c r="AE1819" t="inlineStr">
        <is>
          <t>General Research Fund of the Hong Kong SAR Government</t>
        </is>
      </c>
      <c r="AF1819" t="inlineStr">
        <is>
          <t>This work was supported by the General Research Fund of the Hong Kong SAR Government (PolyU 156102/18H).</t>
        </is>
      </c>
      <c r="AH1819" t="n">
        <v>80</v>
      </c>
      <c r="AI1819" t="n">
        <v>3</v>
      </c>
      <c r="AJ1819" t="n">
        <v>3</v>
      </c>
      <c r="AK1819" t="n">
        <v>14</v>
      </c>
      <c r="AL1819" t="n">
        <v>38</v>
      </c>
      <c r="AM1819" t="inlineStr">
        <is>
          <t>MDPI</t>
        </is>
      </c>
      <c r="AN1819" t="inlineStr">
        <is>
          <t>BASEL</t>
        </is>
      </c>
      <c r="AO1819" t="inlineStr">
        <is>
          <t>ST ALBAN-ANLAGE 66, CH-4052 BASEL, SWITZERLAND</t>
        </is>
      </c>
      <c r="AQ1819" t="inlineStr">
        <is>
          <t>1660-4601</t>
        </is>
      </c>
      <c r="AS1819" t="inlineStr">
        <is>
          <t>INT J ENV RES PUB HE</t>
        </is>
      </c>
      <c r="AT1819" t="inlineStr">
        <is>
          <t>Int. J. Environ. Res. Public Health</t>
        </is>
      </c>
      <c r="AU1819" t="inlineStr">
        <is>
          <t>AUG</t>
        </is>
      </c>
      <c r="AV1819" t="n">
        <v>2022</v>
      </c>
      <c r="AW1819" t="n">
        <v>19</v>
      </c>
      <c r="AX1819" t="n">
        <v>16</v>
      </c>
      <c r="BE1819" t="n">
        <v>10297</v>
      </c>
      <c r="BF1819" t="inlineStr">
        <is>
          <t>10.3390/ijerph191610297</t>
        </is>
      </c>
      <c r="BG1819">
        <f>HYPERLINK("http://dx.doi.org/10.3390/ijerph191610297","http://dx.doi.org/10.3390/ijerph191610297")</f>
        <v/>
      </c>
      <c r="BJ1819" t="n">
        <v>24</v>
      </c>
      <c r="BK1819" t="inlineStr">
        <is>
          <t>Environmental Sciences; Public, Environmental &amp; Occupational Health</t>
        </is>
      </c>
      <c r="BL1819" t="inlineStr">
        <is>
          <t>Science Citation Index Expanded (SCI-EXPANDED); Social Science Citation Index (SSCI)</t>
        </is>
      </c>
      <c r="BM1819" t="inlineStr">
        <is>
          <t>Environmental Sciences &amp; Ecology; Public, Environmental &amp; Occupational Health</t>
        </is>
      </c>
      <c r="BN1819" t="inlineStr">
        <is>
          <t>4B5JN</t>
        </is>
      </c>
      <c r="BO1819" t="n">
        <v>36011933</v>
      </c>
      <c r="BP1819" t="inlineStr">
        <is>
          <t>gold, Green Published</t>
        </is>
      </c>
      <c r="BS1819" t="inlineStr">
        <is>
          <t>2023-10-26</t>
        </is>
      </c>
      <c r="BT1819" t="inlineStr">
        <is>
          <t>WOS:000845813600001</t>
        </is>
      </c>
      <c r="BU1819">
        <f>HYPERLINK("https%3A%2F%2Fwww.webofscience.com%2Fwos%2Fwoscc%2Ffull-record%2FWOS:000845813600001","View Full Record in Web of Science")</f>
        <v/>
      </c>
    </row>
    <row r="1820">
      <c r="A1820" t="inlineStr">
        <is>
          <t>J</t>
        </is>
      </c>
      <c r="B1820" t="inlineStr">
        <is>
          <t>Cheng, H; Lyu, KY; Li, JC; Shiu, H</t>
        </is>
      </c>
      <c r="F1820" t="inlineStr">
        <is>
          <t>Cheng, Hao; Lyu, Keyi; Li, Jiacheng; Shiu, Hoiyan</t>
        </is>
      </c>
      <c r="J1820" t="inlineStr">
        <is>
          <t>INTERNATIONAL JOURNAL OF ENVIRONMENTAL RESEARCH AND PUBLIC HEALTH</t>
        </is>
      </c>
      <c r="M1820" t="inlineStr">
        <is>
          <t>English</t>
        </is>
      </c>
      <c r="N1820" t="inlineStr">
        <is>
          <t>Article</t>
        </is>
      </c>
      <c r="T1820" t="inlineStr">
        <is>
          <t>Bridging the Digital Divide for Rural Older Adults by Family Intergenerational Learning: A Classroom Case in a Rural Primary School in China</t>
        </is>
      </c>
      <c r="U1820" t="inlineStr">
        <is>
          <t>digital society; digital divide; family intergenerational learning; home-school cooperation; rural older adult; China</t>
        </is>
      </c>
      <c r="V1820" t="inlineStr">
        <is>
          <t>INFORMATION-TECHNOLOGY; USER ACCEPTANCE; QUALITATIVE RESEARCH; EDUCATION; INTERVIEW</t>
        </is>
      </c>
      <c r="W1820" t="inlineStr">
        <is>
          <t>Rural older adults often feel disconnected from the ever-expanding digital world. To bridge the digital divide, researchers have investigated the effectiveness of formal education and training offered by various social institutions. However, existing research highlights a critical shortcoming in these approaches: a lack of attention paid to rural older adults' individual needs and interests. Based on the theories of post-metaphorical culture, endogenous development, home-school cooperation, and technology adoption and acceptance, this study implements a family intergenerational learning (FIL) project. FIL characterizes learning between grandparents and grandchildren within the household, suggesting a more practical and individualized strategy to help rural older adults gain digital literacy. By conducting a three-month FIL Project in a rural primary school class in China, the study employs a qualitative method to analyze learning records and interviews from 10 sets of participating grandparents and grandchildren. The analysis renders two critical findings on the effectiveness of the FIL Project for rural older adults. First, FIL can help rural older adults adapt into the digital world by (1) gaining knowledge about digital society, (2) improving their digital skills, (3) changing their lifestyles, and (4) understanding the integration between technology and society. Second, among grandchildren, FIL can cultivate an awareness of lifelong learning and their moral obligations to their grandparents. By illustrating this specific case, this study puts forward a new approach to help the older adults overcome the digital divide in rural areas.</t>
        </is>
      </c>
      <c r="X1820" t="inlineStr">
        <is>
          <t>[Cheng, Hao; Lyu, Keyi; Shiu, Hoiyan] East China Normal Univ, Dept Educ, Shanghai 200062, Peoples R China; [Li, Jiacheng] East China Normal Univ, Shanghai Municipal Inst Lifelong Educ, Shanghai 200062, Peoples R China</t>
        </is>
      </c>
      <c r="Y1820" t="inlineStr">
        <is>
          <t>East China Normal University; East China Normal University</t>
        </is>
      </c>
      <c r="Z1820" t="inlineStr">
        <is>
          <t>Lyu, KY (corresponding author), East China Normal Univ, Dept Educ, Shanghai 200062, Peoples R China.</t>
        </is>
      </c>
      <c r="AA1820" t="inlineStr">
        <is>
          <t>chenghaophd@163.com; kylyu1993@gmail.com; jcli@dem.ecnu.edu.cn; 1204101061@stu.ecnu.edu.cn</t>
        </is>
      </c>
      <c r="AB1820" t="inlineStr">
        <is>
          <t>lyu, keyi/AAE-6997-2022; Cheng, Hao/IXN-4685-2023</t>
        </is>
      </c>
      <c r="AC1820" t="inlineStr">
        <is>
          <t>Cheng, Hao/0000-0002-3133-9774; Lyu, Keyi/0000-0003-1865-1357</t>
        </is>
      </c>
      <c r="AH1820" t="n">
        <v>90</v>
      </c>
      <c r="AI1820" t="n">
        <v>8</v>
      </c>
      <c r="AJ1820" t="n">
        <v>8</v>
      </c>
      <c r="AK1820" t="n">
        <v>36</v>
      </c>
      <c r="AL1820" t="n">
        <v>145</v>
      </c>
      <c r="AM1820" t="inlineStr">
        <is>
          <t>MDPI</t>
        </is>
      </c>
      <c r="AN1820" t="inlineStr">
        <is>
          <t>BASEL</t>
        </is>
      </c>
      <c r="AO1820" t="inlineStr">
        <is>
          <t>ST ALBAN-ANLAGE 66, CH-4052 BASEL, SWITZERLAND</t>
        </is>
      </c>
      <c r="AQ1820" t="inlineStr">
        <is>
          <t>1660-4601</t>
        </is>
      </c>
      <c r="AS1820" t="inlineStr">
        <is>
          <t>INT J ENV RES PUB HE</t>
        </is>
      </c>
      <c r="AT1820" t="inlineStr">
        <is>
          <t>Int. J. Environ. Res. Public Health</t>
        </is>
      </c>
      <c r="AU1820" t="inlineStr">
        <is>
          <t>JAN</t>
        </is>
      </c>
      <c r="AV1820" t="n">
        <v>2022</v>
      </c>
      <c r="AW1820" t="n">
        <v>19</v>
      </c>
      <c r="AX1820" t="n">
        <v>1</v>
      </c>
      <c r="BE1820" t="n">
        <v>371</v>
      </c>
      <c r="BF1820" t="inlineStr">
        <is>
          <t>10.3390/ijerph19010371</t>
        </is>
      </c>
      <c r="BG1820">
        <f>HYPERLINK("http://dx.doi.org/10.3390/ijerph19010371","http://dx.doi.org/10.3390/ijerph19010371")</f>
        <v/>
      </c>
      <c r="BJ1820" t="n">
        <v>16</v>
      </c>
      <c r="BK1820" t="inlineStr">
        <is>
          <t>Environmental Sciences; Public, Environmental &amp; Occupational Health</t>
        </is>
      </c>
      <c r="BL1820" t="inlineStr">
        <is>
          <t>Science Citation Index Expanded (SCI-EXPANDED); Social Science Citation Index (SSCI)</t>
        </is>
      </c>
      <c r="BM1820" t="inlineStr">
        <is>
          <t>Environmental Sciences &amp; Ecology; Public, Environmental &amp; Occupational Health</t>
        </is>
      </c>
      <c r="BN1820" t="inlineStr">
        <is>
          <t>YE7XO</t>
        </is>
      </c>
      <c r="BO1820" t="n">
        <v>35010629</v>
      </c>
      <c r="BP1820" t="inlineStr">
        <is>
          <t>gold, Green Published</t>
        </is>
      </c>
      <c r="BS1820" t="inlineStr">
        <is>
          <t>2023-10-26</t>
        </is>
      </c>
      <c r="BT1820" t="inlineStr">
        <is>
          <t>WOS:000741334200001</t>
        </is>
      </c>
      <c r="BU1820">
        <f>HYPERLINK("https%3A%2F%2Fwww.webofscience.com%2Fwos%2Fwoscc%2Ffull-record%2FWOS:000741334200001","View Full Record in Web of Science")</f>
        <v/>
      </c>
    </row>
    <row r="1821">
      <c r="A1821" t="inlineStr">
        <is>
          <t>J</t>
        </is>
      </c>
      <c r="B1821" t="inlineStr">
        <is>
          <t>Even-Zohar, A; Shtanger, V; Israeli, A; Averbuch, E; Segal, G; Mayan, H; Steinlauf, S; Galper, A; Zimlichman, E</t>
        </is>
      </c>
      <c r="F1821" t="inlineStr">
        <is>
          <t>Even-Zohar, Ahuva; Shtanger, Varda; Israeli, Anat; Averbuch, Emma; Segal, Gad; Mayan, Haim; Steinlauf, Shmuel; Galper, Alex; Zimlichman, Eyal</t>
        </is>
      </c>
      <c r="J1821" t="inlineStr">
        <is>
          <t>INTERNATIONAL JOURNAL OF ENVIRONMENTAL RESEARCH AND PUBLIC HEALTH</t>
        </is>
      </c>
      <c r="M1821" t="inlineStr">
        <is>
          <t>English</t>
        </is>
      </c>
      <c r="N1821" t="inlineStr">
        <is>
          <t>Article</t>
        </is>
      </c>
      <c r="T1821" t="inlineStr">
        <is>
          <t>The Association between Health and Culture: The Perspective of Older Adult Hospital In-Patients in Israel</t>
        </is>
      </c>
      <c r="U1821" t="inlineStr">
        <is>
          <t>health; culture; older adults; hospital in-patients; ageism</t>
        </is>
      </c>
      <c r="V1821" t="inlineStr">
        <is>
          <t>AGEISM; ATTITUDES; NURSES; CARE; PHYSICIANS</t>
        </is>
      </c>
      <c r="W1821" t="inlineStr">
        <is>
          <t>People from different cultures are often hospitalized while the staff treating them do not have sufficient knowledge about the attitudes and feelings of the patients regarding culture and health. To fill this gap, the aim of this study was to examine the perspective of Israeli older adult hospital in-patients regarding the association between health and culture and to understand the meaning of the participants' experiences with regards to the medical staff's attitude towards them. This study was carried out using qualitative methodology that followed the interpretive interactionism approach. The research participants were 493 (mean age 70.81, S.D.: 15.88) in-patients at internal care departments at a hospital in Israel who answered an open-ended question included in the questionnaire as part of a wide study held during 2017 to 2018. Two main themes were found: (1) a humane attitude of respect and the right to privacy and (2) beliefs, values, and traditional medicine that are passed down through generations. The findings highlighted the issue of the patients' cultural heritage and ageist attitudes they ascribed to the professional staff. This study provided recommendations for training the in-patient hospital workforce on the topic of cultural competence, beginning from the stage of diagnosis through treatment and to discharge from the hospital, in order to improve the service.</t>
        </is>
      </c>
      <c r="X1821" t="inlineStr">
        <is>
          <t>[Even-Zohar, Ahuva] Ariel Univ, Fac Social Sci, Sch Social Work, IL-40700 Ariel, Israel; [Shtanger, Varda] Sheba Med Ctr, Qual Assurance Dept Patient Report Outcome Measur, IL-52620 Tel Ha Shomer, Israel; [Israeli, Anat] Sheba Med Ctr, Internal Nursing Wing, IL-52620 Tel Ha Shomer, Israel; [Averbuch, Emma] Israeli Minist Hlth, Reduct Hlth Inequal Unit, Adm Strateg &amp; Econ Planning, IL-9101002 Jerusalem, Israel; [Segal, Gad; Mayan, Haim; Steinlauf, Shmuel] Sheba Med Ctr, Internal Med, IL-52620 Tel Ha Shomer, Israel; [Galper, Alex] Sheba Med Ctr, Qual Assurance Dept Patient Report Outcome Measur, Tele Hlth Project, IL-52620 Tel Ha Shomer, Israel; [Zimlichman, Eyal] Sheba Med Ctr, Innovat &amp; Qual Assurance Dept, IL-52620 Tel Ha Shomer, Israel; [Zimlichman, Eyal] Tel Aviv Univ, Sackler Sch Med, IL-6997801 Tel Aviv, Israel</t>
        </is>
      </c>
      <c r="Y1821" t="inlineStr">
        <is>
          <t>Ariel University; Tel Aviv University; Sackler Faculty of Medicine</t>
        </is>
      </c>
      <c r="Z1821" t="inlineStr">
        <is>
          <t>Even-Zohar, A (corresponding author), Ariel Univ, Fac Social Sci, Sch Social Work, IL-40700 Ariel, Israel.</t>
        </is>
      </c>
      <c r="AA1821" t="inlineStr">
        <is>
          <t>ahuvaez@ariel.ac.il; Varda.stenger@sheba.health.gov.il; Anat.Israeli@sheba.health.gov.il; Emma.Averbuch@MOH.GOV.IL; Gad.Segal@sheba.health.gov.il; Haim.Maayan@sheba.health.gov.il; Shmuel.Steinlauf@sheba.health.gov.il; Alex.Galper@sheba.health.gov.il; Eyal.Zimlichman@sheba.health.gov.il</t>
        </is>
      </c>
      <c r="AC1821" t="inlineStr">
        <is>
          <t>Even-Zohar, Ahuva/0000-0003-4088-5205; Segal, Gad/0000-0002-3851-3245; Galper, Alex/0000-0001-6460-1305</t>
        </is>
      </c>
      <c r="AD1821" t="inlineStr">
        <is>
          <t>Israel National Institute For Health Policy Research [174/2015]</t>
        </is>
      </c>
      <c r="AE1821" t="inlineStr">
        <is>
          <t>Israel National Institute For Health Policy Research</t>
        </is>
      </c>
      <c r="AF1821" t="inlineStr">
        <is>
          <t>This research was funded by The Israel National Institute For Health Policy Research, no. 174/2015.</t>
        </is>
      </c>
      <c r="AH1821" t="n">
        <v>47</v>
      </c>
      <c r="AI1821" t="n">
        <v>0</v>
      </c>
      <c r="AJ1821" t="n">
        <v>0</v>
      </c>
      <c r="AK1821" t="n">
        <v>1</v>
      </c>
      <c r="AL1821" t="n">
        <v>2</v>
      </c>
      <c r="AM1821" t="inlineStr">
        <is>
          <t>MDPI</t>
        </is>
      </c>
      <c r="AN1821" t="inlineStr">
        <is>
          <t>BASEL</t>
        </is>
      </c>
      <c r="AO1821" t="inlineStr">
        <is>
          <t>ST ALBAN-ANLAGE 66, CH-4052 BASEL, SWITZERLAND</t>
        </is>
      </c>
      <c r="AQ1821" t="inlineStr">
        <is>
          <t>1660-4601</t>
        </is>
      </c>
      <c r="AS1821" t="inlineStr">
        <is>
          <t>INT J ENV RES PUB HE</t>
        </is>
      </c>
      <c r="AT1821" t="inlineStr">
        <is>
          <t>Int. J. Environ. Res. Public Health</t>
        </is>
      </c>
      <c r="AU1821" t="inlineStr">
        <is>
          <t>JUN</t>
        </is>
      </c>
      <c r="AV1821" t="n">
        <v>2021</v>
      </c>
      <c r="AW1821" t="n">
        <v>18</v>
      </c>
      <c r="AX1821" t="n">
        <v>12</v>
      </c>
      <c r="BE1821" t="n">
        <v>6496</v>
      </c>
      <c r="BF1821" t="inlineStr">
        <is>
          <t>10.3390/ijerph18126496</t>
        </is>
      </c>
      <c r="BG1821">
        <f>HYPERLINK("http://dx.doi.org/10.3390/ijerph18126496","http://dx.doi.org/10.3390/ijerph18126496")</f>
        <v/>
      </c>
      <c r="BJ1821" t="n">
        <v>12</v>
      </c>
      <c r="BK1821" t="inlineStr">
        <is>
          <t>Environmental Sciences; Public, Environmental &amp; Occupational Health</t>
        </is>
      </c>
      <c r="BL1821" t="inlineStr">
        <is>
          <t>Science Citation Index Expanded (SCI-EXPANDED); Social Science Citation Index (SSCI)</t>
        </is>
      </c>
      <c r="BM1821" t="inlineStr">
        <is>
          <t>Environmental Sciences &amp; Ecology; Public, Environmental &amp; Occupational Health</t>
        </is>
      </c>
      <c r="BN1821" t="inlineStr">
        <is>
          <t>SZ0OC</t>
        </is>
      </c>
      <c r="BO1821" t="n">
        <v>34208609</v>
      </c>
      <c r="BP1821" t="inlineStr">
        <is>
          <t>gold, Green Published</t>
        </is>
      </c>
      <c r="BS1821" t="inlineStr">
        <is>
          <t>2023-10-26</t>
        </is>
      </c>
      <c r="BT1821" t="inlineStr">
        <is>
          <t>WOS:000666275000001</t>
        </is>
      </c>
      <c r="BU1821">
        <f>HYPERLINK("https%3A%2F%2Fwww.webofscience.com%2Fwos%2Fwoscc%2Ffull-record%2FWOS:000666275000001","View Full Record in Web of Science")</f>
        <v/>
      </c>
    </row>
    <row r="1822">
      <c r="A1822" t="inlineStr">
        <is>
          <t>J</t>
        </is>
      </c>
      <c r="B1822" t="inlineStr">
        <is>
          <t>Rezaei, M; Shariati, B; Molloy, DW; O'Caoimh, R; Rashedi, V</t>
        </is>
      </c>
      <c r="F1822" t="inlineStr">
        <is>
          <t>Rezaei, Mohammad; Shariati, Behnam; Molloy, David William; O'Caoimh, Ronan; Rashedi, Vahid</t>
        </is>
      </c>
      <c r="J1822" t="inlineStr">
        <is>
          <t>INTERNATIONAL JOURNAL OF ENVIRONMENTAL RESEARCH AND PUBLIC HEALTH</t>
        </is>
      </c>
      <c r="M1822" t="inlineStr">
        <is>
          <t>English</t>
        </is>
      </c>
      <c r="N1822" t="inlineStr">
        <is>
          <t>Article</t>
        </is>
      </c>
      <c r="T1822" t="inlineStr">
        <is>
          <t>The Persian Version of the Quick Mild Cognitive Impairment Screen (Qmci-Pr): Psychometric Properties among Middle-Aged and Older Iranian Adults</t>
        </is>
      </c>
      <c r="U1822" t="inlineStr">
        <is>
          <t>cognitive decline; screening; psychometrics; older adults</t>
        </is>
      </c>
      <c r="V1822" t="inlineStr">
        <is>
          <t>NEUROCOGNITIVE DISORDERS; DEMENTIA; RELIABILITY; POPULATION; PREVALENCE; VALIDATION; VALIDITY</t>
        </is>
      </c>
      <c r="W1822" t="inlineStr">
        <is>
          <t>Brief cognitive screening instruments are used to identify patients presenting with cognitive symptoms that warrant further assessment. This study aimed to evaluate the reliability and validity of the Persian version of the Quick Mild Cognitive Impairment (Qmci-Pr) among middle-aged and older Iranian adults. Consecutive patients aged &gt;= 55 years and caregivers attending with them as normal controls (NCs) were recruited from geriatric outpatient clinics and a hospital in Tehran, Iran. All patients completed the Qmci-Pr before completing an independent detailed neuropsychological assessment and staging using the Clinical Dementia Rating (CDR) Scale. NCs underwent the same assessment. In all, 92 participants with a median age of 70 years (+/- 13) were available. Of these, 20 participants were NCs, 24 had subjective memory complaints (SMC), 24 had mild cognitive impairment (MCI), and 24 had Alzheimer's disease (AD). The Qmci-Pr had good accuracy in differentiating SMC and NC from MCI (area under the curve (AUC): 0.80 (0.69-0.91)) and in identifying cognitive impairment (MCI and mild AD) (AUC: 0.87 (0.80-0.95)) with a sensitivity of 88% and specificity of 80%, at an optimal cut-off of mci-Pr is an accurate short cognitive screening impairment for separating NC and patients with SMC from MCI and identifying cognitive impairment. Further research with larger samples and comparison with other widely used instruments such as the Montreal Cognitive Assessment is needed. Given its established brevity, the Qmci-Pr is a useful screen for Iranian adults across the spectrum of cognitive decline.</t>
        </is>
      </c>
      <c r="X1822" t="inlineStr">
        <is>
          <t>[Rezaei, Mohammad] Hamadan Univ Med Sci, Autism Spectrum Disorders Res Ctr, Hamadan 6517838687, Hamadan, Iran; [Shariati, Behnam] Iran Univ Med Sci, Mental Hlth Res Ctr, Sch Med, Dept Psychiat, Tehran 1449614535, Iran; [Molloy, David William; O'Caoimh, Ronan] Mercy Univ Hosp, Dept Geriatr Med, Cork T12 WE28, Ireland; [Rashedi, Vahid] Iran Univ Med Sci, Tehran Inst Psychiat, Sch Behav Sci &amp; Mental Hlth, Tehran 1445613111, Iran</t>
        </is>
      </c>
      <c r="Y1822" t="inlineStr">
        <is>
          <t>Hamadan University of Medical Sciences; Iran University of Medical Sciences; Iran University of Medical Sciences</t>
        </is>
      </c>
      <c r="Z1822" t="inlineStr">
        <is>
          <t>Rashedi, V (corresponding author), Iran Univ Med Sci, Tehran Inst Psychiat, Sch Behav Sci &amp; Mental Hlth, Tehran 1445613111, Iran.</t>
        </is>
      </c>
      <c r="AA1822" t="inlineStr">
        <is>
          <t>m_r_st@yahoo.com; behnamshariatimd@gmail.com; w.molloy@ucc.ie; rocaoimh@hotmail.com; vahidrashedi@yahoo.com</t>
        </is>
      </c>
      <c r="AB1822" t="inlineStr">
        <is>
          <t>Rashedi, Vahid/H-6271-2018</t>
        </is>
      </c>
      <c r="AC1822" t="inlineStr">
        <is>
          <t>Rashedi, Vahid/0000-0002-3972-3789; Shariati, Behnam/0000-0002-2033-2542; Molloy, William/0000-0001-7370-8630; O'Caoimh, Ronan/0000-0002-1499-673X</t>
        </is>
      </c>
      <c r="AH1822" t="n">
        <v>37</v>
      </c>
      <c r="AI1822" t="n">
        <v>1</v>
      </c>
      <c r="AJ1822" t="n">
        <v>1</v>
      </c>
      <c r="AK1822" t="n">
        <v>0</v>
      </c>
      <c r="AL1822" t="n">
        <v>3</v>
      </c>
      <c r="AM1822" t="inlineStr">
        <is>
          <t>MDPI</t>
        </is>
      </c>
      <c r="AN1822" t="inlineStr">
        <is>
          <t>BASEL</t>
        </is>
      </c>
      <c r="AO1822" t="inlineStr">
        <is>
          <t>ST ALBAN-ANLAGE 66, CH-4052 BASEL, SWITZERLAND</t>
        </is>
      </c>
      <c r="AQ1822" t="inlineStr">
        <is>
          <t>1660-4601</t>
        </is>
      </c>
      <c r="AS1822" t="inlineStr">
        <is>
          <t>INT J ENV RES PUB HE</t>
        </is>
      </c>
      <c r="AT1822" t="inlineStr">
        <is>
          <t>Int. J. Environ. Res. Public Health</t>
        </is>
      </c>
      <c r="AU1822" t="inlineStr">
        <is>
          <t>AUG</t>
        </is>
      </c>
      <c r="AV1822" t="n">
        <v>2021</v>
      </c>
      <c r="AW1822" t="n">
        <v>18</v>
      </c>
      <c r="AX1822" t="n">
        <v>16</v>
      </c>
      <c r="BE1822" t="n">
        <v>8582</v>
      </c>
      <c r="BF1822" t="inlineStr">
        <is>
          <t>10.3390/ijerph18168582</t>
        </is>
      </c>
      <c r="BG1822">
        <f>HYPERLINK("http://dx.doi.org/10.3390/ijerph18168582","http://dx.doi.org/10.3390/ijerph18168582")</f>
        <v/>
      </c>
      <c r="BJ1822" t="n">
        <v>8</v>
      </c>
      <c r="BK1822" t="inlineStr">
        <is>
          <t>Environmental Sciences; Public, Environmental &amp; Occupational Health</t>
        </is>
      </c>
      <c r="BL1822" t="inlineStr">
        <is>
          <t>Science Citation Index Expanded (SCI-EXPANDED); Social Science Citation Index (SSCI)</t>
        </is>
      </c>
      <c r="BM1822" t="inlineStr">
        <is>
          <t>Environmental Sciences &amp; Ecology; Public, Environmental &amp; Occupational Health</t>
        </is>
      </c>
      <c r="BN1822" t="inlineStr">
        <is>
          <t>UI5HU</t>
        </is>
      </c>
      <c r="BO1822" t="n">
        <v>34444331</v>
      </c>
      <c r="BP1822" t="inlineStr">
        <is>
          <t>Green Published, gold</t>
        </is>
      </c>
      <c r="BS1822" t="inlineStr">
        <is>
          <t>2023-10-26</t>
        </is>
      </c>
      <c r="BT1822" t="inlineStr">
        <is>
          <t>WOS:000690638800001</t>
        </is>
      </c>
      <c r="BU1822">
        <f>HYPERLINK("https%3A%2F%2Fwww.webofscience.com%2Fwos%2Fwoscc%2Ffull-record%2FWOS:000690638800001","View Full Record in Web of Science")</f>
        <v/>
      </c>
    </row>
    <row r="1823">
      <c r="A1823" t="inlineStr">
        <is>
          <t>J</t>
        </is>
      </c>
      <c r="B1823" t="inlineStr">
        <is>
          <t>Ong, RHS; Chow, WL; Cheong, M; Lim, GH; Xie, WY; Baggs, G; Huynh, DTT; Oh, HC; How, CH; Tan, NC; Tey, SL; Chew, STH</t>
        </is>
      </c>
      <c r="F1823" t="inlineStr">
        <is>
          <t>Ong, Rebecca Hui San; Chow, Wai Leng; Cheong, Magdalin; Lim, Gladys Huiyun; Xie, Weiyi; Baggs, Geraldine; Huynh, Dieu Thi Thu; Oh, Hong Choon; How, Choon How; Tan, Ngiap-Chuan; Tey, Siew Ling; Chew, Samuel Teong Huang</t>
        </is>
      </c>
      <c r="J1823" t="inlineStr">
        <is>
          <t>JOURNAL OF HEALTH POPULATION AND NUTRITION</t>
        </is>
      </c>
      <c r="M1823" t="inlineStr">
        <is>
          <t>English</t>
        </is>
      </c>
      <c r="N1823" t="inlineStr">
        <is>
          <t>Article</t>
        </is>
      </c>
      <c r="T1823" t="inlineStr">
        <is>
          <t>Associations between socio-demographics, nutrition knowledge, nutrition competencies and attitudes in community-dwelling healthy older adults in Singapore: findings from the SHIELD study</t>
        </is>
      </c>
      <c r="U1823" t="inlineStr">
        <is>
          <t>Nutrition knowledge; Nourished; Community-dwelling; Older adults; Cross-sectional study</t>
        </is>
      </c>
      <c r="V1823" t="inlineStr">
        <is>
          <t>CLINICAL-OUTCOMES; SCREENING TOOLS; LITERACY; MALNUTRITION; DIET; DETERMINANTS; INFORMATION; BEHAVIOR; SUPPORT; YOUNGER</t>
        </is>
      </c>
      <c r="W1823" t="inlineStr">
        <is>
          <t>Background Nutrition literacy refers to an individual's knowledge, motivation and competencies to access, process and understand nutrition information to make nutrition-related decisions. It is known to influence dietary habits of individuals including older adults. This cross-sectional study was designed to: (1) understand the nutrition knowledge, competencies and attitudes of community-dwelling older adults in Singapore, (2) examine the differences between their nutrition knowledge, and socio-demographic factors, competencies and attitudes and (3) identify factors associated with better nutrition knowledge in older healthy adults in Singapore. Methods A total of 400 (183 males and 217 females) nourished community-dwelling older adults aged 65 years and above took part in this study. Malnutrition Universal Screening Tool (MUST) was used to determine individuals who were at low risk of undernutrition. Nutrition knowledge, competencies, attitudes and sources of nutrition information were measured using a locally developed scale. Nutrition knowledge scores were summed to form the nutrition knowledge index (NKI). Associations between NKI, competencies, attitudes and socio-demographic variables were examined using Chi-square and Fisher's exact tests. Factors associated with NKI were determined using a stepwise regression model with resampling-based methods for model averaging. Results Bivariate analyses found significant differences in NKI scores for gender, monthly household earnings, type of housing, the self-reported ability to seek and understand nutrition information and having access to help from family/friends. Females had higher NKI scores compared to males (p &lt; 0.001). Compared to females, more males left food decisions to others (p &lt; 0.001), and fewer males reported consuming home-cooked food (p = 0.016). Differences in educational level were found for competencies like the self-reported ability to seek (p &lt; 0.001) and verify nutrition information (p &lt; 0.001). Stepwise regression analysis showed that being female, Chinese, self-reported ability to understand nutrition information and having access to help from family/friends were associated with higher NKI scores. Conclusions Our study revealed that nutrition knowledge of older males in Singapore was lower than females and more left food decisions to others. Nutrition education programs could be targeted at both the older male, their caregivers and minority ethnic groups. Trial Registration This study was registered on 7 August 2017 at clinicaltrials.gov (ref. NCT03240952).</t>
        </is>
      </c>
      <c r="X1823" t="inlineStr">
        <is>
          <t>[Ong, Rebecca Hui San; Chow, Wai Leng; Oh, Hong Choon] Changi Gen Hosp, Hlth Serv Res, Singapore, Singapore; [Cheong, Magdalin; Lim, Gladys Huiyun] Changi Gen Hosp, Dept Dietet &amp; Food Serv, Singapore, Singapore; [Xie, Weiyi; Baggs, Geraldine] Abbott Nutr Res &amp; Dev, Columbus, OH USA; [Huynh, Dieu Thi Thu; Tey, Siew Ling] Asia Pacific Ctr, Abbott Nutr Res &amp; Dev, Singapore, Singapore; [How, Choon How] Changi Gen Hosp, Care &amp; Hlth Integrat, Singapore, Singapore; [Tan, Ngiap-Chuan] SingHlth Polyclin, Singapore, Singapore; [Chew, Samuel Teong Huang] Changi Gen Hosp, Dept Geriatr Med, Singapore, Singapore</t>
        </is>
      </c>
      <c r="Y1823" t="inlineStr">
        <is>
          <t>Changi General Hospital; Changi General Hospital; Changi General Hospital; Changi General Hospital</t>
        </is>
      </c>
      <c r="Z1823" t="inlineStr">
        <is>
          <t>Ong, RHS (corresponding author), Changi Gen Hosp, Hlth Serv Res, Singapore, Singapore.</t>
        </is>
      </c>
      <c r="AA1823" t="inlineStr">
        <is>
          <t>Rebecca_ong@cgh.com.sg</t>
        </is>
      </c>
      <c r="AB1823" t="inlineStr">
        <is>
          <t>Chew, Samuel T.H/GNW-6610-2022</t>
        </is>
      </c>
      <c r="AC1823" t="inlineStr">
        <is>
          <t>Chew, Samuel T.H/0000-0003-2810-1332; Ong Hui Shan, Rebecca/0000-0001-8978-0557; Oh, Hong Choon/0000-0002-3086-7516</t>
        </is>
      </c>
      <c r="AD1823" t="inlineStr">
        <is>
          <t>Singapore Economic Development Board (EDB), Changi General Hospital; Abbott Nutrition [S17-1104-IDS-LL]</t>
        </is>
      </c>
      <c r="AE1823" t="inlineStr">
        <is>
          <t>Singapore Economic Development Board (EDB), Changi General Hospital; Abbott Nutrition(Abbott Laboratories)</t>
        </is>
      </c>
      <c r="AF1823" t="inlineStr">
        <is>
          <t>The SHIELD study is supported by the Singapore Economic Development Board (EDB), Changi General Hospital and Abbott Nutrition (Grant No. S17-1104-IDS-LL).</t>
        </is>
      </c>
      <c r="AH1823" t="n">
        <v>55</v>
      </c>
      <c r="AI1823" t="n">
        <v>6</v>
      </c>
      <c r="AJ1823" t="n">
        <v>6</v>
      </c>
      <c r="AK1823" t="n">
        <v>2</v>
      </c>
      <c r="AL1823" t="n">
        <v>13</v>
      </c>
      <c r="AM1823" t="inlineStr">
        <is>
          <t>BMC</t>
        </is>
      </c>
      <c r="AN1823" t="inlineStr">
        <is>
          <t>LONDON</t>
        </is>
      </c>
      <c r="AO1823" t="inlineStr">
        <is>
          <t>CAMPUS, 4 CRINAN ST, LONDON N1 9XW, ENGLAND</t>
        </is>
      </c>
      <c r="AP1823" t="inlineStr">
        <is>
          <t>1606-0997</t>
        </is>
      </c>
      <c r="AQ1823" t="inlineStr">
        <is>
          <t>2072-1315</t>
        </is>
      </c>
      <c r="AS1823" t="inlineStr">
        <is>
          <t>J HEALTH POPUL NUTR</t>
        </is>
      </c>
      <c r="AT1823" t="inlineStr">
        <is>
          <t>J. Heatlh Popul. Nutr.</t>
        </is>
      </c>
      <c r="AU1823" t="inlineStr">
        <is>
          <t>DEC 11</t>
        </is>
      </c>
      <c r="AV1823" t="n">
        <v>2021</v>
      </c>
      <c r="AW1823" t="n">
        <v>40</v>
      </c>
      <c r="AX1823" t="n">
        <v>1</v>
      </c>
      <c r="BE1823" t="n">
        <v>52</v>
      </c>
      <c r="BF1823" t="inlineStr">
        <is>
          <t>10.1186/s41043-021-00277-4</t>
        </is>
      </c>
      <c r="BG1823">
        <f>HYPERLINK("http://dx.doi.org/10.1186/s41043-021-00277-4","http://dx.doi.org/10.1186/s41043-021-00277-4")</f>
        <v/>
      </c>
      <c r="BJ1823" t="n">
        <v>15</v>
      </c>
      <c r="BK1823" t="inlineStr">
        <is>
          <t>Environmental Sciences; Public, Environmental &amp; Occupational Health</t>
        </is>
      </c>
      <c r="BL1823" t="inlineStr">
        <is>
          <t>Science Citation Index Expanded (SCI-EXPANDED); Social Science Citation Index (SSCI)</t>
        </is>
      </c>
      <c r="BM1823" t="inlineStr">
        <is>
          <t>Environmental Sciences &amp; Ecology; Public, Environmental &amp; Occupational Health</t>
        </is>
      </c>
      <c r="BN1823" t="inlineStr">
        <is>
          <t>XN0VX</t>
        </is>
      </c>
      <c r="BO1823" t="n">
        <v>34895351</v>
      </c>
      <c r="BP1823" t="inlineStr">
        <is>
          <t>Green Published, Green Submitted, gold</t>
        </is>
      </c>
      <c r="BS1823" t="inlineStr">
        <is>
          <t>2023-10-26</t>
        </is>
      </c>
      <c r="BT1823" t="inlineStr">
        <is>
          <t>WOS:000729233600001</t>
        </is>
      </c>
      <c r="BU1823">
        <f>HYPERLINK("https%3A%2F%2Fwww.webofscience.com%2Fwos%2Fwoscc%2Ffull-record%2FWOS:000729233600001","View Full Record in Web of Science")</f>
        <v/>
      </c>
    </row>
    <row r="1824">
      <c r="A1824" t="inlineStr">
        <is>
          <t>J</t>
        </is>
      </c>
      <c r="B1824" t="inlineStr">
        <is>
          <t>Barbieri, GF; Real, E; Lopez, J; García-Justicia, JM; Satorres, E; Meléndez, JC</t>
        </is>
      </c>
      <c r="F1824" t="inlineStr">
        <is>
          <t>Barbieri, Giulia Francesca; Real, Elena; Lopez, Jessica; Manuel Garcia-Justicia, Jose; Satorres, Encarnacion; Melendez, Juan C.</t>
        </is>
      </c>
      <c r="J1824" t="inlineStr">
        <is>
          <t>INTERNATIONAL JOURNAL OF ENVIRONMENTAL RESEARCH AND PUBLIC HEALTH</t>
        </is>
      </c>
      <c r="M1824" t="inlineStr">
        <is>
          <t>English</t>
        </is>
      </c>
      <c r="N1824" t="inlineStr">
        <is>
          <t>Article</t>
        </is>
      </c>
      <c r="T1824" t="inlineStr">
        <is>
          <t>Comparison of Emotion Recognition in Young People, Healthy Older Adults, and Patients with Mild Cognitive Impairment</t>
        </is>
      </c>
      <c r="U1824" t="inlineStr">
        <is>
          <t>basic discrete emotions; facial emotion recognition; healthy older adults; mild cognitive impairment; young people</t>
        </is>
      </c>
      <c r="V1824" t="inlineStr">
        <is>
          <t>ALZHEIMERS-DISEASE; FACIAL EXPRESSIONS; PERCEPTION; DEMENTIA; AGE; NEUROANATOMY; DISORDER; DEFICITS; DISGUST; ABILITY</t>
        </is>
      </c>
      <c r="W1824" t="inlineStr">
        <is>
          <t>Background: The basic discrete emotions, namely, happiness, disgust, anger, fear, surprise, and sadness, are present across different cultures and societies. Facial emotion recognition is crucial in social interactions, but normal and pathological aging seem to affect this ability. The present research aims to identify the differences in the capacity for recognition of the six basic discrete emotions between young and older healthy controls (HOC) and mildly cognitively impaired patients (MCI). Method: The sample (N = 107) consisted of 47 young adults, 27 healthy older adults, and 33 MCI patients. Several neuropsychological scales were administered to assess the cognitive state of the participants, followed by the emotional labeling task on the Ekman 60 Faces test. Results: The MANOVA analysis was significant and revealed the presence of differences in the emotion recognition abilities of the groups. Compared to HOC, the MCI group obtained a significantly lower number of hits on fear, anger, disgust, sadness, and surprise. The happiness emotion recognition rate did not differ significantly among the three groups. Surprisingly, young people and HOC did not show significant differences. Conclusions: Our results demonstrated that MCI was associated with facial emotion recognition impairment, whereas normal aging did not seem to affect this ability.</t>
        </is>
      </c>
      <c r="X1824" t="inlineStr">
        <is>
          <t>[Barbieri, Giulia Francesca] Univ Pavia Italy, Dept Nervous Syst &amp; Behav Sci, Piazza Botta 6, I-27100 Pavia, Italy; [Real, Elena; Lopez, Jessica; Manuel Garcia-Justicia, Jose; Satorres, Encarnacion; Melendez, Juan C.] Univ Valencia Spain, Fac Psychol, Dept Dev Psychol, Av Blasco Ibanez 21, Valencia 46010, Spain</t>
        </is>
      </c>
      <c r="Y1824" t="inlineStr">
        <is>
          <t>University of Pavia; University of Valencia</t>
        </is>
      </c>
      <c r="Z1824" t="inlineStr">
        <is>
          <t>Meléndez, JC (corresponding author), Univ Valencia Spain, Fac Psychol, Dept Dev Psychol, Av Blasco Ibanez 21, Valencia 46010, Spain.</t>
        </is>
      </c>
      <c r="AA1824" t="inlineStr">
        <is>
          <t>melendez@uv.es</t>
        </is>
      </c>
      <c r="AB1824" t="inlineStr">
        <is>
          <t>Satorres, Encarnacion/P-9513-2016; Melendez, Juan C/P-6328-2014</t>
        </is>
      </c>
      <c r="AC1824" t="inlineStr">
        <is>
          <t>Satorres, Encarnacion/0000-0001-8589-8697; Melendez, Juan C/0000-0002-6353-6035; Garcia Justicia, Jose Manuel/0000-0001-8457-8704</t>
        </is>
      </c>
      <c r="AH1824" t="n">
        <v>60</v>
      </c>
      <c r="AI1824" t="n">
        <v>0</v>
      </c>
      <c r="AJ1824" t="n">
        <v>0</v>
      </c>
      <c r="AK1824" t="n">
        <v>4</v>
      </c>
      <c r="AL1824" t="n">
        <v>8</v>
      </c>
      <c r="AM1824" t="inlineStr">
        <is>
          <t>MDPI</t>
        </is>
      </c>
      <c r="AN1824" t="inlineStr">
        <is>
          <t>BASEL</t>
        </is>
      </c>
      <c r="AO1824" t="inlineStr">
        <is>
          <t>ST ALBAN-ANLAGE 66, CH-4052 BASEL, SWITZERLAND</t>
        </is>
      </c>
      <c r="AQ1824" t="inlineStr">
        <is>
          <t>1660-4601</t>
        </is>
      </c>
      <c r="AS1824" t="inlineStr">
        <is>
          <t>INT J ENV RES PUB HE</t>
        </is>
      </c>
      <c r="AT1824" t="inlineStr">
        <is>
          <t>Int. J. Environ. Res. Public Health</t>
        </is>
      </c>
      <c r="AU1824" t="inlineStr">
        <is>
          <t>OCT</t>
        </is>
      </c>
      <c r="AV1824" t="n">
        <v>2022</v>
      </c>
      <c r="AW1824" t="n">
        <v>19</v>
      </c>
      <c r="AX1824" t="n">
        <v>19</v>
      </c>
      <c r="BE1824" t="n">
        <v>12757</v>
      </c>
      <c r="BF1824" t="inlineStr">
        <is>
          <t>10.3390/ijerph191912757</t>
        </is>
      </c>
      <c r="BG1824">
        <f>HYPERLINK("http://dx.doi.org/10.3390/ijerph191912757","http://dx.doi.org/10.3390/ijerph191912757")</f>
        <v/>
      </c>
      <c r="BJ1824" t="n">
        <v>11</v>
      </c>
      <c r="BK1824" t="inlineStr">
        <is>
          <t>Environmental Sciences; Public, Environmental &amp; Occupational Health</t>
        </is>
      </c>
      <c r="BL1824" t="inlineStr">
        <is>
          <t>Science Citation Index Expanded (SCI-EXPANDED); Social Science Citation Index (SSCI)</t>
        </is>
      </c>
      <c r="BM1824" t="inlineStr">
        <is>
          <t>Environmental Sciences &amp; Ecology; Public, Environmental &amp; Occupational Health</t>
        </is>
      </c>
      <c r="BN1824" t="inlineStr">
        <is>
          <t>5I1EG</t>
        </is>
      </c>
      <c r="BO1824" t="n">
        <v>36232057</v>
      </c>
      <c r="BP1824" t="inlineStr">
        <is>
          <t>Green Published, gold</t>
        </is>
      </c>
      <c r="BS1824" t="inlineStr">
        <is>
          <t>2023-10-26</t>
        </is>
      </c>
      <c r="BT1824" t="inlineStr">
        <is>
          <t>WOS:000868108500001</t>
        </is>
      </c>
      <c r="BU1824">
        <f>HYPERLINK("https%3A%2F%2Fwww.webofscience.com%2Fwos%2Fwoscc%2Ffull-record%2FWOS:000868108500001","View Full Record in Web of Science")</f>
        <v/>
      </c>
    </row>
    <row r="1825">
      <c r="A1825" t="inlineStr">
        <is>
          <t>J</t>
        </is>
      </c>
      <c r="B1825" t="inlineStr">
        <is>
          <t>Schelisch, L; Walter, R</t>
        </is>
      </c>
      <c r="F1825" t="inlineStr">
        <is>
          <t>Schelisch, Lynn; Walter, Ricarda</t>
        </is>
      </c>
      <c r="J1825" t="inlineStr">
        <is>
          <t>SUSTAINABILITY</t>
        </is>
      </c>
      <c r="M1825" t="inlineStr">
        <is>
          <t>English</t>
        </is>
      </c>
      <c r="N1825" t="inlineStr">
        <is>
          <t>Article</t>
        </is>
      </c>
      <c r="T1825" t="inlineStr">
        <is>
          <t>Digital Networking in Home-Based Support of Older Adults in Rural Areas: Requirements for Digital Solutions</t>
        </is>
      </c>
      <c r="U1825" t="inlineStr">
        <is>
          <t>rural areas; aging at home; digital networking; older adults; collaboration; voluntary support; neighborhood; Germany</t>
        </is>
      </c>
      <c r="V1825" t="inlineStr">
        <is>
          <t>CAREGIVERS</t>
        </is>
      </c>
      <c r="W1825" t="inlineStr">
        <is>
          <t>Given the increasing numbers of elders in need of support living at home, digital solutions are developed to ensure good home-based care and support. From a perspective of qualitative urban sociology, the presented study aims to provide an overview of existing technologies for communication as well as networking social support for older adults especially in rural areas, as well as requirements for their dissemination. The focus is on digital networking via apps and platforms in Germany that provide digital support in the areas of participation/communication, mutual aid and/or professional services for older adults. For this purpose, interviews with representatives of 12 projects as well as workshops were conducted. Support mediated via the digital solutions was not always accepted as expected, not even during the COVID-19 pandemic. To ensure a sustainable and long-term use of the digital solutions, it is necessary to take into account the digital skills of the users, to deploy a supervisor and local networker, to find a suitable spatial dimension, to create an awareness of existing problems on site and to anchor the support in suitable structures.</t>
        </is>
      </c>
      <c r="X1825" t="inlineStr">
        <is>
          <t>[Schelisch, Lynn; Walter, Ricarda] Univ Kaiserslautern, Dept Urban Sociol, D-67655 Kaiserslautern, Germany</t>
        </is>
      </c>
      <c r="Y1825" t="inlineStr">
        <is>
          <t>University of Kaiserslautern</t>
        </is>
      </c>
      <c r="Z1825" t="inlineStr">
        <is>
          <t>Schelisch, L (corresponding author), Univ Kaiserslautern, Dept Urban Sociol, D-67655 Kaiserslautern, Germany.</t>
        </is>
      </c>
      <c r="AA1825" t="inlineStr">
        <is>
          <t>schelisch@ru.uni-kl.de; Ricarda.walter@ru.uni-kl.de</t>
        </is>
      </c>
      <c r="AD1825" t="inlineStr">
        <is>
          <t>Rhineland-Palatinate Ministry of Social Affairs, Labor, Health and Demography; Department of Urban Sociology, University of Kaiserslautern, Germany</t>
        </is>
      </c>
      <c r="AE1825" t="inlineStr">
        <is>
          <t>Rhineland-Palatinate Ministry of Social Affairs, Labor, Health and Demography; Department of Urban Sociology, University of Kaiserslautern, Germany</t>
        </is>
      </c>
      <c r="AF1825" t="inlineStr">
        <is>
          <t>This research was funded by the Rhineland-Palatinate Ministry of Social Affairs, Labor, Health and Demography, as a Regional project within the framework of Health and Care 2020. The APC was funded by the Department of Urban Sociology, University of Kaiserslautern, Germany.</t>
        </is>
      </c>
      <c r="AH1825" t="n">
        <v>24</v>
      </c>
      <c r="AI1825" t="n">
        <v>5</v>
      </c>
      <c r="AJ1825" t="n">
        <v>5</v>
      </c>
      <c r="AK1825" t="n">
        <v>6</v>
      </c>
      <c r="AL1825" t="n">
        <v>30</v>
      </c>
      <c r="AM1825" t="inlineStr">
        <is>
          <t>MDPI</t>
        </is>
      </c>
      <c r="AN1825" t="inlineStr">
        <is>
          <t>BASEL</t>
        </is>
      </c>
      <c r="AO1825" t="inlineStr">
        <is>
          <t>ST ALBAN-ANLAGE 66, CH-4052 BASEL, SWITZERLAND</t>
        </is>
      </c>
      <c r="AQ1825" t="inlineStr">
        <is>
          <t>2071-1050</t>
        </is>
      </c>
      <c r="AS1825" t="inlineStr">
        <is>
          <t>SUSTAINABILITY-BASEL</t>
        </is>
      </c>
      <c r="AT1825" t="inlineStr">
        <is>
          <t>Sustainability</t>
        </is>
      </c>
      <c r="AU1825" t="inlineStr">
        <is>
          <t>FEB</t>
        </is>
      </c>
      <c r="AV1825" t="n">
        <v>2021</v>
      </c>
      <c r="AW1825" t="n">
        <v>13</v>
      </c>
      <c r="AX1825" t="n">
        <v>4</v>
      </c>
      <c r="BE1825" t="n">
        <v>1946</v>
      </c>
      <c r="BF1825" t="inlineStr">
        <is>
          <t>10.3390/su13041946</t>
        </is>
      </c>
      <c r="BG1825">
        <f>HYPERLINK("http://dx.doi.org/10.3390/su13041946","http://dx.doi.org/10.3390/su13041946")</f>
        <v/>
      </c>
      <c r="BJ1825" t="n">
        <v>17</v>
      </c>
      <c r="BK1825" t="inlineStr">
        <is>
          <t>Green &amp; Sustainable Science &amp; Technology; Environmental Sciences; Environmental Studies</t>
        </is>
      </c>
      <c r="BL1825" t="inlineStr">
        <is>
          <t>Science Citation Index Expanded (SCI-EXPANDED); Social Science Citation Index (SSCI)</t>
        </is>
      </c>
      <c r="BM1825" t="inlineStr">
        <is>
          <t>Science &amp; Technology - Other Topics; Environmental Sciences &amp; Ecology</t>
        </is>
      </c>
      <c r="BN1825" t="inlineStr">
        <is>
          <t>QQ9BG</t>
        </is>
      </c>
      <c r="BP1825" t="inlineStr">
        <is>
          <t>Green Published, gold</t>
        </is>
      </c>
      <c r="BS1825" t="inlineStr">
        <is>
          <t>2023-10-26</t>
        </is>
      </c>
      <c r="BT1825" t="inlineStr">
        <is>
          <t>WOS:000624812100001</t>
        </is>
      </c>
      <c r="BU1825">
        <f>HYPERLINK("https%3A%2F%2Fwww.webofscience.com%2Fwos%2Fwoscc%2Ffull-record%2FWOS:000624812100001","View Full Record in Web of Science")</f>
        <v/>
      </c>
    </row>
    <row r="1826">
      <c r="A1826" t="inlineStr">
        <is>
          <t>J</t>
        </is>
      </c>
      <c r="B1826" t="inlineStr">
        <is>
          <t>Gandhi, TJ; Garg, PR; Kurian, K; Bjurgert, J; Sahariah, SA; Mehra, S; Vishwakarma, G</t>
        </is>
      </c>
      <c r="F1826" t="inlineStr">
        <is>
          <t>Gandhi, Taruna Juneja; Garg, Priyanka Rani; Kurian, Kauma; Bjurgert, Jonas; Sahariah, Sirazul Ameen; Mehra, Sunil; Vishwakarma, Gayatri</t>
        </is>
      </c>
      <c r="J1826" t="inlineStr">
        <is>
          <t>INTERNATIONAL JOURNAL OF ENVIRONMENTAL RESEARCH AND PUBLIC HEALTH</t>
        </is>
      </c>
      <c r="M1826" t="inlineStr">
        <is>
          <t>English</t>
        </is>
      </c>
      <c r="N1826" t="inlineStr">
        <is>
          <t>Review</t>
        </is>
      </c>
      <c r="T1826" t="inlineStr">
        <is>
          <t>Outdoor Physical Activity in an Air Polluted Environment and Its Effect on the Cardiovascular System-A Systematic Review</t>
        </is>
      </c>
      <c r="U1826" t="inlineStr">
        <is>
          <t>air pollutants; physical activity; cardiovascular disease; outdoor physical activity; environment and public health; exercise</t>
        </is>
      </c>
      <c r="V1826" t="inlineStr">
        <is>
          <t>HEALTH; EXPOSURE; DISEASE; RISK; POPULATION; MORTALITY; ADULTS; HEART</t>
        </is>
      </c>
      <c r="W1826" t="inlineStr">
        <is>
          <t>Air pollution is a global public health threat. Evidence suggests that increased air pollution leads to increased cardiovascular morbidity and mortality. The aim of this review was to systematically review and synthesize scientific evidence to understand the effect of performing outdoor physical activity (PA) in a polluted environment on cardiovascular outcomes. This review was developed and reported in accordance with the PRISMA guidelines. Electronic searches in Embase, Web of Science, and PubMed were undertaken through March 2021 initially, and later updated through to 31st January 2022, for observational studies published in peer-reviewed journals that report cardiovascular mortality or morbidity due to outdoor PA in air polluted environment. These searches yielded 10,840 citations. Two reviewers independently reviewed each citation for its eligibility. Seven studies were found to be eligible. Of these, five were cohort studies and two were cross-sectional studies. Pollutants measured in the selected studies were Particulate Matter (PM)-PM10, PM2.5, nitrogen oxides (NOx), and ozone (O-3). The most common study outcome was myocardial infarction, followed by cardiovascular mortality, hypertension and heart rate variability. Six studies emphasized that the PA has beneficial effects on cardiovascular outcomes, though air pollutants attenuate this effect to an extent. Two studies showed that walking, even in the polluted environment, significantly reduced the heart rate and heart rate variability indices. The beneficial effects of outdoor PA outweigh the harmful effects of air pollution on cardiovascular health, though the benefits reduce to an extent when PA is carried out in a polluted environment. Because a limited number of studies (n = 7) were eligible for inclusion, the review further emphasizes the critical need for more primary studies that differentiate between outdoor and indoor PA and its effect on cardiovascular health.</t>
        </is>
      </c>
      <c r="X1826" t="inlineStr">
        <is>
          <t>[Gandhi, Taruna Juneja; Garg, Priyanka Rani; Kurian, Kauma; Sahariah, Sirazul Ameen; Mehra, Sunil] MAMTA Hlth Inst Mother &amp; Child, B-5 Greater Kailash Enclave II, New Delhi 110048, India; [Bjurgert, Jonas] Lund Univ, Box 117, SE-22100 Lund, Sweden; [Vishwakarma, Gayatri] Indian Spinal Injuries Ctr, Sect C, New Delhi 110070, India</t>
        </is>
      </c>
      <c r="Y1826" t="inlineStr">
        <is>
          <t>Lund University</t>
        </is>
      </c>
      <c r="Z1826" t="inlineStr">
        <is>
          <t>Kurian, K (corresponding author), MAMTA Hlth Inst Mother &amp; Child, B-5 Greater Kailash Enclave II, New Delhi 110048, India.</t>
        </is>
      </c>
      <c r="AA1826" t="inlineStr">
        <is>
          <t>kurian.kauma@gmail.com</t>
        </is>
      </c>
      <c r="AB1826" t="inlineStr">
        <is>
          <t>Vishwakarma, Gayatri/IUO-7830-2023</t>
        </is>
      </c>
      <c r="AC1826" t="inlineStr">
        <is>
          <t>Vishwakarma, Gayatri/0000-0002-4312-7058</t>
        </is>
      </c>
      <c r="AD1826" t="inlineStr">
        <is>
          <t>[IN-DL30606394456526T]</t>
        </is>
      </c>
      <c r="AF1826" t="inlineStr">
        <is>
          <t>This researchwas funded by BirlaNagar Jana Seva Trust, grant number IN-DL30606394456526T.</t>
        </is>
      </c>
      <c r="AH1826" t="n">
        <v>45</v>
      </c>
      <c r="AI1826" t="n">
        <v>2</v>
      </c>
      <c r="AJ1826" t="n">
        <v>2</v>
      </c>
      <c r="AK1826" t="n">
        <v>4</v>
      </c>
      <c r="AL1826" t="n">
        <v>17</v>
      </c>
      <c r="AM1826" t="inlineStr">
        <is>
          <t>MDPI</t>
        </is>
      </c>
      <c r="AN1826" t="inlineStr">
        <is>
          <t>BASEL</t>
        </is>
      </c>
      <c r="AO1826" t="inlineStr">
        <is>
          <t>ST ALBAN-ANLAGE 66, CH-4052 BASEL, SWITZERLAND</t>
        </is>
      </c>
      <c r="AQ1826" t="inlineStr">
        <is>
          <t>1660-4601</t>
        </is>
      </c>
      <c r="AS1826" t="inlineStr">
        <is>
          <t>INT J ENV RES PUB HE</t>
        </is>
      </c>
      <c r="AT1826" t="inlineStr">
        <is>
          <t>Int. J. Environ. Res. Public Health</t>
        </is>
      </c>
      <c r="AU1826" t="inlineStr">
        <is>
          <t>SEP</t>
        </is>
      </c>
      <c r="AV1826" t="n">
        <v>2022</v>
      </c>
      <c r="AW1826" t="n">
        <v>19</v>
      </c>
      <c r="AX1826" t="n">
        <v>17</v>
      </c>
      <c r="BE1826" t="n">
        <v>10547</v>
      </c>
      <c r="BF1826" t="inlineStr">
        <is>
          <t>10.3390/ijerph191710547</t>
        </is>
      </c>
      <c r="BG1826">
        <f>HYPERLINK("http://dx.doi.org/10.3390/ijerph191710547","http://dx.doi.org/10.3390/ijerph191710547")</f>
        <v/>
      </c>
      <c r="BJ1826" t="n">
        <v>24</v>
      </c>
      <c r="BK1826" t="inlineStr">
        <is>
          <t>Environmental Sciences; Public, Environmental &amp; Occupational Health</t>
        </is>
      </c>
      <c r="BL1826" t="inlineStr">
        <is>
          <t>Science Citation Index Expanded (SCI-EXPANDED); Social Science Citation Index (SSCI)</t>
        </is>
      </c>
      <c r="BM1826" t="inlineStr">
        <is>
          <t>Environmental Sciences &amp; Ecology; Public, Environmental &amp; Occupational Health</t>
        </is>
      </c>
      <c r="BN1826" t="inlineStr">
        <is>
          <t>4J3KW</t>
        </is>
      </c>
      <c r="BO1826" t="n">
        <v>36078268</v>
      </c>
      <c r="BP1826" t="inlineStr">
        <is>
          <t>Green Published, gold</t>
        </is>
      </c>
      <c r="BS1826" t="inlineStr">
        <is>
          <t>2023-10-26</t>
        </is>
      </c>
      <c r="BT1826" t="inlineStr">
        <is>
          <t>WOS:000851166300001</t>
        </is>
      </c>
      <c r="BU1826">
        <f>HYPERLINK("https%3A%2F%2Fwww.webofscience.com%2Fwos%2Fwoscc%2Ffull-record%2FWOS:000851166300001","View Full Record in Web of Science")</f>
        <v/>
      </c>
    </row>
    <row r="1827">
      <c r="A1827" t="inlineStr">
        <is>
          <t>J</t>
        </is>
      </c>
      <c r="B1827" t="inlineStr">
        <is>
          <t>Liu, CC; Li, CY; Kung, SF; Kuo, HW; Huang, NC; Sun, Y; Hu, SC</t>
        </is>
      </c>
      <c r="F1827" t="inlineStr">
        <is>
          <t>Liu, Chih-Ching; Li, Chung-Yi; Kung, Shiann-Far; Kuo, Hsien-Wen; Huang, Nuan-Ching; Sun, Yu; Hu, Susan C.</t>
        </is>
      </c>
      <c r="J1827" t="inlineStr">
        <is>
          <t>INTERNATIONAL JOURNAL OF ENVIRONMENTAL RESEARCH AND PUBLIC HEALTH</t>
        </is>
      </c>
      <c r="M1827" t="inlineStr">
        <is>
          <t>English</t>
        </is>
      </c>
      <c r="N1827" t="inlineStr">
        <is>
          <t>Article</t>
        </is>
      </c>
      <c r="T1827" t="inlineStr">
        <is>
          <t>Association of Environmental Features and the Risk of Alzheimer's Dementia in Older Adults: A Nationwide Longitudinal Case-Control Study</t>
        </is>
      </c>
      <c r="U1827" t="inlineStr">
        <is>
          <t>physical environments; social environments; Alzheimer's dementia; incidence; case-control study; longitudinal study</t>
        </is>
      </c>
      <c r="V1827" t="inlineStr">
        <is>
          <t>COGNITIVE FUNCTION; NEIGHBORHOOD CHARACTERISTICS; HEALTH INSURANCE; COMMUNITY ENVIRONMENT; SOCIOECONOMIC-STATUS; MENTAL-HEALTH; DISEASE; SCHIZOPHRENIA; PREVALENCE; TAIWAN</t>
        </is>
      </c>
      <c r="W1827" t="inlineStr">
        <is>
          <t>Little is known about the association between environmental features and the risk of Alzheimer's dementia (AD). This study aims to investigate the association of physical and social environments with the incidence of AD. We identified 12,401 newly diagnosed AD cases aged &gt;= 65 years in 2010, with the same no. of matched controls from National Health Insurance claims in Taiwan. Environmental data were collected from government statistics including three physical environments and three social environments. Multilevel logistic regression was conducted to calculate the odds ratios (OR) of AD in association with environmental features at the township level. Results showed that living in the areas with higher availability of playgrounds and sport venues was associated with a 3% decreased odds of AD (95% CI = 0.96-0.99), while higher density of elderly living alone was associated with a 5% increased odds of AD (95% CI = 1.01-1.11), after controlling for individual and other environmental factors. In further examination by urbanization level, the above relationships were found only in rural areas but not in urban areas. This study provides evidence that specific physical and social environmental features have different impacts on the risk of AD.</t>
        </is>
      </c>
      <c r="X1827" t="inlineStr">
        <is>
          <t>[Liu, Chih-Ching; Li, Chung-Yi; Hu, Susan C.] Natl Cheng Kung Univ, Dept Publ Hlth, Coll Med, Tainan 701, Taiwan; [Li, Chung-Yi] China Med Univ, Dept Publ Hlth, Coll Publ Hlth, Taichung 404, Taiwan; [Kung, Shiann-Far] Natl Cheng Kung Univ, Dept Urban Planning, Tainan 701, Taiwan; [Kung, Shiann-Far; Huang, Nuan-Ching; Hu, Susan C.] Natl Cheng Kung Univ, Hlth Cities Res Ctr, Res &amp; Serv Headquarters, Tainan 701, Taiwan; [Kuo, Hsien-Wen] Natl Yang Ming Univ, Inst Environm &amp; Occupat Hlth Sci, Taipei 112, Taiwan; [Sun, Yu] En Chu Kong Hosp, Dept Neurol, New Taipei 23702, Taiwan</t>
        </is>
      </c>
      <c r="Y1827" t="inlineStr">
        <is>
          <t>National Cheng Kung University; China Medical University Taiwan; National Cheng Kung University; National Cheng Kung University; National Yang Ming Chiao Tung University</t>
        </is>
      </c>
      <c r="Z1827" t="inlineStr">
        <is>
          <t>Hu, SC (corresponding author), Natl Cheng Kung Univ, Dept Publ Hlth, Coll Med, Tainan 701, Taiwan.;Hu, SC (corresponding author), Natl Cheng Kung Univ, Hlth Cities Res Ctr, Res &amp; Serv Headquarters, Tainan 701, Taiwan.;Sun, Y (corresponding author), En Chu Kong Hosp, Dept Neurol, New Taipei 23702, Taiwan.</t>
        </is>
      </c>
      <c r="AA1827" t="inlineStr">
        <is>
          <t>sunyu.jj.lu@gmail.com; shuhu@mail.ncku.edu.tw</t>
        </is>
      </c>
      <c r="AB1827" t="inlineStr">
        <is>
          <t>Hu, Susan C./AFU-5419-2022; Li, Chung-Yi/ABI-1419-2020; NUAN-CHING, HUANG/HNO-9641-2023</t>
        </is>
      </c>
      <c r="AC1827" t="inlineStr">
        <is>
          <t>Hu, Susan C./0000-0003-2437-5918; Li, Chung-Yi/0000-0002-0321-8908; NUAN-CHING, HUANG/0000-0003-1535-0751; Kuo, Hsien-Wen/0000-0003-4184-4333; Liu, Chih-Ching/0000-0001-9644-3129</t>
        </is>
      </c>
      <c r="AD1827" t="inlineStr">
        <is>
          <t>Health Promotion Administration, Ministry of Health and Welfare, Taiwan [MOHW107-HPA-M-114-144703]</t>
        </is>
      </c>
      <c r="AE1827" t="inlineStr">
        <is>
          <t>Health Promotion Administration, Ministry of Health and Welfare, Taiwan</t>
        </is>
      </c>
      <c r="AF1827" t="inlineStr">
        <is>
          <t>This study was supported by the Health Promotion Administration, Ministry of Health and Welfare, Taiwan (Grant number: MOHW107-HPA-M-114-144703).</t>
        </is>
      </c>
      <c r="AH1827" t="n">
        <v>47</v>
      </c>
      <c r="AI1827" t="n">
        <v>12</v>
      </c>
      <c r="AJ1827" t="n">
        <v>12</v>
      </c>
      <c r="AK1827" t="n">
        <v>2</v>
      </c>
      <c r="AL1827" t="n">
        <v>11</v>
      </c>
      <c r="AM1827" t="inlineStr">
        <is>
          <t>MDPI</t>
        </is>
      </c>
      <c r="AN1827" t="inlineStr">
        <is>
          <t>BASEL</t>
        </is>
      </c>
      <c r="AO1827" t="inlineStr">
        <is>
          <t>ST ALBAN-ANLAGE 66, CH-4052 BASEL, SWITZERLAND</t>
        </is>
      </c>
      <c r="AP1827" t="inlineStr">
        <is>
          <t>1661-7827</t>
        </is>
      </c>
      <c r="AQ1827" t="inlineStr">
        <is>
          <t>1660-4601</t>
        </is>
      </c>
      <c r="AS1827" t="inlineStr">
        <is>
          <t>INT J ENV RES PUB HE</t>
        </is>
      </c>
      <c r="AT1827" t="inlineStr">
        <is>
          <t>Int. J. Environ. Res. Public Health</t>
        </is>
      </c>
      <c r="AU1827" t="inlineStr">
        <is>
          <t>AUG 14</t>
        </is>
      </c>
      <c r="AV1827" t="n">
        <v>2019</v>
      </c>
      <c r="AW1827" t="n">
        <v>16</v>
      </c>
      <c r="AX1827" t="n">
        <v>16</v>
      </c>
      <c r="BE1827" t="n">
        <v>2828</v>
      </c>
      <c r="BF1827" t="inlineStr">
        <is>
          <t>10.3390/ijerph16162828</t>
        </is>
      </c>
      <c r="BG1827">
        <f>HYPERLINK("http://dx.doi.org/10.3390/ijerph16162828","http://dx.doi.org/10.3390/ijerph16162828")</f>
        <v/>
      </c>
      <c r="BJ1827" t="n">
        <v>16</v>
      </c>
      <c r="BK1827" t="inlineStr">
        <is>
          <t>Environmental Sciences; Public, Environmental &amp; Occupational Health</t>
        </is>
      </c>
      <c r="BL1827" t="inlineStr">
        <is>
          <t>Science Citation Index Expanded (SCI-EXPANDED); Social Science Citation Index (SSCI)</t>
        </is>
      </c>
      <c r="BM1827" t="inlineStr">
        <is>
          <t>Environmental Sciences &amp; Ecology; Public, Environmental &amp; Occupational Health</t>
        </is>
      </c>
      <c r="BN1827" t="inlineStr">
        <is>
          <t>IV7AN</t>
        </is>
      </c>
      <c r="BO1827" t="n">
        <v>31398817</v>
      </c>
      <c r="BP1827" t="inlineStr">
        <is>
          <t>Green Published, gold, Green Submitted</t>
        </is>
      </c>
      <c r="BS1827" t="inlineStr">
        <is>
          <t>2023-10-26</t>
        </is>
      </c>
      <c r="BT1827" t="inlineStr">
        <is>
          <t>WOS:000484419000114</t>
        </is>
      </c>
      <c r="BU1827">
        <f>HYPERLINK("https%3A%2F%2Fwww.webofscience.com%2Fwos%2Fwoscc%2Ffull-record%2FWOS:000484419000114","View Full Record in Web of Science")</f>
        <v/>
      </c>
    </row>
    <row r="1828">
      <c r="A1828" t="inlineStr">
        <is>
          <t>J</t>
        </is>
      </c>
      <c r="B1828" t="inlineStr">
        <is>
          <t>Resciniti, NV; Yelverton, V; Kase, BE; Zhang, JJ; Lohman, MC</t>
        </is>
      </c>
      <c r="F1828" t="inlineStr">
        <is>
          <t>Resciniti, Nicholas V.; Yelverton, Valerie; Kase, Bezawit E.; Zhang, Jiajia; Lohman, Matthew C.</t>
        </is>
      </c>
      <c r="J1828" t="inlineStr">
        <is>
          <t>INTERNATIONAL JOURNAL OF ENVIRONMENTAL RESEARCH AND PUBLIC HEALTH</t>
        </is>
      </c>
      <c r="M1828" t="inlineStr">
        <is>
          <t>English</t>
        </is>
      </c>
      <c r="N1828" t="inlineStr">
        <is>
          <t>Article</t>
        </is>
      </c>
      <c r="T1828" t="inlineStr">
        <is>
          <t>Time-Varying Insomnia Symptoms and Incidence of Cognitive Impairment and Dementia among Older US Adults</t>
        </is>
      </c>
      <c r="U1828" t="inlineStr">
        <is>
          <t>dementia; cognitive impairment; time-varying; insomnia; older adults; sleep</t>
        </is>
      </c>
      <c r="V1828" t="inlineStr">
        <is>
          <t>ALZHEIMERS-DISEASE; SLEEP QUALITY; RISK; PREVALENCE; DECLINE; RECOMMENDATIONS; ASSOCIATION; DISTURBANCE</t>
        </is>
      </c>
      <c r="W1828" t="inlineStr">
        <is>
          <t>There is conflicting evidence regarding the association between insomnia and the onset of mild cognitive impairment (MCI) or dementia. This study aimed to evaluate if time-varying insomnia is associated with the development of MCI and dementia. Data from the Health and Retirement Study (n = 13,833) from 2002 to 2014 were used (59.4% female). The Brief Insomnia Questionnaire was used to identify insomnia symptoms which were compiled in an insomnia severity index, ranging from 0 to 4. In analysis, participants' symptoms could vary from wave-to-wave. Dementia was defined using results from the Health and Retirement Study (HRS) global cognitive assessment tool. Respondents were classified as either having dementia, MCI, or being cognitively healthy. Cox proportional hazards models with time-dependent exposure using the counting process (start-stop time) were used for analysis. For each one-unit increase in the insomnia symptom index, there was a 5-percent greater hazard of MCI (HR = 1.05; 95% CI: 1.04-1.06) and dementia (HR = 1.05; 95% CI: 1.03-1.05), after fully adjusting. Using a nationally representative sample of adults age 51 and older, this study found that time-varying insomnia symptoms are associated with risk of MCI and dementia. This highlights the importance of identifying sleep disturbances and their change over time as potentially important risk factors for MCI and dementia.</t>
        </is>
      </c>
      <c r="X1828" t="inlineStr">
        <is>
          <t>[Resciniti, Nicholas V.; Kase, Bezawit E.; Zhang, Jiajia; Lohman, Matthew C.] Univ South Carolina, Arnold Sch Publ Hlth, Dept Epidemiol &amp; Biostat, Columbia, SC 29201 USA; [Yelverton, Valerie] Univ South Carolina, Arnold Sch Publ Hlth, Dept Hlth Serv Policy &amp; Management, Columbia, SC USA</t>
        </is>
      </c>
      <c r="Y1828" t="inlineStr">
        <is>
          <t>University of South Carolina System; University of South Carolina Columbia; University of South Carolina System; University of South Carolina Columbia</t>
        </is>
      </c>
      <c r="Z1828" t="inlineStr">
        <is>
          <t>Resciniti, NV (corresponding author), Univ South Carolina, Arnold Sch Publ Hlth, Dept Epidemiol &amp; Biostat, Columbia, SC 29201 USA.</t>
        </is>
      </c>
      <c r="AA1828" t="inlineStr">
        <is>
          <t>rescinin@email.sc.edu; VYELVERT@mailbox.sc.edu; bkase@email.sc.edu; JZHANG@mailbox.sc.edu; LOHMANM@mailbox.sc.edu</t>
        </is>
      </c>
      <c r="AB1828" t="inlineStr">
        <is>
          <t>Kase, Bezawit Eyob/IAN-0768-2023; Lohman, Matthew/U-9821-2017; Yelverton, Valerie/IAM-5571-2023</t>
        </is>
      </c>
      <c r="AC1828" t="inlineStr">
        <is>
          <t>Lohman, Matthew/0000-0002-2273-2160; Resciniti, Nicholas/0000-0002-3037-8261; Yelverton, Valerie/0000-0002-9445-7022</t>
        </is>
      </c>
      <c r="AH1828" t="n">
        <v>49</v>
      </c>
      <c r="AI1828" t="n">
        <v>8</v>
      </c>
      <c r="AJ1828" t="n">
        <v>8</v>
      </c>
      <c r="AK1828" t="n">
        <v>3</v>
      </c>
      <c r="AL1828" t="n">
        <v>11</v>
      </c>
      <c r="AM1828" t="inlineStr">
        <is>
          <t>MDPI</t>
        </is>
      </c>
      <c r="AN1828" t="inlineStr">
        <is>
          <t>BASEL</t>
        </is>
      </c>
      <c r="AO1828" t="inlineStr">
        <is>
          <t>ST ALBAN-ANLAGE 66, CH-4052 BASEL, SWITZERLAND</t>
        </is>
      </c>
      <c r="AQ1828" t="inlineStr">
        <is>
          <t>1660-4601</t>
        </is>
      </c>
      <c r="AS1828" t="inlineStr">
        <is>
          <t>INT J ENV RES PUB HE</t>
        </is>
      </c>
      <c r="AT1828" t="inlineStr">
        <is>
          <t>Int. J. Environ. Res. Public Health</t>
        </is>
      </c>
      <c r="AU1828" t="inlineStr">
        <is>
          <t>JAN</t>
        </is>
      </c>
      <c r="AV1828" t="n">
        <v>2021</v>
      </c>
      <c r="AW1828" t="n">
        <v>18</v>
      </c>
      <c r="AX1828" t="n">
        <v>1</v>
      </c>
      <c r="BE1828" t="n">
        <v>351</v>
      </c>
      <c r="BF1828" t="inlineStr">
        <is>
          <t>10.3390/ijerph18010351</t>
        </is>
      </c>
      <c r="BG1828">
        <f>HYPERLINK("http://dx.doi.org/10.3390/ijerph18010351","http://dx.doi.org/10.3390/ijerph18010351")</f>
        <v/>
      </c>
      <c r="BJ1828" t="n">
        <v>9</v>
      </c>
      <c r="BK1828" t="inlineStr">
        <is>
          <t>Environmental Sciences; Public, Environmental &amp; Occupational Health</t>
        </is>
      </c>
      <c r="BL1828" t="inlineStr">
        <is>
          <t>Science Citation Index Expanded (SCI-EXPANDED); Social Science Citation Index (SSCI)</t>
        </is>
      </c>
      <c r="BM1828" t="inlineStr">
        <is>
          <t>Environmental Sciences &amp; Ecology; Public, Environmental &amp; Occupational Health</t>
        </is>
      </c>
      <c r="BN1828" t="inlineStr">
        <is>
          <t>PP8HK</t>
        </is>
      </c>
      <c r="BO1828" t="n">
        <v>33466468</v>
      </c>
      <c r="BP1828" t="inlineStr">
        <is>
          <t>Green Published, gold</t>
        </is>
      </c>
      <c r="BS1828" t="inlineStr">
        <is>
          <t>2023-10-26</t>
        </is>
      </c>
      <c r="BT1828" t="inlineStr">
        <is>
          <t>WOS:000606096900001</t>
        </is>
      </c>
      <c r="BU1828">
        <f>HYPERLINK("https%3A%2F%2Fwww.webofscience.com%2Fwos%2Fwoscc%2Ffull-record%2FWOS:000606096900001","View Full Record in Web of Science")</f>
        <v/>
      </c>
    </row>
    <row r="1829">
      <c r="A1829" t="inlineStr">
        <is>
          <t>J</t>
        </is>
      </c>
      <c r="B1829" t="inlineStr">
        <is>
          <t>Frömel, K; Groffik, D; Mitás, J; Dygryn, J; Valach, P; Safár, M</t>
        </is>
      </c>
      <c r="F1829" t="inlineStr">
        <is>
          <t>Fromel, Karel; Groffik, Dorota; Mitas, Josef; Dygryn, Jan; Valach, Petr; Safar, Michal</t>
        </is>
      </c>
      <c r="J1829" t="inlineStr">
        <is>
          <t>INTERNATIONAL JOURNAL OF ENVIRONMENTAL RESEARCH AND PUBLIC HEALTH</t>
        </is>
      </c>
      <c r="M1829" t="inlineStr">
        <is>
          <t>English</t>
        </is>
      </c>
      <c r="N1829" t="inlineStr">
        <is>
          <t>Article</t>
        </is>
      </c>
      <c r="T1829" t="inlineStr">
        <is>
          <t>Active Travel of Czech and Polish Adolescents in Relation to Their Well-Being: Support for Physical Activity and Health</t>
        </is>
      </c>
      <c r="U1829" t="inlineStr">
        <is>
          <t>IPAQ-long; recommendations; commuting; environment; secondary schools</t>
        </is>
      </c>
      <c r="V1829" t="inlineStr">
        <is>
          <t>SELF-RATED HEALTH; 2016 REPORT CARD; ACTIVITY QUESTIONNAIRE; EUROPEAN ADOLESCENTS; BUILT-ENVIRONMENT; IPAQ-A; SCHOOL; TRANSPORTATION; CHILDREN; WALKING</t>
        </is>
      </c>
      <c r="W1829" t="inlineStr">
        <is>
          <t>The adoption of active travel (AT) habits in adolescence, supported by positive emotions, increases the chances of a lifelong positive attitude towards AT. The aim of this study was to assess the associations between active travel and well-being (WB), and to estimate the share of AT in weekly physical activity (PA) and its contribution to meeting the weekly PA recommendations in adolescents. The International Physical Activity Questionnaire-long form and the WHO-5 questionnaire were used to assess the level of AT, weekly PA and well-being of 2805 adolescents from 36 Czech and 39 Polish schools. A higher rate of AT is only significantly associated with higher well-being in girls. However, meeting AT recommendations in combination with higher WB increased the likelihood of meeting the weekly PA recommendations in both girls and boys. AT accounts for 22.5% of weekly PA of Czech (Polish 24.2%) boys. Concerning girls, it accounts for 24.9% of weekly PA in the Czech Republic and 24.5% in Poland. Meeting AT recommendations should be part of comprehensive school-based PA programs. State, school and municipal policies in the Central European region should pay more attention to the improvement of WB and the built environment for AT in secondary school adolescents.</t>
        </is>
      </c>
      <c r="X1829" t="inlineStr">
        <is>
          <t>[Fromel, Karel; Mitas, Josef; Dygryn, Jan; Safar, Michal] Palacky Univ Olomouc, Fac Phys Culture, Olomouc 77111, Czech Republic; [Fromel, Karel; Groffik, Dorota] Jerzy Kukuczka Acad Phys Educ, Inst Sport Sci, PL-40065 Katowice, Poland; [Valach, Petr] Univ West Bohemia, Fac Educ, Plzen 30100, Czech Republic</t>
        </is>
      </c>
      <c r="Y1829" t="inlineStr">
        <is>
          <t>Palacky University Olomouc; Akademia Wychowania Fizycznego im. Jerzego Kukuczki w Katowicach; University of West Bohemia Pilsen</t>
        </is>
      </c>
      <c r="Z1829" t="inlineStr">
        <is>
          <t>Mitás, J (corresponding author), Palacky Univ Olomouc, Fac Phys Culture, Olomouc 77111, Czech Republic.</t>
        </is>
      </c>
      <c r="AA1829" t="inlineStr">
        <is>
          <t>karel.fromel@upol.cz; d.groffik@awf.katowice.pl; josef.mitas@upol.cz; jan.dygryn@upol.cz; pvalach@ktv.zcu.cz; michal.safar@upol.cz</t>
        </is>
      </c>
      <c r="AB1829" t="inlineStr">
        <is>
          <t>Frömel, Karel/AAU-2222-2020; Mitáš, Josef/K-1760-2015; Dygryn, Jan/E-4760-2017; Safar, Michal -/K-1405-2017; Valach, Petr/A-9401-2019; Frömel, Karel/L-9865-2017</t>
        </is>
      </c>
      <c r="AC1829" t="inlineStr">
        <is>
          <t>Frömel, Karel/0000-0001-7848-3418; Mitáš, Josef/0000-0001-7219-931X; Dygryn, Jan/0000-0003-1026-1784; Safar, Michal -/0000-0002-9162-5617; Valach, Petr/0000-0001-6449-313X; Frömel, Karel/0000-0001-7848-3418; Groffik, Dorota/0000-0002-2266-2457</t>
        </is>
      </c>
      <c r="AD1829" t="inlineStr">
        <is>
          <t>Czech Science Foundation [13-32935S, 14-26896S]</t>
        </is>
      </c>
      <c r="AE1829" t="inlineStr">
        <is>
          <t>Czech Science Foundation(Grant Agency of the Czech Republic)</t>
        </is>
      </c>
      <c r="AF1829" t="inlineStr">
        <is>
          <t>This research was funded by Czech Science Foundation, grants number 13-32935S and 14-26896S.</t>
        </is>
      </c>
      <c r="AH1829" t="n">
        <v>67</v>
      </c>
      <c r="AI1829" t="n">
        <v>17</v>
      </c>
      <c r="AJ1829" t="n">
        <v>17</v>
      </c>
      <c r="AK1829" t="n">
        <v>1</v>
      </c>
      <c r="AL1829" t="n">
        <v>10</v>
      </c>
      <c r="AM1829" t="inlineStr">
        <is>
          <t>MDPI</t>
        </is>
      </c>
      <c r="AN1829" t="inlineStr">
        <is>
          <t>BASEL</t>
        </is>
      </c>
      <c r="AO1829" t="inlineStr">
        <is>
          <t>ST ALBAN-ANLAGE 66, CH-4052 BASEL, SWITZERLAND</t>
        </is>
      </c>
      <c r="AQ1829" t="inlineStr">
        <is>
          <t>1660-4601</t>
        </is>
      </c>
      <c r="AS1829" t="inlineStr">
        <is>
          <t>INT J ENV RES PUB HE</t>
        </is>
      </c>
      <c r="AT1829" t="inlineStr">
        <is>
          <t>Int. J. Environ. Res. Public Health</t>
        </is>
      </c>
      <c r="AU1829" t="inlineStr">
        <is>
          <t>MAR 2</t>
        </is>
      </c>
      <c r="AV1829" t="n">
        <v>2020</v>
      </c>
      <c r="AW1829" t="n">
        <v>17</v>
      </c>
      <c r="AX1829" t="n">
        <v>6</v>
      </c>
      <c r="BE1829" t="n">
        <v>2001</v>
      </c>
      <c r="BF1829" t="inlineStr">
        <is>
          <t>10.3390/ijerph17062001</t>
        </is>
      </c>
      <c r="BG1829">
        <f>HYPERLINK("http://dx.doi.org/10.3390/ijerph17062001","http://dx.doi.org/10.3390/ijerph17062001")</f>
        <v/>
      </c>
      <c r="BJ1829" t="n">
        <v>13</v>
      </c>
      <c r="BK1829" t="inlineStr">
        <is>
          <t>Environmental Sciences; Public, Environmental &amp; Occupational Health</t>
        </is>
      </c>
      <c r="BL1829" t="inlineStr">
        <is>
          <t>Science Citation Index Expanded (SCI-EXPANDED); Social Science Citation Index (SSCI)</t>
        </is>
      </c>
      <c r="BM1829" t="inlineStr">
        <is>
          <t>Environmental Sciences &amp; Ecology; Public, Environmental &amp; Occupational Health</t>
        </is>
      </c>
      <c r="BN1829" t="inlineStr">
        <is>
          <t>LI2VS</t>
        </is>
      </c>
      <c r="BO1829" t="n">
        <v>32197391</v>
      </c>
      <c r="BP1829" t="inlineStr">
        <is>
          <t>gold, Green Published</t>
        </is>
      </c>
      <c r="BS1829" t="inlineStr">
        <is>
          <t>2023-10-26</t>
        </is>
      </c>
      <c r="BT1829" t="inlineStr">
        <is>
          <t>WOS:000529342300191</t>
        </is>
      </c>
      <c r="BU1829">
        <f>HYPERLINK("https%3A%2F%2Fwww.webofscience.com%2Fwos%2Fwoscc%2Ffull-record%2FWOS:000529342300191","View Full Record in Web of Science")</f>
        <v/>
      </c>
    </row>
    <row r="1830">
      <c r="A1830" t="inlineStr">
        <is>
          <t>J</t>
        </is>
      </c>
      <c r="B1830" t="inlineStr">
        <is>
          <t>Pasek, M; Bendikova, E; Kuska, M; Zukowska, H; Drozdz, R; Olszewski-Strzyzowski, DJ; Zajac, M; Szark-Eckardt, M</t>
        </is>
      </c>
      <c r="F1830" t="inlineStr">
        <is>
          <t>Pasek, Marcin; Bendikova, Elena; Kuska, Michalina; Zukowska, Hanna; Drozdz, Remigiusz; Olszewski-Strzyzowski, Dariusz Jacek; Zajac, Magdalena; Szark-Eckardt, Miroslawa</t>
        </is>
      </c>
      <c r="J1830" t="inlineStr">
        <is>
          <t>SUSTAINABILITY</t>
        </is>
      </c>
      <c r="M1830" t="inlineStr">
        <is>
          <t>English</t>
        </is>
      </c>
      <c r="N1830" t="inlineStr">
        <is>
          <t>Article</t>
        </is>
      </c>
      <c r="T1830" t="inlineStr">
        <is>
          <t>Environmental Knowledge of Participants' Outdoor and Indoor Physical Education Lessons as an Example of Implementing Sustainable Development Strategies</t>
        </is>
      </c>
      <c r="U1830" t="inlineStr">
        <is>
          <t>ecological knowledge; outdoor physical education lessons; sustainable development</t>
        </is>
      </c>
      <c r="V1830" t="inlineStr">
        <is>
          <t>ATTITUDES; ACHIEVEMENT; CLASSROOM; CHILDREN; STUDENTS; PERFORMANCE; BEHAVIOR; ECOLOGY; STRESS; TIME</t>
        </is>
      </c>
      <c r="W1830" t="inlineStr">
        <is>
          <t>(1) Background: The purpose of the study was to assess the impact of physical activity outdoors in nature as part of physical education in schools on the level of knowledge and ecological attitudes. (2) Material and methods: A total of 220 students took part in the study, with 103 of them in the treatment group, which usually practiced outdoor physical education classes, and 117 in the control group, which practiced mainly indoor. The project lasted 21 months, covering the last two years of primary school. The authors used the Children's Environmental Attitude and Knowledge Scale CHEAKS in this study. The authors sought for an answer to the question of whether bringing a young person closer to nature by participating in a greater number of outdoor physical education lessons results in in-depth environmental knowledge. (3) Results: The appearance of seven statistically significant differences in ecological knowledge in the final study in favor of the group having outdoor physical education lessons proves the cognitively and visually stimulating role of a natural environment for physically active people. The location of physical education lessons turned out to be a much stronger condition for in-depth knowledge than gender, place of residence, parents' education level, and subjective assessment of the financial satisfaction level. (4) Conclusion: These results are an incentive to further developing the young generation's contact with nature through outdoor physical education lessons.</t>
        </is>
      </c>
      <c r="X1830" t="inlineStr">
        <is>
          <t>[Pasek, Marcin; Drozdz, Remigiusz; Olszewski-Strzyzowski, Dariusz Jacek] Gdansk Univ Phys Educ &amp; Sport, Fac Phys Culture, PL-80336 Gdansk, Poland; [Bendikova, Elena] Matej Bel Univ, Fac Arts, Banska Bystrica 97401, Slovakia; [Kuska, Michalina; Zukowska, Hanna; Szark-Eckardt, Miroslawa] Kazimierz Wielki Univ, Inst Phys Educ, PL-85064 Bydgoszcz, Poland; [Zajac, Magdalena] Kazimierz Wielki Univ, Dept Special Pedag &amp; Speech Therapy, PL-85064 Bydgoszcz, Poland</t>
        </is>
      </c>
      <c r="Y1830" t="inlineStr">
        <is>
          <t>Gdansk University of Physical Education &amp; Sport; Matej Bel University; Kazimierz Wielki University; Kazimierz Wielki University</t>
        </is>
      </c>
      <c r="Z1830" t="inlineStr">
        <is>
          <t>Pasek, M (corresponding author), Gdansk Univ Phys Educ &amp; Sport, Fac Phys Culture, PL-80336 Gdansk, Poland.</t>
        </is>
      </c>
      <c r="AA1830" t="inlineStr">
        <is>
          <t>marcin.pasek@awf.gda.pl; Elena.Bendikova@umb.sk; michalinakuska@ukw.edu.pl; zukowska@ukw.edu.pl; remik.pit@gmail.com; jacek.olszewski63@gmail.com; magzaj@ukw.edu.pl; szark@ukw.edu.pl</t>
        </is>
      </c>
      <c r="AB1830" t="inlineStr">
        <is>
          <t>; ZUKOWSKA, HANNA/E-6187-2015</t>
        </is>
      </c>
      <c r="AC1830" t="inlineStr">
        <is>
          <t>Zajac, Magdalena/0000-0002-8855-7035; ZUKOWSKA, HANNA/0000-0001-6688-9314; Pasek, Marcin/0000-0001-6872-1697</t>
        </is>
      </c>
      <c r="AH1830" t="n">
        <v>108</v>
      </c>
      <c r="AI1830" t="n">
        <v>3</v>
      </c>
      <c r="AJ1830" t="n">
        <v>3</v>
      </c>
      <c r="AK1830" t="n">
        <v>5</v>
      </c>
      <c r="AL1830" t="n">
        <v>27</v>
      </c>
      <c r="AM1830" t="inlineStr">
        <is>
          <t>MDPI</t>
        </is>
      </c>
      <c r="AN1830" t="inlineStr">
        <is>
          <t>BASEL</t>
        </is>
      </c>
      <c r="AO1830" t="inlineStr">
        <is>
          <t>ST ALBAN-ANLAGE 66, CH-4052 BASEL, SWITZERLAND</t>
        </is>
      </c>
      <c r="AQ1830" t="inlineStr">
        <is>
          <t>2071-1050</t>
        </is>
      </c>
      <c r="AS1830" t="inlineStr">
        <is>
          <t>SUSTAINABILITY-BASEL</t>
        </is>
      </c>
      <c r="AT1830" t="inlineStr">
        <is>
          <t>Sustainability</t>
        </is>
      </c>
      <c r="AU1830" t="inlineStr">
        <is>
          <t>JAN</t>
        </is>
      </c>
      <c r="AV1830" t="n">
        <v>2022</v>
      </c>
      <c r="AW1830" t="n">
        <v>14</v>
      </c>
      <c r="AX1830" t="n">
        <v>1</v>
      </c>
      <c r="BE1830" t="n">
        <v>544</v>
      </c>
      <c r="BF1830" t="inlineStr">
        <is>
          <t>10.3390/su14010544</t>
        </is>
      </c>
      <c r="BG1830">
        <f>HYPERLINK("http://dx.doi.org/10.3390/su14010544","http://dx.doi.org/10.3390/su14010544")</f>
        <v/>
      </c>
      <c r="BJ1830" t="n">
        <v>17</v>
      </c>
      <c r="BK1830" t="inlineStr">
        <is>
          <t>Green &amp; Sustainable Science &amp; Technology; Environmental Sciences; Environmental Studies</t>
        </is>
      </c>
      <c r="BL1830" t="inlineStr">
        <is>
          <t>Science Citation Index Expanded (SCI-EXPANDED); Social Science Citation Index (SSCI)</t>
        </is>
      </c>
      <c r="BM1830" t="inlineStr">
        <is>
          <t>Science &amp; Technology - Other Topics; Environmental Sciences &amp; Ecology</t>
        </is>
      </c>
      <c r="BN1830" t="inlineStr">
        <is>
          <t>YV2TJ</t>
        </is>
      </c>
      <c r="BP1830" t="inlineStr">
        <is>
          <t>gold</t>
        </is>
      </c>
      <c r="BS1830" t="inlineStr">
        <is>
          <t>2023-10-26</t>
        </is>
      </c>
      <c r="BT1830" t="inlineStr">
        <is>
          <t>WOS:000752583700001</t>
        </is>
      </c>
      <c r="BU1830">
        <f>HYPERLINK("https%3A%2F%2Fwww.webofscience.com%2Fwos%2Fwoscc%2Ffull-record%2FWOS:000752583700001","View Full Record in Web of Science")</f>
        <v/>
      </c>
    </row>
    <row r="1831">
      <c r="A1831" t="inlineStr">
        <is>
          <t>J</t>
        </is>
      </c>
      <c r="B1831" t="inlineStr">
        <is>
          <t>Gunes, G; Kopuz, EB; Sonmez, S; Cakir, N</t>
        </is>
      </c>
      <c r="F1831" t="inlineStr">
        <is>
          <t>Gunes, G.; Kopuz, E. Bozkurt; Sonmez, S.; Cakir, N.</t>
        </is>
      </c>
      <c r="J1831" t="inlineStr">
        <is>
          <t>JOURNAL OF ENVIRONMENTAL PROTECTION AND ECOLOGY</t>
        </is>
      </c>
      <c r="M1831" t="inlineStr">
        <is>
          <t>English</t>
        </is>
      </c>
      <c r="N1831" t="inlineStr">
        <is>
          <t>Article</t>
        </is>
      </c>
      <c r="T1831" t="inlineStr">
        <is>
          <t>INDOOR CONCENTRATIONS OF PM10/PM2.5 IN MARMARA UNIVERSITY LIBRARY, ISTANBUL</t>
        </is>
      </c>
      <c r="U1831" t="inlineStr">
        <is>
          <t>indoor; particulate matter; library</t>
        </is>
      </c>
      <c r="V1831" t="inlineStr">
        <is>
          <t>AIR-QUALITY</t>
        </is>
      </c>
      <c r="W1831" t="inlineStr">
        <is>
          <t>Twenty-four-hour PM2.5 and PM10 samples were collected in the Marmara University Library Building, Istanbul, Turkey from January 5, 2014 to December 31, 2014. The ambient mass concentrations of PM2.5 and PM10 were determined by a gravimetric method. Interior environmental conditions can effect on library employees and users so the measured PM2.5 and PM10 concentrations were compared to national and international Air Quality Standards (EPA, EU, WHO), which were generally below the limit values. However, the limit values were exceeded during the exam periods. PM2.5 and PM10 concentrations were generally low in the summer. The number of library users in different rooms in the Marmara University Library was recorded and the user numbers also increased during the exam periods. The PM levels correlated well with the number of library users. Indoor PM values in the Marmara University Library Building were higher than the outdoor values in Umraniye, Istanbul during the exam periods; however they were lower in general. PM values in different libraries were lower than PM values in Marmara University Library Building. Healthy environment for employees and users in the library building can be provided by some measures such as the adequate heat and air-conditioning systems.</t>
        </is>
      </c>
      <c r="X1831" t="inlineStr">
        <is>
          <t>[Gunes, G.; Kopuz, E. Bozkurt; Sonmez, S.; Cakir, N.] Marmara Univ, Dept Informat &amp; Document Management, Fac Fine Arts, Istanbul, Turkey</t>
        </is>
      </c>
      <c r="Y1831" t="inlineStr">
        <is>
          <t>Marmara University</t>
        </is>
      </c>
      <c r="Z1831" t="inlineStr">
        <is>
          <t>Gunes, G (corresponding author), Marmara Univ, Dept Informat &amp; Document Management, Fac Fine Arts, Istanbul, Turkey.</t>
        </is>
      </c>
      <c r="AA1831" t="inlineStr">
        <is>
          <t>gussun.gunes@marmara.edu.tr</t>
        </is>
      </c>
      <c r="AB1831" t="inlineStr">
        <is>
          <t>Kopuz, Esin Bozkurt/AAA-1861-2019; Güneş, Güssün/AAF-7377-2019; Cakir, Nese/D-5849-2013</t>
        </is>
      </c>
      <c r="AC1831" t="inlineStr">
        <is>
          <t>Kopuz, Esin Bozkurt/0000-0002-9950-7279; Güneş, Güssün/0000-0002-1340-7366; Cakir, Nese/0000-0002-6049-3930</t>
        </is>
      </c>
      <c r="AD1831" t="inlineStr">
        <is>
          <t>Marmara University, Scientific Research Projects Committee (BAPKO) [FEN-B-120613-0272]</t>
        </is>
      </c>
      <c r="AE1831" t="inlineStr">
        <is>
          <t>Marmara University, Scientific Research Projects Committee (BAPKO)(Marmara University)</t>
        </is>
      </c>
      <c r="AF1831" t="inlineStr">
        <is>
          <t>This study was supported by the Marmara University, Scientific Research Projects Committee (BAPKO) with the project number FEN-B-120613-0272. Outdoor particulate matter data for Umraniye was supported by the Marmara Clean Air Centre in Ministry of Environment and Urban Planning.</t>
        </is>
      </c>
      <c r="AH1831" t="n">
        <v>21</v>
      </c>
      <c r="AI1831" t="n">
        <v>0</v>
      </c>
      <c r="AJ1831" t="n">
        <v>0</v>
      </c>
      <c r="AK1831" t="n">
        <v>0</v>
      </c>
      <c r="AL1831" t="n">
        <v>13</v>
      </c>
      <c r="AM1831" t="inlineStr">
        <is>
          <t>SCIBULCOM LTD</t>
        </is>
      </c>
      <c r="AN1831" t="inlineStr">
        <is>
          <t>SOFIA</t>
        </is>
      </c>
      <c r="AO1831" t="inlineStr">
        <is>
          <t>PO BOX 249, 1113 SOFIA, BULGARIA</t>
        </is>
      </c>
      <c r="AP1831" t="inlineStr">
        <is>
          <t>1311-5065</t>
        </is>
      </c>
      <c r="AS1831" t="inlineStr">
        <is>
          <t>J ENVIRON PROT ECOL</t>
        </is>
      </c>
      <c r="AT1831" t="inlineStr">
        <is>
          <t>J. Environ. Prot. Ecol.</t>
        </is>
      </c>
      <c r="AV1831" t="n">
        <v>2017</v>
      </c>
      <c r="AW1831" t="n">
        <v>18</v>
      </c>
      <c r="AX1831" t="n">
        <v>4</v>
      </c>
      <c r="BC1831" t="n">
        <v>1311</v>
      </c>
      <c r="BD1831" t="n">
        <v>1318</v>
      </c>
      <c r="BJ1831" t="n">
        <v>8</v>
      </c>
      <c r="BK1831" t="inlineStr">
        <is>
          <t>Environmental Sciences</t>
        </is>
      </c>
      <c r="BL1831" t="inlineStr">
        <is>
          <t>Science Citation Index Expanded (SCI-EXPANDED)</t>
        </is>
      </c>
      <c r="BM1831" t="inlineStr">
        <is>
          <t>Environmental Sciences &amp; Ecology</t>
        </is>
      </c>
      <c r="BN1831" t="inlineStr">
        <is>
          <t>FT6SJ</t>
        </is>
      </c>
      <c r="BS1831" t="inlineStr">
        <is>
          <t>2023-10-26</t>
        </is>
      </c>
      <c r="BT1831" t="inlineStr">
        <is>
          <t>WOS:000423283800002</t>
        </is>
      </c>
      <c r="BU1831">
        <f>HYPERLINK("https%3A%2F%2Fwww.webofscience.com%2Fwos%2Fwoscc%2Ffull-record%2FWOS:000423283800002","View Full Record in Web of Science")</f>
        <v/>
      </c>
    </row>
    <row r="1832">
      <c r="A1832" t="inlineStr">
        <is>
          <t>J</t>
        </is>
      </c>
      <c r="B1832" t="inlineStr">
        <is>
          <t>Zhuang, JY; Li, F; Liu, XR; Cai, H; Feng, LH; Li, XT</t>
        </is>
      </c>
      <c r="F1832" t="inlineStr">
        <is>
          <t>Zhuang, Junyi; Li, Fei; Liu, Xiaoran; Cai, Hao; Feng, Lihang; Li, Xianting</t>
        </is>
      </c>
      <c r="J1832" t="inlineStr">
        <is>
          <t>ATMOSPHERIC ENVIRONMENT</t>
        </is>
      </c>
      <c r="M1832" t="inlineStr">
        <is>
          <t>English</t>
        </is>
      </c>
      <c r="N1832" t="inlineStr">
        <is>
          <t>Article</t>
        </is>
      </c>
      <c r="T1832" t="inlineStr">
        <is>
          <t>An experiment-based impulse response method to characterize airborne pollutant sources in a scaled multi-zone building</t>
        </is>
      </c>
      <c r="U1832" t="inlineStr">
        <is>
          <t>Indoor air; Source identification; Multi-zone model; Inverse problem; Airborne transmission</t>
        </is>
      </c>
      <c r="V1832" t="inlineStr">
        <is>
          <t>CONTAMINANT SOURCE LOCATION; INVERSE IDENTIFICATION; INDOOR ENVIRONMENTS; TRACKING; SENSOR; TIME; TRANSMISSION</t>
        </is>
      </c>
      <c r="W1832" t="inlineStr">
        <is>
          <t>Promptly locating the airborne pollutant sources in indoor environments is of great importance for improving air quality and ensuring indoor safety, especially in the context of controlling airborne pathogens. However, most existing studies focused on short-range airborne transmission in close contact and identified pollution sources based on numerical simulations. In this study, an experiment-based impulse response method was established to estimate the source term in a multi-zone building, and uncertainty analysis (UA) was conducted by combining the errors from the sensors and systematic responses. An acrylic scaled multi-zone building was built to investigate and validate the proposed method. The prior impulse response vectors between the potential sources and sensor network were obtained through impulse response experiments. Next, four sets of representative experiments were conducted with the scaled model to evaluate the source identification method. The results showed that the source release rate and source location could be identified using the impulse response method, and most of the relative errors of the source release rate were within 30%. For source location identification, the location probabilities of the constant and dynamic real sources were 44% and 100%, respectively. This study provides a novel perspective for source term estimation (STE) in multi-zone environments.</t>
        </is>
      </c>
      <c r="X1832" t="inlineStr">
        <is>
          <t>[Zhuang, Junyi; Li, Fei; Liu, Xiaoran; Cai, Hao] Nanjing Tech Univ, Coll Urban Construct, Nanjing 210009, Peoples R China; [Feng, Lihang] Nanjing Tech Univ, Coll Elect Engn &amp; Control Sci, Nanjing 210009, Peoples R China; [Li, Xianting] Tsinghua Univ, Dept Bldg Sci, Beijing 100084, Peoples R China</t>
        </is>
      </c>
      <c r="Y1832" t="inlineStr">
        <is>
          <t>Nanjing Tech University; Nanjing Tech University; Tsinghua University</t>
        </is>
      </c>
      <c r="Z1832" t="inlineStr">
        <is>
          <t>Li, F (corresponding author), Nanjing Tech Univ, Coll Urban Construct, Nanjing 210009, Peoples R China.</t>
        </is>
      </c>
      <c r="AA1832" t="inlineStr">
        <is>
          <t>faylee@njtech.edu.cn</t>
        </is>
      </c>
      <c r="AB1832" t="inlineStr">
        <is>
          <t>liu, jiaming/IWE-3196-2023; Feng, Lihang/G-3411-2014</t>
        </is>
      </c>
      <c r="AC1832" t="inlineStr">
        <is>
          <t>Feng, Lihang/0000-0002-5790-0478</t>
        </is>
      </c>
      <c r="AD1832" t="inlineStr">
        <is>
          <t>China National Key R&amp;D Program `Energy-saving design and key technical equipment development for clean air-conditioning plants' [2018YFC0705201]; National Natural Science Foundation of China [51708286]; China Postdoctoral Science Foundation [2019M651818]</t>
        </is>
      </c>
      <c r="AE1832" t="inlineStr">
        <is>
          <t>China National Key R&amp;D Program `Energy-saving design and key technical equipment development for clean air-conditioning plants'; National Natural Science Foundation of China(National Natural Science Foundation of China (NSFC)); China Postdoctoral Science Foundation(China Postdoctoral Science Foundation)</t>
        </is>
      </c>
      <c r="AF1832" t="inlineStr">
        <is>
          <t>The study was supported by the China National Key R&amp;D Program `Energy-saving design and key technical equipment development for clean air-conditioning plants' (Grant No. 2018YFC0705201). This study was also supported by the National Natural Science Foundation of China (Grant No. 51708286) and China Postdoctoral Science Foundation (Grant No. 2019M651818).</t>
        </is>
      </c>
      <c r="AH1832" t="n">
        <v>52</v>
      </c>
      <c r="AI1832" t="n">
        <v>6</v>
      </c>
      <c r="AJ1832" t="n">
        <v>6</v>
      </c>
      <c r="AK1832" t="n">
        <v>8</v>
      </c>
      <c r="AL1832" t="n">
        <v>61</v>
      </c>
      <c r="AM1832" t="inlineStr">
        <is>
          <t>PERGAMON-ELSEVIER SCIENCE LTD</t>
        </is>
      </c>
      <c r="AN1832" t="inlineStr">
        <is>
          <t>OXFORD</t>
        </is>
      </c>
      <c r="AO1832" t="inlineStr">
        <is>
          <t>THE BOULEVARD, LANGFORD LANE, KIDLINGTON, OXFORD OX5 1GB, ENGLAND</t>
        </is>
      </c>
      <c r="AP1832" t="inlineStr">
        <is>
          <t>1352-2310</t>
        </is>
      </c>
      <c r="AQ1832" t="inlineStr">
        <is>
          <t>1873-2844</t>
        </is>
      </c>
      <c r="AS1832" t="inlineStr">
        <is>
          <t>ATMOS ENVIRON</t>
        </is>
      </c>
      <c r="AT1832" t="inlineStr">
        <is>
          <t>Atmos. Environ.</t>
        </is>
      </c>
      <c r="AU1832" t="inlineStr">
        <is>
          <t>APR 15</t>
        </is>
      </c>
      <c r="AV1832" t="n">
        <v>2021</v>
      </c>
      <c r="AW1832" t="n">
        <v>251</v>
      </c>
      <c r="BE1832" t="n">
        <v>118272</v>
      </c>
      <c r="BF1832" t="inlineStr">
        <is>
          <t>10.1016/j.atmosenv.2021.118272</t>
        </is>
      </c>
      <c r="BG1832">
        <f>HYPERLINK("http://dx.doi.org/10.1016/j.atmosenv.2021.118272","http://dx.doi.org/10.1016/j.atmosenv.2021.118272")</f>
        <v/>
      </c>
      <c r="BI1832" t="inlineStr">
        <is>
          <t>FEB 2021</t>
        </is>
      </c>
      <c r="BJ1832" t="n">
        <v>11</v>
      </c>
      <c r="BK1832" t="inlineStr">
        <is>
          <t>Environmental Sciences; Meteorology &amp; Atmospheric Sciences</t>
        </is>
      </c>
      <c r="BL1832" t="inlineStr">
        <is>
          <t>Science Citation Index Expanded (SCI-EXPANDED)</t>
        </is>
      </c>
      <c r="BM1832" t="inlineStr">
        <is>
          <t>Environmental Sciences &amp; Ecology; Meteorology &amp; Atmospheric Sciences</t>
        </is>
      </c>
      <c r="BN1832" t="inlineStr">
        <is>
          <t>QZ8BV</t>
        </is>
      </c>
      <c r="BS1832" t="inlineStr">
        <is>
          <t>2023-10-26</t>
        </is>
      </c>
      <c r="BT1832" t="inlineStr">
        <is>
          <t>WOS:000630947000002</t>
        </is>
      </c>
      <c r="BU1832">
        <f>HYPERLINK("https%3A%2F%2Fwww.webofscience.com%2Fwos%2Fwoscc%2Ffull-record%2FWOS:000630947000002","View Full Record in Web of Science")</f>
        <v/>
      </c>
    </row>
    <row r="1833">
      <c r="A1833" t="inlineStr">
        <is>
          <t>J</t>
        </is>
      </c>
      <c r="B1833" t="inlineStr">
        <is>
          <t>Liu, ZJ; Ma, SY; Wu, LF; Yin, H; Cao, GQ</t>
        </is>
      </c>
      <c r="F1833" t="inlineStr">
        <is>
          <t>Liu, Zhijian; Ma, Shengyuan; Wu, Lifeng; Yin, Hang; Cao, Guoqing</t>
        </is>
      </c>
      <c r="J1833" t="inlineStr">
        <is>
          <t>INTERNATIONAL JOURNAL OF ENVIRONMENTAL HEALTH RESEARCH</t>
        </is>
      </c>
      <c r="M1833" t="inlineStr">
        <is>
          <t>English</t>
        </is>
      </c>
      <c r="N1833" t="inlineStr">
        <is>
          <t>Article</t>
        </is>
      </c>
      <c r="T1833" t="inlineStr">
        <is>
          <t>Predicting the concentration of indoor culturable fungi using a kernel-based extreme learning machine (K-ELM)</t>
        </is>
      </c>
      <c r="U1833" t="inlineStr">
        <is>
          <t>Indoor airborne culturable fungi; PM2.5; PM10; real-time prediction; kernel-based extreme learning machine (K-ELM)</t>
        </is>
      </c>
      <c r="V1833" t="inlineStr">
        <is>
          <t>SIZE DISTRIBUTION; AIR-POLLUTION; MICROORGANISMS; ENVIRONMENTS; QUALITY; HEALTH; ASTHMA; HOMES; DETERMINANTS; POLLUTANTS</t>
        </is>
      </c>
      <c r="W1833" t="inlineStr">
        <is>
          <t>Indoor fungal is of great significance for human health. The kernel-based extreme learning machine is employed to determine the most important parameters for predicting the concentration of indoor culturable fungi (ICF). For model training and statistical analysis, parameters that contained indoor or outdoor PM10 and PM2.5, RH, Temperature, CO2 and ICF were measured in 85 residential buildings of Baoding, China, from November 2016 to March 2017. The variable selection process contains four different cases to identify the optimal input combination. The results indicate that root mean square error of the optimal input combinations can be improved 5.6% from 1 to 2 input variables, while that could be only improved 1.9% from 2 to 3 input variables. However, considering both precision and simplicity, the combination of indoor PM10 and RH provides a more suitable selection for predicting the ICF.</t>
        </is>
      </c>
      <c r="X1833" t="inlineStr">
        <is>
          <t>[Liu, Zhijian; Ma, Shengyuan] North China Elect Power Univ, Dept Power Engn, Baoding 071003, Hebei, Peoples R China; [Wu, Lifeng] Nanchang Inst Technol, Sch Hydraul &amp; Ecol Engn, Nanchang, Jiangxi, Peoples R China; [Yin, Hang] Tech Univ Denmark, Dept Civil Engn, Lyngby, Denmark; [Cao, Guoqing] China Acad Bldg Res, Inst Bldg Environm &amp; Energy, Beijing, Peoples R China</t>
        </is>
      </c>
      <c r="Y1833" t="inlineStr">
        <is>
          <t>North China Electric Power University; Nanchang Institute Technology; Technical University of Denmark</t>
        </is>
      </c>
      <c r="Z1833" t="inlineStr">
        <is>
          <t>Liu, ZJ (corresponding author), North China Elect Power Univ, Dept Power Engn, Baoding 071003, Hebei, Peoples R China.</t>
        </is>
      </c>
      <c r="AA1833" t="inlineStr">
        <is>
          <t>lzj6035@163.com</t>
        </is>
      </c>
      <c r="AB1833" t="inlineStr">
        <is>
          <t>Wu, Lifeng/IUQ-4000-2023; Ma, Shengyuan/ITT-9584-2023</t>
        </is>
      </c>
      <c r="AC1833" t="inlineStr">
        <is>
          <t>Wu, Lifeng/0000-0002-1210-5411; Ma, Shengyuan/0000-0003-4804-1939; Liu, Zhijian/0000-0003-1841-2671; Yin, Hang/0000-0002-3614-2655</t>
        </is>
      </c>
      <c r="AD1833" t="inlineStr">
        <is>
          <t>National Key R&amp;D Program of China-Source identification, monitoring and integrated control of indoor microbial contamination [2017YFC0702800]; National Science Foundation of China [51708211]; Opening Funds of State Key Laboratory of Building Safety and Built Environment National Engineering Research Center of Building Technology [BSBE2017-08]; Natural Science Foundation of Hebei [E2017502051]</t>
        </is>
      </c>
      <c r="AE1833" t="inlineStr">
        <is>
          <t>National Key R&amp;D Program of China-Source identification, monitoring and integrated control of indoor microbial contamination; National Science Foundation of China(National Natural Science Foundation of China (NSFC)); Opening Funds of State Key Laboratory of Building Safety and Built Environment National Engineering Research Center of Building Technology; Natural Science Foundation of Hebei(Natural Science Foundation of Hebei Province)</t>
        </is>
      </c>
      <c r="AF1833" t="inlineStr">
        <is>
          <t>This work was supported by the National Key R&amp;D Program of China-Source identification, monitoring and integrated control of indoor microbial contamination [No. 2017YFC0702800], National Science Foundation of China [No. 51708211], the Opening Funds of State Key Laboratory of Building Safety and Built Environment National Engineering Research Center of Building Technology [BSBE2017-08] and Natural Science Foundation of Hebei [No. E2017502051].</t>
        </is>
      </c>
      <c r="AH1833" t="n">
        <v>38</v>
      </c>
      <c r="AI1833" t="n">
        <v>0</v>
      </c>
      <c r="AJ1833" t="n">
        <v>0</v>
      </c>
      <c r="AK1833" t="n">
        <v>3</v>
      </c>
      <c r="AL1833" t="n">
        <v>15</v>
      </c>
      <c r="AM1833" t="inlineStr">
        <is>
          <t>TAYLOR &amp; FRANCIS LTD</t>
        </is>
      </c>
      <c r="AN1833" t="inlineStr">
        <is>
          <t>ABINGDON</t>
        </is>
      </c>
      <c r="AO1833" t="inlineStr">
        <is>
          <t>2-4 PARK SQUARE, MILTON PARK, ABINGDON OR14 4RN, OXON, ENGLAND</t>
        </is>
      </c>
      <c r="AP1833" t="inlineStr">
        <is>
          <t>0960-3123</t>
        </is>
      </c>
      <c r="AQ1833" t="inlineStr">
        <is>
          <t>1369-1619</t>
        </is>
      </c>
      <c r="AS1833" t="inlineStr">
        <is>
          <t>INT J ENVIRON HEAL R</t>
        </is>
      </c>
      <c r="AT1833" t="inlineStr">
        <is>
          <t>Int. J. Environ. Health Res.</t>
        </is>
      </c>
      <c r="AU1833" t="inlineStr">
        <is>
          <t>MAY 3</t>
        </is>
      </c>
      <c r="AV1833" t="n">
        <v>2020</v>
      </c>
      <c r="AW1833" t="n">
        <v>30</v>
      </c>
      <c r="AX1833" t="n">
        <v>3</v>
      </c>
      <c r="BC1833" t="n">
        <v>344</v>
      </c>
      <c r="BD1833" t="n">
        <v>356</v>
      </c>
      <c r="BF1833" t="inlineStr">
        <is>
          <t>10.1080/09603123.2019.1609659</t>
        </is>
      </c>
      <c r="BG1833">
        <f>HYPERLINK("http://dx.doi.org/10.1080/09603123.2019.1609659","http://dx.doi.org/10.1080/09603123.2019.1609659")</f>
        <v/>
      </c>
      <c r="BI1833" t="inlineStr">
        <is>
          <t>APR 2019</t>
        </is>
      </c>
      <c r="BJ1833" t="n">
        <v>13</v>
      </c>
      <c r="BK1833" t="inlineStr">
        <is>
          <t>Environmental Sciences; Public, Environmental &amp; Occupational Health</t>
        </is>
      </c>
      <c r="BL1833" t="inlineStr">
        <is>
          <t>Science Citation Index Expanded (SCI-EXPANDED)</t>
        </is>
      </c>
      <c r="BM1833" t="inlineStr">
        <is>
          <t>Environmental Sciences &amp; Ecology; Public, Environmental &amp; Occupational Health</t>
        </is>
      </c>
      <c r="BN1833" t="inlineStr">
        <is>
          <t>LN3BK</t>
        </is>
      </c>
      <c r="BO1833" t="n">
        <v>31030541</v>
      </c>
      <c r="BS1833" t="inlineStr">
        <is>
          <t>2023-10-26</t>
        </is>
      </c>
      <c r="BT1833" t="inlineStr">
        <is>
          <t>WOS:000470532300001</t>
        </is>
      </c>
      <c r="BU1833">
        <f>HYPERLINK("https%3A%2F%2Fwww.webofscience.com%2Fwos%2Fwoscc%2Ffull-record%2FWOS:000470532300001","View Full Record in Web of Science")</f>
        <v/>
      </c>
    </row>
    <row r="1834">
      <c r="A1834" t="inlineStr">
        <is>
          <t>J</t>
        </is>
      </c>
      <c r="B1834" t="inlineStr">
        <is>
          <t>Tosi, L; Da Lio, C; Strozzi, T; Teatini, P</t>
        </is>
      </c>
      <c r="F1834" t="inlineStr">
        <is>
          <t>Tosi, Luigi; Da Lio, Cristina; Strozzi, Tazio; Teatini, Pietro</t>
        </is>
      </c>
      <c r="J1834" t="inlineStr">
        <is>
          <t>REMOTE SENSING</t>
        </is>
      </c>
      <c r="M1834" t="inlineStr">
        <is>
          <t>English</t>
        </is>
      </c>
      <c r="N1834" t="inlineStr">
        <is>
          <t>Article</t>
        </is>
      </c>
      <c r="T1834" t="inlineStr">
        <is>
          <t>Combining L- and X-Band SAR Interferometry to Assess Ground Displacements in Heterogeneous Coastal Environments: The Po River Delta and Venice Lagoon, Italy</t>
        </is>
      </c>
      <c r="U1834" t="inlineStr">
        <is>
          <t>land subsidence; X- and L-band SAR interferometry; coastal environments; Po River Delta; Venice Lagoon</t>
        </is>
      </c>
      <c r="V1834" t="inlineStr">
        <is>
          <t>LAND SUBSIDENCE; PLAIN</t>
        </is>
      </c>
      <c r="W1834" t="inlineStr">
        <is>
          <t>From leveling to SAR-based interferometry, the monitoring of land subsidence in coastal transitional environments significantly improved. However, the simultaneous assessment of the ground movements in these peculiar environments is still challenging. This is due to the presence of relatively small built-up zones and infrastructures, e.g., coastal infrastructures, bridges, and river embankments, within large natural or rural lands, e.g., river deltas, lagoons, and farmland. In this paper we present a multi-band SAR methodology to integrate COSMO-SkyMed and ALOS-PALSAR images. The method consists of a proper combination of the very high-resolution X-band Persistent Scatterer Interferometry (PSI), which achieves high-density and precise measurements on single structures and constructed areas, with L-band Short-Baseline SAR Interferometry (SBAS), properly implemented to raise its effectiveness in retrieving information in vegetated and wet zones. The combined methodology is applied on the Po River Delta and Venice coastland, Northern Italy, using 16 ALOS-PALSAR and 31 COSMO-SkyMed images covering the period between 2007 and 2011. After a proper calibration of the single PSI and SBAS solution using available GPS records, the datasets have been combined at both the regional and local scales. The measured displacements range from similar to 0 mm/yr down to similar to 35 mm/yr. The results reveal the variable pattern of the subsidence characterizing the more natural and rural environments without losing the accuracy in quantifying the sinking of urban areas and infrastructures. Moreover, they allow improving the interpretation of the natural and anthropogenic processes responsible for the ongoing subsidence.</t>
        </is>
      </c>
      <c r="X1834" t="inlineStr">
        <is>
          <t>[Tosi, Luigi; Da Lio, Cristina; Teatini, Pietro] CNR, Inst Marine Sci, Arsenale Tesa 104,Castello 2737-F, I-30122 Venice, Italy; [Strozzi, Tazio] Gamma Remote Sensing, Worbstr 225, CH-3073 Gumlingen, Switzerland; [Teatini, Pietro] Univ Padua, Dept Civil Environm &amp; Architectural Engn, Via Trieste 63, I-35121 Padua, Italy</t>
        </is>
      </c>
      <c r="Y1834" t="inlineStr">
        <is>
          <t>Consiglio Nazionale delle Ricerche (CNR); Istituto di Scienze Marine (ISMAR-CNR); GAMMA Remote Sensing AG; University of Padua</t>
        </is>
      </c>
      <c r="Z1834" t="inlineStr">
        <is>
          <t>Tosi, L (corresponding author), CNR, Inst Marine Sci, Arsenale Tesa 104,Castello 2737-F, I-30122 Venice, Italy.</t>
        </is>
      </c>
      <c r="AA1834" t="inlineStr">
        <is>
          <t>luigi.tosi@ismar.cnr.it; cristina.dalio@ve.ismar.cnr.it; strozzi@gamma-rs.ch; pietro.teatini@unipd.it</t>
        </is>
      </c>
      <c r="AB1834" t="inlineStr">
        <is>
          <t>Teatini, Pietro/AAW-4484-2021; Teatini, Pietro/AAW-4503-2021; Tosi, Luigi/C-1407-2011</t>
        </is>
      </c>
      <c r="AC1834" t="inlineStr">
        <is>
          <t>Teatini, Pietro/0000-0001-9525-4561; Tosi, Luigi/0000-0001-5254-4059</t>
        </is>
      </c>
      <c r="AD1834" t="inlineStr">
        <is>
          <t>Italian Ministry of Education, University and Research</t>
        </is>
      </c>
      <c r="AE1834" t="inlineStr">
        <is>
          <t>Italian Ministry of Education, University and Research(Ministry of Education, Universities and Research (MIUR))</t>
        </is>
      </c>
      <c r="AF1834" t="inlineStr">
        <is>
          <t>This work has been developed in the framework of the Flagship Project RITMARE-The Italian Research for the Sea-coordinated by the Italian National Research Council and funded by the Italian Ministry of Education, University and Research within the National Research Program 2011-2013. Data courtesy: (1) COSMO-SkyMed AO, Project ID 2100 (c) ASI Land movements in the Venice Lagoon: measuring the natural/regional and anthropogenic/local components by SAR Interferometric Point Target Analysis (IPTA); (2) ALOS PALSAR, Project AOALO-3550, (c) JAXA; CGPS Time series, Nevada Geodetic Laboratory (NGL). The paper benefited from the constructive comments of four anonymous reviewers.</t>
        </is>
      </c>
      <c r="AH1834" t="n">
        <v>43</v>
      </c>
      <c r="AI1834" t="n">
        <v>53</v>
      </c>
      <c r="AJ1834" t="n">
        <v>54</v>
      </c>
      <c r="AK1834" t="n">
        <v>0</v>
      </c>
      <c r="AL1834" t="n">
        <v>22</v>
      </c>
      <c r="AM1834" t="inlineStr">
        <is>
          <t>MDPI</t>
        </is>
      </c>
      <c r="AN1834" t="inlineStr">
        <is>
          <t>BASEL</t>
        </is>
      </c>
      <c r="AO1834" t="inlineStr">
        <is>
          <t>ST ALBAN-ANLAGE 66, CH-4052 BASEL, SWITZERLAND</t>
        </is>
      </c>
      <c r="AP1834" t="inlineStr">
        <is>
          <t>2072-4292</t>
        </is>
      </c>
      <c r="AS1834" t="inlineStr">
        <is>
          <t>REMOTE SENS-BASEL</t>
        </is>
      </c>
      <c r="AT1834" t="inlineStr">
        <is>
          <t>Remote Sens.</t>
        </is>
      </c>
      <c r="AU1834" t="inlineStr">
        <is>
          <t>APR</t>
        </is>
      </c>
      <c r="AV1834" t="n">
        <v>2016</v>
      </c>
      <c r="AW1834" t="n">
        <v>8</v>
      </c>
      <c r="AX1834" t="n">
        <v>4</v>
      </c>
      <c r="BE1834" t="n">
        <v>308</v>
      </c>
      <c r="BF1834" t="inlineStr">
        <is>
          <t>10.3390/rs8040308</t>
        </is>
      </c>
      <c r="BG1834">
        <f>HYPERLINK("http://dx.doi.org/10.3390/rs8040308","http://dx.doi.org/10.3390/rs8040308")</f>
        <v/>
      </c>
      <c r="BJ1834" t="n">
        <v>22</v>
      </c>
      <c r="BK1834" t="inlineStr">
        <is>
          <t>Environmental Sciences; Geosciences, Multidisciplinary; Remote Sensing; Imaging Science &amp; Photographic Technology</t>
        </is>
      </c>
      <c r="BL1834" t="inlineStr">
        <is>
          <t>Science Citation Index Expanded (SCI-EXPANDED)</t>
        </is>
      </c>
      <c r="BM1834" t="inlineStr">
        <is>
          <t>Environmental Sciences &amp; Ecology; Geology; Remote Sensing; Imaging Science &amp; Photographic Technology</t>
        </is>
      </c>
      <c r="BN1834" t="inlineStr">
        <is>
          <t>DK8DD</t>
        </is>
      </c>
      <c r="BP1834" t="inlineStr">
        <is>
          <t>Green Published, gold, Green Submitted</t>
        </is>
      </c>
      <c r="BS1834" t="inlineStr">
        <is>
          <t>2023-10-26</t>
        </is>
      </c>
      <c r="BT1834" t="inlineStr">
        <is>
          <t>WOS:000375156500041</t>
        </is>
      </c>
      <c r="BU1834">
        <f>HYPERLINK("https%3A%2F%2Fwww.webofscience.com%2Fwos%2Fwoscc%2Ffull-record%2FWOS:000375156500041","View Full Record in Web of Science")</f>
        <v/>
      </c>
    </row>
    <row r="1835">
      <c r="A1835" t="inlineStr">
        <is>
          <t>J</t>
        </is>
      </c>
      <c r="B1835" t="inlineStr">
        <is>
          <t>Martek, I; Hosseini, MR; Shrestha, A; Zavadskas, EK; Seaton, S</t>
        </is>
      </c>
      <c r="F1835" t="inlineStr">
        <is>
          <t>Martek, Igor; Hosseini, M. Reza; Shrestha, Asheem; Zavadskas, Edmundas Kazimieras; Seaton, Stewart</t>
        </is>
      </c>
      <c r="J1835" t="inlineStr">
        <is>
          <t>SUSTAINABILITY</t>
        </is>
      </c>
      <c r="M1835" t="inlineStr">
        <is>
          <t>English</t>
        </is>
      </c>
      <c r="N1835" t="inlineStr">
        <is>
          <t>Review</t>
        </is>
      </c>
      <c r="T1835" t="inlineStr">
        <is>
          <t>The Sustainability Narrative in Contemporary Architecture: Falling Short of Building a Sustainable Future</t>
        </is>
      </c>
      <c r="U1835" t="inlineStr">
        <is>
          <t>sustainability; green buildings; green development; green environment; rating tools; low carbon living; livable cities; sustainable cities; sustainability assessment tools</t>
        </is>
      </c>
      <c r="V1835" t="inlineStr">
        <is>
          <t>DECISION-MAKING; BUILT ENVIRONMENT; WASTE MANAGEMENT; CONSTRUCTION; ENERGY; MODEL</t>
        </is>
      </c>
      <c r="W1835" t="inlineStr">
        <is>
          <t>Sustainability has emerged, arguably, as the premiere mission of contemporary architecture. Green assessment tools abound, consultancy services flourish, buildings are marketed on the basis of sustainability performance, and government, media, and corporations seem preoccupied with assessing the quality of the built environment through a green lens. Yet for all the effort, and indeed for all the progress made, fundamental issues resistant to the structural change that is essential for genuine sustainability remain. This paper reviews the state of play of sustainability across the urban landscape. It considers the road travelled so far, and points out some of the major challenges that lie ahead.</t>
        </is>
      </c>
      <c r="X1835" t="inlineStr">
        <is>
          <t>[Martek, Igor; Hosseini, M. Reza; Shrestha, Asheem; Seaton, Stewart] Deakin Univ, Sch Architecture &amp; Built Environm, Geelong, Vic 3220, Australia; [Zavadskas, Edmundas Kazimieras] Vilnius Gediminas Tech Univ, Fac Civil Engn, Inst Sustainable Construct, Sauletekio Ave 11, LT-10223 Vilnius, Lithuania</t>
        </is>
      </c>
      <c r="Y1835" t="inlineStr">
        <is>
          <t>Deakin University; Vilnius Gediminas Technical University</t>
        </is>
      </c>
      <c r="Z1835" t="inlineStr">
        <is>
          <t>Hosseini, MR (corresponding author), Deakin Univ, Sch Architecture &amp; Built Environm, Geelong, Vic 3220, Australia.</t>
        </is>
      </c>
      <c r="AA1835" t="inlineStr">
        <is>
          <t>igor.martek@Deakin.edu.au; reza.hosseini@Deakin.edu.au; asheem.shrestha@deakin.edu.au; edmundas.zavadskas@vgtu.lt; s.seaton@deakin.edu.au</t>
        </is>
      </c>
      <c r="AB1835" t="inlineStr">
        <is>
          <t>Hosseini, M. Reza/AAA-4859-2021; Shrestha, Asheem/I-8879-2019; Zavadskas, Edmundas Kazimieras/Q-6048-2018; Martek, Igor/HCH-6448-2022</t>
        </is>
      </c>
      <c r="AC1835" t="inlineStr">
        <is>
          <t>Hosseini, M. Reza/0000-0001-8675-736X; Shrestha, Asheem/0000-0001-6080-4068; Zavadskas, Edmundas Kazimieras/0000-0002-3201-949X;</t>
        </is>
      </c>
      <c r="AD1835" t="inlineStr">
        <is>
          <t>successful Integral Design Futures (IDF) funding scheme's program: Charting Pre-Design Sustainability Indicators (School of Architecture and Built Environment, Deakin University)</t>
        </is>
      </c>
      <c r="AE1835" t="inlineStr">
        <is>
          <t>successful Integral Design Futures (IDF) funding scheme's program: Charting Pre-Design Sustainability Indicators (School of Architecture and Built Environment, Deakin University)</t>
        </is>
      </c>
      <c r="AF1835" t="inlineStr">
        <is>
          <t>This paper provides a background to the successful Integral Design Futures (IDF) funding scheme's 2017 program: Charting Pre-Design Sustainability Indicators (School of Architecture and Built Environment, Deakin University).</t>
        </is>
      </c>
      <c r="AH1835" t="n">
        <v>70</v>
      </c>
      <c r="AI1835" t="n">
        <v>23</v>
      </c>
      <c r="AJ1835" t="n">
        <v>23</v>
      </c>
      <c r="AK1835" t="n">
        <v>10</v>
      </c>
      <c r="AL1835" t="n">
        <v>50</v>
      </c>
      <c r="AM1835" t="inlineStr">
        <is>
          <t>MDPI</t>
        </is>
      </c>
      <c r="AN1835" t="inlineStr">
        <is>
          <t>BASEL</t>
        </is>
      </c>
      <c r="AO1835" t="inlineStr">
        <is>
          <t>ST ALBAN-ANLAGE 66, CH-4052 BASEL, SWITZERLAND</t>
        </is>
      </c>
      <c r="AQ1835" t="inlineStr">
        <is>
          <t>2071-1050</t>
        </is>
      </c>
      <c r="AS1835" t="inlineStr">
        <is>
          <t>SUSTAINABILITY-BASEL</t>
        </is>
      </c>
      <c r="AT1835" t="inlineStr">
        <is>
          <t>Sustainability</t>
        </is>
      </c>
      <c r="AU1835" t="inlineStr">
        <is>
          <t>APR</t>
        </is>
      </c>
      <c r="AV1835" t="n">
        <v>2018</v>
      </c>
      <c r="AW1835" t="n">
        <v>10</v>
      </c>
      <c r="AX1835" t="n">
        <v>4</v>
      </c>
      <c r="BE1835" t="n">
        <v>981</v>
      </c>
      <c r="BF1835" t="inlineStr">
        <is>
          <t>10.3390/su10040981</t>
        </is>
      </c>
      <c r="BG1835">
        <f>HYPERLINK("http://dx.doi.org/10.3390/su10040981","http://dx.doi.org/10.3390/su10040981")</f>
        <v/>
      </c>
      <c r="BJ1835" t="n">
        <v>18</v>
      </c>
      <c r="BK1835" t="inlineStr">
        <is>
          <t>Green &amp; Sustainable Science &amp; Technology; Environmental Sciences; Environmental Studies</t>
        </is>
      </c>
      <c r="BL1835" t="inlineStr">
        <is>
          <t>Science Citation Index Expanded (SCI-EXPANDED); Social Science Citation Index (SSCI)</t>
        </is>
      </c>
      <c r="BM1835" t="inlineStr">
        <is>
          <t>Science &amp; Technology - Other Topics; Environmental Sciences &amp; Ecology</t>
        </is>
      </c>
      <c r="BN1835" t="inlineStr">
        <is>
          <t>GJ3IY</t>
        </is>
      </c>
      <c r="BP1835" t="inlineStr">
        <is>
          <t>gold, Green Submitted, Green Published</t>
        </is>
      </c>
      <c r="BS1835" t="inlineStr">
        <is>
          <t>2023-10-26</t>
        </is>
      </c>
      <c r="BT1835" t="inlineStr">
        <is>
          <t>WOS:000435188000085</t>
        </is>
      </c>
      <c r="BU1835">
        <f>HYPERLINK("https%3A%2F%2Fwww.webofscience.com%2Fwos%2Fwoscc%2Ffull-record%2FWOS:000435188000085","View Full Record in Web of Science")</f>
        <v/>
      </c>
    </row>
    <row r="1836">
      <c r="A1836" t="inlineStr">
        <is>
          <t>J</t>
        </is>
      </c>
      <c r="B1836" t="inlineStr">
        <is>
          <t>Wang, M; Zhou, XHA; Curl, C; Fitzpatrick, A; Vedal, S; Kaufman, J</t>
        </is>
      </c>
      <c r="F1836" t="inlineStr">
        <is>
          <t>Wang, Meng; Zhou, Xiao-Hua Andrew; Curl, Cynthia; Fitzpatrick, Annette; Vedal, Sverre; Kaufman, Joel</t>
        </is>
      </c>
      <c r="J1836" t="inlineStr">
        <is>
          <t>ENVIRONMENTAL EPIDEMIOLOGY</t>
        </is>
      </c>
      <c r="M1836" t="inlineStr">
        <is>
          <t>English</t>
        </is>
      </c>
      <c r="N1836" t="inlineStr">
        <is>
          <t>Article</t>
        </is>
      </c>
      <c r="T1836" t="inlineStr">
        <is>
          <t>Long-term exposure to ambient air pollution and cognitive function in older US adults The Multi-Ethnic Study of Atherosclerosis</t>
        </is>
      </c>
      <c r="U1836" t="inlineStr">
        <is>
          <t>Air pollution; PM2; 5 components; Cognitive function; Older adults</t>
        </is>
      </c>
      <c r="V1836" t="inlineStr">
        <is>
          <t>MATTER CHEMICAL-COMPONENTS; SUBCLINICAL ATHEROSCLEROSIS; BLACK CARBON; DEMENTIA; NEIGHBORHOOD; PARTICLES; HEALTH; ASSOCIATION; POLLUTANTS; PREDICTION</t>
        </is>
      </c>
      <c r="W1836" t="inlineStr">
        <is>
          <t>Background:Air pollution effects on cognitive function have been increasingly recognized. Little is known about the impact of different sources of fine particulate (PM2.5). We aim to evaluate the associations between long-term air pollution exposure, including source-specific components in PM2.5, and cognition in older adults. Methods:Cognitive assessment, including the Cognitive Abilities Screening Instrument (CASI), Digit Symbol Coding (DSC), and Digit Span (DS), was completed in 4392 older participants in the United States during 2010-2012. Residence-specific air pollution exposures (i.e., oxides of nitrogen [NO2/NOx], PM2.5 and its components: elemental carbon [EC], organic carbon [OC], sulfur [S], and silicon [Si]) were estimated by geo-statistical models. Linear and logistic regression models were used to estimate the associations between each air pollutants metric and cognitive function. Results:An interquartile range (IQR) increase in EC (0.8 mu g/m(3)) and Si (23.1 ng/m(3)) was associated with -1.27 (95% confidence interval [CI]: -0.09, -2.45) and -0.88 (95% CI: -0.21, -1.54) lower CASI scores in global cognitive function. For each IQR increase in Si, the odds of low cognitive function (LCF) across domains was 1.29 times higher (95% CI: 1.04, 1.60). For other tests, NOX was associated with slower processing speed (DSC: -2.01, 95% CI: -3.50, -0.52) and worse working memory (total DS: -0.4, 95% CI: -0.78, -0.01). No associations were found for PM2.5 and two PM2.5 components (OC and S) with any cognitive function outcomes. Conclusion:Higher exposure to traffic-related air pollutants including both tailpipe (EC and NOx) and non-tailpipe (Si) species were associated with lower cognitive function in older adults.</t>
        </is>
      </c>
      <c r="X1836" t="inlineStr">
        <is>
          <t>[Wang, Meng] Univ Buffalo, Sch Publ Hlth &amp; Hlth Profess, Dept Epidemiol &amp; Environm Hlth, Buffalo, NY USA; [Wang, Meng; Vedal, Sverre; Kaufman, Joel] Univ Washington, Sch Publ Hlth, Dept Environm &amp; Occupat Hlth Sci, Seattle, WA USA; [Zhou, Xiao-Hua Andrew] Peking Univ, Sch Publ Hlth, Dept Biostat, Beijing, Peoples R China; [Curl, Cynthia] Boise State Univ, Sch Publ &amp; Populat Hlth, Boise, ID USA; [Fitzpatrick, Annette] Univ Washington, Sch Publ Hlth, Dept Family Med, Seattle, WA USA; [Fitzpatrick, Annette; Kaufman, Joel] Univ Washington, Sch Publ Hlth, Dept Epidemiol, Seattle, WA USA; [Fitzpatrick, Annette] Univ Washington, Sch Publ Hlth, Dept Global Hlth, Seattle, WA USA; [Wang, Meng] Univ Buffalo, Sch Publ Hlth &amp; Hlth Profess, Dept Epidemiol &amp; Environm Hlth, Buffalo, NY 14260 USA</t>
        </is>
      </c>
      <c r="Y1836" t="inlineStr">
        <is>
          <t>State University of New York (SUNY) System; State University of New York (SUNY) Buffalo; University of Washington; University of Washington Seattle; Peking University; Idaho; Boise State University; University of Washington; University of Washington Seattle; University of Washington; University of Washington Seattle; University of Washington; University of Washington Seattle; State University of New York (SUNY) System; State University of New York (SUNY) Buffalo</t>
        </is>
      </c>
      <c r="Z1836" t="inlineStr">
        <is>
          <t>Wang, M (corresponding author), Univ Buffalo, Sch Publ Hlth &amp; Hlth Profess, Dept Epidemiol &amp; Environm Hlth, Buffalo, NY 14260 USA.</t>
        </is>
      </c>
      <c r="AA1836" t="inlineStr">
        <is>
          <t>mwang54@buffalo.edu</t>
        </is>
      </c>
      <c r="AB1836" t="inlineStr">
        <is>
          <t>Kaufman, Joel D/B-5761-2008</t>
        </is>
      </c>
      <c r="AC1836" t="inlineStr">
        <is>
          <t>Kaufman, Joel D/0000-0003-4174-9037</t>
        </is>
      </c>
      <c r="AD1836" t="inlineStr">
        <is>
          <t>U.S Environmental Protection Agency [RD831697]; University of Washington Center for Clean Air Research (UW CCAR, Environmental Protection Agency) [RD83479601-01]; NIH/NHLBI [N01-HC-95159, N01-HC-95160, N01-HC-95161, N01-HC-95162, N01-HC-95163, N01-HC-95164, N01-HC-95165, N01-HC-95166, N01-HC-95167, N01-HC-95168, N01-HC-95169]; National Institute of Environmental Health Sciences [K24ES013195, P30ES07033]; NCRR [UL1-TR-000040, UL1-TR-001079]</t>
        </is>
      </c>
      <c r="AE1836" t="inlineStr">
        <is>
          <t>U.S Environmental Protection Agency(United States Environmental Protection Agency); University of Washington Center for Clean Air Research (UW CCAR, Environmental Protection Agency); NIH/NHLBI(United States Department of Health &amp; Human ServicesNational Institutes of Health (NIH) - USANIH National Heart Lung &amp; Blood Institute (NHLBI)); National Institute of Environmental Health Sciences(United States Department of Health &amp; Human ServicesNational Institutes of Health (NIH) - USANIH National Institute of Environmental Health Sciences (NIEHS)); NCRR(United States Department of Health &amp; Human ServicesNational Institutes of Health (NIH) - USANIH National Center for Research Resources (NCRR))</t>
        </is>
      </c>
      <c r="AF1836" t="inlineStr">
        <is>
          <t>This study was developed under STAR research assistance agreement, No. RD831697 (MESA Air) awarded by the U.S Environmental Protection Agency, as wel as by the University of Washington Center for Clean Air Research (UW CCAR, Environmental Protection Agency RD83479601-01). It has not been formaly reviewed by the EPA. The views expressed in this document are solely those of the authors and the EPA does not endorse any products or commercial services mentioned in this publication. MESA was funded by NIH/NHLBI contracts N01-HC-95159, N01-HC-95160, N01-HC-95161, N01-HC-95162, N01-HC-95163, N01-HC-95164, N01-HC-95165, N01-HC-95166, N01-HC-95167, N01-HC-95168 and N01-HC-95169; by grant K24ES013195 and P30ES07033 from the National Institute of Environmental Health Sciences, and by grants UL1-TR-000040 and UL1-TR-001079 from NCRR.</t>
        </is>
      </c>
      <c r="AH1836" t="n">
        <v>39</v>
      </c>
      <c r="AI1836" t="n">
        <v>0</v>
      </c>
      <c r="AJ1836" t="n">
        <v>0</v>
      </c>
      <c r="AK1836" t="n">
        <v>6</v>
      </c>
      <c r="AL1836" t="n">
        <v>6</v>
      </c>
      <c r="AM1836" t="inlineStr">
        <is>
          <t>LIPPINCOTT WILLIAMS &amp; WILKINS</t>
        </is>
      </c>
      <c r="AN1836" t="inlineStr">
        <is>
          <t>PHILADELPHIA</t>
        </is>
      </c>
      <c r="AO1836" t="inlineStr">
        <is>
          <t>TWO COMMERCE SQ, 2001 MARKET ST, PHILADELPHIA, PA 19103 USA</t>
        </is>
      </c>
      <c r="AQ1836" t="inlineStr">
        <is>
          <t>2474-7882</t>
        </is>
      </c>
      <c r="AS1836" t="inlineStr">
        <is>
          <t>ENVIRON EPIDEMIOL</t>
        </is>
      </c>
      <c r="AT1836" t="inlineStr">
        <is>
          <t>Environ. Epidemiol.</t>
        </is>
      </c>
      <c r="AU1836" t="inlineStr">
        <is>
          <t>FEB</t>
        </is>
      </c>
      <c r="AV1836" t="n">
        <v>2023</v>
      </c>
      <c r="AW1836" t="n">
        <v>7</v>
      </c>
      <c r="AX1836" t="n">
        <v>1</v>
      </c>
      <c r="BE1836" t="inlineStr">
        <is>
          <t>e242</t>
        </is>
      </c>
      <c r="BF1836" t="inlineStr">
        <is>
          <t>10.1097/EE9.0000000000000242</t>
        </is>
      </c>
      <c r="BG1836">
        <f>HYPERLINK("http://dx.doi.org/10.1097/EE9.0000000000000242","http://dx.doi.org/10.1097/EE9.0000000000000242")</f>
        <v/>
      </c>
      <c r="BJ1836" t="n">
        <v>7</v>
      </c>
      <c r="BK1836" t="inlineStr">
        <is>
          <t>Environmental Sciences; Public, Environmental &amp; Occupational Health</t>
        </is>
      </c>
      <c r="BL1836" t="inlineStr">
        <is>
          <t>Emerging Sources Citation Index (ESCI)</t>
        </is>
      </c>
      <c r="BM1836" t="inlineStr">
        <is>
          <t>Environmental Sciences &amp; Ecology; Public, Environmental &amp; Occupational Health</t>
        </is>
      </c>
      <c r="BN1836" t="inlineStr">
        <is>
          <t>8S4PW</t>
        </is>
      </c>
      <c r="BO1836" t="n">
        <v>36777527</v>
      </c>
      <c r="BP1836" t="inlineStr">
        <is>
          <t>gold, Green Published</t>
        </is>
      </c>
      <c r="BS1836" t="inlineStr">
        <is>
          <t>2023-10-26</t>
        </is>
      </c>
      <c r="BT1836" t="inlineStr">
        <is>
          <t>WOS:000928566500001</t>
        </is>
      </c>
      <c r="BU1836">
        <f>HYPERLINK("https%3A%2F%2Fwww.webofscience.com%2Fwos%2Fwoscc%2Ffull-record%2FWOS:000928566500001","View Full Record in Web of Science")</f>
        <v/>
      </c>
    </row>
    <row r="1837">
      <c r="A1837" t="inlineStr">
        <is>
          <t>J</t>
        </is>
      </c>
      <c r="B1837" t="inlineStr">
        <is>
          <t>Oh, A; Kim, J; Yi, E; Shin, J</t>
        </is>
      </c>
      <c r="F1837" t="inlineStr">
        <is>
          <t>Oh, Ahra; Kim, Jiyoun; Yi, Eunsurk; Shin, Jongseob</t>
        </is>
      </c>
      <c r="J1837" t="inlineStr">
        <is>
          <t>INTERNATIONAL JOURNAL OF ENVIRONMENTAL RESEARCH AND PUBLIC HEALTH</t>
        </is>
      </c>
      <c r="M1837" t="inlineStr">
        <is>
          <t>English</t>
        </is>
      </c>
      <c r="N1837" t="inlineStr">
        <is>
          <t>Article</t>
        </is>
      </c>
      <c r="T1837" t="inlineStr">
        <is>
          <t>Verification of the Mediating Effect of Social Support on Physical Activity and Aging Anxiety of Korean Pre-Older Adults</t>
        </is>
      </c>
      <c r="U1837" t="inlineStr">
        <is>
          <t>pre-older adults; social support; physical activity; aging anxiety; Korea</t>
        </is>
      </c>
      <c r="V1837" t="inlineStr">
        <is>
          <t>SELF-PERCEPTIONS; MENTAL-HEALTH; STRESS; DEPRESSION; RISK; LIFE; PERSONALITY; SYMPTOMS; SCALE; STYLE</t>
        </is>
      </c>
      <c r="W1837" t="inlineStr">
        <is>
          <t>There is a lack of research on Korean prospective elderly persons. In particular, there is little research regarding whether social support has a mediating effect on the relationship between physical activity and aging anxiety. Accordingly, this study investigated how social support affected physical activity and aging anxiety in 778 prospective senior citizens (55 to 65 years old) out of a total of 1447 senior citizens who participated in the Embrain Panel Power and Panel Marketing Interactive. Participants completed the IPAQ (International Physical Activity Questionnaires), Social Support Scale, and Aging Anxiety Scale. Physical activity in these Korean pre-older adults affected aging anxiety (p &lt; 0.001), with a fixed effect of physical activity on social support (p &lt; 0.001). Further, social support affected aging anxiety (p &lt; 0.001). Social support was also an important parameter in the relationship between physical activity and aging anxiety. In conclusion, high physical activity of pre-older Korean persons lowered their anxiety regarding aging. Social support acted as a mediator that lowered anxiety regarding aging in the most active pre-older persons.</t>
        </is>
      </c>
      <c r="X1837" t="inlineStr">
        <is>
          <t>[Oh, Ahra; Shin, Jongseob] Gachon Univ, Exercise Rehabil Convergence Inst, 191 Hombakmoero, Incheon 406799, South Korea; [Kim, Jiyoun; Yi, Eunsurk] Gachon Univ, Dept Exercise Rehabil &amp; Welf, 191 Hombakmoero, Incheon 406799, South Korea</t>
        </is>
      </c>
      <c r="Y1837" t="inlineStr">
        <is>
          <t>Gachon University; Gachon University</t>
        </is>
      </c>
      <c r="Z1837" t="inlineStr">
        <is>
          <t>Shin, J (corresponding author), Gachon Univ, Exercise Rehabil Convergence Inst, 191 Hombakmoero, Incheon 406799, South Korea.;Kim, J (corresponding author), Gachon Univ, Dept Exercise Rehabil &amp; Welf, 191 Hombakmoero, Incheon 406799, South Korea.</t>
        </is>
      </c>
      <c r="AA1837" t="inlineStr">
        <is>
          <t>oh-yang0329@hanmail.net; eve14jiyoun@gachon.ac.kr; yies@gachon.ac.kr; jstkd68@gmail.com</t>
        </is>
      </c>
      <c r="AB1837" t="inlineStr">
        <is>
          <t>Oh, Ahra/GWV-1086-2022</t>
        </is>
      </c>
      <c r="AC1837" t="inlineStr">
        <is>
          <t>Oh, Ahra/0000-0001-8123-5714</t>
        </is>
      </c>
      <c r="AD1837" t="inlineStr">
        <is>
          <t>Ministry of Education of the Republic of Korea; National Research Foundation of Korea [NRF-2019S1A5A2A03037891]; National Research Foundation of Korea [2019S1A5A2A03037891] Funding Source: Korea Institute of Science &amp; Technology Information (KISTI), National Science &amp; Technology Information Service (NTIS)</t>
        </is>
      </c>
      <c r="AE1837" t="inlineStr">
        <is>
          <t>Ministry of Education of the Republic of Korea(Ministry of Education (MOE), Republic of Korea); National Research Foundation of Korea(National Research Foundation of Korea); National Research Foundation of Korea(National Research Foundation of Korea)</t>
        </is>
      </c>
      <c r="AF1837" t="inlineStr">
        <is>
          <t>This work was supported by the Ministry of Education of the Republic of Korea and the National Research Foundation of Korea (NRF-2019S1A5A2A03037891).</t>
        </is>
      </c>
      <c r="AH1837" t="n">
        <v>72</v>
      </c>
      <c r="AI1837" t="n">
        <v>4</v>
      </c>
      <c r="AJ1837" t="n">
        <v>4</v>
      </c>
      <c r="AK1837" t="n">
        <v>15</v>
      </c>
      <c r="AL1837" t="n">
        <v>38</v>
      </c>
      <c r="AM1837" t="inlineStr">
        <is>
          <t>MDPI</t>
        </is>
      </c>
      <c r="AN1837" t="inlineStr">
        <is>
          <t>BASEL</t>
        </is>
      </c>
      <c r="AO1837" t="inlineStr">
        <is>
          <t>ST ALBAN-ANLAGE 66, CH-4052 BASEL, SWITZERLAND</t>
        </is>
      </c>
      <c r="AQ1837" t="inlineStr">
        <is>
          <t>1660-4601</t>
        </is>
      </c>
      <c r="AS1837" t="inlineStr">
        <is>
          <t>INT J ENV RES PUB HE</t>
        </is>
      </c>
      <c r="AT1837" t="inlineStr">
        <is>
          <t>Int. J. Environ. Res. Public Health</t>
        </is>
      </c>
      <c r="AU1837" t="inlineStr">
        <is>
          <t>NOV</t>
        </is>
      </c>
      <c r="AV1837" t="n">
        <v>2020</v>
      </c>
      <c r="AW1837" t="n">
        <v>17</v>
      </c>
      <c r="AX1837" t="n">
        <v>21</v>
      </c>
      <c r="BE1837" t="n">
        <v>8069</v>
      </c>
      <c r="BF1837" t="inlineStr">
        <is>
          <t>10.3390/ijerph17218069</t>
        </is>
      </c>
      <c r="BG1837">
        <f>HYPERLINK("http://dx.doi.org/10.3390/ijerph17218069","http://dx.doi.org/10.3390/ijerph17218069")</f>
        <v/>
      </c>
      <c r="BJ1837" t="n">
        <v>14</v>
      </c>
      <c r="BK1837" t="inlineStr">
        <is>
          <t>Environmental Sciences; Public, Environmental &amp; Occupational Health</t>
        </is>
      </c>
      <c r="BL1837" t="inlineStr">
        <is>
          <t>Science Citation Index Expanded (SCI-EXPANDED); Social Science Citation Index (SSCI)</t>
        </is>
      </c>
      <c r="BM1837" t="inlineStr">
        <is>
          <t>Environmental Sciences &amp; Ecology; Public, Environmental &amp; Occupational Health</t>
        </is>
      </c>
      <c r="BN1837" t="inlineStr">
        <is>
          <t>OQ7AF</t>
        </is>
      </c>
      <c r="BO1837" t="n">
        <v>33147775</v>
      </c>
      <c r="BP1837" t="inlineStr">
        <is>
          <t>Green Published, gold</t>
        </is>
      </c>
      <c r="BS1837" t="inlineStr">
        <is>
          <t>2023-10-26</t>
        </is>
      </c>
      <c r="BT1837" t="inlineStr">
        <is>
          <t>WOS:000588930700001</t>
        </is>
      </c>
      <c r="BU1837">
        <f>HYPERLINK("https%3A%2F%2Fwww.webofscience.com%2Fwos%2Fwoscc%2Ffull-record%2FWOS:000588930700001","View Full Record in Web of Science")</f>
        <v/>
      </c>
    </row>
    <row r="1838">
      <c r="A1838" t="inlineStr">
        <is>
          <t>J</t>
        </is>
      </c>
      <c r="B1838" t="inlineStr">
        <is>
          <t>Tong, XT; Wu, ZW</t>
        </is>
      </c>
      <c r="F1838" t="inlineStr">
        <is>
          <t>Tong, Xueting; Wu, Zhanwei</t>
        </is>
      </c>
      <c r="J1838" t="inlineStr">
        <is>
          <t>SUSTAINABILITY</t>
        </is>
      </c>
      <c r="M1838" t="inlineStr">
        <is>
          <t>English</t>
        </is>
      </c>
      <c r="N1838" t="inlineStr">
        <is>
          <t>Article</t>
        </is>
      </c>
      <c r="T1838" t="inlineStr">
        <is>
          <t>An IoT-based Sharing Plant Factory System for Nature Connectedness Improvement in Built Environment</t>
        </is>
      </c>
      <c r="U1838" t="inlineStr">
        <is>
          <t>plant factory; sharing plant; nature connectedness; sustainable design; indoor nature</t>
        </is>
      </c>
      <c r="V1838" t="inlineStr">
        <is>
          <t>ECOSYSTEM SERVICES; NATURE RELATEDNESS; NATURE EXPOSURE; WINDOW VIEWS; CONNECTION; BENEFITS; HEALTH; SCALE</t>
        </is>
      </c>
      <c r="W1838" t="inlineStr">
        <is>
          <t>Under the influence of urbanization, the relationship between human and nature gradually separated, therefore it is difficult for people to obtain the benefits of nature connectedness. In this paper, an IoT-based sharing plant factory is described to improve nature connectedness of people in an indoor environment. The ecological service process of indoor environments is studied through user interviews and surveys, to understand the contact points of ecological services and the design points of sharing plant factories. Based on these points, a product prototype is realized. Finally, the nature connectedness is tested by 13 users comparing the sharing plant factory with traditional plant pots through the revised Inclusion of Nature in the Self and Connectedness to Nature Scale. The results prove that the designed sharing plant factory can effectively improve a user's nature connectedness. In addition, the efficiency of plant maintenance is greatly improved with the help of a sharing plant factory. The introduction of nature connectedness into ecological design can guide design to pay more attention to the service effect of products. In addition, the introduction of plant factory technology indoors can help ecological service products to function better and provide new ideas for the research of indoor ecological service products.</t>
        </is>
      </c>
      <c r="X1838" t="inlineStr">
        <is>
          <t>[Tong, Xueting; Wu, Zhanwei] Shanghai Jiao Tong Univ, Sch Design, Shanghai 200240, Peoples R China</t>
        </is>
      </c>
      <c r="Y1838" t="inlineStr">
        <is>
          <t>Shanghai Jiao Tong University</t>
        </is>
      </c>
      <c r="Z1838" t="inlineStr">
        <is>
          <t>Wu, ZW (corresponding author), Shanghai Jiao Tong Univ, Sch Design, Shanghai 200240, Peoples R China.</t>
        </is>
      </c>
      <c r="AA1838" t="inlineStr">
        <is>
          <t>tongxueting@sjtu.edu.cn; zhanwei_wu@sjtu.edu.cn</t>
        </is>
      </c>
      <c r="AD1838" t="inlineStr">
        <is>
          <t>Science Foundation of Ministry of Education of China [14YJC860029]; National Social Science Fund of China [16BGL191]</t>
        </is>
      </c>
      <c r="AE1838" t="inlineStr">
        <is>
          <t>Science Foundation of Ministry of Education of China(Ministry of Education, China); National Social Science Fund of China</t>
        </is>
      </c>
      <c r="AF1838" t="inlineStr">
        <is>
          <t>This research was funded by the Science Foundation of Ministry of Education of China grant 14YJC860029 and the National Social Science Fund of China grant 16BGL191.</t>
        </is>
      </c>
      <c r="AH1838" t="n">
        <v>47</v>
      </c>
      <c r="AI1838" t="n">
        <v>0</v>
      </c>
      <c r="AJ1838" t="n">
        <v>0</v>
      </c>
      <c r="AK1838" t="n">
        <v>12</v>
      </c>
      <c r="AL1838" t="n">
        <v>43</v>
      </c>
      <c r="AM1838" t="inlineStr">
        <is>
          <t>MDPI</t>
        </is>
      </c>
      <c r="AN1838" t="inlineStr">
        <is>
          <t>BASEL</t>
        </is>
      </c>
      <c r="AO1838" t="inlineStr">
        <is>
          <t>ST ALBAN-ANLAGE 66, CH-4052 BASEL, SWITZERLAND</t>
        </is>
      </c>
      <c r="AQ1838" t="inlineStr">
        <is>
          <t>2071-1050</t>
        </is>
      </c>
      <c r="AS1838" t="inlineStr">
        <is>
          <t>SUSTAINABILITY-BASEL</t>
        </is>
      </c>
      <c r="AT1838" t="inlineStr">
        <is>
          <t>Sustainability</t>
        </is>
      </c>
      <c r="AU1838" t="inlineStr">
        <is>
          <t>MAY</t>
        </is>
      </c>
      <c r="AV1838" t="n">
        <v>2020</v>
      </c>
      <c r="AW1838" t="n">
        <v>12</v>
      </c>
      <c r="AX1838" t="n">
        <v>10</v>
      </c>
      <c r="BE1838" t="n">
        <v>3965</v>
      </c>
      <c r="BF1838" t="inlineStr">
        <is>
          <t>10.3390/su12103965</t>
        </is>
      </c>
      <c r="BG1838">
        <f>HYPERLINK("http://dx.doi.org/10.3390/su12103965","http://dx.doi.org/10.3390/su12103965")</f>
        <v/>
      </c>
      <c r="BJ1838" t="n">
        <v>18</v>
      </c>
      <c r="BK1838" t="inlineStr">
        <is>
          <t>Green &amp; Sustainable Science &amp; Technology; Environmental Sciences; Environmental Studies</t>
        </is>
      </c>
      <c r="BL1838" t="inlineStr">
        <is>
          <t>Science Citation Index Expanded (SCI-EXPANDED); Social Science Citation Index (SSCI)</t>
        </is>
      </c>
      <c r="BM1838" t="inlineStr">
        <is>
          <t>Science &amp; Technology - Other Topics; Environmental Sciences &amp; Ecology</t>
        </is>
      </c>
      <c r="BN1838" t="inlineStr">
        <is>
          <t>MC6VG</t>
        </is>
      </c>
      <c r="BP1838" t="inlineStr">
        <is>
          <t>gold, Green Published</t>
        </is>
      </c>
      <c r="BS1838" t="inlineStr">
        <is>
          <t>2023-10-26</t>
        </is>
      </c>
      <c r="BT1838" t="inlineStr">
        <is>
          <t>WOS:000543421400023</t>
        </is>
      </c>
      <c r="BU1838">
        <f>HYPERLINK("https%3A%2F%2Fwww.webofscience.com%2Fwos%2Fwoscc%2Ffull-record%2FWOS:000543421400023","View Full Record in Web of Science")</f>
        <v/>
      </c>
    </row>
    <row r="1839">
      <c r="A1839" t="inlineStr">
        <is>
          <t>J</t>
        </is>
      </c>
      <c r="B1839" t="inlineStr">
        <is>
          <t>Tilstra, MH; Nielsen, CC; Tiwari, I; Jones, CA; Vargas, AO; Quemerais, B; Bulut, O; Salma, J; Yamamoto, SS</t>
        </is>
      </c>
      <c r="F1839" t="inlineStr">
        <is>
          <t>Tilstra, McKenzie H.; Nielsen, Charlene C.; Tiwari, Ishwar; Jones, C. Allyson; Vargas, Alvaro Osornio; Quemerais, Bernadette; Bulut, Okan; Salma, Jordana; Yamamoto, Shelby S.</t>
        </is>
      </c>
      <c r="J1839" t="inlineStr">
        <is>
          <t>URBAN CLIMATE</t>
        </is>
      </c>
      <c r="M1839" t="inlineStr">
        <is>
          <t>English</t>
        </is>
      </c>
      <c r="N1839" t="inlineStr">
        <is>
          <t>Article</t>
        </is>
      </c>
      <c r="T1839" t="inlineStr">
        <is>
          <t>Exploring socio-environmental effects on community health in Edmonton, Canada to understand older adult and immigrant risk in a changing climate</t>
        </is>
      </c>
      <c r="U1839" t="inlineStr">
        <is>
          <t>Climate change; Air pollution; Community health; Older adults; Immigrants; Environmental epidemiology</t>
        </is>
      </c>
      <c r="V1839" t="inlineStr">
        <is>
          <t>DIURNAL TEMPERATURE-RANGE; AIR-POLLUTION; HIP FRACTURE; HEAT WAVES; AMBIENT-TEMPERATURE; MORTALITY; PEOPLE; REFUGEES; IMPACT; HOSPITALIZATIONS</t>
        </is>
      </c>
      <c r="W1839" t="inlineStr">
        <is>
          <t>We investigated health risks associated with climate and air pollution hazards and community covariates to generate insights into the resilience of older adults and immigrants at the com-munity level in a northern urban center in the Canadian prairies. Communities with higher proportions of older adults were associated with increased cardiovascular, injury, mental, and respiratory health event rates. Notably, heat effects on injury rates impacted communities with higher percentages of older adults (Prevalence Rate Ratio (PRR) [95%CI] 1.110 [1.011, 1.219] at 25% &amp; GE;65 years). Ozone effects on cardiovascular event rates exhibited similar trends. Areas with higher percentages of immigrants generally had lower rates of hxealth events. However, increasing diurnal temperature range became a risk factor for respiratory health rates where there were higher percentages of refugees (PRR 1.205 [1.004, 1.447] at 20%). Industrial emission ef-fects on injury and respiratory health rates also amplified in areas with higher percentages of refugees (PRR 1.127 [1.058, 1.200]; 1.130 [1.050, 1.216] at 20%). Similar effects were observed for mental health event rates and total immigrants. Greater neighborhood material and social deprivation were significant risk factors for increased health event rates across outcomes. Future work should focus on disproportionately affected vulnerable populations to address community-level resilience.</t>
        </is>
      </c>
      <c r="X1839" t="inlineStr">
        <is>
          <t>[Tilstra, McKenzie H.; Nielsen, Charlene C.; Tiwari, Ishwar; Yamamoto, Shelby S.] Univ Alberta, Edmonton Clin Hlth Acad, Sch Publ Hlth, 11405 87 Ave NW, Edmonton, AB, Canada; [Jones, C. Allyson] Univ Alberta, Fac Rehabil Med, 8205 114 St, Edmonton, AB, Canada; [Vargas, Alvaro Osornio; Quemerais, Bernadette] Univ Alberta, Fac Med &amp; Dent, 8440 112 St NW, Edmonton, AB, Canada; [Bulut, Okan] Univ Alberta, Fac Educ, 11210 87 Ave NW, Edmonton, AB, Canada; [Salma, Jordana] Univ Alberta, Fac Nursing, 116 St &amp; 85 Ave, Edmonton, AB, Canada</t>
        </is>
      </c>
      <c r="Y1839" t="inlineStr">
        <is>
          <t>University of Alberta; University of Alberta; University of Alberta; University of Alberta; University of Alberta</t>
        </is>
      </c>
      <c r="Z1839" t="inlineStr">
        <is>
          <t>Tilstra, MH (corresponding author), Univ Alberta, Edmonton Clin Hlth Acad, Sch Publ Hlth, 11405 87 Ave NW, Edmonton, AB, Canada.</t>
        </is>
      </c>
      <c r="AA1839" t="inlineStr">
        <is>
          <t>tilstra@ualberta.ca</t>
        </is>
      </c>
      <c r="AB1839" t="inlineStr">
        <is>
          <t>Bulut, Okan/O-3457-2019</t>
        </is>
      </c>
      <c r="AC1839" t="inlineStr">
        <is>
          <t>Bulut, Okan/0000-0001-5853-1267; Tilstra, McKenzie/0000-0001-9475-5954</t>
        </is>
      </c>
      <c r="AD1839" t="inlineStr">
        <is>
          <t>City of Edmonton; North American Partnership for Environmental Community Action; Alberta EcoTrust [2019-I-18-IPCC]</t>
        </is>
      </c>
      <c r="AE1839" t="inlineStr">
        <is>
          <t>City of Edmonton; North American Partnership for Environmental Community Action; Alberta EcoTrust</t>
        </is>
      </c>
      <c r="AF1839" t="inlineStr">
        <is>
          <t>This work was supported by the City of Edmonton and Alberta EcoTrust [2019-I-18-IPCC] ; and the North American Partnership for Environmental Community Action.</t>
        </is>
      </c>
      <c r="AH1839" t="n">
        <v>114</v>
      </c>
      <c r="AI1839" t="n">
        <v>2</v>
      </c>
      <c r="AJ1839" t="n">
        <v>2</v>
      </c>
      <c r="AK1839" t="n">
        <v>1</v>
      </c>
      <c r="AL1839" t="n">
        <v>6</v>
      </c>
      <c r="AM1839" t="inlineStr">
        <is>
          <t>ELSEVIER</t>
        </is>
      </c>
      <c r="AN1839" t="inlineStr">
        <is>
          <t>AMSTERDAM</t>
        </is>
      </c>
      <c r="AO1839" t="inlineStr">
        <is>
          <t>RADARWEG 29, 1043 NX AMSTERDAM, NETHERLANDS</t>
        </is>
      </c>
      <c r="AP1839" t="inlineStr">
        <is>
          <t>2212-0955</t>
        </is>
      </c>
      <c r="AS1839" t="inlineStr">
        <is>
          <t>URBAN CLIM</t>
        </is>
      </c>
      <c r="AT1839" t="inlineStr">
        <is>
          <t>Urban CLim.</t>
        </is>
      </c>
      <c r="AU1839" t="inlineStr">
        <is>
          <t>JUL</t>
        </is>
      </c>
      <c r="AV1839" t="n">
        <v>2022</v>
      </c>
      <c r="AW1839" t="n">
        <v>44</v>
      </c>
      <c r="BE1839" t="n">
        <v>101225</v>
      </c>
      <c r="BF1839" t="inlineStr">
        <is>
          <t>10.1016/j.uclim.2022.101225</t>
        </is>
      </c>
      <c r="BG1839">
        <f>HYPERLINK("http://dx.doi.org/10.1016/j.uclim.2022.101225","http://dx.doi.org/10.1016/j.uclim.2022.101225")</f>
        <v/>
      </c>
      <c r="BI1839" t="inlineStr">
        <is>
          <t>JUL 2022</t>
        </is>
      </c>
      <c r="BJ1839" t="n">
        <v>19</v>
      </c>
      <c r="BK1839" t="inlineStr">
        <is>
          <t>Environmental Sciences; Meteorology &amp; Atmospheric Sciences</t>
        </is>
      </c>
      <c r="BL1839" t="inlineStr">
        <is>
          <t>Science Citation Index Expanded (SCI-EXPANDED)</t>
        </is>
      </c>
      <c r="BM1839" t="inlineStr">
        <is>
          <t>Environmental Sciences &amp; Ecology; Meteorology &amp; Atmospheric Sciences</t>
        </is>
      </c>
      <c r="BN1839" t="inlineStr">
        <is>
          <t>3M2SH</t>
        </is>
      </c>
      <c r="BP1839" t="inlineStr">
        <is>
          <t>hybrid</t>
        </is>
      </c>
      <c r="BS1839" t="inlineStr">
        <is>
          <t>2023-10-26</t>
        </is>
      </c>
      <c r="BT1839" t="inlineStr">
        <is>
          <t>WOS:000835308700005</t>
        </is>
      </c>
      <c r="BU1839">
        <f>HYPERLINK("https%3A%2F%2Fwww.webofscience.com%2Fwos%2Fwoscc%2Ffull-record%2FWOS:000835308700005","View Full Record in Web of Science")</f>
        <v/>
      </c>
    </row>
    <row r="1840">
      <c r="A1840" t="inlineStr">
        <is>
          <t>J</t>
        </is>
      </c>
      <c r="B1840" t="inlineStr">
        <is>
          <t>Chien, NH; Tsai, CH; Lin, HR</t>
        </is>
      </c>
      <c r="F1840" t="inlineStr">
        <is>
          <t>Chien, Nai-Hui; Tsai, Chin-Hsing; Lin, Hung-Ru</t>
        </is>
      </c>
      <c r="J1840" t="inlineStr">
        <is>
          <t>INTERNATIONAL JOURNAL OF ENVIRONMENTAL RESEARCH AND PUBLIC HEALTH</t>
        </is>
      </c>
      <c r="M1840" t="inlineStr">
        <is>
          <t>English</t>
        </is>
      </c>
      <c r="N1840" t="inlineStr">
        <is>
          <t>Article</t>
        </is>
      </c>
      <c r="T1840" t="inlineStr">
        <is>
          <t>Lived Experiences of Newly Admitted to Long-Term Care Facilities among Older Adults with Disabilities in Taiwan</t>
        </is>
      </c>
      <c r="U1840" t="inlineStr">
        <is>
          <t>older adults with disabilities; newly admitted to long-term care facilities; lived experiences; descriptive phenomenology; qualitative</t>
        </is>
      </c>
      <c r="V1840" t="inlineStr">
        <is>
          <t>NURSING-HOME RESIDENTS; PEOPLES EXPERIENCES; TRANSITION; ADJUSTMENT; HEALTH; LIFE</t>
        </is>
      </c>
      <c r="W1840" t="inlineStr">
        <is>
          <t>This study aimed to explore the lived experiences of Taiwanese older adults with disabilities newly admitted to long-term care facilities (LTCFs). A descriptive phenomenological method was used. Colaizzi's method analysis of 15 participant interviews revealed six themes: living here is a last resort, I don't like it but still have to live here, my needs are not understood, looking forward to emotional support, practicing the way of survival, and trying to make myself better. The older adults were admitted to the LTCF as they or their family members could not take care of themselves due to their disability. Participants explained their new life in the LTCF was like a prison, it was not easy for their needs to be understood. They used self-adjustment and established relationships with staff in the LTCF in order to live a stable life. They lived their lives with silence and alertness to practice the way of survival. They strived to make themselves better through rehabilitation, taking good care of their bodies, and finding their focus and value of life. It is important to pay attention to the care needs as well as life adjustment problems for newly older adults with disabilities in order to assist them in opening up new life experiences in LTCFs.</t>
        </is>
      </c>
      <c r="X1840" t="inlineStr">
        <is>
          <t>[Chien, Nai-Hui; Tsai, Chin-Hsing] Chang Gung Univ Sci &amp; Technol, Dept Nursing, Coll Nursing, Taoyuan 33303, Taiwan; [Tsai, Chin-Hsing; Lin, Hung-Ru] Natl Taipei Univ Nursing &amp; Hlth Sci, Sch Nursing, Coll Nursing, Taipei 112303, Taiwan</t>
        </is>
      </c>
      <c r="Y1840" t="inlineStr">
        <is>
          <t>Chang Gung University of Science &amp; Technology; National Taipei University of Nursing &amp; Health Science (NTUNHS)</t>
        </is>
      </c>
      <c r="Z1840" t="inlineStr">
        <is>
          <t>Lin, HR (corresponding author), Natl Taipei Univ Nursing &amp; Hlth Sci, Sch Nursing, Coll Nursing, Taipei 112303, Taiwan.</t>
        </is>
      </c>
      <c r="AA1840" t="inlineStr">
        <is>
          <t>sychien@mail.cgust.edu.tw; wimsimtsai@mail.cgust.edu.tw; hungru@ntunhs.edu.tw</t>
        </is>
      </c>
      <c r="AC1840" t="inlineStr">
        <is>
          <t>Lin, Hung-Ru/0000-0003-0474-6902</t>
        </is>
      </c>
      <c r="AH1840" t="n">
        <v>41</v>
      </c>
      <c r="AI1840" t="n">
        <v>2</v>
      </c>
      <c r="AJ1840" t="n">
        <v>3</v>
      </c>
      <c r="AK1840" t="n">
        <v>1</v>
      </c>
      <c r="AL1840" t="n">
        <v>7</v>
      </c>
      <c r="AM1840" t="inlineStr">
        <is>
          <t>MDPI</t>
        </is>
      </c>
      <c r="AN1840" t="inlineStr">
        <is>
          <t>BASEL</t>
        </is>
      </c>
      <c r="AO1840" t="inlineStr">
        <is>
          <t>ST ALBAN-ANLAGE 66, CH-4052 BASEL, SWITZERLAND</t>
        </is>
      </c>
      <c r="AQ1840" t="inlineStr">
        <is>
          <t>1660-4601</t>
        </is>
      </c>
      <c r="AS1840" t="inlineStr">
        <is>
          <t>INT J ENV RES PUB HE</t>
        </is>
      </c>
      <c r="AT1840" t="inlineStr">
        <is>
          <t>Int. J. Environ. Res. Public Health</t>
        </is>
      </c>
      <c r="AU1840" t="inlineStr">
        <is>
          <t>FEB</t>
        </is>
      </c>
      <c r="AV1840" t="n">
        <v>2022</v>
      </c>
      <c r="AW1840" t="n">
        <v>19</v>
      </c>
      <c r="AX1840" t="n">
        <v>3</v>
      </c>
      <c r="BE1840" t="n">
        <v>1816</v>
      </c>
      <c r="BF1840" t="inlineStr">
        <is>
          <t>10.3390/ijerph19031816</t>
        </is>
      </c>
      <c r="BG1840">
        <f>HYPERLINK("http://dx.doi.org/10.3390/ijerph19031816","http://dx.doi.org/10.3390/ijerph19031816")</f>
        <v/>
      </c>
      <c r="BJ1840" t="n">
        <v>17</v>
      </c>
      <c r="BK1840" t="inlineStr">
        <is>
          <t>Environmental Sciences; Public, Environmental &amp; Occupational Health</t>
        </is>
      </c>
      <c r="BL1840" t="inlineStr">
        <is>
          <t>Science Citation Index Expanded (SCI-EXPANDED); Social Science Citation Index (SSCI)</t>
        </is>
      </c>
      <c r="BM1840" t="inlineStr">
        <is>
          <t>Environmental Sciences &amp; Ecology; Public, Environmental &amp; Occupational Health</t>
        </is>
      </c>
      <c r="BN1840" t="inlineStr">
        <is>
          <t>YZ8ET</t>
        </is>
      </c>
      <c r="BO1840" t="n">
        <v>35162839</v>
      </c>
      <c r="BP1840" t="inlineStr">
        <is>
          <t>gold, Green Published</t>
        </is>
      </c>
      <c r="BS1840" t="inlineStr">
        <is>
          <t>2023-10-26</t>
        </is>
      </c>
      <c r="BT1840" t="inlineStr">
        <is>
          <t>WOS:000755705100001</t>
        </is>
      </c>
      <c r="BU1840">
        <f>HYPERLINK("https%3A%2F%2Fwww.webofscience.com%2Fwos%2Fwoscc%2Ffull-record%2FWOS:000755705100001","View Full Record in Web of Science")</f>
        <v/>
      </c>
    </row>
    <row r="1841">
      <c r="A1841" t="inlineStr">
        <is>
          <t>J</t>
        </is>
      </c>
      <c r="B1841" t="inlineStr">
        <is>
          <t>Cachicatari-Vargas, E; Cuellar, KJM; Chipana, WFC; Socasaire, FDM; Acevedo-Duque, A; Arpasi-Quispe, O</t>
        </is>
      </c>
      <c r="F1841" t="inlineStr">
        <is>
          <t>Cachicatari-Vargas, Elena; Mutter Cuellar, Karimen Jetzabel; Condori Chipana, Wender Florencio; Miranda Socasaire, Flor de Maria; Acevedo-Duque, Angel; Arpasi-Quispe, Orfelina</t>
        </is>
      </c>
      <c r="J1841" t="inlineStr">
        <is>
          <t>INTERNATIONAL JOURNAL OF ENVIRONMENTAL RESEARCH AND PUBLIC HEALTH</t>
        </is>
      </c>
      <c r="M1841" t="inlineStr">
        <is>
          <t>English</t>
        </is>
      </c>
      <c r="N1841" t="inlineStr">
        <is>
          <t>Article</t>
        </is>
      </c>
      <c r="T1841" t="inlineStr">
        <is>
          <t>The Mental Health of Older Adults in the Densely Populated Areas of Tacna Region-Peru, 2021: Implications of the COVID-19 Information</t>
        </is>
      </c>
      <c r="U1841" t="inlineStr">
        <is>
          <t>exposition; COVID-19; mental health; older adults</t>
        </is>
      </c>
      <c r="V1841" t="inlineStr">
        <is>
          <t>PSYCHOMETRIC PROPERTIES</t>
        </is>
      </c>
      <c r="W1841" t="inlineStr">
        <is>
          <t>The purpose of this research was to analyze the implications of exposure to various news channels that broadcast information on COVID-19 and their impact on the mental health of older adults in the sparsely populated area of the Tacna Region during the year 2021. The present study used a descriptive correlational type of quantitative approach on a sample of 389 older adults aged 60 years and over, who were recruited by non-probabilistic convenience sampling. For the application of the survey technique, the instrument used was a questionnaire modified by the authors. In terms of research ethics for the development of the study, the respondents provided informed consent, and other ethical considerations were addressed. In relation to sociodemographic variables of mental health, it was found that women had a greater incidence of anxiety (p &lt; 0.01) and that people with fewer years of study had a greater incidence of depression (p &lt; 0.01) and anxiety in sparsely populated areas. Exposure to news through television was associated with depression, and news obtained from other people was associated with depression (p &lt; 0.001). An association was also found between the number of hours of television news and stress (p &lt; 0.05), and radio news was associated with anxiety (p &lt; 0.05). In terms of psychological consequences, the highest mean for television exposure was fear, while the greatest psychological consequence of radio news was fear, followed by stress and awareness. Finally, negative, inverse, and significant relationships were found that indicate protective factors, such as depression with awareness and indignation, and anxiety was inversely related to awareness.</t>
        </is>
      </c>
      <c r="X1841" t="inlineStr">
        <is>
          <t>[Cachicatari-Vargas, Elena; Mutter Cuellar, Karimen Jetzabel; Condori Chipana, Wender Florencio; Miranda Socasaire, Flor de Maria] Univ Nacl Jorge Basadre Grohmann, Fac Hlth Sci, Tacna 23001, Peru; [Mutter Cuellar, Karimen Jetzabel; Acevedo-Duque, Angel] Univ Autonoma Chile, Programa Doctorado Ciencias Sociales, Santiago 7500912, Chile; [Condori Chipana, Wender Florencio; Arpasi-Quispe, Orfelina] Norbert Wiener Univ, Grad Sch, Lima 15046, Peru; [Arpasi-Quispe, Orfelina] Univ Peruana Union, Fac Hlth Sci, Lima 15046, Peru</t>
        </is>
      </c>
      <c r="Y1841" t="inlineStr">
        <is>
          <t>Universidad Nacional Jorge Basadre Grohmann; Universidad Autonoma de Chile; Universidad Peruana Union</t>
        </is>
      </c>
      <c r="Z1841" t="inlineStr">
        <is>
          <t>Acevedo-Duque, A (corresponding author), Univ Autonoma Chile, Programa Doctorado Ciencias Sociales, Santiago 7500912, Chile.</t>
        </is>
      </c>
      <c r="AA1841" t="inlineStr">
        <is>
          <t>angel.acevedo@uautonoma.cl</t>
        </is>
      </c>
      <c r="AB1841" t="inlineStr">
        <is>
          <t>Acevedo-Duque, Ángel/ABF-9101-2020</t>
        </is>
      </c>
      <c r="AC1841" t="inlineStr">
        <is>
          <t>Acevedo-Duque, Ángel/0000-0002-8774-3282; Cachicatari Vargas, Elena/0000-0002-9843-432X; Arpasi Quispe, Orfelina/0000-0002-0495-6128</t>
        </is>
      </c>
      <c r="AH1841" t="n">
        <v>49</v>
      </c>
      <c r="AI1841" t="n">
        <v>1</v>
      </c>
      <c r="AJ1841" t="n">
        <v>1</v>
      </c>
      <c r="AK1841" t="n">
        <v>2</v>
      </c>
      <c r="AL1841" t="n">
        <v>6</v>
      </c>
      <c r="AM1841" t="inlineStr">
        <is>
          <t>MDPI</t>
        </is>
      </c>
      <c r="AN1841" t="inlineStr">
        <is>
          <t>BASEL</t>
        </is>
      </c>
      <c r="AO1841" t="inlineStr">
        <is>
          <t>ST ALBAN-ANLAGE 66, CH-4052 BASEL, SWITZERLAND</t>
        </is>
      </c>
      <c r="AQ1841" t="inlineStr">
        <is>
          <t>1660-4601</t>
        </is>
      </c>
      <c r="AS1841" t="inlineStr">
        <is>
          <t>INT J ENV RES PUB HE</t>
        </is>
      </c>
      <c r="AT1841" t="inlineStr">
        <is>
          <t>Int. J. Environ. Res. Public Health</t>
        </is>
      </c>
      <c r="AU1841" t="inlineStr">
        <is>
          <t>SEP</t>
        </is>
      </c>
      <c r="AV1841" t="n">
        <v>2022</v>
      </c>
      <c r="AW1841" t="n">
        <v>19</v>
      </c>
      <c r="AX1841" t="n">
        <v>18</v>
      </c>
      <c r="BE1841" t="n">
        <v>11470</v>
      </c>
      <c r="BF1841" t="inlineStr">
        <is>
          <t>10.3390/ijerph191811470</t>
        </is>
      </c>
      <c r="BG1841">
        <f>HYPERLINK("http://dx.doi.org/10.3390/ijerph191811470","http://dx.doi.org/10.3390/ijerph191811470")</f>
        <v/>
      </c>
      <c r="BJ1841" t="n">
        <v>13</v>
      </c>
      <c r="BK1841" t="inlineStr">
        <is>
          <t>Environmental Sciences; Public, Environmental &amp; Occupational Health</t>
        </is>
      </c>
      <c r="BL1841" t="inlineStr">
        <is>
          <t>Science Citation Index Expanded (SCI-EXPANDED); Social Science Citation Index (SSCI)</t>
        </is>
      </c>
      <c r="BM1841" t="inlineStr">
        <is>
          <t>Environmental Sciences &amp; Ecology; Public, Environmental &amp; Occupational Health</t>
        </is>
      </c>
      <c r="BN1841" t="inlineStr">
        <is>
          <t>4T6LP</t>
        </is>
      </c>
      <c r="BO1841" t="n">
        <v>36141745</v>
      </c>
      <c r="BP1841" t="inlineStr">
        <is>
          <t>gold, Green Published</t>
        </is>
      </c>
      <c r="BS1841" t="inlineStr">
        <is>
          <t>2023-10-26</t>
        </is>
      </c>
      <c r="BT1841" t="inlineStr">
        <is>
          <t>WOS:000858226400001</t>
        </is>
      </c>
      <c r="BU1841">
        <f>HYPERLINK("https%3A%2F%2Fwww.webofscience.com%2Fwos%2Fwoscc%2Ffull-record%2FWOS:000858226400001","View Full Record in Web of Science")</f>
        <v/>
      </c>
    </row>
    <row r="1842">
      <c r="A1842" t="inlineStr">
        <is>
          <t>J</t>
        </is>
      </c>
      <c r="B1842" t="inlineStr">
        <is>
          <t>He, BJ; Ding, L; Prasad, D</t>
        </is>
      </c>
      <c r="F1842" t="inlineStr">
        <is>
          <t>He, Bao-Jie; Ding, Lan; Prasad, Deo</t>
        </is>
      </c>
      <c r="J1842" t="inlineStr">
        <is>
          <t>URBAN CLIMATE</t>
        </is>
      </c>
      <c r="M1842" t="inlineStr">
        <is>
          <t>English</t>
        </is>
      </c>
      <c r="N1842" t="inlineStr">
        <is>
          <t>Article</t>
        </is>
      </c>
      <c r="T1842" t="inlineStr">
        <is>
          <t>Outdoor thermal environment of an open space under sea breeze: A mobile experience in a coastal city of Sydney, Australia</t>
        </is>
      </c>
      <c r="U1842" t="inlineStr">
        <is>
          <t>Outdoor thermal environment; Wind-induced cooling; Built form; Sea breeze; Cooling performance; Coastal city</t>
        </is>
      </c>
      <c r="V1842" t="inlineStr">
        <is>
          <t>URBAN HEAT-ISLAND; VENTILATION; IMPACTS; CITIES; BREATHABILITY; TEMPERATURE; INTENSITY; MORTALITY; DENSITY; TREE</t>
        </is>
      </c>
      <c r="W1842" t="inlineStr">
        <is>
          <t>Wind is potential to regulate urban temperature, while the wind-induced cooling effect has not been well understood in association with built form. Therefore, this paper investigated the cooling effects of sea breeze on outdoor thermal environment with the consideration of built form in an open space of Sydney, Australia based on mobile measurement. Results indicate the open space underwent lagging sea breeze influence. The wind speed and air temperature exhibited spatiotemporal variations. During the measurement period, the air temperature gradually decreased while the wind speed increased. The daily average wind speed was spatially proportional to sky view factor (SVF), while wind could be amplified by channel effect and building disturbance. The most open point with high SVF underwent the highest daily average air temperature. The grassland did not show the cooling potential while underwent the highest temperature. In comparison, the location under both tree and building shades underwent the lowest temperature. Both solar radiation and wind speed had significant influences on the air temperature, while the influence of wind speed was less significant. The wind in more open area had more significant cooling potentials, while the cooling potential of wind within shading or wind amplification zone was less significant. Moreover, the wind cooling potential was more obvious when the background temperature was higher. The cooling potential of wind above grassland might be inhibited by water scarcity and heat accumulation. Overall, this study indicates that wind is also a critical factor affecting local temperature and it should be considered in local temperature studies, as well as the urban planning and design for overheating mitigation.</t>
        </is>
      </c>
      <c r="X1842" t="inlineStr">
        <is>
          <t>[He, Bao-Jie; Ding, Lan] Univ New South Wales, Fac Built Environm, Sydney, NSW 2052, Australia; [Prasad, Deo] UNSW Australia, Cooperat Res Ctr Low Carbon Living, Sydney, NSW 2052, Australia</t>
        </is>
      </c>
      <c r="Y1842" t="inlineStr">
        <is>
          <t>University of New South Wales Sydney; University of New South Wales Sydney</t>
        </is>
      </c>
      <c r="Z1842" t="inlineStr">
        <is>
          <t>He, BJ (corresponding author), Univ New South Wales, Fac Built Environm, Sydney, NSW 2052, Australia.</t>
        </is>
      </c>
      <c r="AA1842" t="inlineStr">
        <is>
          <t>baojie.he@unsw.edu.au</t>
        </is>
      </c>
      <c r="AB1842" t="inlineStr">
        <is>
          <t>He, Bao-jie/ABC-5621-2020; Ding, Lan/D-3526-2018; He, Baojie/J-4430-2019</t>
        </is>
      </c>
      <c r="AC1842" t="inlineStr">
        <is>
          <t>He, Bao-jie/0000-0002-8841-0711; Ding, Lan/0000-0001-7495-8068; He, Baojie/0000-0002-8841-0711</t>
        </is>
      </c>
      <c r="AD1842" t="inlineStr">
        <is>
          <t>Australian Government Research Training Program; HDR Research Support Scholarship from the Faculty of Built Environment, University of New South Wales, Australia</t>
        </is>
      </c>
      <c r="AE1842" t="inlineStr">
        <is>
          <t>Australian Government Research Training Program(Australian Government); HDR Research Support Scholarship from the Faculty of Built Environment, University of New South Wales, Australia</t>
        </is>
      </c>
      <c r="AF1842" t="inlineStr">
        <is>
          <t>Authors express great thank to the financial support from Australian Government Research Training Program and HDR Research Support Scholarship from the Faculty of Built Environment, University of New South Wales, Australia. Special thanks go to the High Performance Architecture Research Cluster at FBE, University of New South Wales. Authors appreciate the support from A/Professor Paul Osmond and A/Professor Philip Oldfield at Faculty of Built Environment, University of New South Wales.</t>
        </is>
      </c>
      <c r="AH1842" t="n">
        <v>49</v>
      </c>
      <c r="AI1842" t="n">
        <v>32</v>
      </c>
      <c r="AJ1842" t="n">
        <v>34</v>
      </c>
      <c r="AK1842" t="n">
        <v>4</v>
      </c>
      <c r="AL1842" t="n">
        <v>35</v>
      </c>
      <c r="AM1842" t="inlineStr">
        <is>
          <t>ELSEVIER</t>
        </is>
      </c>
      <c r="AN1842" t="inlineStr">
        <is>
          <t>AMSTERDAM</t>
        </is>
      </c>
      <c r="AO1842" t="inlineStr">
        <is>
          <t>RADARWEG 29, 1043 NX AMSTERDAM, NETHERLANDS</t>
        </is>
      </c>
      <c r="AP1842" t="inlineStr">
        <is>
          <t>2212-0955</t>
        </is>
      </c>
      <c r="AS1842" t="inlineStr">
        <is>
          <t>URBAN CLIM</t>
        </is>
      </c>
      <c r="AT1842" t="inlineStr">
        <is>
          <t>Urban CLim.</t>
        </is>
      </c>
      <c r="AU1842" t="inlineStr">
        <is>
          <t>MAR</t>
        </is>
      </c>
      <c r="AV1842" t="n">
        <v>2020</v>
      </c>
      <c r="AW1842" t="n">
        <v>31</v>
      </c>
      <c r="BE1842" t="n">
        <v>100567</v>
      </c>
      <c r="BF1842" t="inlineStr">
        <is>
          <t>10.1016/j.uclim.2019.100567</t>
        </is>
      </c>
      <c r="BG1842">
        <f>HYPERLINK("http://dx.doi.org/10.1016/j.uclim.2019.100567","http://dx.doi.org/10.1016/j.uclim.2019.100567")</f>
        <v/>
      </c>
      <c r="BJ1842" t="n">
        <v>18</v>
      </c>
      <c r="BK1842" t="inlineStr">
        <is>
          <t>Environmental Sciences; Meteorology &amp; Atmospheric Sciences</t>
        </is>
      </c>
      <c r="BL1842" t="inlineStr">
        <is>
          <t>Science Citation Index Expanded (SCI-EXPANDED)</t>
        </is>
      </c>
      <c r="BM1842" t="inlineStr">
        <is>
          <t>Environmental Sciences &amp; Ecology; Meteorology &amp; Atmospheric Sciences</t>
        </is>
      </c>
      <c r="BN1842" t="inlineStr">
        <is>
          <t>LJ8QV</t>
        </is>
      </c>
      <c r="BS1842" t="inlineStr">
        <is>
          <t>2023-10-26</t>
        </is>
      </c>
      <c r="BT1842" t="inlineStr">
        <is>
          <t>WOS:000530427100002</t>
        </is>
      </c>
      <c r="BU1842">
        <f>HYPERLINK("https%3A%2F%2Fwww.webofscience.com%2Fwos%2Fwoscc%2Ffull-record%2FWOS:000530427100002","View Full Record in Web of Science")</f>
        <v/>
      </c>
    </row>
    <row r="1843">
      <c r="A1843" t="inlineStr">
        <is>
          <t>J</t>
        </is>
      </c>
      <c r="B1843" t="inlineStr">
        <is>
          <t>Yuan, X; Ryu, Y</t>
        </is>
      </c>
      <c r="F1843" t="inlineStr">
        <is>
          <t>Yuan, Xin; Ryu, Yuji</t>
        </is>
      </c>
      <c r="J1843" t="inlineStr">
        <is>
          <t>INTERNATIONAL JOURNAL OF ENVIRONMENTAL RESEARCH AND PUBLIC HEALTH</t>
        </is>
      </c>
      <c r="M1843" t="inlineStr">
        <is>
          <t>English</t>
        </is>
      </c>
      <c r="N1843" t="inlineStr">
        <is>
          <t>Article</t>
        </is>
      </c>
      <c r="T1843" t="inlineStr">
        <is>
          <t>Evaluation of Children's Thermal Environment in Nursery School: Through the Questionnaire and Measurement of Wearable Sensors Approach</t>
        </is>
      </c>
      <c r="U1843" t="inlineStr">
        <is>
          <t>children; indoor thermal environment; wearable sensor; adaptive comfort behavior</t>
        </is>
      </c>
      <c r="V1843" t="inlineStr">
        <is>
          <t>RELATIVE-HUMIDITY; SCIENTIFIC EVIDENCE; SKIN TEMPERATURE; COMFORT; BUILDINGS; HEALTH; EXPOSURE; PERFORMANCE; DAMPNESS; QUALITY</t>
        </is>
      </c>
      <c r="W1843" t="inlineStr">
        <is>
          <t>Due to psychological and physical differences, children are more vulnerable to the influence of the surrounding environment than adults. A nursery school in Japan was selected as the research object. The actual thermal environment of children aged 1 to 5 in the classroom was evaluated based on measured data in winter and summer. Through a questionnaire survey of nursery teachers, this paper analyzed and compared the relationship between teachers' thermal adaptation behavior and children's thermal sensation. Compared with the traditional fixed-points measurement method, a method of wearable sensors for children was proposed to measure the indoor temperature distribution. The traditional measurement results showed that 73% of classroom indoor temperatures and humidity do not meet the thermal comfort standard stipulated by the government. The method proposed in this paper indicates that: (1) nursery teachers' thermal adaptation behavior may not be based on children's thermal sensations; (2) solar radiation and weather context could lead to uneven indoor horizontal temperature distribution, hence, specific attention should be paid to the thermal environment when children move to the window side; and (3) the density of occupants causes the temperature around the human body to be relatively high. We suggest that teachers improve the thermal comfort of gathered children through thermal adaptive behaviors. The results of the study provide valuable information for nursery managers to formulate effective indoor thermal environment strategies from the perspective of children.</t>
        </is>
      </c>
      <c r="X1843" t="inlineStr">
        <is>
          <t>[Yuan, Xin; Ryu, Yuji] Univ Kitakyushu, Fac Environm Engn, Wakamatsu Ku, Hibikino1-1, Kitakyushu, Fukuoka 8080135, Japan</t>
        </is>
      </c>
      <c r="Y1843" t="inlineStr">
        <is>
          <t>University of Kitakyushu</t>
        </is>
      </c>
      <c r="Z1843" t="inlineStr">
        <is>
          <t>Ryu, Y (corresponding author), Univ Kitakyushu, Fac Environm Engn, Wakamatsu Ku, Hibikino1-1, Kitakyushu, Fukuoka 8080135, Japan.</t>
        </is>
      </c>
      <c r="AA1843" t="inlineStr">
        <is>
          <t>uanin03@gmail.com; ryu@kitakyu-u.ac.jp</t>
        </is>
      </c>
      <c r="AH1843" t="n">
        <v>50</v>
      </c>
      <c r="AI1843" t="n">
        <v>1</v>
      </c>
      <c r="AJ1843" t="n">
        <v>1</v>
      </c>
      <c r="AK1843" t="n">
        <v>6</v>
      </c>
      <c r="AL1843" t="n">
        <v>26</v>
      </c>
      <c r="AM1843" t="inlineStr">
        <is>
          <t>MDPI</t>
        </is>
      </c>
      <c r="AN1843" t="inlineStr">
        <is>
          <t>BASEL</t>
        </is>
      </c>
      <c r="AO1843" t="inlineStr">
        <is>
          <t>ST ALBAN-ANLAGE 66, CH-4052 BASEL, SWITZERLAND</t>
        </is>
      </c>
      <c r="AQ1843" t="inlineStr">
        <is>
          <t>1660-4601</t>
        </is>
      </c>
      <c r="AS1843" t="inlineStr">
        <is>
          <t>INT J ENV RES PUB HE</t>
        </is>
      </c>
      <c r="AT1843" t="inlineStr">
        <is>
          <t>Int. J. Environ. Res. Public Health</t>
        </is>
      </c>
      <c r="AU1843" t="inlineStr">
        <is>
          <t>MAR</t>
        </is>
      </c>
      <c r="AV1843" t="n">
        <v>2022</v>
      </c>
      <c r="AW1843" t="n">
        <v>19</v>
      </c>
      <c r="AX1843" t="n">
        <v>5</v>
      </c>
      <c r="BE1843" t="n">
        <v>2866</v>
      </c>
      <c r="BF1843" t="inlineStr">
        <is>
          <t>10.3390/ijerph19052866</t>
        </is>
      </c>
      <c r="BG1843">
        <f>HYPERLINK("http://dx.doi.org/10.3390/ijerph19052866","http://dx.doi.org/10.3390/ijerph19052866")</f>
        <v/>
      </c>
      <c r="BJ1843" t="n">
        <v>19</v>
      </c>
      <c r="BK1843" t="inlineStr">
        <is>
          <t>Environmental Sciences; Public, Environmental &amp; Occupational Health</t>
        </is>
      </c>
      <c r="BL1843" t="inlineStr">
        <is>
          <t>Science Citation Index Expanded (SCI-EXPANDED); Social Science Citation Index (SSCI)</t>
        </is>
      </c>
      <c r="BM1843" t="inlineStr">
        <is>
          <t>Environmental Sciences &amp; Ecology; Public, Environmental &amp; Occupational Health</t>
        </is>
      </c>
      <c r="BN1843" t="inlineStr">
        <is>
          <t>ZT6CR</t>
        </is>
      </c>
      <c r="BO1843" t="n">
        <v>35270558</v>
      </c>
      <c r="BP1843" t="inlineStr">
        <is>
          <t>gold, Green Published</t>
        </is>
      </c>
      <c r="BS1843" t="inlineStr">
        <is>
          <t>2023-10-26</t>
        </is>
      </c>
      <c r="BT1843" t="inlineStr">
        <is>
          <t>WOS:000769242500001</t>
        </is>
      </c>
      <c r="BU1843">
        <f>HYPERLINK("https%3A%2F%2Fwww.webofscience.com%2Fwos%2Fwoscc%2Ffull-record%2FWOS:000769242500001","View Full Record in Web of Science")</f>
        <v/>
      </c>
    </row>
    <row r="1844">
      <c r="A1844" t="inlineStr">
        <is>
          <t>J</t>
        </is>
      </c>
      <c r="B1844" t="inlineStr">
        <is>
          <t>Sharma, T; Jain, S</t>
        </is>
      </c>
      <c r="F1844" t="inlineStr">
        <is>
          <t>Sharma, Tanya; Jain, Suresh</t>
        </is>
      </c>
      <c r="J1844" t="inlineStr">
        <is>
          <t>JOURNAL OF CLEANER PRODUCTION</t>
        </is>
      </c>
      <c r="M1844" t="inlineStr">
        <is>
          <t>English</t>
        </is>
      </c>
      <c r="N1844" t="inlineStr">
        <is>
          <t>Review</t>
        </is>
      </c>
      <c r="T1844" t="inlineStr">
        <is>
          <t>Nexus between built environment, travel behaviour and human health: An integrated framework to reinform transport system</t>
        </is>
      </c>
      <c r="U1844" t="inlineStr">
        <is>
          <t>Transport system; Nexus; Sustainable transportation; Causal loop; Sustainable development goals</t>
        </is>
      </c>
      <c r="V1844" t="inlineStr">
        <is>
          <t>RESIDENTIAL SELF-SELECTION; GREENHOUSE-GAS EMISSIONS; NON-MOTORIZED TRAVEL; MODE CHOICE; CAR OWNERSHIP; PHYSICAL-ACTIVITY; AIR-POLLUTION; LAND-USE; ENERGY-CONSUMPTION; PUBLIC TRANSPORT</t>
        </is>
      </c>
      <c r="W1844" t="inlineStr">
        <is>
          <t>Transport systems play a significant role in socio-economic development and influence a city's human health (HH) status mediated through multiple pathways. It fosters the growth trajectory of a city by acting as its lifeline. However, many factors like a city's-built environment (BE), travel behaviour (TB), travel patterns and socioeconomic status of urban commuters influence the transport system. A vast amount of literature is available in silos that evaluates the relationship between any two components, especially in the context of developed countries. So far, the research community has not agreed on the underlying nexus between BE, TB, and human health (HH). Given this, the present study aims to (i) assess the relationship (both intensity and magnitude) between BE, TB and HH; (ii) summarise the statistical tools used to assess these relationships, (iii) critically analyse existing studies and develop a conceptual model of BE-TB-HH (BETH) nexus and (iv) conduct logical framework analysis to identify linkages between BETH nexus and sustainable development goals (SDGs). Study results suggest that the BETH nexus is multidimensional, complex and dynamic, which operates at different spatial scales and can help achieve a country's nationally determined commitments and SDGs. BETH nexus integrates management and governance across multiple sectors of urban planning, transportation, individual psychology, and human health. It corroborates the need not to view urban planning, transportation, human health, and human psychology as separate entities but as a complex and inextricably interlinked system framework that will help policy and decision-makers reinform the transport system.</t>
        </is>
      </c>
      <c r="X1844" t="inlineStr">
        <is>
          <t>[Sharma, Tanya] TERI Sch Adv Studies Earlier TERI Univ, Dept Energy &amp; Environm, 10,Inst Area,Vasant Kunj, New Delhi 110070, Delhi, India; [Jain, Suresh] Indian Inst Technol Delhi, Transportat Res &amp; Injury Prevent Ctr TRIP Ctr, Hauz Khas, New Delhi 110016, India; [Jain, Suresh] Indian Inst Technol Tirupati, Dept Civil &amp; Environm Engn, Tirupati 517506, Andhra Pradesh, India</t>
        </is>
      </c>
      <c r="Y1844" t="inlineStr">
        <is>
          <t>Indian Institute of Technology System (IIT System); Indian Institute of Technology (IIT) - Delhi; Indian Institute of Technology System (IIT System); Indian Institute of Technology (IIT) - Tirupati</t>
        </is>
      </c>
      <c r="Z1844" t="inlineStr">
        <is>
          <t>Jain, S (corresponding author), Indian Inst Technol Delhi, Transportat Res &amp; Injury Prevent Ctr TRIP Ctr, Hauz Khas, New Delhi 110016, India.</t>
        </is>
      </c>
      <c r="AA1844" t="inlineStr">
        <is>
          <t>sureshjain_in@yahoo.com</t>
        </is>
      </c>
      <c r="AH1844" t="n">
        <v>130</v>
      </c>
      <c r="AI1844" t="n">
        <v>0</v>
      </c>
      <c r="AJ1844" t="n">
        <v>0</v>
      </c>
      <c r="AK1844" t="n">
        <v>12</v>
      </c>
      <c r="AL1844" t="n">
        <v>12</v>
      </c>
      <c r="AM1844" t="inlineStr">
        <is>
          <t>ELSEVIER SCI LTD</t>
        </is>
      </c>
      <c r="AN1844" t="inlineStr">
        <is>
          <t>OXFORD</t>
        </is>
      </c>
      <c r="AO1844" t="inlineStr">
        <is>
          <t>THE BOULEVARD, LANGFORD LANE, KIDLINGTON, OXFORD OX5 1GB, OXON, ENGLAND</t>
        </is>
      </c>
      <c r="AP1844" t="inlineStr">
        <is>
          <t>0959-6526</t>
        </is>
      </c>
      <c r="AQ1844" t="inlineStr">
        <is>
          <t>1879-1786</t>
        </is>
      </c>
      <c r="AS1844" t="inlineStr">
        <is>
          <t>J CLEAN PROD</t>
        </is>
      </c>
      <c r="AT1844" t="inlineStr">
        <is>
          <t>J. Clean Prod.</t>
        </is>
      </c>
      <c r="AU1844" t="inlineStr">
        <is>
          <t>SEP 1</t>
        </is>
      </c>
      <c r="AV1844" t="n">
        <v>2023</v>
      </c>
      <c r="AW1844" t="n">
        <v>416</v>
      </c>
      <c r="BE1844" t="n">
        <v>137744</v>
      </c>
      <c r="BF1844" t="inlineStr">
        <is>
          <t>10.1016/j.jclepro.2023.137744</t>
        </is>
      </c>
      <c r="BG1844">
        <f>HYPERLINK("http://dx.doi.org/10.1016/j.jclepro.2023.137744","http://dx.doi.org/10.1016/j.jclepro.2023.137744")</f>
        <v/>
      </c>
      <c r="BI1844" t="inlineStr">
        <is>
          <t>JUL 2023</t>
        </is>
      </c>
      <c r="BJ1844" t="n">
        <v>14</v>
      </c>
      <c r="BK1844" t="inlineStr">
        <is>
          <t>Green &amp; Sustainable Science &amp; Technology; Engineering, Environmental; Environmental Sciences</t>
        </is>
      </c>
      <c r="BL1844" t="inlineStr">
        <is>
          <t>Science Citation Index Expanded (SCI-EXPANDED)</t>
        </is>
      </c>
      <c r="BM1844" t="inlineStr">
        <is>
          <t>Science &amp; Technology - Other Topics; Engineering; Environmental Sciences &amp; Ecology</t>
        </is>
      </c>
      <c r="BN1844" t="inlineStr">
        <is>
          <t>N0BW5</t>
        </is>
      </c>
      <c r="BS1844" t="inlineStr">
        <is>
          <t>2023-10-26</t>
        </is>
      </c>
      <c r="BT1844" t="inlineStr">
        <is>
          <t>WOS:001033784500001</t>
        </is>
      </c>
      <c r="BU1844">
        <f>HYPERLINK("https%3A%2F%2Fwww.webofscience.com%2Fwos%2Fwoscc%2Ffull-record%2FWOS:001033784500001","View Full Record in Web of Science")</f>
        <v/>
      </c>
    </row>
    <row r="1845">
      <c r="A1845" t="inlineStr">
        <is>
          <t>J</t>
        </is>
      </c>
      <c r="B1845" t="inlineStr">
        <is>
          <t>Akcaozoglu, S; Yavascan, EE; Gokce, MV</t>
        </is>
      </c>
      <c r="F1845" t="inlineStr">
        <is>
          <t>Akcaozoglu, Semiha; Yavascan, Emel Efe; Gokce, Mehmedi Vehbi</t>
        </is>
      </c>
      <c r="J1845" t="inlineStr">
        <is>
          <t>FRESENIUS ENVIRONMENTAL BULLETIN</t>
        </is>
      </c>
      <c r="M1845" t="inlineStr">
        <is>
          <t>English</t>
        </is>
      </c>
      <c r="N1845" t="inlineStr">
        <is>
          <t>Article</t>
        </is>
      </c>
      <c r="T1845" t="inlineStr">
        <is>
          <t>DETERIORATION AND CONSERVATION PROBLEMS OF HISTORICAL FOUNTAINS IN CAPPADOCIA-NIGDE</t>
        </is>
      </c>
      <c r="U1845" t="inlineStr">
        <is>
          <t>Historic environment; fountain; deterioration; preservation; Cappadocia; Nigde</t>
        </is>
      </c>
      <c r="W1845" t="inlineStr">
        <is>
          <t>Historical artefacts, monuments and buildings are an integral part of the socio-cultural, architectural and aesthetic features of the past civilizations. Cultural heritage, which is accepted as the common property of humanity, reflects the feelings and thoughts of civilizations that have lived from past to present. Fountains that are an integral part of the historical and cultural environment of a city are one of the most outstanding structures, as they are built to reflect the architectural and socio-cultural characteristics of the city. They are considered to be a bridge between the past and the future, and thus it is extremely important to ensure their sustainability as well as their preservation. The aim of this study was to document the historical fountains found in the city center of Nigde within the Cappadocia Region, create a report on these structures and draw attention to the issues regarding their preservation. For this purpose, a total of 13 fountains which are located in the center of Nigde were examined. The material and construction techniques and typologies of these fountains were determined and finally their physical conditions and reasons for their deterioration were investigated. In general, among the reasons for the deterioration of the fountains were found to be longterm natural and human effects. Preserving these fountains which are in danger of destruction and loss of function is a must in order to transfer such historical and cultural assets to the future. From this point of view, it is considered that this study will contribute greatly to future preservation and restoration works on these historical fountains which once served for a substantial social need of urban life.</t>
        </is>
      </c>
      <c r="X1845" t="inlineStr">
        <is>
          <t>[Akcaozoglu, Semiha; Yavascan, Emel Efe; Gokce, Mehmedi Vehbi] Nigde Omer Halisdemir Univ, Fac Architecture, Dept Architecture, TR-51240 Nigde, Turkey</t>
        </is>
      </c>
      <c r="Y1845" t="inlineStr">
        <is>
          <t>Nigde Omer Halisdemir University</t>
        </is>
      </c>
      <c r="Z1845" t="inlineStr">
        <is>
          <t>Akcaozoglu, S (corresponding author), Nigde Omer Halisdemir Univ, Fac Architecture, Dept Architecture, TR-51240 Nigde, Turkey.</t>
        </is>
      </c>
      <c r="AA1845" t="inlineStr">
        <is>
          <t>sakcaozoglu@ohu.edu.tr</t>
        </is>
      </c>
      <c r="AB1845" t="inlineStr">
        <is>
          <t>GÖKÇE, Mehmedi Vehbi/C-1740-2015</t>
        </is>
      </c>
      <c r="AH1845" t="n">
        <v>17</v>
      </c>
      <c r="AI1845" t="n">
        <v>0</v>
      </c>
      <c r="AJ1845" t="n">
        <v>0</v>
      </c>
      <c r="AK1845" t="n">
        <v>0</v>
      </c>
      <c r="AL1845" t="n">
        <v>5</v>
      </c>
      <c r="AM1845" t="inlineStr">
        <is>
          <t>PARLAR SCIENTIFIC PUBLICATIONS (P S P)</t>
        </is>
      </c>
      <c r="AN1845" t="inlineStr">
        <is>
          <t>FREISING</t>
        </is>
      </c>
      <c r="AO1845" t="inlineStr">
        <is>
          <t>ANGERSTR. 12, 85354 FREISING, GERMANY</t>
        </is>
      </c>
      <c r="AP1845" t="inlineStr">
        <is>
          <t>1018-4619</t>
        </is>
      </c>
      <c r="AQ1845" t="inlineStr">
        <is>
          <t>1610-2304</t>
        </is>
      </c>
      <c r="AS1845" t="inlineStr">
        <is>
          <t>FRESEN ENVIRON BULL</t>
        </is>
      </c>
      <c r="AT1845" t="inlineStr">
        <is>
          <t>Fresenius Environ. Bull.</t>
        </is>
      </c>
      <c r="AV1845" t="n">
        <v>2020</v>
      </c>
      <c r="AW1845" t="n">
        <v>29</v>
      </c>
      <c r="AX1845" t="n">
        <v>4</v>
      </c>
      <c r="BC1845" t="n">
        <v>2338</v>
      </c>
      <c r="BD1845" t="n">
        <v>2343</v>
      </c>
      <c r="BJ1845" t="n">
        <v>6</v>
      </c>
      <c r="BK1845" t="inlineStr">
        <is>
          <t>Environmental Sciences</t>
        </is>
      </c>
      <c r="BL1845" t="inlineStr">
        <is>
          <t>Science Citation Index Expanded (SCI-EXPANDED)</t>
        </is>
      </c>
      <c r="BM1845" t="inlineStr">
        <is>
          <t>Environmental Sciences &amp; Ecology</t>
        </is>
      </c>
      <c r="BN1845" t="inlineStr">
        <is>
          <t>LR6ZB</t>
        </is>
      </c>
      <c r="BS1845" t="inlineStr">
        <is>
          <t>2023-10-26</t>
        </is>
      </c>
      <c r="BT1845" t="inlineStr">
        <is>
          <t>WOS:000535839500043</t>
        </is>
      </c>
      <c r="BU1845">
        <f>HYPERLINK("https%3A%2F%2Fwww.webofscience.com%2Fwos%2Fwoscc%2Ffull-record%2FWOS:000535839500043","View Full Record in Web of Science")</f>
        <v/>
      </c>
    </row>
    <row r="1846">
      <c r="A1846" t="inlineStr">
        <is>
          <t>J</t>
        </is>
      </c>
      <c r="B1846" t="inlineStr">
        <is>
          <t>Yin, CY; Wang, XQ; Shao, CF; Ma, JX</t>
        </is>
      </c>
      <c r="F1846" t="inlineStr">
        <is>
          <t>Yin, Chaoying; Wang, Xiaoquan; Shao, Chunfu; Ma, Jianxiao</t>
        </is>
      </c>
      <c r="J1846" t="inlineStr">
        <is>
          <t>INTERNATIONAL JOURNAL OF ENVIRONMENTAL RESEARCH AND PUBLIC HEALTH</t>
        </is>
      </c>
      <c r="M1846" t="inlineStr">
        <is>
          <t>English</t>
        </is>
      </c>
      <c r="N1846" t="inlineStr">
        <is>
          <t>Article</t>
        </is>
      </c>
      <c r="T1846" t="inlineStr">
        <is>
          <t>Exploring the Relationship between Built Environment and Commuting Mode Choice: Longitudinal Evidence from China</t>
        </is>
      </c>
      <c r="U1846" t="inlineStr">
        <is>
          <t>built environment; commuting behavior; longitudinal relationships; life-cycle events; China</t>
        </is>
      </c>
      <c r="V1846" t="inlineStr">
        <is>
          <t>TRAVEL BEHAVIOR; RESIDENTIAL RELOCATION; CAR OWNERSHIP; IMPACTS; WALKING; TRIPS; NEIGHBORHOOD; CONTEXT; EVENTS</t>
        </is>
      </c>
      <c r="W1846" t="inlineStr">
        <is>
          <t>The literature has offered much evidence regarding associations between the built environment (BE) and commuting behavior. However, most prior studies are conducted based on cross-sectional samples from developed countries, and little is known about the longitudinal link between BE and commuting behavior. Based on two rounds of survey data from China, this study examines relationships of BE with commuting mode choice from both cross-sectional and longitudinal perspectives. The effects of life-cycle events are considered within a unified framework. Results of the longitudinal examination of BE and commuting mode shift largely support the cross-sectional analysis. Specifically, promoting more balanced land use and improving residential density are important for car use reductions and active travel initiatives. Meanwhile, more balanced land use improves the probability of commuting by motorcycle and electric bike, but reduces the probability of commuting by public transit. This study also highlights the remarkable role played by life-cycle events in affecting commuting mode shifts.</t>
        </is>
      </c>
      <c r="X1846" t="inlineStr">
        <is>
          <t>[Yin, Chaoying; Ma, Jianxiao] Nanjing Forestry Univ, Coll Automobile &amp; Traff Engn, Nanjing 210037, Peoples R China; [Wang, Xiaoquan] Hohai Univ, Coll Civil &amp; Transportat Engn, Nanjing 210098, Peoples R China; [Shao, Chunfu] Beijing Jiaotong Univ, Key Lab Transport Ind Big Data Applicat Technol C, Beijing 100044, Peoples R China</t>
        </is>
      </c>
      <c r="Y1846" t="inlineStr">
        <is>
          <t>Nanjing Forestry University; Hohai University; Beijing Jiaotong University</t>
        </is>
      </c>
      <c r="Z1846" t="inlineStr">
        <is>
          <t>Wang, XQ (corresponding author), Hohai Univ, Coll Civil &amp; Transportat Engn, Nanjing 210098, Peoples R China.</t>
        </is>
      </c>
      <c r="AA1846" t="inlineStr">
        <is>
          <t>15120886@bjtu.edu.cn</t>
        </is>
      </c>
      <c r="AD1846" t="inlineStr">
        <is>
          <t>Humanities, Social Sciences Fund of Ministry of Education of China [22YJC630191]; National Natural Science Foundation of China [52072025]; Research Project of Philosophy and Social Sciences of Universities in Jiangsu Province [2021SJA0147]</t>
        </is>
      </c>
      <c r="AE1846" t="inlineStr">
        <is>
          <t>Humanities, Social Sciences Fund of Ministry of Education of China(Ministry of Education, China); National Natural Science Foundation of China(National Natural Science Foundation of China (NSFC)); Research Project of Philosophy and Social Sciences of Universities in Jiangsu Province</t>
        </is>
      </c>
      <c r="AF1846" t="inlineStr">
        <is>
          <t>This work was sponsored by the Humanities, Social Sciences Fund of Ministry of Education of China (No. 22YJC630191), National Natural Science Foundation of China (No. 52072025) and Research Project of Philosophy and Social Sciences of Universities in Jiangsu Province (No. 2021SJA0147).</t>
        </is>
      </c>
      <c r="AH1846" t="n">
        <v>71</v>
      </c>
      <c r="AI1846" t="n">
        <v>4</v>
      </c>
      <c r="AJ1846" t="n">
        <v>4</v>
      </c>
      <c r="AK1846" t="n">
        <v>7</v>
      </c>
      <c r="AL1846" t="n">
        <v>24</v>
      </c>
      <c r="AM1846" t="inlineStr">
        <is>
          <t>MDPI</t>
        </is>
      </c>
      <c r="AN1846" t="inlineStr">
        <is>
          <t>BASEL</t>
        </is>
      </c>
      <c r="AO1846" t="inlineStr">
        <is>
          <t>ST ALBAN-ANLAGE 66, CH-4052 BASEL, SWITZERLAND</t>
        </is>
      </c>
      <c r="AQ1846" t="inlineStr">
        <is>
          <t>1660-4601</t>
        </is>
      </c>
      <c r="AS1846" t="inlineStr">
        <is>
          <t>INT J ENV RES PUB HE</t>
        </is>
      </c>
      <c r="AT1846" t="inlineStr">
        <is>
          <t>Int. J. Environ. Res. Public Health</t>
        </is>
      </c>
      <c r="AU1846" t="inlineStr">
        <is>
          <t>NOV</t>
        </is>
      </c>
      <c r="AV1846" t="n">
        <v>2022</v>
      </c>
      <c r="AW1846" t="n">
        <v>19</v>
      </c>
      <c r="AX1846" t="n">
        <v>21</v>
      </c>
      <c r="BE1846" t="n">
        <v>14149</v>
      </c>
      <c r="BF1846" t="inlineStr">
        <is>
          <t>10.3390/ijerph192114149</t>
        </is>
      </c>
      <c r="BG1846">
        <f>HYPERLINK("http://dx.doi.org/10.3390/ijerph192114149","http://dx.doi.org/10.3390/ijerph192114149")</f>
        <v/>
      </c>
      <c r="BJ1846" t="n">
        <v>15</v>
      </c>
      <c r="BK1846" t="inlineStr">
        <is>
          <t>Environmental Sciences; Public, Environmental &amp; Occupational Health</t>
        </is>
      </c>
      <c r="BL1846" t="inlineStr">
        <is>
          <t>Science Citation Index Expanded (SCI-EXPANDED); Social Science Citation Index (SSCI)</t>
        </is>
      </c>
      <c r="BM1846" t="inlineStr">
        <is>
          <t>Environmental Sciences &amp; Ecology; Public, Environmental &amp; Occupational Health</t>
        </is>
      </c>
      <c r="BN1846" t="inlineStr">
        <is>
          <t>6B2EF</t>
        </is>
      </c>
      <c r="BO1846" t="n">
        <v>36361027</v>
      </c>
      <c r="BP1846" t="inlineStr">
        <is>
          <t>gold, Green Published</t>
        </is>
      </c>
      <c r="BS1846" t="inlineStr">
        <is>
          <t>2023-10-26</t>
        </is>
      </c>
      <c r="BT1846" t="inlineStr">
        <is>
          <t>WOS:000881152200001</t>
        </is>
      </c>
      <c r="BU1846">
        <f>HYPERLINK("https%3A%2F%2Fwww.webofscience.com%2Fwos%2Fwoscc%2Ffull-record%2FWOS:000881152200001","View Full Record in Web of Science")</f>
        <v/>
      </c>
    </row>
    <row r="1847">
      <c r="A1847" t="inlineStr">
        <is>
          <t>J</t>
        </is>
      </c>
      <c r="B1847" t="inlineStr">
        <is>
          <t>Shiue, I</t>
        </is>
      </c>
      <c r="F1847" t="inlineStr">
        <is>
          <t>Shiue, Ivy</t>
        </is>
      </c>
      <c r="J1847" t="inlineStr">
        <is>
          <t>ENVIRONMENTAL SCIENCE AND POLLUTION RESEARCH</t>
        </is>
      </c>
      <c r="M1847" t="inlineStr">
        <is>
          <t>English</t>
        </is>
      </c>
      <c r="N1847" t="inlineStr">
        <is>
          <t>Article</t>
        </is>
      </c>
      <c r="T1847" t="inlineStr">
        <is>
          <t>Less indoor cleaning is associated with poor health and unhappiness in adults: Japanese General Social Survey, 2010</t>
        </is>
      </c>
      <c r="U1847" t="inlineStr">
        <is>
          <t>Indoor environment; Rubbish disposal; Happiness; Self-rated health; Cleaning</t>
        </is>
      </c>
      <c r="V1847" t="inlineStr">
        <is>
          <t>ASTHMA; NEIGHBORHOOD; RISK</t>
        </is>
      </c>
      <c r="W1847" t="inlineStr">
        <is>
          <t>Indoor environment is important to human health and well-being. The aim of the present study was to investigate the relationships among indoor cleaning, rubbish disposal and human health and well-being in a national and population-based setting. Data was retrieved from the Japanese General Social Survey, 2010. Information on demographics, lifestyle factors, frequency of indoor cleaning and rubbish disposal and self-reported health and well-being in Japanese adults was obtained by household interview. Analysis included chi-square test, logistic and multi-nominal regression modelling. Of 5003 Japanese adults (aged 20-89) included in the study cohort, 11.4 % (n = 566) never cleaned their living place, 39.1 % had occasional cleaning and 49.6 % had frequent cleaning. Moreover, 17.5 % (n = 869) never disposed rubbish, 24.9 % had occasional rubbish disposal and 57.6 % had frequent rubbish disposal. 15.0 % of Japanese adults claimed poor self-rated health, and 5.9 % reported unhappiness. Compared to people who frequently cleaned the living place, others tended to report poor self-rated health condition (relative risk ratios (RRR) 1.52, 95 % confidence intervals (CI) 1.24-1.85, P &lt; 0.001) and unhappiness (RRR 1.47, 95 % CI 1.10-1.95, P &lt; 0.001). The combined effects of never cleaning and never rubbish disposal significantly impacted on poor self-rated health (RRR 2.61, 95 % CI 1.40-4.88, P = 0.003) and unhappiness (RRR 2.72, 95 % CI 1.72-4.30, P &lt; 0.001). Only half of the Japanese population frequently cleaned their living place and disposed rubbish. Less or never cleaning and rubbish disposal were associated with poor self-rated health, subjective happiness and potentially other health conditions. Public education on maintaining clean indoor environments to optimise psychological well-being in addition to the known physical health would be suggested.</t>
        </is>
      </c>
      <c r="X1847" t="inlineStr">
        <is>
          <t>[Shiue, Ivy] Northumbria Univ, Fac Hlth &amp; LIfe Sci, Newcastle Upon Tyne NE1 8ST, Tyne &amp; Wear, England; [Shiue, Ivy] Univ Georgia, Owens Inst Behav Res, Athens, GA 30602 USA</t>
        </is>
      </c>
      <c r="Y1847" t="inlineStr">
        <is>
          <t>Northumbria University; University System of Georgia; University of Georgia</t>
        </is>
      </c>
      <c r="Z1847" t="inlineStr">
        <is>
          <t>Shiue, I (corresponding author), Northumbria Univ, Fac Hlth &amp; LIfe Sci, Newcastle Upon Tyne NE1 8ST, Tyne &amp; Wear, England.</t>
        </is>
      </c>
      <c r="AA1847" t="inlineStr">
        <is>
          <t>ivy.shiue@northumbria.ac.uk</t>
        </is>
      </c>
      <c r="AC1847" t="inlineStr">
        <is>
          <t>Shiue, Ivy/0000-0003-1788-3009</t>
        </is>
      </c>
      <c r="AH1847" t="n">
        <v>14</v>
      </c>
      <c r="AI1847" t="n">
        <v>1</v>
      </c>
      <c r="AJ1847" t="n">
        <v>1</v>
      </c>
      <c r="AK1847" t="n">
        <v>1</v>
      </c>
      <c r="AL1847" t="n">
        <v>6</v>
      </c>
      <c r="AM1847" t="inlineStr">
        <is>
          <t>SPRINGER HEIDELBERG</t>
        </is>
      </c>
      <c r="AN1847" t="inlineStr">
        <is>
          <t>HEIDELBERG</t>
        </is>
      </c>
      <c r="AO1847" t="inlineStr">
        <is>
          <t>TIERGARTENSTRASSE 17, D-69121 HEIDELBERG, GERMANY</t>
        </is>
      </c>
      <c r="AP1847" t="inlineStr">
        <is>
          <t>0944-1344</t>
        </is>
      </c>
      <c r="AQ1847" t="inlineStr">
        <is>
          <t>1614-7499</t>
        </is>
      </c>
      <c r="AS1847" t="inlineStr">
        <is>
          <t>ENVIRON SCI POLLUT R</t>
        </is>
      </c>
      <c r="AT1847" t="inlineStr">
        <is>
          <t>Environ. Sci. Pollut. Res.</t>
        </is>
      </c>
      <c r="AU1847" t="inlineStr">
        <is>
          <t>DEC</t>
        </is>
      </c>
      <c r="AV1847" t="n">
        <v>2015</v>
      </c>
      <c r="AW1847" t="n">
        <v>22</v>
      </c>
      <c r="AX1847" t="n">
        <v>24</v>
      </c>
      <c r="BC1847" t="n">
        <v>20312</v>
      </c>
      <c r="BD1847" t="n">
        <v>20315</v>
      </c>
      <c r="BF1847" t="inlineStr">
        <is>
          <t>10.1007/s11356-015-5643-8</t>
        </is>
      </c>
      <c r="BG1847">
        <f>HYPERLINK("http://dx.doi.org/10.1007/s11356-015-5643-8","http://dx.doi.org/10.1007/s11356-015-5643-8")</f>
        <v/>
      </c>
      <c r="BJ1847" t="n">
        <v>4</v>
      </c>
      <c r="BK1847" t="inlineStr">
        <is>
          <t>Environmental Sciences</t>
        </is>
      </c>
      <c r="BL1847" t="inlineStr">
        <is>
          <t>Science Citation Index Expanded (SCI-EXPANDED)</t>
        </is>
      </c>
      <c r="BM1847" t="inlineStr">
        <is>
          <t>Environmental Sciences &amp; Ecology</t>
        </is>
      </c>
      <c r="BN1847" t="inlineStr">
        <is>
          <t>CY8CX</t>
        </is>
      </c>
      <c r="BO1847" t="n">
        <v>26503003</v>
      </c>
      <c r="BS1847" t="inlineStr">
        <is>
          <t>2023-10-26</t>
        </is>
      </c>
      <c r="BT1847" t="inlineStr">
        <is>
          <t>WOS:000366637300096</t>
        </is>
      </c>
      <c r="BU1847">
        <f>HYPERLINK("https%3A%2F%2Fwww.webofscience.com%2Fwos%2Fwoscc%2Ffull-record%2FWOS:000366637300096","View Full Record in Web of Science")</f>
        <v/>
      </c>
    </row>
    <row r="1848">
      <c r="A1848" t="inlineStr">
        <is>
          <t>J</t>
        </is>
      </c>
      <c r="B1848" t="inlineStr">
        <is>
          <t>Paiva, AR; Plácido, AI; Curto, I; Morgado, M; Herdeiro, MT; Roque, F</t>
        </is>
      </c>
      <c r="F1848" t="inlineStr">
        <is>
          <t>Paiva, Ana Rita; Placido, Ana Isabel; Curto, Isabel; Morgado, Manuel; Herdeiro, Maria Teresa; Roque, Fatima</t>
        </is>
      </c>
      <c r="J1848" t="inlineStr">
        <is>
          <t>INTERNATIONAL JOURNAL OF ENVIRONMENTAL RESEARCH AND PUBLIC HEALTH</t>
        </is>
      </c>
      <c r="M1848" t="inlineStr">
        <is>
          <t>English</t>
        </is>
      </c>
      <c r="N1848" t="inlineStr">
        <is>
          <t>Article</t>
        </is>
      </c>
      <c r="T1848" t="inlineStr">
        <is>
          <t>Acceptance of Pharmaceutical Services by Home-Dwelling Older Patients: A Case Study in a Portuguese Community Pharmacy</t>
        </is>
      </c>
      <c r="U1848" t="inlineStr">
        <is>
          <t>community pharmacy; older adults; polypharmacy; medication adherence</t>
        </is>
      </c>
      <c r="V1848" t="inlineStr">
        <is>
          <t>DRUG-RELATED PROBLEMS; MEDICATION; INTERVENTION; ADHERENCE; THERAPY; PROGRAM; ADULTS; CARE</t>
        </is>
      </c>
      <c r="W1848" t="inlineStr">
        <is>
          <t>Background: Aging-related comorbidities predispose older adults to polypharmacy and consequently an increased risk of adverse drug reactions and poor compliance. Pharmacists' interventions can have a beneficial impact on the improvement of clinical outcomes. Thus, this work aimed to assess the acceptance of Portuguese home-dwelling older adults regarding a pharmaceutical service paid by patients for medication management and pharmacotherapy follow-up. We also intended to analyze medication, characterize the medication consumption profile, and identify the main difficulties of our sample during their daily medication management. Methods: A questionnaire on adherence and medication therapy management was applied to polymedicated patients &gt;= 65 years old, in a community pharmacy. Results: Of the 88 participants, 92.2% would be willing to pay for a pharmacotherapy management service, and 75.6% answered that they would be willing to pay for an individual medication preparation service. In addition, 45.7% of the participants were categorized as lower adherents to a medication therapeutic regimen. Our sample reported that during their daily lives, they felt difficulty: to remember to take their pills (17%), to manage so many medicines (15.9%), and to swallow the pills (9.1%). Conclusions: Polymedicated older adults are willing to pay for a service to improve the management of their medicines, suggesting that they recognize the role of pharmacists in medication management. This study provides useful information for the conceptualization of a pharmacotherapy management service that includes medication review and a pharmacotherapy follow-up.</t>
        </is>
      </c>
      <c r="X1848" t="inlineStr">
        <is>
          <t>[Paiva, Ana Rita; Placido, Ana Isabel; Morgado, Manuel; Roque, Fatima] Polytech Guarda, Hlth Sci Sch, Rua Cadeia, P-6300035 Guarda, Portugal; [Placido, Ana Isabel; Morgado, Manuel; Roque, Fatima] Polytech Guarda UDI IPG, Res Unit Inland Dev, Av Dr Francisco Sa Carneiro 50, P-6300559 Guarda, Portugal; [Curto, Isabel] Pharm Mousaco Torrao, Estr Municipal 506 11 R-C, P-6200571 Ferro, Portugal; [Morgado, Manuel; Roque, Fatima] Univ Beira Interior CICS UBI, Hlth Sci Res Ctr, P-6200506 Covilha, Portugal; [Morgado, Manuel] Univ Hosp Ctr Cova da Beira, Pharmaceut Serv, P-6200251 Covilha, Portugal; [Herdeiro, Maria Teresa] Univ Aveiro iBIMED UA, Inst Biomed, Dept Med Sci, P-3810193 Aveiro, Portugal</t>
        </is>
      </c>
      <c r="Y1848" t="inlineStr">
        <is>
          <t>Universidade da Beira Interior</t>
        </is>
      </c>
      <c r="Z1848" t="inlineStr">
        <is>
          <t>Roque, F (corresponding author), Polytech Guarda, Hlth Sci Sch, Rua Cadeia, P-6300035 Guarda, Portugal.;Roque, F (corresponding author), Polytech Guarda UDI IPG, Res Unit Inland Dev, Av Dr Francisco Sa Carneiro 50, P-6300559 Guarda, Portugal.;Roque, F (corresponding author), Univ Beira Interior CICS UBI, Hlth Sci Res Ctr, P-6200506 Covilha, Portugal.</t>
        </is>
      </c>
      <c r="AA1848" t="inlineStr">
        <is>
          <t>anaritapaiva970@gmail.com; anaplacido@ipg.pt; isabelmcurto@gmail.com; mmorgado@ipg.pt; teresaherdeiro@ua.pt; froque@ipg.pt</t>
        </is>
      </c>
      <c r="AB1848" t="inlineStr">
        <is>
          <t>Placido, Ana/ABB-4153-2022; Morgado, Manuel/J-1256-2017; Morgado, Manuel/AAG-4910-2021; Roque, Fatima Marques/H-1713-2013; Herdeiro, Maria Teresa/H-8195-2013</t>
        </is>
      </c>
      <c r="AC1848" t="inlineStr">
        <is>
          <t>Placido, Ana/0000-0002-2316-6770; Morgado, Manuel/0000-0003-2112-2835; Morgado, Manuel/0000-0003-2112-2835; Roque, Fatima Marques/0000-0003-0169-3788; Herdeiro, Maria Teresa/0000-0002-0500-4049</t>
        </is>
      </c>
      <c r="AD1848" t="inlineStr">
        <is>
          <t>MedElderly project - Portuguese Foundation for Science and Technology (FCT/MCTES), Portugal 2020 grant [SAICT-POL/23585/2016]; APIMedOlder project - operational Programme of Competitiveness and Internationalization (POCI), FEDER/FNR [PTDC/MED-FAR/31598/2017, POCI-01-0145-FEDER-031598]; Foundation for Science and Technology; MedElderly project - Portuguese Foundation for Science and Technology (FCT/MCTES), Centro 2020 grant [SAICT-POL/23585/2016]; Fundação para a Ciência e a Tecnologia [SAICT-POL/23585/2016, PTDC/MED-FAR/31598/2017] Funding Source: FCT</t>
        </is>
      </c>
      <c r="AE1848" t="inlineStr">
        <is>
          <t>MedElderly project - Portuguese Foundation for Science and Technology (FCT/MCTES), Portugal 2020 grant; APIMedOlder project - operational Programme of Competitiveness and Internationalization (POCI), FEDER/FNR; Foundation for Science and Technology; MedElderly project - Portuguese Foundation for Science and Technology (FCT/MCTES), Centro 2020 grant; Fundação para a Ciência e a Tecnologia(Fundacao para a Ciencia e a Tecnologia (FCT))</t>
        </is>
      </c>
      <c r="AF1848" t="inlineStr">
        <is>
          <t>This work was financially supported by the MedElderly project [SAICT-POL/23585/2016], funded by Portuguese Foundation for Science and Technology (FCT/MCTES), Portugal 2020 and Centro 2020 grants, and by the APIMedOlder project [PTDC/MED-FAR/31598/2017], funded by the operational Programme of Competitiveness and Internationalization (POCI), in its FEDER/FNR component POCI-01-0145-FEDER-031598, and the Foundation for Science and Technology, in its state budget component (OE). The funders had no role in the study design, data collection and analysis, decision to publish, or preparation of the manuscript.</t>
        </is>
      </c>
      <c r="AH1848" t="n">
        <v>32</v>
      </c>
      <c r="AI1848" t="n">
        <v>3</v>
      </c>
      <c r="AJ1848" t="n">
        <v>3</v>
      </c>
      <c r="AK1848" t="n">
        <v>0</v>
      </c>
      <c r="AL1848" t="n">
        <v>4</v>
      </c>
      <c r="AM1848" t="inlineStr">
        <is>
          <t>MDPI</t>
        </is>
      </c>
      <c r="AN1848" t="inlineStr">
        <is>
          <t>BASEL</t>
        </is>
      </c>
      <c r="AO1848" t="inlineStr">
        <is>
          <t>ST ALBAN-ANLAGE 66, CH-4052 BASEL, SWITZERLAND</t>
        </is>
      </c>
      <c r="AQ1848" t="inlineStr">
        <is>
          <t>1660-4601</t>
        </is>
      </c>
      <c r="AS1848" t="inlineStr">
        <is>
          <t>INT J ENV RES PUB HE</t>
        </is>
      </c>
      <c r="AT1848" t="inlineStr">
        <is>
          <t>Int. J. Environ. Res. Public Health</t>
        </is>
      </c>
      <c r="AU1848" t="inlineStr">
        <is>
          <t>JUL</t>
        </is>
      </c>
      <c r="AV1848" t="n">
        <v>2021</v>
      </c>
      <c r="AW1848" t="n">
        <v>18</v>
      </c>
      <c r="AX1848" t="n">
        <v>14</v>
      </c>
      <c r="BE1848" t="n">
        <v>7401</v>
      </c>
      <c r="BF1848" t="inlineStr">
        <is>
          <t>10.3390/ijerph18147401</t>
        </is>
      </c>
      <c r="BG1848">
        <f>HYPERLINK("http://dx.doi.org/10.3390/ijerph18147401","http://dx.doi.org/10.3390/ijerph18147401")</f>
        <v/>
      </c>
      <c r="BJ1848" t="n">
        <v>9</v>
      </c>
      <c r="BK1848" t="inlineStr">
        <is>
          <t>Environmental Sciences; Public, Environmental &amp; Occupational Health</t>
        </is>
      </c>
      <c r="BL1848" t="inlineStr">
        <is>
          <t>Science Citation Index Expanded (SCI-EXPANDED); Social Science Citation Index (SSCI)</t>
        </is>
      </c>
      <c r="BM1848" t="inlineStr">
        <is>
          <t>Environmental Sciences &amp; Ecology; Public, Environmental &amp; Occupational Health</t>
        </is>
      </c>
      <c r="BN1848" t="inlineStr">
        <is>
          <t>TO1OM</t>
        </is>
      </c>
      <c r="BO1848" t="n">
        <v>34299855</v>
      </c>
      <c r="BP1848" t="inlineStr">
        <is>
          <t>gold, Green Published</t>
        </is>
      </c>
      <c r="BS1848" t="inlineStr">
        <is>
          <t>2023-10-26</t>
        </is>
      </c>
      <c r="BT1848" t="inlineStr">
        <is>
          <t>WOS:000676690300001</t>
        </is>
      </c>
      <c r="BU1848">
        <f>HYPERLINK("https%3A%2F%2Fwww.webofscience.com%2Fwos%2Fwoscc%2Ffull-record%2FWOS:000676690300001","View Full Record in Web of Science")</f>
        <v/>
      </c>
    </row>
    <row r="1849">
      <c r="A1849" t="inlineStr">
        <is>
          <t>J</t>
        </is>
      </c>
      <c r="B1849" t="inlineStr">
        <is>
          <t>Jurivich, D; Schimke, C; Snustad, D; Floura, M; Morton, C; Waind, M; Holloway, J; Janssen, S; Danks, M; Semmens, K; Manocha, GD</t>
        </is>
      </c>
      <c r="F1849" t="inlineStr">
        <is>
          <t>Jurivich, Donald; Schimke, Carter; Snustad, Dakota; Floura, Mitchell; Morton, Casey; Waind, Marsha; Holloway, Jeremy; Janssen, Sclinda; Danks, Meridee; Semmens, Karen; Manocha, Gunjan Dhawan</t>
        </is>
      </c>
      <c r="J1849" t="inlineStr">
        <is>
          <t>INTERNATIONAL JOURNAL OF ENVIRONMENTAL RESEARCH AND PUBLIC HEALTH</t>
        </is>
      </c>
      <c r="M1849" t="inlineStr">
        <is>
          <t>English</t>
        </is>
      </c>
      <c r="N1849" t="inlineStr">
        <is>
          <t>Article</t>
        </is>
      </c>
      <c r="T1849" t="inlineStr">
        <is>
          <t>A New Interprofessional Community-Service Learning Program, HATS (Health Ambassador Teams for Seniors) to Improve Older Adults Attitudes about Telehealth and Functionality</t>
        </is>
      </c>
      <c r="U1849" t="inlineStr">
        <is>
          <t>community service learning; older adult population health; telehealth; geriatric assessment</t>
        </is>
      </c>
      <c r="V1849" t="inlineStr">
        <is>
          <t>GERIATRIC SYNDROMES; EDUCATION; MOBILITY; SCHOOL</t>
        </is>
      </c>
      <c r="W1849" t="inlineStr">
        <is>
          <t>Senior population health often is underrepresented in curricula for medical and allied health students. Furthermore, entrenched and dense curricular schedules preclude interprofessional teams from clinical experiences related to senior population health. Community service learning potentially offers the opportunity to engage interprofessional students with a panel of older adults to assess health promotion metrics over time. To test this educational concept, we created Health Ambassador Teams for Seniors, also known as HATS. Utilizing a telehealth platform, interprofessional student teams were tasked with older adult wellness promotion. The annual Medicare wellness exam served as a template for patient encounters which was enhanced with key elements of geriatric assessment such as gait and balance, cognition, and functional evaluations. The objective was to have dyads of interprofessional students conduct telehealth visits and gather healthcare data to be used for serial patient encounters and track functional trajectories over time. As a proof of concept, pilot telehealth encounters with medical, physical therapy, nursing and occupational therapy students revealed that data on older adult functional performances such as gait speed, Timed Up and Go test (TUG), and Mini-Cog test could be acquired through telehealth. Equally importantly, trainees received diverse feedback from faculty, peers and volunteer patients. A Research Electronic Data Capture (REDCap) data repository allows trainees to track patient trends relative to their health promotion recommendations as well as handoff their patient panel to the next set of trainees. The HATS program promises to strengthen the Geriatric Workforce, especially with senior population health.</t>
        </is>
      </c>
      <c r="X1849" t="inlineStr">
        <is>
          <t>[Jurivich, Donald; Schimke, Carter; Snustad, Dakota; Floura, Mitchell; Morton, Casey; Waind, Marsha; Holloway, Jeremy; Manocha, Gunjan Dhawan] Univ North Dakota, Sch Med &amp; Hlth Sci, Dept Geriatr, Grand Forks, ND 58202 USA; [Janssen, Sclinda] Univ North Dakota, Sch Med &amp; Hlth Sci, Dept Occupat Therapy, Grand Forks, ND 58202 USA; [Danks, Meridee] Univ North Dakota, Sch Med &amp; Hlth Sci, Dept Phys Therapy, Grand Forks, ND 58202 USA; [Semmens, Karen] Univ North Dakota, Coll Nursing &amp; Profess Disciplines, Dept Nursing, Grand Forks, ND 58202 USA</t>
        </is>
      </c>
      <c r="Y1849" t="inlineStr">
        <is>
          <t>University of North Dakota Grand Forks; University of North Dakota Grand Forks; University of North Dakota Grand Forks; University of North Dakota Grand Forks</t>
        </is>
      </c>
      <c r="Z1849" t="inlineStr">
        <is>
          <t>Jurivich, D (corresponding author), Univ North Dakota, Sch Med &amp; Hlth Sci, Dept Geriatr, Grand Forks, ND 58202 USA.</t>
        </is>
      </c>
      <c r="AA1849" t="inlineStr">
        <is>
          <t>donald.jurivich@und.edu; carter.schimke@und.edu; dakota.snustad@und.edu; mitchell.floura@und.edu; casey.morton@und.edu; marsha.waind@ndus.edu; jeremy.holloway@und.edu; sdinda.janssen@und.edu; meridee.danks@und.edu; karen.semmens@und.edu; gunjan.manocha@und.edu</t>
        </is>
      </c>
      <c r="AD1849" t="inlineStr">
        <is>
          <t>Dakota Geriatrics, a Geriatric Workforce Enhancement program; Health Resources &amp; Services Administration (HRSA) of the U.S. Department of Health and Human Services (HHS)</t>
        </is>
      </c>
      <c r="AE1849" t="inlineStr">
        <is>
          <t>Dakota Geriatrics, a Geriatric Workforce Enhancement program; Health Resources &amp; Services Administration (HRSA) of the U.S. Department of Health and Human Services (HHS)</t>
        </is>
      </c>
      <c r="AF1849" t="inlineStr">
        <is>
          <t>This study is sponsored by Dakota Geriatrics, a GeriatricWorkforce Enhancement program. Dakota Geriatrics is supported by funding from the Health Resources &amp; Services Administration (HRSA) of the U.S. Department of Health and Human Services (HHS) as part of an award totaling 3.75 M with 15% financed with nongovernmental sources. The contents are those of the author(s) and do not necessarily represent the official views of, nor an endorsement by HRSA, HHS, or the U.S. Government.</t>
        </is>
      </c>
      <c r="AH1849" t="n">
        <v>51</v>
      </c>
      <c r="AI1849" t="n">
        <v>1</v>
      </c>
      <c r="AJ1849" t="n">
        <v>1</v>
      </c>
      <c r="AK1849" t="n">
        <v>1</v>
      </c>
      <c r="AL1849" t="n">
        <v>10</v>
      </c>
      <c r="AM1849" t="inlineStr">
        <is>
          <t>MDPI</t>
        </is>
      </c>
      <c r="AN1849" t="inlineStr">
        <is>
          <t>BASEL</t>
        </is>
      </c>
      <c r="AO1849" t="inlineStr">
        <is>
          <t>ST ALBAN-ANLAGE 66, CH-4052 BASEL, SWITZERLAND</t>
        </is>
      </c>
      <c r="AQ1849" t="inlineStr">
        <is>
          <t>1660-4601</t>
        </is>
      </c>
      <c r="AS1849" t="inlineStr">
        <is>
          <t>INT J ENV RES PUB HE</t>
        </is>
      </c>
      <c r="AT1849" t="inlineStr">
        <is>
          <t>Int. J. Environ. Res. Public Health</t>
        </is>
      </c>
      <c r="AU1849" t="inlineStr">
        <is>
          <t>OCT</t>
        </is>
      </c>
      <c r="AV1849" t="n">
        <v>2021</v>
      </c>
      <c r="AW1849" t="n">
        <v>18</v>
      </c>
      <c r="AX1849" t="n">
        <v>19</v>
      </c>
      <c r="BE1849" t="n">
        <v>10082</v>
      </c>
      <c r="BF1849" t="inlineStr">
        <is>
          <t>10.3390/ijerph181910082</t>
        </is>
      </c>
      <c r="BG1849">
        <f>HYPERLINK("http://dx.doi.org/10.3390/ijerph181910082","http://dx.doi.org/10.3390/ijerph181910082")</f>
        <v/>
      </c>
      <c r="BJ1849" t="n">
        <v>10</v>
      </c>
      <c r="BK1849" t="inlineStr">
        <is>
          <t>Environmental Sciences; Public, Environmental &amp; Occupational Health</t>
        </is>
      </c>
      <c r="BL1849" t="inlineStr">
        <is>
          <t>Science Citation Index Expanded (SCI-EXPANDED); Social Science Citation Index (SSCI)</t>
        </is>
      </c>
      <c r="BM1849" t="inlineStr">
        <is>
          <t>Environmental Sciences &amp; Ecology; Public, Environmental &amp; Occupational Health</t>
        </is>
      </c>
      <c r="BN1849" t="inlineStr">
        <is>
          <t>WI0ML</t>
        </is>
      </c>
      <c r="BO1849" t="n">
        <v>34639383</v>
      </c>
      <c r="BP1849" t="inlineStr">
        <is>
          <t>Green Published, gold</t>
        </is>
      </c>
      <c r="BS1849" t="inlineStr">
        <is>
          <t>2023-10-26</t>
        </is>
      </c>
      <c r="BT1849" t="inlineStr">
        <is>
          <t>WOS:000708061600001</t>
        </is>
      </c>
      <c r="BU1849">
        <f>HYPERLINK("https%3A%2F%2Fwww.webofscience.com%2Fwos%2Fwoscc%2Ffull-record%2FWOS:000708061600001","View Full Record in Web of Science")</f>
        <v/>
      </c>
    </row>
    <row r="1850">
      <c r="A1850" t="inlineStr">
        <is>
          <t>J</t>
        </is>
      </c>
      <c r="B1850" t="inlineStr">
        <is>
          <t>Nichols, BG; Kockelman, KM</t>
        </is>
      </c>
      <c r="F1850" t="inlineStr">
        <is>
          <t>Nichols, Brice G.; Kockelman, Kara M.</t>
        </is>
      </c>
      <c r="J1850" t="inlineStr">
        <is>
          <t>ENERGY POLICY</t>
        </is>
      </c>
      <c r="M1850" t="inlineStr">
        <is>
          <t>English</t>
        </is>
      </c>
      <c r="N1850" t="inlineStr">
        <is>
          <t>Article</t>
        </is>
      </c>
      <c r="T1850" t="inlineStr">
        <is>
          <t>Life-cycle energy implications of different residential settings: Recognizing buildings, travel, and public infrastructure</t>
        </is>
      </c>
      <c r="U1850" t="inlineStr">
        <is>
          <t>Life-cycle energy use; Built environment; Smart growth</t>
        </is>
      </c>
      <c r="V1850" t="inlineStr">
        <is>
          <t>CONSUMPTION; DENSITY; GROWTH; IMPACT</t>
        </is>
      </c>
      <c r="W1850" t="inlineStr">
        <is>
          <t>The built environment can be used to influence travel demand, but very few studies consider the relative energy savings of such policies in context of a complex urban system. This analysis quantifies the day-today and embodied energy consumption of four different neighborhoods in Austin, Texas, to examine how built environment variations influence various sources of urban energy consumption. A microsimulation combines models for petroleum use (from driving) and residential and commercial power and natural gas use with rigorously measured building stock and infrastructure materials quantities (to arrive at embodied energy). Results indicate that the more suburban neighborhoods, with mostly detached single-family homes, consume up to 320% more embodied energy, 150% more operational energy, and about 160% more total life-cycle energy (per capita) than a densely developed neighborhoods with mostly low-rise-apartments and duplexes. Across all neighborhoods, operational energy use comprised 83 to 92% of total energy use, and transportation sources (including personal vehicles and transit, plus street, parking structure, and sidewalk infrastructure) made up 44 to 47% of the life-cycle energy demands tallied. Energy elasticity calculations across the neighborhoods suggest that increased population density and reduced residential unit size offer greatest life-cycle energy savings per capita, by reducing both operational demands from driving and home energy use, and from less embodied energy from construction. These results provide measurable metrics for comparing different neighborhood styles and develop a framework to anticipate energy-savings from changes in the built environment versus household energy efficiency. (C) 2014 Elsevier Ltd. All rights reserved.</t>
        </is>
      </c>
      <c r="X1850" t="inlineStr">
        <is>
          <t>[Nichols, Brice G.] Puget Sound Reg Council, Seattle, WA 98104 USA; [Kockelman, Kara M.] Univ Texas Austin, Dept Civil Architectural &amp; Environm Engn, Austin, TX 78712 USA</t>
        </is>
      </c>
      <c r="Y1850" t="inlineStr">
        <is>
          <t>University of Texas System; University of Texas Austin</t>
        </is>
      </c>
      <c r="Z1850" t="inlineStr">
        <is>
          <t>Kockelman, KM (corresponding author), Univ Texas Austin, Dept Civil Architectural &amp; Environm Engn, 6-9 E Cockrell Jr Hall, Austin, TX 78712 USA.</t>
        </is>
      </c>
      <c r="AA1850" t="inlineStr">
        <is>
          <t>bricenichols@gmail.com; amp1@mail.utexas.edu</t>
        </is>
      </c>
      <c r="AB1850" t="inlineStr">
        <is>
          <t>Kockelman, Kara/ABF-7223-2021</t>
        </is>
      </c>
      <c r="AD1850" t="inlineStr">
        <is>
          <t>Southwest Region University Transportation Center</t>
        </is>
      </c>
      <c r="AE1850" t="inlineStr">
        <is>
          <t>Southwest Region University Transportation Center</t>
        </is>
      </c>
      <c r="AF1850" t="inlineStr">
        <is>
          <t>We would like to thank the Southwest Region University Transportation Center for funding this research, and the City of Austin for providing excellent open-source data and support. Thanks also to Drs. Arpad Horvath, Mikhail Chester, and Michael Blackhurst for providing guidance on life-cycle analysis details, Annette Perrone for her invaluable administrative support, and several anonymous reviewers for their feedback.</t>
        </is>
      </c>
      <c r="AH1850" t="n">
        <v>53</v>
      </c>
      <c r="AI1850" t="n">
        <v>51</v>
      </c>
      <c r="AJ1850" t="n">
        <v>51</v>
      </c>
      <c r="AK1850" t="n">
        <v>1</v>
      </c>
      <c r="AL1850" t="n">
        <v>47</v>
      </c>
      <c r="AM1850" t="inlineStr">
        <is>
          <t>ELSEVIER SCI LTD</t>
        </is>
      </c>
      <c r="AN1850" t="inlineStr">
        <is>
          <t>OXFORD</t>
        </is>
      </c>
      <c r="AO1850" t="inlineStr">
        <is>
          <t>THE BOULEVARD, LANGFORD LANE, KIDLINGTON, OXFORD OX5 1GB, OXON, ENGLAND</t>
        </is>
      </c>
      <c r="AP1850" t="inlineStr">
        <is>
          <t>0301-4215</t>
        </is>
      </c>
      <c r="AQ1850" t="inlineStr">
        <is>
          <t>1873-6777</t>
        </is>
      </c>
      <c r="AS1850" t="inlineStr">
        <is>
          <t>ENERG POLICY</t>
        </is>
      </c>
      <c r="AT1850" t="inlineStr">
        <is>
          <t>Energy Policy</t>
        </is>
      </c>
      <c r="AU1850" t="inlineStr">
        <is>
          <t>MAY</t>
        </is>
      </c>
      <c r="AV1850" t="n">
        <v>2014</v>
      </c>
      <c r="AW1850" t="n">
        <v>68</v>
      </c>
      <c r="BC1850" t="n">
        <v>232</v>
      </c>
      <c r="BD1850" t="n">
        <v>242</v>
      </c>
      <c r="BF1850" t="inlineStr">
        <is>
          <t>10.1016/j.enpol.2013.12.062</t>
        </is>
      </c>
      <c r="BG1850">
        <f>HYPERLINK("http://dx.doi.org/10.1016/j.enpol.2013.12.062","http://dx.doi.org/10.1016/j.enpol.2013.12.062")</f>
        <v/>
      </c>
      <c r="BJ1850" t="n">
        <v>11</v>
      </c>
      <c r="BK1850" t="inlineStr">
        <is>
          <t>Economics; Energy &amp; Fuels; Environmental Sciences; Environmental Studies</t>
        </is>
      </c>
      <c r="BL1850" t="inlineStr">
        <is>
          <t>Science Citation Index Expanded (SCI-EXPANDED); Social Science Citation Index (SSCI)</t>
        </is>
      </c>
      <c r="BM1850" t="inlineStr">
        <is>
          <t>Business &amp; Economics; Energy &amp; Fuels; Environmental Sciences &amp; Ecology</t>
        </is>
      </c>
      <c r="BN1850" t="inlineStr">
        <is>
          <t>AE6TO</t>
        </is>
      </c>
      <c r="BP1850" t="inlineStr">
        <is>
          <t>Green Submitted</t>
        </is>
      </c>
      <c r="BS1850" t="inlineStr">
        <is>
          <t>2023-10-26</t>
        </is>
      </c>
      <c r="BT1850" t="inlineStr">
        <is>
          <t>WOS:000334130900022</t>
        </is>
      </c>
      <c r="BU1850">
        <f>HYPERLINK("https%3A%2F%2Fwww.webofscience.com%2Fwos%2Fwoscc%2Ffull-record%2FWOS:000334130900022","View Full Record in Web of Science")</f>
        <v/>
      </c>
    </row>
    <row r="1851">
      <c r="A1851" t="inlineStr">
        <is>
          <t>J</t>
        </is>
      </c>
      <c r="B1851" t="inlineStr">
        <is>
          <t>Carter, TJ; Poppendieck, DG; Shaw, D; Carslaw, N</t>
        </is>
      </c>
      <c r="F1851" t="inlineStr">
        <is>
          <t>Carter, Toby J.; Poppendieck, Dustin G.; Shaw, David; Carslaw, Nicola</t>
        </is>
      </c>
      <c r="J1851" t="inlineStr">
        <is>
          <t>ATMOSPHERIC ENVIRONMENT</t>
        </is>
      </c>
      <c r="M1851" t="inlineStr">
        <is>
          <t>English</t>
        </is>
      </c>
      <c r="N1851" t="inlineStr">
        <is>
          <t>Article</t>
        </is>
      </c>
      <c r="T1851" t="inlineStr">
        <is>
          <t>A Modelling Study of Indoor Air Chemistry: The Surface Interactions of Ozone and Hydrogen Peroxide</t>
        </is>
      </c>
      <c r="U1851" t="inlineStr">
        <is>
          <t>Surface interactions; Ozone; Hydrogen peroxide; Indoor air quality; Deposition; Indoor air chemistry model</t>
        </is>
      </c>
      <c r="V1851" t="inlineStr">
        <is>
          <t>VOLATILE ORGANIC-COMPOUNDS; GAS-PHASE REACTIONS; MASTER CHEMICAL MECHANISM; GREEN BUILDING-MATERIALS; MCM V3 PART; DEPOSITION VELOCITIES; RATE COEFFICIENTS; TROPOSPHERIC DEGRADATION; REACTION PROBABILITIES; INITIATED CHEMISTRY</t>
        </is>
      </c>
      <c r="W1851" t="inlineStr">
        <is>
          <t>Indoor surfaces play a key role in indoor chemistry, including modification of indoor oxidant concentrations. This study utilises the INdoor CHEmical Model in Python (INCHEM-Py) to investigate the impact of surface transformations and their impact on indoor gas-phase chemistry. INCHEM-Py has been developed to simulate the surface deposition of ozone and hydrogen peroxide onto nine and six individual surfaces respectively in a typical bedroom, kitchen and office for normal indoor concentrations in the absence of household activities. The results show that 91 to 96% of these oxidants are deposited onto indoor surfaces under our simulated conditions. In the bedroom, 38 to 44% of indoor ozone and hydrogen peroxide is deposited onto soft fabric surfaces, with 41 to 54% of ozone deposition occurring on plastic surfaces in the kitchen and office. Total indoor concentrations of straight-chained aldehydes (C1-C10) ranged from approximate to 4 to 5 ppb, with nonanal having the highest individual concentration (1.7, 1.6 and 1.5 ppb in the bedroom, kitchen and office respectively), primarily as a result of emissions from plastics following ozone deposition. Aldehyde concentrations following hydrogen peroxide deposition were often less than 0.01 ppb. Understanding how reactions and deposition on different indoor surfaces impact indoor air chemistry will enable internal surface selection with a view to improving overall indoor air quality.</t>
        </is>
      </c>
      <c r="X1851" t="inlineStr">
        <is>
          <t>[Carter, Toby J.; Shaw, David; Carslaw, Nicola] Univ York, Dept Environm &amp; Geog, Wentworth Way, York YO10 5NG, England; [Poppendieck, Dustin G.] Univ Texas Austin, Austin, TX 78712 USA</t>
        </is>
      </c>
      <c r="Y1851" t="inlineStr">
        <is>
          <t>University of York - UK; University of Texas System; University of Texas Austin</t>
        </is>
      </c>
      <c r="Z1851" t="inlineStr">
        <is>
          <t>Carslaw, N (corresponding author), Univ York, Dept Environm &amp; Geog, Wentworth Way, York YO10 5NG, England.</t>
        </is>
      </c>
      <c r="AA1851" t="inlineStr">
        <is>
          <t>nicola.carslaw@york.ac.uk</t>
        </is>
      </c>
      <c r="AB1851" t="inlineStr">
        <is>
          <t>Carter, Toby J./ITT-5136-2023; Shaw, David/AAY-1198-2020; Carslaw, Nicola/A-7228-2008</t>
        </is>
      </c>
      <c r="AC1851" t="inlineStr">
        <is>
          <t>Carter, Toby J./0000-0001-5477-0615; Shaw, David/0000-0001-5542-0334; Carslaw, Nicola/0000-0002-5290-4779</t>
        </is>
      </c>
      <c r="AD1851" t="inlineStr">
        <is>
          <t>Alfred P. Sloan Foundation [G-2020-13912]; National Institute of Standards and Technology (NIST)</t>
        </is>
      </c>
      <c r="AE1851" t="inlineStr">
        <is>
          <t>Alfred P. Sloan Foundation(Alfred P. Sloan Foundation); National Institute of Standards and Technology (NIST)(National Institute of Standards &amp; Technology (NIST) - USA)</t>
        </is>
      </c>
      <c r="AF1851" t="inlineStr">
        <is>
          <t>Acknowledgements This research is part of MOCCIE 3 (MOdelling Consortium for Chem-istry of Indoor Environments) , which has received funding from the Alfred P. Sloan Foundation to study Chemistry of Indoor Environments (CIE) (Grant Number: G-2020-13912) . Conclusions reached or positions taken by researchers or other grantees represent the views of the grantees themselves and not those of the Alfred P. Sloan Foundation or its trustees, officers, or staff. The hydrogen peroxide work was completed by Dr. Dustin Poppendieck when he was a postdoctoral re-searcher whilst at The University of Texas at Austin. Dustin is currently working at the National Institute of Standards and Technology (NIST) . We would like to acknowledge the assistance of Professor Linsey Marr in providing more detailed information from the Manuja et al. (2019) paper.</t>
        </is>
      </c>
      <c r="AH1851" t="n">
        <v>107</v>
      </c>
      <c r="AI1851" t="n">
        <v>1</v>
      </c>
      <c r="AJ1851" t="n">
        <v>1</v>
      </c>
      <c r="AK1851" t="n">
        <v>12</v>
      </c>
      <c r="AL1851" t="n">
        <v>12</v>
      </c>
      <c r="AM1851" t="inlineStr">
        <is>
          <t>PERGAMON-ELSEVIER SCIENCE LTD</t>
        </is>
      </c>
      <c r="AN1851" t="inlineStr">
        <is>
          <t>OXFORD</t>
        </is>
      </c>
      <c r="AO1851" t="inlineStr">
        <is>
          <t>THE BOULEVARD, LANGFORD LANE, KIDLINGTON, OXFORD OX5 1GB, ENGLAND</t>
        </is>
      </c>
      <c r="AP1851" t="inlineStr">
        <is>
          <t>1352-2310</t>
        </is>
      </c>
      <c r="AQ1851" t="inlineStr">
        <is>
          <t>1873-2844</t>
        </is>
      </c>
      <c r="AS1851" t="inlineStr">
        <is>
          <t>ATMOS ENVIRON</t>
        </is>
      </c>
      <c r="AT1851" t="inlineStr">
        <is>
          <t>Atmos. Environ.</t>
        </is>
      </c>
      <c r="AU1851" t="inlineStr">
        <is>
          <t>MAR 15</t>
        </is>
      </c>
      <c r="AV1851" t="n">
        <v>2023</v>
      </c>
      <c r="AW1851" t="n">
        <v>297</v>
      </c>
      <c r="BE1851" t="n">
        <v>119598</v>
      </c>
      <c r="BF1851" t="inlineStr">
        <is>
          <t>10.1016/j.atmosenv.2023.119598</t>
        </is>
      </c>
      <c r="BG1851">
        <f>HYPERLINK("http://dx.doi.org/10.1016/j.atmosenv.2023.119598","http://dx.doi.org/10.1016/j.atmosenv.2023.119598")</f>
        <v/>
      </c>
      <c r="BI1851" t="inlineStr">
        <is>
          <t>JAN 2023</t>
        </is>
      </c>
      <c r="BJ1851" t="n">
        <v>11</v>
      </c>
      <c r="BK1851" t="inlineStr">
        <is>
          <t>Environmental Sciences; Meteorology &amp; Atmospheric Sciences</t>
        </is>
      </c>
      <c r="BL1851" t="inlineStr">
        <is>
          <t>Science Citation Index Expanded (SCI-EXPANDED)</t>
        </is>
      </c>
      <c r="BM1851" t="inlineStr">
        <is>
          <t>Environmental Sciences &amp; Ecology; Meteorology &amp; Atmospheric Sciences</t>
        </is>
      </c>
      <c r="BN1851" t="inlineStr">
        <is>
          <t>D8WA8</t>
        </is>
      </c>
      <c r="BP1851" t="inlineStr">
        <is>
          <t>hybrid, Green Accepted</t>
        </is>
      </c>
      <c r="BS1851" t="inlineStr">
        <is>
          <t>2023-10-26</t>
        </is>
      </c>
      <c r="BT1851" t="inlineStr">
        <is>
          <t>WOS:000971465100001</t>
        </is>
      </c>
      <c r="BU1851">
        <f>HYPERLINK("https%3A%2F%2Fwww.webofscience.com%2Fwos%2Fwoscc%2Ffull-record%2FWOS:000971465100001","View Full Record in Web of Science")</f>
        <v/>
      </c>
    </row>
    <row r="1852">
      <c r="A1852" t="inlineStr">
        <is>
          <t>J</t>
        </is>
      </c>
      <c r="B1852" t="inlineStr">
        <is>
          <t>Guo, YQ; Yeung, CY; Chan, GCH; Chang, QS; Tsang, HWH; Yip, PSF</t>
        </is>
      </c>
      <c r="F1852" t="inlineStr">
        <is>
          <t>Guo, Yingqi; Yeung, Cheuk-Yui; Chan, Geoff C. H.; Chang, Qingsong; Tsang, Hector W. H.; Yip, Paul S. F.</t>
        </is>
      </c>
      <c r="J1852" t="inlineStr">
        <is>
          <t>INTERNATIONAL JOURNAL OF ENVIRONMENTAL RESEARCH AND PUBLIC HEALTH</t>
        </is>
      </c>
      <c r="M1852" t="inlineStr">
        <is>
          <t>English</t>
        </is>
      </c>
      <c r="N1852" t="inlineStr">
        <is>
          <t>Article</t>
        </is>
      </c>
      <c r="T1852" t="inlineStr">
        <is>
          <t>Mobility Based on GPS Trajectory Data and Interviews: A Pilot Study to Understand the Differences between Lower- and Higher-Income Older Adults in Hong Kong</t>
        </is>
      </c>
      <c r="U1852" t="inlineStr">
        <is>
          <t>Global Positioning System (GPS); mobility; activity space; social exclusion; older adults; Hong Kong</t>
        </is>
      </c>
      <c r="V1852" t="inlineStr">
        <is>
          <t>QUALITY-OF-LIFE; ACTIVITY SPACE; SEGREGATION; HEALTH; POVERTY</t>
        </is>
      </c>
      <c r="W1852" t="inlineStr">
        <is>
          <t>Few studies have examined mobility from a social exclusion perspective. Limited mobility can restrict opportunities to interact with others and therefore may lead to social exclusion. This pilot study was designed to test the feasibility of integrating Global Positioning System (GPS) trajectory data and interview data to understand the different mobility patterns between lower- and higher-income older adults in Hong Kong and the potential reasons for and impacts of these differences. Lower- (n = 21) and higher- (n = 24) income adults aged 60 years of age or older in Hong Kong were recruited based on purposive sampling. They were asked to wear a GPS device for 7 days. Seven measures of mobility (four dimensions) were created based on GPS data and compared between lower- and higher-income older adults, including extensity (standard deviation ellipse, standard distance between all locations), intensity (time spent out of home, doing activities), diversity (number of locations), and non-exclusivity (time spent in public open spaces and places with higher public service provisions). It then administered semi-structured interviews to understand the determined differences. The activity spaces for lower-income older adults were, on average, smaller than those for higher-income older adults, but lower-income older adults spent significantly more time participating in out-of-home activities. They were more likely to be exposed to environments with similar socioeconomic characteristics as their own. The interviews showed that limited social networks and expenditure on transport were the two main factors associated with lower-income older adults having relatively fewer activity spaces, which may lead to further social exclusion. We recommend using GPS in daily life as a feasible way to capture the mobility patterns and using interviews to deeply understand the different patterns between lower- and higher-income older adults. Policy strategies aiming to improve the mobility of older might be helpful for further improving the social inclusion of lower-income older adults.</t>
        </is>
      </c>
      <c r="X1852" t="inlineStr">
        <is>
          <t>[Guo, Yingqi; Tsang, Hector W. H.] Hong Kong Polytech Univ, Dept Rehabil Sci, Hung Hom, 11 Yuk Choi Rd, Hong Kong, Peoples R China; [Guo, Yingqi; Tsang, Hector W. H.] Hong Kong Polytech Univ, Mental Hlth Res Ctr, Hung Hom, 11 Yuk Choi Rd, Hong Kong, Peoples R China; [Yeung, Cheuk-Yui; Yip, Paul S. F.] Univ Hong Kong, Dept Social Work &amp; Social Adm, Pokfulam, Hong Kong, Peoples R China; [Chan, Geoff C. H.] Hong Kong Polytech Univ, Dept Appl Social Sci, Hung Hom, 11 Yuk Choi Rd, Hong Kong, Peoples R China; [Chang, Qingsong] Xiamen Univ, Sch Sociol &amp; Anthropol, Xiamen 361005, Peoples R China; [Yip, Paul S. F.] Univ Hong Kong, Hong Kong Jockey Club, Ctr Suicide Res &amp; Prevent, Pokfulam, 5 Sassoon Rd, Hong Kong, Peoples R China</t>
        </is>
      </c>
      <c r="Y1852" t="inlineStr">
        <is>
          <t>Hong Kong Polytechnic University; Hong Kong Polytechnic University; University of Hong Kong; Hong Kong Polytechnic University; Xiamen University; University of Hong Kong</t>
        </is>
      </c>
      <c r="Z1852" t="inlineStr">
        <is>
          <t>Yip, PSF (corresponding author), Univ Hong Kong, Dept Social Work &amp; Social Adm, Pokfulam, Hong Kong, Peoples R China.;Yip, PSF (corresponding author), Univ Hong Kong, Hong Kong Jockey Club, Ctr Suicide Res &amp; Prevent, Pokfulam, 5 Sassoon Rd, Hong Kong, Peoples R China.</t>
        </is>
      </c>
      <c r="AA1852" t="inlineStr">
        <is>
          <t>yingqi.guo@polyu.edu.hk; yeungcya@connect.hku.hk; geoff.chan@polyu.edu.hk; nkevergreenpine@163.com; hector.tsang@polyu.edu.hk; sfpyip@hku.hk</t>
        </is>
      </c>
      <c r="AB1852" t="inlineStr">
        <is>
          <t>Yip, Paul Siu Fai/D-4954-2009</t>
        </is>
      </c>
      <c r="AC1852" t="inlineStr">
        <is>
          <t>Yip, Paul Siu Fai/0000-0003-1596-4120; Guo, Yingqi/0000-0002-3682-2917</t>
        </is>
      </c>
      <c r="AD1852" t="inlineStr">
        <is>
          <t>Hong Kong Jockey Club Charities Trust [2013/CP03]</t>
        </is>
      </c>
      <c r="AE1852" t="inlineStr">
        <is>
          <t>Hong Kong Jockey Club Charities Trust</t>
        </is>
      </c>
      <c r="AF1852" t="inlineStr">
        <is>
          <t>This research was funded by The Chief Executive Community Project funded by Hong Kong Jockey Club Charities Trust (Project S/N Ref: 2013/CP03).</t>
        </is>
      </c>
      <c r="AH1852" t="n">
        <v>40</v>
      </c>
      <c r="AI1852" t="n">
        <v>0</v>
      </c>
      <c r="AJ1852" t="n">
        <v>0</v>
      </c>
      <c r="AK1852" t="n">
        <v>6</v>
      </c>
      <c r="AL1852" t="n">
        <v>12</v>
      </c>
      <c r="AM1852" t="inlineStr">
        <is>
          <t>MDPI</t>
        </is>
      </c>
      <c r="AN1852" t="inlineStr">
        <is>
          <t>BASEL</t>
        </is>
      </c>
      <c r="AO1852" t="inlineStr">
        <is>
          <t>ST ALBAN-ANLAGE 66, CH-4052 BASEL, SWITZERLAND</t>
        </is>
      </c>
      <c r="AQ1852" t="inlineStr">
        <is>
          <t>1660-4601</t>
        </is>
      </c>
      <c r="AS1852" t="inlineStr">
        <is>
          <t>INT J ENV RES PUB HE</t>
        </is>
      </c>
      <c r="AT1852" t="inlineStr">
        <is>
          <t>Int. J. Environ. Res. Public Health</t>
        </is>
      </c>
      <c r="AU1852" t="inlineStr">
        <is>
          <t>MAY</t>
        </is>
      </c>
      <c r="AV1852" t="n">
        <v>2022</v>
      </c>
      <c r="AW1852" t="n">
        <v>19</v>
      </c>
      <c r="AX1852" t="n">
        <v>9</v>
      </c>
      <c r="BE1852" t="n">
        <v>5536</v>
      </c>
      <c r="BF1852" t="inlineStr">
        <is>
          <t>10.3390/ijerph19095536</t>
        </is>
      </c>
      <c r="BG1852">
        <f>HYPERLINK("http://dx.doi.org/10.3390/ijerph19095536","http://dx.doi.org/10.3390/ijerph19095536")</f>
        <v/>
      </c>
      <c r="BJ1852" t="n">
        <v>13</v>
      </c>
      <c r="BK1852" t="inlineStr">
        <is>
          <t>Environmental Sciences; Public, Environmental &amp; Occupational Health</t>
        </is>
      </c>
      <c r="BL1852" t="inlineStr">
        <is>
          <t>Science Citation Index Expanded (SCI-EXPANDED); Social Science Citation Index (SSCI)</t>
        </is>
      </c>
      <c r="BM1852" t="inlineStr">
        <is>
          <t>Environmental Sciences &amp; Ecology; Public, Environmental &amp; Occupational Health</t>
        </is>
      </c>
      <c r="BN1852" t="inlineStr">
        <is>
          <t>1E3JU</t>
        </is>
      </c>
      <c r="BO1852" t="n">
        <v>35564931</v>
      </c>
      <c r="BP1852" t="inlineStr">
        <is>
          <t>Green Published, gold</t>
        </is>
      </c>
      <c r="BS1852" t="inlineStr">
        <is>
          <t>2023-10-26</t>
        </is>
      </c>
      <c r="BT1852" t="inlineStr">
        <is>
          <t>WOS:000794390200001</t>
        </is>
      </c>
      <c r="BU1852">
        <f>HYPERLINK("https%3A%2F%2Fwww.webofscience.com%2Fwos%2Fwoscc%2Ffull-record%2FWOS:000794390200001","View Full Record in Web of Science")</f>
        <v/>
      </c>
    </row>
    <row r="1853">
      <c r="A1853" t="inlineStr">
        <is>
          <t>J</t>
        </is>
      </c>
      <c r="B1853" t="inlineStr">
        <is>
          <t>Dimitroulopoulou, S; Dudzinska, MR; Gunnarsen, L; Hägerhed, L; Maula, H; Singh, R; Toyinbo, O; Haverinen-Shaughnessy, U</t>
        </is>
      </c>
      <c r="F1853" t="inlineStr">
        <is>
          <t>Dimitroulopoulou, Sani; Dudzinska, Marzenna R.; Gunnarsen, Lars; Hagerhed, Linda; Maula, Henna; Singh, Raja; Toyinbo, Oluyemi; Haverinen-Shaughnessy, Ulla</t>
        </is>
      </c>
      <c r="J1853" t="inlineStr">
        <is>
          <t>ENVIRONMENT INTERNATIONAL</t>
        </is>
      </c>
      <c r="M1853" t="inlineStr">
        <is>
          <t>English</t>
        </is>
      </c>
      <c r="N1853" t="inlineStr">
        <is>
          <t>Article</t>
        </is>
      </c>
      <c r="T1853" t="inlineStr">
        <is>
          <t>Indoor air quality guidelines from across the world: An appraisal considering energy saving, health, productivity, and comfort</t>
        </is>
      </c>
      <c r="U1853" t="inlineStr">
        <is>
          <t>Energy consumption/efficiency/performance; Indoor climate/pollutants; Human requirements; HVAC; Permissible limits/target values; Well-being</t>
        </is>
      </c>
      <c r="V1853" t="inlineStr">
        <is>
          <t>VOLATILE ORGANIC-COMPOUNDS; ENVIRONMENTAL-QUALITY; THERMAL ENVIRONMENT; RELATIVE-HUMIDITY; IMPACT; DIOXIDE; RADON; RISK; TRANSMISSION; FORMALDEHYDE</t>
        </is>
      </c>
      <c r="W1853" t="inlineStr">
        <is>
          <t>Buildings are constructed and operated to satisfy human needs and improve quality of life. Good indoor air quality (IAQ) and thermal comfort are prerequisites for human health and well-being. For their provision, buildings often rely on heating, ventilation, and air conditioning (HVAC) systems, which may lead to higher energy consumption. This directly impacts energy efficiency goals and the linked climate change considerations. The balance between energy use, optimum IAQ and thermal comfort calls for scientifically solid and well-established limit values for exposures experienced by building occupants in indoor spaces, including homes, schools, and offices.The present paper aims to appraise limit values for selected indoor pollutants reported in the scientific literature, and to present how they are handled in international and national guidelines and standards. The pollutants include carbon dioxide (CO2), formaldehyde (CH2O), particulate matter (PM), nitrogen dioxide (NO2), carbon monoxide (CO), and radon (Rn). Furthermore, acknowledging the particularly strong impact on energy use from HVAC, ventilation, indoor temperature (T), and relative humidity (RH) are also included, as they relate to both thermal comfort and the possibilities to avoid moisture related problems, such as mould growth and proliferation of house dust mites.Examples of national regulations for these parameters are presented, both in relation to human requirements in buildings and considering aspects related to energy saving. The work is based on the Indoor Environmental Quality (IEQ) guidelines database, which spans across countries and institutions, and aids in taking steps in the direction towards a more uniform guidance for values of indoor parameters. The database is coordinated by the Scientific and Technical Committee (STC) 34, as part of ISIAQ, the International Society of Indoor Air Quality and Climate.</t>
        </is>
      </c>
      <c r="X1853" t="inlineStr">
        <is>
          <t>[Dimitroulopoulou, Sani] UK Hlth Secur Agcy, Air Qual &amp; Publ Hlth, London, England; [Dudzinska, Marzenna R.] Lublin Univ Technol, Fac Environm Engn, Lublin, Poland; [Gunnarsen, Lars] Aalborg Univ, Dept Built Environm, Aalborg, Denmark; [Hagerhed, Linda] Univ Boras, Dept Resource Recovery &amp; Bldg Technol, Boras, Sweden; Turku Univ Appl Sci, Construct Ind Built Environm Res Grp, Engn &amp; Business, Turku, Finland; [Singh, Raja] Sch Planning &amp; Architecture, Dept Architecture, New Delhi, India; [Singh, Raja] ISAC CBEP, New Delhi, India; [Singh, Raja] Tathatara Fdn, New Delhi, India; [Toyinbo, Oluyemi; Haverinen-Shaughnessy, Ulla] Univ Oulu, Civil Engn Res Unit, Oulu, Finland; [Haverinen-Shaughnessy, Ulla] Univ Tulsa, Indoor Air Program, Tulsa, OK 74104 USA</t>
        </is>
      </c>
      <c r="Y1853" t="inlineStr">
        <is>
          <t>UK Health Security Agency (UKHSA); Lublin University of Technology; Aalborg University; University of Boras; University of Turku; School of Planning &amp; Architecture, New Delhi; University of Oulu; University of Tulsa</t>
        </is>
      </c>
      <c r="Z1853" t="inlineStr">
        <is>
          <t>Haverinen-Shaughnessy, U (corresponding author), Univ Oulu, Civil Engn Res Unit, Oulu, Finland.;Haverinen-Shaughnessy, U (corresponding author), Univ Tulsa, Indoor Air Program, Tulsa, OK 74104 USA.</t>
        </is>
      </c>
      <c r="AA1853" t="inlineStr">
        <is>
          <t>ulla.haverinen-shaughnessy@oulu.fi</t>
        </is>
      </c>
      <c r="AB1853" t="inlineStr">
        <is>
          <t>OLUYEMI, TOYINBO/V-3592-2019; Dudzinska, Marzenna Roza/A-5460-2013; Haverinen-Shaughnessy, Ulla/O-5688-2015</t>
        </is>
      </c>
      <c r="AC1853" t="inlineStr">
        <is>
          <t>OLUYEMI, TOYINBO/0000-0001-6425-9116; Dudzinska, Marzenna Roza/0000-0002-1230-957X; Haverinen-Shaughnessy, Ulla/0000-0002-9456-7256; Gunnarsen, Lars/0000-0003-2227-7759</t>
        </is>
      </c>
      <c r="AD1853" t="inlineStr">
        <is>
          <t>Halton Foundation</t>
        </is>
      </c>
      <c r="AE1853" t="inlineStr">
        <is>
          <t>Halton Foundation</t>
        </is>
      </c>
      <c r="AF1853" t="inlineStr">
        <is>
          <t>Halton Foundation has provided a grant for ISIAQ for developing the database.~</t>
        </is>
      </c>
      <c r="AH1853" t="n">
        <v>114</v>
      </c>
      <c r="AI1853" t="n">
        <v>1</v>
      </c>
      <c r="AJ1853" t="n">
        <v>1</v>
      </c>
      <c r="AK1853" t="n">
        <v>9</v>
      </c>
      <c r="AL1853" t="n">
        <v>9</v>
      </c>
      <c r="AM1853" t="inlineStr">
        <is>
          <t>PERGAMON-ELSEVIER SCIENCE LTD</t>
        </is>
      </c>
      <c r="AN1853" t="inlineStr">
        <is>
          <t>OXFORD</t>
        </is>
      </c>
      <c r="AO1853" t="inlineStr">
        <is>
          <t>THE BOULEVARD, LANGFORD LANE, KIDLINGTON, OXFORD OX5 1GB, ENGLAND</t>
        </is>
      </c>
      <c r="AP1853" t="inlineStr">
        <is>
          <t>0160-4120</t>
        </is>
      </c>
      <c r="AQ1853" t="inlineStr">
        <is>
          <t>1873-6750</t>
        </is>
      </c>
      <c r="AS1853" t="inlineStr">
        <is>
          <t>ENVIRON INT</t>
        </is>
      </c>
      <c r="AT1853" t="inlineStr">
        <is>
          <t>Environ. Int.</t>
        </is>
      </c>
      <c r="AU1853" t="inlineStr">
        <is>
          <t>AUG</t>
        </is>
      </c>
      <c r="AV1853" t="n">
        <v>2023</v>
      </c>
      <c r="AW1853" t="n">
        <v>178</v>
      </c>
      <c r="BE1853" t="n">
        <v>108127</v>
      </c>
      <c r="BF1853" t="inlineStr">
        <is>
          <t>10.1016/j.envint.2023.108127</t>
        </is>
      </c>
      <c r="BG1853">
        <f>HYPERLINK("http://dx.doi.org/10.1016/j.envint.2023.108127","http://dx.doi.org/10.1016/j.envint.2023.108127")</f>
        <v/>
      </c>
      <c r="BJ1853" t="n">
        <v>11</v>
      </c>
      <c r="BK1853" t="inlineStr">
        <is>
          <t>Environmental Sciences</t>
        </is>
      </c>
      <c r="BL1853" t="inlineStr">
        <is>
          <t>Science Citation Index Expanded (SCI-EXPANDED)</t>
        </is>
      </c>
      <c r="BM1853" t="inlineStr">
        <is>
          <t>Environmental Sciences &amp; Ecology</t>
        </is>
      </c>
      <c r="BN1853" t="inlineStr">
        <is>
          <t>Q1BP1</t>
        </is>
      </c>
      <c r="BO1853" t="n">
        <v>37544267</v>
      </c>
      <c r="BP1853" t="inlineStr">
        <is>
          <t>gold</t>
        </is>
      </c>
      <c r="BS1853" t="inlineStr">
        <is>
          <t>2023-10-26</t>
        </is>
      </c>
      <c r="BT1853" t="inlineStr">
        <is>
          <t>WOS:001054940900001</t>
        </is>
      </c>
      <c r="BU1853">
        <f>HYPERLINK("https%3A%2F%2Fwww.webofscience.com%2Fwos%2Fwoscc%2Ffull-record%2FWOS:001054940900001","View Full Record in Web of Science")</f>
        <v/>
      </c>
    </row>
    <row r="1854">
      <c r="A1854" t="inlineStr">
        <is>
          <t>J</t>
        </is>
      </c>
      <c r="B1854" t="inlineStr">
        <is>
          <t>Lei, JY; Wang, PP; Wang, HL; Wang, Y; Sun, L; Hu, B; Wang, SF; Zhang, DM; Chen, GM; Liang, CM; Tao, FB; Yang, LS; Wu, QS</t>
        </is>
      </c>
      <c r="F1854" t="inlineStr">
        <is>
          <t>Lei, Jing-Yuan; Wang, Pan-Pan; Wang, Hong-Li; Wang, Yuan; Sun, Liang; Hu, Bing; Wang, Su-Fang; Zhang, Dong-Mei; Chen, Gui-Mei; Liang, Chun-Mei; Tao, Fang-Biao; Yang, Lin-Sheng; Wu, Qing-Si</t>
        </is>
      </c>
      <c r="J1854" t="inlineStr">
        <is>
          <t>ENVIRONMENTAL SCIENCE AND POLLUTION RESEARCH</t>
        </is>
      </c>
      <c r="M1854" t="inlineStr">
        <is>
          <t>English</t>
        </is>
      </c>
      <c r="N1854" t="inlineStr">
        <is>
          <t>Article; Early Access</t>
        </is>
      </c>
      <c r="T1854" t="inlineStr">
        <is>
          <t>The associations of non-essential metal mixture with fasting plasma glucose among Chinese older adults without diabetes</t>
        </is>
      </c>
      <c r="U1854" t="inlineStr">
        <is>
          <t>Metals; Mixture; Fasting plasma glucose; Diabetes mellitus; Older adults; Bayesian kernel machine regression</t>
        </is>
      </c>
      <c r="V1854" t="inlineStr">
        <is>
          <t>LOW-LEVEL CADMIUM; OXIDATIVE STRESS; LIPID-PEROXIDATION; BIOCHEMICAL PARAMETERS; ENZYME-ACTIVITIES; CHRONIC EXPOSURE; CESIUM-CHLORIDE; THALLIUM; RISK; ALUMINUM</t>
        </is>
      </c>
      <c r="W1854" t="inlineStr">
        <is>
          <t>The evidence about the effect of non-essential metal mixture on fasting plasma glucose (FPG) levels among older adults without diabetes is limited. This study aims to estimate the individual and joint relationship between five non-essential metals and FPG levels in Chinese older adults without diabetes. This study included 2362 older adults without diabetes. Urinary concentrations of five non-essential metals, i.e., cesium (Cs), aluminum (Al), thallium (Tl), cadmium (Cd), and arsenic (As), were detected by inductively coupled plasma mass spectrometry (ICP-MS). The associations of single metals and the metal mixture with FPG levels were assessed using linear regression and Bayesian kernel machine regression (BKMR) models, respectively. Adjusted single-metal linear regression models showed positive associations of urinary Al (beta = 0.016, 95%CI: 0.001-0.030) and Cs (beta = 0.018, 95%CI: 0.006-0.031) with FPG levels. When comparing the 2th, 3th, and 4th quartiles of urine Cs to its 1th quartile, the significant associations between Cs and FPG levels were found and presented as an inverted U trend (beta(Q2 vs. Q1): 0.034; beta(Q3 vs. Q1):0.054; beta(Q4 vs. Q1): 0.040; all P&lt;0.05). BKMR analyses showed urinary level of Cs exhibited an inverted U shape association with FPG levels. Moreover, the FPG levels increased linearly with the raised levels of the non-essential metal mixture, and the posterior inclusion probability (PIP) of Cs was the highest (0.92). Potential positive interaction of As and Cs on FPG levels was found in BKMR model. Stratified analysis displayed significant interactions of hyperlipidemia and urine Cs or Tl on FPG levels. An inverse U-shaped association between Cs and FPG was found, individually and as mixture. The FPG levels increased with the raised levels of the non-essential metal mixture, and Cs was the most contributor to FPG levels. Further research is required to confirm the correlation between non-essential metals and FPG levels and to clarify the underlying mechanisms.</t>
        </is>
      </c>
      <c r="X1854" t="inlineStr">
        <is>
          <t>[Lei, Jing-Yuan; Wang, Pan-Pan; Liang, Chun-Mei] Anhui Med Univ, Sch Publ Hlth, Dept Hyg Inspect &amp; Quarantine, Hefei 230032, Anhui, Peoples R China; [Wang, Hong-Li; Wang, Yuan; Yang, Lin-Sheng] Anhui Med Univ, Sch Publ Hlth, Dept Epidemiol &amp; Hlth Stat, Hefei 230032, Anhui, Peoples R China; [Sun, Liang; Hu, Bing] Fuyang Ctr Dis Prevent &amp; Control, Fuyang 236069, Anhui, Peoples R China; [Wang, Su-Fang] Anhui Med Univ, Sch Publ Hlth, Dept Nutr &amp; Food Hyg, Hefei 230032, Anhui, Peoples R China; [Zhang, Dong-Mei; Chen, Gui-Mei] Anhui Med Univ, Sch Hlth Serv Management, Hefei 230032, Anhui, Peoples R China; [Tao, Fang-Biao] Anhui Med Univ, MOE Key Lab Populat Hlth Life Cycle, 81 Meishan Rd, Hefei 230032, Anhui, Peoples R China; [Wu, Qing-Si] Anhui Med Univ, Affiliated Hosp 2, Dept Blood Transfus, Hefei 230601, Anhui, Peoples R China</t>
        </is>
      </c>
      <c r="Y1854" t="inlineStr">
        <is>
          <t>Anhui Medical University; Anhui Medical University; Anhui Medical University; Anhui Medical University; Anhui Medical University; Anhui Medical University</t>
        </is>
      </c>
      <c r="Z1854" t="inlineStr">
        <is>
          <t>Wu, QS (corresponding author), Anhui Med Univ, Affiliated Hosp 2, Dept Blood Transfus, Hefei 230601, Anhui, Peoples R China.</t>
        </is>
      </c>
      <c r="AA1854" t="inlineStr">
        <is>
          <t>wuqingsi@ahmu.edu.cn</t>
        </is>
      </c>
      <c r="AD1854" t="inlineStr">
        <is>
          <t>National Key R&amp;D Program of China [2016YFC1305900]; Major Projects on College Leading Talent Team Introduced of Anhui [0303011224]; Key Scientific Research Fund of Anhui Provincial Education Department [KJ2017A189]; Grants for Scientific Research of BSKY from Anhui Medical University [Xj201525]; Anhui Natural Science Foundation [1808085QH252]; Scientific Research Projects for Anhui universities [2022AH050669]</t>
        </is>
      </c>
      <c r="AE1854" t="inlineStr">
        <is>
          <t>National Key R&amp;D Program of China; Major Projects on College Leading Talent Team Introduced of Anhui; Key Scientific Research Fund of Anhui Provincial Education Department; Grants for Scientific Research of BSKY from Anhui Medical University; Anhui Natural Science Foundation(Natural Science Foundation of Anhui Province); Scientific Research Projects for Anhui universities</t>
        </is>
      </c>
      <c r="AF1854" t="inlineStr">
        <is>
          <t>This study was funded by the National Key R&amp;D Program of China [grant number 2016YFC1305900], Major Projects on College Leading Talent Team Introduced of Anhui [grant number 0303011224], the Key Scientific Research Fund of Anhui Provincial Education Department [grant number KJ2017A189], Grants for Scientific Research of BSKY from Anhui Medical University [grant number Xj201525], Anhui Natural Science Foundation [grant number 1808085QH252], and Scientific Research Projects for Anhui universities [grant number 2022AH050669].</t>
        </is>
      </c>
      <c r="AH1854" t="n">
        <v>77</v>
      </c>
      <c r="AI1854" t="n">
        <v>0</v>
      </c>
      <c r="AJ1854" t="n">
        <v>0</v>
      </c>
      <c r="AK1854" t="n">
        <v>3</v>
      </c>
      <c r="AL1854" t="n">
        <v>3</v>
      </c>
      <c r="AM1854" t="inlineStr">
        <is>
          <t>SPRINGER HEIDELBERG</t>
        </is>
      </c>
      <c r="AN1854" t="inlineStr">
        <is>
          <t>HEIDELBERG</t>
        </is>
      </c>
      <c r="AO1854" t="inlineStr">
        <is>
          <t>TIERGARTENSTRASSE 17, D-69121 HEIDELBERG, GERMANY</t>
        </is>
      </c>
      <c r="AP1854" t="inlineStr">
        <is>
          <t>0944-1344</t>
        </is>
      </c>
      <c r="AQ1854" t="inlineStr">
        <is>
          <t>1614-7499</t>
        </is>
      </c>
      <c r="AS1854" t="inlineStr">
        <is>
          <t>ENVIRON SCI POLLUT R</t>
        </is>
      </c>
      <c r="AT1854" t="inlineStr">
        <is>
          <t>Environ. Sci. Pollut. Res.</t>
        </is>
      </c>
      <c r="AU1854" t="inlineStr">
        <is>
          <t>2023 AUG 28</t>
        </is>
      </c>
      <c r="AV1854" t="n">
        <v>2023</v>
      </c>
      <c r="BF1854" t="inlineStr">
        <is>
          <t>10.1007/s11356-023-29503-8</t>
        </is>
      </c>
      <c r="BG1854">
        <f>HYPERLINK("http://dx.doi.org/10.1007/s11356-023-29503-8","http://dx.doi.org/10.1007/s11356-023-29503-8")</f>
        <v/>
      </c>
      <c r="BI1854" t="inlineStr">
        <is>
          <t>AUG 2023</t>
        </is>
      </c>
      <c r="BJ1854" t="n">
        <v>13</v>
      </c>
      <c r="BK1854" t="inlineStr">
        <is>
          <t>Environmental Sciences</t>
        </is>
      </c>
      <c r="BL1854" t="inlineStr">
        <is>
          <t>Science Citation Index Expanded (SCI-EXPANDED)</t>
        </is>
      </c>
      <c r="BM1854" t="inlineStr">
        <is>
          <t>Environmental Sciences &amp; Ecology</t>
        </is>
      </c>
      <c r="BN1854" t="inlineStr">
        <is>
          <t>R3ZW7</t>
        </is>
      </c>
      <c r="BO1854" t="n">
        <v>37639099</v>
      </c>
      <c r="BS1854" t="inlineStr">
        <is>
          <t>2023-10-26</t>
        </is>
      </c>
      <c r="BT1854" t="inlineStr">
        <is>
          <t>WOS:001063775400010</t>
        </is>
      </c>
      <c r="BU1854">
        <f>HYPERLINK("https%3A%2F%2Fwww.webofscience.com%2Fwos%2Fwoscc%2Ffull-record%2FWOS:001063775400010","View Full Record in Web of Science")</f>
        <v/>
      </c>
    </row>
    <row r="1855">
      <c r="A1855" t="inlineStr">
        <is>
          <t>J</t>
        </is>
      </c>
      <c r="B1855" t="inlineStr">
        <is>
          <t>Sektani, HHJ; Khayat, M; Mohammadi, M; Roders, AP</t>
        </is>
      </c>
      <c r="F1855" t="inlineStr">
        <is>
          <t>Sektani, Hawar Himdad J.; Khayat, Mahmood; Mohammadi, Masi; Roders, Ana Pereira</t>
        </is>
      </c>
      <c r="J1855" t="inlineStr">
        <is>
          <t>SUSTAINABILITY</t>
        </is>
      </c>
      <c r="M1855" t="inlineStr">
        <is>
          <t>English</t>
        </is>
      </c>
      <c r="N1855" t="inlineStr">
        <is>
          <t>Article</t>
        </is>
      </c>
      <c r="T1855" t="inlineStr">
        <is>
          <t>Erbil City Built Heritage and Wellbeing: An Assessment of Local Perceptions Using the Semantic Differential Scale</t>
        </is>
      </c>
      <c r="U1855" t="inlineStr">
        <is>
          <t>Erbil city; built heritage; buffer-zone; local community; perception assessment; individual wellbeing; semantic differential scale</t>
        </is>
      </c>
      <c r="V1855" t="inlineStr">
        <is>
          <t>AFFECTIVE APPRAISALS; RESIDENTIAL AREAS; VISUAL PROPERTIES; ENVIRONMENT; PLACE; IDENTITY; HEALTH</t>
        </is>
      </c>
      <c r="W1855" t="inlineStr">
        <is>
          <t>Community perceptions and experiences of built heritage are essential in understanding the built heritage and effect in individual and community wellbeing. Subsequently, local perceptions of built heritage directly influence the conservation and heritage-led interventions. This study investigated local perceptions of built heritage in Erbil by assessing responses of 414 participants using a questionnaire survey aiming to identify how built heritage is perceived by the various group samples, exploring local perceptions' (in)consistencies. Significant differences were found between architects' and non-architects' perceptions and related wellbeing. As the groups attribute different values, the results suggest that heritage buildings do not contribute to the wellbeing of non-architects as much as to architects. A contradicting result was found between modern and heritage buildings. This study contributes to the notion of human-centrality of the built environment by assessing local perceptions of built heritage, that, when implemented in urban planning and heritage management, can contribute to the city's socio-cultural sustainable development.</t>
        </is>
      </c>
      <c r="X1855" t="inlineStr">
        <is>
          <t>[Sektani, Hawar Himdad J.; Khayat, Mahmood] Salahaddin Univ, Architectural Engn Dept, Erbil 44001, Iraq; [Mohammadi, Masi] Eindhoven Univ Technol, Dept Built Environm, NL-5612 Eindhoven, Netherlands; [Roders, Ana Pereira] Delft Univ Technol, Dept Architectural Engn &amp; Technol, NL-2628 Delft, Netherlands</t>
        </is>
      </c>
      <c r="Y1855" t="inlineStr">
        <is>
          <t>Salahaddin University; Eindhoven University of Technology; Delft University of Technology</t>
        </is>
      </c>
      <c r="Z1855" t="inlineStr">
        <is>
          <t>Sektani, HHJ (corresponding author), Salahaddin Univ, Architectural Engn Dept, Erbil 44001, Iraq.</t>
        </is>
      </c>
      <c r="AA1855" t="inlineStr">
        <is>
          <t>hawar.jamal@su.edu.krd; mahmood.khayat@su.edu.krd; m.mohammadi@tue.nl; a.r.pereira-roders@tudelft.nl</t>
        </is>
      </c>
      <c r="AB1855" t="inlineStr">
        <is>
          <t>; Pereira Roders, Ana/G-3836-2012</t>
        </is>
      </c>
      <c r="AC1855" t="inlineStr">
        <is>
          <t>Sektani, Hawar Himdad J./0000-0002-1922-3007; Pereira Roders, Ana/0000-0003-2571-9882; KHAYAT, MAHMOOD/0000-0003-3074-365X</t>
        </is>
      </c>
      <c r="AH1855" t="n">
        <v>75</v>
      </c>
      <c r="AI1855" t="n">
        <v>1</v>
      </c>
      <c r="AJ1855" t="n">
        <v>1</v>
      </c>
      <c r="AK1855" t="n">
        <v>7</v>
      </c>
      <c r="AL1855" t="n">
        <v>14</v>
      </c>
      <c r="AM1855" t="inlineStr">
        <is>
          <t>MDPI</t>
        </is>
      </c>
      <c r="AN1855" t="inlineStr">
        <is>
          <t>BASEL</t>
        </is>
      </c>
      <c r="AO1855" t="inlineStr">
        <is>
          <t>ST ALBAN-ANLAGE 66, CH-4052 BASEL, SWITZERLAND</t>
        </is>
      </c>
      <c r="AQ1855" t="inlineStr">
        <is>
          <t>2071-1050</t>
        </is>
      </c>
      <c r="AS1855" t="inlineStr">
        <is>
          <t>SUSTAINABILITY-BASEL</t>
        </is>
      </c>
      <c r="AT1855" t="inlineStr">
        <is>
          <t>Sustainability</t>
        </is>
      </c>
      <c r="AU1855" t="inlineStr">
        <is>
          <t>APR</t>
        </is>
      </c>
      <c r="AV1855" t="n">
        <v>2021</v>
      </c>
      <c r="AW1855" t="n">
        <v>13</v>
      </c>
      <c r="AX1855" t="n">
        <v>7</v>
      </c>
      <c r="BE1855" t="n">
        <v>3763</v>
      </c>
      <c r="BF1855" t="inlineStr">
        <is>
          <t>10.3390/su13073763</t>
        </is>
      </c>
      <c r="BG1855">
        <f>HYPERLINK("http://dx.doi.org/10.3390/su13073763","http://dx.doi.org/10.3390/su13073763")</f>
        <v/>
      </c>
      <c r="BJ1855" t="n">
        <v>19</v>
      </c>
      <c r="BK1855" t="inlineStr">
        <is>
          <t>Green &amp; Sustainable Science &amp; Technology; Environmental Sciences; Environmental Studies</t>
        </is>
      </c>
      <c r="BL1855" t="inlineStr">
        <is>
          <t>Science Citation Index Expanded (SCI-EXPANDED); Social Science Citation Index (SSCI)</t>
        </is>
      </c>
      <c r="BM1855" t="inlineStr">
        <is>
          <t>Science &amp; Technology - Other Topics; Environmental Sciences &amp; Ecology</t>
        </is>
      </c>
      <c r="BN1855" t="inlineStr">
        <is>
          <t>RL3ZD</t>
        </is>
      </c>
      <c r="BP1855" t="inlineStr">
        <is>
          <t>Green Published, gold</t>
        </is>
      </c>
      <c r="BS1855" t="inlineStr">
        <is>
          <t>2023-10-26</t>
        </is>
      </c>
      <c r="BT1855" t="inlineStr">
        <is>
          <t>WOS:000638914800001</t>
        </is>
      </c>
      <c r="BU1855">
        <f>HYPERLINK("https%3A%2F%2Fwww.webofscience.com%2Fwos%2Fwoscc%2Ffull-record%2FWOS:000638914800001","View Full Record in Web of Science")</f>
        <v/>
      </c>
    </row>
    <row r="1856">
      <c r="A1856" t="inlineStr">
        <is>
          <t>J</t>
        </is>
      </c>
      <c r="B1856" t="inlineStr">
        <is>
          <t>Ran, JD; Xiong, K; Dou, M; Zhong, HZ; Feng, Y; Tang, MF; Yang, ZJ</t>
        </is>
      </c>
      <c r="F1856" t="inlineStr">
        <is>
          <t>Ran, Jiandong; Xiong, Ke; Dou, Mei; Zhong, Huizhi; Feng, Ya; Tang, Mingfang; Yang, Zhenjing</t>
        </is>
      </c>
      <c r="J1856" t="inlineStr">
        <is>
          <t>ATMOSPHERE</t>
        </is>
      </c>
      <c r="M1856" t="inlineStr">
        <is>
          <t>English</t>
        </is>
      </c>
      <c r="N1856" t="inlineStr">
        <is>
          <t>Article</t>
        </is>
      </c>
      <c r="T1856" t="inlineStr">
        <is>
          <t>Effect of Window Openable Area and Shading on Indoor Thermal Comfort and Energy Efficiency in Residential Buildings with Various Operating Modes</t>
        </is>
      </c>
      <c r="U1856" t="inlineStr">
        <is>
          <t>window openable area; natural ventilation; shading; mixed-mode; energy-saving; indoor thermal comfort</t>
        </is>
      </c>
      <c r="V1856" t="inlineStr">
        <is>
          <t>TO-WALL RATIO; OFFICE BUILDINGS; OPTIMIZATION; PERFORMANCE; VENTILATION; CLIMATES</t>
        </is>
      </c>
      <c r="W1856" t="inlineStr">
        <is>
          <t>Solar heat gain and natural ventilation cooling of the indoor environment in buildings are highly influenced by the shading and openable area of windows. In addition to the ambient condition, the Heating, ventilation and air conditioning (HVAC) system's mode of use can affect the windows' performance, especially when multiple modes are used in combination (mixed-mode). Although many studies have investigated the mixed-mode application, their conditions for starting/shutting down HVAC equipment and controlling window ventilation are inconsistent with the relevant codes. Here, we propose a mixed-mode operation that resolves the gap between the air conditioning operation temperature and the adaptive comfort upper temperature. It investigates residential buildings' indoor thermal environment and energy efficiency by combining the effective ventilation opening area ratio (R-EV) and shading design. Simulation results show that our mixed-mode can reduce the indoor overheating hours by about 50% and the building's energy consumption by about 50%. We thereby conclude that the openable area of exterior windows in residential buildings in Chongqing should not be less than 10% of the room's floor axis area where the exterior windows are located. In general, our study expands the existing knowledge of passive energy-saving measures and provides a method for further research on building energy design in hot summer and cold winter regions.</t>
        </is>
      </c>
      <c r="X1856" t="inlineStr">
        <is>
          <t>[Ran, Jiandong; Xiong, Ke; Feng, Ya; Tang, Mingfang; Yang, Zhenjing] Chongqing Univ, Sch Architecture &amp; Urban Planning, Chongqing 400044, Peoples R China; [Dou, Mei; Zhong, Huizhi; Feng, Ya] China Southwest Architectural Design &amp; Res Inst Co, Chengdu 610051, Peoples R China; [Feng, Ya; Tang, Mingfang; Yang, Zhenjing] Chen Qigao Bldg Sci &amp; Technol Res Ctr, Chongqing 400044, Peoples R China</t>
        </is>
      </c>
      <c r="Y1856" t="inlineStr">
        <is>
          <t>Chongqing University</t>
        </is>
      </c>
      <c r="Z1856" t="inlineStr">
        <is>
          <t>Yang, ZJ (corresponding author), Chongqing Univ, Sch Architecture &amp; Urban Planning, Chongqing 400044, Peoples R China.;Yang, ZJ (corresponding author), Chen Qigao Bldg Sci &amp; Technol Res Ctr, Chongqing 400044, Peoples R China.</t>
        </is>
      </c>
      <c r="AA1856" t="inlineStr">
        <is>
          <t>youngzj@cqu.edu.cn</t>
        </is>
      </c>
      <c r="AB1856" t="inlineStr">
        <is>
          <t>DOU, MEI/IQV-4002-2023</t>
        </is>
      </c>
      <c r="AH1856" t="n">
        <v>41</v>
      </c>
      <c r="AI1856" t="n">
        <v>0</v>
      </c>
      <c r="AJ1856" t="n">
        <v>0</v>
      </c>
      <c r="AK1856" t="n">
        <v>11</v>
      </c>
      <c r="AL1856" t="n">
        <v>14</v>
      </c>
      <c r="AM1856" t="inlineStr">
        <is>
          <t>MDPI</t>
        </is>
      </c>
      <c r="AN1856" t="inlineStr">
        <is>
          <t>BASEL</t>
        </is>
      </c>
      <c r="AO1856" t="inlineStr">
        <is>
          <t>ST ALBAN-ANLAGE 66, CH-4052 BASEL, SWITZERLAND</t>
        </is>
      </c>
      <c r="AQ1856" t="inlineStr">
        <is>
          <t>2073-4433</t>
        </is>
      </c>
      <c r="AS1856" t="inlineStr">
        <is>
          <t>ATMOSPHERE-BASEL</t>
        </is>
      </c>
      <c r="AT1856" t="inlineStr">
        <is>
          <t>Atmosphere</t>
        </is>
      </c>
      <c r="AU1856" t="inlineStr">
        <is>
          <t>DEC</t>
        </is>
      </c>
      <c r="AV1856" t="n">
        <v>2022</v>
      </c>
      <c r="AW1856" t="n">
        <v>13</v>
      </c>
      <c r="AX1856" t="n">
        <v>12</v>
      </c>
      <c r="BE1856" t="n">
        <v>2020</v>
      </c>
      <c r="BF1856" t="inlineStr">
        <is>
          <t>10.3390/atmos13122020</t>
        </is>
      </c>
      <c r="BG1856">
        <f>HYPERLINK("http://dx.doi.org/10.3390/atmos13122020","http://dx.doi.org/10.3390/atmos13122020")</f>
        <v/>
      </c>
      <c r="BJ1856" t="n">
        <v>14</v>
      </c>
      <c r="BK1856" t="inlineStr">
        <is>
          <t>Environmental Sciences; Meteorology &amp; Atmospheric Sciences</t>
        </is>
      </c>
      <c r="BL1856" t="inlineStr">
        <is>
          <t>Science Citation Index Expanded (SCI-EXPANDED)</t>
        </is>
      </c>
      <c r="BM1856" t="inlineStr">
        <is>
          <t>Environmental Sciences &amp; Ecology; Meteorology &amp; Atmospheric Sciences</t>
        </is>
      </c>
      <c r="BN1856" t="inlineStr">
        <is>
          <t>7D2PQ</t>
        </is>
      </c>
      <c r="BP1856" t="inlineStr">
        <is>
          <t>gold</t>
        </is>
      </c>
      <c r="BS1856" t="inlineStr">
        <is>
          <t>2023-10-26</t>
        </is>
      </c>
      <c r="BT1856" t="inlineStr">
        <is>
          <t>WOS:000900339400001</t>
        </is>
      </c>
      <c r="BU1856">
        <f>HYPERLINK("https%3A%2F%2Fwww.webofscience.com%2Fwos%2Fwoscc%2Ffull-record%2FWOS:000900339400001","View Full Record in Web of Science")</f>
        <v/>
      </c>
    </row>
    <row r="1857">
      <c r="A1857" t="inlineStr">
        <is>
          <t>J</t>
        </is>
      </c>
      <c r="B1857" t="inlineStr">
        <is>
          <t>Meisenberg, O; Mishra, R; Joshi, M; Gierl, S; Rout, R; Guo, L; Agarwal, T; Kanse, S; Irlinger, J; Sapra, BK; Tschiersch, J</t>
        </is>
      </c>
      <c r="F1857" t="inlineStr">
        <is>
          <t>Meisenberg, Oliver; Mishra, Rosaline; Joshi, Manish; Gierl, Stefanie; Rout, Rajeswari; Guo, Lu; Agarwal, Tarun; Kanse, Sandeep; Irlinger, Josef; Sapra, Balvinder K.; Tschiersch, Jochen</t>
        </is>
      </c>
      <c r="J1857" t="inlineStr">
        <is>
          <t>SCIENCE OF THE TOTAL ENVIRONMENT</t>
        </is>
      </c>
      <c r="M1857" t="inlineStr">
        <is>
          <t>English</t>
        </is>
      </c>
      <c r="N1857" t="inlineStr">
        <is>
          <t>Article</t>
        </is>
      </c>
      <c r="T1857" t="inlineStr">
        <is>
          <t>Radon and thoron inhalation doses in dwellings with earthen architecture: Comparison of measurement methods</t>
        </is>
      </c>
      <c r="U1857" t="inlineStr">
        <is>
          <t>Indoor exposure; Clay dwelling; Measurement method; Radon; Thoron; Inhalation dose assessment</t>
        </is>
      </c>
      <c r="V1857" t="inlineStr">
        <is>
          <t>BACKGROUND-RADIATION AREA; DECAY PRODUCTS; PROGENY; ENVIRONMENT; EXPOSURES; MEMBERS; RN-220; ODISHA; CHINA; GANSU</t>
        </is>
      </c>
      <c r="W1857" t="inlineStr">
        <is>
          <t>The radioactive noble gas radon (Rn-222) and its decay products have been considered a health risk in the indoor environment for many years because of their contribution to the radiation dose of the lungs. The radioisotope thoron (Rn-220) and its decay products came into focus of being a health risk only recently. The reason for this is its short half-life, so only building material can become a significant source for indoor thoron. In this study, dwellings with earthen architecture were investigated with different independent measurement techniques in order to determine appropriate methods for reliable dose assessment of the dwellers. While for radon dose assessment, radon gas measurement and the assumption of a common indoor equilibrium factor often are sufficient, thoron gas has proven to be an unreliable surrogate for a direct measurement of thoron decay products. Active/time-resolved but also passive/integrating measurements of the total concentration of thoron decay products demonstrated being precise and efficient methods for determining the exposure and inhalation dose from thoron and its decay products. Exhalation rate measurements are a useful method for a rough dose estimate only if the exhalation rate is homogeneous throughout the house. Before the construction of a building in-vitro exhalation rate measurements on the building material can yield information about the exposure that is to be expected. Determining the unattached fraction of radon decay products and even more of thoron decay products leads to only a slightly better precision; this confirms the relative unimportance of the unattached thoron decay products due to their low concentration. The results of this study thereby give advice on the proper measurement method in similar exposure situations. (C) 2016 Elsevier B.V. All rights reserved.</t>
        </is>
      </c>
      <c r="X1857" t="inlineStr">
        <is>
          <t>[Meisenberg, Oliver; Gierl, Stefanie; Guo, Lu; Irlinger, Josef; Tschiersch, Jochen] Helmholtz Zentrum Munchen, German Res Ctr Environm Hlth, Inst Radiat Protect, Ingolstadter Landstr 1, D-85764 Neuherberg, Germany; [Mishra, Rosaline; Joshi, Manish; Rout, Rajeswari; Agarwal, Tarun; Kanse, Sandeep; Sapra, Balvinder K.] Bhabha Atom Res Ctr, Radiol Phys &amp; Advisory Div, Mumbai 400085, Maharashtra, India; [Meisenberg, Oliver] Bundesamt Strahlenschutz, Ingolstadter Landstr 1, D-85764 Neuherberg, Germany; [Guo, Lu] Peking Univ, State Key Lab Nucl Phys &amp; Technol, Beijing, Peoples R China; [Irlinger, Josef] ENVINET GmbH, D-85540 Haar, Germany</t>
        </is>
      </c>
      <c r="Y1857" t="inlineStr">
        <is>
          <t>Helmholtz Association; Helmholtz-Center Munich - German Research Center for Environmental Health; Bhabha Atomic Research Center (BARC); Peking University</t>
        </is>
      </c>
      <c r="Z1857" t="inlineStr">
        <is>
          <t>Tschiersch, J (corresponding author), Helmholtz Zentrum Munchen, German Res Ctr Environm Hlth, Inst Radiat Protect, Ingolstadter Landstr 1, D-85764 Neuherberg, Germany.</t>
        </is>
      </c>
      <c r="AA1857" t="inlineStr">
        <is>
          <t>omeisenberg@bfs.de; rosaline@barc.gov.in; bsapra@barc.gov.in; tschiersch@helmholtz-muenchen.de</t>
        </is>
      </c>
      <c r="AB1857" t="inlineStr">
        <is>
          <t>Meisenberg, Oliver/H-2982-2013</t>
        </is>
      </c>
      <c r="AC1857" t="inlineStr">
        <is>
          <t>Meisenberg, Oliver/0000-0002-1577-0898; Sapra, B.K./0000-0002-1666-5635; Kanse, Sandeep/0000-0002-2950-438X; AGARWAL, TARUN KUMAR/0000-0002-1266-0685</t>
        </is>
      </c>
      <c r="AD1857" t="inlineStr">
        <is>
          <t>Federal Ministry of Education and Research (BMBF), Germany [01DQ12032, 02NUK15B]; Bavarian State Ministry of the Environment and Consumer Protection [96f-U8816.06-2009/3-10]</t>
        </is>
      </c>
      <c r="AE1857" t="inlineStr">
        <is>
          <t>Federal Ministry of Education and Research (BMBF), Germany(Federal Ministry of Education &amp; Research (BMBF)); Bavarian State Ministry of the Environment and Consumer Protection</t>
        </is>
      </c>
      <c r="AF1857" t="inlineStr">
        <is>
          <t>The study was supported by the Federal Ministry of Education and Research (BMBF), Germany (contract 01DQ12032 and 02NUK15B) and by the Bavarian State Ministry of the Environment and Consumer Protection (96f-U8816.06-2009/3-10). Its contents are solely the responsibility of the authors.</t>
        </is>
      </c>
      <c r="AH1857" t="n">
        <v>42</v>
      </c>
      <c r="AI1857" t="n">
        <v>32</v>
      </c>
      <c r="AJ1857" t="n">
        <v>33</v>
      </c>
      <c r="AK1857" t="n">
        <v>1</v>
      </c>
      <c r="AL1857" t="n">
        <v>21</v>
      </c>
      <c r="AM1857" t="inlineStr">
        <is>
          <t>ELSEVIER SCIENCE BV</t>
        </is>
      </c>
      <c r="AN1857" t="inlineStr">
        <is>
          <t>AMSTERDAM</t>
        </is>
      </c>
      <c r="AO1857" t="inlineStr">
        <is>
          <t>PO BOX 211, 1000 AE AMSTERDAM, NETHERLANDS</t>
        </is>
      </c>
      <c r="AP1857" t="inlineStr">
        <is>
          <t>0048-9697</t>
        </is>
      </c>
      <c r="AQ1857" t="inlineStr">
        <is>
          <t>1879-1026</t>
        </is>
      </c>
      <c r="AS1857" t="inlineStr">
        <is>
          <t>SCI TOTAL ENVIRON</t>
        </is>
      </c>
      <c r="AT1857" t="inlineStr">
        <is>
          <t>Sci. Total Environ.</t>
        </is>
      </c>
      <c r="AU1857" t="inlineStr">
        <is>
          <t>FEB 1</t>
        </is>
      </c>
      <c r="AV1857" t="n">
        <v>2017</v>
      </c>
      <c r="AW1857" t="n">
        <v>579</v>
      </c>
      <c r="BC1857" t="n">
        <v>1855</v>
      </c>
      <c r="BD1857" t="n">
        <v>1862</v>
      </c>
      <c r="BF1857" t="inlineStr">
        <is>
          <t>10.1016/j.scitotenv.2016.11.170</t>
        </is>
      </c>
      <c r="BG1857">
        <f>HYPERLINK("http://dx.doi.org/10.1016/j.scitotenv.2016.11.170","http://dx.doi.org/10.1016/j.scitotenv.2016.11.170")</f>
        <v/>
      </c>
      <c r="BJ1857" t="n">
        <v>8</v>
      </c>
      <c r="BK1857" t="inlineStr">
        <is>
          <t>Environmental Sciences</t>
        </is>
      </c>
      <c r="BL1857" t="inlineStr">
        <is>
          <t>Science Citation Index Expanded (SCI-EXPANDED)</t>
        </is>
      </c>
      <c r="BM1857" t="inlineStr">
        <is>
          <t>Environmental Sciences &amp; Ecology</t>
        </is>
      </c>
      <c r="BN1857" t="inlineStr">
        <is>
          <t>EJ6HP</t>
        </is>
      </c>
      <c r="BO1857" t="n">
        <v>27939079</v>
      </c>
      <c r="BS1857" t="inlineStr">
        <is>
          <t>2023-10-26</t>
        </is>
      </c>
      <c r="BT1857" t="inlineStr">
        <is>
          <t>WOS:000393320400085</t>
        </is>
      </c>
      <c r="BU1857">
        <f>HYPERLINK("https%3A%2F%2Fwww.webofscience.com%2Fwos%2Fwoscc%2Ffull-record%2FWOS:000393320400085","View Full Record in Web of Science")</f>
        <v/>
      </c>
    </row>
    <row r="1858">
      <c r="A1858" t="inlineStr">
        <is>
          <t>J</t>
        </is>
      </c>
      <c r="B1858" t="inlineStr">
        <is>
          <t>Olawumi, TO; Chan, DWM; Saka, AB; Ekundayo, D; Odeh, AO</t>
        </is>
      </c>
      <c r="F1858" t="inlineStr">
        <is>
          <t>Olawumi, Timothy O.; Chan, Daniel W. M.; Saka, Abdullahi B.; Ekundayo, Damilola; Odeh, Acheme Okolobia</t>
        </is>
      </c>
      <c r="J1858" t="inlineStr">
        <is>
          <t>JOURNAL OF CLEANER PRODUCTION</t>
        </is>
      </c>
      <c r="M1858" t="inlineStr">
        <is>
          <t>English</t>
        </is>
      </c>
      <c r="N1858" t="inlineStr">
        <is>
          <t>Article</t>
        </is>
      </c>
      <c r="T1858" t="inlineStr">
        <is>
          <t>Are there any gains in green-tech adoption? Unearthing the beneficial outcomes of smart-sustainable practices in Nigeria and Hong Kong built environment</t>
        </is>
      </c>
      <c r="U1858" t="inlineStr">
        <is>
          <t>Benefits; BIM; Built environment; Fuzzy synthetic evaluation; Sustainable practices</t>
        </is>
      </c>
      <c r="V1858" t="inlineStr">
        <is>
          <t>CRITICAL SUCCESS FACTORS; CONSTRUCTION PROJECTS; BIM; PROCUREMENT; TECHNOLOGY; MANAGEMENT; BUILDINGS; CLIENTS; DESIGN; IMPACT</t>
        </is>
      </c>
      <c r="W1858" t="inlineStr">
        <is>
          <t>Implementing smart-sustainable practices (SSP) is crucial to achieving environmentally-friendly buildings and cities. Adequate awareness and understanding of its benefits and impacts are essential for maximizing its implementation. Hence, this study explores and establishes the key SSP benefits in the built environment of Hong Kong and Nigeria. Factors were identified through literature survey, then data was collected using questionnaires and analysed with various methods. The common key beneficial outcomes (BT) in both contexts relate to better design products with low environmental impact and enhancement of project quality and productivity. Three main clusters were established: sustainable design and resource management, innovation and business perfor-mance, and green initiatives and productivity. Based on the rank agreement analysis, there is high consensus between Hong Kong and Nigeria experts on two clustered BTs of green initiatives and sustainable products (57%) and project productivity and efficiency (100%). It is important to be cautious when applying these findings beyond the specific contexts of Nigeria and Hong Kong. The study findings have provided practical and objective means to predict and assess the probable impacts of SSP implementation while providing clients, contractors, policymakers, and practitioners with pragmatic tools and effective recommendations to promote the delivery of smart, sustainable projects worldwide.</t>
        </is>
      </c>
      <c r="X1858" t="inlineStr">
        <is>
          <t>[Olawumi, Timothy O.] Edinburgh Napier Univ, Sch Comp Engn &amp; Built Environm, Edinburgh, Scotland; [Chan, Daniel W. M.] Hong Kong Polytech Univ, Fac Construct &amp; Environm, Dept Bldg &amp; Real Estate, Kowloon, Hong Kong, Peoples R China; [Saka, Abdullahi B.] Leeds Beckett Univ, Sch Built Environm Engn &amp; Comp, Leeds, England; [Ekundayo, Damilola] Birmingham City Univ, Sch Engn &amp; Built Environm, Birmingham, England; [Odeh, Acheme Okolobia] Bahcesehir Cyprus Univ, Dept Comp Engn, Kyrenia, Cyprus</t>
        </is>
      </c>
      <c r="Y1858" t="inlineStr">
        <is>
          <t>Edinburgh Napier University; Hong Kong Polytechnic University; Leeds Beckett University; Birmingham City University</t>
        </is>
      </c>
      <c r="Z1858" t="inlineStr">
        <is>
          <t>Olawumi, TO (corresponding author), Edinburgh Napier Univ, Sch Comp Engn &amp; Built Environm, Edinburgh, Scotland.</t>
        </is>
      </c>
      <c r="AA1858" t="inlineStr">
        <is>
          <t>t.olawumi@napier.ac.uk; daniel.w.m.chan@polyu.edu.hk; a.saka@leedsbeckett.ac.uk; Damilola.Ekundayo@bcu.ac.uk; acheme.odeh@baucyprus.edu.tr</t>
        </is>
      </c>
      <c r="AB1858" t="inlineStr">
        <is>
          <t>CHAN, Asso Prof Dr Daniel/O-2825-2014; Olawumi, Timothy O./D-9720-2016</t>
        </is>
      </c>
      <c r="AC1858" t="inlineStr">
        <is>
          <t>CHAN, Asso Prof Dr Daniel/0000-0001-8297-3006; Olawumi, Timothy O./0000-0003-3380-4702; Odeh, Acheme/0000-0002-1045-7106; Ekundayo, Damilola/0000-0003-1650-3721</t>
        </is>
      </c>
      <c r="AD1858" t="inlineStr">
        <is>
          <t>Sustainable City Laboratory's research grant; Department of Building and Real Estate of The Hong Kong Polytechnic University, Hong Kong</t>
        </is>
      </c>
      <c r="AE1858" t="inlineStr">
        <is>
          <t>Sustainable City Laboratory's research grant; Department of Building and Real Estate of The Hong Kong Polytechnic University, Hong Kong</t>
        </is>
      </c>
      <c r="AF1858" t="inlineStr">
        <is>
          <t>This project was initially supported by the Sustainable City Laboratory's research grant and afterwards by a full-time PhD research studentship awarded by the Department of Building and Real Estate of The Hong Kong Polytechnic University, Hong Kong. The authors are grateful to the survey respondents who took part in the study.</t>
        </is>
      </c>
      <c r="AH1858" t="n">
        <v>104</v>
      </c>
      <c r="AI1858" t="n">
        <v>2</v>
      </c>
      <c r="AJ1858" t="n">
        <v>2</v>
      </c>
      <c r="AK1858" t="n">
        <v>6</v>
      </c>
      <c r="AL1858" t="n">
        <v>6</v>
      </c>
      <c r="AM1858" t="inlineStr">
        <is>
          <t>ELSEVIER SCI LTD</t>
        </is>
      </c>
      <c r="AN1858" t="inlineStr">
        <is>
          <t>OXFORD</t>
        </is>
      </c>
      <c r="AO1858" t="inlineStr">
        <is>
          <t>THE BOULEVARD, LANGFORD LANE, KIDLINGTON, OXFORD OX5 1GB, OXON, ENGLAND</t>
        </is>
      </c>
      <c r="AP1858" t="inlineStr">
        <is>
          <t>0959-6526</t>
        </is>
      </c>
      <c r="AQ1858" t="inlineStr">
        <is>
          <t>1879-1786</t>
        </is>
      </c>
      <c r="AS1858" t="inlineStr">
        <is>
          <t>J CLEAN PROD</t>
        </is>
      </c>
      <c r="AT1858" t="inlineStr">
        <is>
          <t>J. Clean Prod.</t>
        </is>
      </c>
      <c r="AU1858" t="inlineStr">
        <is>
          <t>JUL 15</t>
        </is>
      </c>
      <c r="AV1858" t="n">
        <v>2023</v>
      </c>
      <c r="AW1858" t="n">
        <v>410</v>
      </c>
      <c r="BE1858" t="n">
        <v>137280</v>
      </c>
      <c r="BF1858" t="inlineStr">
        <is>
          <t>10.1016/j.jclepro.2023.137280</t>
        </is>
      </c>
      <c r="BG1858">
        <f>HYPERLINK("http://dx.doi.org/10.1016/j.jclepro.2023.137280","http://dx.doi.org/10.1016/j.jclepro.2023.137280")</f>
        <v/>
      </c>
      <c r="BI1858" t="inlineStr">
        <is>
          <t>APR 2023</t>
        </is>
      </c>
      <c r="BJ1858" t="n">
        <v>15</v>
      </c>
      <c r="BK1858" t="inlineStr">
        <is>
          <t>Green &amp; Sustainable Science &amp; Technology; Engineering, Environmental; Environmental Sciences</t>
        </is>
      </c>
      <c r="BL1858" t="inlineStr">
        <is>
          <t>Science Citation Index Expanded (SCI-EXPANDED)</t>
        </is>
      </c>
      <c r="BM1858" t="inlineStr">
        <is>
          <t>Science &amp; Technology - Other Topics; Engineering; Environmental Sciences &amp; Ecology</t>
        </is>
      </c>
      <c r="BN1858" t="inlineStr">
        <is>
          <t>G7NQ4</t>
        </is>
      </c>
      <c r="BP1858" t="inlineStr">
        <is>
          <t>Green Accepted, Green Published, hybrid</t>
        </is>
      </c>
      <c r="BS1858" t="inlineStr">
        <is>
          <t>2023-10-26</t>
        </is>
      </c>
      <c r="BT1858" t="inlineStr">
        <is>
          <t>WOS:000990985800001</t>
        </is>
      </c>
      <c r="BU1858">
        <f>HYPERLINK("https%3A%2F%2Fwww.webofscience.com%2Fwos%2Fwoscc%2Ffull-record%2FWOS:000990985800001","View Full Record in Web of Science")</f>
        <v/>
      </c>
    </row>
    <row r="1859">
      <c r="A1859" t="inlineStr">
        <is>
          <t>J</t>
        </is>
      </c>
      <c r="B1859" t="inlineStr">
        <is>
          <t>Aung, TNN; Moolphate, S; Koyanagi, Y; Angkurawaranon, C; Supakankunti, S; Yuasa, M; Aung, MN</t>
        </is>
      </c>
      <c r="F1859" t="inlineStr">
        <is>
          <t>Aung, Thin Nyein Nyein; Moolphate, Saiyud; Koyanagi, Yuka; Angkurawaranon, Chaisiri; Supakankunti, Siripen; Yuasa, Motoyuki; Aung, Myo Nyein</t>
        </is>
      </c>
      <c r="J1859" t="inlineStr">
        <is>
          <t>INTERNATIONAL JOURNAL OF ENVIRONMENTAL RESEARCH AND PUBLIC HEALTH</t>
        </is>
      </c>
      <c r="M1859" t="inlineStr">
        <is>
          <t>English</t>
        </is>
      </c>
      <c r="N1859" t="inlineStr">
        <is>
          <t>Article</t>
        </is>
      </c>
      <c r="T1859" t="inlineStr">
        <is>
          <t>Depression and Associated Factors among Community-Dwelling Thai Older Adults in Northern Thailand: The Relationship between History of Fall and Geriatric Depression</t>
        </is>
      </c>
      <c r="U1859" t="inlineStr">
        <is>
          <t>aging; community-integrated intermediary care (CIIC); geriatric depression; fall; older adult; Thailand</t>
        </is>
      </c>
      <c r="V1859" t="inlineStr">
        <is>
          <t>LIFE DEPRESSION; RISK-FACTORS; PREVALENCE; DISORDERS; CARE</t>
        </is>
      </c>
      <c r="W1859" t="inlineStr">
        <is>
          <t>Background: Globally, population aging is happening more quickly than in the past, and Thailand ranks the world's number three among the rapidly aging countries. Age-related decline in physical and mental health would impact depression among older adults. We aimed to determine the depression among the community-dwelling Thai older adults in Chiang Mai, Thailand. Methods: The baseline data, collected by door-to-door household visits of an intervention arm from a cluster randomized controlled trial (Community-Integrated Intermediary Care (CIIC): TCTR20190412004), were included in this cross-sectional study. Descriptive analysis and binary logistic regression were applied. Results: The mean age was 69.31 +/- 7.10 years and 23.8% of study participants were older than 75 years. The Thai geriatric depression scale showed 6.5% had depression. Adjusted risk factors for depression were older age, being single, drinking alcohol daily, having diabetes, having experience of a fall last year, self-rated health as neutral, poor/very poor, and moderate/severe dependency by ADL scoring. Conclusion: Our findings highlighted the potentially modifiable risk factors in addition to the common predictors affecting depression among community-dwelling older adults. Fall prevention programs and public health interventions to prevent diabetes are recommended. Furthermore, self-rated health and Barthel's ADL scoring would be simple tools to predict risk factors for geriatric depression.</t>
        </is>
      </c>
      <c r="X1859" t="inlineStr">
        <is>
          <t>[Aung, Thin Nyein Nyein; Angkurawaranon, Chaisiri] Chiang Mai Univ, Fac Med, Dept Family Med, Chiang Mai 50200, Thailand; [Aung, Thin Nyein Nyein; Angkurawaranon, Chaisiri] Chiang Mai Univ, Global Hlth &amp; Chron Condit Res Grp, Chiang Mai 50200, Thailand; [Moolphate, Saiyud] Chiang Mai Rajabhat Univ, Fac Sci &amp; Technol, Dept Publ Hlth, Chiang Mai 50300, Thailand; [Koyanagi, Yuka] Tokyo Ariake Univ, Dept Med &amp; Hlth Sci, Tokyo 1350063, Japan; [Supakankunti, Siripen] Chulalongkorn Univ, Fac Econ, Ctr Excellence Hlth Econ, Bangkok 10330, Thailand; [Yuasa, Motoyuki; Aung, Myo Nyein] Juntendo Univ, Grad Sch Med, Dept Global Hlth Res, Tokyo 1138421, Japan; [Yuasa, Motoyuki; Aung, Myo Nyein] Juntendo Univ, Fac Int Liberal Arts, Tokyo 1138421, Japan; [Aung, Myo Nyein] Juntendo Univ, Adv Res Inst Hlth Sci, Tokyo 1138421, Japan</t>
        </is>
      </c>
      <c r="Y1859" t="inlineStr">
        <is>
          <t>Chiang Mai University; Chiang Mai University; Chiang Mai Rajabhat University; Chulalongkorn University; Juntendo University; Juntendo University; Juntendo University</t>
        </is>
      </c>
      <c r="Z1859" t="inlineStr">
        <is>
          <t>Aung, MN (corresponding author), Juntendo Univ, Grad Sch Med, Dept Global Hlth Res, Tokyo 1138421, Japan.;Aung, MN (corresponding author), Juntendo Univ, Fac Int Liberal Arts, Tokyo 1138421, Japan.;Aung, MN (corresponding author), Juntendo Univ, Adv Res Inst Hlth Sci, Tokyo 1138421, Japan.</t>
        </is>
      </c>
      <c r="AA1859" t="inlineStr">
        <is>
          <t>myo@juntendo.ac.jp</t>
        </is>
      </c>
      <c r="AB1859" t="inlineStr">
        <is>
          <t>Angkurawaranon, Chaisiri/I-6140-2015; Aung, TNN/GWQ-3392-2022; Aung, Myo Nyein/M-6285-2015</t>
        </is>
      </c>
      <c r="AC1859" t="inlineStr">
        <is>
          <t>Angkurawaranon, Chaisiri/0000-0003-4206-9164; Aung, TNN/0000-0002-8030-8026; Aung, Myo Nyein/0000-0001-8175-6309; yuasa, motoyuki/0000-0003-2132-7275</t>
        </is>
      </c>
      <c r="AD1859" t="inlineStr">
        <is>
          <t>World Health Organization Centre for Health Development (WHO Kobe Centre WKC) [K18020]; Chiang Mai University (TNNA, CA)</t>
        </is>
      </c>
      <c r="AE1859" t="inlineStr">
        <is>
          <t>World Health Organization Centre for Health Development (WHO Kobe Centre WKC); Chiang Mai University (TNNA, CA)</t>
        </is>
      </c>
      <c r="AF1859" t="inlineStr">
        <is>
          <t>This research was supported by the World Health Organization Centre for Health Development (WHO Kobe Centre-WKC: K18020). This research was partially supported by Chiang Mai University (TNNA, CA).</t>
        </is>
      </c>
      <c r="AH1859" t="n">
        <v>44</v>
      </c>
      <c r="AI1859" t="n">
        <v>6</v>
      </c>
      <c r="AJ1859" t="n">
        <v>6</v>
      </c>
      <c r="AK1859" t="n">
        <v>0</v>
      </c>
      <c r="AL1859" t="n">
        <v>7</v>
      </c>
      <c r="AM1859" t="inlineStr">
        <is>
          <t>MDPI</t>
        </is>
      </c>
      <c r="AN1859" t="inlineStr">
        <is>
          <t>BASEL</t>
        </is>
      </c>
      <c r="AO1859" t="inlineStr">
        <is>
          <t>ST ALBAN-ANLAGE 66, CH-4052 BASEL, SWITZERLAND</t>
        </is>
      </c>
      <c r="AQ1859" t="inlineStr">
        <is>
          <t>1660-4601</t>
        </is>
      </c>
      <c r="AS1859" t="inlineStr">
        <is>
          <t>INT J ENV RES PUB HE</t>
        </is>
      </c>
      <c r="AT1859" t="inlineStr">
        <is>
          <t>Int. J. Environ. Res. Public Health</t>
        </is>
      </c>
      <c r="AU1859" t="inlineStr">
        <is>
          <t>SEP</t>
        </is>
      </c>
      <c r="AV1859" t="n">
        <v>2022</v>
      </c>
      <c r="AW1859" t="n">
        <v>19</v>
      </c>
      <c r="AX1859" t="n">
        <v>17</v>
      </c>
      <c r="BE1859" t="n">
        <v>10574</v>
      </c>
      <c r="BF1859" t="inlineStr">
        <is>
          <t>10.3390/ijerph191710574</t>
        </is>
      </c>
      <c r="BG1859">
        <f>HYPERLINK("http://dx.doi.org/10.3390/ijerph191710574","http://dx.doi.org/10.3390/ijerph191710574")</f>
        <v/>
      </c>
      <c r="BJ1859" t="n">
        <v>10</v>
      </c>
      <c r="BK1859" t="inlineStr">
        <is>
          <t>Environmental Sciences; Public, Environmental &amp; Occupational Health</t>
        </is>
      </c>
      <c r="BL1859" t="inlineStr">
        <is>
          <t>Science Citation Index Expanded (SCI-EXPANDED); Social Science Citation Index (SSCI)</t>
        </is>
      </c>
      <c r="BM1859" t="inlineStr">
        <is>
          <t>Environmental Sciences &amp; Ecology; Public, Environmental &amp; Occupational Health</t>
        </is>
      </c>
      <c r="BN1859" t="inlineStr">
        <is>
          <t>4J2RZ</t>
        </is>
      </c>
      <c r="BO1859" t="n">
        <v>36078289</v>
      </c>
      <c r="BP1859" t="inlineStr">
        <is>
          <t>gold, Green Published</t>
        </is>
      </c>
      <c r="BS1859" t="inlineStr">
        <is>
          <t>2023-10-26</t>
        </is>
      </c>
      <c r="BT1859" t="inlineStr">
        <is>
          <t>WOS:000851117200001</t>
        </is>
      </c>
      <c r="BU1859">
        <f>HYPERLINK("https%3A%2F%2Fwww.webofscience.com%2Fwos%2Fwoscc%2Ffull-record%2FWOS:000851117200001","View Full Record in Web of Science")</f>
        <v/>
      </c>
    </row>
    <row r="1860">
      <c r="A1860" t="inlineStr">
        <is>
          <t>J</t>
        </is>
      </c>
      <c r="B1860" t="inlineStr">
        <is>
          <t>Erzse, A; Rwafa-Ponela, T; Kruger, P; Wayas, FA; Lambert, EV; Mapa-Tassou, C; Ngwa, E; Goldstein, S; Foley, L; Hofman, KJ; Teguia, S; Oni, T; Assah, F; Shung-King, M; Karim, SA</t>
        </is>
      </c>
      <c r="F1860" t="inlineStr">
        <is>
          <t>Erzse, Agnes; Rwafa-Ponela, Teurai; Kruger, Petronell; Wayas, Feyisayo A.; Lambert, Estelle Victoria; Mapa-Tassou, Clarisse; Ngwa, Edwin; Goldstein, Susan; Foley, Louise; Hofman, Karen J.; Teguia, Stephanie; Oni, Tolu; Assah, Felix; Shung-King, Maylene; Abdool Karim, Safura</t>
        </is>
      </c>
      <c r="J1860" t="inlineStr">
        <is>
          <t>INTERNATIONAL JOURNAL OF ENVIRONMENTAL RESEARCH AND PUBLIC HEALTH</t>
        </is>
      </c>
      <c r="M1860" t="inlineStr">
        <is>
          <t>English</t>
        </is>
      </c>
      <c r="N1860" t="inlineStr">
        <is>
          <t>Article</t>
        </is>
      </c>
      <c r="T1860" t="inlineStr">
        <is>
          <t>A Mixed-Methods Participatory Intervention Design Process to Develop Intervention Options in Immediate Food and Built Environments to Support Healthy Eating and Active Living among Children and Adolescents in Cameroon and South Africa</t>
        </is>
      </c>
      <c r="U1860" t="inlineStr">
        <is>
          <t>children; adolescents; school; nutrition; physical activity; non-communicable diseases; behavior change; stakeholder engagement; priority setting; sub-Saharan Africa</t>
        </is>
      </c>
      <c r="V1860" t="inlineStr">
        <is>
          <t>MIDDLE-INCOME COUNTRIES; OBESITY; FRAMEWORK; PREVENTION; EXAMPLE</t>
        </is>
      </c>
      <c r="W1860" t="inlineStr">
        <is>
          <t>Rates of obesity and related non-communicable diseases are on the rise in sub-Saharan Africa, associated with sub-optimal diet and physical inactivity. Implementing evidence-based interventions targeting determinants of unhealthy eating and physical inactivity in children and adolescents' immediate environments is critical to the fight against obesity and related non-communicable diseases. Setting priorities requires a wide range of stakeholders, methods, and context-specific data. This paper reports on a novel participatory study design to identify and address contextual drivers of unhealthy eating and physical inactivity of children and adolescents in school and in their home neighborhood food and built environments. We developed a three-phase mixed-method study in Cameroon (Yaounde) and South Africa (Johannesburg and Cape Town) from 2020-2021. Phase one focused on identifying contextual drivers of unhealthy eating and physical inactivity in children and adolescents in each setting using secondary analysis of qualitative data. Phase two matched identified drivers to evidence-based interventions. In phase three, we worked with stakeholders using the Delphi technique to prioritize interventions based on perceived importance and feasibility. This study design provides a rigorous method to identify and prioritize interventions that are tailored to local contexts, incorporating expertise of diverse local stakeholders.</t>
        </is>
      </c>
      <c r="X1860" t="inlineStr">
        <is>
          <t>[Erzse, Agnes; Rwafa-Ponela, Teurai; Kruger, Petronell; Goldstein, Susan; Hofman, Karen J.; Abdool Karim, Safura] Univ Witwatersrand, Fac Hlth Sci, Wits Ctr Hlth Econ &amp; Decis Sci PRICELESS SA, SAMRC,Sch Publ Hlth, ZA-2193 Johannesburg, South Africa; [Wayas, Feyisayo A.; Lambert, Estelle Victoria] Univ Cape Town, Fac Hlth Sci, Res Ctr Hlth Phys Act Lifestyle &amp; Sport HPALS, Div Physiol Sci,Dept Human Biol, ZA-7935 Cape Town, South Africa; [Wayas, Feyisayo A.] Univ Cape Town, Fac Hlth Sci, Sch Publ Hlth &amp; Family Med, Div Publ Hlth Med, ZA-7925 Cape Town, South Africa; [Mapa-Tassou, Clarisse; Ngwa, Edwin; Teguia, Stephanie; Assah, Felix] Univ Yaounde, Hlth Populat Transit Res Grp, POB 812, Yaounde, Cameroon; [Mapa-Tassou, Clarisse] Univ Dschang, Fac Med &amp; Pharmaceut Sci, POB 67, Dschang, Cameroon; [Foley, Louise; Oni, Tolu] Univ Cambridge, MRC Epidemiol Unit, Cambridge CB2 0SL, England; [Shung-King, Maylene] Univ Cape Town, Fac Hlth Sci, Sch Publ Hlth &amp; Family Med, Hlth Policy &amp; Syst Div, ZA-7925 Cape Town, South Africa</t>
        </is>
      </c>
      <c r="Y1860" t="inlineStr">
        <is>
          <t>University of Witwatersrand; University of Cape Town; University of Cape Town; University of Yaounde I; University of Cambridge; University of Cape Town</t>
        </is>
      </c>
      <c r="Z1860" t="inlineStr">
        <is>
          <t>Erzse, A (corresponding author), Univ Witwatersrand, Fac Hlth Sci, Wits Ctr Hlth Econ &amp; Decis Sci PRICELESS SA, SAMRC,Sch Publ Hlth, ZA-2193 Johannesburg, South Africa.</t>
        </is>
      </c>
      <c r="AA1860" t="inlineStr">
        <is>
          <t>agnes.erzse@wits.ac.za</t>
        </is>
      </c>
      <c r="AB1860" t="inlineStr">
        <is>
          <t>Assah, Felix/HTQ-6564-2023; Abdool Karim, Safura/GQP-0357-2022; Goldstein, Susan/W-6025-2018</t>
        </is>
      </c>
      <c r="AC1860" t="inlineStr">
        <is>
          <t>Assah, Felix/0000-0003-3301-6028; Abdool Karim, Safura/0000-0002-4843-9907; Rwafa, Teurai/0000-0002-3358-4327; Goldstein, Susan/0000-0002-3424-5319; Oni, Tolu/0000-0003-4499-1910; Wayas, Feyisayo Adeola/0000-0002-0966-3834; Mapa-Tassou, Clarisse/0000-0002-0709-1449; Erzse, Agnes/0000-0001-9303-9323; Kruger, Petronell/0000-0003-0624-2847; Lambert, Estelle Victoria/0000-0003-4315-9153</t>
        </is>
      </c>
      <c r="AD1860" t="inlineStr">
        <is>
          <t>National Institute for Health Research (NIHR) using UK Aid from the UK Government [GHR: 16/137/34]; SAMRC/Wits Centre for Health Economics and Decision Science-PRICELESS SA [23108]; National Institutes of Health Fogarty International Centre; Office of Behavioral and Social Sciences [D43TW010540]</t>
        </is>
      </c>
      <c r="AE1860" t="inlineStr">
        <is>
          <t>National Institute for Health Research (NIHR) using UK Aid from the UK Government; SAMRC/Wits Centre for Health Economics and Decision Science-PRICELESS SA(South Africa Medical Research Council (SAMRC)); National Institutes of Health Fogarty International Centre(United States Department of Health &amp; Human ServicesNational Institutes of Health (NIH) - USANIH Fogarty International Center (FIC)); Office of Behavioral and Social Sciences</t>
        </is>
      </c>
      <c r="AF1860" t="inlineStr">
        <is>
          <t>This research was funded by the National Institute for Health Research (NIHR) (GHR: 16/137/34) using UK Aid from the UK Government to support global health research. The views expressed in this publication are those of the author(s) and not necessarily those of the NIHR or the UK Department of Health and Social Care. A.E., S.A.K., P.K., T.R.-P., S.G., K.J.H. are supported by the SAMRC/Wits Centre for Health Economics and Decision Science-PRICELESS SA (grant number 23108). F.A.W. is supported by the National Institutes of Health Fogarty International Centre and the Office of Behavioral and Social Sciences (D43TW010540).</t>
        </is>
      </c>
      <c r="AH1860" t="n">
        <v>36</v>
      </c>
      <c r="AI1860" t="n">
        <v>1</v>
      </c>
      <c r="AJ1860" t="n">
        <v>1</v>
      </c>
      <c r="AK1860" t="n">
        <v>1</v>
      </c>
      <c r="AL1860" t="n">
        <v>1</v>
      </c>
      <c r="AM1860" t="inlineStr">
        <is>
          <t>MDPI</t>
        </is>
      </c>
      <c r="AN1860" t="inlineStr">
        <is>
          <t>BASEL</t>
        </is>
      </c>
      <c r="AO1860" t="inlineStr">
        <is>
          <t>ST ALBAN-ANLAGE 66, CH-4052 BASEL, SWITZERLAND</t>
        </is>
      </c>
      <c r="AQ1860" t="inlineStr">
        <is>
          <t>1660-4601</t>
        </is>
      </c>
      <c r="AS1860" t="inlineStr">
        <is>
          <t>INT J ENV RES PUB HE</t>
        </is>
      </c>
      <c r="AT1860" t="inlineStr">
        <is>
          <t>Int. J. Environ. Res. Public Health</t>
        </is>
      </c>
      <c r="AU1860" t="inlineStr">
        <is>
          <t>AUG</t>
        </is>
      </c>
      <c r="AV1860" t="n">
        <v>2022</v>
      </c>
      <c r="AW1860" t="n">
        <v>19</v>
      </c>
      <c r="AX1860" t="n">
        <v>16</v>
      </c>
      <c r="BE1860" t="n">
        <v>10263</v>
      </c>
      <c r="BF1860" t="inlineStr">
        <is>
          <t>10.3390/ijerph191610263</t>
        </is>
      </c>
      <c r="BG1860">
        <f>HYPERLINK("http://dx.doi.org/10.3390/ijerph191610263","http://dx.doi.org/10.3390/ijerph191610263")</f>
        <v/>
      </c>
      <c r="BJ1860" t="n">
        <v>12</v>
      </c>
      <c r="BK1860" t="inlineStr">
        <is>
          <t>Environmental Sciences; Public, Environmental &amp; Occupational Health</t>
        </is>
      </c>
      <c r="BL1860" t="inlineStr">
        <is>
          <t>Science Citation Index Expanded (SCI-EXPANDED); Social Science Citation Index (SSCI)</t>
        </is>
      </c>
      <c r="BM1860" t="inlineStr">
        <is>
          <t>Environmental Sciences &amp; Ecology; Public, Environmental &amp; Occupational Health</t>
        </is>
      </c>
      <c r="BN1860" t="inlineStr">
        <is>
          <t>4B5QL</t>
        </is>
      </c>
      <c r="BO1860" t="n">
        <v>36011902</v>
      </c>
      <c r="BP1860" t="inlineStr">
        <is>
          <t>Green Published, gold</t>
        </is>
      </c>
      <c r="BS1860" t="inlineStr">
        <is>
          <t>2023-10-26</t>
        </is>
      </c>
      <c r="BT1860" t="inlineStr">
        <is>
          <t>WOS:000845831600001</t>
        </is>
      </c>
      <c r="BU1860">
        <f>HYPERLINK("https%3A%2F%2Fwww.webofscience.com%2Fwos%2Fwoscc%2Ffull-record%2FWOS:000845831600001","View Full Record in Web of Science")</f>
        <v/>
      </c>
    </row>
    <row r="1861">
      <c r="A1861" t="inlineStr">
        <is>
          <t>J</t>
        </is>
      </c>
      <c r="B1861" t="inlineStr">
        <is>
          <t>Etxebarria-Mallea, M; Oregi, X; Grijalba, O; Hernández-Minguillón, R</t>
        </is>
      </c>
      <c r="F1861" t="inlineStr">
        <is>
          <t>Etxebarria-Mallea, Matxalen; Oregi, Xabat; Grijalba, Olatz; Hernandez-Minguillon, Rufino</t>
        </is>
      </c>
      <c r="J1861" t="inlineStr">
        <is>
          <t>ENERGY POLICY</t>
        </is>
      </c>
      <c r="M1861" t="inlineStr">
        <is>
          <t>English</t>
        </is>
      </c>
      <c r="N1861" t="inlineStr">
        <is>
          <t>Article</t>
        </is>
      </c>
      <c r="T1861" t="inlineStr">
        <is>
          <t>The impact of energy refurbishment interventions on annual energy demand, indoor thermal behaviour and temperature-related health risk</t>
        </is>
      </c>
      <c r="U1861" t="inlineStr">
        <is>
          <t>Energy refurbishment; energy demand; Indoor thermal behaviour; Indoor thermal comfort; Temperature-related health risks</t>
        </is>
      </c>
      <c r="V1861" t="inlineStr">
        <is>
          <t>EXCESS WINTER MORTALITY; BUILDING RENOVATION; CLIMATE-CHANGE; PERFORMANCE SIMULATION; UNCERTAINTY ANALYSIS; BLOOD-PRESSURE; SUSTAINABILITY ASSESSMENT; RESIDENTIAL BUILDINGS; OVERHEATING RISKS; COLD HOMES</t>
        </is>
      </c>
      <c r="W1861" t="inlineStr">
        <is>
          <t>The reduction of energy consumption in the built environment by energy renovation strategies is an important target to deal with buildings sector's negative impact on our planet. Regardless of the potential for energy and emissions savings, building renovation has other relevant effects on users' quality of life and health that has not been so well assessed. The present study aims to contribute to current building energy efficiency targets, particularly to Spanish residential building sector, from a still non-existing integrated vision. To this end, an evaluation method was developed to discuss the impact of energy renovation interventions on annual energy demand, indoor thermal comfort and indoor thermal health risk variation. The approach was applied to an open linear residential block located in the Basque Country (northern Spain), and twelve scenarios based on three variables were analysed using DesignBuilder tool. The results obtained show a clear contrast in the impacts caused by energy refurbishment interventions. In particular, the generalized decrease in the number of hours in which indoor temperatures are within comfortable ranges is significant in contrast to the noteworthy reduction in annual energy demand. In conclusion, the results suggest new factors to be considered when updating energy renovation policies.</t>
        </is>
      </c>
      <c r="X1861" t="inlineStr">
        <is>
          <t>[Etxebarria-Mallea, Matxalen; Oregi, Xabat; Grijalba, Olatz; Hernandez-Minguillon, Rufino] Univ Basque Country UPV EHU, CAVIAR Res Grp, Dept Architecture, Plaza Onati 2, Donostia San Sebastian 20018, Spain</t>
        </is>
      </c>
      <c r="Y1861" t="inlineStr">
        <is>
          <t>University of Basque Country</t>
        </is>
      </c>
      <c r="Z1861" t="inlineStr">
        <is>
          <t>Etxebarria-Mallea, M (corresponding author), Univ Basque Country UPV EHU, CAVIAR Res Grp, Dept Architecture, Plaza Onati 2, Donostia San Sebastian 20018, Spain.</t>
        </is>
      </c>
      <c r="AA1861" t="inlineStr">
        <is>
          <t>matxalen.etxebarria@ehu.eus</t>
        </is>
      </c>
      <c r="AC1861" t="inlineStr">
        <is>
          <t>GRIJALBA, OLATZ/0000-0002-8150-9639</t>
        </is>
      </c>
      <c r="AD1861" t="inlineStr">
        <is>
          <t>Ministry of Science and Innovation - State Research [PID 2019-104871RB-C22]; Department of Architecture of the University of the Basque Country [Agency/10.13039/501100011033]</t>
        </is>
      </c>
      <c r="AE1861" t="inlineStr">
        <is>
          <t>Ministry of Science and Innovation - State Research; Department of Architecture of the University of the Basque Country</t>
        </is>
      </c>
      <c r="AF1861" t="inlineStr">
        <is>
          <t>Part of the work presented in this paper belongs to the research Project LOCAL-REGEN (PID 2019-104871RB-C22), funded by the Ministry of Science and Innovation - State Research Agency/10.13039/501100011033. Furthermore, the authors would like to acknowledge the Department of Architecture of the University of the Basque Country for the financial support given.</t>
        </is>
      </c>
      <c r="AH1861" t="n">
        <v>137</v>
      </c>
      <c r="AI1861" t="n">
        <v>14</v>
      </c>
      <c r="AJ1861" t="n">
        <v>14</v>
      </c>
      <c r="AK1861" t="n">
        <v>0</v>
      </c>
      <c r="AL1861" t="n">
        <v>17</v>
      </c>
      <c r="AM1861" t="inlineStr">
        <is>
          <t>ELSEVIER SCI LTD</t>
        </is>
      </c>
      <c r="AN1861" t="inlineStr">
        <is>
          <t>OXFORD</t>
        </is>
      </c>
      <c r="AO1861" t="inlineStr">
        <is>
          <t>THE BOULEVARD, LANGFORD LANE, KIDLINGTON, OXFORD OX5 1GB, OXON, ENGLAND</t>
        </is>
      </c>
      <c r="AP1861" t="inlineStr">
        <is>
          <t>0301-4215</t>
        </is>
      </c>
      <c r="AQ1861" t="inlineStr">
        <is>
          <t>1873-6777</t>
        </is>
      </c>
      <c r="AS1861" t="inlineStr">
        <is>
          <t>ENERG POLICY</t>
        </is>
      </c>
      <c r="AT1861" t="inlineStr">
        <is>
          <t>Energy Policy</t>
        </is>
      </c>
      <c r="AU1861" t="inlineStr">
        <is>
          <t>JUN</t>
        </is>
      </c>
      <c r="AV1861" t="n">
        <v>2021</v>
      </c>
      <c r="AW1861" t="n">
        <v>153</v>
      </c>
      <c r="BE1861" t="n">
        <v>112276</v>
      </c>
      <c r="BF1861" t="inlineStr">
        <is>
          <t>10.1016/j.enpol.2021.112276</t>
        </is>
      </c>
      <c r="BG1861">
        <f>HYPERLINK("http://dx.doi.org/10.1016/j.enpol.2021.112276","http://dx.doi.org/10.1016/j.enpol.2021.112276")</f>
        <v/>
      </c>
      <c r="BI1861" t="inlineStr">
        <is>
          <t>APR 2021</t>
        </is>
      </c>
      <c r="BJ1861" t="n">
        <v>16</v>
      </c>
      <c r="BK1861" t="inlineStr">
        <is>
          <t>Economics; Energy &amp; Fuels; Environmental Sciences; Environmental Studies</t>
        </is>
      </c>
      <c r="BL1861" t="inlineStr">
        <is>
          <t>Science Citation Index Expanded (SCI-EXPANDED); Social Science Citation Index (SSCI)</t>
        </is>
      </c>
      <c r="BM1861" t="inlineStr">
        <is>
          <t>Business &amp; Economics; Energy &amp; Fuels; Environmental Sciences &amp; Ecology</t>
        </is>
      </c>
      <c r="BN1861" t="inlineStr">
        <is>
          <t>RO9MG</t>
        </is>
      </c>
      <c r="BS1861" t="inlineStr">
        <is>
          <t>2023-10-26</t>
        </is>
      </c>
      <c r="BT1861" t="inlineStr">
        <is>
          <t>WOS:000641362600010</t>
        </is>
      </c>
      <c r="BU1861">
        <f>HYPERLINK("https%3A%2F%2Fwww.webofscience.com%2Fwos%2Fwoscc%2Ffull-record%2FWOS:000641362600010","View Full Record in Web of Science")</f>
        <v/>
      </c>
    </row>
    <row r="1862">
      <c r="A1862" t="inlineStr">
        <is>
          <t>J</t>
        </is>
      </c>
      <c r="B1862" t="inlineStr">
        <is>
          <t>Chittrakul, J; Siviroj, P; Sungkarat, S; Sapbamrer, R</t>
        </is>
      </c>
      <c r="F1862" t="inlineStr">
        <is>
          <t>Chittrakul, Jiraporn; Siviroj, Penprapa; Sungkarat, Somporn; Sapbamrer, Ratana</t>
        </is>
      </c>
      <c r="J1862" t="inlineStr">
        <is>
          <t>INTERNATIONAL JOURNAL OF ENVIRONMENTAL RESEARCH AND PUBLIC HEALTH</t>
        </is>
      </c>
      <c r="M1862" t="inlineStr">
        <is>
          <t>English</t>
        </is>
      </c>
      <c r="N1862" t="inlineStr">
        <is>
          <t>Article</t>
        </is>
      </c>
      <c r="T1862" t="inlineStr">
        <is>
          <t>Multi-System Physical Exercise Intervention for Fall Prevention and Quality of Life in Pre-Frail Older Adults: A Randomized Controlled Trial</t>
        </is>
      </c>
      <c r="U1862" t="inlineStr">
        <is>
          <t>frailty; multi-system physical exercise; fall risk; quality of life; older adults</t>
        </is>
      </c>
      <c r="V1862" t="inlineStr">
        <is>
          <t>RISK; BALANCE; GAIT; PROPRIOCEPTION; SARCOPENIA; PROGRAM; PEOPLE; MOTION; FEAR</t>
        </is>
      </c>
      <c r="W1862" t="inlineStr">
        <is>
          <t>Effective interventions for indicated fall prevention are necessary for older adults with frailty. We aimed to determine the effectiveness of a Multi-system Physical Exercise (MPE) for fall prevention and Health-Related Quality of Life (HRQOL) in pre-frail older adults. This randomized control trial with allocation concealment included 72 adults aged 65 and above, identified as pre-frailty and with mild and moderate fall risk scores measured by the Physiological Profile Assessment (PPA). Randomly, using block randomization, participants were divided into two groups: an MPE group (n = 36) and a control group (n = 36). The intervention consisted mainly of proprioception, muscle strengthening, reaction time, and balance training and was carried out three days per week for 12 weeks. The primary outcome was fall risk assessed using PPA at 12 weeks post-baseline and at a 24 week follow-up. Significant differences were found in the improvement in fall risk, proprioception, muscle strength, reaction time and postural sway, and fear of fall scores in the MPE group compared with controls at week 12 and 24. In addition, HRQOL had increased significantly in the MPE group in comparison to controls. The MPE program significantly increased muscle strength and improved proprioception, reaction time, and postural sway leading to fall risk reduction in older adults with pre-frailty. Therefore, the MPE program is recommended for used in day-to-day primary care practice in the pre-frail population.</t>
        </is>
      </c>
      <c r="X1862" t="inlineStr">
        <is>
          <t>[Chittrakul, Jiraporn; Siviroj, Penprapa; Sapbamrer, Ratana] Chiang Mai Univ, Fac Med, Dept Community Med, Chiang Mai 50200, Thailand; [Sungkarat, Somporn] Chiang Mai Univ, Fac Associated Med Sci, Dept Phys Therapy, Chiang Mai 5000, Thailand</t>
        </is>
      </c>
      <c r="Y1862" t="inlineStr">
        <is>
          <t>Chiang Mai University; Chiang Mai University</t>
        </is>
      </c>
      <c r="Z1862" t="inlineStr">
        <is>
          <t>Siviroj, P (corresponding author), Chiang Mai Univ, Fac Med, Dept Community Med, Chiang Mai 50200, Thailand.</t>
        </is>
      </c>
      <c r="AA1862" t="inlineStr">
        <is>
          <t>jerasooutch@gmail.com; psiviroj@gmail.com; somporn.sungkarat@cmu.ac.th; lekratana56@yahoo.com</t>
        </is>
      </c>
      <c r="AB1862" t="inlineStr">
        <is>
          <t>Siviroj, Penprapa/IQS-1820-2023; SUNGKARAT, SOMPORN/AAU-3448-2020</t>
        </is>
      </c>
      <c r="AC1862" t="inlineStr">
        <is>
          <t>SUNGKARAT, SOMPORN/0000-0003-4283-7469; Sapbamrer, Ratana/0000-0003-0379-2798; Siviroj, Penprapa/0000-0003-4781-4119; Chittrakul, Jiraporn/0000-0001-6154-5133</t>
        </is>
      </c>
      <c r="AD1862" t="inlineStr">
        <is>
          <t>Faculty of Medicine, Chiang Mai University [124/2018]</t>
        </is>
      </c>
      <c r="AE1862" t="inlineStr">
        <is>
          <t>Faculty of Medicine, Chiang Mai University</t>
        </is>
      </c>
      <c r="AF1862" t="inlineStr">
        <is>
          <t>The Faculty of Medicine, Chiang Mai University provided financial support (grant no. 124/2018).</t>
        </is>
      </c>
      <c r="AH1862" t="n">
        <v>67</v>
      </c>
      <c r="AI1862" t="n">
        <v>33</v>
      </c>
      <c r="AJ1862" t="n">
        <v>35</v>
      </c>
      <c r="AK1862" t="n">
        <v>8</v>
      </c>
      <c r="AL1862" t="n">
        <v>31</v>
      </c>
      <c r="AM1862" t="inlineStr">
        <is>
          <t>MDPI</t>
        </is>
      </c>
      <c r="AN1862" t="inlineStr">
        <is>
          <t>BASEL</t>
        </is>
      </c>
      <c r="AO1862" t="inlineStr">
        <is>
          <t>ST ALBAN-ANLAGE 66, CH-4052 BASEL, SWITZERLAND</t>
        </is>
      </c>
      <c r="AQ1862" t="inlineStr">
        <is>
          <t>1660-4601</t>
        </is>
      </c>
      <c r="AS1862" t="inlineStr">
        <is>
          <t>INT J ENV RES PUB HE</t>
        </is>
      </c>
      <c r="AT1862" t="inlineStr">
        <is>
          <t>Int. J. Environ. Res. Public Health</t>
        </is>
      </c>
      <c r="AU1862" t="inlineStr">
        <is>
          <t>MAY</t>
        </is>
      </c>
      <c r="AV1862" t="n">
        <v>2020</v>
      </c>
      <c r="AW1862" t="n">
        <v>17</v>
      </c>
      <c r="AX1862" t="n">
        <v>9</v>
      </c>
      <c r="BE1862" t="n">
        <v>3102</v>
      </c>
      <c r="BF1862" t="inlineStr">
        <is>
          <t>10.3390/ijerph17093102</t>
        </is>
      </c>
      <c r="BG1862">
        <f>HYPERLINK("http://dx.doi.org/10.3390/ijerph17093102","http://dx.doi.org/10.3390/ijerph17093102")</f>
        <v/>
      </c>
      <c r="BJ1862" t="n">
        <v>13</v>
      </c>
      <c r="BK1862" t="inlineStr">
        <is>
          <t>Environmental Sciences; Public, Environmental &amp; Occupational Health</t>
        </is>
      </c>
      <c r="BL1862" t="inlineStr">
        <is>
          <t>Science Citation Index Expanded (SCI-EXPANDED); Social Science Citation Index (SSCI)</t>
        </is>
      </c>
      <c r="BM1862" t="inlineStr">
        <is>
          <t>Environmental Sciences &amp; Ecology; Public, Environmental &amp; Occupational Health</t>
        </is>
      </c>
      <c r="BN1862" t="inlineStr">
        <is>
          <t>LR5OY</t>
        </is>
      </c>
      <c r="BO1862" t="n">
        <v>32365613</v>
      </c>
      <c r="BP1862" t="inlineStr">
        <is>
          <t>gold, Green Published</t>
        </is>
      </c>
      <c r="BS1862" t="inlineStr">
        <is>
          <t>2023-10-26</t>
        </is>
      </c>
      <c r="BT1862" t="inlineStr">
        <is>
          <t>WOS:000535745400126</t>
        </is>
      </c>
      <c r="BU1862">
        <f>HYPERLINK("https%3A%2F%2Fwww.webofscience.com%2Fwos%2Fwoscc%2Ffull-record%2FWOS:000535745400126","View Full Record in Web of Science")</f>
        <v/>
      </c>
    </row>
    <row r="1863">
      <c r="A1863" t="inlineStr">
        <is>
          <t>J</t>
        </is>
      </c>
      <c r="B1863" t="inlineStr">
        <is>
          <t>Khalid, NM; Haron, H; Shahar, S; Fenech, M</t>
        </is>
      </c>
      <c r="F1863" t="inlineStr">
        <is>
          <t>Khalid, Norhayati Mustafa; Haron, Hasnah; Shahar, Suzana; Fenech, Michael</t>
        </is>
      </c>
      <c r="J1863" t="inlineStr">
        <is>
          <t>INTERNATIONAL JOURNAL OF ENVIRONMENTAL RESEARCH AND PUBLIC HEALTH</t>
        </is>
      </c>
      <c r="M1863" t="inlineStr">
        <is>
          <t>English</t>
        </is>
      </c>
      <c r="N1863" t="inlineStr">
        <is>
          <t>Review</t>
        </is>
      </c>
      <c r="T1863" t="inlineStr">
        <is>
          <t>Current Evidence on the Association of Micronutrient Malnutrition with Mild Cognitive Impairment, Frailty, and Cognitive Frailty among Older Adults: A Scoping Review</t>
        </is>
      </c>
      <c r="U1863" t="inlineStr">
        <is>
          <t>scoping review; micronutrient; mild cognitive impairment; frailty; cognitive frailty; older adults</t>
        </is>
      </c>
      <c r="V1863" t="inlineStr">
        <is>
          <t>VITAMIN-D DEFICIENCY; SERUM 25-HYDROXYVITAMIN D; BASE-LINE FINDINGS; ALZHEIMERS-DISEASE; NUTRITIONAL-STATUS; OXIDATIVE STRESS; ALBUMIN CONCENTRATION; ELDERLY-PEOPLE; RETINOIC ACID; RISK-FACTORS</t>
        </is>
      </c>
      <c r="W1863" t="inlineStr">
        <is>
          <t>Micronutrient malnutrition is thought to play an important role in the cause of cognitive impairment and physical frailty. The purpose of this scoping review was to map current evidence on the association between micronutrient deficiency in blood and mild cognitive impairment, frailty, and cognitive frailty among older adults. The scoping review was conducted based on the 2005 methodological framework by Arksey and O'Malley. The search strategy for potential literature on micronutrient concentration in blood and cognitive frailty was retrieved based on the keywords using electronic databases (PubMed, Cochrane Library, Google Scholar, Ovid, and Science Direct) from January 2010 to December 2021. Gray literature was also included in the searches. A total of 4310 articles were retrieved and 43 articles were incorporated in the review. Findings revealed a trend of significant association between low levels of B vitamins (folate and vitamin B12), vitamin D, vitamin A, vitamin E, omega 3 fatty acid, and albumin, and high homocysteine levels in blood with an increased risk of mild cognitive impairment among older adults. The results also indicated that low vitamin D levels, albumin, and antioxidants (lutein and zeaxanthin) in blood were significantly associated with frailty among older adults, while beta-cryptoxanthin and zeaxanthin in blood were inversely associated with the risk of cognitive frailty. Vitamin D and antioxidants seemed to be targeted nutrients for the prevention of cognitive frailty. In conclusion, a wide range of micronutrient deficiency was associated with either mild cognitive impairment or frailty; however, little evidence exists on the dual impairment, i.e., cognitive frailty. This scoping review can serve as preliminary evidence for the association between micronutrient deficiency in blood and mild cognitive impairment, frailty, and cognitive frailty among older adults and prove the relevancy of the topic for future systematic reviews.</t>
        </is>
      </c>
      <c r="X1863" t="inlineStr">
        <is>
          <t>[Khalid, Norhayati Mustafa; Haron, Hasnah; Shahar, Suzana; Fenech, Michael] Univ Kebangsaan Malaysia, Fac Hlth Sci, Ctr Hlth Aging &amp; Wellness, Jalan Raja Muda Abdul Aziz, Kuala Lumpur 50300, Malaysia; [Fenech, Michael] Genome Hlth Fdn, North Brighton, SA 5048, Australia</t>
        </is>
      </c>
      <c r="Y1863" t="inlineStr">
        <is>
          <t>Universiti Kebangsaan Malaysia</t>
        </is>
      </c>
      <c r="Z1863" t="inlineStr">
        <is>
          <t>Haron, H (corresponding author), Univ Kebangsaan Malaysia, Fac Hlth Sci, Ctr Hlth Aging &amp; Wellness, Jalan Raja Muda Abdul Aziz, Kuala Lumpur 50300, Malaysia.</t>
        </is>
      </c>
      <c r="AA1863" t="inlineStr">
        <is>
          <t>hasnaharon@ukm.edu.my</t>
        </is>
      </c>
      <c r="AB1863" t="inlineStr">
        <is>
          <t>Haron, Hasnah/J-1553-2019</t>
        </is>
      </c>
      <c r="AC1863" t="inlineStr">
        <is>
          <t>Haron, Hasnah/0000-0002-6410-7283</t>
        </is>
      </c>
      <c r="AD1863" t="inlineStr">
        <is>
          <t>Ministry of Higher Education of Malaysia; [LRGS/1/2019/UM-UKM/1/4]</t>
        </is>
      </c>
      <c r="AE1863" t="inlineStr">
        <is>
          <t>Ministry of Higher Education of Malaysia(Ministry of Education, Malaysia);</t>
        </is>
      </c>
      <c r="AF1863" t="inlineStr">
        <is>
          <t>This study was funded by the Ministry of Higher Education of Malaysia under the Long Term Research Grant Scheme (LRGS/1/2019/UM-UKM/1/4).</t>
        </is>
      </c>
      <c r="AH1863" t="n">
        <v>127</v>
      </c>
      <c r="AI1863" t="n">
        <v>2</v>
      </c>
      <c r="AJ1863" t="n">
        <v>2</v>
      </c>
      <c r="AK1863" t="n">
        <v>16</v>
      </c>
      <c r="AL1863" t="n">
        <v>31</v>
      </c>
      <c r="AM1863" t="inlineStr">
        <is>
          <t>MDPI</t>
        </is>
      </c>
      <c r="AN1863" t="inlineStr">
        <is>
          <t>BASEL</t>
        </is>
      </c>
      <c r="AO1863" t="inlineStr">
        <is>
          <t>ST ALBAN-ANLAGE 66, CH-4052 BASEL, SWITZERLAND</t>
        </is>
      </c>
      <c r="AQ1863" t="inlineStr">
        <is>
          <t>1660-4601</t>
        </is>
      </c>
      <c r="AS1863" t="inlineStr">
        <is>
          <t>INT J ENV RES PUB HE</t>
        </is>
      </c>
      <c r="AT1863" t="inlineStr">
        <is>
          <t>Int. J. Environ. Res. Public Health</t>
        </is>
      </c>
      <c r="AU1863" t="inlineStr">
        <is>
          <t>DEC</t>
        </is>
      </c>
      <c r="AV1863" t="n">
        <v>2022</v>
      </c>
      <c r="AW1863" t="n">
        <v>19</v>
      </c>
      <c r="AX1863" t="n">
        <v>23</v>
      </c>
      <c r="BE1863" t="n">
        <v>15722</v>
      </c>
      <c r="BF1863" t="inlineStr">
        <is>
          <t>10.3390/ijerph192315722</t>
        </is>
      </c>
      <c r="BG1863">
        <f>HYPERLINK("http://dx.doi.org/10.3390/ijerph192315722","http://dx.doi.org/10.3390/ijerph192315722")</f>
        <v/>
      </c>
      <c r="BJ1863" t="n">
        <v>26</v>
      </c>
      <c r="BK1863" t="inlineStr">
        <is>
          <t>Environmental Sciences; Public, Environmental &amp; Occupational Health</t>
        </is>
      </c>
      <c r="BL1863" t="inlineStr">
        <is>
          <t>Science Citation Index Expanded (SCI-EXPANDED); Social Science Citation Index (SSCI)</t>
        </is>
      </c>
      <c r="BM1863" t="inlineStr">
        <is>
          <t>Environmental Sciences &amp; Ecology; Public, Environmental &amp; Occupational Health</t>
        </is>
      </c>
      <c r="BN1863" t="inlineStr">
        <is>
          <t>6Y7SF</t>
        </is>
      </c>
      <c r="BO1863" t="n">
        <v>36497797</v>
      </c>
      <c r="BP1863" t="inlineStr">
        <is>
          <t>gold, Green Published</t>
        </is>
      </c>
      <c r="BS1863" t="inlineStr">
        <is>
          <t>2023-10-26</t>
        </is>
      </c>
      <c r="BT1863" t="inlineStr">
        <is>
          <t>WOS:000897289800001</t>
        </is>
      </c>
      <c r="BU1863">
        <f>HYPERLINK("https%3A%2F%2Fwww.webofscience.com%2Fwos%2Fwoscc%2Ffull-record%2FWOS:000897289800001","View Full Record in Web of Science")</f>
        <v/>
      </c>
    </row>
    <row r="1864">
      <c r="A1864" t="inlineStr">
        <is>
          <t>J</t>
        </is>
      </c>
      <c r="B1864" t="inlineStr">
        <is>
          <t>Shim, MS; Noh, D</t>
        </is>
      </c>
      <c r="F1864" t="inlineStr">
        <is>
          <t>Shim, Mi-So; Noh, Dabok</t>
        </is>
      </c>
      <c r="J1864" t="inlineStr">
        <is>
          <t>INTERNATIONAL JOURNAL OF ENVIRONMENTAL RESEARCH AND PUBLIC HEALTH</t>
        </is>
      </c>
      <c r="M1864" t="inlineStr">
        <is>
          <t>English</t>
        </is>
      </c>
      <c r="N1864" t="inlineStr">
        <is>
          <t>Review</t>
        </is>
      </c>
      <c r="T1864" t="inlineStr">
        <is>
          <t>Effects of Physical Activity Interventions on Health Outcomes among Older Adults Living with HIV: A Systematic Review and Meta-Analysis</t>
        </is>
      </c>
      <c r="U1864" t="inlineStr">
        <is>
          <t>HIV; older adults; exercise; physical activity; meta-analysis</t>
        </is>
      </c>
      <c r="V1864" t="inlineStr">
        <is>
          <t>EXERCISE; MANAGEMENT; TRIAL; CARE</t>
        </is>
      </c>
      <c r="W1864" t="inlineStr">
        <is>
          <t>There is a lack of evidence regarding the effects of exercise on older individuals living with HIV. This systematic review and meta-analysis examined previous studies on physical activity interventions for people living with HIV aged &gt;= 50 years. The effectiveness of the interventions on various physical and psychological health outcomes was evaluated. Databases used for this review included PubMed, EMBASE, CINAHL, and Cochrane Library CENTRAL. Twelve randomized controlled trials on physical activity interventions for people &gt;= 50 years and living with HIV were included. Standardized mean differences were calculated using random-effect models. All effect sizes were expressed using Cohen's d values and their 95% confidence intervals (CIs). Physical activity interventions had a significant effect on walking capacity (Cohen's d: 0.467; 95% CI [0.069, 0.865]). The effect sizes on cardiorespiratory fitness, weight, and health-related quality of life were not significant. These findings suggest that physical activity interventions for people living with HIV aged &gt;= 50 years are effective for the improvement of walking capacity. Further larger and higher-quality studies are required to determine the full effects of physical activity interventions on various health outcomes among older adults with HIV.</t>
        </is>
      </c>
      <c r="X1864" t="inlineStr">
        <is>
          <t>[Shim, Mi-So] Yonsei Univ, Coll Nursing, Mo Im Kim Nursing Res Inst, Seoul 03722, South Korea; [Noh, Dabok] Eulji Univ, Coll Nursing, Seongnam Si 13135, South Korea</t>
        </is>
      </c>
      <c r="Y1864" t="inlineStr">
        <is>
          <t>Yonsei University; Yonsei University Health System; Eulji University</t>
        </is>
      </c>
      <c r="Z1864" t="inlineStr">
        <is>
          <t>Noh, D (corresponding author), Eulji Univ, Coll Nursing, Seongnam Si 13135, South Korea.</t>
        </is>
      </c>
      <c r="AA1864" t="inlineStr">
        <is>
          <t>misoshim1111@gmail.com; daboknoh@gmail.com</t>
        </is>
      </c>
      <c r="AC1864" t="inlineStr">
        <is>
          <t>Noh, Dabok/0000-0002-2533-5515</t>
        </is>
      </c>
      <c r="AD1864" t="inlineStr">
        <is>
          <t>Basic Science Research Program through the National Research Foundation of Korea - Ministry of Education [NRF-2021R1I1A1A01040306]</t>
        </is>
      </c>
      <c r="AE1864" t="inlineStr">
        <is>
          <t>Basic Science Research Program through the National Research Foundation of Korea - Ministry of Education(Ministry of Education (MOE), Republic of KoreaNational Research Foundation of Korea)</t>
        </is>
      </c>
      <c r="AF1864" t="inlineStr">
        <is>
          <t>Thisworkwas supported by the Basic Science Research Programthrough theNational Research Foundation of Korea funded by theMinistry of Education [grant number: NRF-2021R1I1A1A01040306].</t>
        </is>
      </c>
      <c r="AH1864" t="n">
        <v>49</v>
      </c>
      <c r="AI1864" t="n">
        <v>0</v>
      </c>
      <c r="AJ1864" t="n">
        <v>0</v>
      </c>
      <c r="AK1864" t="n">
        <v>0</v>
      </c>
      <c r="AL1864" t="n">
        <v>7</v>
      </c>
      <c r="AM1864" t="inlineStr">
        <is>
          <t>MDPI</t>
        </is>
      </c>
      <c r="AN1864" t="inlineStr">
        <is>
          <t>BASEL</t>
        </is>
      </c>
      <c r="AO1864" t="inlineStr">
        <is>
          <t>ST ALBAN-ANLAGE 66, CH-4052 BASEL, SWITZERLAND</t>
        </is>
      </c>
      <c r="AQ1864" t="inlineStr">
        <is>
          <t>1660-4601</t>
        </is>
      </c>
      <c r="AS1864" t="inlineStr">
        <is>
          <t>INT J ENV RES PUB HE</t>
        </is>
      </c>
      <c r="AT1864" t="inlineStr">
        <is>
          <t>Int. J. Environ. Res. Public Health</t>
        </is>
      </c>
      <c r="AU1864" t="inlineStr">
        <is>
          <t>JUL</t>
        </is>
      </c>
      <c r="AV1864" t="n">
        <v>2022</v>
      </c>
      <c r="AW1864" t="n">
        <v>19</v>
      </c>
      <c r="AX1864" t="n">
        <v>14</v>
      </c>
      <c r="BE1864" t="n">
        <v>8439</v>
      </c>
      <c r="BF1864" t="inlineStr">
        <is>
          <t>10.3390/ijerph19148439</t>
        </is>
      </c>
      <c r="BG1864">
        <f>HYPERLINK("http://dx.doi.org/10.3390/ijerph19148439","http://dx.doi.org/10.3390/ijerph19148439")</f>
        <v/>
      </c>
      <c r="BJ1864" t="n">
        <v>17</v>
      </c>
      <c r="BK1864" t="inlineStr">
        <is>
          <t>Environmental Sciences; Public, Environmental &amp; Occupational Health</t>
        </is>
      </c>
      <c r="BL1864" t="inlineStr">
        <is>
          <t>Science Citation Index Expanded (SCI-EXPANDED); Social Science Citation Index (SSCI)</t>
        </is>
      </c>
      <c r="BM1864" t="inlineStr">
        <is>
          <t>Environmental Sciences &amp; Ecology; Public, Environmental &amp; Occupational Health</t>
        </is>
      </c>
      <c r="BN1864" t="inlineStr">
        <is>
          <t>3H7ME</t>
        </is>
      </c>
      <c r="BO1864" t="n">
        <v>35886293</v>
      </c>
      <c r="BP1864" t="inlineStr">
        <is>
          <t>Green Published, gold</t>
        </is>
      </c>
      <c r="BS1864" t="inlineStr">
        <is>
          <t>2023-10-26</t>
        </is>
      </c>
      <c r="BT1864" t="inlineStr">
        <is>
          <t>WOS:000832215300001</t>
        </is>
      </c>
      <c r="BU1864">
        <f>HYPERLINK("https%3A%2F%2Fwww.webofscience.com%2Fwos%2Fwoscc%2Ffull-record%2FWOS:000832215300001","View Full Record in Web of Science")</f>
        <v/>
      </c>
    </row>
    <row r="1865">
      <c r="A1865" t="inlineStr">
        <is>
          <t>J</t>
        </is>
      </c>
      <c r="B1865" t="inlineStr">
        <is>
          <t>Lou, SY</t>
        </is>
      </c>
      <c r="F1865" t="inlineStr">
        <is>
          <t>Lou, Senyu</t>
        </is>
      </c>
      <c r="J1865" t="inlineStr">
        <is>
          <t>FRESENIUS ENVIRONMENTAL BULLETIN</t>
        </is>
      </c>
      <c r="M1865" t="inlineStr">
        <is>
          <t>English</t>
        </is>
      </c>
      <c r="N1865" t="inlineStr">
        <is>
          <t>Article</t>
        </is>
      </c>
      <c r="T1865" t="inlineStr">
        <is>
          <t>RESEARCH ON THE COUNTERMEASURES OF CONSTRUCTING GREEN AND VIGOROUS COUNTRYSIDE BASED ON SUSTAINABLE DEVELOPMENT ENVIRONMENT</t>
        </is>
      </c>
      <c r="U1865" t="inlineStr">
        <is>
          <t>Green and energy-saving; country house; maintenance structure; energy-saving window; temperature test</t>
        </is>
      </c>
      <c r="V1865" t="inlineStr">
        <is>
          <t>AIR-QUALITY</t>
        </is>
      </c>
      <c r="W1865" t="inlineStr">
        <is>
          <t>With the increasing global warmting, more and more attention has been paid to rural green energy conservation and environmental protection. In the process of rural residential structure design, energy conservation and environmental protection are particularly important. In this paper, we have systematically analyzed the shortcomings of traditional rural residential building maintenance structure and door and window structure in energy saving and environmental protection. Moreover, a new type of thermal insulation wall for rural houses based on the concept of green and environmental protection was proposed, and the structural principle of the insulating glass thermal insulation and energy-saving window was clarified in detail. Through analysis, it is concluded that the heat transfer coefficient of hollow plastic-steel windows is 2.43 W/m2.K, so the heat preservation effect is good. In order to verify the energy saving and environmental protection performance of the building wall structure and door and window structure designed in this paper, the traditional rural houses in the northern area were transformed based on the green and environmental protection theory. Based on the satisfaction survey of 100 rural residential houses, the satisfaction degree of house comfort has increased from 47% to 90% after the green renovation, and the energy saving and environmental protection performance has been significantly improved. The indoor and outdoor temperature test results show that the average indoor temperature in the afternoon and summer is 35 degrees C before the renovation and 27 degrees C after the renovation. The average indoor temperature in winter is 6 degrees C before the renovation and 16 degrees C after the green renovation, which is higher than the standard indoor temperature of 15 degrees C after heating in cold urban areas in northern China. Therefore, it is proved that the indoor temperature environment and heat preservation effect after the transformation have been significantly improved. The green rural reconstruction method proposed in this paper can effectively improve the living comfort of residents and effectively realize sustainable development.</t>
        </is>
      </c>
      <c r="X1865" t="inlineStr">
        <is>
          <t>[Lou, Senyu] Jinhua Polytech Architectural Engn Inst, Jinhua 321000, Zhejiang, Peoples R China</t>
        </is>
      </c>
      <c r="Z1865" t="inlineStr">
        <is>
          <t>Lou, SY (corresponding author), Jinhua Polytech Architectural Engn Inst, Jinhua 321000, Zhejiang, Peoples R China.</t>
        </is>
      </c>
      <c r="AA1865" t="inlineStr">
        <is>
          <t>385202296@qq.com</t>
        </is>
      </c>
      <c r="AB1865" t="inlineStr">
        <is>
          <t>LOU, SENYU/HNQ-9297-2023</t>
        </is>
      </c>
      <c r="AD1865" t="inlineStr">
        <is>
          <t>Scientific Research Project of Zhejiang Province Education Department Practice Research on the Construction of Dynamic Countryside from the Perspective of Adaptive Renewal [Y202043245]; Research Project of Zhejiang Federation of Humanities and Social Sciences Circles Strategy Research on rural space and Vitality Creation from the perspective of adaptive Renewal [2021N119]; research project of Zhejiang Provincial Department of Construction Research on the Strategy and Practice of Point-axis Rural Renewal Based on Industry Orientation [2020K135]</t>
        </is>
      </c>
      <c r="AE1865" t="inlineStr">
        <is>
          <t>Scientific Research Project of Zhejiang Province Education Department Practice Research on the Construction of Dynamic Countryside from the Perspective of Adaptive Renewal; Research Project of Zhejiang Federation of Humanities and Social Sciences Circles Strategy Research on rural space and Vitality Creation from the perspective of adaptive Renewal; research project of Zhejiang Provincial Department of Construction Research on the Strategy and Practice of Point-axis Rural Renewal Based on Industry Orientation</t>
        </is>
      </c>
      <c r="AF1865" t="inlineStr">
        <is>
          <t>This work was supported by the Scientific Research Project of Zhejiang Province Education Department Practice Research on the Construction of Dynamic Countryside from the Perspective of Adaptive Renewal (No.Y202043245) and the Research Project of Zhejiang Federation of Humanities and Social Sciences Circles Strategy Research on rural space and Vitality Creation from the perspective of adaptive Renewal (No.2021N119) and additionally the research project of Zhejiang Provincial Department of Construction Research on the Strategy and Practice of Point-axis Rural Renewal Based on Industry Orientation (No.2020K135).</t>
        </is>
      </c>
      <c r="AH1865" t="n">
        <v>23</v>
      </c>
      <c r="AI1865" t="n">
        <v>1</v>
      </c>
      <c r="AJ1865" t="n">
        <v>1</v>
      </c>
      <c r="AK1865" t="n">
        <v>3</v>
      </c>
      <c r="AL1865" t="n">
        <v>22</v>
      </c>
      <c r="AM1865" t="inlineStr">
        <is>
          <t>PARLAR SCIENTIFIC PUBLICATIONS (P S P)</t>
        </is>
      </c>
      <c r="AN1865" t="inlineStr">
        <is>
          <t>FREISING</t>
        </is>
      </c>
      <c r="AO1865" t="inlineStr">
        <is>
          <t>ANGERSTR. 12, 85354 FREISING, GERMANY</t>
        </is>
      </c>
      <c r="AP1865" t="inlineStr">
        <is>
          <t>1018-4619</t>
        </is>
      </c>
      <c r="AQ1865" t="inlineStr">
        <is>
          <t>1610-2304</t>
        </is>
      </c>
      <c r="AS1865" t="inlineStr">
        <is>
          <t>FRESEN ENVIRON BULL</t>
        </is>
      </c>
      <c r="AT1865" t="inlineStr">
        <is>
          <t>Fresenius Environ. Bull.</t>
        </is>
      </c>
      <c r="AV1865" t="n">
        <v>2021</v>
      </c>
      <c r="AW1865" t="n">
        <v>30</v>
      </c>
      <c r="AX1865" t="n">
        <v>6</v>
      </c>
      <c r="BC1865" t="n">
        <v>6285</v>
      </c>
      <c r="BD1865" t="n">
        <v>6291</v>
      </c>
      <c r="BJ1865" t="n">
        <v>7</v>
      </c>
      <c r="BK1865" t="inlineStr">
        <is>
          <t>Environmental Sciences</t>
        </is>
      </c>
      <c r="BL1865" t="inlineStr">
        <is>
          <t>Science Citation Index Expanded (SCI-EXPANDED)</t>
        </is>
      </c>
      <c r="BM1865" t="inlineStr">
        <is>
          <t>Environmental Sciences &amp; Ecology</t>
        </is>
      </c>
      <c r="BN1865" t="inlineStr">
        <is>
          <t>SX3PQ</t>
        </is>
      </c>
      <c r="BS1865" t="inlineStr">
        <is>
          <t>2023-10-26</t>
        </is>
      </c>
      <c r="BT1865" t="inlineStr">
        <is>
          <t>WOS:000665121000078</t>
        </is>
      </c>
      <c r="BU1865">
        <f>HYPERLINK("https%3A%2F%2Fwww.webofscience.com%2Fwos%2Fwoscc%2Ffull-record%2FWOS:000665121000078","View Full Record in Web of Science")</f>
        <v/>
      </c>
    </row>
    <row r="1866">
      <c r="A1866" t="inlineStr">
        <is>
          <t>J</t>
        </is>
      </c>
      <c r="B1866" t="inlineStr">
        <is>
          <t>Chen, Y; Aghaabbasi, M; Ali, M; Anciferov, S; Sabitov, L; Chebotarev, S; Nabiullina, K; Sychev, E; Fediuk, R; Zainol, R</t>
        </is>
      </c>
      <c r="F1866" t="inlineStr">
        <is>
          <t>Chen, Yu; Aghaabbasi, Mahdi; Ali, Mujahid; Anciferov, Sergey; Sabitov, Linar; Chebotarev, Sergey; Nabiullina, Karina; Sychev, Evgeny; Fediuk, Roman; Zainol, Rosilawati</t>
        </is>
      </c>
      <c r="J1866" t="inlineStr">
        <is>
          <t>SUSTAINABILITY</t>
        </is>
      </c>
      <c r="M1866" t="inlineStr">
        <is>
          <t>English</t>
        </is>
      </c>
      <c r="N1866" t="inlineStr">
        <is>
          <t>Article</t>
        </is>
      </c>
      <c r="T1866" t="inlineStr">
        <is>
          <t>Hybrid Bayesian Network Models to Investigate the Impact of Built Environment Experience before Adulthood on Students' Tolerable Travel Time to Campus: Towards Sustainable Commute Behavior</t>
        </is>
      </c>
      <c r="U1866" t="inlineStr">
        <is>
          <t>tolerable travel time; university students; built environment; early life-course; Bayesian network; machine learning</t>
        </is>
      </c>
      <c r="V1866" t="inlineStr">
        <is>
          <t>UNIVERSITY-STUDENTS; POSITIVE UTILITY; RANDOM FOREST; KEY EVENTS; CHOICE; WORK; DURATION; INERTIA; CONTEXT; DEMAND</t>
        </is>
      </c>
      <c r="W1866" t="inlineStr">
        <is>
          <t>This present study developed two predictive and associative Bayesian network models to forecast the tolerable travel time of university students to campus. This study considered the built environment experiences of university students during their early life-course as the main predictors of this study. The Bayesian network models were hybridized with the Pearson chi-square test to select the most relevant variables to predict the tolerable travel time. Two predictive models were developed. The first model was applied only to the variables of the built environment, while the second model was applied to all variables that were identified using the Pearson chi-square tests. The results showed that most students were inclined to choose the tolerable travel time of 0-20 min. Among the built environment predictors, the availability of residential buildings in the neighborhood in the age periods of 14-18 was the most important. Taking all the variables into account, distance from students' homes to campuses was the most important. The findings of this research imply that the built environment experiences of people during their early life-course may affect their future travel behaviors and tolerance. Besides, the outcome of this study can help planners create more sustainable commute behaviors among people in the future by building more compact and mixed-use neighborhoods.</t>
        </is>
      </c>
      <c r="X1866" t="inlineStr">
        <is>
          <t>[Chen, Yu] Hunan Univ, Sch Architecture, Changsha 410012, Peoples R China; [Chen, Yu] Hunan City Univ, Sch Architecture &amp; Urban Planning, Yiyang 413002, Peoples R China; [Aghaabbasi, Mahdi; Zainol, Rosilawati] Univ Malaya, Fac Built Environm, Ctr Sustainable Urban Planning &amp; Real Estate SUPR, Dept Urban &amp; Reg Planning, Kuala Lumpur 50603, Malaysia; [Ali, Mujahid] Univ Teknol Petronas, Dept Civil &amp; Environm Engn, Seri Iskandar 32610, Perak, Malaysia; [Anciferov, Sergey; Sychev, Evgeny] Belgorod State Technol Univ, Dept Mech Equipment, Belgorod 308012, Russia; [Sabitov, Linar; Nabiullina, Karina] Kazan Fed Univ, Dept Struct &amp; Design Engn, Kazan 420008, Russia; [Sabitov, Linar] Kazan State Power Engn Univ, Dept Energy Supply Enterprises Construct Bldg &amp; S, Kazan 420066, Russia; [Chebotarev, Sergey] Moscow State Univ Technol &amp; Management FCU, Moscow 109004, Russia; [Fediuk, Roman] Far Eastern Fed Univ, Vladivostok 690922, Russia; [Fediuk, Roman] Peter Great St Petersburg Polytech Univ, St Petersburg 195251, Russia</t>
        </is>
      </c>
      <c r="Y1866" t="inlineStr">
        <is>
          <t>Hunan University; Hunan City University; Universiti Malaya; Universiti Teknologi Petronas; Belgorod State Technological University; Kazan Federal University; Kazan State Power Engineering University; Far Eastern Federal University; Peter the Great St. Petersburg Polytechnic University</t>
        </is>
      </c>
      <c r="Z1866" t="inlineStr">
        <is>
          <t>Chen, Y (corresponding author), Hunan Univ, Sch Architecture, Changsha 410012, Peoples R China.;Chen, Y (corresponding author), Hunan City Univ, Sch Architecture &amp; Urban Planning, Yiyang 413002, Peoples R China.;Aghaabbasi, M (corresponding author), Univ Malaya, Fac Built Environm, Ctr Sustainable Urban Planning &amp; Real Estate SUPR, Dept Urban &amp; Reg Planning, Kuala Lumpur 50603, Malaysia.;Ali, M (corresponding author), Univ Teknol Petronas, Dept Civil &amp; Environm Engn, Seri Iskandar 32610, Perak, Malaysia.</t>
        </is>
      </c>
      <c r="AA1866" t="inlineStr">
        <is>
          <t>chenyu2020123@163.com; mahdi@um.edu.my; mujahid_19001704@utp.edu.my; anciferov.sergey@gmail.com; sabitov-kgasu@mail.ru; chebotarev.sergei@gmail.com; karina.nabiullina@kpfu.ru; evgeniy.sychov.015@gmail.com; fedyuk.rs@dvfu.ru; rosilawatizai@um.edu.my</t>
        </is>
      </c>
      <c r="AB1866" t="inlineStr">
        <is>
          <t>Fediuk, Roman S/N-6730-2017; Ali, Mujahid/AEP-6014-2022; Chebotarev, Sergei/E-8359-2014; Sabitov, Linar S/D-2999-2018; Sychev, Evgeniy/IVV-2115-2023; Zainol, Rosilawati/B-9603-2010; Ali, Mujahid/AAG-5503-2022</t>
        </is>
      </c>
      <c r="AC1866" t="inlineStr">
        <is>
          <t>Fediuk, Roman S/0000-0002-2279-1240; Ali, Mujahid/0000-0003-4376-0459; Chebotarev, Sergei/0000-0002-8700-4471; Sychev, Evgeniy/0000-0002-9112-1945; Zainol, Rosilawati/0000-0003-1132-8506; Ali, Mujahid/0000-0003-4376-0459; Aghaabbasi, Mahdi/0000-0003-2874-5429</t>
        </is>
      </c>
      <c r="AD1866" t="inlineStr">
        <is>
          <t>Ministry of Science and Higher Education of the Russian Federation [075-15-2021-1333]</t>
        </is>
      </c>
      <c r="AE1866" t="inlineStr">
        <is>
          <t>Ministry of Science and Higher Education of the Russian Federation</t>
        </is>
      </c>
      <c r="AF1866" t="inlineStr">
        <is>
          <t>The research is partially funded by the Ministry of Science and Higher Education of the Russian Federation under the strategic academic leadership program Priority 2030 (Agreement 075-15-2021-1333 dated 30 September 2021).</t>
        </is>
      </c>
      <c r="AH1866" t="n">
        <v>93</v>
      </c>
      <c r="AI1866" t="n">
        <v>4</v>
      </c>
      <c r="AJ1866" t="n">
        <v>4</v>
      </c>
      <c r="AK1866" t="n">
        <v>4</v>
      </c>
      <c r="AL1866" t="n">
        <v>21</v>
      </c>
      <c r="AM1866" t="inlineStr">
        <is>
          <t>MDPI</t>
        </is>
      </c>
      <c r="AN1866" t="inlineStr">
        <is>
          <t>BASEL</t>
        </is>
      </c>
      <c r="AO1866" t="inlineStr">
        <is>
          <t>ST ALBAN-ANLAGE 66, CH-4052 BASEL, SWITZERLAND</t>
        </is>
      </c>
      <c r="AQ1866" t="inlineStr">
        <is>
          <t>2071-1050</t>
        </is>
      </c>
      <c r="AS1866" t="inlineStr">
        <is>
          <t>SUSTAINABILITY-BASEL</t>
        </is>
      </c>
      <c r="AT1866" t="inlineStr">
        <is>
          <t>Sustainability</t>
        </is>
      </c>
      <c r="AU1866" t="inlineStr">
        <is>
          <t>JAN</t>
        </is>
      </c>
      <c r="AV1866" t="n">
        <v>2022</v>
      </c>
      <c r="AW1866" t="n">
        <v>14</v>
      </c>
      <c r="AX1866" t="n">
        <v>1</v>
      </c>
      <c r="BE1866" t="n">
        <v>325</v>
      </c>
      <c r="BF1866" t="inlineStr">
        <is>
          <t>10.3390/su14010325</t>
        </is>
      </c>
      <c r="BG1866">
        <f>HYPERLINK("http://dx.doi.org/10.3390/su14010325","http://dx.doi.org/10.3390/su14010325")</f>
        <v/>
      </c>
      <c r="BJ1866" t="n">
        <v>26</v>
      </c>
      <c r="BK1866" t="inlineStr">
        <is>
          <t>Green &amp; Sustainable Science &amp; Technology; Environmental Sciences; Environmental Studies</t>
        </is>
      </c>
      <c r="BL1866" t="inlineStr">
        <is>
          <t>Science Citation Index Expanded (SCI-EXPANDED); Social Science Citation Index (SSCI)</t>
        </is>
      </c>
      <c r="BM1866" t="inlineStr">
        <is>
          <t>Science &amp; Technology - Other Topics; Environmental Sciences &amp; Ecology</t>
        </is>
      </c>
      <c r="BN1866" t="inlineStr">
        <is>
          <t>YT3XJ</t>
        </is>
      </c>
      <c r="BP1866" t="inlineStr">
        <is>
          <t>gold</t>
        </is>
      </c>
      <c r="BS1866" t="inlineStr">
        <is>
          <t>2023-10-26</t>
        </is>
      </c>
      <c r="BT1866" t="inlineStr">
        <is>
          <t>WOS:000751296300001</t>
        </is>
      </c>
      <c r="BU1866">
        <f>HYPERLINK("https%3A%2F%2Fwww.webofscience.com%2Fwos%2Fwoscc%2Ffull-record%2FWOS:000751296300001","View Full Record in Web of Science")</f>
        <v/>
      </c>
    </row>
    <row r="1867">
      <c r="A1867" t="inlineStr">
        <is>
          <t>J</t>
        </is>
      </c>
      <c r="B1867" t="inlineStr">
        <is>
          <t>Alfahmi, AA; Curtain, CM; Salahudeen, MS</t>
        </is>
      </c>
      <c r="F1867" t="inlineStr">
        <is>
          <t>Alfahmi, Adel A.; Curtain, Colin M.; Salahudeen, Mohammed S.</t>
        </is>
      </c>
      <c r="J1867" t="inlineStr">
        <is>
          <t>INTERNATIONAL JOURNAL OF ENVIRONMENTAL RESEARCH AND PUBLIC HEALTH</t>
        </is>
      </c>
      <c r="M1867" t="inlineStr">
        <is>
          <t>English</t>
        </is>
      </c>
      <c r="N1867" t="inlineStr">
        <is>
          <t>Article</t>
        </is>
      </c>
      <c r="T1867" t="inlineStr">
        <is>
          <t>Assessment of Knowledge, Attitude and Practices of the Hospital and Community Pharmacists in Saudi Arabia (Jeddah) towards Inappropriate Medication Use in Older Adults</t>
        </is>
      </c>
      <c r="U1867" t="inlineStr">
        <is>
          <t>potentially inappropriate medication; PIMs; Beers criteria; older adults; STOPP; START; adverse drug reactions; pharmacists</t>
        </is>
      </c>
      <c r="V1867" t="inlineStr">
        <is>
          <t>ADVERSE DRUG-REACTIONS; SOCIETY BEERS CRITERIA; ELDERLY-PATIENTS; POLYPHARMACY; PREVALENCE; GERIATRICS; IMPACT; INTERVENTION; INFORMATION; PHYSICIANS</t>
        </is>
      </c>
      <c r="W1867" t="inlineStr">
        <is>
          <t>In Saudi Arabia, the older adult population is growing and is projected to increase three-fold by 2030. Potentially inappropriate medications (PIMs) are harmful to older adults' and have a direct impact on clinical, health and economic outcomes. Pharmacists have a vital role in medication tailoring for older adults as multidisciplinary team members. However, there is also a paucity of research regarding pharmacists' participation in detecting and avoiding PIMs use among older adults in Saudi Arabia. A cross-sectional, self-administered survey was conducted to assess the knowledge, practices, and attitude of pharmacists from seven hospitals and ten community pharmacies in Jeddah, Saudi Arabia. The survey comprised three sections; (i) identifying participants' general characteristics, (ii) assessing their knowledge of PIMs use in older adults and (iii) examining the pharmacist's attitude towards the procedures followed in dispensing for older adults. Inferential and descriptive statistics were used to analyse the survey data. A total of 157 community and hospital pharmacists participated in this study. Most of them dispensed medication weekly to older adults (85.4%), and 43.3% had relevant work experience of six to ten years. Though 44.6% of the participants were aware of PIMs that older adults should avoid, only 10.8% claimed adequate knowledge about PIMs. From the given three clinical case scenarios, a minority of pharmacists (21.7%) chose the correct answers, with a mean score of 2.38 +/- 2.91 (95% CI 2.35-3.15). Participants who claimed to have knowledge of PIMs had a significantly higher mean score than those who did not, 4.59 +/- 2.81 25 (95% CI 2.35-2.61). A minority of the pharmacists (14.7%) used screening tools such as STOPP, Beers criteria, or Medication Appropriateness Index (MAI) to detect PIMs in older adults. No statistically significant differences were detected when comparing the levels of knowledge of pharmacists with 1 to 5 years of practice to pharmacists with 6 to 15 and more years of experience (p = 0.431). Pharmacists' knowledge, attitude and practices toward PIMs use in older adults in Saudi Arabia should be improved. The application of PIMs detection tools such as STOPP/START or Beers criteria currently has no place in day-to-day pharmacists' roles in Saudi Arabia. Therefore, concerned stakeholders should develop educational programs to improve pharmacists' knowledge of PIMs and promote the effective use of PIM screening tools such as Beers and STOPP criteria in their practice.</t>
        </is>
      </c>
      <c r="X1867" t="inlineStr">
        <is>
          <t>[Alfahmi, Adel A.; Curtain, Colin M.; Salahudeen, Mohammed S.] Univ Tasmania, Coll Hlth &amp; Med, Sch Pharm &amp; Pharmacol, Hobart 7000, Australia</t>
        </is>
      </c>
      <c r="Y1867" t="inlineStr">
        <is>
          <t>University of Tasmania</t>
        </is>
      </c>
      <c r="Z1867" t="inlineStr">
        <is>
          <t>Salahudeen, MS (corresponding author), Univ Tasmania, Coll Hlth &amp; Med, Sch Pharm &amp; Pharmacol, Hobart 7000, Australia.</t>
        </is>
      </c>
      <c r="AA1867" t="inlineStr">
        <is>
          <t>mohammed.salahudeen@utas.edu.au</t>
        </is>
      </c>
      <c r="AB1867" t="inlineStr">
        <is>
          <t>Salahudeen, Mohammed S/X-7096-2019</t>
        </is>
      </c>
      <c r="AC1867" t="inlineStr">
        <is>
          <t>Salahudeen, Mohammed S/0000-0001-9131-7465; Alfahmi, Adel/0000-0003-4152-4145</t>
        </is>
      </c>
      <c r="AH1867" t="n">
        <v>48</v>
      </c>
      <c r="AI1867" t="n">
        <v>0</v>
      </c>
      <c r="AJ1867" t="n">
        <v>0</v>
      </c>
      <c r="AK1867" t="n">
        <v>0</v>
      </c>
      <c r="AL1867" t="n">
        <v>3</v>
      </c>
      <c r="AM1867" t="inlineStr">
        <is>
          <t>MDPI</t>
        </is>
      </c>
      <c r="AN1867" t="inlineStr">
        <is>
          <t>BASEL</t>
        </is>
      </c>
      <c r="AO1867" t="inlineStr">
        <is>
          <t>ST ALBAN-ANLAGE 66, CH-4052 BASEL, SWITZERLAND</t>
        </is>
      </c>
      <c r="AQ1867" t="inlineStr">
        <is>
          <t>1660-4601</t>
        </is>
      </c>
      <c r="AS1867" t="inlineStr">
        <is>
          <t>INT J ENV RES PUB HE</t>
        </is>
      </c>
      <c r="AT1867" t="inlineStr">
        <is>
          <t>Int. J. Environ. Res. Public Health</t>
        </is>
      </c>
      <c r="AU1867" t="inlineStr">
        <is>
          <t>JAN</t>
        </is>
      </c>
      <c r="AV1867" t="n">
        <v>2023</v>
      </c>
      <c r="AW1867" t="n">
        <v>20</v>
      </c>
      <c r="AX1867" t="n">
        <v>2</v>
      </c>
      <c r="BE1867" t="n">
        <v>1635</v>
      </c>
      <c r="BF1867" t="inlineStr">
        <is>
          <t>10.3390/ijerph20021635</t>
        </is>
      </c>
      <c r="BG1867">
        <f>HYPERLINK("http://dx.doi.org/10.3390/ijerph20021635","http://dx.doi.org/10.3390/ijerph20021635")</f>
        <v/>
      </c>
      <c r="BJ1867" t="n">
        <v>13</v>
      </c>
      <c r="BK1867" t="inlineStr">
        <is>
          <t>Environmental Sciences; Public, Environmental &amp; Occupational Health</t>
        </is>
      </c>
      <c r="BL1867" t="inlineStr">
        <is>
          <t>Science Citation Index Expanded (SCI-EXPANDED); Social Science Citation Index (SSCI)</t>
        </is>
      </c>
      <c r="BM1867" t="inlineStr">
        <is>
          <t>Environmental Sciences &amp; Ecology; Public, Environmental &amp; Occupational Health</t>
        </is>
      </c>
      <c r="BN1867" t="inlineStr">
        <is>
          <t>7Y9CQ</t>
        </is>
      </c>
      <c r="BO1867" t="n">
        <v>36674385</v>
      </c>
      <c r="BP1867" t="inlineStr">
        <is>
          <t>Green Published, gold</t>
        </is>
      </c>
      <c r="BS1867" t="inlineStr">
        <is>
          <t>2023-10-26</t>
        </is>
      </c>
      <c r="BT1867" t="inlineStr">
        <is>
          <t>WOS:000915168100001</t>
        </is>
      </c>
      <c r="BU1867">
        <f>HYPERLINK("https%3A%2F%2Fwww.webofscience.com%2Fwos%2Fwoscc%2Ffull-record%2FWOS:000915168100001","View Full Record in Web of Science")</f>
        <v/>
      </c>
    </row>
    <row r="1868">
      <c r="A1868" t="inlineStr">
        <is>
          <t>J</t>
        </is>
      </c>
      <c r="B1868" t="inlineStr">
        <is>
          <t>Contoli, B; Possenti, V; Gallo, R; Minardi, V; Masocco, M</t>
        </is>
      </c>
      <c r="F1868" t="inlineStr">
        <is>
          <t>Contoli, Benedetta; Possenti, Valentina; Gallo, Rosaria; Minardi, Valentina; Masocco, Maria</t>
        </is>
      </c>
      <c r="J1868" t="inlineStr">
        <is>
          <t>INTERNATIONAL JOURNAL OF ENVIRONMENTAL RESEARCH AND PUBLIC HEALTH</t>
        </is>
      </c>
      <c r="M1868" t="inlineStr">
        <is>
          <t>English</t>
        </is>
      </c>
      <c r="N1868" t="inlineStr">
        <is>
          <t>Article</t>
        </is>
      </c>
      <c r="T1868" t="inlineStr">
        <is>
          <t>Data from the PASSI d'Argento Surveillance System on Difficulties Met by Older Adults in Accessing Health Services in Italy as Major Risk Factor to Health Outcomes</t>
        </is>
      </c>
      <c r="U1868" t="inlineStr">
        <is>
          <t>age-friendly health systems; older adults; surveillance system; health service accessibility; prevention; Italy</t>
        </is>
      </c>
      <c r="V1868" t="inlineStr">
        <is>
          <t>PHYSICAL-ACTIVITY SCALE; ELDERLY PASE; DETERMINANTS</t>
        </is>
      </c>
      <c r="W1868" t="inlineStr">
        <is>
          <t>(1) Age-friendly health systems ensure access to quality healthcare services to all people, especially older adults. (2) We used data on elderly population collected from 2016 to 2019 by the Italian ongoing surveillance system PASSI d'Argento to analyze the prevalence and associations between accessing health services and modifiable risk factors included in the 25 x 25 strategy for the burden of noncommunicable diseases with health outcomes. (3) Chronic diseases and hospitalization as descriptors of health status showed that the elderly perceived as having poor access to care and prevention incurred a higher risk of hospitalization. The association between difficulties in accessing health services and hospitalization was always the highest in terms of the adjusted prevalence ratio (aPR), regardless of the other behavioral risk factors considered, controlling each model with sociodemographic conditions. Elderly hospitalized at least once for two days or more in the last 12 months had greater risk to have problems in accessing health services, whereas the model included health conditions such as obesity (aPR = 1.95 95% CI 1.75-2.17), smoking (aPR = 1.95 95% CI 1.76-2.16), alcohol use (aPR = 1.93 95% CI 1.73-2.14), hypertension (aPR = 1.92 95% CI 1.73-2.13) and diabetes (aPR = 1.91 95% CI 1.73-2.12). (4) Health policies should encompass socio-economic and living environment barriers which prevent access to care among older adults.</t>
        </is>
      </c>
      <c r="X1868" t="inlineStr">
        <is>
          <t>[Contoli, Benedetta; Possenti, Valentina; Minardi, Valentina; Masocco, Maria] Ist Super Sanita, Natl Ctr Dis Prevent &amp; Hlth Promot, I-00161 Rome, Italy; [Gallo, Rosaria] Local Hlth Unit Roma 2, Primary Healthcare Unit, Hlth Dist 9, I-00159 Rome, Italy; [Gallo, Rosaria] Sapienza Univ Rome, PhD Course Adv Infect Dis Microbiol Legal Med &amp; P, I-00185 Rome, Italy</t>
        </is>
      </c>
      <c r="Y1868" t="inlineStr">
        <is>
          <t>Istituto Superiore di Sanita (ISS); Sapienza University Rome</t>
        </is>
      </c>
      <c r="Z1868" t="inlineStr">
        <is>
          <t>Possenti, V (corresponding author), Ist Super Sanita, Natl Ctr Dis Prevent &amp; Hlth Promot, I-00161 Rome, Italy.</t>
        </is>
      </c>
      <c r="AA1868" t="inlineStr">
        <is>
          <t>valentina.possenti@iss.it</t>
        </is>
      </c>
      <c r="AB1868" t="inlineStr">
        <is>
          <t>Masocco, Maria/IWM-6336-2023</t>
        </is>
      </c>
      <c r="AC1868" t="inlineStr">
        <is>
          <t>Contoli, Benedetta/0000-0003-0479-7822; minardi, valentina/0000-0002-3512-3778; Possenti, Valentina/0000-0001-7906-5066</t>
        </is>
      </c>
      <c r="AD1868" t="inlineStr">
        <is>
          <t>Local Health Unit Prevention Departments</t>
        </is>
      </c>
      <c r="AE1868" t="inlineStr">
        <is>
          <t>Local Health Unit Prevention Departments</t>
        </is>
      </c>
      <c r="AF1868" t="inlineStr">
        <is>
          <t>The authors gratefully acknowledge the contribution and support of the whole PASSI d'Argento network from the Local Health Unit Prevention Departments, including the interviewers, coordinators and reference persons at local and regional levels. We also thank the many elderly who generously spent their time to join in the survey.</t>
        </is>
      </c>
      <c r="AH1868" t="n">
        <v>40</v>
      </c>
      <c r="AI1868" t="n">
        <v>0</v>
      </c>
      <c r="AJ1868" t="n">
        <v>0</v>
      </c>
      <c r="AK1868" t="n">
        <v>1</v>
      </c>
      <c r="AL1868" t="n">
        <v>1</v>
      </c>
      <c r="AM1868" t="inlineStr">
        <is>
          <t>MDPI</t>
        </is>
      </c>
      <c r="AN1868" t="inlineStr">
        <is>
          <t>BASEL</t>
        </is>
      </c>
      <c r="AO1868" t="inlineStr">
        <is>
          <t>ST ALBAN-ANLAGE 66, CH-4052 BASEL, SWITZERLAND</t>
        </is>
      </c>
      <c r="AQ1868" t="inlineStr">
        <is>
          <t>1660-4601</t>
        </is>
      </c>
      <c r="AS1868" t="inlineStr">
        <is>
          <t>INT J ENV RES PUB HE</t>
        </is>
      </c>
      <c r="AT1868" t="inlineStr">
        <is>
          <t>Int. J. Environ. Res. Public Health</t>
        </is>
      </c>
      <c r="AU1868" t="inlineStr">
        <is>
          <t>AUG</t>
        </is>
      </c>
      <c r="AV1868" t="n">
        <v>2022</v>
      </c>
      <c r="AW1868" t="n">
        <v>19</v>
      </c>
      <c r="AX1868" t="n">
        <v>16</v>
      </c>
      <c r="BE1868" t="n">
        <v>10340</v>
      </c>
      <c r="BF1868" t="inlineStr">
        <is>
          <t>10.3390/ijerph191610340</t>
        </is>
      </c>
      <c r="BG1868">
        <f>HYPERLINK("http://dx.doi.org/10.3390/ijerph191610340","http://dx.doi.org/10.3390/ijerph191610340")</f>
        <v/>
      </c>
      <c r="BJ1868" t="n">
        <v>11</v>
      </c>
      <c r="BK1868" t="inlineStr">
        <is>
          <t>Environmental Sciences; Public, Environmental &amp; Occupational Health</t>
        </is>
      </c>
      <c r="BL1868" t="inlineStr">
        <is>
          <t>Science Citation Index Expanded (SCI-EXPANDED); Social Science Citation Index (SSCI)</t>
        </is>
      </c>
      <c r="BM1868" t="inlineStr">
        <is>
          <t>Environmental Sciences &amp; Ecology; Public, Environmental &amp; Occupational Health</t>
        </is>
      </c>
      <c r="BN1868" t="inlineStr">
        <is>
          <t>4B2XS</t>
        </is>
      </c>
      <c r="BO1868" t="n">
        <v>36011973</v>
      </c>
      <c r="BP1868" t="inlineStr">
        <is>
          <t>gold, Green Published</t>
        </is>
      </c>
      <c r="BS1868" t="inlineStr">
        <is>
          <t>2023-10-26</t>
        </is>
      </c>
      <c r="BT1868" t="inlineStr">
        <is>
          <t>WOS:000845647700001</t>
        </is>
      </c>
      <c r="BU1868">
        <f>HYPERLINK("https%3A%2F%2Fwww.webofscience.com%2Fwos%2Fwoscc%2Ffull-record%2FWOS:000845647700001","View Full Record in Web of Science")</f>
        <v/>
      </c>
    </row>
    <row r="1869">
      <c r="A1869" t="inlineStr">
        <is>
          <t>J</t>
        </is>
      </c>
      <c r="B1869" t="inlineStr">
        <is>
          <t>Isabet, B; Pino, M; Lewis, M; Benveniste, S; Rigaud, AS</t>
        </is>
      </c>
      <c r="F1869" t="inlineStr">
        <is>
          <t>Isabet, Baptiste; Pino, Maribel; Lewis, Manon; Benveniste, Samuel; Rigaud, Anne-Sophie</t>
        </is>
      </c>
      <c r="J1869" t="inlineStr">
        <is>
          <t>INTERNATIONAL JOURNAL OF ENVIRONMENTAL RESEARCH AND PUBLIC HEALTH</t>
        </is>
      </c>
      <c r="M1869" t="inlineStr">
        <is>
          <t>English</t>
        </is>
      </c>
      <c r="N1869" t="inlineStr">
        <is>
          <t>Review</t>
        </is>
      </c>
      <c r="T1869" t="inlineStr">
        <is>
          <t>Social Telepresence Robots: A Narrative Review of Experiments Involving Older Adults before and during the COVID-19 Pandemic</t>
        </is>
      </c>
      <c r="U1869" t="inlineStr">
        <is>
          <t>older adults; telepresence robots; loneliness; COVID-19; health technology assessment</t>
        </is>
      </c>
      <c r="W1869" t="inlineStr">
        <is>
          <t>Social isolation is a common phenomenon among the elderly. Retirement, widowhood, and increased prevalence of chronic diseases in this age group lead to a decline in social relationships, which in turn has adverse consequences on health and well-being. The coronavirus COVID-19 crisis worsened this situation, raising interest for mobile telepresence robots (MTR) that would help create, maintain, and strengthen social relationships. MTR are tools equipped with a camera, monitor, microphone, and speaker, with a body on wheels that allows for remote-controlled and sometimes autonomous movement aiming to provide easy access to assistance and networking services. We conducted a narrative review of literature describing experimental studies of MTR involving elderly people over the last 20 years, including during the COVID-19 period. The aim of this review was to examine whether MTR use was beneficial for reducing loneliness and social isolation among older adults at home and in health and care institutions and to examine the current benefits and barriers to their use and implementation. We screened 1754 references and included 24 research papers focusing on the usability, acceptability, and effectiveness of MTR. News reports on MTR use during the COVID-19 period were also examined. A qualitative, multidimensional analysis methodology inspired by a health technology assessment model was used to identify facilitating and limiting factors and investigate if and how MTR could reduce social isolation in elderly people. Reviewed studies provide encouraging evidence that MTR have potential in this regard, as experiments report positive feedback on MTR design and core functionalities. However, our analysis also points to specific technical, ergonomic, and ethical challenges that remain to be solved, highlighting the need for further multidimensional research on the design and impact of MTR interventions for older adults and building on new insights gained during the COVID-19 pandemic.</t>
        </is>
      </c>
      <c r="X1869" t="inlineStr">
        <is>
          <t>[Isabet, Baptiste; Pino, Maribel; Benveniste, Samuel; Rigaud, Anne-Sophie] Univ Paris, Fac Med, EA 4468, F-75006 Paris, France; [Isabet, Baptiste; Pino, Maribel; Benveniste, Samuel; Rigaud, Anne-Sophie] Hop Broca, AP HP, F-75013 Paris, France; [Lewis, Manon] Newcastle Univ, Fac Med Sci, Sch Psychol, Newcastle Upon Tyne NE1 7RU, Tyne &amp; Wear, England; [Benveniste, Samuel] CEN Stimco, F-75013 Paris, France</t>
        </is>
      </c>
      <c r="Y1869" t="inlineStr">
        <is>
          <t>UDICE-French Research Universities; Universite Paris Cite; UDICE-French Research Universities; Universite Paris Cite; Assistance Publique Hopitaux Paris (APHP); Hopital Universitaire Hotel-Dieu - APHP; Hopital Universitaire Cochin - APHP; Hopital Universitaire Paul-Brousse - APHP; Hopital Universitaire Broca - APHP; Hopital Universitaire Saint-Louis - APHP; Newcastle University - UK</t>
        </is>
      </c>
      <c r="Z1869" t="inlineStr">
        <is>
          <t>Rigaud, AS (corresponding author), Univ Paris, Fac Med, EA 4468, F-75006 Paris, France.;Rigaud, AS (corresponding author), Hop Broca, AP HP, F-75013 Paris, France.</t>
        </is>
      </c>
      <c r="AA1869" t="inlineStr">
        <is>
          <t>baptiste.isabet@brocalivinglab.org; maribel.pino@aphp.fr; m.lewis6@newcastle.ac.uk; samuel.benveniste@censtimco.org; anne-sophie.rigaud@aphp.fr</t>
        </is>
      </c>
      <c r="AD1869" t="inlineStr">
        <is>
          <t>Paris Ile-de-France Region; Geronf'IF (gerontopole d'Ile de France); Fondation du Domicile</t>
        </is>
      </c>
      <c r="AE1869" t="inlineStr">
        <is>
          <t>Paris Ile-de-France Region; Geronf'IF (gerontopole d'Ile de France); Fondation du Domicile</t>
        </is>
      </c>
      <c r="AF1869" t="inlineStr">
        <is>
          <t>This work was supported by the Paris Ile-de-France Region, Geronf'IF (gerontopole d'Ile de France), and Fondation du Domicile.</t>
        </is>
      </c>
      <c r="AH1869" t="n">
        <v>58</v>
      </c>
      <c r="AI1869" t="n">
        <v>32</v>
      </c>
      <c r="AJ1869" t="n">
        <v>33</v>
      </c>
      <c r="AK1869" t="n">
        <v>4</v>
      </c>
      <c r="AL1869" t="n">
        <v>41</v>
      </c>
      <c r="AM1869" t="inlineStr">
        <is>
          <t>MDPI</t>
        </is>
      </c>
      <c r="AN1869" t="inlineStr">
        <is>
          <t>BASEL</t>
        </is>
      </c>
      <c r="AO1869" t="inlineStr">
        <is>
          <t>ST ALBAN-ANLAGE 66, CH-4052 BASEL, SWITZERLAND</t>
        </is>
      </c>
      <c r="AQ1869" t="inlineStr">
        <is>
          <t>1660-4601</t>
        </is>
      </c>
      <c r="AS1869" t="inlineStr">
        <is>
          <t>INT J ENV RES PUB HE</t>
        </is>
      </c>
      <c r="AT1869" t="inlineStr">
        <is>
          <t>Int. J. Environ. Res. Public Health</t>
        </is>
      </c>
      <c r="AU1869" t="inlineStr">
        <is>
          <t>APR</t>
        </is>
      </c>
      <c r="AV1869" t="n">
        <v>2021</v>
      </c>
      <c r="AW1869" t="n">
        <v>18</v>
      </c>
      <c r="AX1869" t="n">
        <v>7</v>
      </c>
      <c r="BE1869" t="n">
        <v>3597</v>
      </c>
      <c r="BF1869" t="inlineStr">
        <is>
          <t>10.3390/ijerph18073597</t>
        </is>
      </c>
      <c r="BG1869">
        <f>HYPERLINK("http://dx.doi.org/10.3390/ijerph18073597","http://dx.doi.org/10.3390/ijerph18073597")</f>
        <v/>
      </c>
      <c r="BJ1869" t="n">
        <v>26</v>
      </c>
      <c r="BK1869" t="inlineStr">
        <is>
          <t>Environmental Sciences; Public, Environmental &amp; Occupational Health</t>
        </is>
      </c>
      <c r="BL1869" t="inlineStr">
        <is>
          <t>Science Citation Index Expanded (SCI-EXPANDED); Social Science Citation Index (SSCI)</t>
        </is>
      </c>
      <c r="BM1869" t="inlineStr">
        <is>
          <t>Environmental Sciences &amp; Ecology; Public, Environmental &amp; Occupational Health</t>
        </is>
      </c>
      <c r="BN1869" t="inlineStr">
        <is>
          <t>RK8IT</t>
        </is>
      </c>
      <c r="BO1869" t="n">
        <v>33808457</v>
      </c>
      <c r="BP1869" t="inlineStr">
        <is>
          <t>gold, Green Published</t>
        </is>
      </c>
      <c r="BS1869" t="inlineStr">
        <is>
          <t>2023-10-26</t>
        </is>
      </c>
      <c r="BT1869" t="inlineStr">
        <is>
          <t>WOS:000638533500001</t>
        </is>
      </c>
      <c r="BU1869">
        <f>HYPERLINK("https%3A%2F%2Fwww.webofscience.com%2Fwos%2Fwoscc%2Ffull-record%2FWOS:000638533500001","View Full Record in Web of Science")</f>
        <v/>
      </c>
    </row>
    <row r="1870">
      <c r="A1870" t="inlineStr">
        <is>
          <t>J</t>
        </is>
      </c>
      <c r="B1870" t="inlineStr">
        <is>
          <t>Liu, Q; Pan, HM; Wu, YY</t>
        </is>
      </c>
      <c r="F1870" t="inlineStr">
        <is>
          <t>Liu, Qian; Pan, Haimin; Wu, Yuanyuan</t>
        </is>
      </c>
      <c r="J1870" t="inlineStr">
        <is>
          <t>INTERNATIONAL JOURNAL OF ENVIRONMENTAL RESEARCH AND PUBLIC HEALTH</t>
        </is>
      </c>
      <c r="M1870" t="inlineStr">
        <is>
          <t>English</t>
        </is>
      </c>
      <c r="N1870" t="inlineStr">
        <is>
          <t>Article</t>
        </is>
      </c>
      <c r="T1870" t="inlineStr">
        <is>
          <t>Migration Status, Internet Use, and Social Participation among Middle-Aged and Older Adults in China: Consequences for Depression</t>
        </is>
      </c>
      <c r="U1870" t="inlineStr">
        <is>
          <t>migration status; internet use; social participation; depressive symptoms; middle-aged and older adults</t>
        </is>
      </c>
      <c r="V1870" t="inlineStr">
        <is>
          <t>HEALTH; EXPLORATION; ASSOCIATION; TECHNOLOGY; POPULATION; COMMUNITY; SYMPTOMS; SUPPORT; LEISURE; PEOPLE</t>
        </is>
      </c>
      <c r="W1870" t="inlineStr">
        <is>
          <t>This study aimed to examine the underlying relationship between migration status and depressive symptoms among middle-aged and older adults in China. Data were derived from three waves of panel data (2011, 2013, and 2015) from the China Health and Retirement Longitudinal Study. Two-level regression models and generalized structural equation modeling were run to fit the data. The results showed that migration status of the respondents could ameliorate their depression (beta= -0.02,p&lt; 0.01), so did internet use (beta= -0.02,p&lt; 0.001), and social participation (beta= -0.06,p&lt; 0.001). The indirect effects of migration status on depression through internet use and of internet use on depression through social participation existed. The effects of migration status, internet use, and social participation in decreasing depression were discussed. Provided the associations among migration status, internet use, social participation, and depression, attention should be paid on increasing protective aspects of migration among middle-aged and older adults, such as internet use and social participation, to enhance their mental health.</t>
        </is>
      </c>
      <c r="X1870" t="inlineStr">
        <is>
          <t>[Liu, Qian; Wu, Yuanyuan] Hunan Normal Univ, Sch Publ Adm, Changsha 410081, Peoples R China; [Pan, Haimin] Zhejiang Univ, Dept Sociol, Hangzhou 310058, Peoples R China</t>
        </is>
      </c>
      <c r="Y1870" t="inlineStr">
        <is>
          <t>Hunan Normal University; Zhejiang University</t>
        </is>
      </c>
      <c r="Z1870" t="inlineStr">
        <is>
          <t>Pan, HM (corresponding author), Zhejiang Univ, Dept Sociol, Hangzhou 310058, Peoples R China.</t>
        </is>
      </c>
      <c r="AA1870" t="inlineStr">
        <is>
          <t>liuqian67520@126.com; hmpan3-c@my.cityu.edu.hk; wyy13466847694@163.com</t>
        </is>
      </c>
      <c r="AB1870" t="inlineStr">
        <is>
          <t>刘, 茜/HGC-7465-2022; 刘, 茜/JJC-2886-2023</t>
        </is>
      </c>
      <c r="AC1870" t="inlineStr">
        <is>
          <t>Pan, Haimin/0000-0003-3702-8552; Liu, Qian/0000-0001-6468-821X</t>
        </is>
      </c>
      <c r="AD1870" t="inlineStr">
        <is>
          <t>National Social Science Fund of China [16BSH081]</t>
        </is>
      </c>
      <c r="AE1870" t="inlineStr">
        <is>
          <t>National Social Science Fund of China</t>
        </is>
      </c>
      <c r="AF1870" t="inlineStr">
        <is>
          <t>This study was funded by National Social Science Fund of China (16BSH081).</t>
        </is>
      </c>
      <c r="AH1870" t="n">
        <v>59</v>
      </c>
      <c r="AI1870" t="n">
        <v>20</v>
      </c>
      <c r="AJ1870" t="n">
        <v>20</v>
      </c>
      <c r="AK1870" t="n">
        <v>12</v>
      </c>
      <c r="AL1870" t="n">
        <v>86</v>
      </c>
      <c r="AM1870" t="inlineStr">
        <is>
          <t>MDPI</t>
        </is>
      </c>
      <c r="AN1870" t="inlineStr">
        <is>
          <t>BASEL</t>
        </is>
      </c>
      <c r="AO1870" t="inlineStr">
        <is>
          <t>ST ALBAN-ANLAGE 66, CH-4052 BASEL, SWITZERLAND</t>
        </is>
      </c>
      <c r="AQ1870" t="inlineStr">
        <is>
          <t>1660-4601</t>
        </is>
      </c>
      <c r="AS1870" t="inlineStr">
        <is>
          <t>INT J ENV RES PUB HE</t>
        </is>
      </c>
      <c r="AT1870" t="inlineStr">
        <is>
          <t>Int. J. Environ. Res. Public Health</t>
        </is>
      </c>
      <c r="AU1870" t="inlineStr">
        <is>
          <t>AUG</t>
        </is>
      </c>
      <c r="AV1870" t="n">
        <v>2020</v>
      </c>
      <c r="AW1870" t="n">
        <v>17</v>
      </c>
      <c r="AX1870" t="n">
        <v>16</v>
      </c>
      <c r="BE1870" t="n">
        <v>6007</v>
      </c>
      <c r="BF1870" t="inlineStr">
        <is>
          <t>10.3390/ijerph17166007</t>
        </is>
      </c>
      <c r="BG1870">
        <f>HYPERLINK("http://dx.doi.org/10.3390/ijerph17166007","http://dx.doi.org/10.3390/ijerph17166007")</f>
        <v/>
      </c>
      <c r="BJ1870" t="n">
        <v>13</v>
      </c>
      <c r="BK1870" t="inlineStr">
        <is>
          <t>Environmental Sciences; Public, Environmental &amp; Occupational Health</t>
        </is>
      </c>
      <c r="BL1870" t="inlineStr">
        <is>
          <t>Science Citation Index Expanded (SCI-EXPANDED); Social Science Citation Index (SSCI)</t>
        </is>
      </c>
      <c r="BM1870" t="inlineStr">
        <is>
          <t>Environmental Sciences &amp; Ecology; Public, Environmental &amp; Occupational Health</t>
        </is>
      </c>
      <c r="BN1870" t="inlineStr">
        <is>
          <t>NI0LU</t>
        </is>
      </c>
      <c r="BO1870" t="n">
        <v>32824867</v>
      </c>
      <c r="BP1870" t="inlineStr">
        <is>
          <t>gold, Green Published</t>
        </is>
      </c>
      <c r="BS1870" t="inlineStr">
        <is>
          <t>2023-10-26</t>
        </is>
      </c>
      <c r="BT1870" t="inlineStr">
        <is>
          <t>WOS:000565051600001</t>
        </is>
      </c>
      <c r="BU1870">
        <f>HYPERLINK("https%3A%2F%2Fwww.webofscience.com%2Fwos%2Fwoscc%2Ffull-record%2FWOS:000565051600001","View Full Record in Web of Science")</f>
        <v/>
      </c>
    </row>
    <row r="1871">
      <c r="A1871" t="inlineStr">
        <is>
          <t>J</t>
        </is>
      </c>
      <c r="B1871" t="inlineStr">
        <is>
          <t>Cuthill, N; Cao, MQ; Liu, YQ; Gao, X; Zhang, YR</t>
        </is>
      </c>
      <c r="F1871" t="inlineStr">
        <is>
          <t>Cuthill, Neil; Cao, Mengqiu; Liu, Yuqi; Gao, Xing; Zhang, Yuerong</t>
        </is>
      </c>
      <c r="J1871" t="inlineStr">
        <is>
          <t>SUSTAINABILITY</t>
        </is>
      </c>
      <c r="M1871" t="inlineStr">
        <is>
          <t>English</t>
        </is>
      </c>
      <c r="N1871" t="inlineStr">
        <is>
          <t>Article</t>
        </is>
      </c>
      <c r="T1871" t="inlineStr">
        <is>
          <t>The Association between Urban Public Transport Infrastructure and Social Equity and Spatial Accessibility within the Urban Environment: An Investigation of Tramlink in London</t>
        </is>
      </c>
      <c r="U1871" t="inlineStr">
        <is>
          <t>transport infrastructure investment; urban transport; social equity; spatial accessibility; geographically weighted regression; urban environment; light railway (Tramlink); London</t>
        </is>
      </c>
      <c r="V1871" t="inlineStr">
        <is>
          <t>GEOGRAPHICALLY WEIGHTED REGRESSION; BUILT ENVIRONMENT; IMPACTS; SUSTAINABILITY; CAUSALITY; MIGRANTS; MODELS; ACCESS; ENERGY</t>
        </is>
      </c>
      <c r="W1871" t="inlineStr">
        <is>
          <t>The pursuit of sustainability has been at the forefront of contemporary planning initiatives. However, most recent research has focused on the environmental and economic aspects of developing sustainable urban environment, whilst largely neglecting the social aspects. Contemporary political thinking in the UK often disregards the potential of the urban infrastructure to improve social equity. The aim of this study was to analyse the impact of transport infrastructure on a variety of social measures, in an empirical and ideologically unbiased fashion, using both quantitative and qualitative methods. We selected Tramlink as a case study: a light-rail system in the London Borough of Croydon which began operation in 2000. We used quantitative methods, including advanced spatial statistics, to produce a more detailed analysis of social equity than has been previously published. This acknowledges that determining localised issues can produce more informed and effective policy interventions. Our results demonstrate that the physical properties of transport infrastructure and the non-physical attributes of society, in combination, help to create opportunities for individuals to succeed. We also find that in order to reduce the negative effects of austerity, public money could be more effectively spent if diverted to areas that are most in need which can be highlighted through localised investigations.</t>
        </is>
      </c>
      <c r="X1871" t="inlineStr">
        <is>
          <t>[Cuthill, Neil; Cao, Mengqiu; Gao, Xing; Zhang, Yuerong] UCL, Bartlett Sch Planning, London WC1H 0NN, England; [Cao, Mengqiu] Univ Westminster, Dept Planning &amp; Transport, London NW1 5LS, England; [Liu, Yuqi] Univ Hong Kong, Dept Urban Planning &amp; Design, Hong Kong, Peoples R China</t>
        </is>
      </c>
      <c r="Y1871" t="inlineStr">
        <is>
          <t>University of London; University College London; University of Westminster; University of Hong Kong</t>
        </is>
      </c>
      <c r="Z1871" t="inlineStr">
        <is>
          <t>Cao, MQ (corresponding author), UCL, Bartlett Sch Planning, London WC1H 0NN, England.;Cao, MQ (corresponding author), Univ Westminster, Dept Planning &amp; Transport, London NW1 5LS, England.</t>
        </is>
      </c>
      <c r="AA1871" t="inlineStr">
        <is>
          <t>neil.cuthill.16@ucl.ac.uk; mengqiu.cao.13@ucl.ac.uk; yuqiliu6@hku.hk; xing.gao@ucl.ac.uk; yuerong.zhang.14@ucl.ac.uk</t>
        </is>
      </c>
      <c r="AC1871" t="inlineStr">
        <is>
          <t>Cao, Mengqiu/0000-0001-8670-4735</t>
        </is>
      </c>
      <c r="AD1871" t="inlineStr">
        <is>
          <t>National Natural Science Foundation of China [51808392]; EPSRC [EP/R035199/1] Funding Source: UKRI</t>
        </is>
      </c>
      <c r="AE1871" t="inlineStr">
        <is>
          <t>National Natural Science Foundation of China(National Natural Science Foundation of China (NSFC)); EPSRC(UK Research &amp; Innovation (UKRI)Engineering &amp; Physical Sciences Research Council (EPSRC))</t>
        </is>
      </c>
      <c r="AF1871" t="inlineStr">
        <is>
          <t>This research is partly funded by the National Natural Science Foundation of China (Project No. 51808392).</t>
        </is>
      </c>
      <c r="AH1871" t="n">
        <v>88</v>
      </c>
      <c r="AI1871" t="n">
        <v>29</v>
      </c>
      <c r="AJ1871" t="n">
        <v>29</v>
      </c>
      <c r="AK1871" t="n">
        <v>5</v>
      </c>
      <c r="AL1871" t="n">
        <v>40</v>
      </c>
      <c r="AM1871" t="inlineStr">
        <is>
          <t>MDPI</t>
        </is>
      </c>
      <c r="AN1871" t="inlineStr">
        <is>
          <t>BASEL</t>
        </is>
      </c>
      <c r="AO1871" t="inlineStr">
        <is>
          <t>ST ALBAN-ANLAGE 66, CH-4052 BASEL, SWITZERLAND</t>
        </is>
      </c>
      <c r="AQ1871" t="inlineStr">
        <is>
          <t>2071-1050</t>
        </is>
      </c>
      <c r="AS1871" t="inlineStr">
        <is>
          <t>SUSTAINABILITY-BASEL</t>
        </is>
      </c>
      <c r="AT1871" t="inlineStr">
        <is>
          <t>Sustainability</t>
        </is>
      </c>
      <c r="AU1871" t="inlineStr">
        <is>
          <t>MAR 1</t>
        </is>
      </c>
      <c r="AV1871" t="n">
        <v>2019</v>
      </c>
      <c r="AW1871" t="n">
        <v>11</v>
      </c>
      <c r="AX1871" t="n">
        <v>5</v>
      </c>
      <c r="BE1871" t="n">
        <v>1229</v>
      </c>
      <c r="BF1871" t="inlineStr">
        <is>
          <t>10.3390/su11051229</t>
        </is>
      </c>
      <c r="BG1871">
        <f>HYPERLINK("http://dx.doi.org/10.3390/su11051229","http://dx.doi.org/10.3390/su11051229")</f>
        <v/>
      </c>
      <c r="BJ1871" t="n">
        <v>18</v>
      </c>
      <c r="BK1871" t="inlineStr">
        <is>
          <t>Green &amp; Sustainable Science &amp; Technology; Environmental Sciences; Environmental Studies</t>
        </is>
      </c>
      <c r="BL1871" t="inlineStr">
        <is>
          <t>Science Citation Index Expanded (SCI-EXPANDED); Social Science Citation Index (SSCI)</t>
        </is>
      </c>
      <c r="BM1871" t="inlineStr">
        <is>
          <t>Science &amp; Technology - Other Topics; Environmental Sciences &amp; Ecology</t>
        </is>
      </c>
      <c r="BN1871" t="inlineStr">
        <is>
          <t>HQ8GA</t>
        </is>
      </c>
      <c r="BP1871" t="inlineStr">
        <is>
          <t>Green Accepted, Green Published, gold</t>
        </is>
      </c>
      <c r="BS1871" t="inlineStr">
        <is>
          <t>2023-10-26</t>
        </is>
      </c>
      <c r="BT1871" t="inlineStr">
        <is>
          <t>WOS:000462661000013</t>
        </is>
      </c>
      <c r="BU1871">
        <f>HYPERLINK("https%3A%2F%2Fwww.webofscience.com%2Fwos%2Fwoscc%2Ffull-record%2FWOS:000462661000013","View Full Record in Web of Science")</f>
        <v/>
      </c>
    </row>
    <row r="1872">
      <c r="A1872" t="inlineStr">
        <is>
          <t>J</t>
        </is>
      </c>
      <c r="B1872" t="inlineStr">
        <is>
          <t>Pelzers, R; Yu, Q; Mangkuto, R</t>
        </is>
      </c>
      <c r="F1872" t="inlineStr">
        <is>
          <t>Pelzers, R. S.; Yu, Q. L.; Mangkuto, R. A.</t>
        </is>
      </c>
      <c r="J1872" t="inlineStr">
        <is>
          <t>ENVIRONMENTAL SCIENCE AND POLLUTION RESEARCH</t>
        </is>
      </c>
      <c r="M1872" t="inlineStr">
        <is>
          <t>English</t>
        </is>
      </c>
      <c r="N1872" t="inlineStr">
        <is>
          <t>Article</t>
        </is>
      </c>
      <c r="T1872" t="inlineStr">
        <is>
          <t>Radiation modeling of a photo-reactor using a backward ray-tracing method: an insight into indoor photocatalytic oxidation</t>
        </is>
      </c>
      <c r="U1872" t="inlineStr">
        <is>
          <t>Ray tracing; Photocatalytic oxidation; Kinetic model; Reactor; Indoor environment; Radiation; RADIANCE</t>
        </is>
      </c>
      <c r="V1872" t="inlineStr">
        <is>
          <t>AIR PURIFICATION; TITANIUM-DIOXIDE; PERFORMANCE; POLLUTION; REMOVAL; TEMPERATURE; VALIDATION; SIMULATION; POLLUTANTS; RADIANCE</t>
        </is>
      </c>
      <c r="W1872" t="inlineStr">
        <is>
          <t>This article aims to understand the radiation behavior within a photo-reactor, following the ISO 22197-1:2007 standard. The RADIANCE lighting simulation tool, based on the backward ray-tracing modeling method, is employed for a numerical computation of the radiation field. The reflection of the glass cover in the photo-reactor and the test sample influence the amount of irradiance received by the test-sample surface in the photo-reactor setup. The reflection of a white sample limits the irradiance reduction by the glass cover to 1.4 %, but darker samples can lead to an overestimation up to 9.8 % when used in the same setup. This overestimation could introduce considerable error into the interpretation of experiments. Furthermore, this method demonstrates that the kinetics for indoor photocatalytic pollutant degradation can be refined through radiation modeling of the reactor setup. In addition, RADIANCE may aid in future modeling of the more complex indoor environment where radiation affects significantly photocatalytic activity.</t>
        </is>
      </c>
      <c r="X1872" t="inlineStr">
        <is>
          <t>[Pelzers, R. S.; Yu, Q. L.; Mangkuto, R. A.] Eindhoven Univ Technol, Dept Built Environm, NL-5600 MB Eindhoven, Netherlands</t>
        </is>
      </c>
      <c r="Y1872" t="inlineStr">
        <is>
          <t>Eindhoven University of Technology</t>
        </is>
      </c>
      <c r="Z1872" t="inlineStr">
        <is>
          <t>Yu, Q (corresponding author), Eindhoven Univ Technol, Dept Built Environm, POB 513, NL-5600 MB Eindhoven, Netherlands.</t>
        </is>
      </c>
      <c r="AA1872" t="inlineStr">
        <is>
          <t>q.yu@bwk.tue.nl</t>
        </is>
      </c>
      <c r="AB1872" t="inlineStr">
        <is>
          <t>Yu, Qingliang/J-4079-2019; Mangkuto, Rizki A./J-3396-2019; ARMANTO MANGKUTO, RIZKI/JGD-1393-2023</t>
        </is>
      </c>
      <c r="AC1872" t="inlineStr">
        <is>
          <t>Yu, Qingliang/0000-0001-8578-3945; Mangkuto, Rizki A./0000-0002-7246-204X;</t>
        </is>
      </c>
      <c r="AH1872" t="n">
        <v>43</v>
      </c>
      <c r="AI1872" t="n">
        <v>4</v>
      </c>
      <c r="AJ1872" t="n">
        <v>4</v>
      </c>
      <c r="AK1872" t="n">
        <v>1</v>
      </c>
      <c r="AL1872" t="n">
        <v>36</v>
      </c>
      <c r="AM1872" t="inlineStr">
        <is>
          <t>SPRINGER HEIDELBERG</t>
        </is>
      </c>
      <c r="AN1872" t="inlineStr">
        <is>
          <t>HEIDELBERG</t>
        </is>
      </c>
      <c r="AO1872" t="inlineStr">
        <is>
          <t>TIERGARTENSTRASSE 17, D-69121 HEIDELBERG, GERMANY</t>
        </is>
      </c>
      <c r="AP1872" t="inlineStr">
        <is>
          <t>0944-1344</t>
        </is>
      </c>
      <c r="AQ1872" t="inlineStr">
        <is>
          <t>1614-7499</t>
        </is>
      </c>
      <c r="AS1872" t="inlineStr">
        <is>
          <t>ENVIRON SCI POLLUT R</t>
        </is>
      </c>
      <c r="AT1872" t="inlineStr">
        <is>
          <t>Environ. Sci. Pollut. Res.</t>
        </is>
      </c>
      <c r="AU1872" t="inlineStr">
        <is>
          <t>OCT</t>
        </is>
      </c>
      <c r="AV1872" t="n">
        <v>2014</v>
      </c>
      <c r="AW1872" t="n">
        <v>21</v>
      </c>
      <c r="AX1872" t="n">
        <v>19</v>
      </c>
      <c r="BC1872" t="n">
        <v>11142</v>
      </c>
      <c r="BD1872" t="n">
        <v>11154</v>
      </c>
      <c r="BF1872" t="inlineStr">
        <is>
          <t>10.1007/s11356-014-2552-1</t>
        </is>
      </c>
      <c r="BG1872">
        <f>HYPERLINK("http://dx.doi.org/10.1007/s11356-014-2552-1","http://dx.doi.org/10.1007/s11356-014-2552-1")</f>
        <v/>
      </c>
      <c r="BJ1872" t="n">
        <v>13</v>
      </c>
      <c r="BK1872" t="inlineStr">
        <is>
          <t>Environmental Sciences</t>
        </is>
      </c>
      <c r="BL1872" t="inlineStr">
        <is>
          <t>Science Citation Index Expanded (SCI-EXPANDED)</t>
        </is>
      </c>
      <c r="BM1872" t="inlineStr">
        <is>
          <t>Environmental Sciences &amp; Ecology</t>
        </is>
      </c>
      <c r="BN1872" t="inlineStr">
        <is>
          <t>AP9RD</t>
        </is>
      </c>
      <c r="BO1872" t="n">
        <v>24499986</v>
      </c>
      <c r="BP1872" t="inlineStr">
        <is>
          <t>Green Submitted</t>
        </is>
      </c>
      <c r="BS1872" t="inlineStr">
        <is>
          <t>2023-10-26</t>
        </is>
      </c>
      <c r="BT1872" t="inlineStr">
        <is>
          <t>WOS:000342416400005</t>
        </is>
      </c>
      <c r="BU1872">
        <f>HYPERLINK("https%3A%2F%2Fwww.webofscience.com%2Fwos%2Fwoscc%2Ffull-record%2FWOS:000342416400005","View Full Record in Web of Science")</f>
        <v/>
      </c>
    </row>
    <row r="1873">
      <c r="A1873" t="inlineStr">
        <is>
          <t>J</t>
        </is>
      </c>
      <c r="B1873" t="inlineStr">
        <is>
          <t>Yarmoshenko, I; Vasilyev, A; Malinovsky, G; Bossew, P; Zunic, ZS; Onischenko, A; Zhukovsky, M</t>
        </is>
      </c>
      <c r="F1873" t="inlineStr">
        <is>
          <t>Yarmoshenko, I.; Vasilyev, A.; Malinovsky, G.; Bossew, P.; Zunic, Z. S.; Onischenko, A.; Zhukovsky, M.</t>
        </is>
      </c>
      <c r="J1873" t="inlineStr">
        <is>
          <t>SCIENCE OF THE TOTAL ENVIRONMENT</t>
        </is>
      </c>
      <c r="M1873" t="inlineStr">
        <is>
          <t>English</t>
        </is>
      </c>
      <c r="N1873" t="inlineStr">
        <is>
          <t>Article</t>
        </is>
      </c>
      <c r="T1873" t="inlineStr">
        <is>
          <t>Variance of indoor radon concentration: Major influencing factors</t>
        </is>
      </c>
      <c r="U1873" t="inlineStr">
        <is>
          <t>Radon; Indoor; Survey; GSD</t>
        </is>
      </c>
      <c r="V1873" t="inlineStr">
        <is>
          <t>NATURAL RADIATION; MAP; DWELLINGS; REGION; ATLAS; LEVEL</t>
        </is>
      </c>
      <c r="W1873" t="inlineStr">
        <is>
          <t>Variance of radon concentration in dwelling atmosphere is analysed with regard to geogenic and anthropogenic influencing factors. Analysis includes review of 81 national and regional indoor radon surveys with varying sampling pattern, sample size and duration of measurements and detailed consideration of two regional surveys (Sverdlovsk oblast, Russia and Niska Banja, Serbia). The analysis of the geometric standard deviation revealed that main factors influencing the dispersion of indoor radon concentration over the territory are as follows: area of territory, sample size, characteristics of measurements technique, the radon geogenic potential, building construction characteristics and living habits. As shown for Sverdlovsk oblast and Niska Banja town the dispersion as quantified by GSD is reduced by restricting to certain levels of control factors. Application of the developed approach to characterization of the world population radon exposure is discussed. (C) 2015 Elsevier B. V. All rights reserved.</t>
        </is>
      </c>
      <c r="X1873" t="inlineStr">
        <is>
          <t>[Yarmoshenko, I.; Vasilyev, A.; Malinovsky, G.; Onischenko, A.; Zhukovsky, M.] Inst Ind Ecolog UB RAS, Ekaterinburg, Russia; [Bossew, P.] German Fed Off Radiat Protect BfS, Berlin, Germany; [Zunic, Z. S.] Univ Belgrade, Inst Nucl Sci Vinca, Belgrade 11001, Serbia</t>
        </is>
      </c>
      <c r="Y1873" t="inlineStr">
        <is>
          <t>Institute of Industrial Ecology UB RAS; University of Belgrade</t>
        </is>
      </c>
      <c r="Z1873" t="inlineStr">
        <is>
          <t>Yarmoshenko, I (corresponding author), Inst Ind Ecolog UB RAS, Sophy Kovalevskoy 20, Ekaterinburg, Russia.</t>
        </is>
      </c>
      <c r="AA1873" t="inlineStr">
        <is>
          <t>ivy@ecko.uran.ru</t>
        </is>
      </c>
      <c r="AB1873" t="inlineStr">
        <is>
          <t>Zhukovsky, Michael/J-5099-2018; Vasilyev, Aleksey/F-3303-2017; Onishchenko, Alexandra/AHC-9664-2022; Yarmoshenko, Ilia/I-9763-2018; Malinovsky, Georgy P/N-9453-2016</t>
        </is>
      </c>
      <c r="AC1873" t="inlineStr">
        <is>
          <t>Zhukovsky, Michael/0000-0002-5729-6530; Vasilyev, Aleksey/0000-0003-1916-741X; Onishchenko, Alexandra/0000-0003-1832-1059; Yarmoshenko, Ilia/0000-0002-6591-1513; Malinovsky, Georgy P/0000-0002-9543-3874</t>
        </is>
      </c>
      <c r="AH1873" t="n">
        <v>31</v>
      </c>
      <c r="AI1873" t="n">
        <v>41</v>
      </c>
      <c r="AJ1873" t="n">
        <v>42</v>
      </c>
      <c r="AK1873" t="n">
        <v>0</v>
      </c>
      <c r="AL1873" t="n">
        <v>27</v>
      </c>
      <c r="AM1873" t="inlineStr">
        <is>
          <t>ELSEVIER SCIENCE BV</t>
        </is>
      </c>
      <c r="AN1873" t="inlineStr">
        <is>
          <t>AMSTERDAM</t>
        </is>
      </c>
      <c r="AO1873" t="inlineStr">
        <is>
          <t>PO BOX 211, 1000 AE AMSTERDAM, NETHERLANDS</t>
        </is>
      </c>
      <c r="AP1873" t="inlineStr">
        <is>
          <t>0048-9697</t>
        </is>
      </c>
      <c r="AQ1873" t="inlineStr">
        <is>
          <t>1879-1026</t>
        </is>
      </c>
      <c r="AS1873" t="inlineStr">
        <is>
          <t>SCI TOTAL ENVIRON</t>
        </is>
      </c>
      <c r="AT1873" t="inlineStr">
        <is>
          <t>Sci. Total Environ.</t>
        </is>
      </c>
      <c r="AU1873" t="inlineStr">
        <is>
          <t>JAN 15</t>
        </is>
      </c>
      <c r="AV1873" t="n">
        <v>2016</v>
      </c>
      <c r="AW1873" t="n">
        <v>541</v>
      </c>
      <c r="BC1873" t="n">
        <v>155</v>
      </c>
      <c r="BD1873" t="n">
        <v>160</v>
      </c>
      <c r="BF1873" t="inlineStr">
        <is>
          <t>10.1016/j.scitotenv.2015.09.077</t>
        </is>
      </c>
      <c r="BG1873">
        <f>HYPERLINK("http://dx.doi.org/10.1016/j.scitotenv.2015.09.077","http://dx.doi.org/10.1016/j.scitotenv.2015.09.077")</f>
        <v/>
      </c>
      <c r="BJ1873" t="n">
        <v>6</v>
      </c>
      <c r="BK1873" t="inlineStr">
        <is>
          <t>Environmental Sciences</t>
        </is>
      </c>
      <c r="BL1873" t="inlineStr">
        <is>
          <t>Science Citation Index Expanded (SCI-EXPANDED)</t>
        </is>
      </c>
      <c r="BM1873" t="inlineStr">
        <is>
          <t>Environmental Sciences &amp; Ecology</t>
        </is>
      </c>
      <c r="BN1873" t="inlineStr">
        <is>
          <t>CW8ZY</t>
        </is>
      </c>
      <c r="BO1873" t="n">
        <v>26409145</v>
      </c>
      <c r="BS1873" t="inlineStr">
        <is>
          <t>2023-10-26</t>
        </is>
      </c>
      <c r="BT1873" t="inlineStr">
        <is>
          <t>WOS:000365289300018</t>
        </is>
      </c>
      <c r="BU1873">
        <f>HYPERLINK("https%3A%2F%2Fwww.webofscience.com%2Fwos%2Fwoscc%2Ffull-record%2FWOS:000365289300018","View Full Record in Web of Science")</f>
        <v/>
      </c>
    </row>
    <row r="1874">
      <c r="A1874" t="inlineStr">
        <is>
          <t>J</t>
        </is>
      </c>
      <c r="B1874" t="inlineStr">
        <is>
          <t>Hamza, M</t>
        </is>
      </c>
      <c r="F1874" t="inlineStr">
        <is>
          <t>Hamza, Mo</t>
        </is>
      </c>
      <c r="J1874" t="inlineStr">
        <is>
          <t>SUSTAINABILITY</t>
        </is>
      </c>
      <c r="M1874" t="inlineStr">
        <is>
          <t>English</t>
        </is>
      </c>
      <c r="N1874" t="inlineStr">
        <is>
          <t>Article</t>
        </is>
      </c>
      <c r="T1874" t="inlineStr">
        <is>
          <t>Refugees' Integration in the Built Environment: The Sweden Case</t>
        </is>
      </c>
      <c r="U1874" t="inlineStr">
        <is>
          <t>displacement; refugees; asylum seekers; social cohesion; integration; built environment</t>
        </is>
      </c>
      <c r="W1874" t="inlineStr">
        <is>
          <t>The resettlement and integration of a displaced population into a new society faces a plethora of challenges. These range from lack of national legal frameworks to plan and implement planned relocation, to the absence of a long-term vision, inadequate funds, and poor institutional structures. The 3-year EU Erasmus+ funded REGARD Project (REbuildinG AfteR Displacement) set out to address some of these challenges and develop guidance with a focus on the roles and responsibilities of the host and the resettled community in order to understand the needs of both. This paper focuses on the Swedish experience (one of four case studies in the project) in the aftermath of the mass influx of Syrian refugees in 2015. A needs assessment conceptual framework of both host and displaced communities guided the multi-method approach applied in the Sweden case where data was drawn from a scoped literature review on issues related to integration and social cohesion complimented and validated by in-depth interviews with a number of municipalities and non-governmental organizations all working with asylum seekers resettlement. The results of the research indicate that while the Swedish case was a relative success by comparison to others in Europe, there was still systemic shortcomings that needed attention. First, cooperation and coordination between government and non-governmental actors and at different levels up and down the chain of services provided for resettled refugees is still lacking where the reality on the ground is not fully grasped by centrally driven policy and decision-making. Second, what determines the effectiveness of resettlement and integration efforts is focusing on the individuality of each displacee's needs and circumstances where one-size does not fit all, and recognizing that integration is a two-way process that has to involve both host and guest community and not simply the absorption of one into the other. Finally, the paper concludes that the pressured and often highly politicized situations both host and guest community are put into usually force rapid responses, while long-term visions and sustainable solutions when adequate time is taken to establish trust and build viable networks between the two communities can lead to far better results.</t>
        </is>
      </c>
      <c r="X1874" t="inlineStr">
        <is>
          <t>[Hamza, Mo] Lund Univ, Div Risk Management &amp; Societal Safety, SE-22100 Lund, Sweden</t>
        </is>
      </c>
      <c r="Y1874" t="inlineStr">
        <is>
          <t>Lund University</t>
        </is>
      </c>
      <c r="Z1874" t="inlineStr">
        <is>
          <t>Hamza, M (corresponding author), Lund Univ, Div Risk Management &amp; Societal Safety, SE-22100 Lund, Sweden.</t>
        </is>
      </c>
      <c r="AA1874" t="inlineStr">
        <is>
          <t>mo.hamza@risk.lth.se</t>
        </is>
      </c>
      <c r="AC1874" t="inlineStr">
        <is>
          <t>Hamza, Mo/0000-0002-1908-1627</t>
        </is>
      </c>
      <c r="AD1874" t="inlineStr">
        <is>
          <t>European Union's Erasmus+ KA203 Strategic Partnerships for Higher Education Programme [2018-1-UK01-KA203-048231]; Erasmus+ [2018-1-UK01-KA203-048231] Funding Source: Erasmus+</t>
        </is>
      </c>
      <c r="AE1874" t="inlineStr">
        <is>
          <t>European Union's Erasmus+ KA203 Strategic Partnerships for Higher Education Programme; Erasmus+(Erasmus+)</t>
        </is>
      </c>
      <c r="AF1874" t="inlineStr">
        <is>
          <t>This research was co-funded by the European Union's Erasmus+ KA203 Strategic Partnerships for Higher Education Programme, grant number [2018-1-UK01-KA203-048231]. The European Commission support for the production of this publication does not constitute an endorsement of the contents which reflects the views only of the authors, and the Commission cannot be held responsible for any use which may be made of the information contained therein.</t>
        </is>
      </c>
      <c r="AH1874" t="n">
        <v>50</v>
      </c>
      <c r="AI1874" t="n">
        <v>1</v>
      </c>
      <c r="AJ1874" t="n">
        <v>1</v>
      </c>
      <c r="AK1874" t="n">
        <v>2</v>
      </c>
      <c r="AL1874" t="n">
        <v>7</v>
      </c>
      <c r="AM1874" t="inlineStr">
        <is>
          <t>MDPI</t>
        </is>
      </c>
      <c r="AN1874" t="inlineStr">
        <is>
          <t>BASEL</t>
        </is>
      </c>
      <c r="AO1874" t="inlineStr">
        <is>
          <t>ST ALBAN-ANLAGE 66, CH-4052 BASEL, SWITZERLAND</t>
        </is>
      </c>
      <c r="AQ1874" t="inlineStr">
        <is>
          <t>2071-1050</t>
        </is>
      </c>
      <c r="AS1874" t="inlineStr">
        <is>
          <t>SUSTAINABILITY-BASEL</t>
        </is>
      </c>
      <c r="AT1874" t="inlineStr">
        <is>
          <t>Sustainability</t>
        </is>
      </c>
      <c r="AU1874" t="inlineStr">
        <is>
          <t>NOV</t>
        </is>
      </c>
      <c r="AV1874" t="n">
        <v>2021</v>
      </c>
      <c r="AW1874" t="n">
        <v>13</v>
      </c>
      <c r="AX1874" t="n">
        <v>22</v>
      </c>
      <c r="BE1874" t="n">
        <v>12812</v>
      </c>
      <c r="BF1874" t="inlineStr">
        <is>
          <t>10.3390/su132212812</t>
        </is>
      </c>
      <c r="BG1874">
        <f>HYPERLINK("http://dx.doi.org/10.3390/su132212812","http://dx.doi.org/10.3390/su132212812")</f>
        <v/>
      </c>
      <c r="BJ1874" t="n">
        <v>20</v>
      </c>
      <c r="BK1874" t="inlineStr">
        <is>
          <t>Green &amp; Sustainable Science &amp; Technology; Environmental Sciences; Environmental Studies</t>
        </is>
      </c>
      <c r="BL1874" t="inlineStr">
        <is>
          <t>Science Citation Index Expanded (SCI-EXPANDED); Social Science Citation Index (SSCI)</t>
        </is>
      </c>
      <c r="BM1874" t="inlineStr">
        <is>
          <t>Science &amp; Technology - Other Topics; Environmental Sciences &amp; Ecology</t>
        </is>
      </c>
      <c r="BN1874" t="inlineStr">
        <is>
          <t>XE9VS</t>
        </is>
      </c>
      <c r="BP1874" t="inlineStr">
        <is>
          <t>gold</t>
        </is>
      </c>
      <c r="BS1874" t="inlineStr">
        <is>
          <t>2023-10-26</t>
        </is>
      </c>
      <c r="BT1874" t="inlineStr">
        <is>
          <t>WOS:000723729900001</t>
        </is>
      </c>
      <c r="BU1874">
        <f>HYPERLINK("https%3A%2F%2Fwww.webofscience.com%2Fwos%2Fwoscc%2Ffull-record%2FWOS:000723729900001","View Full Record in Web of Science")</f>
        <v/>
      </c>
    </row>
    <row r="1875">
      <c r="A1875" t="inlineStr">
        <is>
          <t>J</t>
        </is>
      </c>
      <c r="B1875" t="inlineStr">
        <is>
          <t>Vu, TV; Ondracek, J; Zdímal, V; Schwarz, J; Delgado-Saborit, JM; Harrison, RM</t>
        </is>
      </c>
      <c r="F1875" t="inlineStr">
        <is>
          <t>Vu, Tuan V.; Ondracek, Jakub; Zdimal, Vladimir; Schwarz, Jaroslav; Delgado-Saborit, Juana Maria; Harrison, Roy M.</t>
        </is>
      </c>
      <c r="J1875" t="inlineStr">
        <is>
          <t>AIR QUALITY ATMOSPHERE AND HEALTH</t>
        </is>
      </c>
      <c r="M1875" t="inlineStr">
        <is>
          <t>English</t>
        </is>
      </c>
      <c r="N1875" t="inlineStr">
        <is>
          <t>Article</t>
        </is>
      </c>
      <c r="T1875" t="inlineStr">
        <is>
          <t>Physical properties and lung deposition of particles emitted from five major indoor sources</t>
        </is>
      </c>
      <c r="U1875" t="inlineStr">
        <is>
          <t>Indoor sources; Particle size; Hygroscopic growth; Lung deposition</t>
        </is>
      </c>
      <c r="V1875" t="inlineStr">
        <is>
          <t>RESPIRATORY-TRACT DEPOSITION; VOLATILE ORGANIC-COMPOUNDS; AEROSOL-PARTICLES; SIZE DISTRIBUTIONS; ULTRAFINE PARTICLE; CONSUMER PRODUCTS; CLEANING PRODUCTS; FINE PARTICLES; AIR FRESHENERS; EMISSIONS</t>
        </is>
      </c>
      <c r="W1875" t="inlineStr">
        <is>
          <t>The physical properties of indoor particles were measured with an Scanning Mobility Particle Sizer (SMPS) system (14.6-850 nm), an Aerodynamic Particle Sizer (APS, 0.54-18 mu m) and an Hygroscopic Tandem Differential Mobility Analyzer (H-TDMA) in an apartment located in an urban background site in Prague (Czech Republic) from 15 August to 8 September, 2014. The total particle maximum number concentration was 9.38 x 10(4), 1.46 x 10(5), 2.89 x 10(4), 2.25 x 10(5) and 1.57 x 10(6) particles cm(-3) for particles released from vacuum cleaning, soap/W5 cleaning spray, smoking, incense burning and cooking (frying) activities, respectively. Particles emitted from cleaning activities showed unimodal number size distributions, with the majority of particles (&gt; 98.2 %) in the ultrafine size range (Dp &lt; 100 nm) and modes at a diameter of 19.8 nm for vacuum cleaning and 30.6 nm for soap/W5 cleaning. Smoking and incense burning predominantly generated particles in the accumulation mode with a count median diameter around 90-150 nm while cooking emissions showed a bimodal structure with a main mode at 47.8 nm. Particles from vacuum cleaning, incense burning, smoking and cooking emissions were found to be nearly hydrophobic with an average growth factor (G(f)) around 1.01-1.10, while particles emitted from desk cleaning using organic compounds were found to be less-hygroscopic (G(f) similar to 1.12-1.16). Based on an adjusted MPPD model with a consideration of the hygroscopic properties of particles, the total lung deposition fractions of these particles by number when they penetrate into the human lung were 0.73 +/- 0.02, 0.62 +/- 0.03, 0.37 +/- 0.03, 0.32 +/- 0.03 and 0.49 +/- 0.02 for vacuum cleaning, desk cleaning, smoking, incense burning and cooking, respectively.</t>
        </is>
      </c>
      <c r="X1875" t="inlineStr">
        <is>
          <t>[Vu, Tuan V.; Delgado-Saborit, Juana Maria; Harrison, Roy M.] Univ Birmingham, Sch Geog Earth &amp; Environm Sci, Div Environm Hlth &amp; Risk Management, Birmingham B15 2TT, W Midlands, England; [Ondracek, Jakub; Zdimal, Vladimir; Schwarz, Jaroslav] Inst Chem Proc Fundamentals ASCR ICPF, Prague 16502, Czech Republic; [Harrison, Roy M.] King Abdulaziz Univ, Ctr Excellence Environm Studies, Dept Environm Sci, POB 80203, Jeddah 21589, Saudi Arabia</t>
        </is>
      </c>
      <c r="Y1875" t="inlineStr">
        <is>
          <t>University of Birmingham; Czech Academy of Sciences; Institute of Chemical Process Fundamentals of the Czech Academy of Sciences; King Abdulaziz University</t>
        </is>
      </c>
      <c r="Z1875" t="inlineStr">
        <is>
          <t>Harrison, RM (corresponding author), Univ Birmingham, Sch Geog Earth &amp; Environm Sci, Div Environm Hlth &amp; Risk Management, Birmingham B15 2TT, W Midlands, England.;Harrison, RM (corresponding author), King Abdulaziz Univ, Ctr Excellence Environm Studies, Dept Environm Sci, POB 80203, Jeddah 21589, Saudi Arabia.</t>
        </is>
      </c>
      <c r="AA1875" t="inlineStr">
        <is>
          <t>r.m.harrison@bham.ac.uk</t>
        </is>
      </c>
      <c r="AB1875" t="inlineStr">
        <is>
          <t>Vu, Tuan/ABC-3022-2020; Ondráček, Jakub/H-3428-2014; Vu, Tuan/AAF-9502-2019; Delgado-Saborit, Juana Maria/I-4158-2015; Schwarz, Jaroslav/H-3429-2014; Harrison, Roy Michael/A-2256-2008; Zdimal, Vladimir/H-3434-2014</t>
        </is>
      </c>
      <c r="AC1875" t="inlineStr">
        <is>
          <t>Vu, Tuan/0000-0002-7100-096X; Delgado-Saborit, Juana Maria/0000-0002-7096-9744; Harrison, Roy Michael/0000-0002-2684-5226; Zdimal, Vladimir/0000-0002-8167-1804; Schwarz, Jaroslav/0000-0003-3951-5928; Ondracek, Jakub/0000-0003-0629-257X</t>
        </is>
      </c>
      <c r="AD1875" t="inlineStr">
        <is>
          <t>European Union through 7th Framework Programme HEXACOMM [315760]</t>
        </is>
      </c>
      <c r="AE1875" t="inlineStr">
        <is>
          <t>European Union through 7th Framework Programme HEXACOMM</t>
        </is>
      </c>
      <c r="AF1875" t="inlineStr">
        <is>
          <t>This Research is supported by European Union through the 7th Framework Programme HEXACOMM, FP7/2007-2013 under grant agreement No. 315760.</t>
        </is>
      </c>
      <c r="AH1875" t="n">
        <v>49</v>
      </c>
      <c r="AI1875" t="n">
        <v>63</v>
      </c>
      <c r="AJ1875" t="n">
        <v>63</v>
      </c>
      <c r="AK1875" t="n">
        <v>3</v>
      </c>
      <c r="AL1875" t="n">
        <v>46</v>
      </c>
      <c r="AM1875" t="inlineStr">
        <is>
          <t>SPRINGER INTERNATIONAL PUBLISHING AG</t>
        </is>
      </c>
      <c r="AN1875" t="inlineStr">
        <is>
          <t>CHAM</t>
        </is>
      </c>
      <c r="AO1875" t="inlineStr">
        <is>
          <t>GEWERBESTRASSE 11, CHAM, CH-6330, SWITZERLAND</t>
        </is>
      </c>
      <c r="AP1875" t="inlineStr">
        <is>
          <t>1873-9318</t>
        </is>
      </c>
      <c r="AQ1875" t="inlineStr">
        <is>
          <t>1873-9326</t>
        </is>
      </c>
      <c r="AS1875" t="inlineStr">
        <is>
          <t>AIR QUAL ATMOS HLTH</t>
        </is>
      </c>
      <c r="AT1875" t="inlineStr">
        <is>
          <t>Air Qual. Atmos. Health</t>
        </is>
      </c>
      <c r="AU1875" t="inlineStr">
        <is>
          <t>JAN</t>
        </is>
      </c>
      <c r="AV1875" t="n">
        <v>2017</v>
      </c>
      <c r="AW1875" t="n">
        <v>10</v>
      </c>
      <c r="AX1875" t="n">
        <v>1</v>
      </c>
      <c r="BC1875" t="n">
        <v>1</v>
      </c>
      <c r="BD1875" t="n">
        <v>14</v>
      </c>
      <c r="BF1875" t="inlineStr">
        <is>
          <t>10.1007/s11869-016-0424-1</t>
        </is>
      </c>
      <c r="BG1875">
        <f>HYPERLINK("http://dx.doi.org/10.1007/s11869-016-0424-1","http://dx.doi.org/10.1007/s11869-016-0424-1")</f>
        <v/>
      </c>
      <c r="BJ1875" t="n">
        <v>14</v>
      </c>
      <c r="BK1875" t="inlineStr">
        <is>
          <t>Environmental Sciences</t>
        </is>
      </c>
      <c r="BL1875" t="inlineStr">
        <is>
          <t>Science Citation Index Expanded (SCI-EXPANDED)</t>
        </is>
      </c>
      <c r="BM1875" t="inlineStr">
        <is>
          <t>Environmental Sciences &amp; Ecology</t>
        </is>
      </c>
      <c r="BN1875" t="inlineStr">
        <is>
          <t>EI0CW</t>
        </is>
      </c>
      <c r="BO1875" t="n">
        <v>28111595</v>
      </c>
      <c r="BP1875" t="inlineStr">
        <is>
          <t>Green Published, hybrid</t>
        </is>
      </c>
      <c r="BS1875" t="inlineStr">
        <is>
          <t>2023-10-26</t>
        </is>
      </c>
      <c r="BT1875" t="inlineStr">
        <is>
          <t>WOS:000392140700001</t>
        </is>
      </c>
      <c r="BU1875">
        <f>HYPERLINK("https%3A%2F%2Fwww.webofscience.com%2Fwos%2Fwoscc%2Ffull-record%2FWOS:000392140700001","View Full Record in Web of Science")</f>
        <v/>
      </c>
    </row>
    <row r="1876">
      <c r="A1876" t="inlineStr">
        <is>
          <t>J</t>
        </is>
      </c>
      <c r="B1876" t="inlineStr">
        <is>
          <t>Goung, SJN; Yang, JH; Kim, YS; Lee, CM</t>
        </is>
      </c>
      <c r="F1876" t="inlineStr">
        <is>
          <t>Goung, Sun-Ju Nam; Yang, Jinho; Kim, Yoon Shin; Lee, Cheol Min</t>
        </is>
      </c>
      <c r="J1876" t="inlineStr">
        <is>
          <t>ENVIRONMENTAL SCIENCE AND POLLUTION RESEARCH</t>
        </is>
      </c>
      <c r="M1876" t="inlineStr">
        <is>
          <t>English</t>
        </is>
      </c>
      <c r="N1876" t="inlineStr">
        <is>
          <t>Article</t>
        </is>
      </c>
      <c r="T1876" t="inlineStr">
        <is>
          <t>A pilot study of indoor air quality in screen golf courses</t>
        </is>
      </c>
      <c r="U1876" t="inlineStr">
        <is>
          <t>Screen golfcourses; Indoor air quality; Multi-user facilities; Nicotine; Pilot study; Indoor public sports facilities</t>
        </is>
      </c>
      <c r="V1876" t="inlineStr">
        <is>
          <t>NITROGEN-DIOXIDE; FORMALDEHYDE</t>
        </is>
      </c>
      <c r="W1876" t="inlineStr">
        <is>
          <t>The aims of this study were to provide basic data for determining policies on air quality for multi-user facilities, including the legal enrollment of the indoor air quality regulation as designated by the Ministry of Environment, and to establish control plans. To this end, concentrations of ten pollutants (PM10, carbon monoxide (CO), carbon dioxide (CO2), nitrogen dioxide (NO2), formaldehyde (HCHO), total volatile organic compounds (TVOCs), radon (Rn), oxone (O-3), total bacteria counts (TBC), and asbestos) in addition to nicotine, a smoking index material used to determine the impact of smoking on the air quality, were investigated in indoor game rooms and lobbies of 64 screen golf courses. The average concentration of none of the ten pollutants in the game rooms and lobbies of screen golf courses was found to exceed the limit set by the law. There were, however, pollutant concentrations exceeding limits in some screen golf courses, in order to establish a control plan for the indoor air quality of screen golf courses, a study on the emission sources of each pollutant was conducted. The major emission sources were found to be facility users' activities such as smoking and the use of combustion appliances, building materials, and finishing materials.</t>
        </is>
      </c>
      <c r="X1876" t="inlineStr">
        <is>
          <t>[Goung, Sun-Ju Nam; Kim, Yoon Shin] Hanyang Univ, Inst Environm &amp; Ind Med, Seoul 133791, South Korea; [Lee, Cheol Min] Pyeongtaek Univ, Dept Integrated Environm Syst, Pyeongtaek, South Korea; [Yang, Jinho] Korea Univ, Dept Publ Hlth Sci, Seoul, South Korea</t>
        </is>
      </c>
      <c r="Y1876" t="inlineStr">
        <is>
          <t>Hanyang University; Pyeongtaek University; Korea University</t>
        </is>
      </c>
      <c r="Z1876" t="inlineStr">
        <is>
          <t>Lee, CM (corresponding author), Hanyang Univ, Inst Environm &amp; Ind Med, Seoul 133791, South Korea.</t>
        </is>
      </c>
      <c r="AA1876" t="inlineStr">
        <is>
          <t>cheolmin@ptu.ac.kr</t>
        </is>
      </c>
      <c r="AC1876" t="inlineStr">
        <is>
          <t>Yang, Jinho/0000-0001-7207-6846</t>
        </is>
      </c>
      <c r="AH1876" t="n">
        <v>18</v>
      </c>
      <c r="AI1876" t="n">
        <v>14</v>
      </c>
      <c r="AJ1876" t="n">
        <v>14</v>
      </c>
      <c r="AK1876" t="n">
        <v>1</v>
      </c>
      <c r="AL1876" t="n">
        <v>15</v>
      </c>
      <c r="AM1876" t="inlineStr">
        <is>
          <t>SPRINGER HEIDELBERG</t>
        </is>
      </c>
      <c r="AN1876" t="inlineStr">
        <is>
          <t>HEIDELBERG</t>
        </is>
      </c>
      <c r="AO1876" t="inlineStr">
        <is>
          <t>TIERGARTENSTRASSE 17, D-69121 HEIDELBERG, GERMANY</t>
        </is>
      </c>
      <c r="AP1876" t="inlineStr">
        <is>
          <t>0944-1344</t>
        </is>
      </c>
      <c r="AQ1876" t="inlineStr">
        <is>
          <t>1614-7499</t>
        </is>
      </c>
      <c r="AS1876" t="inlineStr">
        <is>
          <t>ENVIRON SCI POLLUT R</t>
        </is>
      </c>
      <c r="AT1876" t="inlineStr">
        <is>
          <t>Environ. Sci. Pollut. Res.</t>
        </is>
      </c>
      <c r="AU1876" t="inlineStr">
        <is>
          <t>MAY</t>
        </is>
      </c>
      <c r="AV1876" t="n">
        <v>2015</v>
      </c>
      <c r="AW1876" t="n">
        <v>22</v>
      </c>
      <c r="AX1876" t="n">
        <v>9</v>
      </c>
      <c r="BC1876" t="n">
        <v>7176</v>
      </c>
      <c r="BD1876" t="n">
        <v>7182</v>
      </c>
      <c r="BF1876" t="inlineStr">
        <is>
          <t>10.1007/s11356-014-3947-8</t>
        </is>
      </c>
      <c r="BG1876">
        <f>HYPERLINK("http://dx.doi.org/10.1007/s11356-014-3947-8","http://dx.doi.org/10.1007/s11356-014-3947-8")</f>
        <v/>
      </c>
      <c r="BJ1876" t="n">
        <v>7</v>
      </c>
      <c r="BK1876" t="inlineStr">
        <is>
          <t>Environmental Sciences</t>
        </is>
      </c>
      <c r="BL1876" t="inlineStr">
        <is>
          <t>Science Citation Index Expanded (SCI-EXPANDED)</t>
        </is>
      </c>
      <c r="BM1876" t="inlineStr">
        <is>
          <t>Environmental Sciences &amp; Ecology</t>
        </is>
      </c>
      <c r="BN1876" t="inlineStr">
        <is>
          <t>CG1PX</t>
        </is>
      </c>
      <c r="BO1876" t="n">
        <v>25510613</v>
      </c>
      <c r="BS1876" t="inlineStr">
        <is>
          <t>2023-10-26</t>
        </is>
      </c>
      <c r="BT1876" t="inlineStr">
        <is>
          <t>WOS:000353046600074</t>
        </is>
      </c>
      <c r="BU1876">
        <f>HYPERLINK("https%3A%2F%2Fwww.webofscience.com%2Fwos%2Fwoscc%2Ffull-record%2FWOS:000353046600074","View Full Record in Web of Science")</f>
        <v/>
      </c>
    </row>
    <row r="1877">
      <c r="A1877" t="inlineStr">
        <is>
          <t>J</t>
        </is>
      </c>
      <c r="B1877" t="inlineStr">
        <is>
          <t>Kumar, D; Alam, M; Memon, RA; Bhayo, BA</t>
        </is>
      </c>
      <c r="F1877" t="inlineStr">
        <is>
          <t>Kumar, Dileep; Alam, Morshed; Memon, Rizwan Ahmed; Bhayo, Bilawal Ahmed</t>
        </is>
      </c>
      <c r="J1877" t="inlineStr">
        <is>
          <t>CLEANER ENGINEERING AND TECHNOLOGY</t>
        </is>
      </c>
      <c r="M1877" t="inlineStr">
        <is>
          <t>English</t>
        </is>
      </c>
      <c r="N1877" t="inlineStr">
        <is>
          <t>Review</t>
        </is>
      </c>
      <c r="T1877" t="inlineStr">
        <is>
          <t>A critical review for formulation and conceptualization of an ideal building envelope and novel sustainability framework for building applications</t>
        </is>
      </c>
      <c r="U1877" t="inlineStr">
        <is>
          <t>Building envelope; Design factors; Indoor and outdoor conditions; Selection criteria; Ideal envelope; Sustaianability framework</t>
        </is>
      </c>
      <c r="V1877" t="inlineStr">
        <is>
          <t>OPTIMUM INSULATION THICKNESS; DEPENDENT THERMAL-CONDUCTIVITY; SURFACE SOLAR ABSORPTIVITY; ENERGY EFFICIENCY MEASURES; LIFE-CYCLE COST; EMBODIED ENERGY; MULTIOBJECTIVE OPTIMIZATION; EXTERNAL WALLS; ENVIRONMENTAL-IMPACT; COMPRESSIVE STRENGTH</t>
        </is>
      </c>
      <c r="W1877" t="inlineStr">
        <is>
          <t>Energy use in the building is responsible for one-third of total carbon dioxide (CO2) emissions globally. Nearly half of the energy loss occurs through the building envelope due to heat transfer to/for the surroundings. Therefore, there is a need to design an optimum building envelope to reduce energy use in buildings that depend on several parameters. This study aims to review different building parameters and provide a conceptual framework to optimize the building envelope. In total, 260 papers were reviewed, and the building envelope design consideration was categorized into: 1) Design Parameters (design and geometry), 2) environmental conditions (indoor and outdoor) and 3) performance criteria (energy, environment, economic, comfort). Energy use and CO2-emission in buildings increase with high thermal conductivity, low thermal mass, and low solar absorption of its envelope. Geometrically, building orientation impacts energy use more than the building shape factor. Changing set point temperature according to surrounding conditions has reduced energy use and CO2-emission by 30% and 56%, respectively. However, indoor air quality, velocity, and occupancy have meagerly affected building energy use. Energy and emission optimization criteria are directly related, but the emission-based optimized envelope is thicker than the energy one. Other criteria such as economy and comfort (thermal and visual) are inversely proportional to the energy-efficient building envelope. Based on the comprehensive review, this study proposed a conceptual framework to design a sustainable building envelope that includes life cycle assessment, occupant's satisfaction, and social benefits. Several future research recommendations were made, including 1) the use of switchable reflective materials to minimize heat transfer, 2) dynamic insulation material to control insulation value as needed, and 3) smart windows with tunable optical properties.</t>
        </is>
      </c>
      <c r="X1877" t="inlineStr">
        <is>
          <t>[Kumar, Dileep; Alam, Morshed] Swinburne Univ Technol, Dept Civil &amp; Construct Engn, Hawthorn, Vic, Australia; [Alam, Morshed; Bhayo, Bilawal Ahmed] Mehran Univ Engn &amp; Technol, Dept Mech Engn, SZAB campus, Khairpur, Sindh, Pakistan; [Memon, Rizwan Ahmed] Mehran Univ Engn &amp; Technol, Dept Mech Engn, Jamshoro, Sindh, Pakistan</t>
        </is>
      </c>
      <c r="Y1877" t="inlineStr">
        <is>
          <t>Swinburne University of Technology; Mehran University Engineering &amp; Technology</t>
        </is>
      </c>
      <c r="Z1877" t="inlineStr">
        <is>
          <t>Alam, M (corresponding author), Swinburne Univ Technol, Dept Civil &amp; Construct Engn, Hawthorn, Vic, Australia.</t>
        </is>
      </c>
      <c r="AA1877" t="inlineStr">
        <is>
          <t>mmalam@swin.edu.au</t>
        </is>
      </c>
      <c r="AB1877" t="inlineStr">
        <is>
          <t>Kumar, Dileep/J-9491-2019; Ahmed, Rizwan/GQA-7651-2022</t>
        </is>
      </c>
      <c r="AC1877" t="inlineStr">
        <is>
          <t>Kumar, Dileep/0000-0001-5139-0174; Bhayo, Bilawal Ahmed/0000-0001-7146-1275</t>
        </is>
      </c>
      <c r="AD1877" t="inlineStr">
        <is>
          <t>Higher Education Commission (HEC), Pakistan [5-1/HRD/HESTPI/(Batch-VI)/6021/2018/HEC]</t>
        </is>
      </c>
      <c r="AE1877" t="inlineStr">
        <is>
          <t>Higher Education Commission (HEC), Pakistan(Higher Education Commission of Pakistan)</t>
        </is>
      </c>
      <c r="AF1877" t="inlineStr">
        <is>
          <t>This research was funded by the Higher Education Commission (HEC), Pakistan with grant number No. 5-1/HRD/HESTPI/(Batch-VI)/6021/2018/HEC.</t>
        </is>
      </c>
      <c r="AH1877" t="n">
        <v>255</v>
      </c>
      <c r="AI1877" t="n">
        <v>12</v>
      </c>
      <c r="AJ1877" t="n">
        <v>12</v>
      </c>
      <c r="AK1877" t="n">
        <v>9</v>
      </c>
      <c r="AL1877" t="n">
        <v>9</v>
      </c>
      <c r="AM1877" t="inlineStr">
        <is>
          <t>ELSEVIER</t>
        </is>
      </c>
      <c r="AN1877" t="inlineStr">
        <is>
          <t>AMSTERDAM</t>
        </is>
      </c>
      <c r="AO1877" t="inlineStr">
        <is>
          <t>RADARWEG 29, 1043 NX AMSTERDAM, NETHERLANDS</t>
        </is>
      </c>
      <c r="AP1877" t="inlineStr">
        <is>
          <t>2666-7908</t>
        </is>
      </c>
      <c r="AS1877" t="inlineStr">
        <is>
          <t>CLEAN ENG TECHNOL</t>
        </is>
      </c>
      <c r="AT1877" t="inlineStr">
        <is>
          <t>Cleaner Eng. Technol.</t>
        </is>
      </c>
      <c r="AU1877" t="inlineStr">
        <is>
          <t>DEC</t>
        </is>
      </c>
      <c r="AV1877" t="n">
        <v>2022</v>
      </c>
      <c r="AW1877" t="n">
        <v>11</v>
      </c>
      <c r="BE1877" t="n">
        <v>100555</v>
      </c>
      <c r="BF1877" t="inlineStr">
        <is>
          <t>10.1016/j.clet.2022.100555</t>
        </is>
      </c>
      <c r="BG1877">
        <f>HYPERLINK("http://dx.doi.org/10.1016/j.clet.2022.100555","http://dx.doi.org/10.1016/j.clet.2022.100555")</f>
        <v/>
      </c>
      <c r="BI1877" t="inlineStr">
        <is>
          <t>SEP 2022</t>
        </is>
      </c>
      <c r="BJ1877" t="n">
        <v>22</v>
      </c>
      <c r="BK1877" t="inlineStr">
        <is>
          <t>Green &amp; Sustainable Science &amp; Technology; Engineering, Environmental; Environmental Sciences</t>
        </is>
      </c>
      <c r="BL1877" t="inlineStr">
        <is>
          <t>Emerging Sources Citation Index (ESCI)</t>
        </is>
      </c>
      <c r="BM1877" t="inlineStr">
        <is>
          <t>Science &amp; Technology - Other Topics; Engineering; Environmental Sciences &amp; Ecology</t>
        </is>
      </c>
      <c r="BN1877" t="inlineStr">
        <is>
          <t>F3EF8</t>
        </is>
      </c>
      <c r="BS1877" t="inlineStr">
        <is>
          <t>2023-10-26</t>
        </is>
      </c>
      <c r="BT1877" t="inlineStr">
        <is>
          <t>WOS:000981204000001</t>
        </is>
      </c>
      <c r="BU1877">
        <f>HYPERLINK("https%3A%2F%2Fwww.webofscience.com%2Fwos%2Fwoscc%2Ffull-record%2FWOS:000981204000001","View Full Record in Web of Science")</f>
        <v/>
      </c>
    </row>
    <row r="1878">
      <c r="A1878" t="inlineStr">
        <is>
          <t>J</t>
        </is>
      </c>
      <c r="B1878" t="inlineStr">
        <is>
          <t>Shin, D; Lee, KW; Kim, MH; Kim, HJ; An, YS; Chung, HK</t>
        </is>
      </c>
      <c r="F1878" t="inlineStr">
        <is>
          <t>Shin, Dayeon; Lee, Kyung Won; Kim, Mi-Hye; Kim, Hung Ju; An, Yun Sook; Chung, Hae-Kyung</t>
        </is>
      </c>
      <c r="J1878" t="inlineStr">
        <is>
          <t>INTERNATIONAL JOURNAL OF ENVIRONMENTAL RESEARCH AND PUBLIC HEALTH</t>
        </is>
      </c>
      <c r="M1878" t="inlineStr">
        <is>
          <t>English</t>
        </is>
      </c>
      <c r="N1878" t="inlineStr">
        <is>
          <t>Article</t>
        </is>
      </c>
      <c r="T1878" t="inlineStr">
        <is>
          <t>Identifying Dietary Patterns Associated with Mild Cognitive Impairment in Older Korean Adults Using Reduced Rank Regression</t>
        </is>
      </c>
      <c r="U1878" t="inlineStr">
        <is>
          <t>cognitive function; dietary patterns; reduced rank regression (RRR); Korean-Mini Mental State Examination (K-MMSE); older Korean adults</t>
        </is>
      </c>
      <c r="V1878" t="inlineStr">
        <is>
          <t>VITAMIN-E; DEPRESSIVE SYMPTOMS; ALZHEIMERS-DISEASE; RISK; DECLINE; ANTIOXIDANT; DEMENTIA; HOMOCYSTEINE; METAANALYSIS; HEALTH</t>
        </is>
      </c>
      <c r="W1878" t="inlineStr">
        <is>
          <t>Diet plays a crucial role in cognitive function. Few studies have examined the relationship between dietary patterns and cognitive functions of older adults in the Korean population. This study aimed to identify the effect of dietary patterns on the risk of mild cognitive impairment. A total of 239 participants, including 88 men and 151 women, aged 65 years and older were selected from health centers in the district of Seoul, Gyeonggi province, and Incheon, in Korea. Dietary patterns were determined using Reduced Rank Regression (RRR) methods with responses regarding vitamin B6, vitamin C, and iron intakes, based on both a one-day 24-h recall and a food frequency questionnaire. Cognitive function was assessed using the Korean-Mini Mental State Examination (K-MMSE). Multivariable logistic regression models were used to estimate the association between dietary pattern score and the risk of mild cognitive impairment. A total of 20 (8%) out of the 239 participants had mild cognitive impairment. Three dietary patterns were identified: seafood and vegetables, high meat, and bread, ham, and alcohol. Among the three dietary patterns, the older adult population who adhered to the seafood and vegetables pattern, characterized by high intake of seafood, vegetables, fruits, bread, snacks, soy products, beans, chicken, pork, ham, egg, and milk had a decreased risk of mild cognitive impairment compared to those who did not (adjusted odds ratios 0.06, 95% confidence interval 0.01-0.72) after controlling for gender, supplementation, education, history of dementia, physical activity, body mass index (BMI), and duration of sleep. The other two dietary patterns were not significantly associated with the risk of mild cognitive impairment. In conclusion, high consumption of fruits, vegetables, seafood, and protein foods was significantly associated with reduced mild cognitive impairment in older Korean adults. These results can contribute to the establishment of dietary guidelines targeting older Korean adults to reduce mild cognitive impairments. Future prospective cohort studies are warranted to examine the effect of the seafood and vegetable dietary pattern on reducing mild cognitive impairment to prove the cause-effect relationship between dietary patterns and cognitive function.</t>
        </is>
      </c>
      <c r="X1878" t="inlineStr">
        <is>
          <t>[Shin, Dayeon] Syracuse Univ, Dept Publ Hlth Food Studies &amp; Nutr, Syracuse, NY 13244 USA; [Lee, Kyung Won] Korea Ctr Dis Control &amp; Prevent, Korea Natl Inst Hlth, Div Epidemiol &amp; Hlth Index, Ctr Genome Sci, Cheongju 28160, South Korea; [Kim, Mi-Hye; Chung, Hae-Kyung] Hoseo Univ, Dept Food &amp; Nutr, Asan 31499, Chungnam, South Korea; [Kim, Hung Ju; An, Yun Sook] Wonkwang Univ, Dept Social Welf, Iksan 54538, South Korea</t>
        </is>
      </c>
      <c r="Y1878" t="inlineStr">
        <is>
          <t>Syracuse University; Korea Disease Control &amp; Prevention Agency (KDCA); Korea National Institute of Health (KNIH); Korea CDC Center for Genome Science; Korea CDC Center for Disease Prevention; Hoseo University; Wonkwang University</t>
        </is>
      </c>
      <c r="Z1878" t="inlineStr">
        <is>
          <t>Chung, HK (corresponding author), Hoseo Univ, Dept Food &amp; Nutr, Asan 31499, Chungnam, South Korea.</t>
        </is>
      </c>
      <c r="AA1878" t="inlineStr">
        <is>
          <t>dshin03@syr.edu; kyungwlee@korea.kr; kimmihye92@hoseo.edu; kanddol@wku.ac.kr; 200233sook@naver.com; hkchung@hoseo.edu</t>
        </is>
      </c>
      <c r="AB1878" t="inlineStr">
        <is>
          <t>Shin, Dayeon/GMX-2004-2022</t>
        </is>
      </c>
      <c r="AC1878" t="inlineStr">
        <is>
          <t>Shin, Dayeon/0000-0003-0828-184X; Lee, Kyung Won/0000-0003-4430-3241</t>
        </is>
      </c>
      <c r="AD1878" t="inlineStr">
        <is>
          <t>Ministry of Education of the Republic of Korea; National Research Foundation of Korea [NRF-2016S1A3A2924243]; National Research Foundation of Korea [2016S1A3A2924243] Funding Source: Korea Institute of Science &amp; Technology Information (KISTI), National Science &amp; Technology Information Service (NTIS)</t>
        </is>
      </c>
      <c r="AE1878" t="inlineStr">
        <is>
          <t>Ministry of Education of the Republic of Korea(Ministry of Education (MOE), Republic of Korea); National Research Foundation of Korea(National Research Foundation of Korea); National Research Foundation of Korea(National Research Foundation of Korea)</t>
        </is>
      </c>
      <c r="AF1878" t="inlineStr">
        <is>
          <t>This work was supported by the Ministry of Education of the Republic of Korea and the National Research Foundation of Korea (NRF-2016S1A3A2924243).</t>
        </is>
      </c>
      <c r="AH1878" t="n">
        <v>32</v>
      </c>
      <c r="AI1878" t="n">
        <v>15</v>
      </c>
      <c r="AJ1878" t="n">
        <v>17</v>
      </c>
      <c r="AK1878" t="n">
        <v>0</v>
      </c>
      <c r="AL1878" t="n">
        <v>18</v>
      </c>
      <c r="AM1878" t="inlineStr">
        <is>
          <t>MDPI</t>
        </is>
      </c>
      <c r="AN1878" t="inlineStr">
        <is>
          <t>BASEL</t>
        </is>
      </c>
      <c r="AO1878" t="inlineStr">
        <is>
          <t>ST ALBAN-ANLAGE 66, CH-4052 BASEL, SWITZERLAND</t>
        </is>
      </c>
      <c r="AP1878" t="inlineStr">
        <is>
          <t>1660-4601</t>
        </is>
      </c>
      <c r="AS1878" t="inlineStr">
        <is>
          <t>INT J ENV RES PUB HE</t>
        </is>
      </c>
      <c r="AT1878" t="inlineStr">
        <is>
          <t>Int. J. Environ. Res. Public Health</t>
        </is>
      </c>
      <c r="AU1878" t="inlineStr">
        <is>
          <t>JAN</t>
        </is>
      </c>
      <c r="AV1878" t="n">
        <v>2018</v>
      </c>
      <c r="AW1878" t="n">
        <v>15</v>
      </c>
      <c r="AX1878" t="n">
        <v>1</v>
      </c>
      <c r="BE1878" t="n">
        <v>100</v>
      </c>
      <c r="BF1878" t="inlineStr">
        <is>
          <t>10.3390/ijerph15010100</t>
        </is>
      </c>
      <c r="BG1878">
        <f>HYPERLINK("http://dx.doi.org/10.3390/ijerph15010100","http://dx.doi.org/10.3390/ijerph15010100")</f>
        <v/>
      </c>
      <c r="BJ1878" t="n">
        <v>12</v>
      </c>
      <c r="BK1878" t="inlineStr">
        <is>
          <t>Environmental Sciences; Public, Environmental &amp; Occupational Health</t>
        </is>
      </c>
      <c r="BL1878" t="inlineStr">
        <is>
          <t>Science Citation Index Expanded (SCI-EXPANDED); Social Science Citation Index (SSCI)</t>
        </is>
      </c>
      <c r="BM1878" t="inlineStr">
        <is>
          <t>Environmental Sciences &amp; Ecology; Public, Environmental &amp; Occupational Health</t>
        </is>
      </c>
      <c r="BN1878" t="inlineStr">
        <is>
          <t>FU8QZ</t>
        </is>
      </c>
      <c r="BO1878" t="n">
        <v>29315276</v>
      </c>
      <c r="BP1878" t="inlineStr">
        <is>
          <t>Green Published, gold, Green Submitted</t>
        </is>
      </c>
      <c r="BS1878" t="inlineStr">
        <is>
          <t>2023-10-26</t>
        </is>
      </c>
      <c r="BT1878" t="inlineStr">
        <is>
          <t>WOS:000424121200100</t>
        </is>
      </c>
      <c r="BU1878">
        <f>HYPERLINK("https%3A%2F%2Fwww.webofscience.com%2Fwos%2Fwoscc%2Ffull-record%2FWOS:000424121200100","View Full Record in Web of Science")</f>
        <v/>
      </c>
    </row>
    <row r="1879">
      <c r="A1879" t="inlineStr">
        <is>
          <t>J</t>
        </is>
      </c>
      <c r="B1879" t="inlineStr">
        <is>
          <t>Miranda-Duro, MD; Nieto-Riveiro, L; Concheiro-Moscoso, P; Groba, B; Pousada, T; Canosa, N; Pereira, J</t>
        </is>
      </c>
      <c r="F1879" t="inlineStr">
        <is>
          <t>del Carmen Miranda-Duro, Maria; Nieto-Riveiro, Laura; Concheiro-Moscoso, Patricia; Groba, Betania; Pousada, Thais; Canosa, Nereida; Pereira, Javier</t>
        </is>
      </c>
      <c r="J1879" t="inlineStr">
        <is>
          <t>INTERNATIONAL JOURNAL OF ENVIRONMENTAL RESEARCH AND PUBLIC HEALTH</t>
        </is>
      </c>
      <c r="M1879" t="inlineStr">
        <is>
          <t>English</t>
        </is>
      </c>
      <c r="N1879" t="inlineStr">
        <is>
          <t>Review</t>
        </is>
      </c>
      <c r="T1879" t="inlineStr">
        <is>
          <t>Occupational Therapy and the Use of Technology on Older Adult Fall Prevention: A Scoping Review</t>
        </is>
      </c>
      <c r="U1879" t="inlineStr">
        <is>
          <t>older adults; falls; occupation; occupational therapy; scoping review; smart home technology; telehealth; exergames; 3D-application tool</t>
        </is>
      </c>
      <c r="V1879" t="inlineStr">
        <is>
          <t>REDUCE FALLS; RISK-FACTORS; COMMUNITY; FEAR; PEOPLE; CONSEQUENCES; ASSESSMENTS; STRENGTH; EFFICACY; TRIAL</t>
        </is>
      </c>
      <c r="W1879" t="inlineStr">
        <is>
          <t>Introduction: Falls are the second leading cause of accidental or non-intentional deaths worldwide and are the most common problem as people age. The primary purpose of addressing falls is to detect, prevent, treat, and reduce their incidence and consequences. Previous studies identified that multifactorial programs, an interprofessional team, and assistive technology are required to address falls in older adults effectively. Accordingly, the research question is as follows: what are the scope, type of studies, and approaches and strategies to fall risk using technology in the existing occupational therapy literature regarding interventions to address the effects of falls in older adults on daily living? Methods: This scoping review was carried out in January 2020 through Biblioteca Virtual de Salud Espana, C.I.N.A.H.L., Cochrane Plus, OTSeeker, PubMed, Scopus, and Web of Science. Results: Twelve papers were included. We analyzed the year and journal of publication, authors' affiliation, and design of the study, and thematic categories. There were three themes: participants' characteristics, type of intervention, and fall approach and type of technology used. Discussion and Conclusions: The literature obtained is scarce. It is considered to still be an emerging theme, especially when considering the use of technology for occupational therapy.</t>
        </is>
      </c>
      <c r="X1879" t="inlineStr">
        <is>
          <t>[del Carmen Miranda-Duro, Maria; Nieto-Riveiro, Laura; Concheiro-Moscoso, Patricia; Groba, Betania; Pousada, Thais; Canosa, Nereida; Pereira, Javier] Univ A Coruna, CITIC Ctr Informat &amp; Commun Technol Res, TALIONIS Grp, Elvina Campus, La Coruna 15071, Spain; [del Carmen Miranda-Duro, Maria; Nieto-Riveiro, Laura; Concheiro-Moscoso, Patricia; Groba, Betania; Pousada, Thais; Canosa, Nereida; Pereira, Javier] Univ A Coruna, Fac Hlth Sci, Oza Campus, La Coruna 15071, Spain</t>
        </is>
      </c>
      <c r="Y1879" t="inlineStr">
        <is>
          <t>Universidade da Coruna; Universidade da Coruna</t>
        </is>
      </c>
      <c r="Z1879" t="inlineStr">
        <is>
          <t>Nieto-Riveiro, L (corresponding author), Univ A Coruna, CITIC Ctr Informat &amp; Commun Technol Res, TALIONIS Grp, Elvina Campus, La Coruna 15071, Spain.;Nieto-Riveiro, L (corresponding author), Univ A Coruna, Fac Hlth Sci, Oza Campus, La Coruna 15071, Spain.</t>
        </is>
      </c>
      <c r="AA1879" t="inlineStr">
        <is>
          <t>carmen.miranda@udc.es; laura.nieto@udc.es; patricia.concheiro@udc.es; b.groba@udc.es; thais.pousada.garcia@udc.es; nereida.canosa@udc.es; javier.pereira@udc.es</t>
        </is>
      </c>
      <c r="AB1879" t="inlineStr">
        <is>
          <t>Nieto-Riveiro, Laura/N-7788-2013; Miranda-Duro, María del Carmen/I-4190-2018; Pereira, Javier/D-5343-2012; Pousada, Thais/N-9807-2016; Patricia, Concheiro-Moscoso/I-4628-2018</t>
        </is>
      </c>
      <c r="AC1879" t="inlineStr">
        <is>
          <t>Nieto-Riveiro, Laura/0000-0003-3460-5895; Miranda-Duro, María del Carmen/0000-0002-6166-7760; Pereira, Javier/0000-0001-9328-0723; Pousada, Thais/0000-0003-3356-0429; Patricia, Concheiro-Moscoso/0000-0002-4232-5247; Groba, Betania/0000-0001-5547-2337</t>
        </is>
      </c>
      <c r="AD1879" t="inlineStr">
        <is>
          <t>CITIC, as Research Center by Galician University System - Conselleria de Cultura, Educacion e Universidades from Xunta de Galicia through ERDF Funds, ERDF Operational Programme Galicia 2014-2020; CITIC, as Research Center by Galician University System - Conselleria de Cultura, Educacion e Universidades from Xunta de Galicia by Secretaria Xeral de Universidades [ED431G 2019/01]; Ministerio de Ciencia e Innovacion R+D+I projects [PID2019-104323RB-C33]; [ED481A-2019/069]; [ED481A 2018/205]</t>
        </is>
      </c>
      <c r="AE1879" t="inlineStr">
        <is>
          <t>CITIC, as Research Center by Galician University System - Conselleria de Cultura, Educacion e Universidades from Xunta de Galicia through ERDF Funds, ERDF Operational Programme Galicia 2014-2020; CITIC, as Research Center by Galician University System - Conselleria de Cultura, Educacion e Universidades from Xunta de Galicia by Secretaria Xeral de Universidades; Ministerio de Ciencia e Innovacion R+D+I projects; ;</t>
        </is>
      </c>
      <c r="AF1879" t="inlineStr">
        <is>
          <t>The authors disclosed the receipt of the following financial support for the research, authorship, and/or publication of this article: The research team will bear all the economic costs involved in the study, with the support of the CITIC, as Research Center accredited by Galician University System that is funded by Conselleria de Cultura, Educacion e Universidades from Xunta de Galicia, which provided 80% of funds through ERDF Funds, ERDF Operational Programme Galicia 2014-2020, and the remaining CITIC, as Research Center by Galician University System - Conselleria de Cultura, Educacion e Universidades from Xunta de Galicia20% was provided by Secretaria Xeral de Universidades [Grant ED431G 2019/01]. Moreover, P.C.-M. obtained a scholarship [Ref.ED481A-2019/069] and M.D.C.M.-D. [Ref.ED481A 2018/205] gained a scholarship to develop a Ph.D. In addition, this work is also supported in part by the Ministerio de Ciencia e Innovacion R+D+I projects in the framework of the national programs of knowledge generation and scientific and technological strengthening of the R+D+I system and the challenges of society's-oriented R+D+I 2019 call (PID2019-104323RB-C33).</t>
        </is>
      </c>
      <c r="AH1879" t="n">
        <v>78</v>
      </c>
      <c r="AI1879" t="n">
        <v>6</v>
      </c>
      <c r="AJ1879" t="n">
        <v>6</v>
      </c>
      <c r="AK1879" t="n">
        <v>6</v>
      </c>
      <c r="AL1879" t="n">
        <v>26</v>
      </c>
      <c r="AM1879" t="inlineStr">
        <is>
          <t>MDPI</t>
        </is>
      </c>
      <c r="AN1879" t="inlineStr">
        <is>
          <t>BASEL</t>
        </is>
      </c>
      <c r="AO1879" t="inlineStr">
        <is>
          <t>ST ALBAN-ANLAGE 66, CH-4052 BASEL, SWITZERLAND</t>
        </is>
      </c>
      <c r="AQ1879" t="inlineStr">
        <is>
          <t>1660-4601</t>
        </is>
      </c>
      <c r="AS1879" t="inlineStr">
        <is>
          <t>INT J ENV RES PUB HE</t>
        </is>
      </c>
      <c r="AT1879" t="inlineStr">
        <is>
          <t>Int. J. Environ. Res. Public Health</t>
        </is>
      </c>
      <c r="AU1879" t="inlineStr">
        <is>
          <t>JAN</t>
        </is>
      </c>
      <c r="AV1879" t="n">
        <v>2021</v>
      </c>
      <c r="AW1879" t="n">
        <v>18</v>
      </c>
      <c r="AX1879" t="n">
        <v>2</v>
      </c>
      <c r="BE1879" t="n">
        <v>702</v>
      </c>
      <c r="BF1879" t="inlineStr">
        <is>
          <t>10.3390/ijerph18020702</t>
        </is>
      </c>
      <c r="BG1879">
        <f>HYPERLINK("http://dx.doi.org/10.3390/ijerph18020702","http://dx.doi.org/10.3390/ijerph18020702")</f>
        <v/>
      </c>
      <c r="BJ1879" t="n">
        <v>18</v>
      </c>
      <c r="BK1879" t="inlineStr">
        <is>
          <t>Environmental Sciences; Public, Environmental &amp; Occupational Health</t>
        </is>
      </c>
      <c r="BL1879" t="inlineStr">
        <is>
          <t>Science Citation Index Expanded (SCI-EXPANDED); Social Science Citation Index (SSCI)</t>
        </is>
      </c>
      <c r="BM1879" t="inlineStr">
        <is>
          <t>Environmental Sciences &amp; Ecology; Public, Environmental &amp; Occupational Health</t>
        </is>
      </c>
      <c r="BN1879" t="inlineStr">
        <is>
          <t>PY2JF</t>
        </is>
      </c>
      <c r="BO1879" t="n">
        <v>33467571</v>
      </c>
      <c r="BP1879" t="inlineStr">
        <is>
          <t>Green Published, gold</t>
        </is>
      </c>
      <c r="BS1879" t="inlineStr">
        <is>
          <t>2023-10-26</t>
        </is>
      </c>
      <c r="BT1879" t="inlineStr">
        <is>
          <t>WOS:000611874400001</t>
        </is>
      </c>
      <c r="BU1879">
        <f>HYPERLINK("https%3A%2F%2Fwww.webofscience.com%2Fwos%2Fwoscc%2Ffull-record%2FWOS:000611874400001","View Full Record in Web of Science")</f>
        <v/>
      </c>
    </row>
    <row r="1880">
      <c r="A1880" t="inlineStr">
        <is>
          <t>J</t>
        </is>
      </c>
      <c r="B1880" t="inlineStr">
        <is>
          <t>Alves, MR; Deeleepojananan, C; Or, VW; Sit, I; Grassian, VH</t>
        </is>
      </c>
      <c r="F1880" t="inlineStr">
        <is>
          <t>Alves, Michael R.; Deeleepojananan, Cholaphan; Or, Victor W.; Sit, Izaac; Grassian, Vicki H.</t>
        </is>
      </c>
      <c r="J1880" t="inlineStr">
        <is>
          <t>ENVIRONMENTAL CHEMISTRY</t>
        </is>
      </c>
      <c r="M1880" t="inlineStr">
        <is>
          <t>English</t>
        </is>
      </c>
      <c r="N1880" t="inlineStr">
        <is>
          <t>Article</t>
        </is>
      </c>
      <c r="T1880" t="inlineStr">
        <is>
          <t>Insights into interactions of chlorine-based cleaning products with indoor relevant surfaces</t>
        </is>
      </c>
      <c r="U1880" t="inlineStr">
        <is>
          <t>bleach cleaning; chlorine oxides; hypochlorous acid; indoor chemistry; indoor air quality; indoor surfaces; surface chemistry</t>
        </is>
      </c>
      <c r="V1880" t="inlineStr">
        <is>
          <t>CHEMISTRY; ADSORPTION; AGENTS; WATER; AIR</t>
        </is>
      </c>
      <c r="W1880" t="inlineStr">
        <is>
          <t>Rationale. Indoor chemistry has recently received increased attention in the scientific community due to the fact that there is relatively little known given its unique environment including point combustion sources (candles, gas stoves, etc.) resulting in high aerosol concentrations, high surface to volume ratios and the impact of humans on indoor air quality. Recently, surface initiated reactions during chlorine cleaning events have been proposed. Methodology. In this study, we probe the interaction of bleach headspace gas with high surface area silica as a proxy for window glass - an inert' and impervious surface - using attenuated total reflectance Fourier Transform infrared (ATR-FTIR) spectroscopy, atomic force microscopy photothermal infrared (AFM-PTIR) spectroscopy and transmission electron microscopy (TEM) to observe surface chemical and physical changes. Results. The results suggest chemical transformations occur at the silica surface forming surface adsorbed chlorine oxides (ClOx). Conductivity and ion chromatography methods support the presence of adsorbed chloride after surfaces have been exposed to bleach and HOCl. Discussion. Interactions between HOCl and indoor surfaces have not been previously studied with molecular based techniques. The possibility of surface mediated reactions has been relatively unexplored on indoor surfaces and this study shows the chemistry of chlorine-containing cleaning products on indoor relevant surfaces.</t>
        </is>
      </c>
      <c r="X1880" t="inlineStr">
        <is>
          <t>[Alves, Michael R.; Deeleepojananan, Cholaphan; Or, Victor W.; Grassian, Vicki H.] Univ Calif San Diego, Dept Chem &amp; Biochem, La Jolla, CA 92093 USA; [Sit, Izaac] Univ Calif San Diego, Dept Nanoengn, La Jolla, CA 92093 USA</t>
        </is>
      </c>
      <c r="Y1880" t="inlineStr">
        <is>
          <t>University of California System; University of California San Diego; University of California System; University of California San Diego</t>
        </is>
      </c>
      <c r="Z1880" t="inlineStr">
        <is>
          <t>Grassian, VH (corresponding author), Univ Calif San Diego, Dept Chem &amp; Biochem, La Jolla, CA 92093 USA.</t>
        </is>
      </c>
      <c r="AA1880" t="inlineStr">
        <is>
          <t>vhgrassian@ucsd.edu</t>
        </is>
      </c>
      <c r="AB1880" t="inlineStr">
        <is>
          <t>Sit, Izaac/IWU-9605-2023</t>
        </is>
      </c>
      <c r="AC1880" t="inlineStr">
        <is>
          <t>Sit, Izaac/0000-0002-8462-3496; Alves, Michael/0000-0003-1434-5483</t>
        </is>
      </c>
      <c r="AD1880" t="inlineStr">
        <is>
          <t>Alfred P. Sloan Foundation [G-2020-12675]; National Science Foundation Graduate Research Fellowship Program [DGE1650112]; NIH [S10 OD023527]</t>
        </is>
      </c>
      <c r="AE1880" t="inlineStr">
        <is>
          <t>Alfred P. Sloan Foundation(Alfred P. Sloan Foundation); National Science Foundation Graduate Research Fellowship Program(National Science Foundation (NSF)); NIH(United States Department of Health &amp; Human ServicesNational Institutes of Health (NIH) - USA)</t>
        </is>
      </c>
      <c r="AF1880" t="inlineStr">
        <is>
          <t>The authors gratefully acknowledge the support of the Alfred P. Sloan Foundation under grant number G-2020-12675 and the National Science Foundation Graduate Research Fellowship Program (DGE1650112). The low-resolution TEM images were acquired at the UCSD Cellular and Molecular Medicine Electron Microscopy Core Facility (UCSD-CMM-EM Core, RRID:SCR_022039) which is supported in part by the NIH award S10 OD023527. The authors also thank Professor Jonas Baltrusaitis at Lehigh University for the collection of XPS data.</t>
        </is>
      </c>
      <c r="AH1880" t="n">
        <v>25</v>
      </c>
      <c r="AI1880" t="n">
        <v>0</v>
      </c>
      <c r="AJ1880" t="n">
        <v>0</v>
      </c>
      <c r="AK1880" t="n">
        <v>6</v>
      </c>
      <c r="AL1880" t="n">
        <v>8</v>
      </c>
      <c r="AM1880" t="inlineStr">
        <is>
          <t>CSIRO PUBLISHING</t>
        </is>
      </c>
      <c r="AN1880" t="inlineStr">
        <is>
          <t>CLAYTON</t>
        </is>
      </c>
      <c r="AO1880" t="inlineStr">
        <is>
          <t>UNIPARK, BLDG 1, LEVEL 1, 195 WELLINGTON RD, LOCKED BAG 10, CLAYTON, VIC 3168, AUSTRALIA</t>
        </is>
      </c>
      <c r="AP1880" t="inlineStr">
        <is>
          <t>1448-2517</t>
        </is>
      </c>
      <c r="AQ1880" t="inlineStr">
        <is>
          <t>1449-8979</t>
        </is>
      </c>
      <c r="AS1880" t="inlineStr">
        <is>
          <t>ENVIRON CHEM</t>
        </is>
      </c>
      <c r="AT1880" t="inlineStr">
        <is>
          <t>Environ. Chem.</t>
        </is>
      </c>
      <c r="AV1880" t="n">
        <v>2022</v>
      </c>
      <c r="AW1880" t="n">
        <v>19</v>
      </c>
      <c r="AX1880" t="n">
        <v>6</v>
      </c>
      <c r="BC1880" t="n">
        <v>343</v>
      </c>
      <c r="BD1880" t="n">
        <v>349</v>
      </c>
      <c r="BF1880" t="inlineStr">
        <is>
          <t>10.1071/EN22031</t>
        </is>
      </c>
      <c r="BG1880">
        <f>HYPERLINK("http://dx.doi.org/10.1071/EN22031","http://dx.doi.org/10.1071/EN22031")</f>
        <v/>
      </c>
      <c r="BI1880" t="inlineStr">
        <is>
          <t>DEC 2022</t>
        </is>
      </c>
      <c r="BJ1880" t="n">
        <v>7</v>
      </c>
      <c r="BK1880" t="inlineStr">
        <is>
          <t>Chemistry, Analytical; Environmental Sciences</t>
        </is>
      </c>
      <c r="BL1880" t="inlineStr">
        <is>
          <t>Science Citation Index Expanded (SCI-EXPANDED)</t>
        </is>
      </c>
      <c r="BM1880" t="inlineStr">
        <is>
          <t>Chemistry; Environmental Sciences &amp; Ecology</t>
        </is>
      </c>
      <c r="BN1880" t="inlineStr">
        <is>
          <t>8E1OR</t>
        </is>
      </c>
      <c r="BP1880" t="inlineStr">
        <is>
          <t>hybrid</t>
        </is>
      </c>
      <c r="BS1880" t="inlineStr">
        <is>
          <t>2023-10-26</t>
        </is>
      </c>
      <c r="BT1880" t="inlineStr">
        <is>
          <t>WOS:000901755300001</t>
        </is>
      </c>
      <c r="BU1880">
        <f>HYPERLINK("https%3A%2F%2Fwww.webofscience.com%2Fwos%2Fwoscc%2Ffull-record%2FWOS:000901755300001","View Full Record in Web of Science")</f>
        <v/>
      </c>
    </row>
    <row r="1881">
      <c r="A1881" t="inlineStr">
        <is>
          <t>J</t>
        </is>
      </c>
      <c r="B1881" t="inlineStr">
        <is>
          <t>Echeverria, CA; Pahlevani, F; Handoko, W; Jiang, CY; Doolan, C; Sahajwalla, V</t>
        </is>
      </c>
      <c r="F1881" t="inlineStr">
        <is>
          <t>Echeverria, Claudia A.; Pahlevani, Farshid; Handoko, Wilson; Jiang, Chaoyang; Doolan, Con; Sahajwalla, Veena</t>
        </is>
      </c>
      <c r="J1881" t="inlineStr">
        <is>
          <t>RESOURCES CONSERVATION AND RECYCLING</t>
        </is>
      </c>
      <c r="M1881" t="inlineStr">
        <is>
          <t>English</t>
        </is>
      </c>
      <c r="N1881" t="inlineStr">
        <is>
          <t>Article</t>
        </is>
      </c>
      <c r="T1881" t="inlineStr">
        <is>
          <t>Engineered hybrid fibre reinforced composites for sound absorption building applications</t>
        </is>
      </c>
      <c r="U1881" t="inlineStr">
        <is>
          <t>Building acoustic; Green composite; Indoor environment; Fibre microstructure; Recycled fibre; Sound absorption</t>
        </is>
      </c>
      <c r="V1881" t="inlineStr">
        <is>
          <t>NOISE</t>
        </is>
      </c>
      <c r="W1881" t="inlineStr">
        <is>
          <t>The sound absorption was investigated in a series of 21 isotropic Hybrid Fibre Reinforced Composite (HFRC) prototypes, using the impedance tube method. The composite blends were engineered targeting the recovery of highly-available natural and synthetic fibrous polymeric materials -thermoplastic, ligno-cellulose, keratin, alginate bio-polymer-sourced locally from the post-consumer and end-of-life waste streams. Two major environmental pollution problems are discussed, such as urban noise and waste fibres, and how to transfer this waste into building materials, targeting a two-fold solution with environmental, economic, and social benefits. The diversion of valuable fibrous resources from landfill disposal is pursued, promoting multi-stage cascading use of raw materials as local industrial feedstock, through the development of high-end non-toxic products, for acoustic building applications. The noise absorption properties of the HFRCs is the focus of the study, since urban noise is considered by the World Health Organization amongst the major sources of anthropogenic environmental pollution of global industrialized urban settlements. The experimental results indicated low absorption coefficient at mid-frequencies (500 Hz-2.5 kHz) and a higher absorption (2.5-6.4 kHz) coefficient at higher frequency ranges. Peak sound absorption values of +/- 0.78 were achieved by the low-density prototypes with minimal filler-matrix interfacial voids and in which the filler phase was constituted by natural fibres with intricate hierarchical intraparticle microstructure. These series of innovative low-carbon materials from wastes introduce a sustainable alternative to traditional commercial synthetic products, for the improvement of the indoor quality by a significant noise reduction, particularly targeting dwellings in densified urban zones.</t>
        </is>
      </c>
      <c r="X1881" t="inlineStr">
        <is>
          <t>[Echeverria, Claudia A.; Pahlevani, Farshid; Handoko, Wilson; Sahajwalla, Veena] Fac Sci, Sch Mat Sci &amp; Engn, Ctr Sustainable Mat Res &amp; Technol SMaRT, Sydney, NSW, Australia; [Jiang, Chaoyang; Doolan, Con] Univ New South Wales Sydney, Fac Engn, Sch Mech Engn, UNSW, Sydney, NSW, Australia</t>
        </is>
      </c>
      <c r="Y1881" t="inlineStr">
        <is>
          <t>University of New South Wales Sydney</t>
        </is>
      </c>
      <c r="Z1881" t="inlineStr">
        <is>
          <t>Echeverria, CA (corresponding author), Univ New South Wales Sydney, Ctr Sustainable Mat Res &amp; Technol SMaRT, Sch Mat Sci &amp; Engn, Fac Sci, Sydney, NSW, Australia.</t>
        </is>
      </c>
      <c r="AA1881" t="inlineStr">
        <is>
          <t>c.echeverria@unsw.edu.au</t>
        </is>
      </c>
      <c r="AB1881" t="inlineStr">
        <is>
          <t>Doolan, Con J/I-1773-2013; Pahlevani, Farshid/P-9917-2016</t>
        </is>
      </c>
      <c r="AC1881" t="inlineStr">
        <is>
          <t>Doolan, Con J/0000-0002-1261-6035; Jiang, Chaoyang/0000-0002-2754-9269; Pahlevani, Farshid/0000-0002-0833-3227; Echeverria, Claudia/0000-0002-5931-3883</t>
        </is>
      </c>
      <c r="AD1881" t="inlineStr">
        <is>
          <t>Australian Government Research Training Program (RTP); Australian Research Council's Industrial Transformation Research Hub funding scheme [IH130200025]; Innovation Connection program of Australian Department of Industry, Innovation Science</t>
        </is>
      </c>
      <c r="AE1881" t="inlineStr">
        <is>
          <t>Australian Government Research Training Program (RTP); Australian Research Council's Industrial Transformation Research Hub funding scheme(Australian Research Council); Innovation Connection program of Australian Department of Industry, Innovation Science</t>
        </is>
      </c>
      <c r="AF1881" t="inlineStr">
        <is>
          <t>This research was financially supported under Australian Government Research Training Program (RTP) and Australian Research Council's Industrial Transformation Research Hub funding scheme (project IH130200025) and Innovation Connection program of Australian Department of Industry, Innovation &amp; Science. We gratefully acknowledge the technical support provided by the Mark Wainwright Analytical Centre in the UNSW Sydney.</t>
        </is>
      </c>
      <c r="AH1881" t="n">
        <v>42</v>
      </c>
      <c r="AI1881" t="n">
        <v>40</v>
      </c>
      <c r="AJ1881" t="n">
        <v>40</v>
      </c>
      <c r="AK1881" t="n">
        <v>1</v>
      </c>
      <c r="AL1881" t="n">
        <v>85</v>
      </c>
      <c r="AM1881" t="inlineStr">
        <is>
          <t>ELSEVIER SCIENCE BV</t>
        </is>
      </c>
      <c r="AN1881" t="inlineStr">
        <is>
          <t>AMSTERDAM</t>
        </is>
      </c>
      <c r="AO1881" t="inlineStr">
        <is>
          <t>PO BOX 211, 1000 AE AMSTERDAM, NETHERLANDS</t>
        </is>
      </c>
      <c r="AP1881" t="inlineStr">
        <is>
          <t>0921-3449</t>
        </is>
      </c>
      <c r="AQ1881" t="inlineStr">
        <is>
          <t>1879-0658</t>
        </is>
      </c>
      <c r="AS1881" t="inlineStr">
        <is>
          <t>RESOUR CONSERV RECY</t>
        </is>
      </c>
      <c r="AT1881" t="inlineStr">
        <is>
          <t>Resour. Conserv. Recycl.</t>
        </is>
      </c>
      <c r="AU1881" t="inlineStr">
        <is>
          <t>APR</t>
        </is>
      </c>
      <c r="AV1881" t="n">
        <v>2019</v>
      </c>
      <c r="AW1881" t="n">
        <v>143</v>
      </c>
      <c r="BC1881" t="n">
        <v>1</v>
      </c>
      <c r="BD1881" t="n">
        <v>14</v>
      </c>
      <c r="BF1881" t="inlineStr">
        <is>
          <t>10.1016/j.resconrec.2018.12.014</t>
        </is>
      </c>
      <c r="BG1881">
        <f>HYPERLINK("http://dx.doi.org/10.1016/j.resconrec.2018.12.014","http://dx.doi.org/10.1016/j.resconrec.2018.12.014")</f>
        <v/>
      </c>
      <c r="BJ1881" t="n">
        <v>14</v>
      </c>
      <c r="BK1881" t="inlineStr">
        <is>
          <t>Engineering, Environmental; Environmental Sciences</t>
        </is>
      </c>
      <c r="BL1881" t="inlineStr">
        <is>
          <t>Science Citation Index Expanded (SCI-EXPANDED)</t>
        </is>
      </c>
      <c r="BM1881" t="inlineStr">
        <is>
          <t>Engineering; Environmental Sciences &amp; Ecology</t>
        </is>
      </c>
      <c r="BN1881" t="inlineStr">
        <is>
          <t>HK8EQ</t>
        </is>
      </c>
      <c r="BS1881" t="inlineStr">
        <is>
          <t>2023-10-26</t>
        </is>
      </c>
      <c r="BT1881" t="inlineStr">
        <is>
          <t>WOS:000458222600001</t>
        </is>
      </c>
      <c r="BU1881">
        <f>HYPERLINK("https%3A%2F%2Fwww.webofscience.com%2Fwos%2Fwoscc%2Ffull-record%2FWOS:000458222600001","View Full Record in Web of Science")</f>
        <v/>
      </c>
    </row>
    <row r="1882">
      <c r="A1882" t="inlineStr">
        <is>
          <t>J</t>
        </is>
      </c>
      <c r="B1882" t="inlineStr">
        <is>
          <t>Stehr, P; Rossmann, C; Kremer, T; Geppert, J</t>
        </is>
      </c>
      <c r="F1882" t="inlineStr">
        <is>
          <t>Stehr, Paula; Rossmann, Constanze; Kremer, Tabea; Geppert, Johanna</t>
        </is>
      </c>
      <c r="J1882" t="inlineStr">
        <is>
          <t>INTERNATIONAL JOURNAL OF ENVIRONMENTAL RESEARCH AND PUBLIC HEALTH</t>
        </is>
      </c>
      <c r="M1882" t="inlineStr">
        <is>
          <t>English</t>
        </is>
      </c>
      <c r="N1882" t="inlineStr">
        <is>
          <t>Article</t>
        </is>
      </c>
      <c r="T1882" t="inlineStr">
        <is>
          <t>Determinants of Physical Activity in Older Adults: Integrating Self-Concordance into the Theory of Planned Behavior</t>
        </is>
      </c>
      <c r="U1882" t="inlineStr">
        <is>
          <t>physical activity; older adults; theory of planned behavior; self-concordance; self-determination theory; habitual behavior</t>
        </is>
      </c>
      <c r="V1882" t="inlineStr">
        <is>
          <t>REASONED ACTION; EXERCISE BEHAVIOR; NEED SATISFACTION; MOTIVATION; VALIDITY; HABIT; TIME; METAANALYSIS; INTENTIONS; AUTONOMY</t>
        </is>
      </c>
      <c r="W1882" t="inlineStr">
        <is>
          <t>Based on the theory of planned behavior (TPB), augmented by the concept of self-concordance (derived from self-determination theory, SDT), we conducted a study to identify the key determinants of physical activity in older adults. We applied structural equation modeling of telephone survey data from a random sample of adults aged 65 years and older living in Germany (N = 865). Relations of attitude, subjective norms, and perceived behavioral control (PBC) with intention strength and self-concordance of intention to be physically active were tested. Habit strength was analyzed as a moderator. Data analysis showed this model to be well-suited for explaining the intention to be physically active-especially for people with a weak habit. The influence of TPB components on intention would have been underestimated if we had investigated intention strength only, without considering the self-concordance of intention. While attitude and PBC had positive relations with a strong and self-determined intention, the subjective norm showed no relation with intention strength but, rather, with non-self-determined regulation forms. We conclude that the combined model provides a better theoretical foundation from which to explain physical activity intentions than does just one of the theories.</t>
        </is>
      </c>
      <c r="X1882" t="inlineStr">
        <is>
          <t>[Stehr, Paula; Rossmann, Constanze; Kremer, Tabea; Geppert, Johanna] Univ Erfurt, Dept Media &amp; Commun Sci, D-99089 Erfurt, Germany; [Geppert, Johanna] German Fed Inst Risk Assessment, D-10589 Berlin, Germany</t>
        </is>
      </c>
      <c r="Y1882" t="inlineStr">
        <is>
          <t>University of Erfurt; Federal Institute for Risk Assessment</t>
        </is>
      </c>
      <c r="Z1882" t="inlineStr">
        <is>
          <t>Stehr, P (corresponding author), Univ Erfurt, Dept Media &amp; Commun Sci, D-99089 Erfurt, Germany.</t>
        </is>
      </c>
      <c r="AA1882" t="inlineStr">
        <is>
          <t>paula.stehr@uni-erfurt.de; constanze.rossmann@uni-erfurt.de; tabea.kremer@uni-erfurt.de; johanna.geppert@bfr.bund.de</t>
        </is>
      </c>
      <c r="AB1882" t="inlineStr">
        <is>
          <t>Stehr, Paula/AAP-4382-2021</t>
        </is>
      </c>
      <c r="AC1882" t="inlineStr">
        <is>
          <t>Stehr, Paula/0000-0003-0767-8335; Kremer, Tabea/0000-0001-5966-5750; Rossmann, Constanze/0000-0002-4068-4369</t>
        </is>
      </c>
      <c r="AD1882" t="inlineStr">
        <is>
          <t>Association of German private healthcare insurers (PKV); Ageing in Balance by the Federal Centre for Health Education (BZgA)</t>
        </is>
      </c>
      <c r="AE1882" t="inlineStr">
        <is>
          <t>Association of German private healthcare insurers (PKV); Ageing in Balance by the Federal Centre for Health Education (BZgA)</t>
        </is>
      </c>
      <c r="AF1882" t="inlineStr">
        <is>
          <t>This research was funded as part of Ageing in Balance, a project initiated and executed by the Federal Centre for Health Education (BZgA) and financially supported by the Association of German private healthcare insurers (PKV).</t>
        </is>
      </c>
      <c r="AH1882" t="n">
        <v>75</v>
      </c>
      <c r="AI1882" t="n">
        <v>6</v>
      </c>
      <c r="AJ1882" t="n">
        <v>6</v>
      </c>
      <c r="AK1882" t="n">
        <v>2</v>
      </c>
      <c r="AL1882" t="n">
        <v>20</v>
      </c>
      <c r="AM1882" t="inlineStr">
        <is>
          <t>MDPI</t>
        </is>
      </c>
      <c r="AN1882" t="inlineStr">
        <is>
          <t>BASEL</t>
        </is>
      </c>
      <c r="AO1882" t="inlineStr">
        <is>
          <t>ST ALBAN-ANLAGE 66, CH-4052 BASEL, SWITZERLAND</t>
        </is>
      </c>
      <c r="AQ1882" t="inlineStr">
        <is>
          <t>1660-4601</t>
        </is>
      </c>
      <c r="AS1882" t="inlineStr">
        <is>
          <t>INT J ENV RES PUB HE</t>
        </is>
      </c>
      <c r="AT1882" t="inlineStr">
        <is>
          <t>Int. J. Environ. Res. Public Health</t>
        </is>
      </c>
      <c r="AU1882" t="inlineStr">
        <is>
          <t>JUN</t>
        </is>
      </c>
      <c r="AV1882" t="n">
        <v>2021</v>
      </c>
      <c r="AW1882" t="n">
        <v>18</v>
      </c>
      <c r="AX1882" t="n">
        <v>11</v>
      </c>
      <c r="BE1882" t="n">
        <v>5759</v>
      </c>
      <c r="BF1882" t="inlineStr">
        <is>
          <t>10.3390/ijerph18115759</t>
        </is>
      </c>
      <c r="BG1882">
        <f>HYPERLINK("http://dx.doi.org/10.3390/ijerph18115759","http://dx.doi.org/10.3390/ijerph18115759")</f>
        <v/>
      </c>
      <c r="BJ1882" t="n">
        <v>16</v>
      </c>
      <c r="BK1882" t="inlineStr">
        <is>
          <t>Environmental Sciences; Public, Environmental &amp; Occupational Health</t>
        </is>
      </c>
      <c r="BL1882" t="inlineStr">
        <is>
          <t>Science Citation Index Expanded (SCI-EXPANDED); Social Science Citation Index (SSCI)</t>
        </is>
      </c>
      <c r="BM1882" t="inlineStr">
        <is>
          <t>Environmental Sciences &amp; Ecology; Public, Environmental &amp; Occupational Health</t>
        </is>
      </c>
      <c r="BN1882" t="inlineStr">
        <is>
          <t>SP8QX</t>
        </is>
      </c>
      <c r="BO1882" t="n">
        <v>34072012</v>
      </c>
      <c r="BP1882" t="inlineStr">
        <is>
          <t>gold, Green Published</t>
        </is>
      </c>
      <c r="BS1882" t="inlineStr">
        <is>
          <t>2023-10-26</t>
        </is>
      </c>
      <c r="BT1882" t="inlineStr">
        <is>
          <t>WOS:000659929300001</t>
        </is>
      </c>
      <c r="BU1882">
        <f>HYPERLINK("https%3A%2F%2Fwww.webofscience.com%2Fwos%2Fwoscc%2Ffull-record%2FWOS:000659929300001","View Full Record in Web of Science")</f>
        <v/>
      </c>
    </row>
    <row r="1883">
      <c r="A1883" t="inlineStr">
        <is>
          <t>J</t>
        </is>
      </c>
      <c r="B1883" t="inlineStr">
        <is>
          <t>Basinska, M; Michalkiewicz, M; Ratajczak, K</t>
        </is>
      </c>
      <c r="F1883" t="inlineStr">
        <is>
          <t>Basinska, Malgorzata; Michalkiewicz, Michal; Ratajczak, Katarzyna</t>
        </is>
      </c>
      <c r="J1883" t="inlineStr">
        <is>
          <t>ENVIRONMENT INTERNATIONAL</t>
        </is>
      </c>
      <c r="M1883" t="inlineStr">
        <is>
          <t>English</t>
        </is>
      </c>
      <c r="N1883" t="inlineStr">
        <is>
          <t>Article</t>
        </is>
      </c>
      <c r="T1883" t="inlineStr">
        <is>
          <t>Impact of physical and microbiological parameters on proper indoor air quality in nursery</t>
        </is>
      </c>
      <c r="U1883" t="inlineStr">
        <is>
          <t>Nursery; Indoor air quality; Microbiological contaminations; CO2 concentration, particulate matter, mechanical ventilation</t>
        </is>
      </c>
      <c r="V1883" t="inlineStr">
        <is>
          <t>CO2 CONCENTRATIONS; VENTILATION RATES; EXPOSURE ASSESSMENT; CHILDRENS EXPOSURE; THERMAL CONDITIONS; URBAN NURSERIES; HEALTH SYMPTOMS; PRIMARY-SCHOOLS; PART 1; ENVIRONMENT</t>
        </is>
      </c>
      <c r="W1883" t="inlineStr">
        <is>
          <t>Although the evaluation of air quality in the residential and office rooms has been significantly developed in recent decades, the issues associated with securing the air quality requirements in nurseries are still not well recognised. This study presents the results of tests regarding the physical and microbiological properties of air in selected rooms of a nursery, including the alternatively variable way of rooms ventilation. The experiment was conducted in four different rooms from the 20th of November 2017 to the 16th of April 2018. The constant measurements of basic parameters of physical air quality in rooms and outside as well as the measurements of microbiological and particulate matter contaminations were conducted in the chosen days of the analysis. The results have confirmed the unsatisfactory air quality in the rooms dedicated to small children. Modernisation of the ventilation system, from a natural one to the supply-exhaust ventilation, has lead to an improvement of physical property of the air, but it did not significantly improve its microbiological quality. Our research indicates that the controlled air flow, method of cleaning the premise and health condition of the children may have a great influence on the physical and microbiological quality of the air.</t>
        </is>
      </c>
      <c r="X1883" t="inlineStr">
        <is>
          <t>[Basinska, Malgorzata; Michalkiewicz, Michal; Ratajczak, Katarzyna] Poznan Univ Tech, Inst Environm Engn, Berdychowo 4, PL-61131 Poznan, Poland</t>
        </is>
      </c>
      <c r="Y1883" t="inlineStr">
        <is>
          <t>Poznan University of Technology</t>
        </is>
      </c>
      <c r="Z1883" t="inlineStr">
        <is>
          <t>Basinska, M (corresponding author), Poznan Univ Tech, Inst Environm Engn, Berdychowo 4, PL-61131 Poznan, Poland.</t>
        </is>
      </c>
      <c r="AA1883" t="inlineStr">
        <is>
          <t>malgorzata.basinska@put.poznan.pl</t>
        </is>
      </c>
      <c r="AB1883" t="inlineStr">
        <is>
          <t>Basinska, Malgorzata/M-1744-2014; Ratajczak, Katarzyna/L-9967-2014; Michalkiewicz, Michal/M-2308-2014</t>
        </is>
      </c>
      <c r="AC1883" t="inlineStr">
        <is>
          <t>Ratajczak, Katarzyna/0000-0002-6950-8262; Michalkiewicz, Michal/0000-0002-2945-6971; Basinska, Malgorzata Hanna/0000-0001-6180-641X</t>
        </is>
      </c>
      <c r="AD1883" t="inlineStr">
        <is>
          <t>Institute of Environmental Engineering of the Poznan University of Technology [50410101/13/SBAD/0911]</t>
        </is>
      </c>
      <c r="AE1883" t="inlineStr">
        <is>
          <t>Institute of Environmental Engineering of the Poznan University of Technology</t>
        </is>
      </c>
      <c r="AF1883" t="inlineStr">
        <is>
          <t>The research described in the article was financed from the statutory funds (50410101/13/SBAD/0911) of the Institute of Environmental Engineering of the Poznan University of Technology.</t>
        </is>
      </c>
      <c r="AH1883" t="n">
        <v>81</v>
      </c>
      <c r="AI1883" t="n">
        <v>21</v>
      </c>
      <c r="AJ1883" t="n">
        <v>21</v>
      </c>
      <c r="AK1883" t="n">
        <v>0</v>
      </c>
      <c r="AL1883" t="n">
        <v>12</v>
      </c>
      <c r="AM1883" t="inlineStr">
        <is>
          <t>PERGAMON-ELSEVIER SCIENCE LTD</t>
        </is>
      </c>
      <c r="AN1883" t="inlineStr">
        <is>
          <t>OXFORD</t>
        </is>
      </c>
      <c r="AO1883" t="inlineStr">
        <is>
          <t>THE BOULEVARD, LANGFORD LANE, KIDLINGTON, OXFORD OX5 1GB, ENGLAND</t>
        </is>
      </c>
      <c r="AP1883" t="inlineStr">
        <is>
          <t>0160-4120</t>
        </is>
      </c>
      <c r="AQ1883" t="inlineStr">
        <is>
          <t>1873-6750</t>
        </is>
      </c>
      <c r="AS1883" t="inlineStr">
        <is>
          <t>ENVIRON INT</t>
        </is>
      </c>
      <c r="AT1883" t="inlineStr">
        <is>
          <t>Environ. Int.</t>
        </is>
      </c>
      <c r="AU1883" t="inlineStr">
        <is>
          <t>NOV</t>
        </is>
      </c>
      <c r="AV1883" t="n">
        <v>2019</v>
      </c>
      <c r="AW1883" t="n">
        <v>132</v>
      </c>
      <c r="BE1883" t="n">
        <v>105098</v>
      </c>
      <c r="BF1883" t="inlineStr">
        <is>
          <t>10.1016/j.envint.2019.105098</t>
        </is>
      </c>
      <c r="BG1883">
        <f>HYPERLINK("http://dx.doi.org/10.1016/j.envint.2019.105098","http://dx.doi.org/10.1016/j.envint.2019.105098")</f>
        <v/>
      </c>
      <c r="BJ1883" t="n">
        <v>14</v>
      </c>
      <c r="BK1883" t="inlineStr">
        <is>
          <t>Environmental Sciences</t>
        </is>
      </c>
      <c r="BL1883" t="inlineStr">
        <is>
          <t>Science Citation Index Expanded (SCI-EXPANDED)</t>
        </is>
      </c>
      <c r="BM1883" t="inlineStr">
        <is>
          <t>Environmental Sciences &amp; Ecology</t>
        </is>
      </c>
      <c r="BN1883" t="inlineStr">
        <is>
          <t>JI6BQ</t>
        </is>
      </c>
      <c r="BO1883" t="n">
        <v>31434053</v>
      </c>
      <c r="BP1883" t="inlineStr">
        <is>
          <t>gold</t>
        </is>
      </c>
      <c r="BS1883" t="inlineStr">
        <is>
          <t>2023-10-26</t>
        </is>
      </c>
      <c r="BT1883" t="inlineStr">
        <is>
          <t>WOS:000493552400056</t>
        </is>
      </c>
      <c r="BU1883">
        <f>HYPERLINK("https%3A%2F%2Fwww.webofscience.com%2Fwos%2Fwoscc%2Ffull-record%2FWOS:000493552400056","View Full Record in Web of Science")</f>
        <v/>
      </c>
    </row>
    <row r="1884">
      <c r="A1884" t="inlineStr">
        <is>
          <t>J</t>
        </is>
      </c>
      <c r="B1884" t="inlineStr">
        <is>
          <t>Lin, YY; Meng, L; Guo, FJ; Zhang, XH; Yang, DD; Yao, XC; Jin, MJ; Wang, JB; Tang, ML; Chen, K</t>
        </is>
      </c>
      <c r="F1884" t="inlineStr">
        <is>
          <t>Lin, Yao-yao; Meng, Lin; Guo, Fan-jia; Zhang, Xin-han; Yang, Dan-dan; Yao, Xue-cheng; Jin, Ming-juan; Wang, Jian-bing; Tang, Meng-ling; Chen, Kun</t>
        </is>
      </c>
      <c r="J1884" t="inlineStr">
        <is>
          <t>ECOTOXICOLOGY AND ENVIRONMENTAL SAFETY</t>
        </is>
      </c>
      <c r="M1884" t="inlineStr">
        <is>
          <t>English</t>
        </is>
      </c>
      <c r="N1884" t="inlineStr">
        <is>
          <t>Article</t>
        </is>
      </c>
      <c r="T1884" t="inlineStr">
        <is>
          <t>Association between whole blood essential trace elements and cognitive function in older adults</t>
        </is>
      </c>
      <c r="U1884" t="inlineStr">
        <is>
          <t>Cognitive function; Essential trace element; Older adults; Mixtures; Joint association</t>
        </is>
      </c>
      <c r="V1884" t="inlineStr">
        <is>
          <t>MINI-MENTAL-STATE; SELENIUM; INHABITANTS; MANGANESE; HEALTH; COPPER; IMPAIRMENT; MIXTURES; DEMENTIA; CHROMIUM</t>
        </is>
      </c>
      <c r="W1884" t="inlineStr">
        <is>
          <t>Background: Essential trace elements (ETEs) are essential nutrients for keeping the nervous system functioning. Associations between ETEs and cognitive function are still inconclusive and limited. Objectives: We aimed to investigate the individual and joint associations between ETEs and cognitive function among older adults.Methods: A population (N = 2181) at an average age &amp; GE; 65 from Yiwu cohort in China was available for this study. Whole blood chromium (Cr), selenium (Se), manganese (Mn), and copper (Cu) concentrations were measured by inductively coupled plasma mass spectrometry (ICP-MS). Cognitive function was assessed using the Mini-Mental State Examination (MMSE), consisting of five specific cognitive domains: orientation, registry, attention and calculation, recall, and language and praxis. Linear regression, restricted cubic spline (RCS) analysis, and Bayesian kernel machine regression (BKMR) were used to analyze the individual and joint associations between ETEs and cognitive function.Results: The association between Cr and MMSE score presented an inverted-U shape (Q3 versus Q1: 13 = 0.774, 95 % CI: 0.297, 1.250; Q4 versus Q1: 13 = 0.481, 95 % CI: 0.006, 0.956); and Cr was especially associated with the registry, recall, and language and praxis. Per IQR (36.32 &amp; mu;g/L) increase of Se was positively associated with the MMSE score (13 = 0.497, 95 % CI: 0.277, 0.717) and all five cognitive domains. The BKMR showed that the doseresponse association between Se and cognitive function increased initially and then decreased with increasing Se concentration when fixed the other ETEs in median. ETEs mixture was positively associated with cognitive function, and Se (posterior inclusion probabilities, PIPs = 0.915) was the most important contributor within the ETEs mixture.Conclusions: The nonlinear association between Cr and cognitive function suggested further exploration of an appropriate concentration range for ETEs. A positive association between mixed ETEs and cognitive function is a reminder that their joint association should be considered. Further prospective studies or intervention studies are warranted to validate our findings in the future.</t>
        </is>
      </c>
      <c r="X1884" t="inlineStr">
        <is>
          <t>[Lin, Yao-yao; Meng, Lin; Tang, Meng-ling] Zhejiang Univ, Affiliated Hosp 4, Dept Publ Hlth, Sch Med, Hangzhou 310058, Peoples R China; [Guo, Fan-jia; Zhang, Xin-han; Yang, Dan-dan; Jin, Ming-juan; Chen, Kun] Zhejiang Univ, Affiliated Hosp 2, Dept Publ Hlth, Sch Med, Hangzhou 310058, Peoples R China; [Yao, Xue-cheng] Zhejiang Univ, Affiliated Hosp 4, Int Inst Med, Dept Publ Hlth,Sch Med, Yiwu 322000, Peoples R China; [Wang, Jian-bing] Zhejiang Univ, Natl Clin Res Ctr Child Hlth, Dept Publ Hlth, Sch Med,Childrens Hosp, Hangzhou 310058, Peoples R China</t>
        </is>
      </c>
      <c r="Y1884" t="inlineStr">
        <is>
          <t>Zhejiang University; Zhejiang University; Zhejiang University; Zhejiang University</t>
        </is>
      </c>
      <c r="Z1884" t="inlineStr">
        <is>
          <t>Tang, ML (corresponding author), Zhejiang Univ, Affiliated Hosp 4, Dept Publ Hlth, Sch Med, Hangzhou 310058, Peoples R China.;Chen, K (corresponding author), Zhejiang Univ, Affiliated Hosp 2, Dept Publ Hlth, Sch Med, Hangzhou 310058, Peoples R China.</t>
        </is>
      </c>
      <c r="AA1884" t="inlineStr">
        <is>
          <t>tangml@zju.edu.cn; ck@zju.edu.cn</t>
        </is>
      </c>
      <c r="AB1884" t="inlineStr">
        <is>
          <t>GUO, FANJIA/JAX-8885-2023</t>
        </is>
      </c>
      <c r="AC1884" t="inlineStr">
        <is>
          <t>Lin, Yaoyao/0009-0009-5384-4112</t>
        </is>
      </c>
      <c r="AD1884" t="inlineStr">
        <is>
          <t>Fundamental Research Funds for the Central Universities [2020QNA7018, 2021FZZX001-39]; Medi-cal Science and Technology Project of Zhejiang Province [2023RC037]</t>
        </is>
      </c>
      <c r="AE1884" t="inlineStr">
        <is>
          <t>Fundamental Research Funds for the Central Universities(Fundamental Research Funds for the Central Universities); Medi-cal Science and Technology Project of Zhejiang Province</t>
        </is>
      </c>
      <c r="AF1884" t="inlineStr">
        <is>
          <t>This research was supported by the Fundamental Research Funds for the Central Universities (2020QNA7018, 2021FZZX001-39) and Medi-cal Science and Technology Project of Zhejiang Province (2023RC037) .</t>
        </is>
      </c>
      <c r="AH1884" t="n">
        <v>60</v>
      </c>
      <c r="AI1884" t="n">
        <v>0</v>
      </c>
      <c r="AJ1884" t="n">
        <v>0</v>
      </c>
      <c r="AK1884" t="n">
        <v>13</v>
      </c>
      <c r="AL1884" t="n">
        <v>13</v>
      </c>
      <c r="AM1884" t="inlineStr">
        <is>
          <t>ACADEMIC PRESS INC ELSEVIER SCIENCE</t>
        </is>
      </c>
      <c r="AN1884" t="inlineStr">
        <is>
          <t>SAN DIEGO</t>
        </is>
      </c>
      <c r="AO1884" t="inlineStr">
        <is>
          <t>525 B ST, STE 1900, SAN DIEGO, CA 92101-4495 USA</t>
        </is>
      </c>
      <c r="AP1884" t="inlineStr">
        <is>
          <t>0147-6513</t>
        </is>
      </c>
      <c r="AQ1884" t="inlineStr">
        <is>
          <t>1090-2414</t>
        </is>
      </c>
      <c r="AS1884" t="inlineStr">
        <is>
          <t>ECOTOX ENVIRON SAFE</t>
        </is>
      </c>
      <c r="AT1884" t="inlineStr">
        <is>
          <t>Ecotox. Environ. Safe.</t>
        </is>
      </c>
      <c r="AU1884" t="inlineStr">
        <is>
          <t>AUG</t>
        </is>
      </c>
      <c r="AV1884" t="n">
        <v>2023</v>
      </c>
      <c r="AW1884" t="n">
        <v>261</v>
      </c>
      <c r="BE1884" t="n">
        <v>115114</v>
      </c>
      <c r="BF1884" t="inlineStr">
        <is>
          <t>10.1016/j.ecoenv.2023.115114</t>
        </is>
      </c>
      <c r="BG1884">
        <f>HYPERLINK("http://dx.doi.org/10.1016/j.ecoenv.2023.115114","http://dx.doi.org/10.1016/j.ecoenv.2023.115114")</f>
        <v/>
      </c>
      <c r="BI1884" t="inlineStr">
        <is>
          <t>JUN 2023</t>
        </is>
      </c>
      <c r="BJ1884" t="n">
        <v>10</v>
      </c>
      <c r="BK1884" t="inlineStr">
        <is>
          <t>Environmental Sciences; Toxicology</t>
        </is>
      </c>
      <c r="BL1884" t="inlineStr">
        <is>
          <t>Science Citation Index Expanded (SCI-EXPANDED)</t>
        </is>
      </c>
      <c r="BM1884" t="inlineStr">
        <is>
          <t>Environmental Sciences &amp; Ecology; Toxicology</t>
        </is>
      </c>
      <c r="BN1884" t="inlineStr">
        <is>
          <t>L7TM8</t>
        </is>
      </c>
      <c r="BO1884" t="n">
        <v>37311392</v>
      </c>
      <c r="BS1884" t="inlineStr">
        <is>
          <t>2023-10-26</t>
        </is>
      </c>
      <c r="BT1884" t="inlineStr">
        <is>
          <t>WOS:001025248300001</t>
        </is>
      </c>
      <c r="BU1884">
        <f>HYPERLINK("https%3A%2F%2Fwww.webofscience.com%2Fwos%2Fwoscc%2Ffull-record%2FWOS:001025248300001","View Full Record in Web of Science")</f>
        <v/>
      </c>
    </row>
    <row r="1885">
      <c r="A1885" t="inlineStr">
        <is>
          <t>J</t>
        </is>
      </c>
      <c r="B1885" t="inlineStr">
        <is>
          <t>Zhu, H; Liou, SR; Chen, PC</t>
        </is>
      </c>
      <c r="F1885" t="inlineStr">
        <is>
          <t>Zhu, Hui; Liou, Shuenn-Ren; Chen, Pi-Cheng</t>
        </is>
      </c>
      <c r="J1885" t="inlineStr">
        <is>
          <t>SUSTAINABILITY</t>
        </is>
      </c>
      <c r="M1885" t="inlineStr">
        <is>
          <t>English</t>
        </is>
      </c>
      <c r="N1885" t="inlineStr">
        <is>
          <t>Article</t>
        </is>
      </c>
      <c r="T1885" t="inlineStr">
        <is>
          <t>Material Classification and Reuse Framework Based on the Reverse Dismantling of Architectural Design: A Case Study in TCCLab</t>
        </is>
      </c>
      <c r="U1885" t="inlineStr">
        <is>
          <t>architectural design; urban mining; design impact; reverse disassembly; material reuse; reducing waste; building layers; removing inventory</t>
        </is>
      </c>
      <c r="V1885" t="inlineStr">
        <is>
          <t>BUILDINGS; WASTE</t>
        </is>
      </c>
      <c r="W1885" t="inlineStr">
        <is>
          <t>After natural resources are mined, they are stored in cities in the form of urban minerals through the construction of buildings. However, buildings have many negative impacts on nature from the time they are constructed and used to the end of their life cycles when they are demolished and discarded. At present, many researchers have conducted research on the recycling of buildings, including the whole life cycle of buildings, the value assessment of the construction waste, the recycling boundary of the construction waste, and the way building waste could be reused. These studies all need to discuss the types of construction waste and their total volume. Urban mining uses GIS data (top-down) and the same type of building material per unit area (bottom-up) to provide a broad calculation method for the construction waste, but it fails to accurately obtain the exact amount of each material of the building. From the perspective of architectural design, the same type of buildings tend to have different spaces and structures due to factors such as the site, orientation, and function. These all affect the way construction waste is reused. This paper aims to create a framework for the reuse of construction waste to improve the accuracy and diversity of the reuse of construction waste in the future. The main purpose of this article is to provide a more accurate assessment of the material which is contained in a building. Using a 48-year-old office building in the Taiwan Contemporary Culture Laboratory (TCCLab) as the research case study, the paper compares the data calculated by different methods and verifies the difference between the bottom-up and the disassembly classification method proposed in this study. According to the architectural design principles, the authors first carried out a 3D digital modeling of the office building (including the building structure) using a forward construction sequence and then they proposed the framework of the material classification and the reuse of the reinforced concrete (RC) of the office building using the method of reverse disassembly, hoping to provide a reference for the reuse of construction waste.</t>
        </is>
      </c>
      <c r="X1885" t="inlineStr">
        <is>
          <t>[Zhu, Hui; Liou, Shuenn-Ren] Natl Cheng Kung Univ, Dept Architecture, Tainan 701401, Taiwan; [Chen, Pi-Cheng] Natl Cheng Kung Univ, Dept Environm Engn, Tainan 701401, Taiwan</t>
        </is>
      </c>
      <c r="Y1885" t="inlineStr">
        <is>
          <t>National Cheng Kung University; National Cheng Kung University</t>
        </is>
      </c>
      <c r="Z1885" t="inlineStr">
        <is>
          <t>Zhu, H (corresponding author), Natl Cheng Kung Univ, Dept Architecture, Tainan 701401, Taiwan.</t>
        </is>
      </c>
      <c r="AA1885" t="inlineStr">
        <is>
          <t>n78073037@ncku.edu.tw</t>
        </is>
      </c>
      <c r="AB1885" t="inlineStr">
        <is>
          <t>Chen, Pi-Cheng/ABI-0628-2022; Zhang, Hui/J-1684-2017</t>
        </is>
      </c>
      <c r="AC1885" t="inlineStr">
        <is>
          <t>Chen, Pi-Cheng/0000-0002-1830-8877; Zhang, Hui/0000-0002-4861-0540; Liou, Shuenn-Ren/0000-0002-1769-2598</t>
        </is>
      </c>
      <c r="AD1885" t="inlineStr">
        <is>
          <t>Ministry of Education of Taiwan [H109-AA09]</t>
        </is>
      </c>
      <c r="AE1885" t="inlineStr">
        <is>
          <t>Ministry of Education of Taiwan(Ministry of Education, Taiwan)</t>
        </is>
      </c>
      <c r="AF1885" t="inlineStr">
        <is>
          <t>This research was funded by Ministry of Education of Taiwan, grant number H109-AA09.</t>
        </is>
      </c>
      <c r="AH1885" t="n">
        <v>24</v>
      </c>
      <c r="AI1885" t="n">
        <v>0</v>
      </c>
      <c r="AJ1885" t="n">
        <v>0</v>
      </c>
      <c r="AK1885" t="n">
        <v>4</v>
      </c>
      <c r="AL1885" t="n">
        <v>5</v>
      </c>
      <c r="AM1885" t="inlineStr">
        <is>
          <t>MDPI</t>
        </is>
      </c>
      <c r="AN1885" t="inlineStr">
        <is>
          <t>BASEL</t>
        </is>
      </c>
      <c r="AO1885" t="inlineStr">
        <is>
          <t>ST ALBAN-ANLAGE 66, CH-4052 BASEL, SWITZERLAND</t>
        </is>
      </c>
      <c r="AQ1885" t="inlineStr">
        <is>
          <t>2071-1050</t>
        </is>
      </c>
      <c r="AS1885" t="inlineStr">
        <is>
          <t>SUSTAINABILITY-BASEL</t>
        </is>
      </c>
      <c r="AT1885" t="inlineStr">
        <is>
          <t>Sustainability</t>
        </is>
      </c>
      <c r="AU1885" t="inlineStr">
        <is>
          <t>NOV</t>
        </is>
      </c>
      <c r="AV1885" t="n">
        <v>2022</v>
      </c>
      <c r="AW1885" t="n">
        <v>14</v>
      </c>
      <c r="AX1885" t="n">
        <v>22</v>
      </c>
      <c r="BE1885" t="n">
        <v>14809</v>
      </c>
      <c r="BF1885" t="inlineStr">
        <is>
          <t>10.3390/su142214809</t>
        </is>
      </c>
      <c r="BG1885">
        <f>HYPERLINK("http://dx.doi.org/10.3390/su142214809","http://dx.doi.org/10.3390/su142214809")</f>
        <v/>
      </c>
      <c r="BJ1885" t="n">
        <v>13</v>
      </c>
      <c r="BK1885" t="inlineStr">
        <is>
          <t>Green &amp; Sustainable Science &amp; Technology; Environmental Sciences; Environmental Studies</t>
        </is>
      </c>
      <c r="BL1885" t="inlineStr">
        <is>
          <t>Science Citation Index Expanded (SCI-EXPANDED); Social Science Citation Index (SSCI)</t>
        </is>
      </c>
      <c r="BM1885" t="inlineStr">
        <is>
          <t>Science &amp; Technology - Other Topics; Environmental Sciences &amp; Ecology</t>
        </is>
      </c>
      <c r="BN1885" t="inlineStr">
        <is>
          <t>6K5VI</t>
        </is>
      </c>
      <c r="BP1885" t="inlineStr">
        <is>
          <t>gold</t>
        </is>
      </c>
      <c r="BS1885" t="inlineStr">
        <is>
          <t>2023-10-26</t>
        </is>
      </c>
      <c r="BT1885" t="inlineStr">
        <is>
          <t>WOS:000887569000001</t>
        </is>
      </c>
      <c r="BU1885">
        <f>HYPERLINK("https%3A%2F%2Fwww.webofscience.com%2Fwos%2Fwoscc%2Ffull-record%2FWOS:000887569000001","View Full Record in Web of Science")</f>
        <v/>
      </c>
    </row>
    <row r="1886">
      <c r="A1886" t="inlineStr">
        <is>
          <t>J</t>
        </is>
      </c>
      <c r="B1886" t="inlineStr">
        <is>
          <t>Zhang, LB; Wang, FM; Ji, YQ; Jiao, J; Zou, DK; Liu, LL; Shan, CY; Bai, ZP; Sun, ZR</t>
        </is>
      </c>
      <c r="F1886" t="inlineStr">
        <is>
          <t>Zhang, Leibo; Wang, Fumei; Ji, Yaqin; Jiao, Jiao; Zou, Dekun; Liu, Lingling; Shan, Chunyan; Bai, Zhipeng; Sun, Zengrong</t>
        </is>
      </c>
      <c r="J1886" t="inlineStr">
        <is>
          <t>ATMOSPHERIC ENVIRONMENT</t>
        </is>
      </c>
      <c r="M1886" t="inlineStr">
        <is>
          <t>English</t>
        </is>
      </c>
      <c r="N1886" t="inlineStr">
        <is>
          <t>Article</t>
        </is>
      </c>
      <c r="T1886" t="inlineStr">
        <is>
          <t>Phthalate esters (PAEs) in indoor PM10/PM2.5 and human exposure to PAEs via inhalation of indoor air in Tianjin, China</t>
        </is>
      </c>
      <c r="U1886" t="inlineStr">
        <is>
          <t>Phthalate esters; Consumer products; PM; Indoor air; Human exposure</t>
        </is>
      </c>
      <c r="V1886" t="inlineStr">
        <is>
          <t>ENDOCRINE-DISRUPTING COMPOUNDS; SETTLED DUST; AMBIENT-TEMPERATURE; CHILDRENS EXPOSURE; ACID ESTERS; HOUSE-DUST; GAS-PHASE; ASSOCIATION; PARTICULATE; WOMEN</t>
        </is>
      </c>
      <c r="W1886" t="inlineStr">
        <is>
          <t>In this study, filter samples of six Phthalate esters (PAEs) in indoor PM10 and PM2.5 were collected from thirteen homes in Tianjin, China. The results showed that the concentrations of Sigma(6)PAEs in indoor PM10 and PM2.5 were in the range of 13.878-1591.277 ng m(-3) and 7.266-1244.178 ng m(-3), respectively. Dibutyl phthalate (DBP) was the most abundant compounds followed by di-2-ethylhexyl phthalate (DEHP) in indoor PM10 and PM2.5. Whereas DBP and dimethyl phthalate (DMP) were the predominant compounds in indoor air (gas-phase + particle-phase), the median values were 573.467 and 368.364 ng m(-3) respectively. The earlier construction time, the lesser indoor area, the old decoration, the very crowded items coated with plastic and a lower frequency of dusting may lead to a higher level of PAEs in indoor environment. The six PAEs in indoor PM10 and PM2.5 were higher in summer than those in winter. The daily intake (DI) of six PAEs for five age groups through air inhalation in indoor air in Tianjin was estimated. The results indicated that the highest exposure dose was DBP in every age group, and infants experienced the highest total DIs (median: 664.332 ng kg-bw(-1) day(-1)) to Sigma(6)PAEs, whereas adults experienced the lowest total DIs (median: 155.850 ng kg-bw(-1) day(-1)) to Sigma(6)PAEs. So, more attention should be paid on infants in the aspect of indoor inhalation exposure to PAEs. (C) 2013 Elsevier Ltd. All rights reserved.</t>
        </is>
      </c>
      <c r="X1886" t="inlineStr">
        <is>
          <t>[Zhang, Leibo; Wang, Fumei; Ji, Yaqin; Jiao, Jiao; Zou, Dekun; Liu, Lingling; Shan, Chunyan] Nankai Univ, Coll Environm Sci &amp; Engn, Tianjin 300071, Peoples R China; [Zhang, Leibo; Ji, Yaqin; Jiao, Jiao; Zou, Dekun; Liu, Lingling; Shan, Chunyan] State Environm Protect Key Lab Urban Ambient Air, Tianjin 300071, Peoples R China; [Bai, Zhipeng] Chinese Res Inst Environm Sci, Beijing 100012, Peoples R China; [Sun, Zengrong] Tianjin Med Univ, Sch Publ Hlth, Tianjin 300070, Peoples R China</t>
        </is>
      </c>
      <c r="Y1886" t="inlineStr">
        <is>
          <t>Nankai University; Chinese Research Academy of Environmental Sciences; Tianjin Medical University</t>
        </is>
      </c>
      <c r="Z1886" t="inlineStr">
        <is>
          <t>Ji, YQ (corresponding author), Nankai Univ, Coll Environm Sci &amp; Engn, Weijin Rd 94, Tianjin 300071, Peoples R China.</t>
        </is>
      </c>
      <c r="AA1886" t="inlineStr">
        <is>
          <t>jiyaqin@nankai.edu.cn</t>
        </is>
      </c>
      <c r="AB1886" t="inlineStr">
        <is>
          <t>Wang, FUMEI/JJW-3948-2023; yuan, lin/JDW-7387-2023; liu, lingling/IUQ-7478-2023</t>
        </is>
      </c>
      <c r="AC1886" t="inlineStr">
        <is>
          <t>Wang, FUMEI/0000-0002-4212-7005;</t>
        </is>
      </c>
      <c r="AD1886" t="inlineStr">
        <is>
          <t>Study on the influence of wind erosion dust from suburban surface on urban air quality and the key protection technology and demonstration (Special Environmental Research Fund for Public Welfare) [200909005]; Science and Technology Key Project of Tianjin [09ZCGYSF01700]</t>
        </is>
      </c>
      <c r="AE1886" t="inlineStr">
        <is>
          <t>Study on the influence of wind erosion dust from suburban surface on urban air quality and the key protection technology and demonstration (Special Environmental Research Fund for Public Welfare); Science and Technology Key Project of Tianjin</t>
        </is>
      </c>
      <c r="AF1886" t="inlineStr">
        <is>
          <t>This study was funded by Study on the influence of wind erosion dust from suburban surface on urban air quality and the key protection technology and demonstration (2009-2012 Special Environmental Research Fund for Public Welfare, No. 200909005) and the Science and Technology Key Project of Tianjin (09ZCGYSF01700).</t>
        </is>
      </c>
      <c r="AH1886" t="n">
        <v>55</v>
      </c>
      <c r="AI1886" t="n">
        <v>103</v>
      </c>
      <c r="AJ1886" t="n">
        <v>112</v>
      </c>
      <c r="AK1886" t="n">
        <v>10</v>
      </c>
      <c r="AL1886" t="n">
        <v>213</v>
      </c>
      <c r="AM1886" t="inlineStr">
        <is>
          <t>PERGAMON-ELSEVIER SCIENCE LTD</t>
        </is>
      </c>
      <c r="AN1886" t="inlineStr">
        <is>
          <t>OXFORD</t>
        </is>
      </c>
      <c r="AO1886" t="inlineStr">
        <is>
          <t>THE BOULEVARD, LANGFORD LANE, KIDLINGTON, OXFORD OX5 1GB, ENGLAND</t>
        </is>
      </c>
      <c r="AP1886" t="inlineStr">
        <is>
          <t>1352-2310</t>
        </is>
      </c>
      <c r="AQ1886" t="inlineStr">
        <is>
          <t>1873-2844</t>
        </is>
      </c>
      <c r="AS1886" t="inlineStr">
        <is>
          <t>ATMOS ENVIRON</t>
        </is>
      </c>
      <c r="AT1886" t="inlineStr">
        <is>
          <t>Atmos. Environ.</t>
        </is>
      </c>
      <c r="AU1886" t="inlineStr">
        <is>
          <t>MAR</t>
        </is>
      </c>
      <c r="AV1886" t="n">
        <v>2014</v>
      </c>
      <c r="AW1886" t="n">
        <v>85</v>
      </c>
      <c r="BC1886" t="n">
        <v>139</v>
      </c>
      <c r="BD1886" t="n">
        <v>146</v>
      </c>
      <c r="BF1886" t="inlineStr">
        <is>
          <t>10.1016/j.atmosenv.2013.11.068</t>
        </is>
      </c>
      <c r="BG1886">
        <f>HYPERLINK("http://dx.doi.org/10.1016/j.atmosenv.2013.11.068","http://dx.doi.org/10.1016/j.atmosenv.2013.11.068")</f>
        <v/>
      </c>
      <c r="BJ1886" t="n">
        <v>8</v>
      </c>
      <c r="BK1886" t="inlineStr">
        <is>
          <t>Environmental Sciences; Meteorology &amp; Atmospheric Sciences</t>
        </is>
      </c>
      <c r="BL1886" t="inlineStr">
        <is>
          <t>Science Citation Index Expanded (SCI-EXPANDED)</t>
        </is>
      </c>
      <c r="BM1886" t="inlineStr">
        <is>
          <t>Environmental Sciences &amp; Ecology; Meteorology &amp; Atmospheric Sciences</t>
        </is>
      </c>
      <c r="BN1886" t="inlineStr">
        <is>
          <t>AA9MN</t>
        </is>
      </c>
      <c r="BS1886" t="inlineStr">
        <is>
          <t>2023-10-26</t>
        </is>
      </c>
      <c r="BT1886" t="inlineStr">
        <is>
          <t>WOS:000331417700015</t>
        </is>
      </c>
      <c r="BU1886">
        <f>HYPERLINK("https%3A%2F%2Fwww.webofscience.com%2Fwos%2Fwoscc%2Ffull-record%2FWOS:000331417700015","View Full Record in Web of Science")</f>
        <v/>
      </c>
    </row>
    <row r="1887">
      <c r="A1887" t="inlineStr">
        <is>
          <t>J</t>
        </is>
      </c>
      <c r="B1887" t="inlineStr">
        <is>
          <t>Jaskiewicz, M; Besta, T</t>
        </is>
      </c>
      <c r="F1887" t="inlineStr">
        <is>
          <t>Jaskiewicz, Michal; Besta, Tomasz</t>
        </is>
      </c>
      <c r="J1887" t="inlineStr">
        <is>
          <t>INTERNATIONAL JOURNAL OF ENVIRONMENTAL RESEARCH AND PUBLIC HEALTH</t>
        </is>
      </c>
      <c r="M1887" t="inlineStr">
        <is>
          <t>English</t>
        </is>
      </c>
      <c r="N1887" t="inlineStr">
        <is>
          <t>Article</t>
        </is>
      </c>
      <c r="T1887" t="inlineStr">
        <is>
          <t>Polish Version of the Neighbourhood Environment Walkability Scale (NEWS-Poland)</t>
        </is>
      </c>
      <c r="U1887" t="inlineStr">
        <is>
          <t>walkability; built environment; assessment; wellbeing; Poland</t>
        </is>
      </c>
      <c r="V1887" t="inlineStr">
        <is>
          <t>DEPRESSIVE SYMPTOMS; BUILT ENVIRONMENT; TRAFFIC STRESS; SELF-EFFICACY; GREEN SPACE; INNER-CITY; HEALTH; URBAN; ASSOCIATION; VEGETATION</t>
        </is>
      </c>
      <c r="W1887" t="inlineStr">
        <is>
          <t>The characteristics of built environments are the subject of intense consideration in the search for solutions to promote wellbeing and a higher quality of life among the inhabitants of cities. Walkability, defined as the extent to which the built environment is friendly to living and fulfilling the needs of the area, has become an important concept in sustainable urban design, public health and environmental psychology. This study systematically adapted the Neighbourhood Environment Walkability Scale (NEWS) for Poland, and evaluated the construct validity aspects of the adapted version among Polish adults. A total sample of 783 participants from a TriCity (Trojmiasto) agglomeration completed the adapted version of the NEWS. Smaller extracted samples of the participants also completed wellbeing related scales, including self-efficacy, local identity and distance to city centre measures. It was expected that various districts of Gdansk would differ in terms of walkability. The confirmatory factor analysis showed satisfactory goodness-of-fit statistics and factor loadings corresponding to the proposed original factor structure. According to the predictions, the NEWS subscales correlated with the self-efficacy, local identity and wellbeing related measures. In addition, the comparisons between the neighbourhoods of Gdansk also showed a predictable pattern of results. Overall, the NEWS demonstrated satisfactory measurement properties, and may be useful in the evaluation of the built environment in Poland.</t>
        </is>
      </c>
      <c r="X1887" t="inlineStr">
        <is>
          <t>[Jaskiewicz, Michal; Besta, Tomasz] Univ Gdansk, Inst Psychol, PL-80309 Gdansk, Poland</t>
        </is>
      </c>
      <c r="Y1887" t="inlineStr">
        <is>
          <t>Fahrenheit Universities; University of Gdansk</t>
        </is>
      </c>
      <c r="Z1887" t="inlineStr">
        <is>
          <t>Jaskiewicz, M (corresponding author), Univ Gdansk, Inst Psychol, PL-80309 Gdansk, Poland.</t>
        </is>
      </c>
      <c r="AA1887" t="inlineStr">
        <is>
          <t>psymj@ug.edu.pl; t.besta@ug.edu.pl</t>
        </is>
      </c>
      <c r="AB1887" t="inlineStr">
        <is>
          <t>Jaśkiewicz, Michał/AAK-4713-2020; Besta, Tomasz/AAA-8549-2020</t>
        </is>
      </c>
      <c r="AC1887" t="inlineStr">
        <is>
          <t>Besta, Tomasz/0000-0001-6209-3677; Jaskiewicz, Michal/0000-0003-4358-1071</t>
        </is>
      </c>
      <c r="AD1887" t="inlineStr">
        <is>
          <t>National Science Centre in Poland [2014/15/D/HS6/04816]</t>
        </is>
      </c>
      <c r="AE1887" t="inlineStr">
        <is>
          <t>National Science Centre in Poland(National Science Centre, Poland)</t>
        </is>
      </c>
      <c r="AF1887" t="inlineStr">
        <is>
          <t>Researches and preparation of this article was supported by funds from the National Science Centre in Poland granted to Michal Jaskiewicz (2014/15/D/HS6/04816).</t>
        </is>
      </c>
      <c r="AH1887" t="n">
        <v>62</v>
      </c>
      <c r="AI1887" t="n">
        <v>10</v>
      </c>
      <c r="AJ1887" t="n">
        <v>10</v>
      </c>
      <c r="AK1887" t="n">
        <v>1</v>
      </c>
      <c r="AL1887" t="n">
        <v>31</v>
      </c>
      <c r="AM1887" t="inlineStr">
        <is>
          <t>MDPI</t>
        </is>
      </c>
      <c r="AN1887" t="inlineStr">
        <is>
          <t>BASEL</t>
        </is>
      </c>
      <c r="AO1887" t="inlineStr">
        <is>
          <t>ST ALBAN-ANLAGE 66, CH-4052 BASEL, SWITZERLAND</t>
        </is>
      </c>
      <c r="AQ1887" t="inlineStr">
        <is>
          <t>1660-4601</t>
        </is>
      </c>
      <c r="AS1887" t="inlineStr">
        <is>
          <t>INT J ENV RES PUB HE</t>
        </is>
      </c>
      <c r="AT1887" t="inlineStr">
        <is>
          <t>Int. J. Environ. Res. Public Health</t>
        </is>
      </c>
      <c r="AU1887" t="inlineStr">
        <is>
          <t>NOV</t>
        </is>
      </c>
      <c r="AV1887" t="n">
        <v>2016</v>
      </c>
      <c r="AW1887" t="n">
        <v>13</v>
      </c>
      <c r="AX1887" t="n">
        <v>11</v>
      </c>
      <c r="BE1887" t="n">
        <v>1090</v>
      </c>
      <c r="BF1887" t="inlineStr">
        <is>
          <t>10.3390/ijerph13111090</t>
        </is>
      </c>
      <c r="BG1887">
        <f>HYPERLINK("http://dx.doi.org/10.3390/ijerph13111090","http://dx.doi.org/10.3390/ijerph13111090")</f>
        <v/>
      </c>
      <c r="BJ1887" t="n">
        <v>14</v>
      </c>
      <c r="BK1887" t="inlineStr">
        <is>
          <t>Environmental Sciences; Public, Environmental &amp; Occupational Health</t>
        </is>
      </c>
      <c r="BL1887" t="inlineStr">
        <is>
          <t>Science Citation Index Expanded (SCI-EXPANDED); Social Science Citation Index (SSCI)</t>
        </is>
      </c>
      <c r="BM1887" t="inlineStr">
        <is>
          <t>Environmental Sciences &amp; Ecology; Public, Environmental &amp; Occupational Health</t>
        </is>
      </c>
      <c r="BN1887" t="inlineStr">
        <is>
          <t>EE4KR</t>
        </is>
      </c>
      <c r="BO1887" t="n">
        <v>27827941</v>
      </c>
      <c r="BP1887" t="inlineStr">
        <is>
          <t>Green Published, Green Submitted, gold</t>
        </is>
      </c>
      <c r="BS1887" t="inlineStr">
        <is>
          <t>2023-10-26</t>
        </is>
      </c>
      <c r="BT1887" t="inlineStr">
        <is>
          <t>WOS:000389571300049</t>
        </is>
      </c>
      <c r="BU1887">
        <f>HYPERLINK("https%3A%2F%2Fwww.webofscience.com%2Fwos%2Fwoscc%2Ffull-record%2FWOS:000389571300049","View Full Record in Web of Science")</f>
        <v/>
      </c>
    </row>
    <row r="1888">
      <c r="A1888" t="inlineStr">
        <is>
          <t>J</t>
        </is>
      </c>
      <c r="B1888" t="inlineStr">
        <is>
          <t>Bottorff, B; Wang, C; Reidy, E; Rosales, C; Farmer, DK; Vance, ME; Abbatt, JPD; Stevens, PS</t>
        </is>
      </c>
      <c r="F1888" t="inlineStr">
        <is>
          <t>Bottorff, Brandon; Wang, Chen; Reidy, Emily; Rosales, Colleen; Farmer, Delphine K.; Vance, Marina E.; Abbatt, Jonathan P. D.; Stevens, Philip S.</t>
        </is>
      </c>
      <c r="J1888" t="inlineStr">
        <is>
          <t>ENVIRONMENTAL SCIENCE &amp; TECHNOLOGY</t>
        </is>
      </c>
      <c r="M1888" t="inlineStr">
        <is>
          <t>English</t>
        </is>
      </c>
      <c r="N1888" t="inlineStr">
        <is>
          <t>Article; Early Access</t>
        </is>
      </c>
      <c r="T1888" t="inlineStr">
        <is>
          <t>Comparison of Simultaneous Measurements of Indoor Nitrous Acid: Implications for the Spatial Distribution of Indoor HONO Emissions br</t>
        </is>
      </c>
      <c r="U1888" t="inlineStr">
        <is>
          <t>indoor air pollution; radical production; indoor emissions; photolysis; ventilation; indoor air chemistry</t>
        </is>
      </c>
      <c r="V1888" t="inlineStr">
        <is>
          <t>LASER-INDUCED FLUORESCENCE; NO2 HETEROGENEOUS REACTIONS; HYDROXYL RADICALS; TECHNICAL NOTE; OH; CHEMISTRY; AIR; HO2; INSTRUMENT; CAMPAIGN</t>
        </is>
      </c>
      <c r="W1888" t="inlineStr">
        <is>
          <t>Despite its importance as a radical precursor and a hazardous pollutant, the chemistry of nitrous acid (HONO) in the indoor environment is not fully understood. We present results from a comparison of HONO measurements from a time-of-flight chemical ionization mass spectrometer (ToF-CIMS) and a laser photofragmentation/laser-induced fluorescence (LP/LIF) instrument during the House Observations of Microbial and Environmental Chemistry (HOMEChem) campaign. Experiments during HOMEChem simulated typical household activities and provided a dynamic range of HONO mixing ratios. The instruments measured HONO at different locations in a house featuring a typical air change rate (ACR) (0.5 h-1) and an enhanced mixing rate (similar to 8 h-1). Despite the distance between the instruments, measurements from the two instruments agreed to within their respective uncertainties (slope = 0.85, R2 = 0.92), indicating that the lifetime of HONO is long enough for it to be quickly distributed indoors, although spatial gradients occurred during ventilation periods. This suggests that emissions of HONO from any source can mix throughout the house and can contribute to OH radical production in sunlit regions, enhancing the oxidative capacity indoors. Measurement discrepancies were likely due to interferences with the LP/ LIF instrument as well as calibration uncertainties associated with both instruments.</t>
        </is>
      </c>
      <c r="X1888" t="inlineStr">
        <is>
          <t>[Bottorff, Brandon; Reidy, Emily; Rosales, Colleen; Stevens, Philip S.] Indiana Univ, Dept Chem, Bloomington, IN 47405 USA; [Bottorff, Brandon; Rosales, Colleen; Stevens, Philip S.] Indiana Univ, ONeill Sch Publ &amp; Environm Affairs, Bloomington, IN 47405 USA; [Wang, Chen; Abbatt, Jonathan P. D.] Univ Toronto, Dept Chem, Toronto, ON M5S 3H6, Canada; [Wang, Chen] Southern Univ Sci &amp; Technol, Sch Environm Sci &amp; Engn, Shenzhen 518055, Peoples R China; [Rosales, Colleen] Univ Calif Davis, Air Qual Res Ctr, Davis, CA 95616 USA; [Farmer, Delphine K.] Colorado State Univ, Dept Chem, Ft Collins, CO 80523 USA; [Vance, Marina E.] Univ Colorado Boulder, Dept Mech Engn, Boulder, CO 80309 USA</t>
        </is>
      </c>
      <c r="Y1888" t="inlineStr">
        <is>
          <t>Indiana University System; Indiana University Bloomington; Indiana University System; Indiana University Bloomington; University of Toronto; Southern University of Science &amp; Technology; University of California System; University of California Davis; Colorado State University; University of Colorado System; University of Colorado Boulder</t>
        </is>
      </c>
      <c r="Z1888" t="inlineStr">
        <is>
          <t>Bottorff, B (corresponding author), Indiana Univ, Dept Chem, Bloomington, IN 47405 USA.;Bottorff, B (corresponding author), Indiana Univ, ONeill Sch Publ &amp; Environm Affairs, Bloomington, IN 47405 USA.</t>
        </is>
      </c>
      <c r="AA1888" t="inlineStr">
        <is>
          <t>brapbott@iu.edu</t>
        </is>
      </c>
      <c r="AB1888" t="inlineStr">
        <is>
          <t>Stevens, Philip S/J-5147-2014; Wang, Chen/A-5674-2018; Vance, Marina/B-8711-2014</t>
        </is>
      </c>
      <c r="AC1888" t="inlineStr">
        <is>
          <t>Stevens, Philip S/0000-0001-9899-4215; Wang, Chen/0000-0001-9565-8777; Reidy, Emily/0000-0003-0951-3067; Rosales, Colleen Marciel/0000-0002-8925-8352; Vance, Marina/0000-0003-0940-0353; Bottorff, Brandon/0000-0002-5145-0031; Abbatt, Jonathan/0000-0002-3372-334X</t>
        </is>
      </c>
      <c r="AD1888" t="inlineStr">
        <is>
          <t>Alfred P. Sloan Foundation, Chemistry of Indoor Environments Program [G-2017-9944, G-2018-11061, G-2019-11404]</t>
        </is>
      </c>
      <c r="AE1888" t="inlineStr">
        <is>
          <t>Alfred P. Sloan Foundation, Chemistry of Indoor Environments Program(Alfred P. Sloan Foundation)</t>
        </is>
      </c>
      <c r="AF1888" t="inlineStr">
        <is>
          <t>This research was supported by the Alfred P. Sloan Foundation, Chemistry of Indoor Environments Program (grant nos. G-2017-9944, G-2018-11061, G-2019-11404). The authors also thank the HOMEChem science team for their collaboration throughout the campaign.</t>
        </is>
      </c>
      <c r="AH1888" t="n">
        <v>47</v>
      </c>
      <c r="AI1888" t="n">
        <v>1</v>
      </c>
      <c r="AJ1888" t="n">
        <v>1</v>
      </c>
      <c r="AK1888" t="n">
        <v>12</v>
      </c>
      <c r="AL1888" t="n">
        <v>32</v>
      </c>
      <c r="AM1888" t="inlineStr">
        <is>
          <t>AMER CHEMICAL SOC</t>
        </is>
      </c>
      <c r="AN1888" t="inlineStr">
        <is>
          <t>WASHINGTON</t>
        </is>
      </c>
      <c r="AO1888" t="inlineStr">
        <is>
          <t>1155 16TH ST, NW, WASHINGTON, DC 20036 USA</t>
        </is>
      </c>
      <c r="AP1888" t="inlineStr">
        <is>
          <t>0013-936X</t>
        </is>
      </c>
      <c r="AQ1888" t="inlineStr">
        <is>
          <t>1520-5851</t>
        </is>
      </c>
      <c r="AS1888" t="inlineStr">
        <is>
          <t>ENVIRON SCI TECHNOL</t>
        </is>
      </c>
      <c r="AT1888" t="inlineStr">
        <is>
          <t>Environ. Sci. Technol.</t>
        </is>
      </c>
      <c r="AU1888" t="inlineStr">
        <is>
          <t>2022 SEP 22</t>
        </is>
      </c>
      <c r="AV1888" t="n">
        <v>2022</v>
      </c>
      <c r="BF1888" t="inlineStr">
        <is>
          <t>10.1021/acs.est.2c02196</t>
        </is>
      </c>
      <c r="BG1888">
        <f>HYPERLINK("http://dx.doi.org/10.1021/acs.est.2c02196","http://dx.doi.org/10.1021/acs.est.2c02196")</f>
        <v/>
      </c>
      <c r="BI1888" t="inlineStr">
        <is>
          <t>SEP 2022</t>
        </is>
      </c>
      <c r="BJ1888" t="n">
        <v>11</v>
      </c>
      <c r="BK1888" t="inlineStr">
        <is>
          <t>Engineering, Environmental; Environmental Sciences</t>
        </is>
      </c>
      <c r="BL1888" t="inlineStr">
        <is>
          <t>Science Citation Index Expanded (SCI-EXPANDED)</t>
        </is>
      </c>
      <c r="BM1888" t="inlineStr">
        <is>
          <t>Engineering; Environmental Sciences &amp; Ecology</t>
        </is>
      </c>
      <c r="BN1888" t="inlineStr">
        <is>
          <t>5A1WK</t>
        </is>
      </c>
      <c r="BO1888" t="n">
        <v>36137564</v>
      </c>
      <c r="BP1888" t="inlineStr">
        <is>
          <t>Green Published, hybrid</t>
        </is>
      </c>
      <c r="BS1888" t="inlineStr">
        <is>
          <t>2023-10-26</t>
        </is>
      </c>
      <c r="BT1888" t="inlineStr">
        <is>
          <t>WOS:000862684300001</t>
        </is>
      </c>
      <c r="BU1888">
        <f>HYPERLINK("https%3A%2F%2Fwww.webofscience.com%2Fwos%2Fwoscc%2Ffull-record%2FWOS:000862684300001","View Full Record in Web of Science")</f>
        <v/>
      </c>
    </row>
    <row r="1889">
      <c r="A1889" t="inlineStr">
        <is>
          <t>J</t>
        </is>
      </c>
      <c r="B1889" t="inlineStr">
        <is>
          <t>Hou, YC; Cao, B; Zhu, YX; Zhang, H; Yang, L; Duanmu, L; Lian, ZW; Zhang, YF; Zhai, YC; Wang, ZJ; Zhou, X; Xie, JC</t>
        </is>
      </c>
      <c r="F1889" t="inlineStr">
        <is>
          <t>Hou, Yuchen; Cao, Bin; Zhu, Yingxin; Zhang, Hui; Yang, Liu; Duanmu, Lin; Lian, Zhiwei; Zhang, Yufeng; Zhai, Yongchao; Wang, Zhaojun; Zhou, Xiang; Xie, Jingchao</t>
        </is>
      </c>
      <c r="J1889" t="inlineStr">
        <is>
          <t>ENVIRONMENT INTERNATIONAL</t>
        </is>
      </c>
      <c r="M1889" t="inlineStr">
        <is>
          <t>English</t>
        </is>
      </c>
      <c r="N1889" t="inlineStr">
        <is>
          <t>Article</t>
        </is>
      </c>
      <c r="T1889" t="inlineStr">
        <is>
          <t>Temporal and spatial heterogeneity of indoor and outdoor temperatures and their relationship with thermal sensation from a global perspective</t>
        </is>
      </c>
      <c r="U1889" t="inlineStr">
        <is>
          <t>Outdoor temperature; Indoor temperature; Thermal comfort; Thermal sensation; Health effects</t>
        </is>
      </c>
      <c r="V1889" t="inlineStr">
        <is>
          <t>AMBIENT-TEMPERATURE; PARTICULATE MATTER; HEAT EXPOSURE; NORTH-AMERICA; COMFORT; CLIMATE; HEALTH; ENVIRONMENT; ADAPTATION; MORTALITY</t>
        </is>
      </c>
      <c r="W1889" t="inlineStr">
        <is>
          <t>People spend most of their time indoors. However, indoor temperature and individual thermal exposure are generally not considered in epidemiological studies of temperature and health. Based on the American Society of Heating, Refrigerating, and Air-Conditioning Engineers (ASHRAE) RP-884 Database, the ASHRAE Global Thermal Comfort Database II and the Chinese Thermal Comfort Database, this study first explored the relationship between outdoor temperature, indoor temperature and thermal sensation from a global perspective. Moreover, the potential influence of spatiotemporal heterogeneity on health studies was explored. A breakpoint was found at approximately 11.5 degrees C in the segmented regression of indoor and outdoor temperature, and the slope of the curve was greater when outdoor temperature was above the breakpoint (n = 67,896). Based on multi-group propensity score matching (PSM) and generalized additive models (GAM), spatiotemporal heterogeneity was found in the relationship between indoor and outdoor temperatures after adjusting for building type and year. Furthermore, the relationship between indoor temperature and thermal sensation was influenced by the outdoor temperature. This study highlights the importance of considering indoor temperature or individual thermal exposure in temperature-related health studies.</t>
        </is>
      </c>
      <c r="X1889" t="inlineStr">
        <is>
          <t>[Hou, Yuchen; Cao, Bin] Tsinghua Univ, Sch Architecture, Dept Bldg Sci, Beijing, Peoples R China; [Hou, Yuchen; Cao, Bin] Tsinghua Univ, Key Lab Eco Planning &amp; Green Bldg, Minist Educ, Beijing, Peoples R China; [Zhu, Yingxin] Tsinghua Univ, Beijing Key Lab Indoor Air Qual Evaluat &amp; Control, Beijing 100084, Peoples R China; [Zhang, Hui] Univ Calif Berkeley, Ctr Built Environm, Berkeley, CA 94720 USA; [Yang, Liu; Zhai, Yongchao] Xian Univ Architecture &amp; Technol, Coll Architecture, Xian, Peoples R China; [Duanmu, Lin] Dalian Univ Technol, Sch Civil Engn, Dalian, Peoples R China; [Lian, Zhiwei] Shanghai Jiao Tong Univ, Sch Design, Dept Architecture, Shanghai, Peoples R China; [Zhang, Yufeng] South China Univ Technol, Sch Architecture, Guangzhou, Peoples R China; [Wang, Zhaojun] Harbin Inst Technol, Sch Architecture, Harbin, Peoples R China; [Zhou, Xiang] Tongji Univ, Sch Mech Engn, Shanghai, Peoples R China; [Xie, Jingchao] Beijing Univ Technol, Beijing Key Lab Green Built Environm &amp; Efficient T, Beijing 100124, Peoples R China</t>
        </is>
      </c>
      <c r="Y1889" t="inlineStr">
        <is>
          <t>Tsinghua University; Tsinghua University; Tsinghua University; University of California System; University of California Berkeley; Xi'an University of Architecture &amp; Technology; Dalian University of Technology; Shanghai Jiao Tong University; South China University of Technology; Harbin Institute of Technology; Tongji University; Beijing University of Technology</t>
        </is>
      </c>
      <c r="Z1889" t="inlineStr">
        <is>
          <t>Cao, B (corresponding author), Tsinghua Univ, Sch Architecture, Dept Bldg Sci, Beijing, Peoples R China.</t>
        </is>
      </c>
      <c r="AA1889" t="inlineStr">
        <is>
          <t>caobin@tsinghua.edu.cn</t>
        </is>
      </c>
      <c r="AC1889" t="inlineStr">
        <is>
          <t>LIAN, Zhiwei/0000-0003-3718-1450</t>
        </is>
      </c>
      <c r="AD1889" t="inlineStr">
        <is>
          <t>National Natural Science Foundation of China [52078270, 52130803]; 13th Five-Year National Key R amp; D Program of China [2018YFC0704500]</t>
        </is>
      </c>
      <c r="AE1889" t="inlineStr">
        <is>
          <t>National Natural Science Foundation of China(National Natural Science Foundation of China (NSFC)); 13th Five-Year National Key R amp; D Program of China</t>
        </is>
      </c>
      <c r="AF1889" t="inlineStr">
        <is>
          <t>This study was supported by the National Natural Science Foundation of China (No. 52078270 and No. 52130803) . It used the Chinese Thermal Comfort Database shared by the 13th Five-Year National Key R &amp; amp; D Program of China (No. 2018YFC0704500) , the ASHRAE RP-884 Database, and the ASHRAE Global Thermal Comfort Database II. We sincerely thank our dearest colleague and friend, Prof. Yufeng Zhang, School of Architecture, South China University of Technology, who passed away early this year. Yufeng made significant contributions to the study of thermal comfort, which have inspired and will always inspire many researchers who devote themselves to this field.</t>
        </is>
      </c>
      <c r="AH1889" t="n">
        <v>78</v>
      </c>
      <c r="AI1889" t="n">
        <v>0</v>
      </c>
      <c r="AJ1889" t="n">
        <v>0</v>
      </c>
      <c r="AK1889" t="n">
        <v>4</v>
      </c>
      <c r="AL1889" t="n">
        <v>4</v>
      </c>
      <c r="AM1889" t="inlineStr">
        <is>
          <t>PERGAMON-ELSEVIER SCIENCE LTD</t>
        </is>
      </c>
      <c r="AN1889" t="inlineStr">
        <is>
          <t>OXFORD</t>
        </is>
      </c>
      <c r="AO1889" t="inlineStr">
        <is>
          <t>THE BOULEVARD, LANGFORD LANE, KIDLINGTON, OXFORD OX5 1GB, ENGLAND</t>
        </is>
      </c>
      <c r="AP1889" t="inlineStr">
        <is>
          <t>0160-4120</t>
        </is>
      </c>
      <c r="AQ1889" t="inlineStr">
        <is>
          <t>1873-6750</t>
        </is>
      </c>
      <c r="AS1889" t="inlineStr">
        <is>
          <t>ENVIRON INT</t>
        </is>
      </c>
      <c r="AT1889" t="inlineStr">
        <is>
          <t>Environ. Int.</t>
        </is>
      </c>
      <c r="AU1889" t="inlineStr">
        <is>
          <t>SEP</t>
        </is>
      </c>
      <c r="AV1889" t="n">
        <v>2023</v>
      </c>
      <c r="AW1889" t="n">
        <v>179</v>
      </c>
      <c r="BE1889" t="n">
        <v>108174</v>
      </c>
      <c r="BF1889" t="inlineStr">
        <is>
          <t>10.1016/j.envint.2023.108174</t>
        </is>
      </c>
      <c r="BG1889">
        <f>HYPERLINK("http://dx.doi.org/10.1016/j.envint.2023.108174","http://dx.doi.org/10.1016/j.envint.2023.108174")</f>
        <v/>
      </c>
      <c r="BI1889" t="inlineStr">
        <is>
          <t>SEP 2023</t>
        </is>
      </c>
      <c r="BJ1889" t="n">
        <v>11</v>
      </c>
      <c r="BK1889" t="inlineStr">
        <is>
          <t>Environmental Sciences</t>
        </is>
      </c>
      <c r="BL1889" t="inlineStr">
        <is>
          <t>Science Citation Index Expanded (SCI-EXPANDED)</t>
        </is>
      </c>
      <c r="BM1889" t="inlineStr">
        <is>
          <t>Environmental Sciences &amp; Ecology</t>
        </is>
      </c>
      <c r="BN1889" t="inlineStr">
        <is>
          <t>S5PH5</t>
        </is>
      </c>
      <c r="BO1889" t="n">
        <v>37660634</v>
      </c>
      <c r="BP1889" t="inlineStr">
        <is>
          <t>gold</t>
        </is>
      </c>
      <c r="BS1889" t="inlineStr">
        <is>
          <t>2023-10-26</t>
        </is>
      </c>
      <c r="BT1889" t="inlineStr">
        <is>
          <t>WOS:001071679500001</t>
        </is>
      </c>
      <c r="BU1889">
        <f>HYPERLINK("https%3A%2F%2Fwww.webofscience.com%2Fwos%2Fwoscc%2Ffull-record%2FWOS:001071679500001","View Full Record in Web of Science")</f>
        <v/>
      </c>
    </row>
    <row r="1890">
      <c r="A1890" t="inlineStr">
        <is>
          <t>J</t>
        </is>
      </c>
      <c r="B1890" t="inlineStr">
        <is>
          <t>Shuai, Y; Liu, X; Wang, SS; Kueh, YC; Kuan, GRY</t>
        </is>
      </c>
      <c r="F1890" t="inlineStr">
        <is>
          <t>Shuai, Ying; Liu, Xian; Wang, Shao-Shen; Kueh, Yee Cheng; Kuan, Garry</t>
        </is>
      </c>
      <c r="J1890" t="inlineStr">
        <is>
          <t>INTERNATIONAL JOURNAL OF ENVIRONMENTAL RESEARCH AND PUBLIC HEALTH</t>
        </is>
      </c>
      <c r="M1890" t="inlineStr">
        <is>
          <t>English</t>
        </is>
      </c>
      <c r="N1890" t="inlineStr">
        <is>
          <t>Article</t>
        </is>
      </c>
      <c r="T1890" t="inlineStr">
        <is>
          <t>Designing Physical Education Courses Based on Musical Environment: Using Spinning as an Example</t>
        </is>
      </c>
      <c r="U1890" t="inlineStr">
        <is>
          <t>physical education teaching environment; curriculum design; exercise; music</t>
        </is>
      </c>
      <c r="V1890" t="inlineStr">
        <is>
          <t>ASYNCHRONOUS MUSIC; SYNCHRONOUS MUSIC</t>
        </is>
      </c>
      <c r="W1890" t="inlineStr">
        <is>
          <t>The design of physical education (PE) lessons is an ongoing research project that encompasses elements such as teaching ideas, teaching objectives and teaching methods. Music is regarded as the pinnacle form of beauty and combining it with PE not only improves the effectiveness of PE lessons, but also increases the artistry of PE lessons. The purpose of this study is to examine the combination of music and cycling lessons in order to determine the effectiveness of cycling lessons in a musical environment. For study one, 95 undergraduate students were randomly selected to participate in the experiment in two conditions (M age = 20.00 years, SD = 1.00 years): (1) with music, (2) without music. For study two, 10 students were randomly selected to cycle in three study conditions: (1) synchronous music, (2) asynchronous fast music and (3) asynchronous slow music. Heart rate (HR), rating of perceived exertion (RPE), Exercise-Induced Feeling Inventory (EFI) and sport performance were measured. There were significant differences in HR, RPE, EFI and exercise performance between the two conditions with and without music, and the group with music performed higher than the group without music. In study two, ratings of perceived exertion were significantly lower for the synchronous music condition at 25, 30 min of the steady state portion of the cycling trials. No significant difference between conditions were found in HR, EFI and sport performance. An innovative fundamental model for teaching physical education courses in a musical environment was developed, including five sections: (1) selection of teaching mode, (2) setting of teaching objectives, (3) teaching process and content arrangement, (4) teaching evaluation and (5) precautions. With the addition of a musical environment, sport performance can be enhanced by triggering students' emotions and cognition.</t>
        </is>
      </c>
      <c r="X1890" t="inlineStr">
        <is>
          <t>[Shuai, Ying; Liu, Xian; Wang, Shao-Shen] Shandong Sport Univ, Sch Sports Management, Jinan 250102, Peoples R China; [Shuai, Ying; Wang, Shao-Shen; Kueh, Yee Cheng] Univ Sains Malaysia, Sch Med Sci, Unit Biostat &amp; Res Methodol, Kubang Kerian 16150, Kelantan, Malaysia; [Kuan, Garry] Univ Sains Malaysia, Sch Hlth Sci, Exercise &amp; Sports Sci Programme, Kubang Kerian 16150, Kelantan, Malaysia</t>
        </is>
      </c>
      <c r="Y1890" t="inlineStr">
        <is>
          <t>Shandong Sport University; Universiti Sains Malaysia; Universiti Sains Malaysia</t>
        </is>
      </c>
      <c r="Z1890" t="inlineStr">
        <is>
          <t>Liu, X (corresponding author), Shandong Sport Univ, Sch Sports Management, Jinan 250102, Peoples R China.;Kueh, YC (corresponding author), Univ Sains Malaysia, Sch Med Sci, Unit Biostat &amp; Res Methodol, Kubang Kerian 16150, Kelantan, Malaysia.;Kuan, GRY (corresponding author), Univ Sains Malaysia, Sch Hlth Sci, Exercise &amp; Sports Sci Programme, Kubang Kerian 16150, Kelantan, Malaysia.</t>
        </is>
      </c>
      <c r="AA1890" t="inlineStr">
        <is>
          <t>liuxian@sdpei.edu.cn; yckueh@usm.my; garry@usm.my</t>
        </is>
      </c>
      <c r="AB1890" t="inlineStr">
        <is>
          <t>ying, Shuai/ADT-9266-2022; Wang, Shaoshen/HNC-2523-2023; Kuan, Garry/H-4450-2016; Kueh, Yee Cheng/N-3991-2015</t>
        </is>
      </c>
      <c r="AC1890" t="inlineStr">
        <is>
          <t>ying, Shuai/0000-0001-5467-6768; Kuan, Garry/0000-0003-1103-3871; Kueh, Yee Cheng/0000-0003-2125-7297; Liu, Xian/0000-0003-1676-6839; Wang, Shao Shen/0000-0003-2961-4113</t>
        </is>
      </c>
      <c r="AH1890" t="n">
        <v>44</v>
      </c>
      <c r="AI1890" t="n">
        <v>0</v>
      </c>
      <c r="AJ1890" t="n">
        <v>0</v>
      </c>
      <c r="AK1890" t="n">
        <v>5</v>
      </c>
      <c r="AL1890" t="n">
        <v>7</v>
      </c>
      <c r="AM1890" t="inlineStr">
        <is>
          <t>MDPI</t>
        </is>
      </c>
      <c r="AN1890" t="inlineStr">
        <is>
          <t>BASEL</t>
        </is>
      </c>
      <c r="AO1890" t="inlineStr">
        <is>
          <t>ST ALBAN-ANLAGE 66, CH-4052 BASEL, SWITZERLAND</t>
        </is>
      </c>
      <c r="AQ1890" t="inlineStr">
        <is>
          <t>1660-4601</t>
        </is>
      </c>
      <c r="AS1890" t="inlineStr">
        <is>
          <t>INT J ENV RES PUB HE</t>
        </is>
      </c>
      <c r="AT1890" t="inlineStr">
        <is>
          <t>Int. J. Environ. Res. Public Health</t>
        </is>
      </c>
      <c r="AU1890" t="inlineStr">
        <is>
          <t>JAN</t>
        </is>
      </c>
      <c r="AV1890" t="n">
        <v>2023</v>
      </c>
      <c r="AW1890" t="n">
        <v>20</v>
      </c>
      <c r="AX1890" t="n">
        <v>1</v>
      </c>
      <c r="BE1890" t="n">
        <v>208</v>
      </c>
      <c r="BF1890" t="inlineStr">
        <is>
          <t>10.3390/ijerph20010208</t>
        </is>
      </c>
      <c r="BG1890">
        <f>HYPERLINK("http://dx.doi.org/10.3390/ijerph20010208","http://dx.doi.org/10.3390/ijerph20010208")</f>
        <v/>
      </c>
      <c r="BJ1890" t="n">
        <v>18</v>
      </c>
      <c r="BK1890" t="inlineStr">
        <is>
          <t>Environmental Sciences; Public, Environmental &amp; Occupational Health</t>
        </is>
      </c>
      <c r="BL1890" t="inlineStr">
        <is>
          <t>Science Citation Index Expanded (SCI-EXPANDED); Social Science Citation Index (SSCI)</t>
        </is>
      </c>
      <c r="BM1890" t="inlineStr">
        <is>
          <t>Environmental Sciences &amp; Ecology; Public, Environmental &amp; Occupational Health</t>
        </is>
      </c>
      <c r="BN1890" t="inlineStr">
        <is>
          <t>7Q4NL</t>
        </is>
      </c>
      <c r="BO1890" t="n">
        <v>36612531</v>
      </c>
      <c r="BP1890" t="inlineStr">
        <is>
          <t>gold, Green Published</t>
        </is>
      </c>
      <c r="BS1890" t="inlineStr">
        <is>
          <t>2023-10-26</t>
        </is>
      </c>
      <c r="BT1890" t="inlineStr">
        <is>
          <t>WOS:000909369500001</t>
        </is>
      </c>
      <c r="BU1890">
        <f>HYPERLINK("https%3A%2F%2Fwww.webofscience.com%2Fwos%2Fwoscc%2Ffull-record%2FWOS:000909369500001","View Full Record in Web of Science")</f>
        <v/>
      </c>
    </row>
    <row r="1891">
      <c r="A1891" t="inlineStr">
        <is>
          <t>J</t>
        </is>
      </c>
      <c r="B1891" t="inlineStr">
        <is>
          <t>Lo, YP; Chiang, SL; Lin, CH; Liu, HC; Chiang, LC</t>
        </is>
      </c>
      <c r="F1891" t="inlineStr">
        <is>
          <t>Lo, Yi-Pang; Chiang, Shang-Lin; Lin, Chia-Huei; Liu, Hung-Chang; Chiang, Li-Chi</t>
        </is>
      </c>
      <c r="J1891" t="inlineStr">
        <is>
          <t>INTERNATIONAL JOURNAL OF ENVIRONMENTAL RESEARCH AND PUBLIC HEALTH</t>
        </is>
      </c>
      <c r="M1891" t="inlineStr">
        <is>
          <t>English</t>
        </is>
      </c>
      <c r="N1891" t="inlineStr">
        <is>
          <t>Article</t>
        </is>
      </c>
      <c r="T1891" t="inlineStr">
        <is>
          <t>Effects of Individualized Aerobic Exercise Training on Physical Activity and Health-Related Physical Fitness among Middle-Aged and Older Adults with Multimorbidity: A Randomized Controlled Trial</t>
        </is>
      </c>
      <c r="U1891" t="inlineStr">
        <is>
          <t>middle-aged; older adult; individualized; aerobic exercise; multimorbidity</t>
        </is>
      </c>
      <c r="V1891" t="inlineStr">
        <is>
          <t>QUALITY-OF-LIFE; PROGRAM; SURVIVORS; PEOPLE; GUIDE</t>
        </is>
      </c>
      <c r="W1891" t="inlineStr">
        <is>
          <t>The presence of multimorbidity in middle-aged and older adults, which reduces their physical activity and quality of life, is a global health challenge. Exercise is one of the most important health behaviors that individuals can engage in. Previous studies have revealed that aerobic exercise training is beneficial for healthy middle-aged and older adults and those with various chronic diseases, but few studies have designed individualized aerobic exercise training for individuals with multimorbidity. Although individuals with multimorbidity are considerably less adherent to physical activity interventions, telephone-based motivational interviewing may help in strengthening motivation and promoting behavioral change for increasing physical activity and health-related physical fitness. This study aimed to examine whether a 12-week individualized aerobic exercise training in a rehabilitation center combined with telephone-based motivational interviewing is effective in promoting physical activity and health-related physical fitness among middle-aged and older adults with multimorbidity. A randomized controlled trial was conducted. Forty-three participants (aged &gt; 40) were recruited and randomly assigned to the intervention group, comparison group, or control group. The participants' physical activity and health-related physical fitness were assessed at baseline and at 12 weeks. The results indicated that after individualized aerobic exercise training combined with telephone-based motivational interviewing, the participants reported increased total physical activity (F-in = 481.3, p = 0.011), vigorous-intensity physical activity (F-in = 298.9, p = 0.007), dominant and nondominant hand grip (kg) (F-in = 1.96, p = 0.019; F-in = 2.19, p = 0.027, respectively), FEV1/FVC (F-in = 0.045, p = 0.043), VO2 max (ml/kg/min) (F-in = 5.30, p = 0.001), VO2 max predicted (%) (F-in = 21.6, p = 0.001), work (watts) (F-in = 22.5, p = 0.001), and anaerobic threshold (L/min) (F-in = 0.165, p = 0.011). Twelve weeks of individualized aerobic exercise training in the rehabilitation center combined with telephone-based motivational interviewing can increase the total physical activity, vigorous physical activity, and cardiorespiratory fitness of middle-aged and older adults with multimorbidity.</t>
        </is>
      </c>
      <c r="X1891" t="inlineStr">
        <is>
          <t>[Lo, Yi-Pang; Chiang, Li-Chi] Natl Def Med Ctr, Grad Inst Med Sci, Taipei 11490, Taiwan; [Lo, Yi-Pang; Lin, Chia-Huei] Triserv Gen Hosp, SongShan Branch, Dept Nursing, Taipei 10581, Taiwan; [Chiang, Shang-Lin] Natl Def Med Ctr, Sch Med, Taipei 11490, Taiwan; [Chiang, Shang-Lin; Liu, Hung-Chang] Triserv Gen Hosp, Dept Phys Med &amp; Rehabil, Taipei 11490, Taiwan; [Lin, Chia-Huei; Chiang, Li-Chi] Natl Def Med Ctr, Sch Nursing, Taipei 11490, Taiwan; [Chiang, Li-Chi] China Med Univ, Sch Nursing, Taichung 40402, Taiwan</t>
        </is>
      </c>
      <c r="Y1891" t="inlineStr">
        <is>
          <t>National Defense Medical Center; Tri-Service General Hospital; National Defense Medical Center; Tri-Service General Hospital; National Defense Medical Center; China Medical University Taiwan</t>
        </is>
      </c>
      <c r="Z1891" t="inlineStr">
        <is>
          <t>Chiang, LC (corresponding author), Natl Def Med Ctr, Grad Inst Med Sci, Taipei 11490, Taiwan.;Chiang, LC (corresponding author), Natl Def Med Ctr, Sch Nursing, Taipei 11490, Taiwan.;Chiang, LC (corresponding author), China Med Univ, Sch Nursing, Taichung 40402, Taiwan.</t>
        </is>
      </c>
      <c r="AA1891" t="inlineStr">
        <is>
          <t>808010023@mail.ndmctsgh.edu.tw; andyy520@mail.ndmctsgh.edu.tw; andyyy520@yahoo.com.tw; bryant480@gmail.com; lichi@mail.ndmctsgh.edu.tw</t>
        </is>
      </c>
      <c r="AB1891" t="inlineStr">
        <is>
          <t>OMOSIGHO, BLESSING/ISS-7818-2023; Lin, Chia-Huei/GLQ-5499-2022</t>
        </is>
      </c>
      <c r="AC1891" t="inlineStr">
        <is>
          <t>Chiang, Li-Chi/0000-0002-6383-7495</t>
        </is>
      </c>
      <c r="AH1891" t="n">
        <v>52</v>
      </c>
      <c r="AI1891" t="n">
        <v>8</v>
      </c>
      <c r="AJ1891" t="n">
        <v>8</v>
      </c>
      <c r="AK1891" t="n">
        <v>6</v>
      </c>
      <c r="AL1891" t="n">
        <v>20</v>
      </c>
      <c r="AM1891" t="inlineStr">
        <is>
          <t>MDPI</t>
        </is>
      </c>
      <c r="AN1891" t="inlineStr">
        <is>
          <t>BASEL</t>
        </is>
      </c>
      <c r="AO1891" t="inlineStr">
        <is>
          <t>ST ALBAN-ANLAGE 66, CH-4052 BASEL, SWITZERLAND</t>
        </is>
      </c>
      <c r="AQ1891" t="inlineStr">
        <is>
          <t>1660-4601</t>
        </is>
      </c>
      <c r="AS1891" t="inlineStr">
        <is>
          <t>INT J ENV RES PUB HE</t>
        </is>
      </c>
      <c r="AT1891" t="inlineStr">
        <is>
          <t>Int. J. Environ. Res. Public Health</t>
        </is>
      </c>
      <c r="AU1891" t="inlineStr">
        <is>
          <t>JAN</t>
        </is>
      </c>
      <c r="AV1891" t="n">
        <v>2021</v>
      </c>
      <c r="AW1891" t="n">
        <v>18</v>
      </c>
      <c r="AX1891" t="n">
        <v>1</v>
      </c>
      <c r="BE1891" t="n">
        <v>101</v>
      </c>
      <c r="BF1891" t="inlineStr">
        <is>
          <t>10.3390/ijerph18010101</t>
        </is>
      </c>
      <c r="BG1891">
        <f>HYPERLINK("http://dx.doi.org/10.3390/ijerph18010101","http://dx.doi.org/10.3390/ijerph18010101")</f>
        <v/>
      </c>
      <c r="BJ1891" t="n">
        <v>16</v>
      </c>
      <c r="BK1891" t="inlineStr">
        <is>
          <t>Environmental Sciences; Public, Environmental &amp; Occupational Health</t>
        </is>
      </c>
      <c r="BL1891" t="inlineStr">
        <is>
          <t>Science Citation Index Expanded (SCI-EXPANDED); Social Science Citation Index (SSCI)</t>
        </is>
      </c>
      <c r="BM1891" t="inlineStr">
        <is>
          <t>Environmental Sciences &amp; Ecology; Public, Environmental &amp; Occupational Health</t>
        </is>
      </c>
      <c r="BN1891" t="inlineStr">
        <is>
          <t>PP8LP</t>
        </is>
      </c>
      <c r="BO1891" t="n">
        <v>33375668</v>
      </c>
      <c r="BP1891" t="inlineStr">
        <is>
          <t>gold, Green Published</t>
        </is>
      </c>
      <c r="BS1891" t="inlineStr">
        <is>
          <t>2023-10-26</t>
        </is>
      </c>
      <c r="BT1891" t="inlineStr">
        <is>
          <t>WOS:000606107800001</t>
        </is>
      </c>
      <c r="BU1891">
        <f>HYPERLINK("https%3A%2F%2Fwww.webofscience.com%2Fwos%2Fwoscc%2Ffull-record%2FWOS:000606107800001","View Full Record in Web of Science")</f>
        <v/>
      </c>
    </row>
    <row r="1892">
      <c r="A1892" t="inlineStr">
        <is>
          <t>J</t>
        </is>
      </c>
      <c r="B1892" t="inlineStr">
        <is>
          <t>Cheng, BJ; Sheng, J; Wang, HL; Wang, Y; Cao, HJ; Li, XD; Zhou, TT; Meng, XL; Nie, HH; Wang, SF; Zhang, DM; Chen, GM; Tao, FB; Yang, LS</t>
        </is>
      </c>
      <c r="F1892" t="inlineStr">
        <is>
          <t>Cheng, Bei-Jing; Sheng, Jie; Wang, Hong-Li; Wang, Yuan; Cao, Hong-Juan; Li, Xiu-De; Zhou, Ting-Ting; Meng, Xiang-Long; Nie, Huan-Huan; Wang, Su-Fang; Zhang, Dong-Mei; Chen, Gui-Mei; Tao, Fang-Biao; Yang, Lin-Sheng</t>
        </is>
      </c>
      <c r="J1892" t="inlineStr">
        <is>
          <t>ENVIRONMENTAL SCIENCE AND POLLUTION RESEARCH</t>
        </is>
      </c>
      <c r="M1892" t="inlineStr">
        <is>
          <t>English</t>
        </is>
      </c>
      <c r="N1892" t="inlineStr">
        <is>
          <t>Article</t>
        </is>
      </c>
      <c r="T1892" t="inlineStr">
        <is>
          <t>Selenium attenuates the association of co-exposure to arsenic, cadmium, and lead with cognitive function among Chinese community-dwelling older adults</t>
        </is>
      </c>
      <c r="U1892" t="inlineStr">
        <is>
          <t>Cognitive function; Selenium; Toxic metals; Modification; Older adults</t>
        </is>
      </c>
      <c r="V1892" t="inlineStr">
        <is>
          <t>OXIDATIVE STRESS; MITOCHONDRIAL DYSFUNCTION; ALZHEIMERS-DISEASE; EXPOSURE; METALS; BLOOD; ZINC; COPPER; ANTIOXIDANT; POPULATION</t>
        </is>
      </c>
      <c r="W1892" t="inlineStr">
        <is>
          <t>The effects of interactions between the toxic and essential metal mixtures on cognitive function are poorly understood. This study aims to identify the joint association of arsenic (As), cadmium (Cd), and lead (Pb) with cognitive function in older adults and the moderating role of selenium (Se), zinc (Zn), and copper (Cu) in this association. This study included 1000 community-dwelling older adults. Cognitive function was assessed by the Mini-Mental State Examination (MMSE). Blood concentrations of As, Cd, Pb, Se, Zn, and Cu were measured using inductively coupled plasma mass spectrometry. Linear regression and Bayesian kernel machine regression (BKMR) models were applied to assess the individual and joint associations of As, Cd, and Pb with cognitive function and to examine whether Se, Zn, and Cu (individually and as a mixture) modified these associations. In the adjusted single-metal models, both Cd (beta = - 0.37, 95% CI: - 0.73 to - 0.01) and Pb (beta = - 0.44, 95% CI: - 0.86 to - 0.02) were associated with MMSE scores, while Se (beta = 0.71, 95% CI: 0.30 to 1.13) exhibited a positive relationship with MMSE scores. Univariate exposure-response functions from BKMR models showed similar results. Moreover, the toxic metal mixture (As, Cd, and Pb) exhibited a significant negative association with MMSE scores in a dose-response pattern, with Pb being the greatest contributor within the mixture. The negative association of Pb alone or the toxic metal mixture with MMSE scores became weaker at higher concentrations of Se within its normal range, especially when Se levels were greater than the median (89.18 mu g/L). Our findings support that Se can attenuate the negative associations of exposure to single Pb or the As, Cd, and Pb mixtures with cognitive function. Future prospective studies are needed to replicate our findings.</t>
        </is>
      </c>
      <c r="X1892" t="inlineStr">
        <is>
          <t>[Cheng, Bei-Jing; Sheng, Jie; Wang, Hong-Li; Wang, Yuan; Li, Xiu-De; Zhou, Ting-Ting; Meng, Xiang-Long; Nie, Huan-Huan; Wang, Su-Fang; Tao, Fang-Biao; Yang, Lin-Sheng] Anhui Med Univ, Sch Publ Hlth, Hefei 230032, Anhui, Peoples R China; [Cheng, Bei-Jing; Sheng, Jie; Tao, Fang-Biao; Yang, Lin-Sheng] Anhui Prov Key Lab Populat Hlth &amp; Aristogen, Hefei 230032, Anhui, Peoples R China; [Cheng, Bei-Jing] Southeast Univ, Key Lab Environm Med Engn, Minist Educ, Nanjing 210009, Jiangsu, Peoples R China; [Cao, Hong-Juan; Li, Xiu-De] Luan Ctr Dis Control &amp; Prevent, Anhui 237008, Peoples R China; [Zhou, Ting-Ting] Hefei Ctr Dis Control &amp; Prevent, Hefei 230051, Anhui, Peoples R China; [Zhang, Dong-Mei; Chen, Gui-Mei] Anhui Med Univ, Sch Hlth Serv Management, Hefei 230032, Anhui, Peoples R China</t>
        </is>
      </c>
      <c r="Y1892" t="inlineStr">
        <is>
          <t>Anhui Medical University; Southeast University - China; Anhui Medical University</t>
        </is>
      </c>
      <c r="Z1892" t="inlineStr">
        <is>
          <t>Yang, LS (corresponding author), Anhui Med Univ, Sch Publ Hlth, Hefei 230032, Anhui, Peoples R China.;Yang, LS (corresponding author), Anhui Prov Key Lab Populat Hlth &amp; Aristogen, Hefei 230032, Anhui, Peoples R China.</t>
        </is>
      </c>
      <c r="AA1892" t="inlineStr">
        <is>
          <t>yanglinsheng@ahmu.edu.cn</t>
        </is>
      </c>
      <c r="AB1892" t="inlineStr">
        <is>
          <t>Wang, Yanlin/JGC-6782-2023; Zhang, Lijun/JEZ-7925-2023; Wang, Tianqi/JJD-7473-2023; Zhang, Yunyi/JHS-3626-2023; qi, li/JFE-7167-2023; peng, yan/JCO-1763-2023; liu, lin/JFK-3401-2023</t>
        </is>
      </c>
      <c r="AD1892" t="inlineStr">
        <is>
          <t>National Key R&amp;D Program of China; Major Projects on College Leading Talent Team Introduced of Anhui [2016YFC1305900]; Key Scientific Research Fund of Anhui Provincial Education Department [0303011224]; Grants for Scientific Research of BSKY from Anhui Medical University [KJ2017A189]; National Key R&amp;D Program of China [Xj201525]; Major Projects on College Leading Talent Team Introduced of Anhui [2016YFC1305900]; Key Scientific Research Fund of Anhui Provincial Education Department [0303011224]; Grants for Scientific Research of BSKY from Anhui Medical University [KJ2017A189]</t>
        </is>
      </c>
      <c r="AE1892" t="inlineStr">
        <is>
          <t>National Key R&amp;D Program of China; Major Projects on College Leading Talent Team Introduced of Anhui; Key Scientific Research Fund of Anhui Provincial Education Department; Grants for Scientific Research of BSKY from Anhui Medical University; National Key R&amp;D Program of China; Major Projects on College Leading Talent Team Introduced of Anhui; Key Scientific Research Fund of Anhui Provincial Education Department; Grants for Scientific Research of BSKY from Anhui Medical University</t>
        </is>
      </c>
      <c r="AF1892" t="inlineStr">
        <is>
          <t>This study was funded by the National Key R&amp;D Program of China (grant number 2016YFC1305900), the Major Projects on College Leading Talent Team Introduced of Anhui (grant number 0303011224), the Key Scientific Research Fund of Anhui Provincial Education Department (grant number KJ2017A189), and the Grants for Scientific Research of BSKY from Anhui Medical University (grant number Xj201525).</t>
        </is>
      </c>
      <c r="AH1892" t="n">
        <v>91</v>
      </c>
      <c r="AI1892" t="n">
        <v>2</v>
      </c>
      <c r="AJ1892" t="n">
        <v>2</v>
      </c>
      <c r="AK1892" t="n">
        <v>6</v>
      </c>
      <c r="AL1892" t="n">
        <v>13</v>
      </c>
      <c r="AM1892" t="inlineStr">
        <is>
          <t>SPRINGER HEIDELBERG</t>
        </is>
      </c>
      <c r="AN1892" t="inlineStr">
        <is>
          <t>HEIDELBERG</t>
        </is>
      </c>
      <c r="AO1892" t="inlineStr">
        <is>
          <t>TIERGARTENSTRASSE 17, D-69121 HEIDELBERG, GERMANY</t>
        </is>
      </c>
      <c r="AP1892" t="inlineStr">
        <is>
          <t>0944-1344</t>
        </is>
      </c>
      <c r="AQ1892" t="inlineStr">
        <is>
          <t>1614-7499</t>
        </is>
      </c>
      <c r="AS1892" t="inlineStr">
        <is>
          <t>ENVIRON SCI POLLUT R</t>
        </is>
      </c>
      <c r="AT1892" t="inlineStr">
        <is>
          <t>Environ. Sci. Pollut. Res.</t>
        </is>
      </c>
      <c r="AU1892" t="inlineStr">
        <is>
          <t>MAR</t>
        </is>
      </c>
      <c r="AV1892" t="n">
        <v>2023</v>
      </c>
      <c r="AW1892" t="n">
        <v>30</v>
      </c>
      <c r="AX1892" t="n">
        <v>13</v>
      </c>
      <c r="BC1892" t="n">
        <v>36377</v>
      </c>
      <c r="BD1892" t="n">
        <v>36391</v>
      </c>
      <c r="BF1892" t="inlineStr">
        <is>
          <t>10.1007/s11356-022-24783-y</t>
        </is>
      </c>
      <c r="BG1892">
        <f>HYPERLINK("http://dx.doi.org/10.1007/s11356-022-24783-y","http://dx.doi.org/10.1007/s11356-022-24783-y")</f>
        <v/>
      </c>
      <c r="BI1892" t="inlineStr">
        <is>
          <t>DEC 2022</t>
        </is>
      </c>
      <c r="BJ1892" t="n">
        <v>15</v>
      </c>
      <c r="BK1892" t="inlineStr">
        <is>
          <t>Environmental Sciences</t>
        </is>
      </c>
      <c r="BL1892" t="inlineStr">
        <is>
          <t>Science Citation Index Expanded (SCI-EXPANDED)</t>
        </is>
      </c>
      <c r="BM1892" t="inlineStr">
        <is>
          <t>Environmental Sciences &amp; Ecology</t>
        </is>
      </c>
      <c r="BN1892" t="inlineStr">
        <is>
          <t>F2UA7</t>
        </is>
      </c>
      <c r="BO1892" t="n">
        <v>36547832</v>
      </c>
      <c r="BS1892" t="inlineStr">
        <is>
          <t>2023-10-26</t>
        </is>
      </c>
      <c r="BT1892" t="inlineStr">
        <is>
          <t>WOS:000903270600021</t>
        </is>
      </c>
      <c r="BU1892">
        <f>HYPERLINK("https%3A%2F%2Fwww.webofscience.com%2Fwos%2Fwoscc%2Ffull-record%2FWOS:000903270600021","View Full Record in Web of Science")</f>
        <v/>
      </c>
    </row>
    <row r="1893">
      <c r="A1893" t="inlineStr">
        <is>
          <t>J</t>
        </is>
      </c>
      <c r="B1893" t="inlineStr">
        <is>
          <t>Ding, C; Wang, YW; Xie, BL; Liu, C</t>
        </is>
      </c>
      <c r="F1893" t="inlineStr">
        <is>
          <t>Ding, Chuan; Wang, Yaowu; Xie, Binglei; Liu, Chao</t>
        </is>
      </c>
      <c r="J1893" t="inlineStr">
        <is>
          <t>SUSTAINABILITY</t>
        </is>
      </c>
      <c r="M1893" t="inlineStr">
        <is>
          <t>English</t>
        </is>
      </c>
      <c r="N1893" t="inlineStr">
        <is>
          <t>Article</t>
        </is>
      </c>
      <c r="T1893" t="inlineStr">
        <is>
          <t>Understanding the Role of Built Environment in Reducing Vehicle Miles Traveled Accounting for Spatial Heterogeneity</t>
        </is>
      </c>
      <c r="U1893" t="inlineStr">
        <is>
          <t>built environment; density; vehicle miles traveled; spatial heterogeneity; cross-classified multilevel model; Bayesian; home-based work tour</t>
        </is>
      </c>
      <c r="V1893" t="inlineStr">
        <is>
          <t>RESIDENTIAL SELF-SELECTION; MULTILEVEL ANALYSIS; MODE CHOICE; BEHAVIOR; IMPACTS; FOCUS; WORK; HOME</t>
        </is>
      </c>
      <c r="W1893" t="inlineStr">
        <is>
          <t>In recent years, increasing concerns over climate change and transportation energy consumption have sparked research into the influences of urban form and land use patterns on motorized travel, notably vehicle miles traveled (VMT). However, empirical studies provide mixed evidence of the influence of the built environment on travel. In particular, the role of density after controlling for the confounding factors (e. g., land use mix, average block size, and distance from CBD) still remains unclear. The object of this study is twofold. First, this research provides additional insights into the effects of built environment factors on the work-related VMT, considering urban form measurements at both the home location and workplace simultaneously. Second, a cross-classified multilevel model using Bayesian approach is applied to account for the spatial heterogeneity across spatial units. Using Washington DC as our study area, the home-based work tour in the AM peak hours is used as the analysis unit. Estimation results confirmed the important role that the built environment at both home and workplace plays in affecting work-related VMT. In particular, the results reveal that densities at the workplace have more important roles than that at home location. These findings confirm that urban planning and city design should be part of the solution in stabilizing global climate and energy consumption.</t>
        </is>
      </c>
      <c r="X1893" t="inlineStr">
        <is>
          <t>[Ding, Chuan; Wang, Yaowu; Xie, Binglei] Harbin Inst Technol, Shenzhen Grad Sch, Shenzhen Key Lab Urban Planning &amp; Decis Making Si, Shenzhen 518055, Peoples R China; [Liu, Chao] Univ Maryland, Natl Ctr Smart Growth Res &amp; Educ, College Pk, MD 20742 USA</t>
        </is>
      </c>
      <c r="Y1893" t="inlineStr">
        <is>
          <t>Harbin Institute of Technology; University System of Maryland; University of Maryland College Park</t>
        </is>
      </c>
      <c r="Z1893" t="inlineStr">
        <is>
          <t>Xie, BL (corresponding author), Harbin Inst Technol, Shenzhen Grad Sch, Shenzhen Key Lab Urban Planning &amp; Decis Making Si, Shenzhen 518055, Peoples R China.</t>
        </is>
      </c>
      <c r="AA1893" t="inlineStr">
        <is>
          <t>dingchuan@126.com; wangyaowuhit@163.com; xbl@hitsz.edu.cn; cliu8@umd.edu</t>
        </is>
      </c>
      <c r="AB1893" t="inlineStr">
        <is>
          <t>liu, chao/C-9480-2015; Ding, Chuan/P-5105-2016</t>
        </is>
      </c>
      <c r="AC1893" t="inlineStr">
        <is>
          <t>liu, chao/0000-0002-9653-4191; Ding, Chuan/0000-0001-9560-8585</t>
        </is>
      </c>
      <c r="AD1893" t="inlineStr">
        <is>
          <t>National Natural Science Foundation of China [71173061]</t>
        </is>
      </c>
      <c r="AE1893" t="inlineStr">
        <is>
          <t>National Natural Science Foundation of China(National Natural Science Foundation of China (NSFC))</t>
        </is>
      </c>
      <c r="AF1893" t="inlineStr">
        <is>
          <t>This work was partly supported by the National Natural Science Foundation of China (Grant 71173061). The authors would like to thank Lei Zhang (University of Maryland at College Park) for his sharing land use data, and the three anonymous referees for their valuable comments.</t>
        </is>
      </c>
      <c r="AH1893" t="n">
        <v>25</v>
      </c>
      <c r="AI1893" t="n">
        <v>24</v>
      </c>
      <c r="AJ1893" t="n">
        <v>32</v>
      </c>
      <c r="AK1893" t="n">
        <v>2</v>
      </c>
      <c r="AL1893" t="n">
        <v>60</v>
      </c>
      <c r="AM1893" t="inlineStr">
        <is>
          <t>MDPI</t>
        </is>
      </c>
      <c r="AN1893" t="inlineStr">
        <is>
          <t>BASEL</t>
        </is>
      </c>
      <c r="AO1893" t="inlineStr">
        <is>
          <t>ST ALBAN-ANLAGE 66, CH-4052 BASEL, SWITZERLAND</t>
        </is>
      </c>
      <c r="AQ1893" t="inlineStr">
        <is>
          <t>2071-1050</t>
        </is>
      </c>
      <c r="AS1893" t="inlineStr">
        <is>
          <t>SUSTAINABILITY-BASEL</t>
        </is>
      </c>
      <c r="AT1893" t="inlineStr">
        <is>
          <t>Sustainability</t>
        </is>
      </c>
      <c r="AU1893" t="inlineStr">
        <is>
          <t>FEB</t>
        </is>
      </c>
      <c r="AV1893" t="n">
        <v>2014</v>
      </c>
      <c r="AW1893" t="n">
        <v>6</v>
      </c>
      <c r="AX1893" t="n">
        <v>2</v>
      </c>
      <c r="BC1893" t="n">
        <v>589</v>
      </c>
      <c r="BD1893" t="n">
        <v>601</v>
      </c>
      <c r="BF1893" t="inlineStr">
        <is>
          <t>10.3390/su6020589</t>
        </is>
      </c>
      <c r="BG1893">
        <f>HYPERLINK("http://dx.doi.org/10.3390/su6020589","http://dx.doi.org/10.3390/su6020589")</f>
        <v/>
      </c>
      <c r="BJ1893" t="n">
        <v>13</v>
      </c>
      <c r="BK1893" t="inlineStr">
        <is>
          <t>Green &amp; Sustainable Science &amp; Technology; Environmental Sciences; Environmental Studies</t>
        </is>
      </c>
      <c r="BL1893" t="inlineStr">
        <is>
          <t>Science Citation Index Expanded (SCI-EXPANDED); Social Science Citation Index (SSCI)</t>
        </is>
      </c>
      <c r="BM1893" t="inlineStr">
        <is>
          <t>Science &amp; Technology - Other Topics; Environmental Sciences &amp; Ecology</t>
        </is>
      </c>
      <c r="BN1893" t="inlineStr">
        <is>
          <t>AB9OC</t>
        </is>
      </c>
      <c r="BP1893" t="inlineStr">
        <is>
          <t>Green Submitted, Green Published, gold</t>
        </is>
      </c>
      <c r="BS1893" t="inlineStr">
        <is>
          <t>2023-10-26</t>
        </is>
      </c>
      <c r="BT1893" t="inlineStr">
        <is>
          <t>WOS:000332123100007</t>
        </is>
      </c>
      <c r="BU1893">
        <f>HYPERLINK("https%3A%2F%2Fwww.webofscience.com%2Fwos%2Fwoscc%2Ffull-record%2FWOS:000332123100007","View Full Record in Web of Science")</f>
        <v/>
      </c>
    </row>
    <row r="1894">
      <c r="A1894" t="inlineStr">
        <is>
          <t>J</t>
        </is>
      </c>
      <c r="B1894" t="inlineStr">
        <is>
          <t>Kurvinen, A; Saari, A; Heljo, J; Nippala, E</t>
        </is>
      </c>
      <c r="F1894" t="inlineStr">
        <is>
          <t>Kurvinen, Antti; Saari, Arto; Heljo, Juhani; Nippala, Eero</t>
        </is>
      </c>
      <c r="J1894" t="inlineStr">
        <is>
          <t>SUSTAINABILITY</t>
        </is>
      </c>
      <c r="M1894" t="inlineStr">
        <is>
          <t>English</t>
        </is>
      </c>
      <c r="N1894" t="inlineStr">
        <is>
          <t>Article</t>
        </is>
      </c>
      <c r="T1894" t="inlineStr">
        <is>
          <t>Modeling Building Stock Development</t>
        </is>
      </c>
      <c r="U1894" t="inlineStr">
        <is>
          <t>modeling; building stock development; mortality of building stock; residential buildings; public buildings; commercial buildings</t>
        </is>
      </c>
      <c r="W1894" t="inlineStr">
        <is>
          <t>It is widely agreed that dynamics of building stocks are relatively poorly known even if it is recognized to be an important research topic. Better understanding of building stock dynamics and future development is crucial, e.g., for sustainable management of the built environment as various analyses require long-term projections of building stock development. Recognizing the uncertainty in relation to long-term modeling, we propose a transparent calculation-based QuantiSTOCK model for modeling building stock development. Our approach not only provides a tangible tool for understanding development when selected assumptions are valid but also, most importantly, allows for studying the sensitivity of results to alternative developments of the key variables. Therefore, this relatively simple modeling approach provides fruitful grounds for understanding the impact of different key variables, which is needed to facilitate meaningful debate on different housing, land use, and environment-related policies. The QuantiSTOCK model may be extended in numerous ways and lays the groundwork for modeling the future developments of building stocks. The presented model may be used in a wide range of analyses ranging from assessing housing demand at the regional level to providing input for defining sustainable pathways towards climate targets. Due to the availability of high-quality data, the Finnish building stock provided a great test arena for the model development.</t>
        </is>
      </c>
      <c r="X1894" t="inlineStr">
        <is>
          <t>[Kurvinen, Antti; Saari, Arto; Heljo, Juhani] Tampere Univ, Fac Built Environm, Korkeakoulunkatu 5, FI-33720 Tampere, Finland; [Nippala, Eero] Tampere Univ Appl Sci, Sch Built Environm &amp; Bioecon, Kuntokatu 3, FI-33520 Tampere, Finland</t>
        </is>
      </c>
      <c r="Y1894" t="inlineStr">
        <is>
          <t>Tampere University; Tampere University; Tampere University of Applied Sciences TAMK</t>
        </is>
      </c>
      <c r="Z1894" t="inlineStr">
        <is>
          <t>Kurvinen, A (corresponding author), Tampere Univ, Fac Built Environm, Korkeakoulunkatu 5, FI-33720 Tampere, Finland.</t>
        </is>
      </c>
      <c r="AA1894" t="inlineStr">
        <is>
          <t>antti.kurvinen@tuni.fi; arto.saari@tuni.fi; juhani.heljo@tuni.fi; eero.nippala@tuni.fi</t>
        </is>
      </c>
      <c r="AB1894" t="inlineStr">
        <is>
          <t>Saari, Arto/ACK-0266-2022; Kurvinen, Antti/M-8831-2015</t>
        </is>
      </c>
      <c r="AC1894" t="inlineStr">
        <is>
          <t>Saari, Arto/0000-0001-5205-712X; Kurvinen, Antti/0000-0003-1888-3959; Heljo, Veli Juhani/0000-0001-8800-3799</t>
        </is>
      </c>
      <c r="AD1894" t="inlineStr">
        <is>
          <t>Academy of Finland [309,067]; Finnish Foundation for Technology Promotion</t>
        </is>
      </c>
      <c r="AE1894" t="inlineStr">
        <is>
          <t>Academy of Finland(Research Council of Finland); Finnish Foundation for Technology Promotion</t>
        </is>
      </c>
      <c r="AF1894" t="inlineStr">
        <is>
          <t>This research was funded by the Academy of Finland (decision number: 309,067, project: RenewFIN-Optimal transformation pathway towards the 2050 low-carbon target: integrated buildings, grids, and national energy system for the case of Finland). The main author would also like to thank the Finnish Foundation for Technology Promotion for funding.</t>
        </is>
      </c>
      <c r="AH1894" t="n">
        <v>31</v>
      </c>
      <c r="AI1894" t="n">
        <v>5</v>
      </c>
      <c r="AJ1894" t="n">
        <v>5</v>
      </c>
      <c r="AK1894" t="n">
        <v>2</v>
      </c>
      <c r="AL1894" t="n">
        <v>12</v>
      </c>
      <c r="AM1894" t="inlineStr">
        <is>
          <t>MDPI</t>
        </is>
      </c>
      <c r="AN1894" t="inlineStr">
        <is>
          <t>BASEL</t>
        </is>
      </c>
      <c r="AO1894" t="inlineStr">
        <is>
          <t>ST ALBAN-ANLAGE 66, CH-4052 BASEL, SWITZERLAND</t>
        </is>
      </c>
      <c r="AQ1894" t="inlineStr">
        <is>
          <t>2071-1050</t>
        </is>
      </c>
      <c r="AS1894" t="inlineStr">
        <is>
          <t>SUSTAINABILITY-BASEL</t>
        </is>
      </c>
      <c r="AT1894" t="inlineStr">
        <is>
          <t>Sustainability</t>
        </is>
      </c>
      <c r="AU1894" t="inlineStr">
        <is>
          <t>JAN</t>
        </is>
      </c>
      <c r="AV1894" t="n">
        <v>2021</v>
      </c>
      <c r="AW1894" t="n">
        <v>13</v>
      </c>
      <c r="AX1894" t="n">
        <v>2</v>
      </c>
      <c r="BE1894" t="n">
        <v>723</v>
      </c>
      <c r="BF1894" t="inlineStr">
        <is>
          <t>10.3390/su13020723</t>
        </is>
      </c>
      <c r="BG1894">
        <f>HYPERLINK("http://dx.doi.org/10.3390/su13020723","http://dx.doi.org/10.3390/su13020723")</f>
        <v/>
      </c>
      <c r="BJ1894" t="n">
        <v>17</v>
      </c>
      <c r="BK1894" t="inlineStr">
        <is>
          <t>Green &amp; Sustainable Science &amp; Technology; Environmental Sciences; Environmental Studies</t>
        </is>
      </c>
      <c r="BL1894" t="inlineStr">
        <is>
          <t>Science Citation Index Expanded (SCI-EXPANDED); Social Science Citation Index (SSCI)</t>
        </is>
      </c>
      <c r="BM1894" t="inlineStr">
        <is>
          <t>Science &amp; Technology - Other Topics; Environmental Sciences &amp; Ecology</t>
        </is>
      </c>
      <c r="BN1894" t="inlineStr">
        <is>
          <t>PY0LO</t>
        </is>
      </c>
      <c r="BP1894" t="inlineStr">
        <is>
          <t>Green Published, gold</t>
        </is>
      </c>
      <c r="BS1894" t="inlineStr">
        <is>
          <t>2023-10-26</t>
        </is>
      </c>
      <c r="BT1894" t="inlineStr">
        <is>
          <t>WOS:000611741800001</t>
        </is>
      </c>
      <c r="BU1894">
        <f>HYPERLINK("https%3A%2F%2Fwww.webofscience.com%2Fwos%2Fwoscc%2Ffull-record%2FWOS:000611741800001","View Full Record in Web of Science")</f>
        <v/>
      </c>
    </row>
    <row r="1895">
      <c r="A1895" t="inlineStr">
        <is>
          <t>J</t>
        </is>
      </c>
      <c r="B1895" t="inlineStr">
        <is>
          <t>Chen, HH; Hsieh, PL</t>
        </is>
      </c>
      <c r="F1895" t="inlineStr">
        <is>
          <t>Chen, Hsuan-Hui; Hsieh, Pei-Lin</t>
        </is>
      </c>
      <c r="J1895" t="inlineStr">
        <is>
          <t>INTERNATIONAL JOURNAL OF ENVIRONMENTAL RESEARCH AND PUBLIC HEALTH</t>
        </is>
      </c>
      <c r="M1895" t="inlineStr">
        <is>
          <t>English</t>
        </is>
      </c>
      <c r="N1895" t="inlineStr">
        <is>
          <t>Article</t>
        </is>
      </c>
      <c r="T1895" t="inlineStr">
        <is>
          <t>Applying the Pender's Health Promotion Model to Identify the Factors Related to Older Adults' Participation in Community-Based Health Promotion Activities</t>
        </is>
      </c>
      <c r="U1895" t="inlineStr">
        <is>
          <t>Pender's health promotion model; older adults; community-based health promotion activities; health promotion questionnaire</t>
        </is>
      </c>
      <c r="V1895" t="inlineStr">
        <is>
          <t>EXERCISE INTERVENTIONS; BEHAVIORS; NUTRITION; PEOPLE</t>
        </is>
      </c>
      <c r="W1895" t="inlineStr">
        <is>
          <t>Aging societies have garnered global attention regarding issues related to older adults' health promotion. This cross-sectional study aimed to identify factors associated with older adults' participation in community-based health promotion activities. The Older Adults' Health Promotion Activity Questionnaire was developed to collect data, and a total of 139 older adults were recruited from a community care center in Taoyuan City. Participants' mean age was 72.7 years (SD = 6.0 years), 74.8% were females, 64.7% were married, 59% had a lower level of education, 51.8% had lower income, 59% reported their health status not good, and 76.3% had chronic disease. Our findings indicated that age, perceived benefits, and self-efficacy were identified as significant predictors of participation in health promotion activities. Among them, perceived benefits were found to have the strongest association with participation in health promotion activities (beta = 0.305; p &lt; 0.05). The findings showed that the Pender's Health Promotion Model is useful to provide information for predicting and detecting significant factors related to older adults' participation in community-based health promotion activities. By using this model as a framework, researchers can design more specific studies that are directed towards improving healthy lifestyles and detecting the key components of health-related behaviors among different age groups.</t>
        </is>
      </c>
      <c r="X1895" t="inlineStr">
        <is>
          <t>[Chen, Hsuan-Hui] Yang Ming Hosp, Nursing Dept, Taoyuan 324005, Taiwan; [Hsieh, Pei-Lin] Chang Gung Univ Sci &amp; Technol, Chang Gung Med Fdn, Sch Nursing, Taoyuan 33303, Taiwan</t>
        </is>
      </c>
      <c r="Y1895" t="inlineStr">
        <is>
          <t>Chang Gung University of Science &amp; Technology; Chang Gung Memorial Hospital</t>
        </is>
      </c>
      <c r="Z1895" t="inlineStr">
        <is>
          <t>Hsieh, PL (corresponding author), Chang Gung Univ Sci &amp; Technol, Chang Gung Med Fdn, Sch Nursing, Taoyuan 33303, Taiwan.</t>
        </is>
      </c>
      <c r="AA1895" t="inlineStr">
        <is>
          <t>jimrainc@yahoo.com.tw; plhsieh@mail.cgust.edu.tw</t>
        </is>
      </c>
      <c r="AH1895" t="n">
        <v>29</v>
      </c>
      <c r="AI1895" t="n">
        <v>7</v>
      </c>
      <c r="AJ1895" t="n">
        <v>7</v>
      </c>
      <c r="AK1895" t="n">
        <v>15</v>
      </c>
      <c r="AL1895" t="n">
        <v>42</v>
      </c>
      <c r="AM1895" t="inlineStr">
        <is>
          <t>MDPI</t>
        </is>
      </c>
      <c r="AN1895" t="inlineStr">
        <is>
          <t>BASEL</t>
        </is>
      </c>
      <c r="AO1895" t="inlineStr">
        <is>
          <t>ST ALBAN-ANLAGE 66, CH-4052 BASEL, SWITZERLAND</t>
        </is>
      </c>
      <c r="AQ1895" t="inlineStr">
        <is>
          <t>1660-4601</t>
        </is>
      </c>
      <c r="AS1895" t="inlineStr">
        <is>
          <t>INT J ENV RES PUB HE</t>
        </is>
      </c>
      <c r="AT1895" t="inlineStr">
        <is>
          <t>Int. J. Environ. Res. Public Health</t>
        </is>
      </c>
      <c r="AU1895" t="inlineStr">
        <is>
          <t>OCT</t>
        </is>
      </c>
      <c r="AV1895" t="n">
        <v>2021</v>
      </c>
      <c r="AW1895" t="n">
        <v>18</v>
      </c>
      <c r="AX1895" t="n">
        <v>19</v>
      </c>
      <c r="BE1895" t="n">
        <v>9985</v>
      </c>
      <c r="BF1895" t="inlineStr">
        <is>
          <t>10.3390/ijerph18199985</t>
        </is>
      </c>
      <c r="BG1895">
        <f>HYPERLINK("http://dx.doi.org/10.3390/ijerph18199985","http://dx.doi.org/10.3390/ijerph18199985")</f>
        <v/>
      </c>
      <c r="BJ1895" t="n">
        <v>17</v>
      </c>
      <c r="BK1895" t="inlineStr">
        <is>
          <t>Environmental Sciences; Public, Environmental &amp; Occupational Health</t>
        </is>
      </c>
      <c r="BL1895" t="inlineStr">
        <is>
          <t>Science Citation Index Expanded (SCI-EXPANDED); Social Science Citation Index (SSCI)</t>
        </is>
      </c>
      <c r="BM1895" t="inlineStr">
        <is>
          <t>Environmental Sciences &amp; Ecology; Public, Environmental &amp; Occupational Health</t>
        </is>
      </c>
      <c r="BN1895" t="inlineStr">
        <is>
          <t>WK2BA</t>
        </is>
      </c>
      <c r="BO1895" t="n">
        <v>34639294</v>
      </c>
      <c r="BP1895" t="inlineStr">
        <is>
          <t>gold, Green Published</t>
        </is>
      </c>
      <c r="BS1895" t="inlineStr">
        <is>
          <t>2023-10-26</t>
        </is>
      </c>
      <c r="BT1895" t="inlineStr">
        <is>
          <t>WOS:000709535100001</t>
        </is>
      </c>
      <c r="BU1895">
        <f>HYPERLINK("https%3A%2F%2Fwww.webofscience.com%2Fwos%2Fwoscc%2Ffull-record%2FWOS:000709535100001","View Full Record in Web of Science")</f>
        <v/>
      </c>
    </row>
    <row r="1896">
      <c r="A1896" t="inlineStr">
        <is>
          <t>J</t>
        </is>
      </c>
      <c r="B1896" t="inlineStr">
        <is>
          <t>Cojocaru, C; Cojocaru, P; Barbu, RM; Pinzariu, F; Cojocaru, E</t>
        </is>
      </c>
      <c r="F1896" t="inlineStr">
        <is>
          <t>Cojocaru, C.; Cojocaru, P.; Barbu, R. M.; Pinzariu, F.; Cojocaru, E.</t>
        </is>
      </c>
      <c r="J1896" t="inlineStr">
        <is>
          <t>INTERNATIONAL JOURNAL OF ENVIRONMENTAL SCIENCE AND TECHNOLOGY</t>
        </is>
      </c>
      <c r="M1896" t="inlineStr">
        <is>
          <t>English</t>
        </is>
      </c>
      <c r="N1896" t="inlineStr">
        <is>
          <t>Article</t>
        </is>
      </c>
      <c r="T1896" t="inlineStr">
        <is>
          <t>Health risks in association with indoor radon exposure in Northeastern Romania</t>
        </is>
      </c>
      <c r="U1896" t="inlineStr">
        <is>
          <t>Health risk; Indoor radon; Home assessment; Radon measurements; Romania</t>
        </is>
      </c>
      <c r="V1896" t="inlineStr">
        <is>
          <t>RESIDENTIAL RADON; MOLDOVAN PLATEAU; AIR-QUALITY; CO2</t>
        </is>
      </c>
      <c r="W1896" t="inlineStr">
        <is>
          <t>The radon level was assessed in houses from two rural areas localized in Northeastern Romania. Long-term measurements were performed for a period of four months using a digital radon detector, model Corentium Home, AirThings 222. In addition, for every environment included in the study, investigations concerning the building materials, the floor type, the building year and the heating system were made. Accordingly, Spearman's correlation coefficients of the study variables were calculated. The World Health Organization recommends an upper threshold of 100 Bq/m(3) as a national reference level. For both studied areas, we calculated a mean indoor radon level of more than 100 Bq/m(3), but in the Tomesti-Osoi area were recorded values of over 100, respectively 300 Bq/m(3) in significantly more households. Indoor exposure to radon of people in the investigated houses was found in 75 and 35.3% of the cases, respectively, above the level accepted by international recommendations, with a moderate correlation between mean radon levels and the features of the residential buildings.</t>
        </is>
      </c>
      <c r="X1896" t="inlineStr">
        <is>
          <t>[Cojocaru, C.] Grigore T Popa Univ Med &amp; Pharm, Fac Med, Med Dept 3, Iasi, Romania; [Cojocaru, P.] Gheorghe Asachi Tech Univ Iasi, Fac Hydrotech Geodesy &amp; Environm Engn, Dept Land Improvement &amp; Environm Protect, Iasi 700050, Romania; [Barbu, R. M.; Cojocaru, E.] Grigore T Popa Univ Med &amp; Pharm, Fac Med, Morphofunct Sci Dept 2, Iasi, Romania; [Pinzariu, F.] George Enescu Natl Univ Arts, Fac Visual Arts &amp; Design, Iasi, Romania</t>
        </is>
      </c>
      <c r="Y1896" t="inlineStr">
        <is>
          <t>Grigore T Popa University of Medicine &amp; Pharmacy; GH Asachi Technical University; Grigore T Popa University of Medicine &amp; Pharmacy; George Enescu National University of Arts Iasi</t>
        </is>
      </c>
      <c r="Z1896" t="inlineStr">
        <is>
          <t>Cojocaru, P (corresponding author), Gheorghe Asachi Tech Univ Iasi, Fac Hydrotech Geodesy &amp; Environm Engn, Dept Land Improvement &amp; Environm Protect, Iasi 700050, Romania.</t>
        </is>
      </c>
      <c r="AA1896" t="inlineStr">
        <is>
          <t>paula.cojocaru@academic.tuiasi.ro</t>
        </is>
      </c>
      <c r="AB1896" t="inlineStr">
        <is>
          <t>Cojocaru, Elena/GSD-7174-2022; BARBU, ROXANA MIHAELA MIHAELA/GZL-6683-2022; Cojocaru, Elena/AAT-1090-2021; Paula, Cojocaru/GSE-0485-2022; Cojocaru, Cristian/ADP-1201-2022</t>
        </is>
      </c>
      <c r="AC1896" t="inlineStr">
        <is>
          <t>Cojocaru, Elena/0000-0002-0033-4620; Cojocaru, Elena/0000-0002-0033-4620; Cojocaru, Cristian/0000-0001-9933-8965; Pinzariu, Florin/0000-0001-9326-6227; COJOCARU, PAULA/0000-0001-9460-7492; ROXANA MIHAELA, BARBU/0000-0001-5458-8071</t>
        </is>
      </c>
      <c r="AH1896" t="n">
        <v>38</v>
      </c>
      <c r="AI1896" t="n">
        <v>0</v>
      </c>
      <c r="AJ1896" t="n">
        <v>0</v>
      </c>
      <c r="AK1896" t="n">
        <v>0</v>
      </c>
      <c r="AL1896" t="n">
        <v>5</v>
      </c>
      <c r="AM1896" t="inlineStr">
        <is>
          <t>SPRINGER</t>
        </is>
      </c>
      <c r="AN1896" t="inlineStr">
        <is>
          <t>NEW YORK</t>
        </is>
      </c>
      <c r="AO1896" t="inlineStr">
        <is>
          <t>ONE NEW YORK PLAZA, SUITE 4600, NEW YORK, NY, UNITED STATES</t>
        </is>
      </c>
      <c r="AP1896" t="inlineStr">
        <is>
          <t>1735-1472</t>
        </is>
      </c>
      <c r="AQ1896" t="inlineStr">
        <is>
          <t>1735-2630</t>
        </is>
      </c>
      <c r="AS1896" t="inlineStr">
        <is>
          <t>INT J ENVIRON SCI TE</t>
        </is>
      </c>
      <c r="AT1896" t="inlineStr">
        <is>
          <t>Int. J. Environ. Sci. Technol.</t>
        </is>
      </c>
      <c r="AU1896" t="inlineStr">
        <is>
          <t>JUN</t>
        </is>
      </c>
      <c r="AV1896" t="n">
        <v>2023</v>
      </c>
      <c r="AW1896" t="n">
        <v>20</v>
      </c>
      <c r="AX1896" t="n">
        <v>6</v>
      </c>
      <c r="BC1896" t="n">
        <v>5937</v>
      </c>
      <c r="BD1896" t="n">
        <v>5944</v>
      </c>
      <c r="BF1896" t="inlineStr">
        <is>
          <t>10.1007/s13762-022-04398-z</t>
        </is>
      </c>
      <c r="BG1896">
        <f>HYPERLINK("http://dx.doi.org/10.1007/s13762-022-04398-z","http://dx.doi.org/10.1007/s13762-022-04398-z")</f>
        <v/>
      </c>
      <c r="BI1896" t="inlineStr">
        <is>
          <t>JUL 2022</t>
        </is>
      </c>
      <c r="BJ1896" t="n">
        <v>8</v>
      </c>
      <c r="BK1896" t="inlineStr">
        <is>
          <t>Environmental Sciences</t>
        </is>
      </c>
      <c r="BL1896" t="inlineStr">
        <is>
          <t>Science Citation Index Expanded (SCI-EXPANDED)</t>
        </is>
      </c>
      <c r="BM1896" t="inlineStr">
        <is>
          <t>Environmental Sciences &amp; Ecology</t>
        </is>
      </c>
      <c r="BN1896" t="inlineStr">
        <is>
          <t>G9VZ0</t>
        </is>
      </c>
      <c r="BP1896" t="inlineStr">
        <is>
          <t>hybrid</t>
        </is>
      </c>
      <c r="BS1896" t="inlineStr">
        <is>
          <t>2023-10-26</t>
        </is>
      </c>
      <c r="BT1896" t="inlineStr">
        <is>
          <t>WOS:000833455600005</t>
        </is>
      </c>
      <c r="BU1896">
        <f>HYPERLINK("https%3A%2F%2Fwww.webofscience.com%2Fwos%2Fwoscc%2Ffull-record%2FWOS:000833455600005","View Full Record in Web of Science")</f>
        <v/>
      </c>
    </row>
    <row r="1897">
      <c r="A1897" t="inlineStr">
        <is>
          <t>J</t>
        </is>
      </c>
      <c r="B1897" t="inlineStr">
        <is>
          <t>Morillas, H; Maguregui, M; Gallego-Cartagena, E; Marcaida, I; Carral, N; Madariaga, JM</t>
        </is>
      </c>
      <c r="F1897" t="inlineStr">
        <is>
          <t>Morillas, Hector; Maguregui, Maite; Gallego-Cartagena, Euler; Marcaida, Iker; Carral, Nerea; Manuel Madariaga, Juan</t>
        </is>
      </c>
      <c r="J1897" t="inlineStr">
        <is>
          <t>SCIENCE OF THE TOTAL ENVIRONMENT</t>
        </is>
      </c>
      <c r="M1897" t="inlineStr">
        <is>
          <t>English</t>
        </is>
      </c>
      <c r="N1897" t="inlineStr">
        <is>
          <t>Review</t>
        </is>
      </c>
      <c r="T1897" t="inlineStr">
        <is>
          <t>The influence of marine environment on the conservation state of Built Heritage: An overview study</t>
        </is>
      </c>
      <c r="U1897" t="inlineStr">
        <is>
          <t>Marine aerosol; Built Heritage; Nitrates; Sulfates; Chlorides; Efflorescence</t>
        </is>
      </c>
      <c r="V1897" t="inlineStr">
        <is>
          <t>CLOUD CONDENSATION NUCLEI; SEA-SALT AEROSOL; RAMAN-SPECTROSCOPY; IN-SITU; LICHEN COLONIZATION; PARTICULATE MATTER; PASSIVE SAMPLER; BASQUE COUNTRY; BLACK CRUSTS; STONE DECAY</t>
        </is>
      </c>
      <c r="W1897" t="inlineStr">
        <is>
          <t>Marine aerosol is a chemical complex system formed by inorganic salts and organic matter, together with airborne particulate matter from the surrounding environment. The primary particles transported in the marine aerosol can experiment different chemical reactions in the atmosphere, promoting the so-called Secondary Marine Aerosol particles. These kinds of particles (nitrates, sulfates, chlorides etc.), together with the natural crustal or mineral particles and the metallic airborne particulate matter emitted by anthropogenic sources (road traffic, industry, etc.) form clusters which then can be deposited on building materials from a specific construction following dry deposition processes. Apart from that, the acid aerosols (e.g. CO2, SO2, NOX, etc.) present in urban-industrial environments, coming also from anthropogenic sources, can be deposited in the buildings following dry or awet depositionmechanisms. The interactions of these natural and anthropogenic stressorswith building materials can promote different kind of pathologies. In this overview, the negative influence of different marine environments (direct or diffuse influence), with or without the influence of an urban-industrial area (direct or diffuse), on the conservation state of historical constructions including awide variety of building materials (sand-stones, limestones, artificial stones, bricks, plasters, cementitious materials, etc.) is presented. (C) 2020 Elsevier B.V. All rights reserved.</t>
        </is>
      </c>
      <c r="X1897" t="inlineStr">
        <is>
          <t>[Morillas, Hector; Gallego-Cartagena, Euler; Marcaida, Iker; Manuel Madariaga, Juan] Univ Basque Country, Fac Sci &amp; Technol, Dept Analyt Chem, UPV EHU, POB 644, Bilbao 48080, Basque Country, Spain; [Morillas, Hector] Univ Basque Country, Fac Educ &amp; Sport, Dept Didact Math &amp; Expt Sci, UPV EHU, Vitoria 01006, Basque Country, Spain; [Maguregui, Maite] Univ Basque Country, Fac Pharm, Dept Analyt Chem, UPV EHU, Pob 450, Vitoria 01080, Basque Country, Spain; [Gallego-Cartagena, Euler] Univ Costa, Dept Civil &amp; Environm, Calle 58 55-66, Barranquilla 080002, Colombia; [Carral, Nerea] Univ Basque Country, Fac Med, Dept Pharmacol, UPV EHU, Leioa 48940, Basque Country, Spain</t>
        </is>
      </c>
      <c r="Y1897" t="inlineStr">
        <is>
          <t>University of Basque Country; University of Basque Country; University of Basque Country; Universidad de la Costa; University of Basque Country</t>
        </is>
      </c>
      <c r="Z1897" t="inlineStr">
        <is>
          <t>Morillas, H (corresponding author), Univ Basque Country, Fac Sci &amp; Technol, Dept Analyt Chem, UPV EHU, POB 644, Bilbao 48080, Basque Country, Spain.</t>
        </is>
      </c>
      <c r="AA1897" t="inlineStr">
        <is>
          <t>hector.morillas@ehu.eus</t>
        </is>
      </c>
      <c r="AB1897" t="inlineStr">
        <is>
          <t>Morillas, Hector/H-9092-2017; Gallego Cartagena, Euler/AAE-3725-2022; Maguregui, Maite/K-5973-2014; Madariaga, Juan Manuel/L-6333-2014</t>
        </is>
      </c>
      <c r="AC1897" t="inlineStr">
        <is>
          <t>Morillas, Hector/0000-0002-1265-7814; Maguregui, Maite/0000-0001-6011-3590; CARRAL, NEREA/0000-0001-7448-2741; Madariaga, Juan Manuel/0000-0002-1685-6335</t>
        </is>
      </c>
      <c r="AD1897" t="inlineStr">
        <is>
          <t>Ministry of Economy and Competitiveness; European Regional Development Fund (ERDF) through the project MADyLIN [BIA2017-87063-P]</t>
        </is>
      </c>
      <c r="AE1897" t="inlineStr">
        <is>
          <t>Ministry of Economy and Competitiveness; European Regional Development Fund (ERDF) through the project MADyLIN(European Union (EU))</t>
        </is>
      </c>
      <c r="AF1897" t="inlineStr">
        <is>
          <t>This work has been funded by the Ministry of Economy and Competitiveness and the European Regional Development Fund (ERDF) through the project MADyLIN (ref. BIA2017-87063-P). Technical support provided by the Raman-LASPEA laboratory of the SGIker (UPV/EHU, MICINN, GV/EJ, ERDF and ESF) is also gratefully acknowledged.</t>
        </is>
      </c>
      <c r="AH1897" t="n">
        <v>152</v>
      </c>
      <c r="AI1897" t="n">
        <v>12</v>
      </c>
      <c r="AJ1897" t="n">
        <v>12</v>
      </c>
      <c r="AK1897" t="n">
        <v>3</v>
      </c>
      <c r="AL1897" t="n">
        <v>38</v>
      </c>
      <c r="AM1897" t="inlineStr">
        <is>
          <t>ELSEVIER</t>
        </is>
      </c>
      <c r="AN1897" t="inlineStr">
        <is>
          <t>AMSTERDAM</t>
        </is>
      </c>
      <c r="AO1897" t="inlineStr">
        <is>
          <t>RADARWEG 29, 1043 NX AMSTERDAM, NETHERLANDS</t>
        </is>
      </c>
      <c r="AP1897" t="inlineStr">
        <is>
          <t>0048-9697</t>
        </is>
      </c>
      <c r="AQ1897" t="inlineStr">
        <is>
          <t>1879-1026</t>
        </is>
      </c>
      <c r="AS1897" t="inlineStr">
        <is>
          <t>SCI TOTAL ENVIRON</t>
        </is>
      </c>
      <c r="AT1897" t="inlineStr">
        <is>
          <t>Sci. Total Environ.</t>
        </is>
      </c>
      <c r="AU1897" t="inlineStr">
        <is>
          <t>NOV 25</t>
        </is>
      </c>
      <c r="AV1897" t="n">
        <v>2020</v>
      </c>
      <c r="AW1897" t="n">
        <v>745</v>
      </c>
      <c r="BE1897" t="n">
        <v>140899</v>
      </c>
      <c r="BF1897" t="inlineStr">
        <is>
          <t>10.1016/j.scitotenv.2020.140899</t>
        </is>
      </c>
      <c r="BG1897">
        <f>HYPERLINK("http://dx.doi.org/10.1016/j.scitotenv.2020.140899","http://dx.doi.org/10.1016/j.scitotenv.2020.140899")</f>
        <v/>
      </c>
      <c r="BJ1897" t="n">
        <v>16</v>
      </c>
      <c r="BK1897" t="inlineStr">
        <is>
          <t>Environmental Sciences</t>
        </is>
      </c>
      <c r="BL1897" t="inlineStr">
        <is>
          <t>Science Citation Index Expanded (SCI-EXPANDED)</t>
        </is>
      </c>
      <c r="BM1897" t="inlineStr">
        <is>
          <t>Environmental Sciences &amp; Ecology</t>
        </is>
      </c>
      <c r="BN1897" t="inlineStr">
        <is>
          <t>OC7VL</t>
        </is>
      </c>
      <c r="BO1897" t="n">
        <v>32721614</v>
      </c>
      <c r="BP1897" t="inlineStr">
        <is>
          <t>Green Accepted</t>
        </is>
      </c>
      <c r="BS1897" t="inlineStr">
        <is>
          <t>2023-10-26</t>
        </is>
      </c>
      <c r="BT1897" t="inlineStr">
        <is>
          <t>WOS:000579365600093</t>
        </is>
      </c>
      <c r="BU1897">
        <f>HYPERLINK("https%3A%2F%2Fwww.webofscience.com%2Fwos%2Fwoscc%2Ffull-record%2FWOS:000579365600093","View Full Record in Web of Science")</f>
        <v/>
      </c>
    </row>
    <row r="1898">
      <c r="A1898" t="inlineStr">
        <is>
          <t>J</t>
        </is>
      </c>
      <c r="B1898" t="inlineStr">
        <is>
          <t>Smith, JW</t>
        </is>
      </c>
      <c r="F1898" t="inlineStr">
        <is>
          <t>Smith, Jordan W.</t>
        </is>
      </c>
      <c r="J1898" t="inlineStr">
        <is>
          <t>INTERNATIONAL JOURNAL OF ENVIRONMENTAL RESEARCH AND PUBLIC HEALTH</t>
        </is>
      </c>
      <c r="M1898" t="inlineStr">
        <is>
          <t>English</t>
        </is>
      </c>
      <c r="N1898" t="inlineStr">
        <is>
          <t>Review</t>
        </is>
      </c>
      <c r="T1898" t="inlineStr">
        <is>
          <t>Immersive Virtual Environment Technology to Supplement Environmental Perception, Preference and Behavior Research: A Review with Applications</t>
        </is>
      </c>
      <c r="U1898" t="inlineStr">
        <is>
          <t>ecological validity; experimental control; virtual reality; experimental research</t>
        </is>
      </c>
      <c r="V1898" t="inlineStr">
        <is>
          <t>PHYSICAL-ACTIVITY; SIMULATE ENVIRONMENTS; REALITY; TOOL; PLATFORMS; MAGNITUDE; VALIDITY; THERAPY; ANXIETY; OBESITY</t>
        </is>
      </c>
      <c r="W1898" t="inlineStr">
        <is>
          <t>Immersive virtual environment (IVE) technology offers a wide range of potential benefits to research focused on understanding how individuals perceive and respond to built and natural environments. In an effort to broaden awareness and use of IVE technology in perception, preference and behavior research, this review paper describes how IVE technology can be used to complement more traditional methods commonly applied in public health research. The paper also describes a relatively simple workflow for creating and displaying 360 degrees virtual environments of built and natural settings and presents two freely-available and customizable applications that scientists from a variety of disciplines, including public health, can use to advance their research into human preferences, perceptions and behaviors related to built and natural settings.</t>
        </is>
      </c>
      <c r="X1898" t="inlineStr">
        <is>
          <t>N Carolina State Univ, Ctr Geospatial Analyt, Raleigh, NC 27695 USA</t>
        </is>
      </c>
      <c r="Y1898" t="inlineStr">
        <is>
          <t>North Carolina State University</t>
        </is>
      </c>
      <c r="Z1898" t="inlineStr">
        <is>
          <t>Smith, JW (corresponding author), N Carolina State Univ, Ctr Geospatial Analyt, Raleigh, NC 27695 USA.</t>
        </is>
      </c>
      <c r="AA1898" t="inlineStr">
        <is>
          <t>jordan_smith@ncsu.edu</t>
        </is>
      </c>
      <c r="AB1898" t="inlineStr">
        <is>
          <t>Smith, Jordan/GVU-3480-2022; Smith, Jordan/AAR-9126-2021</t>
        </is>
      </c>
      <c r="AC1898" t="inlineStr">
        <is>
          <t>Smith, Jordan/0000-0001-7036-4887</t>
        </is>
      </c>
      <c r="AD1898" t="inlineStr">
        <is>
          <t>NC State University's College of Natural Resources</t>
        </is>
      </c>
      <c r="AE1898" t="inlineStr">
        <is>
          <t>NC State University's College of Natural Resources</t>
        </is>
      </c>
      <c r="AF1898" t="inlineStr">
        <is>
          <t>This work was supported by NC State University's College of Natural Resources. The author would like to thank Zac Arcaro, Makiko Shukunobe and Zahra Zamani for their contributions to this research.</t>
        </is>
      </c>
      <c r="AH1898" t="n">
        <v>66</v>
      </c>
      <c r="AI1898" t="n">
        <v>57</v>
      </c>
      <c r="AJ1898" t="n">
        <v>59</v>
      </c>
      <c r="AK1898" t="n">
        <v>6</v>
      </c>
      <c r="AL1898" t="n">
        <v>44</v>
      </c>
      <c r="AM1898" t="inlineStr">
        <is>
          <t>MDPI</t>
        </is>
      </c>
      <c r="AN1898" t="inlineStr">
        <is>
          <t>BASEL</t>
        </is>
      </c>
      <c r="AO1898" t="inlineStr">
        <is>
          <t>ST ALBAN-ANLAGE 66, CH-4052 BASEL, SWITZERLAND</t>
        </is>
      </c>
      <c r="AQ1898" t="inlineStr">
        <is>
          <t>1660-4601</t>
        </is>
      </c>
      <c r="AS1898" t="inlineStr">
        <is>
          <t>INT J ENV RES PUB HE</t>
        </is>
      </c>
      <c r="AT1898" t="inlineStr">
        <is>
          <t>Int. J. Environ. Res. Public Health</t>
        </is>
      </c>
      <c r="AU1898" t="inlineStr">
        <is>
          <t>SEP</t>
        </is>
      </c>
      <c r="AV1898" t="n">
        <v>2015</v>
      </c>
      <c r="AW1898" t="n">
        <v>12</v>
      </c>
      <c r="AX1898" t="n">
        <v>9</v>
      </c>
      <c r="BC1898" t="n">
        <v>11486</v>
      </c>
      <c r="BD1898" t="n">
        <v>11505</v>
      </c>
      <c r="BF1898" t="inlineStr">
        <is>
          <t>10.3390/ijerph120911486</t>
        </is>
      </c>
      <c r="BG1898">
        <f>HYPERLINK("http://dx.doi.org/10.3390/ijerph120911486","http://dx.doi.org/10.3390/ijerph120911486")</f>
        <v/>
      </c>
      <c r="BJ1898" t="n">
        <v>20</v>
      </c>
      <c r="BK1898" t="inlineStr">
        <is>
          <t>Environmental Sciences; Public, Environmental &amp; Occupational Health</t>
        </is>
      </c>
      <c r="BL1898" t="inlineStr">
        <is>
          <t>Science Citation Index Expanded (SCI-EXPANDED); Social Science Citation Index (SSCI)</t>
        </is>
      </c>
      <c r="BM1898" t="inlineStr">
        <is>
          <t>Environmental Sciences &amp; Ecology; Public, Environmental &amp; Occupational Health</t>
        </is>
      </c>
      <c r="BN1898" t="inlineStr">
        <is>
          <t>CS2HF</t>
        </is>
      </c>
      <c r="BO1898" t="n">
        <v>26378565</v>
      </c>
      <c r="BP1898" t="inlineStr">
        <is>
          <t>Green Submitted, Green Published, gold</t>
        </is>
      </c>
      <c r="BS1898" t="inlineStr">
        <is>
          <t>2023-10-26</t>
        </is>
      </c>
      <c r="BT1898" t="inlineStr">
        <is>
          <t>WOS:000361889100063</t>
        </is>
      </c>
      <c r="BU1898">
        <f>HYPERLINK("https%3A%2F%2Fwww.webofscience.com%2Fwos%2Fwoscc%2Ffull-record%2FWOS:000361889100063","View Full Record in Web of Science")</f>
        <v/>
      </c>
    </row>
    <row r="1899">
      <c r="A1899" t="inlineStr">
        <is>
          <t>J</t>
        </is>
      </c>
      <c r="B1899" t="inlineStr">
        <is>
          <t>Zhang, N; Liu, L; Dou, ZY; Liu, XY; Yang, XZ; Miao, DD; Guo, Y; Gu, SL; Li, YG; Qian, H; Wei, JJ</t>
        </is>
      </c>
      <c r="F1899" t="inlineStr">
        <is>
          <t>Zhang, Nan; Liu, Li; Dou, Zhiyang; Liu, Xiyue; Yang, Xueze; Miao, Doudou; Guo, Yong; Gu, Silan; Li, Yuguo; Qian, Hua; Wei, Jianjian</t>
        </is>
      </c>
      <c r="J1899" t="inlineStr">
        <is>
          <t>JOURNAL OF HAZARDOUS MATERIALS</t>
        </is>
      </c>
      <c r="M1899" t="inlineStr">
        <is>
          <t>English</t>
        </is>
      </c>
      <c r="N1899" t="inlineStr">
        <is>
          <t>Article</t>
        </is>
      </c>
      <c r="T1899" t="inlineStr">
        <is>
          <t>Close contact behaviors of university and school students in 10 indoor environments</t>
        </is>
      </c>
      <c r="U1899" t="inlineStr">
        <is>
          <t>Coronavirus disease 2019; Close contact; Inhalation; Deposition; Aerosol exposure</t>
        </is>
      </c>
      <c r="V1899" t="inlineStr">
        <is>
          <t>TRANSMISSION; COVID-19; OUTBREAK</t>
        </is>
      </c>
      <c r="W1899" t="inlineStr">
        <is>
          <t>Close contact routes, including short-range airborne and large-droplet routes, play an important role in the transmission of SARS-CoV-2 in indoor environments. However, the exposure risk of such routes is difficult to quantify due to the lack of data on the close contact behavior of individuals. In this study, a digital wearable device, based on semi-supervised learning, was developed to automatically record human close contact behavior. We collected 337,056 s of indoor close contact of school and university students from 194.5 h of depth video recordings in 10 types of indoor environments. The correlation between aerosol exposure and close contact behaviors was then evaluated. Individuals in restaurants had the highest close contact ratio (64%), as well as the highest probability of face-to-face pattern (78%) during close contact. Accordingly, university students showed greater exposure potential in dormitories than school students in homes, however, a lower exposure was observed in classrooms and postgraduate student offices in comparison with school students in classrooms. In addition, restaurants had the highest aerosol exposure volume for both short-range inhalation and direct deposition on the facial mucosa. Thus, the classroom was established as the primary indoor environment where school students are exposed to aerosols.</t>
        </is>
      </c>
      <c r="X1899" t="inlineStr">
        <is>
          <t>[Zhang, Nan; Liu, Xiyue; Yang, Xueze; Miao, Doudou] Beijing Univ Technol, Beijing Key Lab Green Built Environm &amp; Energy Effi, Beijing, Peoples R China; [Liu, Li] Tsinghua Univ, Sch Architecture, Beijing, Peoples R China; [Dou, Zhiyang] Univ Hong Kong, Dept Comp Sci, Hong Kong, Peoples R China; [Guo, Yong] Tsinghua Univ, Dept Bldg Sci, Beijing, Peoples R China; [Gu, Silan] Zhejiang Univ, Thee Affiliated Hosp 1, Coll Med, Hangzhou, Peoples R China; [Li, Yuguo] Univ Hong Kong, Dept Mech Engn, Hong Kong, Peoples R China; [Qian, Hua] Southeast Univ, Sch Energy &amp; Environm, Nanjing, Peoples R China; [Wei, Jianjian] Zhejiang Univ, Inst Refrigerat &amp; Cryogen, Key Lab Refrigerat &amp; Cryogen Technol Zhejiang Prov, Room 309,39 Zheda Rd, Hangzhou, Peoples R China</t>
        </is>
      </c>
      <c r="Y1899" t="inlineStr">
        <is>
          <t>Beijing University of Technology; Tsinghua University; University of Hong Kong; Tsinghua University; Zhejiang University; University of Hong Kong; Southeast University - China; Zhejiang University</t>
        </is>
      </c>
      <c r="Z1899" t="inlineStr">
        <is>
          <t>Wei, JJ (corresponding author), Zhejiang Univ, Inst Refrigerat &amp; Cryogen, Key Lab Refrigerat &amp; Cryogen Technol Zhejiang Prov, Room 309,39 Zheda Rd, Hangzhou, Peoples R China.</t>
        </is>
      </c>
      <c r="AA1899" t="inlineStr">
        <is>
          <t>weijzju@zju.edu.cn</t>
        </is>
      </c>
      <c r="AB1899" t="inlineStr">
        <is>
          <t>Dou, Zhiyang/JED-8952-2023; LIU, Li/ADH-2092-2022; QIAN, Hua/A-1410-2009</t>
        </is>
      </c>
      <c r="AC1899" t="inlineStr">
        <is>
          <t>Dou, Zhiyang/0000-0003-0186-8269; LIU, Li/0000-0001-8512-8676; QIAN, Hua/0000-0002-7237-7806</t>
        </is>
      </c>
      <c r="AD1899" t="inlineStr">
        <is>
          <t>National Natural Science Foundation of China [52108067, 52178092]</t>
        </is>
      </c>
      <c r="AE1899" t="inlineStr">
        <is>
          <t>National Natural Science Foundation of China(National Natural Science Foundation of China (NSFC))</t>
        </is>
      </c>
      <c r="AF1899" t="inlineStr">
        <is>
          <t>Acknowledgements This work was supported by the National Natural Science Foundation of China (grant numbers: 52108067 &amp; 52178092) .</t>
        </is>
      </c>
      <c r="AH1899" t="n">
        <v>50</v>
      </c>
      <c r="AI1899" t="n">
        <v>0</v>
      </c>
      <c r="AJ1899" t="n">
        <v>0</v>
      </c>
      <c r="AK1899" t="n">
        <v>7</v>
      </c>
      <c r="AL1899" t="n">
        <v>7</v>
      </c>
      <c r="AM1899" t="inlineStr">
        <is>
          <t>ELSEVIER</t>
        </is>
      </c>
      <c r="AN1899" t="inlineStr">
        <is>
          <t>AMSTERDAM</t>
        </is>
      </c>
      <c r="AO1899" t="inlineStr">
        <is>
          <t>RADARWEG 29, 1043 NX AMSTERDAM, NETHERLANDS</t>
        </is>
      </c>
      <c r="AP1899" t="inlineStr">
        <is>
          <t>0304-3894</t>
        </is>
      </c>
      <c r="AQ1899" t="inlineStr">
        <is>
          <t>1873-3336</t>
        </is>
      </c>
      <c r="AS1899" t="inlineStr">
        <is>
          <t>J HAZARD MATER</t>
        </is>
      </c>
      <c r="AT1899" t="inlineStr">
        <is>
          <t>J. Hazard. Mater.</t>
        </is>
      </c>
      <c r="AU1899" t="inlineStr">
        <is>
          <t>SEP 15</t>
        </is>
      </c>
      <c r="AV1899" t="n">
        <v>2023</v>
      </c>
      <c r="AW1899" t="n">
        <v>458</v>
      </c>
      <c r="BE1899" t="n">
        <v>132069</v>
      </c>
      <c r="BF1899" t="inlineStr">
        <is>
          <t>10.1016/j.jhazmat.2023.132069</t>
        </is>
      </c>
      <c r="BG1899">
        <f>HYPERLINK("http://dx.doi.org/10.1016/j.jhazmat.2023.132069","http://dx.doi.org/10.1016/j.jhazmat.2023.132069")</f>
        <v/>
      </c>
      <c r="BJ1899" t="n">
        <v>11</v>
      </c>
      <c r="BK1899" t="inlineStr">
        <is>
          <t>Engineering, Environmental; Environmental Sciences</t>
        </is>
      </c>
      <c r="BL1899" t="inlineStr">
        <is>
          <t>Science Citation Index Expanded (SCI-EXPANDED)</t>
        </is>
      </c>
      <c r="BM1899" t="inlineStr">
        <is>
          <t>Engineering; Environmental Sciences &amp; Ecology</t>
        </is>
      </c>
      <c r="BN1899" t="inlineStr">
        <is>
          <t>O4UJ6</t>
        </is>
      </c>
      <c r="BO1899" t="n">
        <v>37463561</v>
      </c>
      <c r="BS1899" t="inlineStr">
        <is>
          <t>2023-10-26</t>
        </is>
      </c>
      <c r="BT1899" t="inlineStr">
        <is>
          <t>WOS:001043777700001</t>
        </is>
      </c>
      <c r="BU1899">
        <f>HYPERLINK("https%3A%2F%2Fwww.webofscience.com%2Fwos%2Fwoscc%2Ffull-record%2FWOS:001043777700001","View Full Record in Web of Science")</f>
        <v/>
      </c>
    </row>
    <row r="1900">
      <c r="A1900" t="inlineStr">
        <is>
          <t>J</t>
        </is>
      </c>
      <c r="B1900" t="inlineStr">
        <is>
          <t>Schalau, S; Habib, A; Michel, S</t>
        </is>
      </c>
      <c r="F1900" t="inlineStr">
        <is>
          <t>Schalau, Sebastian; Habib, Abdelkarim; Michel, Simon</t>
        </is>
      </c>
      <c r="J1900" t="inlineStr">
        <is>
          <t>ATMOSPHERE</t>
        </is>
      </c>
      <c r="M1900" t="inlineStr">
        <is>
          <t>English</t>
        </is>
      </c>
      <c r="N1900" t="inlineStr">
        <is>
          <t>Article</t>
        </is>
      </c>
      <c r="T1900" t="inlineStr">
        <is>
          <t>A Modified k-ε Turbulence Model for Heavy Gas Dispersion in Built-Up Environment</t>
        </is>
      </c>
      <c r="U1900" t="inlineStr">
        <is>
          <t>atmospheric boundary layer; OpenFOAM; heavy gas; gas dispersion; CFD; turbulence model; hazard assessment; built-up environment</t>
        </is>
      </c>
      <c r="V1900" t="inlineStr">
        <is>
          <t>ATMOSPHERIC BOUNDARY-LAYER; PERFORMANCE</t>
        </is>
      </c>
      <c r="W1900" t="inlineStr">
        <is>
          <t>For hazard assessment purposes, the dispersion of gases in complex urban areas is often a scenario to be considered. However, predicting the dispersion of heavy gases is still a challenge. In Germany, the VDI Guideline 3783, Part 1 and 2 is widely used for gas dispersion modelling. Whilst Part 1 uses a gauss model for calculating the dispersion of light or neutrally buoyant gases, Part 2 uses wind tunnel experiments to evaluate the heavier-than-air gas dispersion in generic built up areas. In practice, with this guideline, it is often not possible to adequately represent the existing obstacle configuration. To overcome this limitation, computational fluid dynamics (CFD) methods could be used. Whilst CFD models can represent obstacles in the dispersion area correctly, actual publications show that there is still further research needed to simulate the atmospheric flow and the heavy gas dispersion. This paper presents a modified k-epsilon-turbulence model that was developed in OpenFOAM v5.0 (England, London, The OpenFOAM Foundation Ltd Incorporated) to enhance the simulation of the atmospheric wind field and the heavy gas dispersion in built-up areas. Wind tunnel measurements for the dispersion of neutrally buoyant and heavy gases in built-up environments were used to evaluate the model. As a result, requirements for the simulation of the gas dispersion under atmospheric conditions have been identified and the model showed an overall good performance in predicting the experimental values.</t>
        </is>
      </c>
      <c r="X1900" t="inlineStr">
        <is>
          <t>[Schalau, Sebastian; Habib, Abdelkarim] Bundesanstalt Materialforsch &amp; Prufung BAM, D-12205 Berlin, Germany; [Michel, Simon] Univ Hamburg, Meteorol Inst, Ctr Earth Syst Res &amp; Sustainabil, Environm Wind Tunnel Lab EWTL, D-20146 Hamburg, Germany</t>
        </is>
      </c>
      <c r="Y1900" t="inlineStr">
        <is>
          <t>Federal Institute for Materials Research &amp; Testing; University of Hamburg</t>
        </is>
      </c>
      <c r="Z1900" t="inlineStr">
        <is>
          <t>Schalau, S (corresponding author), Bundesanstalt Materialforsch &amp; Prufung BAM, D-12205 Berlin, Germany.</t>
        </is>
      </c>
      <c r="AA1900" t="inlineStr">
        <is>
          <t>sebastian.schalau@bam.de</t>
        </is>
      </c>
      <c r="AD1900" t="inlineStr">
        <is>
          <t>German Federation of Industrial Research Associations (AiF) within Federal Ministry for Economic Affairs and Energy [20719]</t>
        </is>
      </c>
      <c r="AE1900" t="inlineStr">
        <is>
          <t>German Federation of Industrial Research Associations (AiF) within Federal Ministry for Economic Affairs and Energy</t>
        </is>
      </c>
      <c r="AF1900" t="inlineStr">
        <is>
          <t>The IGF-Project No.: 20719 BG of the Research Association Society for Chemical Engineering and Biotechnology (DECHEMA), Theodor-Heuss-Allee 25, 60486 Frankfurt am Main, was funded by the German Federation of Industrial Research Associations (AiF) within the framework of the Industrial Collective Research (IGF) support program by the Federal Ministry for Economic Affairs and Energy due to a decision of the German Bundestag.</t>
        </is>
      </c>
      <c r="AH1900" t="n">
        <v>28</v>
      </c>
      <c r="AI1900" t="n">
        <v>1</v>
      </c>
      <c r="AJ1900" t="n">
        <v>1</v>
      </c>
      <c r="AK1900" t="n">
        <v>3</v>
      </c>
      <c r="AL1900" t="n">
        <v>4</v>
      </c>
      <c r="AM1900" t="inlineStr">
        <is>
          <t>MDPI</t>
        </is>
      </c>
      <c r="AN1900" t="inlineStr">
        <is>
          <t>BASEL</t>
        </is>
      </c>
      <c r="AO1900" t="inlineStr">
        <is>
          <t>ST ALBAN-ANLAGE 66, CH-4052 BASEL, SWITZERLAND</t>
        </is>
      </c>
      <c r="AQ1900" t="inlineStr">
        <is>
          <t>2073-4433</t>
        </is>
      </c>
      <c r="AS1900" t="inlineStr">
        <is>
          <t>ATMOSPHERE-BASEL</t>
        </is>
      </c>
      <c r="AT1900" t="inlineStr">
        <is>
          <t>Atmosphere</t>
        </is>
      </c>
      <c r="AU1900" t="inlineStr">
        <is>
          <t>JAN</t>
        </is>
      </c>
      <c r="AV1900" t="n">
        <v>2023</v>
      </c>
      <c r="AW1900" t="n">
        <v>14</v>
      </c>
      <c r="AX1900" t="n">
        <v>1</v>
      </c>
      <c r="BE1900" t="n">
        <v>161</v>
      </c>
      <c r="BF1900" t="inlineStr">
        <is>
          <t>10.3390/atmos14010161</t>
        </is>
      </c>
      <c r="BG1900">
        <f>HYPERLINK("http://dx.doi.org/10.3390/atmos14010161","http://dx.doi.org/10.3390/atmos14010161")</f>
        <v/>
      </c>
      <c r="BJ1900" t="n">
        <v>21</v>
      </c>
      <c r="BK1900" t="inlineStr">
        <is>
          <t>Environmental Sciences; Meteorology &amp; Atmospheric Sciences</t>
        </is>
      </c>
      <c r="BL1900" t="inlineStr">
        <is>
          <t>Science Citation Index Expanded (SCI-EXPANDED)</t>
        </is>
      </c>
      <c r="BM1900" t="inlineStr">
        <is>
          <t>Environmental Sciences &amp; Ecology; Meteorology &amp; Atmospheric Sciences</t>
        </is>
      </c>
      <c r="BN1900" t="inlineStr">
        <is>
          <t>8B3FM</t>
        </is>
      </c>
      <c r="BP1900" t="inlineStr">
        <is>
          <t>gold</t>
        </is>
      </c>
      <c r="BS1900" t="inlineStr">
        <is>
          <t>2023-10-26</t>
        </is>
      </c>
      <c r="BT1900" t="inlineStr">
        <is>
          <t>WOS:000916812300001</t>
        </is>
      </c>
      <c r="BU1900">
        <f>HYPERLINK("https%3A%2F%2Fwww.webofscience.com%2Fwos%2Fwoscc%2Ffull-record%2FWOS:000916812300001","View Full Record in Web of Science")</f>
        <v/>
      </c>
    </row>
    <row r="1901">
      <c r="A1901" t="inlineStr">
        <is>
          <t>J</t>
        </is>
      </c>
      <c r="B1901" t="inlineStr">
        <is>
          <t>Zhang, HF; Liu, LX; Zeng, Y; Liu, MM; Bi, J; Ji, JS</t>
        </is>
      </c>
      <c r="F1901" t="inlineStr">
        <is>
          <t>Zhang, Haofan; Liu, Linxin; Zeng, Yi; Liu, Miaomiao; Bi, Jun; Ji, John S.</t>
        </is>
      </c>
      <c r="J1901" t="inlineStr">
        <is>
          <t>ENVIRONMENTAL POLLUTION</t>
        </is>
      </c>
      <c r="M1901" t="inlineStr">
        <is>
          <t>English</t>
        </is>
      </c>
      <c r="N1901" t="inlineStr">
        <is>
          <t>Article</t>
        </is>
      </c>
      <c r="T1901" t="inlineStr">
        <is>
          <t>Effect of heatwaves and greenness on mortality among Chinese older adults*</t>
        </is>
      </c>
      <c r="U1901" t="inlineStr">
        <is>
          <t>Heatwaves; Mortality; Combined exposure; Older adults; Climate; Environmental epidemiology; Temperature; Urban; Rural; Greenness</t>
        </is>
      </c>
      <c r="V1901" t="inlineStr">
        <is>
          <t>HEART-RATE-VARIABILITY; LONG-TERM EXPOSURE; PUBLIC-HEALTH; EXTREME HEAT; TEMPERATURE; URBAN; SPACES; VEGETATION; SUMMER; WAVES</t>
        </is>
      </c>
      <c r="W1901" t="inlineStr">
        <is>
          <t>Heatwaves and greenness have been shown to affect health, but the evidence on their joint effects is limited. We aim to assess the associations of the combined exposure to greenness and heatwaves. We utilized five waves (February 2000-October 2014) of the Chinese Longitudinal Healthy Longevity Survey (CLHLS), a prospective cohort of older adults aged 65. We defined heatwaves as the daily maximum temperature &gt;92.5th percentile with duration &gt;3 days. We calculated the number of heatwave days in one year before death to and cumulative Normalized Difference Vegetation Index (NDVI) during follow-up to assess individual long-term exposure to heatwaves and greenness. Cox proportional hazards models were used to assess the effects of greenness, heatwaves, and their interaction on mortality, adjusted for covariates. We conducted subgroup analyses by residence, gender, and age. There were 20,758 participants in our study, totaling 67,312 person-years of follow-up. The mean NDVI was 0.41 (SD 0.13), and the mean number of heatwave days was 8.92 (2.04). In the adjusted model, the mortality hazard ratio (HR) for each 3-day increase in heatwave days was 1.04 (95% CI 1.04, 1.05), each 0.1unit decrease in cumulative NDVI was 1.06 (1.05, 1.07). In the adjusted model with an interaction term, the HR for the interaction term was 1.01 (1.01, 1.02) with a p-value less than 0.001. In our subgroup analyses, the HR for each 3-day increase in heatwave days was higher in urban areas than in rural areas (1.06 vs. 1.03), and the HR for 0.1-unit decrease in NDVI was higher in urban areas than in rural areas (1.08 vs. 1.04). Greenness can protect against the effect of heatwaves on mortality, and heatwaves affect the health effects of greenness. Urban dwellers have a higher response to the detrimental effect of heatwaves and a higher marginal benefit from greenness exposure.</t>
        </is>
      </c>
      <c r="X1901" t="inlineStr">
        <is>
          <t>[Zhang, Haofan; Liu, Miaomiao; Bi, Jun] Nanjing Univ, Sch Environm, State Key Lab Pollut Control &amp; Resource Reuse, Nanjing, Peoples R China; [Zhang, Haofan; Liu, Linxin] Duke Kunshan Univ, Environm Res Ctr, Kunshan, Jiangsu, Peoples R China; [Zeng, Yi] Duke Med Sch, Ctr Study Aging &amp; Human Dev, Durham, NC USA; [Zeng, Yi] Peking Univ, Natl Sch Dev, Ctr Hlth Aging &amp; Dev Studies, Beijing, Peoples R China; [Ji, John S.] Tsinghua Univ, Vanke Sch Publ Hlth, Beijing, Peoples R China</t>
        </is>
      </c>
      <c r="Y1901" t="inlineStr">
        <is>
          <t>Nanjing University; Duke Kunshan University; Duke University; Peking University; Tsinghua University</t>
        </is>
      </c>
      <c r="Z1901" t="inlineStr">
        <is>
          <t>Ji, JS (corresponding author), Tsinghua Univ, Vanke Sch Publ Hlth, Beijing, Peoples R China.</t>
        </is>
      </c>
      <c r="AA1901" t="inlineStr">
        <is>
          <t>zhanghf@smail.nju.edu.cn; linxin.liu@dukekunshan.edu.cn; zengyi@nsd.pku.edu.cn; liumm@nju.edu.cn; jbi@nju.edu.cn; johnji@mail.tsinghua.edu.cn</t>
        </is>
      </c>
      <c r="AB1901" t="inlineStr">
        <is>
          <t>Ji, John S./AAT-4219-2021</t>
        </is>
      </c>
      <c r="AC1901" t="inlineStr">
        <is>
          <t>Ji, John S./0000-0002-5002-118X; Liu, Miaomiao/0000-0002-9043-3584</t>
        </is>
      </c>
      <c r="AD1901" t="inlineStr">
        <is>
          <t>National Key R&amp;D Program of China [2018YFC2000400]; National Natural Science Foundation of China [72061137004]; U.S. National Institute of Aging of Na-tional Institute of Health [P01AG031719]; Natural Science Foun-dation of Jiangsu Province [BK20180350]</t>
        </is>
      </c>
      <c r="AE1901" t="inlineStr">
        <is>
          <t>National Key R&amp;D Program of China; National Natural Science Foundation of China(National Natural Science Foundation of China (NSFC)); U.S. National Institute of Aging of Na-tional Institute of Health; Natural Science Foun-dation of Jiangsu Province(Natural Science Foundation of Jiangsu Province)</t>
        </is>
      </c>
      <c r="AF1901" t="inlineStr">
        <is>
          <t>This research is supported by the National Key R&amp;D Program of China (2018YFC2000400) , National Natural Science Foundation of China (72061137004) , and the U.S. National Institute of Aging of Na-tional Institute of Health (P01AG031719) , the Natural Science Foun-dation of Jiangsu Province (Grant BK20180350) .</t>
        </is>
      </c>
      <c r="AH1901" t="n">
        <v>58</v>
      </c>
      <c r="AI1901" t="n">
        <v>8</v>
      </c>
      <c r="AJ1901" t="n">
        <v>8</v>
      </c>
      <c r="AK1901" t="n">
        <v>8</v>
      </c>
      <c r="AL1901" t="n">
        <v>42</v>
      </c>
      <c r="AM1901" t="inlineStr">
        <is>
          <t>ELSEVIER SCI LTD</t>
        </is>
      </c>
      <c r="AN1901" t="inlineStr">
        <is>
          <t>OXFORD</t>
        </is>
      </c>
      <c r="AO1901" t="inlineStr">
        <is>
          <t>THE BOULEVARD, LANGFORD LANE, KIDLINGTON, OXFORD OX5 1GB, OXON, ENGLAND</t>
        </is>
      </c>
      <c r="AP1901" t="inlineStr">
        <is>
          <t>0269-7491</t>
        </is>
      </c>
      <c r="AQ1901" t="inlineStr">
        <is>
          <t>1873-6424</t>
        </is>
      </c>
      <c r="AS1901" t="inlineStr">
        <is>
          <t>ENVIRON POLLUT</t>
        </is>
      </c>
      <c r="AT1901" t="inlineStr">
        <is>
          <t>Environ. Pollut.</t>
        </is>
      </c>
      <c r="AU1901" t="inlineStr">
        <is>
          <t>DEC 1</t>
        </is>
      </c>
      <c r="AV1901" t="n">
        <v>2021</v>
      </c>
      <c r="AW1901" t="n">
        <v>290</v>
      </c>
      <c r="BE1901" t="n">
        <v>118009</v>
      </c>
      <c r="BF1901" t="inlineStr">
        <is>
          <t>10.1016/j.envpol.2021.118009</t>
        </is>
      </c>
      <c r="BG1901">
        <f>HYPERLINK("http://dx.doi.org/10.1016/j.envpol.2021.118009","http://dx.doi.org/10.1016/j.envpol.2021.118009")</f>
        <v/>
      </c>
      <c r="BI1901" t="inlineStr">
        <is>
          <t>SEP 2021</t>
        </is>
      </c>
      <c r="BJ1901" t="n">
        <v>10</v>
      </c>
      <c r="BK1901" t="inlineStr">
        <is>
          <t>Environmental Sciences</t>
        </is>
      </c>
      <c r="BL1901" t="inlineStr">
        <is>
          <t>Science Citation Index Expanded (SCI-EXPANDED)</t>
        </is>
      </c>
      <c r="BM1901" t="inlineStr">
        <is>
          <t>Environmental Sciences &amp; Ecology</t>
        </is>
      </c>
      <c r="BN1901" t="inlineStr">
        <is>
          <t>UR5JC</t>
        </is>
      </c>
      <c r="BO1901" t="n">
        <v>34523521</v>
      </c>
      <c r="BS1901" t="inlineStr">
        <is>
          <t>2023-10-26</t>
        </is>
      </c>
      <c r="BT1901" t="inlineStr">
        <is>
          <t>WOS:000696784600005</t>
        </is>
      </c>
      <c r="BU1901">
        <f>HYPERLINK("https%3A%2F%2Fwww.webofscience.com%2Fwos%2Fwoscc%2Ffull-record%2FWOS:000696784600005","View Full Record in Web of Science")</f>
        <v/>
      </c>
    </row>
    <row r="1902">
      <c r="A1902" t="inlineStr">
        <is>
          <t>J</t>
        </is>
      </c>
      <c r="B1902" t="inlineStr">
        <is>
          <t>Huang, Y; Sum, RKW; Yang, YJ; Yeung, NCY</t>
        </is>
      </c>
      <c r="F1902" t="inlineStr">
        <is>
          <t>Huang, Yan; Sum, Raymond K. W.; Yang, Yi-Jian; Yeung, Nelson C. Y.</t>
        </is>
      </c>
      <c r="J1902" t="inlineStr">
        <is>
          <t>INTERNATIONAL JOURNAL OF ENVIRONMENTAL RESEARCH AND PUBLIC HEALTH</t>
        </is>
      </c>
      <c r="M1902" t="inlineStr">
        <is>
          <t>English</t>
        </is>
      </c>
      <c r="N1902" t="inlineStr">
        <is>
          <t>Article</t>
        </is>
      </c>
      <c r="T1902" t="inlineStr">
        <is>
          <t>Physical Competence, Physical Well-Being, and Perceived Physical Literacy among Older Adults in Day Care Centers of Hong Kong</t>
        </is>
      </c>
      <c r="U1902" t="inlineStr">
        <is>
          <t>physical competence; physical well-being; perceived physical literacy; older adults; day care center; The COVID-19 pandemic</t>
        </is>
      </c>
      <c r="V1902" t="inlineStr">
        <is>
          <t>QUALITY-OF-LIFE; PERFORMANCE BATTERY; POPULATION; EXERCISE; BENEFITS; SERVICES</t>
        </is>
      </c>
      <c r="W1902" t="inlineStr">
        <is>
          <t>In Hong Kong, where the aging problem is inevitable, it is increasingly common for older adults to be admitted to day care centers. However, there has been limited research exploring conceivable indicators of healthy aging among older adults in such settings. The present study investigated the associations among the three indicators (physical competence, physical well-being, and perceived physical literacy) among older adults in day care centers of Hong Kong. A total of 97 participants (aged 60 years old or above) participated in the study from April to July 2021 amid the COVID-19 pandemic. Data on participants' sociodemographic information, physical competence (PC), physical well-being (PWB), and perceived physical literacy (PPL) were collected. Our results showed that the level of PC reached a high level among the participants. Positive correlations were found between PC and PWB and between PPL and PWB (r = 0.22-0.23, p &lt; 0.05). However, PC was not associated with PPL (r = 0.11, p &gt; 0.05). In addition, as a component within PPL, knowledge and understanding (KU) was found to be correlated with PC (r = 0.21, p &lt; 0.05) and had a positive and moderate correlation with PWB (r = 0.35, p &lt; 0.01). The results suggest that older adults admitted to day care centers maintain and enhance their physical competence to improve their physical well-being. Greater knowledge and understanding of physical literacy and physical health should be delivered among day care centers considering future development.</t>
        </is>
      </c>
      <c r="X1902" t="inlineStr">
        <is>
          <t>[Huang, Yan; Sum, Raymond K. W.; Yang, Yi-Jian] Chinese Univ Hong Kong, Dept Sports Sci &amp; Phys Educ, Hong Kong 999077, Peoples R China; [Yeung, Nelson C. Y.] Chinese Univ Hong Kong, Jockey Club Sch Publ Hlth &amp; Primary Care, Hong Kong 999077, Peoples R China</t>
        </is>
      </c>
      <c r="Y1902" t="inlineStr">
        <is>
          <t>Chinese University of Hong Kong; Chinese University of Hong Kong</t>
        </is>
      </c>
      <c r="Z1902" t="inlineStr">
        <is>
          <t>Sum, RKW (corresponding author), Chinese Univ Hong Kong, Dept Sports Sci &amp; Phys Educ, Hong Kong 999077, Peoples R China.</t>
        </is>
      </c>
      <c r="AA1902" t="inlineStr">
        <is>
          <t>hayleyhy@link.cuhk.edu.hk; kwsum@cuhk.edu.hk; yyang@cuhk.edu.hk; nelsonyeung@cuhk.edu.hk</t>
        </is>
      </c>
      <c r="AB1902" t="inlineStr">
        <is>
          <t>Huang, Yan/JAX-3509-2023; Yang, Yijian/G-1580-2016; Sum, Raymond/N-4019-2015</t>
        </is>
      </c>
      <c r="AC1902" t="inlineStr">
        <is>
          <t>Huang, Yan/0000-0001-6395-685X; Yang, Yijian/0000-0002-5831-186X; Yeung, Nelson C. Y./0000-0003-1375-9086; Sum, Raymond/0000-0002-4051-9945</t>
        </is>
      </c>
      <c r="AD1902" t="inlineStr">
        <is>
          <t>Chinese University of Hong Kong [8146029]</t>
        </is>
      </c>
      <c r="AE1902" t="inlineStr">
        <is>
          <t>Chinese University of Hong Kong(Chinese University of Hong Kong)</t>
        </is>
      </c>
      <c r="AF1902" t="inlineStr">
        <is>
          <t>This research was funded by [Knowledge Transfer Project Fund], The Chinese University of Hong Kong, grant number [8146029].</t>
        </is>
      </c>
      <c r="AH1902" t="n">
        <v>50</v>
      </c>
      <c r="AI1902" t="n">
        <v>1</v>
      </c>
      <c r="AJ1902" t="n">
        <v>1</v>
      </c>
      <c r="AK1902" t="n">
        <v>2</v>
      </c>
      <c r="AL1902" t="n">
        <v>7</v>
      </c>
      <c r="AM1902" t="inlineStr">
        <is>
          <t>MDPI</t>
        </is>
      </c>
      <c r="AN1902" t="inlineStr">
        <is>
          <t>BASEL</t>
        </is>
      </c>
      <c r="AO1902" t="inlineStr">
        <is>
          <t>ST ALBAN-ANLAGE 66, CH-4052 BASEL, SWITZERLAND</t>
        </is>
      </c>
      <c r="AQ1902" t="inlineStr">
        <is>
          <t>1660-4601</t>
        </is>
      </c>
      <c r="AS1902" t="inlineStr">
        <is>
          <t>INT J ENV RES PUB HE</t>
        </is>
      </c>
      <c r="AT1902" t="inlineStr">
        <is>
          <t>Int. J. Environ. Res. Public Health</t>
        </is>
      </c>
      <c r="AU1902" t="inlineStr">
        <is>
          <t>APR</t>
        </is>
      </c>
      <c r="AV1902" t="n">
        <v>2022</v>
      </c>
      <c r="AW1902" t="n">
        <v>19</v>
      </c>
      <c r="AX1902" t="n">
        <v>7</v>
      </c>
      <c r="BE1902" t="n">
        <v>3851</v>
      </c>
      <c r="BF1902" t="inlineStr">
        <is>
          <t>10.3390/ijerph19073851</t>
        </is>
      </c>
      <c r="BG1902">
        <f>HYPERLINK("http://dx.doi.org/10.3390/ijerph19073851","http://dx.doi.org/10.3390/ijerph19073851")</f>
        <v/>
      </c>
      <c r="BJ1902" t="n">
        <v>9</v>
      </c>
      <c r="BK1902" t="inlineStr">
        <is>
          <t>Environmental Sciences; Public, Environmental &amp; Occupational Health</t>
        </is>
      </c>
      <c r="BL1902" t="inlineStr">
        <is>
          <t>Science Citation Index Expanded (SCI-EXPANDED); Social Science Citation Index (SSCI)</t>
        </is>
      </c>
      <c r="BM1902" t="inlineStr">
        <is>
          <t>Environmental Sciences &amp; Ecology; Public, Environmental &amp; Occupational Health</t>
        </is>
      </c>
      <c r="BN1902" t="inlineStr">
        <is>
          <t>0K9FN</t>
        </is>
      </c>
      <c r="BO1902" t="n">
        <v>35409534</v>
      </c>
      <c r="BP1902" t="inlineStr">
        <is>
          <t>Green Published, gold</t>
        </is>
      </c>
      <c r="BS1902" t="inlineStr">
        <is>
          <t>2023-10-26</t>
        </is>
      </c>
      <c r="BT1902" t="inlineStr">
        <is>
          <t>WOS:000781092900001</t>
        </is>
      </c>
      <c r="BU1902">
        <f>HYPERLINK("https%3A%2F%2Fwww.webofscience.com%2Fwos%2Fwoscc%2Ffull-record%2FWOS:000781092900001","View Full Record in Web of Science")</f>
        <v/>
      </c>
    </row>
    <row r="1903">
      <c r="A1903" t="inlineStr">
        <is>
          <t>J</t>
        </is>
      </c>
      <c r="B1903" t="inlineStr">
        <is>
          <t>Tseng, CF; Lee, SH; Hsieh, TC; Lee, RP</t>
        </is>
      </c>
      <c r="F1903" t="inlineStr">
        <is>
          <t>Tseng, Chi-Fen; Lee, Shao-Huai; Hsieh, Tsung-Cheng; Lee, Ru-Ping</t>
        </is>
      </c>
      <c r="J1903" t="inlineStr">
        <is>
          <t>INTERNATIONAL JOURNAL OF ENVIRONMENTAL RESEARCH AND PUBLIC HEALTH</t>
        </is>
      </c>
      <c r="M1903" t="inlineStr">
        <is>
          <t>English</t>
        </is>
      </c>
      <c r="N1903" t="inlineStr">
        <is>
          <t>Article</t>
        </is>
      </c>
      <c r="T1903" t="inlineStr">
        <is>
          <t>Smart Restored by Learning Exercise Alleviates the Deterioration of Cognitive Function in Older Adults with DementiaA Quasi-Experimental Research</t>
        </is>
      </c>
      <c r="U1903" t="inlineStr">
        <is>
          <t>older adults with dementia; cognitive function; neuropsychiatric symptoms; frontal lobe function</t>
        </is>
      </c>
      <c r="V1903" t="inlineStr">
        <is>
          <t>NEUROPSYCHIATRIC INVENTORY; PSYCHOLOGICAL SYMPTOMS; ALZHEIMERS-DISEASE; PEOPLE; INTERVENTIONS; CAREGIVERS</t>
        </is>
      </c>
      <c r="W1903" t="inlineStr">
        <is>
          <t>Maintaining cognitive function is essential for older adults with dementia. The purpose of this study was to investigate the effectiveness of Smart Restored by Learning Exercise (SRLE) on cognitive functions, neuropsychiatric symptoms, and frontal lobe functions in elderly people with dementia. A total of 68 older adults with dementia participated in this study. A quasi-experimental design was used, and convenience sampling and assignment approaches were adopted to select the participants for experimental and control groups. The experimental group engaged in SRLE for 6 months. The control group received routine care without SRLE. The participants' cognitive function, neuropsychiatric symptoms, and frontal lobe function at baseline were evaluated using the Mini-Mental State Examination (MMSE), Neuropsychiatry Inventory (NPI), and Frontal Assessment Battery (FAB), respectively, in month 3 and month 6. The Group by Time interaction was statistically significant for MMSE and FAB scores, which indicated the different group effects between months 3 and 6. The results also showed that the improvement of MMSE, NPI, and FAB scores in the SRLE group were significantly better than the control group (t = -5.99 similar to 4.90, p &lt; 0.001) at both months 3 and 6. In conclusion, long-term facilities may provide residents with SRLE every day to prevent a decline in the residents' levels of cognitive function.</t>
        </is>
      </c>
      <c r="X1903" t="inlineStr">
        <is>
          <t>[Tseng, Chi-Fen; Hsieh, Tsung-Cheng; Lee, Ru-Ping] Tzu Chi Univ, Inst Med Sci, Hualien 97004, Taiwan; [Tseng, Chi-Fen] Tzu Chi Univ Sci &amp; Technol, Dept Nursing, Hualien 970, Taiwan; [Lee, Shao-Huai] Shih Chien Univ, Dept Family Studies &amp; Child Dev, Taipei 10462, Taiwan; [Lee, Shao-Huai] Taiwan Smart Restored Learning Exercise Dev Assoc, Taipei 10696, Taiwan</t>
        </is>
      </c>
      <c r="Y1903" t="inlineStr">
        <is>
          <t>Tzu Chi University; Tzu Chi University of Science &amp; Technology; Shih Chien University</t>
        </is>
      </c>
      <c r="Z1903" t="inlineStr">
        <is>
          <t>Lee, RP (corresponding author), Tzu Chi Univ, Inst Med Sci, Hualien 97004, Taiwan.</t>
        </is>
      </c>
      <c r="AA1903" t="inlineStr">
        <is>
          <t>aa@ems.tcust.edu.tw; aminophyline@hotmail.com; tchsieh@mail.tcu.edu.tw; fish@gms.tcu.edu.tw</t>
        </is>
      </c>
      <c r="AC1903" t="inlineStr">
        <is>
          <t>Lee, Ru-Ping/0000-0001-6624-5893</t>
        </is>
      </c>
      <c r="AD1903" t="inlineStr">
        <is>
          <t>Tzu Chi University of Science and Technology</t>
        </is>
      </c>
      <c r="AE1903" t="inlineStr">
        <is>
          <t>Tzu Chi University of Science and Technology</t>
        </is>
      </c>
      <c r="AF1903" t="inlineStr">
        <is>
          <t>The research was partially supported by Tzu Chi University of Science and Technology. We thank Head Nurse Chia-Er Hsu and all staff in Veterans Homes, Veterans Affairs Council, Hualien, R.O.C., for their technical support for cognitive measures. This manuscript was edited by Wallace Academic Editing Company.</t>
        </is>
      </c>
      <c r="AH1903" t="n">
        <v>29</v>
      </c>
      <c r="AI1903" t="n">
        <v>0</v>
      </c>
      <c r="AJ1903" t="n">
        <v>0</v>
      </c>
      <c r="AK1903" t="n">
        <v>0</v>
      </c>
      <c r="AL1903" t="n">
        <v>1</v>
      </c>
      <c r="AM1903" t="inlineStr">
        <is>
          <t>MDPI</t>
        </is>
      </c>
      <c r="AN1903" t="inlineStr">
        <is>
          <t>BASEL</t>
        </is>
      </c>
      <c r="AO1903" t="inlineStr">
        <is>
          <t>ST ALBAN-ANLAGE 66, CH-4052 BASEL, SWITZERLAND</t>
        </is>
      </c>
      <c r="AP1903" t="inlineStr">
        <is>
          <t>1661-7827</t>
        </is>
      </c>
      <c r="AQ1903" t="inlineStr">
        <is>
          <t>1660-4601</t>
        </is>
      </c>
      <c r="AS1903" t="inlineStr">
        <is>
          <t>INT J ENV RES PUB HE</t>
        </is>
      </c>
      <c r="AT1903" t="inlineStr">
        <is>
          <t>Int. J. Environ. Res. Public Health</t>
        </is>
      </c>
      <c r="AU1903" t="inlineStr">
        <is>
          <t>APR 1</t>
        </is>
      </c>
      <c r="AV1903" t="n">
        <v>2019</v>
      </c>
      <c r="AW1903" t="n">
        <v>16</v>
      </c>
      <c r="AX1903" t="n">
        <v>7</v>
      </c>
      <c r="BE1903" t="n">
        <v>1270</v>
      </c>
      <c r="BF1903" t="inlineStr">
        <is>
          <t>10.3390/ijerph16071270</t>
        </is>
      </c>
      <c r="BG1903">
        <f>HYPERLINK("http://dx.doi.org/10.3390/ijerph16071270","http://dx.doi.org/10.3390/ijerph16071270")</f>
        <v/>
      </c>
      <c r="BJ1903" t="n">
        <v>9</v>
      </c>
      <c r="BK1903" t="inlineStr">
        <is>
          <t>Environmental Sciences; Public, Environmental &amp; Occupational Health</t>
        </is>
      </c>
      <c r="BL1903" t="inlineStr">
        <is>
          <t>Science Citation Index Expanded (SCI-EXPANDED); Social Science Citation Index (SSCI)</t>
        </is>
      </c>
      <c r="BM1903" t="inlineStr">
        <is>
          <t>Environmental Sciences &amp; Ecology; Public, Environmental &amp; Occupational Health</t>
        </is>
      </c>
      <c r="BN1903" t="inlineStr">
        <is>
          <t>HU9EF</t>
        </is>
      </c>
      <c r="BO1903" t="n">
        <v>30970666</v>
      </c>
      <c r="BP1903" t="inlineStr">
        <is>
          <t>Green Published, gold, Green Submitted</t>
        </is>
      </c>
      <c r="BS1903" t="inlineStr">
        <is>
          <t>2023-10-26</t>
        </is>
      </c>
      <c r="BT1903" t="inlineStr">
        <is>
          <t>WOS:000465595800183</t>
        </is>
      </c>
      <c r="BU1903">
        <f>HYPERLINK("https%3A%2F%2Fwww.webofscience.com%2Fwos%2Fwoscc%2Ffull-record%2FWOS:000465595800183","View Full Record in Web of Science")</f>
        <v/>
      </c>
    </row>
    <row r="1904">
      <c r="A1904" t="inlineStr">
        <is>
          <t>J</t>
        </is>
      </c>
      <c r="B1904" t="inlineStr">
        <is>
          <t>Ballice, G; Paykoc, E</t>
        </is>
      </c>
      <c r="F1904" t="inlineStr">
        <is>
          <t>Ballice, G.; Paykoc, E.</t>
        </is>
      </c>
      <c r="J1904" t="inlineStr">
        <is>
          <t>JOURNAL OF ENVIRONMENTAL PROTECTION AND ECOLOGY</t>
        </is>
      </c>
      <c r="M1904" t="inlineStr">
        <is>
          <t>English</t>
        </is>
      </c>
      <c r="N1904" t="inlineStr">
        <is>
          <t>Article</t>
        </is>
      </c>
      <c r="T1904" t="inlineStr">
        <is>
          <t>RE-ARCHITECTURE OF EXISTING BUILDING STOCK WITH SUSTAINABLE APPROACH: THE ANALYSIS OF THE CITY OF IZMIR</t>
        </is>
      </c>
      <c r="U1904" t="inlineStr">
        <is>
          <t>re-architecture; sustainability; adaptation; green building; existing building stock</t>
        </is>
      </c>
      <c r="W1904" t="inlineStr">
        <is>
          <t>Sustainability can be defined as providing the best life conditions for living creatures in modern city environments for maintaining continuity in the natural environment by protecting the historical and the cultural elements. It is important to design the structures under the scope of `sustainability' which can have positive contributions to the environment and redounded to the city with the help of some definitions like re-functioning, re-use, decontamination and others within the enhancement of existing building stock. Re-consideration and re-evaluation of the existing buildings are important as constructing new buildings within the scope of this comprehension. In this research, the distribution of the existing building stock in the city of Izmir that should be reconsidered and enhanced in terms of `socio-spatial improvements'; functions of these existing building stocks and their potential for re-functioning were detected. Local governments applications on this issue were examined on their sites, the news related to the urban transformation and recruitment that took place in the media was analysed. Also, by putting emphasis on the important examples on sustainability and ecological approaches in the world, criteria were set which were needed to be considered while retrieving the existing building stock both in Izmir and our country.</t>
        </is>
      </c>
      <c r="X1904" t="inlineStr">
        <is>
          <t>[Ballice, G.; Paykoc, E.] Yasar Univ, Dept Interior Architecture &amp; Environm Design, Fac Architecture, Izmir, Turkey</t>
        </is>
      </c>
      <c r="Y1904" t="inlineStr">
        <is>
          <t>Yasar University</t>
        </is>
      </c>
      <c r="Z1904" t="inlineStr">
        <is>
          <t>Ballice, G (corresponding author), Yasar Univ, Dept Interior Architecture &amp; Environm Design, Fac Architecture, Selcuk Yasar Campus,35-37 Univ St, Izmir, Turkey.</t>
        </is>
      </c>
      <c r="AA1904" t="inlineStr">
        <is>
          <t>gulnur.ballice@yasar.edu.tr; eda.paykoc@yasar.edu.tr</t>
        </is>
      </c>
      <c r="AB1904" t="inlineStr">
        <is>
          <t>Paykoç, Eda/AAL-5500-2020</t>
        </is>
      </c>
      <c r="AC1904" t="inlineStr">
        <is>
          <t>Paykoc Ozcelik, Eda/0000-0002-0892-633X</t>
        </is>
      </c>
      <c r="AH1904" t="n">
        <v>11</v>
      </c>
      <c r="AI1904" t="n">
        <v>1</v>
      </c>
      <c r="AJ1904" t="n">
        <v>1</v>
      </c>
      <c r="AK1904" t="n">
        <v>0</v>
      </c>
      <c r="AL1904" t="n">
        <v>6</v>
      </c>
      <c r="AM1904" t="inlineStr">
        <is>
          <t>SCIBULCOM LTD</t>
        </is>
      </c>
      <c r="AN1904" t="inlineStr">
        <is>
          <t>SOFIA</t>
        </is>
      </c>
      <c r="AO1904" t="inlineStr">
        <is>
          <t>PO BOX 249, 1113 SOFIA, BULGARIA</t>
        </is>
      </c>
      <c r="AP1904" t="inlineStr">
        <is>
          <t>1311-5065</t>
        </is>
      </c>
      <c r="AS1904" t="inlineStr">
        <is>
          <t>J ENVIRON PROT ECOL</t>
        </is>
      </c>
      <c r="AT1904" t="inlineStr">
        <is>
          <t>J. Environ. Prot. Ecol.</t>
        </is>
      </c>
      <c r="AV1904" t="n">
        <v>2014</v>
      </c>
      <c r="AW1904" t="n">
        <v>15</v>
      </c>
      <c r="AX1904" t="n">
        <v>4</v>
      </c>
      <c r="BC1904" t="n">
        <v>1610</v>
      </c>
      <c r="BD1904" t="n">
        <v>1618</v>
      </c>
      <c r="BJ1904" t="n">
        <v>9</v>
      </c>
      <c r="BK1904" t="inlineStr">
        <is>
          <t>Environmental Sciences</t>
        </is>
      </c>
      <c r="BL1904" t="inlineStr">
        <is>
          <t>Science Citation Index Expanded (SCI-EXPANDED)</t>
        </is>
      </c>
      <c r="BM1904" t="inlineStr">
        <is>
          <t>Environmental Sciences &amp; Ecology</t>
        </is>
      </c>
      <c r="BN1904" t="inlineStr">
        <is>
          <t>AZ5II</t>
        </is>
      </c>
      <c r="BS1904" t="inlineStr">
        <is>
          <t>2023-10-26</t>
        </is>
      </c>
      <c r="BT1904" t="inlineStr">
        <is>
          <t>WOS:000348254600011</t>
        </is>
      </c>
      <c r="BU1904">
        <f>HYPERLINK("https%3A%2F%2Fwww.webofscience.com%2Fwos%2Fwoscc%2Ffull-record%2FWOS:000348254600011","View Full Record in Web of Science")</f>
        <v/>
      </c>
    </row>
    <row r="1905">
      <c r="A1905" t="inlineStr">
        <is>
          <t>J</t>
        </is>
      </c>
      <c r="B1905" t="inlineStr">
        <is>
          <t>Iñesta, C; Oltra-Cucarella, J; Bonete-López, B; Calderón-Rubio, E; Sitges-Maciá, E</t>
        </is>
      </c>
      <c r="F1905" t="inlineStr">
        <is>
          <t>Inesta, Clara; Oltra-Cucarella, Javier; Bonete-Lopez, Beatriz; Calderon-Rubio, Eva; Sitges-Macia, Esther</t>
        </is>
      </c>
      <c r="J1905" t="inlineStr">
        <is>
          <t>INTERNATIONAL JOURNAL OF ENVIRONMENTAL RESEARCH AND PUBLIC HEALTH</t>
        </is>
      </c>
      <c r="M1905" t="inlineStr">
        <is>
          <t>English</t>
        </is>
      </c>
      <c r="N1905" t="inlineStr">
        <is>
          <t>Article</t>
        </is>
      </c>
      <c r="T1905" t="inlineStr">
        <is>
          <t>Regression-Based Normative Data for Independent and Cognitively Active Spanish Older Adults: Digit Span, Letters and Numbers, Trail Making Test and Symbol Digit Modalities Test</t>
        </is>
      </c>
      <c r="U1905" t="inlineStr">
        <is>
          <t>cognitively active; cognitive impairment; neuropsychological assessment; normative data; older adults</t>
        </is>
      </c>
      <c r="V1905" t="inlineStr">
        <is>
          <t>MINI-MENTAL-STATE; ALZHEIMERS-DISEASE; AGE; IMPAIRMENT; DEMENTIA; DECLINE; EDUCATION; SAMPLE; LIFE; NEUROPSYCHOLOGY</t>
        </is>
      </c>
      <c r="W1905" t="inlineStr">
        <is>
          <t>In this work, we developed normative data for the neuropsychological assessment of independent and cognitively active Spanish older adults over 55 years of age. Method: Regression-based normative data were calculated from a sample of 103 non-depressed independent community-dwelling adults aged 55 or older (67% women). Raw data for Digit Span (DS), Letters and Numbers (LN), the Trail Making Test (TMT), and the Symbol Digit Modalities Test (SDMT) were regressed on age, sex, and education. The model predicting TMT-B scores also included TMT-A scores. Z-scores for the discrepancy between observed and predicted scores were used to identify low scores. The base rate of low scores for SABIEX normative data was compared to the base rate of low scores using published normative data obtained from the general population. Results: The effects of age, sex, and education varied across neuropsychological measures. Although the proportion of low scores was similar between normative datasets, there was no agreement in the identification of cognitively impaired individuals. Conclusions: Normative data obtained from the general population might not be sensitive to identify low scores in cognitively active older adults, incorrectly classifying them as cognitively normal compared to the less-active population. We provide a friendly calculator for use in neuropsychological assessment in cognitively active Spanish people aged 55 or older.</t>
        </is>
      </c>
      <c r="X1905" t="inlineStr">
        <is>
          <t>[Inesta, Clara; Oltra-Cucarella, Javier; Bonete-Lopez, Beatriz; Calderon-Rubio, Eva; Sitges-Macia, Esther] Univ Miguel Hernandez Elche, SABIEX, Av Univ, Elche 03207, Spain; [Oltra-Cucarella, Javier; Bonete-Lopez, Beatriz; Sitges-Macia, Esther] Miguel Hernandez Univ Elche, Dept Hlth Psychol, Elche 03202, Spain</t>
        </is>
      </c>
      <c r="Y1905" t="inlineStr">
        <is>
          <t>Universidad Miguel Hernandez de Elche; Universidad Miguel Hernandez de Elche</t>
        </is>
      </c>
      <c r="Z1905" t="inlineStr">
        <is>
          <t>Oltra-Cucarella, J (corresponding author), Univ Miguel Hernandez Elche, SABIEX, Av Univ, Elche 03207, Spain.;Oltra-Cucarella, J (corresponding author), Miguel Hernandez Univ Elche, Dept Hlth Psychol, Elche 03202, Spain.</t>
        </is>
      </c>
      <c r="AA1905" t="inlineStr">
        <is>
          <t>clara.inesta@goumh.umh.es; joltra@umh.es; bbonete@umh.es; eva.calderon@goumh.umh.es; esther.sitges@umh.es</t>
        </is>
      </c>
      <c r="AB1905" t="inlineStr">
        <is>
          <t>Oltra-Cucarella, Javier/C-4488-2017</t>
        </is>
      </c>
      <c r="AC1905" t="inlineStr">
        <is>
          <t>Oltra-Cucarella, Javier/0000-0001-5966-8556; Bonete Lopez, Beatriz/0000-0001-7323-4113; Sitges Macia, Esther/0000-0002-0008-2515; Inesta, Clara/0000-0002-9754-7437; Calderon-Rubio, Eva/0000-0002-0539-0349</t>
        </is>
      </c>
      <c r="AH1905" t="n">
        <v>111</v>
      </c>
      <c r="AI1905" t="n">
        <v>6</v>
      </c>
      <c r="AJ1905" t="n">
        <v>6</v>
      </c>
      <c r="AK1905" t="n">
        <v>1</v>
      </c>
      <c r="AL1905" t="n">
        <v>2</v>
      </c>
      <c r="AM1905" t="inlineStr">
        <is>
          <t>MDPI</t>
        </is>
      </c>
      <c r="AN1905" t="inlineStr">
        <is>
          <t>BASEL</t>
        </is>
      </c>
      <c r="AO1905" t="inlineStr">
        <is>
          <t>ST ALBAN-ANLAGE 66, CH-4052 BASEL, SWITZERLAND</t>
        </is>
      </c>
      <c r="AQ1905" t="inlineStr">
        <is>
          <t>1660-4601</t>
        </is>
      </c>
      <c r="AS1905" t="inlineStr">
        <is>
          <t>INT J ENV RES PUB HE</t>
        </is>
      </c>
      <c r="AT1905" t="inlineStr">
        <is>
          <t>Int. J. Environ. Res. Public Health</t>
        </is>
      </c>
      <c r="AU1905" t="inlineStr">
        <is>
          <t>OCT</t>
        </is>
      </c>
      <c r="AV1905" t="n">
        <v>2021</v>
      </c>
      <c r="AW1905" t="n">
        <v>18</v>
      </c>
      <c r="AX1905" t="n">
        <v>19</v>
      </c>
      <c r="BE1905" t="n">
        <v>9958</v>
      </c>
      <c r="BF1905" t="inlineStr">
        <is>
          <t>10.3390/ijerph18199958</t>
        </is>
      </c>
      <c r="BG1905">
        <f>HYPERLINK("http://dx.doi.org/10.3390/ijerph18199958","http://dx.doi.org/10.3390/ijerph18199958")</f>
        <v/>
      </c>
      <c r="BJ1905" t="n">
        <v>18</v>
      </c>
      <c r="BK1905" t="inlineStr">
        <is>
          <t>Environmental Sciences; Public, Environmental &amp; Occupational Health</t>
        </is>
      </c>
      <c r="BL1905" t="inlineStr">
        <is>
          <t>Science Citation Index Expanded (SCI-EXPANDED); Social Science Citation Index (SSCI)</t>
        </is>
      </c>
      <c r="BM1905" t="inlineStr">
        <is>
          <t>Environmental Sciences &amp; Ecology; Public, Environmental &amp; Occupational Health</t>
        </is>
      </c>
      <c r="BN1905" t="inlineStr">
        <is>
          <t>WK0ID</t>
        </is>
      </c>
      <c r="BO1905" t="n">
        <v>34639265</v>
      </c>
      <c r="BP1905" t="inlineStr">
        <is>
          <t>gold, Green Published</t>
        </is>
      </c>
      <c r="BS1905" t="inlineStr">
        <is>
          <t>2023-10-26</t>
        </is>
      </c>
      <c r="BT1905" t="inlineStr">
        <is>
          <t>WOS:000709417700001</t>
        </is>
      </c>
      <c r="BU1905">
        <f>HYPERLINK("https%3A%2F%2Fwww.webofscience.com%2Fwos%2Fwoscc%2Ffull-record%2FWOS:000709417700001","View Full Record in Web of Science")</f>
        <v/>
      </c>
    </row>
    <row r="1906">
      <c r="A1906" t="inlineStr">
        <is>
          <t>J</t>
        </is>
      </c>
      <c r="B1906" t="inlineStr">
        <is>
          <t>Chastin, SFM; Fitzpatrick, N; Andrews, M; DiCroce, N</t>
        </is>
      </c>
      <c r="F1906" t="inlineStr">
        <is>
          <t>Chastin, Sebastien F. M.; Fitzpatrick, Nicole; Andrews, Michelle; DiCroce, Natalie</t>
        </is>
      </c>
      <c r="J1906" t="inlineStr">
        <is>
          <t>INTERNATIONAL JOURNAL OF ENVIRONMENTAL RESEARCH AND PUBLIC HEALTH</t>
        </is>
      </c>
      <c r="M1906" t="inlineStr">
        <is>
          <t>English</t>
        </is>
      </c>
      <c r="N1906" t="inlineStr">
        <is>
          <t>Article</t>
        </is>
      </c>
      <c r="T1906" t="inlineStr">
        <is>
          <t>Determinants of Sedentary Behavior, Motivation, Barriers and Strategies to Reduce Sitting Time in Older Women: A Qualitative Investigation</t>
        </is>
      </c>
      <c r="U1906" t="inlineStr">
        <is>
          <t>sitting; frailty; ageism; physical activity; intervention</t>
        </is>
      </c>
      <c r="V1906" t="inlineStr">
        <is>
          <t>PHYSICAL-ACTIVITY; BUILT ENVIRONMENT; ADULTS; HEALTH; QUESTIONNAIRE; ASSOCIATIONS; RELIABILITY; PROGRAM; OBESITY</t>
        </is>
      </c>
      <c r="W1906" t="inlineStr">
        <is>
          <t>Sedentary behavior defined as time spent non-exercising seated or reclining posture has been identified has a health risk and associated with frailty and disablement for older adults. Older adults are the most sedentary segment of society. To date no study has investigated the determinants of sedentary behavior in older adults. This study reports a qualitative investigation of the determinants of sedentary behavior, strategies and motivator to reduce sitting time by structured interviews in a group of community dwelling older women (N = 11, age 65 and over). Older women expressed the view that their sedentary behavior is mostly determined by pain which acts both as an incentive to sit and a motivator to stand up, lack of energy in the afternoon, pressure from direct social circle to sit and rest, societal and environmental typecasting that older adult are meant to sit, lack of environmental facilities to allow activity pacing. This qualitative investigation highlighted some factors that older adults consider determinants of their sedentary behavior. Some are identical to those affecting physical activity (self-efficacy, functional limitations, ageist stereotyping) but some appear specific to sedentary behavior (locus of control, pain) and should be further investigated and considered during intervention design. Tailored interventions that pay attention to the pattern of sedentary behavior of individuals appear to be supported by the views of older women on their sedentary behavior.</t>
        </is>
      </c>
      <c r="X1906" t="inlineStr">
        <is>
          <t>[Chastin, Sebastien F. M.; Fitzpatrick, Nicole; Andrews, Michelle; DiCroce, Natalie] Glasgow Caledonian Univ, Sch Hlth &amp; Life Sci, Inst Appl Hlth Res, Glasgow G4 0BA, Lanark, Scotland</t>
        </is>
      </c>
      <c r="Y1906" t="inlineStr">
        <is>
          <t>Glasgow Caledonian University</t>
        </is>
      </c>
      <c r="Z1906" t="inlineStr">
        <is>
          <t>Chastin, SFM (corresponding author), Glasgow Caledonian Univ, Sch Hlth &amp; Life Sci, Inst Appl Hlth Res, Cowcaddens Rd, Glasgow G4 0BA, Lanark, Scotland.</t>
        </is>
      </c>
      <c r="AA1906" t="inlineStr">
        <is>
          <t>Sebastien.Chastin@gcu.ac.uk; nfitzpatrick1986@gmail.com; sandrews@gcal.ac.uk; ndicrocw@gcal.ac.uk</t>
        </is>
      </c>
      <c r="AB1906" t="inlineStr">
        <is>
          <t>Chastin, Sebastien/ABF-1455-2020</t>
        </is>
      </c>
      <c r="AC1906" t="inlineStr">
        <is>
          <t>Chastin, Sebastien/0000-0003-1421-9348</t>
        </is>
      </c>
      <c r="AH1906" t="n">
        <v>46</v>
      </c>
      <c r="AI1906" t="n">
        <v>102</v>
      </c>
      <c r="AJ1906" t="n">
        <v>106</v>
      </c>
      <c r="AK1906" t="n">
        <v>3</v>
      </c>
      <c r="AL1906" t="n">
        <v>52</v>
      </c>
      <c r="AM1906" t="inlineStr">
        <is>
          <t>MDPI</t>
        </is>
      </c>
      <c r="AN1906" t="inlineStr">
        <is>
          <t>BASEL</t>
        </is>
      </c>
      <c r="AO1906" t="inlineStr">
        <is>
          <t>ST ALBAN-ANLAGE 66, CH-4052 BASEL, SWITZERLAND</t>
        </is>
      </c>
      <c r="AQ1906" t="inlineStr">
        <is>
          <t>1660-4601</t>
        </is>
      </c>
      <c r="AS1906" t="inlineStr">
        <is>
          <t>INT J ENV RES PUB HE</t>
        </is>
      </c>
      <c r="AT1906" t="inlineStr">
        <is>
          <t>Int. J. Environ. Res. Public Health</t>
        </is>
      </c>
      <c r="AU1906" t="inlineStr">
        <is>
          <t>JAN</t>
        </is>
      </c>
      <c r="AV1906" t="n">
        <v>2014</v>
      </c>
      <c r="AW1906" t="n">
        <v>11</v>
      </c>
      <c r="AX1906" t="n">
        <v>1</v>
      </c>
      <c r="BC1906" t="n">
        <v>773</v>
      </c>
      <c r="BD1906" t="n">
        <v>791</v>
      </c>
      <c r="BF1906" t="inlineStr">
        <is>
          <t>10.3390/ijerph110100773</t>
        </is>
      </c>
      <c r="BG1906">
        <f>HYPERLINK("http://dx.doi.org/10.3390/ijerph110100773","http://dx.doi.org/10.3390/ijerph110100773")</f>
        <v/>
      </c>
      <c r="BJ1906" t="n">
        <v>19</v>
      </c>
      <c r="BK1906" t="inlineStr">
        <is>
          <t>Environmental Sciences; Public, Environmental &amp; Occupational Health</t>
        </is>
      </c>
      <c r="BL1906" t="inlineStr">
        <is>
          <t>Science Citation Index Expanded (SCI-EXPANDED); Social Science Citation Index (SSCI)</t>
        </is>
      </c>
      <c r="BM1906" t="inlineStr">
        <is>
          <t>Environmental Sciences &amp; Ecology; Public, Environmental &amp; Occupational Health</t>
        </is>
      </c>
      <c r="BN1906" t="inlineStr">
        <is>
          <t>AB0BI</t>
        </is>
      </c>
      <c r="BO1906" t="n">
        <v>24402064</v>
      </c>
      <c r="BP1906" t="inlineStr">
        <is>
          <t>Green Published, gold, Green Submitted</t>
        </is>
      </c>
      <c r="BS1906" t="inlineStr">
        <is>
          <t>2023-10-26</t>
        </is>
      </c>
      <c r="BT1906" t="inlineStr">
        <is>
          <t>WOS:000331456400041</t>
        </is>
      </c>
      <c r="BU1906">
        <f>HYPERLINK("https%3A%2F%2Fwww.webofscience.com%2Fwos%2Fwoscc%2Ffull-record%2FWOS:000331456400041","View Full Record in Web of Science")</f>
        <v/>
      </c>
    </row>
    <row r="1907">
      <c r="A1907" t="inlineStr">
        <is>
          <t>J</t>
        </is>
      </c>
      <c r="B1907" t="inlineStr">
        <is>
          <t>Albright, AE; Cui, RF; Allen, RS</t>
        </is>
      </c>
      <c r="F1907" t="inlineStr">
        <is>
          <t>Albright, Amy E.; Cui, Ruifeng; Allen, Rebecca S.</t>
        </is>
      </c>
      <c r="J1907" t="inlineStr">
        <is>
          <t>INTERNATIONAL JOURNAL OF ENVIRONMENTAL RESEARCH AND PUBLIC HEALTH</t>
        </is>
      </c>
      <c r="M1907" t="inlineStr">
        <is>
          <t>English</t>
        </is>
      </c>
      <c r="N1907" t="inlineStr">
        <is>
          <t>Article</t>
        </is>
      </c>
      <c r="T1907" t="inlineStr">
        <is>
          <t>Pet Ownership and Mental and Physical Health in Older White and Black Males and Females</t>
        </is>
      </c>
      <c r="U1907" t="inlineStr">
        <is>
          <t>pet; older adult; depression; health; activity</t>
        </is>
      </c>
      <c r="V1907" t="inlineStr">
        <is>
          <t>ADULTS; DEPRESSION; LONELINESS; DOG</t>
        </is>
      </c>
      <c r="W1907" t="inlineStr">
        <is>
          <t>Pet ownership literature remains mixed regarding associations with mental and physical health outcomes among older adults. The present study investigates the relationship between pet ownership and depression, health, and physical activity in an older adult sample balanced by sex (male/female), race (White/Black), and urban/rural status. Participants were adults aged 65+ recruited between 1999 and 2001 in the University of Alabama at Birmingham Study of Aging. Participants completed the Geriatric Depression Scale, a single-item self-reported health measure, and a physical activity questionnaire. Dog owners reported better subjective health and were more likely to walk for exercise as compared to non-pet owners. Cat owners did not differ from non-pet owners in terms of self-reported health or walking. White participants were more likely than Black participants to report ownership of a pet. No relationships were found between pet ownership and symptoms of depression. Findings were not influenced by sex, race, or geographical location. Dog ownership may be associated with positive physical health behaviors and subjective health perceptions. Additional research focused on mechanisms and cognitive impact is needed. Although there may be physical health benefits of dog ownership, adopting a pet should not be viewed as a simplistic solution to alleviating depression in older adults.</t>
        </is>
      </c>
      <c r="X1907" t="inlineStr">
        <is>
          <t>[Albright, Amy E.] VA Maine Hlth Care Syst, Dept Vet Affairs, Augusta, ME 04240 USA; [Albright, Amy E.; Allen, Rebecca S.] Univ Alabama, Dept Psychol, Tuscaloosa, AL 35401 USA; [Albright, Amy E.] Univ Alabama, Alabama Res Inst Aging, Tuscaloosa, AL 35487 USA; [Cui, Ruifeng] VA Pittsburgh Hlth Care Syst, Dept Vet Affairs, VISN 4 Mental Illness Res Educ &amp; Clin Ctr, Pittsburgh, PA 15240 USA; [Cui, Ruifeng] Univ Pittsburgh, Sch Med, Dept Psychiat, Pittsburgh, PA 15213 USA</t>
        </is>
      </c>
      <c r="Y1907" t="inlineStr">
        <is>
          <t>University of Alabama System; University of Alabama Tuscaloosa; University of Alabama System; University of Alabama Tuscaloosa; US Department of Veterans Affairs; Veterans Health Administration (VHA); VA Pittsburgh Healthcare System; Pennsylvania Commonwealth System of Higher Education (PCSHE); University of Pittsburgh</t>
        </is>
      </c>
      <c r="Z1907" t="inlineStr">
        <is>
          <t>Albright, AE (corresponding author), VA Maine Hlth Care Syst, Dept Vet Affairs, Augusta, ME 04240 USA.;Albright, AE (corresponding author), Univ Alabama, Dept Psychol, Tuscaloosa, AL 35401 USA.;Albright, AE (corresponding author), Univ Alabama, Alabama Res Inst Aging, Tuscaloosa, AL 35487 USA.</t>
        </is>
      </c>
      <c r="AA1907" t="inlineStr">
        <is>
          <t>amy.albright@va.gov; ruifeng.cui@va.gov; rsallen@ua.edu</t>
        </is>
      </c>
      <c r="AB1907" t="inlineStr">
        <is>
          <t>Allen, Rebecca/ITV-3905-2023</t>
        </is>
      </c>
      <c r="AC1907" t="inlineStr">
        <is>
          <t>Allen, Rebecca Sue/0000-0002-2563-4996</t>
        </is>
      </c>
      <c r="AD1907" t="inlineStr">
        <is>
          <t>Advanced Fellowship from the VISN 4 Mental Illness Research, Education, &amp; Clinical Center</t>
        </is>
      </c>
      <c r="AE1907" t="inlineStr">
        <is>
          <t>Advanced Fellowship from the VISN 4 Mental Illness Research, Education, &amp; Clinical Center</t>
        </is>
      </c>
      <c r="AF1907" t="inlineStr">
        <is>
          <t>RC was supported by the Advanced Fellowship from the VISN 4 Mental Illness Research, Education, &amp; Clinical Center (MIRECC; Director: D. Oslin; Associate Director: G. Haas), VA Pittsburgh Healthcare System. The contents of this manuscript do not represent the views of the U.S. Department of Veterans Affairs or the United States Government.</t>
        </is>
      </c>
      <c r="AH1907" t="n">
        <v>30</v>
      </c>
      <c r="AI1907" t="n">
        <v>4</v>
      </c>
      <c r="AJ1907" t="n">
        <v>4</v>
      </c>
      <c r="AK1907" t="n">
        <v>0</v>
      </c>
      <c r="AL1907" t="n">
        <v>16</v>
      </c>
      <c r="AM1907" t="inlineStr">
        <is>
          <t>MDPI</t>
        </is>
      </c>
      <c r="AN1907" t="inlineStr">
        <is>
          <t>BASEL</t>
        </is>
      </c>
      <c r="AO1907" t="inlineStr">
        <is>
          <t>ST ALBAN-ANLAGE 66, CH-4052 BASEL, SWITZERLAND</t>
        </is>
      </c>
      <c r="AQ1907" t="inlineStr">
        <is>
          <t>1660-4601</t>
        </is>
      </c>
      <c r="AS1907" t="inlineStr">
        <is>
          <t>INT J ENV RES PUB HE</t>
        </is>
      </c>
      <c r="AT1907" t="inlineStr">
        <is>
          <t>Int. J. Environ. Res. Public Health</t>
        </is>
      </c>
      <c r="AU1907" t="inlineStr">
        <is>
          <t>MAY</t>
        </is>
      </c>
      <c r="AV1907" t="n">
        <v>2022</v>
      </c>
      <c r="AW1907" t="n">
        <v>19</v>
      </c>
      <c r="AX1907" t="n">
        <v>9</v>
      </c>
      <c r="BE1907" t="n">
        <v>5655</v>
      </c>
      <c r="BF1907" t="inlineStr">
        <is>
          <t>10.3390/ijerph19095655</t>
        </is>
      </c>
      <c r="BG1907">
        <f>HYPERLINK("http://dx.doi.org/10.3390/ijerph19095655","http://dx.doi.org/10.3390/ijerph19095655")</f>
        <v/>
      </c>
      <c r="BJ1907" t="n">
        <v>8</v>
      </c>
      <c r="BK1907" t="inlineStr">
        <is>
          <t>Environmental Sciences; Public, Environmental &amp; Occupational Health</t>
        </is>
      </c>
      <c r="BL1907" t="inlineStr">
        <is>
          <t>Science Citation Index Expanded (SCI-EXPANDED); Social Science Citation Index (SSCI)</t>
        </is>
      </c>
      <c r="BM1907" t="inlineStr">
        <is>
          <t>Environmental Sciences &amp; Ecology; Public, Environmental &amp; Occupational Health</t>
        </is>
      </c>
      <c r="BN1907" t="inlineStr">
        <is>
          <t>1F8BJ</t>
        </is>
      </c>
      <c r="BO1907" t="n">
        <v>35565050</v>
      </c>
      <c r="BP1907" t="inlineStr">
        <is>
          <t>gold, Green Published</t>
        </is>
      </c>
      <c r="BS1907" t="inlineStr">
        <is>
          <t>2023-10-26</t>
        </is>
      </c>
      <c r="BT1907" t="inlineStr">
        <is>
          <t>WOS:000795387200001</t>
        </is>
      </c>
      <c r="BU1907">
        <f>HYPERLINK("https%3A%2F%2Fwww.webofscience.com%2Fwos%2Fwoscc%2Ffull-record%2FWOS:000795387200001","View Full Record in Web of Science")</f>
        <v/>
      </c>
    </row>
    <row r="1908">
      <c r="A1908" t="inlineStr">
        <is>
          <t>J</t>
        </is>
      </c>
      <c r="B1908" t="inlineStr">
        <is>
          <t>Park, J; Lukkahatai, N; Perrin, N; Kim, Y; Saligan, LN; Won, CW</t>
        </is>
      </c>
      <c r="F1908" t="inlineStr">
        <is>
          <t>Park, Jongmin; Lukkahatai, Nada; Perrin, Nancy; Kim, Yoonju; Saligan, Leorey N.; Won, Chang Won</t>
        </is>
      </c>
      <c r="J1908" t="inlineStr">
        <is>
          <t>INTERNATIONAL JOURNAL OF ENVIRONMENTAL RESEARCH AND PUBLIC HEALTH</t>
        </is>
      </c>
      <c r="M1908" t="inlineStr">
        <is>
          <t>English</t>
        </is>
      </c>
      <c r="N1908" t="inlineStr">
        <is>
          <t>Article</t>
        </is>
      </c>
      <c r="T1908" t="inlineStr">
        <is>
          <t>Symptom Profiles, Health-Related Quality of Life, and Clinical Blood Markers among Korean Community-Dwelling Older Adults Living with Chronic Conditions</t>
        </is>
      </c>
      <c r="U1908" t="inlineStr">
        <is>
          <t>symptom cluster; quality of life; biomarkers; chronic conditions; community-dwelling older adults</t>
        </is>
      </c>
      <c r="V1908" t="inlineStr">
        <is>
          <t>C-REACTIVE PROTEIN; PHYSICAL-ACTIVITY; DHEA SUPPLEMENTATION; INFLAMMATORY MARKERS; DEPRESSIVE SYMPTOMS; GENDER-DIFFERENCES; DOSE-RESPONSE; BURDEN; DISEASE; SLEEP</t>
        </is>
      </c>
      <c r="W1908" t="inlineStr">
        <is>
          <t>Older adults suffer from multiple symptoms, which negatively affects their health-related quality of life. The single-symptom management approach has been less than effective. The data of 2362 Korean community-dwelling older adults aged 70 and above were analyzed in the Korean Frailty and Aging Cohort Study (KFACS) study. A cluster analysis, correlation analysis, and logistic regression were used to analyze the data. We found three symptom clusters: high symptom burden (HSB, n = 1032); pain and fatigue group (PAF, n = 566); and the sleep deprivation group (SDP, n = 764). Participants in the HSB group are more likely to be of old age (OR = 1.1), be female (OR = 2.4), live in a rural area (OR = 1.4), have low physical activity (OR = 0.9), and have multiple chronic conditions (OR = 1.5). The clinical blood markers analysis showed a negative relationship among the physical health, free T4 (r = -0.083, p &lt; 0.01) and insulin (r = -0.084, p &lt; 0.01). The sex-specific blood markers analysis showed differences among three clusters. While free testosterone (male: r = 0.124, female: r = 0.110, p &lt; 0.05) and dehydroepiandrosterone (DHEA) (male: r = 0.352 and female: r = 0.134, p &lt; 0.05) were associated with physical health in the HSB group, only free testosterone was associated with mental health (male: r = -0.093, and female: r = -0.116, p &lt; 0.05) in the SDP group. These findings suggest the potential role of the patient's sex and sex hormones in symptoms of Korean community-dwelling older adults. Understanding the symptom profiles and impact of biopsychosocial factors may enhance precision symptom management.</t>
        </is>
      </c>
      <c r="X1908" t="inlineStr">
        <is>
          <t>[Park, Jongmin] Pusan Natl Univ, Coll Nursing, Yangsan Si 50612, Gyeongsangnam D, South Korea; [Lukkahatai, Nada; Perrin, Nancy] Johns Hopkins Univ, Sch Nursing, Baltimore, MD 21218 USA; [Kim, Yoonju] Kyung Hee Univ, Grad Sch, Dept Nursing, Seoul 02447, South Korea; [Saligan, Leorey N.] NINR, NIH, Bethesda, MD 20892 USA; [Won, Chang Won] Kyung Hee Univ, Dept Family Med, Coll Med, Elderly Frailty Res Ctr, Seoul 02447, South Korea</t>
        </is>
      </c>
      <c r="Y1908" t="inlineStr">
        <is>
          <t>Pusan National University; Johns Hopkins University; Kyung Hee University; National Institutes of Health (NIH) - USA; NIH National Institute of Nursing Research (NINR); Kyung Hee University</t>
        </is>
      </c>
      <c r="Z1908" t="inlineStr">
        <is>
          <t>Won, CW (corresponding author), Kyung Hee Univ, Dept Family Med, Coll Med, Elderly Frailty Res Ctr, Seoul 02447, South Korea.</t>
        </is>
      </c>
      <c r="AA1908" t="inlineStr">
        <is>
          <t>jmpark@pusan.ac.kr; nada.lukkahatai@jhu.edu; nperrin@jhu.edu; kimyoonju29@gmail.com; saliganl@mail.nih.gov; chunwon62@naver.com</t>
        </is>
      </c>
      <c r="AB1908" t="inlineStr">
        <is>
          <t>Lukkahatai, Nada/GQA-9711-2022; Saligan, Leorey/M-7101-2015</t>
        </is>
      </c>
      <c r="AC1908" t="inlineStr">
        <is>
          <t>Lukkahatai, Nada/0000-0003-3820-1812; Park, Jongmin/0000-0001-6176-5670; Saligan, Leorey/0000-0001-9481-7836; Won, Chang Won/0000-0002-6429-4461</t>
        </is>
      </c>
      <c r="AD1908" t="inlineStr">
        <is>
          <t>Korea Health Technology R&amp;D Project through the Korean Health Industry Development Institute - Ministry of Health and Welfare, Republic of Korea [HI15C3153]; National Research Foundation of Korea - Ministry of Education [2019R1C1C1005519]; National Research Foundation of Korea [2019R1C1C1005519] Funding Source: Korea Institute of Science &amp; Technology Information (KISTI), National Science &amp; Technology Information Service (NTIS)</t>
        </is>
      </c>
      <c r="AE1908" t="inlineStr">
        <is>
          <t>Korea Health Technology R&amp;D Project through the Korean Health Industry Development Institute - Ministry of Health and Welfare, Republic of Korea; National Research Foundation of Korea - Ministry of Education; National Research Foundation of Korea(National Research Foundation of Korea)</t>
        </is>
      </c>
      <c r="AF1908" t="inlineStr">
        <is>
          <t>This research was funded by a grant from the Korea Health Technology R&amp;D Project through the Korean Health Industry Development Institute, funded by the Ministry of Health and Welfare, Republic of Korea (grant number: HI15C3153) and National Research Foundation of Korea funded by the Ministry of Education (grant number: 2019R1C1C1005519).</t>
        </is>
      </c>
      <c r="AH1908" t="n">
        <v>55</v>
      </c>
      <c r="AI1908" t="n">
        <v>1</v>
      </c>
      <c r="AJ1908" t="n">
        <v>1</v>
      </c>
      <c r="AK1908" t="n">
        <v>0</v>
      </c>
      <c r="AL1908" t="n">
        <v>3</v>
      </c>
      <c r="AM1908" t="inlineStr">
        <is>
          <t>MDPI</t>
        </is>
      </c>
      <c r="AN1908" t="inlineStr">
        <is>
          <t>BASEL</t>
        </is>
      </c>
      <c r="AO1908" t="inlineStr">
        <is>
          <t>ST ALBAN-ANLAGE 66, CH-4052 BASEL, SWITZERLAND</t>
        </is>
      </c>
      <c r="AQ1908" t="inlineStr">
        <is>
          <t>1660-4601</t>
        </is>
      </c>
      <c r="AS1908" t="inlineStr">
        <is>
          <t>INT J ENV RES PUB HE</t>
        </is>
      </c>
      <c r="AT1908" t="inlineStr">
        <is>
          <t>Int. J. Environ. Res. Public Health</t>
        </is>
      </c>
      <c r="AU1908" t="inlineStr">
        <is>
          <t>FEB</t>
        </is>
      </c>
      <c r="AV1908" t="n">
        <v>2021</v>
      </c>
      <c r="AW1908" t="n">
        <v>18</v>
      </c>
      <c r="AX1908" t="n">
        <v>4</v>
      </c>
      <c r="BE1908" t="n">
        <v>1745</v>
      </c>
      <c r="BF1908" t="inlineStr">
        <is>
          <t>10.3390/ijerph18041745</t>
        </is>
      </c>
      <c r="BG1908">
        <f>HYPERLINK("http://dx.doi.org/10.3390/ijerph18041745","http://dx.doi.org/10.3390/ijerph18041745")</f>
        <v/>
      </c>
      <c r="BJ1908" t="n">
        <v>12</v>
      </c>
      <c r="BK1908" t="inlineStr">
        <is>
          <t>Environmental Sciences; Public, Environmental &amp; Occupational Health</t>
        </is>
      </c>
      <c r="BL1908" t="inlineStr">
        <is>
          <t>Science Citation Index Expanded (SCI-EXPANDED); Social Science Citation Index (SSCI)</t>
        </is>
      </c>
      <c r="BM1908" t="inlineStr">
        <is>
          <t>Environmental Sciences &amp; Ecology; Public, Environmental &amp; Occupational Health</t>
        </is>
      </c>
      <c r="BN1908" t="inlineStr">
        <is>
          <t>QP1JS</t>
        </is>
      </c>
      <c r="BO1908" t="n">
        <v>33670149</v>
      </c>
      <c r="BP1908" t="inlineStr">
        <is>
          <t>gold, Green Published</t>
        </is>
      </c>
      <c r="BS1908" t="inlineStr">
        <is>
          <t>2023-10-26</t>
        </is>
      </c>
      <c r="BT1908" t="inlineStr">
        <is>
          <t>WOS:000623593400001</t>
        </is>
      </c>
      <c r="BU1908">
        <f>HYPERLINK("https%3A%2F%2Fwww.webofscience.com%2Fwos%2Fwoscc%2Ffull-record%2FWOS:000623593400001","View Full Record in Web of Science")</f>
        <v/>
      </c>
    </row>
    <row r="1909">
      <c r="A1909" t="inlineStr">
        <is>
          <t>J</t>
        </is>
      </c>
      <c r="B1909" t="inlineStr">
        <is>
          <t>Gabriel, MF; Felgueiras, F; Mourao, Z; Fernandes, EO</t>
        </is>
      </c>
      <c r="F1909" t="inlineStr">
        <is>
          <t>Gabriel, Marta F.; Felgueiras, F.; Mourao, Z.; Fernandes, E. O.</t>
        </is>
      </c>
      <c r="J1909" t="inlineStr">
        <is>
          <t>ENVIRONMENT INTERNATIONAL</t>
        </is>
      </c>
      <c r="M1909" t="inlineStr">
        <is>
          <t>English</t>
        </is>
      </c>
      <c r="N1909" t="inlineStr">
        <is>
          <t>Article</t>
        </is>
      </c>
      <c r="T1909" t="inlineStr">
        <is>
          <t>Assessment of the air quality in 20 public indoor swimming pools located in the Northern Region of Portugal</t>
        </is>
      </c>
      <c r="U1909" t="inlineStr">
        <is>
          <t>Indoor air quality; Public health; Swimming pools; Trihalomethanes; Ultrafine particles; Volatile organic compounds</t>
        </is>
      </c>
      <c r="V1909" t="inlineStr">
        <is>
          <t>DISINFECTION BY-PRODUCTS; HEALTH-RISK ASSESSMENT; ULTRAFINE PARTICLES; ASTHMA; WATER; CHLORINATION; CHLOROFORM; POLLUTION; EMPHASIS; SCHOOL</t>
        </is>
      </c>
      <c r="W1909" t="inlineStr">
        <is>
          <t>Air exposures occurring in indoor swimming pools are an important public health issue due to their popularity and regular use by the general population, including vulnerable groups such as children and elderly people. More comprehensive information on indoor air quality (IAQ) in swimming pools is thus needed in order to understand health risks, establish appropriate protective limits and provide evidence-based opportunities for improvement of IAQ in these facilities. In this context, twenty public indoor swimming pools located in the Northern Region of Portugal were examined in two sampling campaigns: January-March and May-July 2018. For each campaign, a comprehensive set of environmental parameters was monitored during the entire period of the facilities' operating hours of a weekday, both indoors and outdoors. In addition, four air (1-h samplings) and water samples were collected. Findings show that comfort conditions, ultrafine particles number concentrations and exposure to substances in the indoor air (concentration and composition) is likely to vary greatly from one public indoor swimming pool to another. Trihalomethanes (THM) and dichloroacetonitrile were the predominant disinfection by-products identified in the indoor air but other potentially hazardous volatile organic compounds, such as limonene, 1,2,4-trimethylbenzene, 2,2,4,4,6,8,8-heptamethylnonane, 2- and 3-methylbutanenitrile, acetophenone, benzonitrile, and isobutyronitrile were found to have relevant putative emission sources in the environment of the swimming pools analyzed. Furthermore, indicators of poor ventilation conditions (namely carbon dioxide, relative humidity and existence of signs of condensation in windows) and some water-related parameters (THM levels, conductivity and salinity) were found to be determining factors of the measured airborne THM concentrations that appeared to significantly potentiate the exposure. In summary, this work provides evidence for the need to establish adequate standards for the comprehensive evaluation of IAQ in public swimming pools, in order to guide further development of evidence-based prevention/remediation strategies for promoting healthy environments in swimming pools.</t>
        </is>
      </c>
      <c r="X1909" t="inlineStr">
        <is>
          <t>[Gabriel, Marta F.; Felgueiras, F.; Mourao, Z.] Inst Sci &amp; Innovat Mech &amp; Ind Engn, INEGI, Porto, Portugal; [Fernandes, E. O.] Univ Porto, Fac Engn, Porto, Portugal</t>
        </is>
      </c>
      <c r="Y1909" t="inlineStr">
        <is>
          <t>Universidade do Porto; Universidade do Porto</t>
        </is>
      </c>
      <c r="Z1909" t="inlineStr">
        <is>
          <t>Gabriel, MF (corresponding author), Inst Sci &amp; Innovat Mech &amp; Ind Engn INEGI, Energy Grp, Porto, Portugal.</t>
        </is>
      </c>
      <c r="AA1909" t="inlineStr">
        <is>
          <t>mgabriel20023@gmail.com</t>
        </is>
      </c>
      <c r="AB1909" t="inlineStr">
        <is>
          <t>Gabriel, Marta/J-2741-2014</t>
        </is>
      </c>
      <c r="AC1909" t="inlineStr">
        <is>
          <t>Gabriel, Marta/0000-0001-6920-9038; Sobral Mourao, Zenaida/0000-0002-6499-3596; Felgueiras, Fatima/0000-0002-8932-4268</t>
        </is>
      </c>
      <c r="AD1909" t="inlineStr">
        <is>
          <t>Health, Comfort and Energy in the Built Environment (HEBE) [NORTE-01-0145-FEDER-000010]; Programa Operacional Regional do Norte (NORTE2020), through Fundo Europeu de Desenvolvimento Regional (FEDER)</t>
        </is>
      </c>
      <c r="AE1909" t="inlineStr">
        <is>
          <t>Health, Comfort and Energy in the Built Environment (HEBE); Programa Operacional Regional do Norte (NORTE2020), through Fundo Europeu de Desenvolvimento Regional (FEDER)</t>
        </is>
      </c>
      <c r="AF1909" t="inlineStr">
        <is>
          <t>The authors gratefully acknowledge the funding of Project NORTE-01-0145-FEDER-000010, Health, Comfort and Energy in the Built Environment (HEBE), cofinanced by Programa Operacional Regional do Norte (NORTE2020), through Fundo Europeu de Desenvolvimento Regional (FEDER). The authors thank also to Miguel Fernandes, Raul Batista and Catarina Morais for technical help in the field work, data management and support in statistical analysis, respectively. They also express their gratitude to the several Municipalities of Northern Region of Portugal and the sportive entity for kindly accept to collaborate with the study.</t>
        </is>
      </c>
      <c r="AH1909" t="n">
        <v>47</v>
      </c>
      <c r="AI1909" t="n">
        <v>16</v>
      </c>
      <c r="AJ1909" t="n">
        <v>16</v>
      </c>
      <c r="AK1909" t="n">
        <v>1</v>
      </c>
      <c r="AL1909" t="n">
        <v>16</v>
      </c>
      <c r="AM1909" t="inlineStr">
        <is>
          <t>PERGAMON-ELSEVIER SCIENCE LTD</t>
        </is>
      </c>
      <c r="AN1909" t="inlineStr">
        <is>
          <t>OXFORD</t>
        </is>
      </c>
      <c r="AO1909" t="inlineStr">
        <is>
          <t>THE BOULEVARD, LANGFORD LANE, KIDLINGTON, OXFORD OX5 1GB, ENGLAND</t>
        </is>
      </c>
      <c r="AP1909" t="inlineStr">
        <is>
          <t>0160-4120</t>
        </is>
      </c>
      <c r="AQ1909" t="inlineStr">
        <is>
          <t>1873-6750</t>
        </is>
      </c>
      <c r="AS1909" t="inlineStr">
        <is>
          <t>ENVIRON INT</t>
        </is>
      </c>
      <c r="AT1909" t="inlineStr">
        <is>
          <t>Environ. Int.</t>
        </is>
      </c>
      <c r="AU1909" t="inlineStr">
        <is>
          <t>DEC</t>
        </is>
      </c>
      <c r="AV1909" t="n">
        <v>2019</v>
      </c>
      <c r="AW1909" t="n">
        <v>133</v>
      </c>
      <c r="AY1909" t="inlineStr">
        <is>
          <t>B</t>
        </is>
      </c>
      <c r="BE1909" t="n">
        <v>105274</v>
      </c>
      <c r="BF1909" t="inlineStr">
        <is>
          <t>10.1016/j.envint.2019.105274</t>
        </is>
      </c>
      <c r="BG1909">
        <f>HYPERLINK("http://dx.doi.org/10.1016/j.envint.2019.105274","http://dx.doi.org/10.1016/j.envint.2019.105274")</f>
        <v/>
      </c>
      <c r="BJ1909" t="n">
        <v>12</v>
      </c>
      <c r="BK1909" t="inlineStr">
        <is>
          <t>Environmental Sciences</t>
        </is>
      </c>
      <c r="BL1909" t="inlineStr">
        <is>
          <t>Science Citation Index Expanded (SCI-EXPANDED)</t>
        </is>
      </c>
      <c r="BM1909" t="inlineStr">
        <is>
          <t>Environmental Sciences &amp; Ecology</t>
        </is>
      </c>
      <c r="BN1909" t="inlineStr">
        <is>
          <t>JQ4GU</t>
        </is>
      </c>
      <c r="BO1909" t="n">
        <v>31678908</v>
      </c>
      <c r="BP1909" t="inlineStr">
        <is>
          <t>gold</t>
        </is>
      </c>
      <c r="BS1909" t="inlineStr">
        <is>
          <t>2023-10-26</t>
        </is>
      </c>
      <c r="BT1909" t="inlineStr">
        <is>
          <t>WOS:000498906200054</t>
        </is>
      </c>
      <c r="BU1909">
        <f>HYPERLINK("https%3A%2F%2Fwww.webofscience.com%2Fwos%2Fwoscc%2Ffull-record%2FWOS:000498906200054","View Full Record in Web of Science")</f>
        <v/>
      </c>
    </row>
    <row r="1910">
      <c r="A1910" t="inlineStr">
        <is>
          <t>J</t>
        </is>
      </c>
      <c r="B1910" t="inlineStr">
        <is>
          <t>Titoko, R; Lowry, JH; Osborne, T; Naikatini, A; Comely, J; Riley, R</t>
        </is>
      </c>
      <c r="F1910" t="inlineStr">
        <is>
          <t>Titoko, Richard; Lowry, John H.; Osborne, Tamara; Naikatini, Alivereti; Comely, James; Riley, Ralph</t>
        </is>
      </c>
      <c r="J1910" t="inlineStr">
        <is>
          <t>URBAN ECOSYSTEMS</t>
        </is>
      </c>
      <c r="M1910" t="inlineStr">
        <is>
          <t>English</t>
        </is>
      </c>
      <c r="N1910" t="inlineStr">
        <is>
          <t>Article</t>
        </is>
      </c>
      <c r="T1910" t="inlineStr">
        <is>
          <t>Relationship of bird richness, abundance and assemblage to the built environment in a small island tropical urban setting: a Suva, Fiji case study</t>
        </is>
      </c>
      <c r="U1910" t="inlineStr">
        <is>
          <t>Built environment; Avian ecology; Tropical oceanic islands; Urbanization; Urban planning; Urban vegetation</t>
        </is>
      </c>
      <c r="V1910" t="inlineStr">
        <is>
          <t>COMMUNITY STRUCTURE; SPECIES RICHNESS; LAND-USE; DIVERSITY; URBANIZATION; INVASION; PLANTS; NOISE</t>
        </is>
      </c>
      <c r="W1910" t="inlineStr">
        <is>
          <t>There have been few studies investigating the relationship between the built environment and the status of bird distributions in small island tropical urban areas. We present a study investigating the relationship between bird species richness, abundance and assemblage to the built environment in Suva, Fiji. Field surveys were taken at 54 randomly selected sites throughout the city, stratified by three building density classes and the central business district (CBD). At each site bird counts were recorded, along with environmental data such as average building height, within a 150 m radius. Land-use information was obtained from screen digitized high-resolution satellite imagery within the same radius. Distance to undeveloped patches of land within the urban area was calculated using a GIS. Analysis of the effects of the built environment was carried out for all species, and for exotic and native species separately. Abundance of exotics was significantly higher in the central business district (CBD) than all other urban density classes, and significantly higher than natives in all other density classes. We found a negative relationship between native species richness and distance to undeveloped patches, but no relationship for exotics. Species assemblage was not related to urban density class. We conclude that the status of native and exotic bird species in Suva is similar to what has been found in urban areas in temperate climates, and conservation efforts should focus on minimizing the amount of heavily urbanized core areas and protecting undeveloped areas of forested vegetation to improve bird biodiversity in small tropical islands cities.</t>
        </is>
      </c>
      <c r="X1910" t="inlineStr">
        <is>
          <t>[Titoko, Richard; Lowry, John H.] Univ South Pacific, Sch Geog Earth Sci &amp; Environm, Suva, Fiji; [Lowry, John H.] Massey Univ, Sch People Environm &amp; Planning, Palmerston North, New Zealand; [Osborne, Tamara] Univ South Pacific, Sch Biol &amp; Chem Sci, Suva, Fiji; [Naikatini, Alivereti] Univ South Pacific, Inst Appl Sci, South Pacific Reg Herbarium, Suva, Fiji; [Comely, James] Golder Associates Pty Ltd, Brisbane, Qld, Australia; [Riley, Ralph] Western Washington Univ, Huxley Coll Environm, Bellingham, WA 98225 USA</t>
        </is>
      </c>
      <c r="Y1910" t="inlineStr">
        <is>
          <t>University of the South Pacific; Massey University; University of the South Pacific; University of the South Pacific; Western Washington University</t>
        </is>
      </c>
      <c r="Z1910" t="inlineStr">
        <is>
          <t>Lowry, JH (corresponding author), Univ South Pacific, Sch Geog Earth Sci &amp; Environm, Suva, Fiji.;Lowry, JH (corresponding author), Massey Univ, Sch People Environm &amp; Planning, Palmerston North, New Zealand.</t>
        </is>
      </c>
      <c r="AA1910" t="inlineStr">
        <is>
          <t>titoko.r@gmail.com; john.lowry@usp.ac.fj; tamara.osborne@usp.ac.fj; alivereti.naikatini@usp.ac.ffj; JComely@golder.com.au; rhrielymail@gmail.com</t>
        </is>
      </c>
      <c r="AB1910" t="inlineStr">
        <is>
          <t>Osborne, Tamara/IUN-3461-2023; Naikatini, Alivereti/AAQ-7545-2020</t>
        </is>
      </c>
      <c r="AC1910" t="inlineStr">
        <is>
          <t>Osborne, Tamara/0000-0002-9375-1596; Titoko, Richard/0000-0002-7436-7425</t>
        </is>
      </c>
      <c r="AH1910" t="n">
        <v>50</v>
      </c>
      <c r="AI1910" t="n">
        <v>2</v>
      </c>
      <c r="AJ1910" t="n">
        <v>2</v>
      </c>
      <c r="AK1910" t="n">
        <v>3</v>
      </c>
      <c r="AL1910" t="n">
        <v>27</v>
      </c>
      <c r="AM1910" t="inlineStr">
        <is>
          <t>SPRINGER</t>
        </is>
      </c>
      <c r="AN1910" t="inlineStr">
        <is>
          <t>DORDRECHT</t>
        </is>
      </c>
      <c r="AO1910" t="inlineStr">
        <is>
          <t>VAN GODEWIJCKSTRAAT 30, 3311 GZ DORDRECHT, NETHERLANDS</t>
        </is>
      </c>
      <c r="AP1910" t="inlineStr">
        <is>
          <t>1083-8155</t>
        </is>
      </c>
      <c r="AQ1910" t="inlineStr">
        <is>
          <t>1573-1642</t>
        </is>
      </c>
      <c r="AS1910" t="inlineStr">
        <is>
          <t>URBAN ECOSYST</t>
        </is>
      </c>
      <c r="AT1910" t="inlineStr">
        <is>
          <t>Urban Ecosyst.</t>
        </is>
      </c>
      <c r="AU1910" t="inlineStr">
        <is>
          <t>AUG</t>
        </is>
      </c>
      <c r="AV1910" t="n">
        <v>2019</v>
      </c>
      <c r="AW1910" t="n">
        <v>22</v>
      </c>
      <c r="AX1910" t="n">
        <v>4</v>
      </c>
      <c r="BC1910" t="n">
        <v>709</v>
      </c>
      <c r="BD1910" t="n">
        <v>719</v>
      </c>
      <c r="BF1910" t="inlineStr">
        <is>
          <t>10.1007/s11252-019-00861-x</t>
        </is>
      </c>
      <c r="BG1910">
        <f>HYPERLINK("http://dx.doi.org/10.1007/s11252-019-00861-x","http://dx.doi.org/10.1007/s11252-019-00861-x")</f>
        <v/>
      </c>
      <c r="BJ1910" t="n">
        <v>11</v>
      </c>
      <c r="BK1910" t="inlineStr">
        <is>
          <t>Biodiversity Conservation; Ecology; Environmental Sciences; Urban Studies</t>
        </is>
      </c>
      <c r="BL1910" t="inlineStr">
        <is>
          <t>Science Citation Index Expanded (SCI-EXPANDED); Social Science Citation Index (SSCI)</t>
        </is>
      </c>
      <c r="BM1910" t="inlineStr">
        <is>
          <t>Biodiversity &amp; Conservation; Environmental Sciences &amp; Ecology; Urban Studies</t>
        </is>
      </c>
      <c r="BN1910" t="inlineStr">
        <is>
          <t>IK3YB</t>
        </is>
      </c>
      <c r="BP1910" t="inlineStr">
        <is>
          <t>Green Accepted</t>
        </is>
      </c>
      <c r="BS1910" t="inlineStr">
        <is>
          <t>2023-10-26</t>
        </is>
      </c>
      <c r="BT1910" t="inlineStr">
        <is>
          <t>WOS:000476523200008</t>
        </is>
      </c>
      <c r="BU1910">
        <f>HYPERLINK("https%3A%2F%2Fwww.webofscience.com%2Fwos%2Fwoscc%2Ffull-record%2FWOS:000476523200008","View Full Record in Web of Science")</f>
        <v/>
      </c>
    </row>
    <row r="1911">
      <c r="A1911" t="inlineStr">
        <is>
          <t>J</t>
        </is>
      </c>
      <c r="B1911" t="inlineStr">
        <is>
          <t>Hodshire, AL; Carter, E; Mattila, JM; Ilacqua, V; Zambrana, J; Abbatt, JPD; Abeleira, A; Arata, C; DeCarlo, PF; Goldstein, AH; Ruiz, LH; Vance, ME; Wang, C; Farmer, DK</t>
        </is>
      </c>
      <c r="F1911" t="inlineStr">
        <is>
          <t>Hodshire, Anna L.; Carter, Ellison; Mattila, James M.; Ilacqua, Vito; Zambrana, Jordan; Abbatt, Jonathan P. D.; Abeleira, Andrew; Arata, Caleb; DeCarlo, Peter F.; Goldstein, Allen H.; Ruiz, Lea Hildebrandt; Vance, Marina E.; Wang, Chen; Farmer, Delphine K.</t>
        </is>
      </c>
      <c r="J1911" t="inlineStr">
        <is>
          <t>ENVIRONMENTAL SCIENCE &amp; TECHNOLOGY</t>
        </is>
      </c>
      <c r="M1911" t="inlineStr">
        <is>
          <t>English</t>
        </is>
      </c>
      <c r="N1911" t="inlineStr">
        <is>
          <t>Article</t>
        </is>
      </c>
      <c r="T1911" t="inlineStr">
        <is>
          <t>Detailed Investigation of the Contribution of Gas-Phase Air Contaminants to Exposure Risk during Indoor Activities</t>
        </is>
      </c>
      <c r="U1911" t="inlineStr">
        <is>
          <t>indoor air; air pollution; atmospheric chemistry; health risk assessment; household activities</t>
        </is>
      </c>
      <c r="V1911" t="inlineStr">
        <is>
          <t>VOLATILE ORGANIC-COMPOUNDS; MASS-SPECTROMETRY; PHTHALATE-ESTERS; QUALITY; VOC; CONSEQUENCES; DETERMINANTS; BUILDINGS; EMISSIONS; ACROLEIN</t>
        </is>
      </c>
      <c r="W1911" t="inlineStr">
        <is>
          <t>Analytical capabilities in atmospheric chemistry provide new opportunities to investigate indoor air. HOMEChem was a chemically comprehensive indoor field campaign designed to investigate how common activities, such as cooking and cleaning, impacted indoor air in a test home. We combined gas-phase chemical data of all compounds, excluding those with concentrations &lt;1 ppt, with established databases of health effect thresholds to evaluate potential risks associated with gas-phase air contaminants and indoor activities. The chemical composition of indoor air is distinct from outdoor air, with gaseous compounds present at higher levels and greater diversity-and thus greater predicted hazard quotients-indoors than outdoors. Common household activities like cooking and cleaning induce rapid changes in indoor air composition, raising levels of multiple compounds with high risk quotients. The HOMEChem data highlight how strongly human activities influence the air we breathe in the built environment, increasing the health risk associated with exposure to air contaminants.</t>
        </is>
      </c>
      <c r="X1911" t="inlineStr">
        <is>
          <t>[Carter, Ellison] Colorado State Univ, Dept Civil &amp; Environm Engn, Ft Collins, CO 80521 USA; [Hodshire, Anna L.; Mattila, James M.; Abeleira, Andrew; Farmer, Delphine K.] Colorado State Univ, Dept Chem, Ft Collins, CO 80524 USA; [Mattila, James M.] US EPA, Ctr Environm Measurement &amp; Modeling, Res Triangle Pk, NC 27711 USA; [Ilacqua, Vito; Zambrana, Jordan] US EPA, Off Radiat &amp; Indoor Air, Washington, DC 20460 USA; [Abbatt, Jonathan P. D.; Wang, Chen] Univ Toronto, Dept Chem, Toronto, ON M5S 3H6, Canada; [Arata, Caleb; Goldstein, Allen H.] Univ Calif Berkeley, Dept Environm Sci Policy &amp; Management, Berkeley, CA 94720 USA; [DeCarlo, Peter F.] Johns Hopkins Univ, Dept Environm Hlth &amp; Engn, Baltimore, MD 21212 USA; [Ruiz, Lea Hildebrandt] Univ Texas Austin, McKetta Dept Chem Engn, Austin, TX 78712 USA; [Vance, Marina E.] Univ Colorado, Dept Mech Engn, Boulder, CO 80309 USA; [Wang, Chen] Southern Univ Sci &amp; Technol, Sch Environm Sci &amp; Engn, Shenzhen 518055, Peoples R China</t>
        </is>
      </c>
      <c r="Y1911" t="inlineStr">
        <is>
          <t>Colorado State University; Colorado State University; United States Environmental Protection Agency; United States Environmental Protection Agency; University of Toronto; University of California System; University of California Berkeley; Johns Hopkins University; University of Texas System; University of Texas Austin; University of Colorado System; University of Colorado Boulder; Southern University of Science &amp; Technology</t>
        </is>
      </c>
      <c r="Z1911" t="inlineStr">
        <is>
          <t>Hodshire, AL; Farmer, DK (corresponding author), Colorado State Univ, Dept Chem, Ft Collins, CO 80524 USA.</t>
        </is>
      </c>
      <c r="AA1911" t="inlineStr">
        <is>
          <t>anna@handixscientific.com; Delphine.Farmer@colostate.edu</t>
        </is>
      </c>
      <c r="AB1911" t="inlineStr">
        <is>
          <t>Ilacqua, Vito A/M-8634-2014; Wang, Chen/A-5674-2018; Goldstein, Allen/A-6857-2011; Vance, Marina/B-8711-2014</t>
        </is>
      </c>
      <c r="AC1911" t="inlineStr">
        <is>
          <t>Ilacqua, Vito A/0000-0002-7547-4281; Wang, Chen/0000-0001-9565-8777; Goldstein, Allen/0000-0003-4014-4896; Abbatt, Jonathan/0000-0002-3372-334X; Vance, Marina/0000-0003-0940-0353; DeCarlo, Peter/0000-0001-6385-7149; Mattila, James/0000-0003-3152-5144</t>
        </is>
      </c>
      <c r="AH1911" t="n">
        <v>78</v>
      </c>
      <c r="AI1911" t="n">
        <v>4</v>
      </c>
      <c r="AJ1911" t="n">
        <v>4</v>
      </c>
      <c r="AK1911" t="n">
        <v>8</v>
      </c>
      <c r="AL1911" t="n">
        <v>40</v>
      </c>
      <c r="AM1911" t="inlineStr">
        <is>
          <t>AMER CHEMICAL SOC</t>
        </is>
      </c>
      <c r="AN1911" t="inlineStr">
        <is>
          <t>WASHINGTON</t>
        </is>
      </c>
      <c r="AO1911" t="inlineStr">
        <is>
          <t>1155 16TH ST, NW, WASHINGTON, DC 20036 USA</t>
        </is>
      </c>
      <c r="AP1911" t="inlineStr">
        <is>
          <t>0013-936X</t>
        </is>
      </c>
      <c r="AQ1911" t="inlineStr">
        <is>
          <t>1520-5851</t>
        </is>
      </c>
      <c r="AS1911" t="inlineStr">
        <is>
          <t>ENVIRON SCI TECHNOL</t>
        </is>
      </c>
      <c r="AT1911" t="inlineStr">
        <is>
          <t>Environ. Sci. Technol.</t>
        </is>
      </c>
      <c r="AU1911" t="inlineStr">
        <is>
          <t>SEP 6</t>
        </is>
      </c>
      <c r="AV1911" t="n">
        <v>2022</v>
      </c>
      <c r="AW1911" t="n">
        <v>56</v>
      </c>
      <c r="AX1911" t="n">
        <v>17</v>
      </c>
      <c r="BC1911" t="n">
        <v>12148</v>
      </c>
      <c r="BD1911" t="n">
        <v>12157</v>
      </c>
      <c r="BF1911" t="inlineStr">
        <is>
          <t>10.1021/acs.est.2c01381</t>
        </is>
      </c>
      <c r="BG1911">
        <f>HYPERLINK("http://dx.doi.org/10.1021/acs.est.2c01381","http://dx.doi.org/10.1021/acs.est.2c01381")</f>
        <v/>
      </c>
      <c r="BI1911" t="inlineStr">
        <is>
          <t>AUG 2022</t>
        </is>
      </c>
      <c r="BJ1911" t="n">
        <v>10</v>
      </c>
      <c r="BK1911" t="inlineStr">
        <is>
          <t>Engineering, Environmental; Environmental Sciences</t>
        </is>
      </c>
      <c r="BL1911" t="inlineStr">
        <is>
          <t>Science Citation Index Expanded (SCI-EXPANDED)</t>
        </is>
      </c>
      <c r="BM1911" t="inlineStr">
        <is>
          <t>Engineering; Environmental Sciences &amp; Ecology</t>
        </is>
      </c>
      <c r="BN1911" t="inlineStr">
        <is>
          <t>4R3AV</t>
        </is>
      </c>
      <c r="BO1911" t="n">
        <v>35952310</v>
      </c>
      <c r="BP1911" t="inlineStr">
        <is>
          <t>Green Published</t>
        </is>
      </c>
      <c r="BS1911" t="inlineStr">
        <is>
          <t>2023-10-26</t>
        </is>
      </c>
      <c r="BT1911" t="inlineStr">
        <is>
          <t>WOS:000847310800001</t>
        </is>
      </c>
      <c r="BU1911">
        <f>HYPERLINK("https%3A%2F%2Fwww.webofscience.com%2Fwos%2Fwoscc%2Ffull-record%2FWOS:000847310800001","View Full Record in Web of Science")</f>
        <v/>
      </c>
    </row>
    <row r="1912">
      <c r="A1912" t="inlineStr">
        <is>
          <t>J</t>
        </is>
      </c>
      <c r="B1912" t="inlineStr">
        <is>
          <t>D'Addario, M; Adorni, R; Steca, P; Capelli, R; Zanatta, F; Fattirolli, F; Franzelli, C; Giannattasio, C; Greco, A</t>
        </is>
      </c>
      <c r="F1912" t="inlineStr">
        <is>
          <t>D'Addario, Marco; Adorni, Roberta; Steca, Patrizia; Capelli, Roberto; Zanatta, Francesco; Fattirolli, Francesco; Franzelli, Cristina; Giannattasio, Cristina; Greco, Andrea</t>
        </is>
      </c>
      <c r="J1912" t="inlineStr">
        <is>
          <t>INTERNATIONAL JOURNAL OF ENVIRONMENTAL RESEARCH AND PUBLIC HEALTH</t>
        </is>
      </c>
      <c r="M1912" t="inlineStr">
        <is>
          <t>English</t>
        </is>
      </c>
      <c r="N1912" t="inlineStr">
        <is>
          <t>Article</t>
        </is>
      </c>
      <c r="T1912" t="inlineStr">
        <is>
          <t>Associations between Lifestyle Changes and Adherence to COVID-19 Restrictions in Older Adults with Hypertension</t>
        </is>
      </c>
      <c r="U1912" t="inlineStr">
        <is>
          <t>COVID-19; adherence to restrictions; lifestyle change; physical activity; diet; alcohol consumption; cigarette smoking; gender</t>
        </is>
      </c>
      <c r="V1912" t="inlineStr">
        <is>
          <t>LOCKDOWN MEASURES; CORONARY; ENVIRONMENT; BEHAVIOR; ALCOHOL; DISEASE; TOBACCO; RISK</t>
        </is>
      </c>
      <c r="W1912" t="inlineStr">
        <is>
          <t>COVID-19 has changed people's routines and imposed new ways of living. This study investigated variations in lifestyles (namely, physical activity, diet, alcohol consumption, and cigarette smoking) between the prepandemic and the pandemic period in a sample of older adults with hypertension. Moreover, it investigated predictors of adherence to government restrictions during the first lockdown period, evidencing the role of relevant sociodemographic indicators and lifestyle changes. A sample of 105 older Italian adults (M_age = 70 years; SD = 5.83) with hypertension was enrolled from a previous longitudinal study and interviewed on the phone between May and August 2020. Updated information about sociodemographic indicators and lifestyle changes was collected. Adherence to restrictions was explored through several questions regarding compliance with home confinement, facemask use, and the observance of social distancing. Results evidenced that only 33% of the respondents abided by all the national restrictions. During the first pandemic peak, considerable changes in lifestyles occurred, particularly regarding physical activity, which diminished in 70% of the sample. Women, unemployed/retired people, and individuals who decreased their amount of physical activity reported higher adherence to rules. Maintaining a healthy lifestyle over time is essential for disease prevention. Therefore, it is essential to continue to inform the population about the importance of a healthy lifestyle, and it is necessary to provide guidelines to maintain and promote it even during housebound periods.</t>
        </is>
      </c>
      <c r="X1912" t="inlineStr">
        <is>
          <t>[D'Addario, Marco; Adorni, Roberta; Steca, Patrizia; Zanatta, Francesco] Univ Milano Bicocca, Dept Psychol, I-20126 Milan, Italy; [Capelli, Roberto; Greco, Andrea] Univ Bergamo, Dept Human &amp; Social Sci, I-24129 Bergamo, Italy; [Fattirolli, Francesco] Univ Florence, Dept Med &amp; Surg Crit Care, Cardiac Rehabil Unit, I-50139 Florence, Italy; [Fattirolli, Francesco] Azienda Osped Univ Careggi, I-50134 Florence, Italy; [Franzelli, Cristina] ASST Gaetano Pini CTO, Cardiac Pulm Rehabil, I-20122 Milan, Italy; [Giannattasio, Cristina] Univ Milano Bicocca, Sch Med &amp; Surg, I-20126 Milan, Italy; [Giannattasio, Cristina] Osped Niguarda Ca Granda, A De Gasperis Dept, Cardiol 4, I-20162 Milan, Italy</t>
        </is>
      </c>
      <c r="Y1912" t="inlineStr">
        <is>
          <t>University of Milano-Bicocca; University of Bergamo; University of Florence; University of Florence; Azienda Ospedaliero Universitaria Careggi; ASST Gaetano Pini CTO; University of Milano-Bicocca; Ospedale Niguarda Ca' Granda; IRCCS Ca Granda Ospedale Maggiore Policlinico</t>
        </is>
      </c>
      <c r="Z1912" t="inlineStr">
        <is>
          <t>Adorni, R (corresponding author), Univ Milano Bicocca, Dept Psychol, I-20126 Milan, Italy.</t>
        </is>
      </c>
      <c r="AA1912" t="inlineStr">
        <is>
          <t>marco.daddario@unimib.it; roberta.adornil@unimib.it; patrizia.steca@unimib.it; roberto.capelli@guest.unibg.it; francesco.zanatta@unimib.it; francesco.fattirolli@unifi.it; cristina.franzelli@asst-pini-cto.it; cristina.giannattasio@unimib.it; andrea.greco@unibg.it</t>
        </is>
      </c>
      <c r="AB1912" t="inlineStr">
        <is>
          <t>Greco, Andrea/I-7266-2016</t>
        </is>
      </c>
      <c r="AC1912" t="inlineStr">
        <is>
          <t>Greco, Andrea/0000-0002-8086-2801; Zanatta, Francesco/0000-0002-6995-4190; D'ADDARIO, MARCO/0000-0002-7659-885X; Adorni, Roberta/0000-0002-2851-8376</t>
        </is>
      </c>
      <c r="AD1912" t="inlineStr">
        <is>
          <t>FIRB (Futuro in Ricerca) Grant from the Italian Ministry of Education, University, and Research [RBFR08YVUL]</t>
        </is>
      </c>
      <c r="AE1912" t="inlineStr">
        <is>
          <t>FIRB (Futuro in Ricerca) Grant from the Italian Ministry of Education, University, and Research</t>
        </is>
      </c>
      <c r="AF1912" t="inlineStr">
        <is>
          <t>This research was funded by a FIRB (Futuro in Ricerca) Grant from the Italian Ministry of Education, University, and Research (ref. RBFR08YVUL).</t>
        </is>
      </c>
      <c r="AH1912" t="n">
        <v>66</v>
      </c>
      <c r="AI1912" t="n">
        <v>0</v>
      </c>
      <c r="AJ1912" t="n">
        <v>0</v>
      </c>
      <c r="AK1912" t="n">
        <v>0</v>
      </c>
      <c r="AL1912" t="n">
        <v>6</v>
      </c>
      <c r="AM1912" t="inlineStr">
        <is>
          <t>MDPI</t>
        </is>
      </c>
      <c r="AN1912" t="inlineStr">
        <is>
          <t>BASEL</t>
        </is>
      </c>
      <c r="AO1912" t="inlineStr">
        <is>
          <t>ST ALBAN-ANLAGE 66, CH-4052 BASEL, SWITZERLAND</t>
        </is>
      </c>
      <c r="AQ1912" t="inlineStr">
        <is>
          <t>1660-4601</t>
        </is>
      </c>
      <c r="AS1912" t="inlineStr">
        <is>
          <t>INT J ENV RES PUB HE</t>
        </is>
      </c>
      <c r="AT1912" t="inlineStr">
        <is>
          <t>Int. J. Environ. Res. Public Health</t>
        </is>
      </c>
      <c r="AU1912" t="inlineStr">
        <is>
          <t>JUL</t>
        </is>
      </c>
      <c r="AV1912" t="n">
        <v>2022</v>
      </c>
      <c r="AW1912" t="n">
        <v>19</v>
      </c>
      <c r="AX1912" t="n">
        <v>13</v>
      </c>
      <c r="BE1912" t="n">
        <v>7853</v>
      </c>
      <c r="BF1912" t="inlineStr">
        <is>
          <t>10.3390/ijerph19137853</t>
        </is>
      </c>
      <c r="BG1912">
        <f>HYPERLINK("http://dx.doi.org/10.3390/ijerph19137853","http://dx.doi.org/10.3390/ijerph19137853")</f>
        <v/>
      </c>
      <c r="BJ1912" t="n">
        <v>15</v>
      </c>
      <c r="BK1912" t="inlineStr">
        <is>
          <t>Environmental Sciences; Public, Environmental &amp; Occupational Health</t>
        </is>
      </c>
      <c r="BL1912" t="inlineStr">
        <is>
          <t>Science Citation Index Expanded (SCI-EXPANDED); Social Science Citation Index (SSCI)</t>
        </is>
      </c>
      <c r="BM1912" t="inlineStr">
        <is>
          <t>Environmental Sciences &amp; Ecology; Public, Environmental &amp; Occupational Health</t>
        </is>
      </c>
      <c r="BN1912" t="inlineStr">
        <is>
          <t>2Y1JW</t>
        </is>
      </c>
      <c r="BO1912" t="n">
        <v>35805511</v>
      </c>
      <c r="BP1912" t="inlineStr">
        <is>
          <t>Green Published, gold</t>
        </is>
      </c>
      <c r="BS1912" t="inlineStr">
        <is>
          <t>2023-10-26</t>
        </is>
      </c>
      <c r="BT1912" t="inlineStr">
        <is>
          <t>WOS:000825649600001</t>
        </is>
      </c>
      <c r="BU1912">
        <f>HYPERLINK("https%3A%2F%2Fwww.webofscience.com%2Fwos%2Fwoscc%2Ffull-record%2FWOS:000825649600001","View Full Record in Web of Science")</f>
        <v/>
      </c>
    </row>
    <row r="1913">
      <c r="A1913" t="inlineStr">
        <is>
          <t>J</t>
        </is>
      </c>
      <c r="B1913" t="inlineStr">
        <is>
          <t>Wang, HL; Huang, W; Zhao, YN</t>
        </is>
      </c>
      <c r="F1913" t="inlineStr">
        <is>
          <t>Wang, Haolin; Huang, Wendy Y.; Zhao, Yanan</t>
        </is>
      </c>
      <c r="J1913" t="inlineStr">
        <is>
          <t>INTERNATIONAL JOURNAL OF ENVIRONMENTAL RESEARCH AND PUBLIC HEALTH</t>
        </is>
      </c>
      <c r="M1913" t="inlineStr">
        <is>
          <t>English</t>
        </is>
      </c>
      <c r="N1913" t="inlineStr">
        <is>
          <t>Review</t>
        </is>
      </c>
      <c r="T1913" t="inlineStr">
        <is>
          <t>Efficacy of Exercise on Muscle Function and Physical Performance in Older Adults with Sarcopenia: An Updated Systematic Review and Meta-Analysis</t>
        </is>
      </c>
      <c r="U1913" t="inlineStr">
        <is>
          <t>exercise; older adult; sarcopenia; muscle strength; muscle mass; muscle function; physical performance</t>
        </is>
      </c>
      <c r="V1913" t="inlineStr">
        <is>
          <t>WHOLE-BODY VIBRATION; LIFE-STYLE INTERVENTIONS; STRENGTH; MASS; WOMEN; SUPPLEMENTATION; OBESITY; SPEED; AGE</t>
        </is>
      </c>
      <c r="W1913" t="inlineStr">
        <is>
          <t>This study aimed to analyze the efficacy of exercise interventions on muscle strength, muscle mass, and physical performance in older adults with sarcopenia. Randomized controlled studies assessing exercise effects on sarcopenia were searched in Web of Science, PubMed, Cochrane Library, ProQuest, EBSCOhost, Scopus, EMBASE, and VIP and CNKI up to 31 March 2022. Data were expressed as weighted/standardized mean difference (MD/SMD) with 95% confidence intervals (CI). I-2 index was employed for heterogeneity. The initial search identified 5379 studies, and 23 studies involving 1252 participants met the inclusion criteria for further analysis. Results revealed that exercise interventions can significantly improve grip strength (MD = 2.38, 95%CI = 1.33-3.43), knee extension strength (SMD = 0.50, 95%CI = 0.36-0.64), muscle mass of lower extremities (MD = 0.28, 95%CI = 0.01-0.56), walking speed (SMD = 0.88, 95%CI = 0.49-1.27), and functional mobility (MD = -1.77, 95%CI = -2.11--1.42) among older adults with sarcopenia. No significant exercise effects were found on fat-free muscle mass, appendicular muscle mass, skeletal muscle mass, and muscle mass of the upper extremities. The results of subgroup analysis indicated that both resistance training and multicomponent exercise could significantly increase the muscle strength, while aerobic exercise did not. The findings suggest that exercise intervention can effectively improve muscle function and physical performance in older adults with sarcopenia, but has limited effects on the muscle mass of the upper extremities. In addition, it is highly recommended to apply group-based and supervised resistance training and multicomponent exercise in the prevention and treatment of sarcopenia among the older population.</t>
        </is>
      </c>
      <c r="X1913" t="inlineStr">
        <is>
          <t>[Wang, Haolin; Zhao, Yanan] Nanjing Normal Univ, Sch Sports Sci &amp; Phys Educ, Nanjing 210023, Peoples R China; [Huang, Wendy Y.] Hong Kong Baptist Univ, Dept Sport Phys Educ &amp; Hlth, Hong Kong 00852, Peoples R China</t>
        </is>
      </c>
      <c r="Y1913" t="inlineStr">
        <is>
          <t>Nanjing Normal University; Hong Kong Baptist University</t>
        </is>
      </c>
      <c r="Z1913" t="inlineStr">
        <is>
          <t>Zhao, YN (corresponding author), Nanjing Normal Univ, Sch Sports Sci &amp; Phys Educ, Nanjing 210023, Peoples R China.</t>
        </is>
      </c>
      <c r="AA1913" t="inlineStr">
        <is>
          <t>haolin_wang@njnu.edu.cn; wendyhuang@hkbu.edu.hk; ynzhao@njnu.edu.cn</t>
        </is>
      </c>
      <c r="AC1913" t="inlineStr">
        <is>
          <t>Zhao, Yanan/0000-0001-5313-6671; Huang, Wendy/0000-0003-3995-1121</t>
        </is>
      </c>
      <c r="AD1913" t="inlineStr">
        <is>
          <t>National Natural Science Foundation of China [81801387]</t>
        </is>
      </c>
      <c r="AE1913" t="inlineStr">
        <is>
          <t>National Natural Science Foundation of China(National Natural Science Foundation of China (NSFC))</t>
        </is>
      </c>
      <c r="AF1913" t="inlineStr">
        <is>
          <t>This research was funded by the National Natural Science Foundation of China, grant number 81801387.</t>
        </is>
      </c>
      <c r="AH1913" t="n">
        <v>64</v>
      </c>
      <c r="AI1913" t="n">
        <v>13</v>
      </c>
      <c r="AJ1913" t="n">
        <v>13</v>
      </c>
      <c r="AK1913" t="n">
        <v>19</v>
      </c>
      <c r="AL1913" t="n">
        <v>35</v>
      </c>
      <c r="AM1913" t="inlineStr">
        <is>
          <t>MDPI</t>
        </is>
      </c>
      <c r="AN1913" t="inlineStr">
        <is>
          <t>BASEL</t>
        </is>
      </c>
      <c r="AO1913" t="inlineStr">
        <is>
          <t>ST ALBAN-ANLAGE 66, CH-4052 BASEL, SWITZERLAND</t>
        </is>
      </c>
      <c r="AQ1913" t="inlineStr">
        <is>
          <t>1660-4601</t>
        </is>
      </c>
      <c r="AS1913" t="inlineStr">
        <is>
          <t>INT J ENV RES PUB HE</t>
        </is>
      </c>
      <c r="AT1913" t="inlineStr">
        <is>
          <t>Int. J. Environ. Res. Public Health</t>
        </is>
      </c>
      <c r="AU1913" t="inlineStr">
        <is>
          <t>JUL</t>
        </is>
      </c>
      <c r="AV1913" t="n">
        <v>2022</v>
      </c>
      <c r="AW1913" t="n">
        <v>19</v>
      </c>
      <c r="AX1913" t="n">
        <v>13</v>
      </c>
      <c r="BE1913" t="n">
        <v>8212</v>
      </c>
      <c r="BF1913" t="inlineStr">
        <is>
          <t>10.3390/ijerph19138212</t>
        </is>
      </c>
      <c r="BG1913">
        <f>HYPERLINK("http://dx.doi.org/10.3390/ijerph19138212","http://dx.doi.org/10.3390/ijerph19138212")</f>
        <v/>
      </c>
      <c r="BJ1913" t="n">
        <v>16</v>
      </c>
      <c r="BK1913" t="inlineStr">
        <is>
          <t>Environmental Sciences; Public, Environmental &amp; Occupational Health</t>
        </is>
      </c>
      <c r="BL1913" t="inlineStr">
        <is>
          <t>Science Citation Index Expanded (SCI-EXPANDED); Social Science Citation Index (SSCI)</t>
        </is>
      </c>
      <c r="BM1913" t="inlineStr">
        <is>
          <t>Environmental Sciences &amp; Ecology; Public, Environmental &amp; Occupational Health</t>
        </is>
      </c>
      <c r="BN1913" t="inlineStr">
        <is>
          <t>2W1NU</t>
        </is>
      </c>
      <c r="BO1913" t="n">
        <v>35805870</v>
      </c>
      <c r="BP1913" t="inlineStr">
        <is>
          <t>Green Published, gold</t>
        </is>
      </c>
      <c r="BS1913" t="inlineStr">
        <is>
          <t>2023-10-26</t>
        </is>
      </c>
      <c r="BT1913" t="inlineStr">
        <is>
          <t>WOS:000824300100001</t>
        </is>
      </c>
      <c r="BU1913">
        <f>HYPERLINK("https%3A%2F%2Fwww.webofscience.com%2Fwos%2Fwoscc%2Ffull-record%2FWOS:000824300100001","View Full Record in Web of Science")</f>
        <v/>
      </c>
    </row>
    <row r="1914">
      <c r="A1914" t="inlineStr">
        <is>
          <t>J</t>
        </is>
      </c>
      <c r="B1914" t="inlineStr">
        <is>
          <t>Ellena, M; Breil, M; Soriani, S</t>
        </is>
      </c>
      <c r="F1914" t="inlineStr">
        <is>
          <t>Ellena, Marta; Breil, Margaretha; Soriani, Stefano</t>
        </is>
      </c>
      <c r="J1914" t="inlineStr">
        <is>
          <t>URBAN CLIMATE</t>
        </is>
      </c>
      <c r="M1914" t="inlineStr">
        <is>
          <t>English</t>
        </is>
      </c>
      <c r="N1914" t="inlineStr">
        <is>
          <t>Review</t>
        </is>
      </c>
      <c r="T1914" t="inlineStr">
        <is>
          <t>The heat-health nexus in the urban context: A systematic literature review exploring the socio-economic vulnerabilities and built environment characteristics</t>
        </is>
      </c>
      <c r="U1914" t="inlineStr">
        <is>
          <t>Climate change; Enhanced exposure; Heat; Sensitivity; Urban</t>
        </is>
      </c>
      <c r="V1914" t="inlineStr">
        <is>
          <t>NEW-YORK-CITY; CLIMATE-CHANGE; MORTALITY; STRESS; CITIES; IMPACT; RISK; NEIGHBORHOOD; AREA; SUSTAINABILITY</t>
        </is>
      </c>
      <c r="W1914" t="inlineStr">
        <is>
          <t>Of all-natural disasters, extreme high temperatures events are the main cause of weather-related mortality. The compact urban settings of cities, the dependency on infrastructural systems as well as the larger concentration of people and economic activities make urban areas particularly vulnerable to health risks due to heat. To investigate vulnerabilities to heat, the study illustrates how vulnerability factors together with the hazard and the urban parameters determine the nexus between the heat and the health outcome, here called heat-health nexus. Peer-reviewed articles with no language limitations were searched from the first available record subjected to the imposed selection criteria. First, the information related to the study area were analysed, taking into consideration the level of resolution to investigate the scale of analysis. Then, the specific hazard parameters, divided in simple or combined weather indices, were evaluated. For sensitivity and adaptive capacity aspects, the study considered four distinct categories of determinants: mental and physical health, demographics, social and economic status. Finally, when looking at enhanced exposure, groups of determinants of vulnerability, divided between those describing indoor and outdoor environment conditions were analysed. Results demonstrated a heterogeneous spatial distribution of the identified case studies about heat and health in the urban context and highlighted different characteristics related to climate hazard, exposure, vulnerability and enhanced exposure factors in relation to the health of the population. This literature review demonstrate that a detailed identification of sensitivity, adaptive capacity and enhanced exposure elements is crucial in the implementation of effective adaptation measures in the health context.</t>
        </is>
      </c>
      <c r="X1914" t="inlineStr">
        <is>
          <t>[Ellena, Marta] Univ Ca Foscari Venezia, Dept Environm Sci Informat &amp; Stat, I-3246 Venice, Italy; [Ellena, Marta; Breil, Margaretha] Fdn Ctr Euromediterraneo Cambiamenti Climat CMCC, I-30175 Marghera, Italy; [Soriani, Stefano] Univ Ca Foscari Venezia, Dept Econ, I-3246 Venice, Italy</t>
        </is>
      </c>
      <c r="Y1914" t="inlineStr">
        <is>
          <t>Universita Ca Foscari Venezia; Centro Euro-Mediterraneo sui Cambiamenti Climatici (CMCC); Universita Ca Foscari Venezia</t>
        </is>
      </c>
      <c r="Z1914" t="inlineStr">
        <is>
          <t>Ellena, M (corresponding author), Univ Ca Foscari Venezia, Dept Environm Sci Informat &amp; Stat, Via Torino 155, I-30172 Venice, VE, Italy.</t>
        </is>
      </c>
      <c r="AA1914" t="inlineStr">
        <is>
          <t>marta.ellena@unive.it; margaretha.breil@cmcc.it; soriani@unive.it</t>
        </is>
      </c>
      <c r="AB1914" t="inlineStr">
        <is>
          <t>Ellena, Marta/HHZ-4437-2022; Ellena, Marta/HGD-4303-2022</t>
        </is>
      </c>
      <c r="AC1914" t="inlineStr">
        <is>
          <t>Ellena, Marta/0000-0003-3272-556X;</t>
        </is>
      </c>
      <c r="AD1914" t="inlineStr">
        <is>
          <t>Universita Ca' Foscari Venezia -VERA (Venice centre in Economic and Risk Analytics for public policies) [H76C18000640001]</t>
        </is>
      </c>
      <c r="AE1914" t="inlineStr">
        <is>
          <t>Universita Ca' Foscari Venezia -VERA (Venice centre in Economic and Risk Analytics for public policies)</t>
        </is>
      </c>
      <c r="AF1914" t="inlineStr">
        <is>
          <t>Universita Ca' Foscari Venezia -VERA (Venice centre in Economic and Risk Analytics for public policies), grant ID: H76C18000640001 funding is acknowledged.</t>
        </is>
      </c>
      <c r="AH1914" t="n">
        <v>110</v>
      </c>
      <c r="AI1914" t="n">
        <v>36</v>
      </c>
      <c r="AJ1914" t="n">
        <v>37</v>
      </c>
      <c r="AK1914" t="n">
        <v>6</v>
      </c>
      <c r="AL1914" t="n">
        <v>54</v>
      </c>
      <c r="AM1914" t="inlineStr">
        <is>
          <t>ELSEVIER</t>
        </is>
      </c>
      <c r="AN1914" t="inlineStr">
        <is>
          <t>AMSTERDAM</t>
        </is>
      </c>
      <c r="AO1914" t="inlineStr">
        <is>
          <t>RADARWEG 29, 1043 NX AMSTERDAM, NETHERLANDS</t>
        </is>
      </c>
      <c r="AP1914" t="inlineStr">
        <is>
          <t>2212-0955</t>
        </is>
      </c>
      <c r="AS1914" t="inlineStr">
        <is>
          <t>URBAN CLIM</t>
        </is>
      </c>
      <c r="AT1914" t="inlineStr">
        <is>
          <t>Urban CLim.</t>
        </is>
      </c>
      <c r="AU1914" t="inlineStr">
        <is>
          <t>DEC</t>
        </is>
      </c>
      <c r="AV1914" t="n">
        <v>2020</v>
      </c>
      <c r="AW1914" t="n">
        <v>34</v>
      </c>
      <c r="BE1914" t="n">
        <v>100676</v>
      </c>
      <c r="BF1914" t="inlineStr">
        <is>
          <t>10.1016/j.uclim.2020.100676</t>
        </is>
      </c>
      <c r="BG1914">
        <f>HYPERLINK("http://dx.doi.org/10.1016/j.uclim.2020.100676","http://dx.doi.org/10.1016/j.uclim.2020.100676")</f>
        <v/>
      </c>
      <c r="BJ1914" t="n">
        <v>20</v>
      </c>
      <c r="BK1914" t="inlineStr">
        <is>
          <t>Environmental Sciences; Meteorology &amp; Atmospheric Sciences</t>
        </is>
      </c>
      <c r="BL1914" t="inlineStr">
        <is>
          <t>Science Citation Index Expanded (SCI-EXPANDED); Social Science Citation Index (SSCI)</t>
        </is>
      </c>
      <c r="BM1914" t="inlineStr">
        <is>
          <t>Environmental Sciences &amp; Ecology; Meteorology &amp; Atmospheric Sciences</t>
        </is>
      </c>
      <c r="BN1914" t="inlineStr">
        <is>
          <t>OY6XO</t>
        </is>
      </c>
      <c r="BP1914" t="inlineStr">
        <is>
          <t>hybrid, Green Published</t>
        </is>
      </c>
      <c r="BS1914" t="inlineStr">
        <is>
          <t>2023-10-26</t>
        </is>
      </c>
      <c r="BT1914" t="inlineStr">
        <is>
          <t>WOS:000594388100001</t>
        </is>
      </c>
      <c r="BU1914">
        <f>HYPERLINK("https%3A%2F%2Fwww.webofscience.com%2Fwos%2Fwoscc%2Ffull-record%2FWOS:000594388100001","View Full Record in Web of Science")</f>
        <v/>
      </c>
    </row>
    <row r="1915">
      <c r="A1915" t="inlineStr">
        <is>
          <t>J</t>
        </is>
      </c>
      <c r="B1915" t="inlineStr">
        <is>
          <t>Maantay, J; Maroko, A</t>
        </is>
      </c>
      <c r="F1915" t="inlineStr">
        <is>
          <t>Maantay, Juliana; Maroko, Andrew</t>
        </is>
      </c>
      <c r="J1915" t="inlineStr">
        <is>
          <t>ENVIRONMENTAL RESEARCH LETTERS</t>
        </is>
      </c>
      <c r="M1915" t="inlineStr">
        <is>
          <t>English</t>
        </is>
      </c>
      <c r="N1915" t="inlineStr">
        <is>
          <t>Article</t>
        </is>
      </c>
      <c r="T1915" t="inlineStr">
        <is>
          <t>'At-risk' places: inequities in the distribution of environmental stressors and prescription rates of mental health medications in Glasgow, Scotland</t>
        </is>
      </c>
      <c r="U1915" t="inlineStr">
        <is>
          <t>mental health; built environment; vacant and derelict land; Glasgow; health inequities; deprivation</t>
        </is>
      </c>
      <c r="V1915" t="inlineStr">
        <is>
          <t>URBAN BUILT ENVIRONMENT; DEPRESSIVE SYMPTOMS; PUBLIC-HEALTH; NEIGHBORHOOD CHARACTERISTICS; AIR-POLLUTION; SERVICE USE; BROWNFIELDS; ASSOCIATION; MORTALITY; HAZARDS</t>
        </is>
      </c>
      <c r="W1915" t="inlineStr">
        <is>
          <t>Using geospatial analytical methods, this study examines the association between one aspect of the built environment, namely, the concentration of vacant and derelict land (VDL), and the prevalence of mental health disorders (using the proxy variable of mental health medication prescription rates) in Glasgow, Scotland. This study builds on our previous research, which demonstrated the spatial correspondence between the locations of VDL in Glasgow and several physical health outcomes. Numerous studies of other locales have found similar correspondence between different elements of the built environment and various health outcomes. This is the first study of its kind to look at the spatial concentration of vacant and derelict land in relation to mental health, socio-economic indicators, environmental justice, and health inequities. The findings of this study demonstrate an inequity with respect to the distribution of vacant and derelict land, as confirmed by Pearson correlations between VDL density and deprivation (r = .521, p &lt; .001). This suggests that many deprived communities are disproportionately burdened with environmental impacts and psychosocial stressors associated with this land use. Regression analyses show a significant positive association between the proportion of the population who were prescribed medication for anxiety, depression, or psychosis and the density of vacant and derelict land while adjusting for socio-demographic characteristics. This indicates that areas with higher VDL densities tend to exhibit higher rates of mental health issues. Based on these findings, strategies for constructive re-use of VDL are proposed.</t>
        </is>
      </c>
      <c r="X1915" t="inlineStr">
        <is>
          <t>[Maantay, Juliana] CUNY Herbert H Lehman Coll, Dept Earth Environm &amp; Geospatial Sci, Bronx, NY 10468 USA; [Maantay, Juliana; Maroko, Andrew] CUNY, Grad Ctr, PhD Program Earth &amp; Environm Sci, New York, NY USA; [Maantay, Juliana; Maroko, Andrew] CUNY, Sch Publ Hlth, New York, NY USA; [Maantay, Juliana; Maroko, Andrew] CUNY, Grad Ctr, DPH Program Publ Hlth, New York, NY USA; [Maantay, Juliana; Maroko, Andrew] CUNY Herbert H Lehman Coll, Urban GISc Lab, Bronx, NY USA; [Maroko, Andrew] CUNY Herbert H Lehman Coll, Dept Hlth Sci, Bronx, NY USA</t>
        </is>
      </c>
      <c r="Y1915" t="inlineStr">
        <is>
          <t>City University of New York (CUNY) System; Lehman College (CUNY); City University of New York (CUNY) System; City University of New York (CUNY) System; City University of New York (CUNY) System; City University of New York (CUNY) System; Lehman College (CUNY); City University of New York (CUNY) System; Lehman College (CUNY)</t>
        </is>
      </c>
      <c r="Z1915" t="inlineStr">
        <is>
          <t>Maantay, J (corresponding author), CUNY Herbert H Lehman Coll, Dept Earth Environm &amp; Geospatial Sci, Bronx, NY 10468 USA.</t>
        </is>
      </c>
      <c r="AA1915" t="inlineStr">
        <is>
          <t>Juliana.maantay@lehman.cuny.edu</t>
        </is>
      </c>
      <c r="AC1915" t="inlineStr">
        <is>
          <t>Maroko, Andrew/0000-0002-9398-2386</t>
        </is>
      </c>
      <c r="AD1915" t="inlineStr">
        <is>
          <t>Urban Lab, Glasgow School of Art/Mackintosh School of Architecture, Glasgow; Glasgow City Council's Development and Regeneration Services (DRS); City University of New York, School of Public Health; Department of Earth, Environmental, and Geospatial Sciences, Lehman College, CUNY; Mackintosh School of Architecture's Urban Lab; Glasgow DRS</t>
        </is>
      </c>
      <c r="AE1915" t="inlineStr">
        <is>
          <t>Urban Lab, Glasgow School of Art/Mackintosh School of Architecture, Glasgow; Glasgow City Council's Development and Regeneration Services (DRS); City University of New York, School of Public Health; Department of Earth, Environmental, and Geospatial Sciences, Lehman College, CUNY; Mackintosh School of Architecture's Urban Lab; Glasgow DRS</t>
        </is>
      </c>
      <c r="AF1915" t="inlineStr">
        <is>
          <t>The authors would like to thank the following institutions and organizations for their support of this research: The Urban Lab, Glasgow School of Art/Mackintosh School of Architecture, Glasgow; Glasgow City Council's Development and Regeneration Services (DRS); City University of New York, School of Public Health; and the Department of Earth, Environmental, and Geospatial Sciences, Lehman College, CUNY. The inception of this research was initially made possible through a Distinguished Chair Award received by Dr Maantay from the US-UK Fulbright Commission 2011-2012, and sponsored by the Mackintosh School of Architecture's Urban Lab and the Glasgow DRS.</t>
        </is>
      </c>
      <c r="AH1915" t="n">
        <v>63</v>
      </c>
      <c r="AI1915" t="n">
        <v>10</v>
      </c>
      <c r="AJ1915" t="n">
        <v>10</v>
      </c>
      <c r="AK1915" t="n">
        <v>0</v>
      </c>
      <c r="AL1915" t="n">
        <v>43</v>
      </c>
      <c r="AM1915" t="inlineStr">
        <is>
          <t>IOP PUBLISHING LTD</t>
        </is>
      </c>
      <c r="AN1915" t="inlineStr">
        <is>
          <t>BRISTOL</t>
        </is>
      </c>
      <c r="AO1915" t="inlineStr">
        <is>
          <t>TEMPLE CIRCUS, TEMPLE WAY, BRISTOL BS1 6BE, ENGLAND</t>
        </is>
      </c>
      <c r="AP1915" t="inlineStr">
        <is>
          <t>1748-9326</t>
        </is>
      </c>
      <c r="AS1915" t="inlineStr">
        <is>
          <t>ENVIRON RES LETT</t>
        </is>
      </c>
      <c r="AT1915" t="inlineStr">
        <is>
          <t>Environ. Res. Lett.</t>
        </is>
      </c>
      <c r="AU1915" t="inlineStr">
        <is>
          <t>NOV</t>
        </is>
      </c>
      <c r="AV1915" t="n">
        <v>2015</v>
      </c>
      <c r="AW1915" t="n">
        <v>10</v>
      </c>
      <c r="AX1915" t="n">
        <v>11</v>
      </c>
      <c r="BE1915" t="n">
        <v>115003</v>
      </c>
      <c r="BF1915" t="inlineStr">
        <is>
          <t>10.1088/1748-9326/10/11/115003</t>
        </is>
      </c>
      <c r="BG1915">
        <f>HYPERLINK("http://dx.doi.org/10.1088/1748-9326/10/11/115003","http://dx.doi.org/10.1088/1748-9326/10/11/115003")</f>
        <v/>
      </c>
      <c r="BJ1915" t="n">
        <v>16</v>
      </c>
      <c r="BK1915" t="inlineStr">
        <is>
          <t>Environmental Sciences; Meteorology &amp; Atmospheric Sciences</t>
        </is>
      </c>
      <c r="BL1915" t="inlineStr">
        <is>
          <t>Science Citation Index Expanded (SCI-EXPANDED); Social Science Citation Index (SSCI)</t>
        </is>
      </c>
      <c r="BM1915" t="inlineStr">
        <is>
          <t>Environmental Sciences &amp; Ecology; Meteorology &amp; Atmospheric Sciences</t>
        </is>
      </c>
      <c r="BN1915" t="inlineStr">
        <is>
          <t>CZ6ZO</t>
        </is>
      </c>
      <c r="BP1915" t="inlineStr">
        <is>
          <t>gold</t>
        </is>
      </c>
      <c r="BS1915" t="inlineStr">
        <is>
          <t>2023-10-26</t>
        </is>
      </c>
      <c r="BT1915" t="inlineStr">
        <is>
          <t>WOS:000367249900031</t>
        </is>
      </c>
      <c r="BU1915">
        <f>HYPERLINK("https%3A%2F%2Fwww.webofscience.com%2Fwos%2Fwoscc%2Ffull-record%2FWOS:000367249900031","View Full Record in Web of Science")</f>
        <v/>
      </c>
    </row>
    <row r="1916">
      <c r="A1916" t="inlineStr">
        <is>
          <t>J</t>
        </is>
      </c>
      <c r="B1916" t="inlineStr">
        <is>
          <t>Starke, KR; Hegewald, J; Schmauder, S; Kaboth, P; Uhlmann, LM; Reissig, D; Kaufmann, KK; Wegge, J; Marquardt, G; Seidler, A</t>
        </is>
      </c>
      <c r="F1916" t="inlineStr">
        <is>
          <t>Starke, Karla Romero; Hegewald, Janice; Schmauder, Stefanie; Kaboth, Pauline; Uhlmann, Lena Marie; Reissig, David; Kaufmann, Kristin Klaudia; Wegge, Juergen; Marquardt, Gesine; Seidler, Andreas</t>
        </is>
      </c>
      <c r="J1916" t="inlineStr">
        <is>
          <t>INTERNATIONAL JOURNAL OF ENVIRONMENTAL RESEARCH AND PUBLIC HEALTH</t>
        </is>
      </c>
      <c r="M1916" t="inlineStr">
        <is>
          <t>English</t>
        </is>
      </c>
      <c r="N1916" t="inlineStr">
        <is>
          <t>Article</t>
        </is>
      </c>
      <c r="T1916" t="inlineStr">
        <is>
          <t>Health and Care Dependency of Older Adults in Dresden, Germany: Results from the LAB60+Study</t>
        </is>
      </c>
      <c r="U1916" t="inlineStr">
        <is>
          <t>healthy ageing; older adults; need for care; well-being; health-related quality of life; physical health; mental health; multimorbidity</t>
        </is>
      </c>
      <c r="V1916" t="inlineStr">
        <is>
          <t>QUALITY-OF-LIFE; SOCIOECONOMIC INEQUALITIES; INTERVIEW SURVEY; AGE; MULTIMORBIDITY; DISABILITY; PATTERNS; DEFINITION; PREVALENCE; PEOPLE</t>
        </is>
      </c>
      <c r="W1916" t="inlineStr">
        <is>
          <t>As the population in Europe ages, an increased focus on the health of older adults is necessary. The purpose of the population-based LAB60+ study was to examine the current health and care situation of the population of older adults in Dresden, Germany, and to assess the effect of age, gender, and socioeconomic status (SES) on health outcomes. In the first half of 2021, 2399 out of 6004 randomly sampled residents of Dresden aged 60 years or older answered questions on their chronic conditions, care dependency, health-related quality of life (HRQoL), and well-being, among others. Of the participants, 91.6% were afflicted with at least one chronic condition, and 73.1% had multimorbidities. More than one-tenth (11.3%) of participants were care dependent. Lower levels of HRQoL and well-being were observed compared to a published German reference population, perhaps because of the ongoing COVID-19 pandemic. Gender differences were observed for some chronic health conditions, and women had a higher risk for lower HRQoL, well-being, and depressivity compared to men. A low SES was associated with a higher risk of the vast majority of health outcomes. Particularly, socioeconomic factors and gender-related inequalities should be considered for the development of prevention and health-promoting measures during late life.</t>
        </is>
      </c>
      <c r="X1916" t="inlineStr">
        <is>
          <t>[Starke, Karla Romero; Hegewald, Janice; Schmauder, Stefanie; Kaboth, Pauline; Reissig, David; Seidler, Andreas] Tech Univ Dresden, Fac Med, Inst &amp; Polidin Occupat &amp; Social Med IPAS, D-01307 Dresden, Germany; [Hegewald, Janice] Fed Inst Occupat Safety &amp; Hlth BAuA, D-10317 Berlin, Germany; [Uhlmann, Lena Marie; Wegge, Juergen] Tech Univ Dresden, Work &amp; Org Psychol, D-01069 Dresden, Germany; [Kaufmann, Kristin Klaudia] Hlth &amp; Housing Div, Social Affairs, D-10117 Berlin, Germany; [Marquardt, Gesine] Tech Univ Dresden, Social &amp; Hlth Care Bldg &amp; Design, D-01069 Dresden, Germany</t>
        </is>
      </c>
      <c r="Y1916" t="inlineStr">
        <is>
          <t>Technische Universitat Dresden; Technische Universitat Dresden; Technische Universitat Dresden</t>
        </is>
      </c>
      <c r="Z1916" t="inlineStr">
        <is>
          <t>Starke, KR (corresponding author), Tech Univ Dresden, Fac Med, Inst &amp; Polidin Occupat &amp; Social Med IPAS, D-01307 Dresden, Germany.</t>
        </is>
      </c>
      <c r="AA1916" t="inlineStr">
        <is>
          <t>karla.romero_starke@tu-dresden.de</t>
        </is>
      </c>
      <c r="AB1916" t="inlineStr">
        <is>
          <t>Seidler, Andreas/AFC-6189-2022</t>
        </is>
      </c>
      <c r="AC1916" t="inlineStr">
        <is>
          <t>Romero Starke, Karla/0000-0002-6614-2381; Hegewald, Janice/0000-0003-3388-161X; Seidler, Andreas/0000-0002-8107-8971; Uhlmann, Lena Marie/0000-0002-0241-7032</t>
        </is>
      </c>
      <c r="AD1916" t="inlineStr">
        <is>
          <t>city of Dresden [094_1067]</t>
        </is>
      </c>
      <c r="AE1916" t="inlineStr">
        <is>
          <t>city of Dresden</t>
        </is>
      </c>
      <c r="AF1916" t="inlineStr">
        <is>
          <t>This research was funded by the city of Dresden, grant number 094_1067.</t>
        </is>
      </c>
      <c r="AH1916" t="n">
        <v>56</v>
      </c>
      <c r="AI1916" t="n">
        <v>0</v>
      </c>
      <c r="AJ1916" t="n">
        <v>0</v>
      </c>
      <c r="AK1916" t="n">
        <v>1</v>
      </c>
      <c r="AL1916" t="n">
        <v>3</v>
      </c>
      <c r="AM1916" t="inlineStr">
        <is>
          <t>MDPI</t>
        </is>
      </c>
      <c r="AN1916" t="inlineStr">
        <is>
          <t>BASEL</t>
        </is>
      </c>
      <c r="AO1916" t="inlineStr">
        <is>
          <t>ST ALBAN-ANLAGE 66, CH-4052 BASEL, SWITZERLAND</t>
        </is>
      </c>
      <c r="AQ1916" t="inlineStr">
        <is>
          <t>1660-4601</t>
        </is>
      </c>
      <c r="AS1916" t="inlineStr">
        <is>
          <t>INT J ENV RES PUB HE</t>
        </is>
      </c>
      <c r="AT1916" t="inlineStr">
        <is>
          <t>Int. J. Environ. Res. Public Health</t>
        </is>
      </c>
      <c r="AU1916" t="inlineStr">
        <is>
          <t>SEP</t>
        </is>
      </c>
      <c r="AV1916" t="n">
        <v>2022</v>
      </c>
      <c r="AW1916" t="n">
        <v>19</v>
      </c>
      <c r="AX1916" t="n">
        <v>18</v>
      </c>
      <c r="BE1916" t="n">
        <v>11777</v>
      </c>
      <c r="BF1916" t="inlineStr">
        <is>
          <t>10.3390/ijerph191811777</t>
        </is>
      </c>
      <c r="BG1916">
        <f>HYPERLINK("http://dx.doi.org/10.3390/ijerph191811777","http://dx.doi.org/10.3390/ijerph191811777")</f>
        <v/>
      </c>
      <c r="BJ1916" t="n">
        <v>18</v>
      </c>
      <c r="BK1916" t="inlineStr">
        <is>
          <t>Environmental Sciences; Public, Environmental &amp; Occupational Health</t>
        </is>
      </c>
      <c r="BL1916" t="inlineStr">
        <is>
          <t>Science Citation Index Expanded (SCI-EXPANDED); Social Science Citation Index (SSCI)</t>
        </is>
      </c>
      <c r="BM1916" t="inlineStr">
        <is>
          <t>Environmental Sciences &amp; Ecology; Public, Environmental &amp; Occupational Health</t>
        </is>
      </c>
      <c r="BN1916" t="inlineStr">
        <is>
          <t>4Q8ZN</t>
        </is>
      </c>
      <c r="BO1916" t="n">
        <v>36142050</v>
      </c>
      <c r="BP1916" t="inlineStr">
        <is>
          <t>Green Published, gold</t>
        </is>
      </c>
      <c r="BS1916" t="inlineStr">
        <is>
          <t>2023-10-26</t>
        </is>
      </c>
      <c r="BT1916" t="inlineStr">
        <is>
          <t>WOS:000856364900001</t>
        </is>
      </c>
      <c r="BU1916">
        <f>HYPERLINK("https%3A%2F%2Fwww.webofscience.com%2Fwos%2Fwoscc%2Ffull-record%2FWOS:000856364900001","View Full Record in Web of Science")</f>
        <v/>
      </c>
    </row>
    <row r="1917">
      <c r="A1917" t="inlineStr">
        <is>
          <t>J</t>
        </is>
      </c>
      <c r="B1917" t="inlineStr">
        <is>
          <t>Bucur, E; Vasile, A; Petrescu, M; Danet, A</t>
        </is>
      </c>
      <c r="F1917" t="inlineStr">
        <is>
          <t>Bucur, E.; Vasile, A.; Petrescu, M.; Danet, A.</t>
        </is>
      </c>
      <c r="J1917" t="inlineStr">
        <is>
          <t>JOURNAL OF ENVIRONMENTAL PROTECTION AND ECOLOGY</t>
        </is>
      </c>
      <c r="M1917" t="inlineStr">
        <is>
          <t>English</t>
        </is>
      </c>
      <c r="N1917" t="inlineStr">
        <is>
          <t>Article</t>
        </is>
      </c>
      <c r="T1917" t="inlineStr">
        <is>
          <t>INDOOR AIR QUALITY ASSESSMENT IN SPACES DESIGNED FOR OFFICE ACTIVITIES: PAHs AND PHENOLS</t>
        </is>
      </c>
      <c r="U1917" t="inlineStr">
        <is>
          <t>indoor air; PAHs; phenols; particulate matter; I/O ratio</t>
        </is>
      </c>
      <c r="V1917" t="inlineStr">
        <is>
          <t>POLYCYCLIC AROMATIC-HYDROCARBONS; PARTICULATE MATTER; EUROPEAN CITIES; HEALTH IMPACTS; POLLUTION</t>
        </is>
      </c>
      <c r="W1917" t="inlineStr">
        <is>
          <t>A big number of studies prove that there is a strong relation between the quality of indoor air in office environments and the health and productivity of people who work in these environments. The paper presents the results of a sampling campaign conducted in the autumn of 2014 in an office building in Bucharest, located in an area characterised by a low level of pollution, in order to determine the concentrations of PAHs and phenols from particulate matter. Parallel samplings have being conducted both indoor and outdoor (I/O): in an office, a smoking place and outside the building. The highest concentrations of particulate matter were found in outdoor air, 89.41 +/- 40.44 mu g/m(3); at the semi-opened smoking place the concentration was 70.89 +/- 26.24m/m(3), and inside the office, 45.89 +/- 19.65 g/m(3). The average I/O ratio was 0.53, indicating a good isolation of the building against particulate matter infiltration from outdoor and the absence of indoor sources of particulate matter. In samples taken from outdoor and from the smoking place have been identified a number of 13 PAHs with chrysene and benzo(a)pyrene being the most abundant and m, p-cresol and 2-3 xylenol among phenols. The results indicated that smoking places can have a big impact on indoor air quality if they are not properly located in order to avoid the infiltration of PAHs inside offices.</t>
        </is>
      </c>
      <c r="X1917" t="inlineStr">
        <is>
          <t>[Bucur, E.; Vasile, A.; Petrescu, M.] Natl Res &amp; Dev Inst Ind Ecol INCD ECOIND, 71-73 Drumul Podu Dambovitei St, Bucharest 060652, Romania; [Bucur, E.; Danet, A.] Univ Bucharest, Dept Analyt Chem, 90-92 Panduri St, Bucharest 050657, Romania</t>
        </is>
      </c>
      <c r="Y1917" t="inlineStr">
        <is>
          <t>National Research &amp; Development Institute Industrial Ecology; University of Bucharest</t>
        </is>
      </c>
      <c r="Z1917" t="inlineStr">
        <is>
          <t>Bucur, E (corresponding author), Natl Res &amp; Dev Inst Ind Ecol INCD ECOIND, 71-73 Drumul Podu Dambovitei St, Bucharest 060652, Romania.;Bucur, E (corresponding author), Univ Bucharest, Dept Analyt Chem, 90-92 Panduri St, Bucharest 050657, Romania.</t>
        </is>
      </c>
      <c r="AA1917" t="inlineStr">
        <is>
          <t>ecoind@incdecoind.com</t>
        </is>
      </c>
      <c r="AB1917" t="inlineStr">
        <is>
          <t>Danet, Andrei Florin/B-5700-2011; Bucur, Elena/ABC-2454-2020; Vasile, Andrei/ABC-3278-2020</t>
        </is>
      </c>
      <c r="AC1917" t="inlineStr">
        <is>
          <t>Danet, Andrei Florin/0000-0002-3123-1931;</t>
        </is>
      </c>
      <c r="AD1917" t="inlineStr">
        <is>
          <t>Ministry of Education and Research of Romania [PN 09-13 01 18]</t>
        </is>
      </c>
      <c r="AE1917" t="inlineStr">
        <is>
          <t>Ministry of Education and Research of Romania(Ministry of Education and Research - Romania)</t>
        </is>
      </c>
      <c r="AF1917" t="inlineStr">
        <is>
          <t>The test has been done inside the Program Nucleu (Environmental Research priority in sustainable industrial development - MEDIND, project code PN 09-13 01 18), financed by the Ministry of Education and Research of Romania whom we thank with this opportunity for all support.</t>
        </is>
      </c>
      <c r="AH1917" t="n">
        <v>19</v>
      </c>
      <c r="AI1917" t="n">
        <v>1</v>
      </c>
      <c r="AJ1917" t="n">
        <v>1</v>
      </c>
      <c r="AK1917" t="n">
        <v>0</v>
      </c>
      <c r="AL1917" t="n">
        <v>19</v>
      </c>
      <c r="AM1917" t="inlineStr">
        <is>
          <t>SCIBULCOM LTD</t>
        </is>
      </c>
      <c r="AN1917" t="inlineStr">
        <is>
          <t>SOFIA</t>
        </is>
      </c>
      <c r="AO1917" t="inlineStr">
        <is>
          <t>PO BOX 249, 1113 SOFIA, BULGARIA</t>
        </is>
      </c>
      <c r="AP1917" t="inlineStr">
        <is>
          <t>1311-5065</t>
        </is>
      </c>
      <c r="AS1917" t="inlineStr">
        <is>
          <t>J ENVIRON PROT ECOL</t>
        </is>
      </c>
      <c r="AT1917" t="inlineStr">
        <is>
          <t>J. Environ. Prot. Ecol.</t>
        </is>
      </c>
      <c r="AV1917" t="n">
        <v>2016</v>
      </c>
      <c r="AW1917" t="n">
        <v>17</v>
      </c>
      <c r="AX1917" t="n">
        <v>1</v>
      </c>
      <c r="BC1917" t="n">
        <v>9</v>
      </c>
      <c r="BD1917" t="n">
        <v>17</v>
      </c>
      <c r="BJ1917" t="n">
        <v>9</v>
      </c>
      <c r="BK1917" t="inlineStr">
        <is>
          <t>Environmental Sciences</t>
        </is>
      </c>
      <c r="BL1917" t="inlineStr">
        <is>
          <t>Science Citation Index Expanded (SCI-EXPANDED)</t>
        </is>
      </c>
      <c r="BM1917" t="inlineStr">
        <is>
          <t>Environmental Sciences &amp; Ecology</t>
        </is>
      </c>
      <c r="BN1917" t="inlineStr">
        <is>
          <t>DL2ZI</t>
        </is>
      </c>
      <c r="BS1917" t="inlineStr">
        <is>
          <t>2023-10-26</t>
        </is>
      </c>
      <c r="BT1917" t="inlineStr">
        <is>
          <t>WOS:000375503300002</t>
        </is>
      </c>
      <c r="BU1917">
        <f>HYPERLINK("https%3A%2F%2Fwww.webofscience.com%2Fwos%2Fwoscc%2Ffull-record%2FWOS:000375503300002","View Full Record in Web of Science")</f>
        <v/>
      </c>
    </row>
    <row r="1918">
      <c r="A1918" t="inlineStr">
        <is>
          <t>J</t>
        </is>
      </c>
      <c r="B1918" t="inlineStr">
        <is>
          <t>Nikezic, A; Markovic, D</t>
        </is>
      </c>
      <c r="F1918" t="inlineStr">
        <is>
          <t>Nikezic, Ana; Markovic, Dragan</t>
        </is>
      </c>
      <c r="J1918" t="inlineStr">
        <is>
          <t>SUSTAINABILITY</t>
        </is>
      </c>
      <c r="M1918" t="inlineStr">
        <is>
          <t>English</t>
        </is>
      </c>
      <c r="N1918" t="inlineStr">
        <is>
          <t>Article</t>
        </is>
      </c>
      <c r="T1918" t="inlineStr">
        <is>
          <t>Place-Based Education in the Architectural Design Studio: Agrarian Landscape as a Resource for Sustainable Urban Lifestyle</t>
        </is>
      </c>
      <c r="U1918" t="inlineStr">
        <is>
          <t>education for sustainable development; environmental responsibility; place-based education; architectural design studio; agrarian landscape; urban lifestyle; Third Belgrade; Serbia</t>
        </is>
      </c>
      <c r="W1918" t="inlineStr">
        <is>
          <t>This article highlights how place-based education can be used to raise awareness about sustainability and potentially influence design process decisions that have environmental and cultural implications. Place-based education is a term used to describe an educational worldview based on development of curriculum centered on the local, social, economic, and ecological resources of a community. The study shows results of Masters Students' research on situating a housing complex in the context of the agrarian landscape of Vojvodina, Serbia, considering it as a resource for a new sustainable urban lifestyle. During the first year of Masters Studies at the Faculty of Architecture, Belgrade University, an architectural design studio with 15 students had the task of exploring the potential of expanding the city of Belgrade across the agrarian landscape, as to affirm the role of place in contemporary everyday life. Students were expected to explore the possibilities and limitations of the relationship between man and agrarian landscape via architecture, re-thinking how various architectural design approaches could balance and harmonize the impact of the built environment on the agrarian landscape. The paper shows that place-based education possesses elements necessary for the inclusion of a wider spatial-cultural context in the process of architectural design and prioritization of environmental literacy and responsibility, as one of the main components of sustainable development.</t>
        </is>
      </c>
      <c r="X1918" t="inlineStr">
        <is>
          <t>[Nikezic, Ana; Markovic, Dragan] Univ Belgrade, Dept Architecture, Fac Architecture, Belgrade 11000, Serbia</t>
        </is>
      </c>
      <c r="Y1918" t="inlineStr">
        <is>
          <t>University of Belgrade</t>
        </is>
      </c>
      <c r="Z1918" t="inlineStr">
        <is>
          <t>Nikezic, A (corresponding author), Univ Belgrade, Dept Architecture, Fac Architecture, King Alexander Blvd 73-2, Belgrade 11000, Serbia.</t>
        </is>
      </c>
      <c r="AA1918" t="inlineStr">
        <is>
          <t>ana.nikezic@gmail.com; dragan@superprostor.com</t>
        </is>
      </c>
      <c r="AB1918" t="inlineStr">
        <is>
          <t>Nikezic, Ana Z/S-7482-2017</t>
        </is>
      </c>
      <c r="AC1918" t="inlineStr">
        <is>
          <t>Nikezic, Ana Z/0000-0003-0158-731X</t>
        </is>
      </c>
      <c r="AD1918" t="inlineStr">
        <is>
          <t>Ministry of Education and Science of the Republic of Serbia [43007]</t>
        </is>
      </c>
      <c r="AE1918" t="inlineStr">
        <is>
          <t>Ministry of Education and Science of the Republic of Serbia(Ministry of Education, Science &amp; Technological Development, Serbia)</t>
        </is>
      </c>
      <c r="AF1918" t="inlineStr">
        <is>
          <t>This paper was written as a part of the project Studying climate change and its influence on the environment: impacts, adaptation and mitigation (43007) financed by the Ministry of Education and Science of the Republic of Serbia within the framework of integrated and interdisciplinary research for the period 2011-2015.</t>
        </is>
      </c>
      <c r="AH1918" t="n">
        <v>44</v>
      </c>
      <c r="AI1918" t="n">
        <v>10</v>
      </c>
      <c r="AJ1918" t="n">
        <v>11</v>
      </c>
      <c r="AK1918" t="n">
        <v>9</v>
      </c>
      <c r="AL1918" t="n">
        <v>46</v>
      </c>
      <c r="AM1918" t="inlineStr">
        <is>
          <t>MDPI AG</t>
        </is>
      </c>
      <c r="AN1918" t="inlineStr">
        <is>
          <t>BASEL</t>
        </is>
      </c>
      <c r="AO1918" t="inlineStr">
        <is>
          <t>ST ALBAN-ANLAGE 66, CH-4052 BASEL, SWITZERLAND</t>
        </is>
      </c>
      <c r="AP1918" t="inlineStr">
        <is>
          <t>2071-1050</t>
        </is>
      </c>
      <c r="AS1918" t="inlineStr">
        <is>
          <t>SUSTAINABILITY-BASEL</t>
        </is>
      </c>
      <c r="AT1918" t="inlineStr">
        <is>
          <t>Sustainability</t>
        </is>
      </c>
      <c r="AU1918" t="inlineStr">
        <is>
          <t>JUL</t>
        </is>
      </c>
      <c r="AV1918" t="n">
        <v>2015</v>
      </c>
      <c r="AW1918" t="n">
        <v>7</v>
      </c>
      <c r="AX1918" t="n">
        <v>7</v>
      </c>
      <c r="BC1918" t="n">
        <v>9711</v>
      </c>
      <c r="BD1918" t="n">
        <v>9733</v>
      </c>
      <c r="BF1918" t="inlineStr">
        <is>
          <t>10.3390/su7079711</t>
        </is>
      </c>
      <c r="BG1918">
        <f>HYPERLINK("http://dx.doi.org/10.3390/su7079711","http://dx.doi.org/10.3390/su7079711")</f>
        <v/>
      </c>
      <c r="BJ1918" t="n">
        <v>23</v>
      </c>
      <c r="BK1918" t="inlineStr">
        <is>
          <t>Green &amp; Sustainable Science &amp; Technology; Environmental Sciences; Environmental Studies</t>
        </is>
      </c>
      <c r="BL1918" t="inlineStr">
        <is>
          <t>Science Citation Index Expanded (SCI-EXPANDED); Social Science Citation Index (SSCI)</t>
        </is>
      </c>
      <c r="BM1918" t="inlineStr">
        <is>
          <t>Science &amp; Technology - Other Topics; Environmental Sciences &amp; Ecology</t>
        </is>
      </c>
      <c r="BN1918" t="inlineStr">
        <is>
          <t>CQ1JU</t>
        </is>
      </c>
      <c r="BP1918" t="inlineStr">
        <is>
          <t>gold, Green Published, Green Submitted</t>
        </is>
      </c>
      <c r="BS1918" t="inlineStr">
        <is>
          <t>2023-10-26</t>
        </is>
      </c>
      <c r="BT1918" t="inlineStr">
        <is>
          <t>WOS:000360354500081</t>
        </is>
      </c>
      <c r="BU1918">
        <f>HYPERLINK("https%3A%2F%2Fwww.webofscience.com%2Fwos%2Fwoscc%2Ffull-record%2FWOS:000360354500081","View Full Record in Web of Science")</f>
        <v/>
      </c>
    </row>
    <row r="1919">
      <c r="A1919" t="inlineStr">
        <is>
          <t>J</t>
        </is>
      </c>
      <c r="B1919" t="inlineStr">
        <is>
          <t>Pujilestari, CU; Nyström, L; Norberg, M; Ng, N</t>
        </is>
      </c>
      <c r="F1919" t="inlineStr">
        <is>
          <t>Pujilestari, Cahya Utamie; Nystrom, Lennarth; Norberg, Margareta; Ng, Nawi</t>
        </is>
      </c>
      <c r="J1919" t="inlineStr">
        <is>
          <t>INTERNATIONAL JOURNAL OF ENVIRONMENTAL RESEARCH AND PUBLIC HEALTH</t>
        </is>
      </c>
      <c r="M1919" t="inlineStr">
        <is>
          <t>English</t>
        </is>
      </c>
      <c r="N1919" t="inlineStr">
        <is>
          <t>Article</t>
        </is>
      </c>
      <c r="T1919" t="inlineStr">
        <is>
          <t>Waist Circumference and All-Cause Mortality among Older Adults in Rural Indonesia</t>
        </is>
      </c>
      <c r="U1919" t="inlineStr">
        <is>
          <t>abdominal obesity; deaths; Indonesia; older people; waist circumference</t>
        </is>
      </c>
      <c r="V1919" t="inlineStr">
        <is>
          <t>BODY-MASS INDEX; OPTIMAL CUTOFF VALUES; RISK-FACTORS; WEIGHT-LOSS; OBESITY; OVERWEIGHT; HEALTH; ASSOCIATION; ADIPOSITY; EPIDEMIOLOGY</t>
        </is>
      </c>
      <c r="W1919" t="inlineStr">
        <is>
          <t>Waist circumference, a measure of abdominal obesity, is associated with all-cause mortality in general adult population. However, the link between abdominal obesity with all-cause mortality in the studies of older adults is unclear. This study aims to determine the association between waist circumference and all-cause mortality in older adults in Indonesia. The association between waist circumference and all-cause mortality was examined in 10,997 men and women aged 50 years and older, in the World Health Organization (WHO) and International Network of field sites for continuous Demographic Evaluation of Populations and their Health in developing countries (INDEPTH) collaboration Study on global AGEing and adult health (SAGE) in Purworejo District Central Java, Indonesia during 2007-2010. Multivariate Cox regression analysis with restricted cubic splines was used to assess the non-linear association between waist circumference and all-cause mortality. During the 3-year follow-up, a total of 511 men and 470 women died. The hazard ratio plot shows a pattern of U-shape relationship between waist circumference and all-cause mortality among rich women, though the result was significant only for women in the lower end of waist circumference distribution (p &lt; 0.05). Poor men with a low waist circumference (5th percentile) have a two times higher mortality risk (HR = 2.1; 95% CI = 1.3, 3.3) relative to those with a waist circumference of 90 cm. Poor women with a low waist circumference (25th percentile) have a 1.4 times higher mortality risk (HR = 1.4; 95% CI = 1.1, 1.8) relative to those with a waist circumference of 80 cm. This study shows a significant association between low waist circumference measure and mortality, particularly among poor men and women. Though the association between large waist circumference and mortality was not significant, we observed a trend of higher mortality risk particularly among rich women with large waist circumference measure. Public health intervention should include efforts to improve nutritional status among older people and promoting healthy lifestyle behaviours including healthy food and active lifestyle.</t>
        </is>
      </c>
      <c r="X1919" t="inlineStr">
        <is>
          <t>[Pujilestari, Cahya Utamie; Nystrom, Lennarth; Norberg, Margareta; Ng, Nawi] Umea Univ, Fac Med, Dept Epidemiol &amp; Global Hlth, S-90187 Umea, Sweden</t>
        </is>
      </c>
      <c r="Y1919" t="inlineStr">
        <is>
          <t>Umea University</t>
        </is>
      </c>
      <c r="Z1919" t="inlineStr">
        <is>
          <t>Pujilestari, CU (corresponding author), Umea Univ, Fac Med, Dept Epidemiol &amp; Global Hlth, S-90187 Umea, Sweden.</t>
        </is>
      </c>
      <c r="AA1919" t="inlineStr">
        <is>
          <t>pl_cahyautamie@yahoo.com; lennarth.nystrom@umu.se; margareta.norberg@umu.se; nawi.ng@umu.se</t>
        </is>
      </c>
      <c r="AB1919" t="inlineStr">
        <is>
          <t>Pujilestari, Cahya Utamie/Y-7511-2019; Ng, Nawi/F-8373-2011</t>
        </is>
      </c>
      <c r="AC1919" t="inlineStr">
        <is>
          <t>Ng, Nawi/0000-0003-0556-1483; Norberg, Margareta/0000-0003-2475-7131; Pujilestari, Cahya Utamie/0000-0002-7348-5286</t>
        </is>
      </c>
      <c r="AD1919" t="inlineStr">
        <is>
          <t>Umea Centre for Global Health Research; FAS, the Swedish Council for Working Life and Social Research [2006-1512]</t>
        </is>
      </c>
      <c r="AE1919" t="inlineStr">
        <is>
          <t>Umea Centre for Global Health Research; FAS, the Swedish Council for Working Life and Social Research(Swedish Research Council for Health Working Life &amp; Welfare (Forte))</t>
        </is>
      </c>
      <c r="AF1919" t="inlineStr">
        <is>
          <t>This study was supported by Umea Centre for Global Health Research with support from FAS, the Swedish Council for Working Life and Social Research (grant no. 2006-1512). The funders had no role in study design, data collection and analysis, decision to publish, or preparation of the manuscript.</t>
        </is>
      </c>
      <c r="AH1919" t="n">
        <v>48</v>
      </c>
      <c r="AI1919" t="n">
        <v>11</v>
      </c>
      <c r="AJ1919" t="n">
        <v>14</v>
      </c>
      <c r="AK1919" t="n">
        <v>1</v>
      </c>
      <c r="AL1919" t="n">
        <v>4</v>
      </c>
      <c r="AM1919" t="inlineStr">
        <is>
          <t>MDPI</t>
        </is>
      </c>
      <c r="AN1919" t="inlineStr">
        <is>
          <t>BASEL</t>
        </is>
      </c>
      <c r="AO1919" t="inlineStr">
        <is>
          <t>ST ALBAN-ANLAGE 66, CH-4052 BASEL, SWITZERLAND</t>
        </is>
      </c>
      <c r="AP1919" t="inlineStr">
        <is>
          <t>1660-4601</t>
        </is>
      </c>
      <c r="AS1919" t="inlineStr">
        <is>
          <t>INT J ENV RES PUB HE</t>
        </is>
      </c>
      <c r="AT1919" t="inlineStr">
        <is>
          <t>Int. J. Environ. Res. Public Health</t>
        </is>
      </c>
      <c r="AU1919" t="inlineStr">
        <is>
          <t>JAN 1</t>
        </is>
      </c>
      <c r="AV1919" t="n">
        <v>2019</v>
      </c>
      <c r="AW1919" t="n">
        <v>16</v>
      </c>
      <c r="AX1919" t="n">
        <v>1</v>
      </c>
      <c r="BE1919" t="n">
        <v>116</v>
      </c>
      <c r="BF1919" t="inlineStr">
        <is>
          <t>10.3390/ijerph16010116</t>
        </is>
      </c>
      <c r="BG1919">
        <f>HYPERLINK("http://dx.doi.org/10.3390/ijerph16010116","http://dx.doi.org/10.3390/ijerph16010116")</f>
        <v/>
      </c>
      <c r="BJ1919" t="n">
        <v>13</v>
      </c>
      <c r="BK1919" t="inlineStr">
        <is>
          <t>Environmental Sciences; Public, Environmental &amp; Occupational Health</t>
        </is>
      </c>
      <c r="BL1919" t="inlineStr">
        <is>
          <t>Science Citation Index Expanded (SCI-EXPANDED); Social Science Citation Index (SSCI)</t>
        </is>
      </c>
      <c r="BM1919" t="inlineStr">
        <is>
          <t>Environmental Sciences &amp; Ecology; Public, Environmental &amp; Occupational Health</t>
        </is>
      </c>
      <c r="BN1919" t="inlineStr">
        <is>
          <t>HM0BZ</t>
        </is>
      </c>
      <c r="BO1919" t="n">
        <v>30609857</v>
      </c>
      <c r="BP1919" t="inlineStr">
        <is>
          <t>Green Published, gold, Green Submitted</t>
        </is>
      </c>
      <c r="BS1919" t="inlineStr">
        <is>
          <t>2023-10-26</t>
        </is>
      </c>
      <c r="BT1919" t="inlineStr">
        <is>
          <t>WOS:000459111400116</t>
        </is>
      </c>
      <c r="BU1919">
        <f>HYPERLINK("https%3A%2F%2Fwww.webofscience.com%2Fwos%2Fwoscc%2Ffull-record%2FWOS:000459111400116","View Full Record in Web of Science")</f>
        <v/>
      </c>
    </row>
    <row r="1920">
      <c r="A1920" t="inlineStr">
        <is>
          <t>J</t>
        </is>
      </c>
      <c r="B1920" t="inlineStr">
        <is>
          <t>Luengas, A; Barona, A; Hort, C; Gallastegui, G; Platel, V; Elias, A</t>
        </is>
      </c>
      <c r="F1920" t="inlineStr">
        <is>
          <t>Luengas, Angela; Barona, Astrid; Hort, Cecile; Gallastegui, Gorka; Platel, Vincent; Elias, Ana</t>
        </is>
      </c>
      <c r="J1920" t="inlineStr">
        <is>
          <t>REVIEWS IN ENVIRONMENTAL SCIENCE AND BIO-TECHNOLOGY</t>
        </is>
      </c>
      <c r="M1920" t="inlineStr">
        <is>
          <t>English</t>
        </is>
      </c>
      <c r="N1920" t="inlineStr">
        <is>
          <t>Review</t>
        </is>
      </c>
      <c r="T1920" t="inlineStr">
        <is>
          <t>A review of indoor air treatment technologies</t>
        </is>
      </c>
      <c r="U1920" t="inlineStr">
        <is>
          <t>Abatement technologies for indoor pollution; Chemical pollutants; Indoor atmospheres</t>
        </is>
      </c>
      <c r="V1920" t="inlineStr">
        <is>
          <t>VOLATILE ORGANIC-COMPOUNDS; PHOTOCATALYTIC OXIDATION; ACTIVATED CARBON; NONTHERMAL PLASMA; WASTE-GAS; FORMALDEHYDE REMOVAL; BUILDING-MATERIALS; TOLUENE REMOVAL; QUALITY; VOCS</t>
        </is>
      </c>
      <c r="W1920" t="inlineStr">
        <is>
          <t>Indoor air pollution is a complex issue involving a wide diversity and variability of pollutants that threats human health. In this context, major efforts should be made to enhance indoor air quality. Thus, it is important to start by the control of indoor pollution sources. Nevertheless, when the suppression or minimization of emission sources is insufficient, technically unfeasible, or economically unviable, abatement technologies have to be used. This review presents a general overview of single treatment techniques such as mechanical and electrical filtration, adsorption, ozonation, photolysis, photocatalytic oxidation, biological processes, and membrane separation. Since there is currently no technology that can be considered fully satisfactory for achieving cleaner indoor air, special attention is paid to combined purification technologies or innovative alternatives that are currently under research and have not yet been commercialized (plasma-catalytic hybrid systems, hybrid ozonation systems, biofilter-adsorption systems, etc.). These systems seem to be a good opportunity as they integrate synergetic advantages to achieve good indoor air quality.</t>
        </is>
      </c>
      <c r="X1920" t="inlineStr">
        <is>
          <t>[Luengas, Angela; Barona, Astrid; Gallastegui, Gorka; Elias, Ana] Univ Basque Country, UPV EHU, Fac Engn, Dept Chem &amp; Environm Engn, Bilbao 48013, Spain; [Luengas, Angela; Hort, Cecile; Platel, Vincent] Univ Pau, Thermal Energy &amp; Proc Lab LaTEP, F-65016 Tarbes, France</t>
        </is>
      </c>
      <c r="Y1920" t="inlineStr">
        <is>
          <t>University of Basque Country; Universite de Pau et des Pays de l'Adour</t>
        </is>
      </c>
      <c r="Z1920" t="inlineStr">
        <is>
          <t>Luengas, A (corresponding author), Univ Pau, Thermal Energy &amp; Proc Lab LaTEP, 55 Ave Azereix,BP 1624, F-65016 Tarbes, France.</t>
        </is>
      </c>
      <c r="AA1920" t="inlineStr">
        <is>
          <t>a.luengasmunoz@univ-pau.fr</t>
        </is>
      </c>
      <c r="AB1920" t="inlineStr">
        <is>
          <t>Gallastegui, Gorka/AAD-1057-2020</t>
        </is>
      </c>
      <c r="AC1920" t="inlineStr">
        <is>
          <t>Gallastegui, Gorka/0000-0001-5212-8768; BARONA FERNANDEZ, ASTRID/0000-0002-6186-3358</t>
        </is>
      </c>
      <c r="AD1920" t="inlineStr">
        <is>
          <t>University of the Basque Country UPV/EHU [GIU12/07]; Spanish Government [CTM2012-35565]; General Council of the Pyrenees Atlantiques; University of the Basque Country [PIFGO15/2011]; Aquitaine's Regional Council</t>
        </is>
      </c>
      <c r="AE1920" t="inlineStr">
        <is>
          <t>University of the Basque Country UPV/EHU; Spanish Government(Spanish Government); General Council of the Pyrenees Atlantiques; University of the Basque Country; Aquitaine's Regional Council</t>
        </is>
      </c>
      <c r="AF1920" t="inlineStr">
        <is>
          <t>This research has been conducted with the financial support of the University of the Basque Country UPV/EHU (Project GIU12/07) and the Spanish Government (Project CTM2012-35565). The authors are grateful to the General Council of the Pyrenees Atlantiques and Aquitaine's Regional Council for their financial support. Angela Luengas wishes to thank the University of the Basque Country for the fellowship granted (PIFGO15/2011).</t>
        </is>
      </c>
      <c r="AH1920" t="n">
        <v>135</v>
      </c>
      <c r="AI1920" t="n">
        <v>206</v>
      </c>
      <c r="AJ1920" t="n">
        <v>212</v>
      </c>
      <c r="AK1920" t="n">
        <v>25</v>
      </c>
      <c r="AL1920" t="n">
        <v>773</v>
      </c>
      <c r="AM1920" t="inlineStr">
        <is>
          <t>SPRINGER</t>
        </is>
      </c>
      <c r="AN1920" t="inlineStr">
        <is>
          <t>DORDRECHT</t>
        </is>
      </c>
      <c r="AO1920" t="inlineStr">
        <is>
          <t>VAN GODEWIJCKSTRAAT 30, 3311 GZ DORDRECHT, NETHERLANDS</t>
        </is>
      </c>
      <c r="AP1920" t="inlineStr">
        <is>
          <t>1569-1705</t>
        </is>
      </c>
      <c r="AQ1920" t="inlineStr">
        <is>
          <t>1572-9826</t>
        </is>
      </c>
      <c r="AS1920" t="inlineStr">
        <is>
          <t>REV ENVIRON SCI BIO</t>
        </is>
      </c>
      <c r="AT1920" t="inlineStr">
        <is>
          <t>Rev. Environ. Sci. Bio-Technol.</t>
        </is>
      </c>
      <c r="AU1920" t="inlineStr">
        <is>
          <t>SEP</t>
        </is>
      </c>
      <c r="AV1920" t="n">
        <v>2015</v>
      </c>
      <c r="AW1920" t="n">
        <v>14</v>
      </c>
      <c r="AX1920" t="n">
        <v>3</v>
      </c>
      <c r="BC1920" t="n">
        <v>499</v>
      </c>
      <c r="BD1920" t="n">
        <v>522</v>
      </c>
      <c r="BF1920" t="inlineStr">
        <is>
          <t>10.1007/s11157-015-9363-9</t>
        </is>
      </c>
      <c r="BG1920">
        <f>HYPERLINK("http://dx.doi.org/10.1007/s11157-015-9363-9","http://dx.doi.org/10.1007/s11157-015-9363-9")</f>
        <v/>
      </c>
      <c r="BJ1920" t="n">
        <v>24</v>
      </c>
      <c r="BK1920" t="inlineStr">
        <is>
          <t>Biotechnology &amp; Applied Microbiology; Environmental Sciences</t>
        </is>
      </c>
      <c r="BL1920" t="inlineStr">
        <is>
          <t>Science Citation Index Expanded (SCI-EXPANDED)</t>
        </is>
      </c>
      <c r="BM1920" t="inlineStr">
        <is>
          <t>Biotechnology &amp; Applied Microbiology; Environmental Sciences &amp; Ecology</t>
        </is>
      </c>
      <c r="BN1920" t="inlineStr">
        <is>
          <t>CO7UI</t>
        </is>
      </c>
      <c r="BS1920" t="inlineStr">
        <is>
          <t>2023-10-26</t>
        </is>
      </c>
      <c r="BT1920" t="inlineStr">
        <is>
          <t>WOS:000359367300009</t>
        </is>
      </c>
      <c r="BU1920">
        <f>HYPERLINK("https%3A%2F%2Fwww.webofscience.com%2Fwos%2Fwoscc%2Ffull-record%2FWOS:000359367300009","View Full Record in Web of Science")</f>
        <v/>
      </c>
    </row>
    <row r="1921">
      <c r="A1921" t="inlineStr">
        <is>
          <t>J</t>
        </is>
      </c>
      <c r="B1921" t="inlineStr">
        <is>
          <t>Rafique, M</t>
        </is>
      </c>
      <c r="F1921" t="inlineStr">
        <is>
          <t>Rafique, Muhammad</t>
        </is>
      </c>
      <c r="J1921" t="inlineStr">
        <is>
          <t>ENVIRONMENTAL EARTH SCIENCES</t>
        </is>
      </c>
      <c r="M1921" t="inlineStr">
        <is>
          <t>English</t>
        </is>
      </c>
      <c r="N1921" t="inlineStr">
        <is>
          <t>Article</t>
        </is>
      </c>
      <c r="T1921" t="inlineStr">
        <is>
          <t>Ambient indoor/outdoor gamma radiation dose rates in the city and at high altitudes of Muzaffarabad (Azad Kashmir)</t>
        </is>
      </c>
      <c r="U1921" t="inlineStr">
        <is>
          <t>Gamma dose rates; Indoor environment; Coal mines; Azad Kashmir</t>
        </is>
      </c>
      <c r="V1921" t="inlineStr">
        <is>
          <t>PUNJAB PROVINCE; RADON EXPOSURE; 4 DISTRICTS; DWELLINGS; PAKISTAN; SCHOOLS; SOIL</t>
        </is>
      </c>
      <c r="W1921" t="inlineStr">
        <is>
          <t>Preliminary results of ambient indoor/outdoor gamma dose rates measured for Muzaffarabad city, the state capital of Azad Kashmir, are presented. Measurements of indoor/outdoor environmental exposures were carried out using a portable Ludlum Model 19 Micrometer. Effect of altitude on measured values of gamma dose rates has also been investigated. Besides measuring the gamma dose rates for indoor and open environment, measurements have also been taken within two coal mines. Effects of lithology on gamma dose rates have also been investigated. For outdoor measurements, minimum and maximum gamma dose rates were found as 533 +/- A 4.33 and 1,143 +/- A 2.96 mu Gy y(-1), while for indoor environment minimum and maximum gamma dose rate value were found as 533 +/- A 4.33 and 979 +/- A 3.2 mu Gy y(-1). Average values of indoor and outdoor gamma dose rates were found as 761 +/- A 3.62 and 710 +/- A 3.75 mu Gy y(-1). Gamma dose rates have also been calculated with altitude variations. Measured values of gamma dose rates show a weak positive correlation with altitude. For measurements made in coal mines, maximum gamma doses rate value was found as 3,490 +/- A 1.69 mu Gy y(-1), situated at a height of 1,098 m, located at Sangri Mera. Results obtained from the current study show that annual effective doses from gamma radiation exposure does not pose health threat to the population of district Muzaffarabad.</t>
        </is>
      </c>
      <c r="X1921" t="inlineStr">
        <is>
          <t>Univ Azad Jammu &amp; Kashmir Muzaffarabad, Dept Phys, Azad Kashmir 13100, Pakistan</t>
        </is>
      </c>
      <c r="Y1921" t="inlineStr">
        <is>
          <t>University of Azad Jammu &amp; Kashmir</t>
        </is>
      </c>
      <c r="Z1921" t="inlineStr">
        <is>
          <t>Rafique, M (corresponding author), Univ Azad Jammu &amp; Kashmir Muzaffarabad, Dept Phys, Azad Kashmir 13100, Pakistan.</t>
        </is>
      </c>
      <c r="AA1921" t="inlineStr">
        <is>
          <t>mrafique@gmail.com</t>
        </is>
      </c>
      <c r="AB1921" t="inlineStr">
        <is>
          <t>Rafique, Muhammad/AAJ-5600-2020</t>
        </is>
      </c>
      <c r="AC1921" t="inlineStr">
        <is>
          <t>Rafique, Muhammad/0000-0002-5216-9380</t>
        </is>
      </c>
      <c r="AH1921" t="n">
        <v>33</v>
      </c>
      <c r="AI1921" t="n">
        <v>23</v>
      </c>
      <c r="AJ1921" t="n">
        <v>25</v>
      </c>
      <c r="AK1921" t="n">
        <v>0</v>
      </c>
      <c r="AL1921" t="n">
        <v>2</v>
      </c>
      <c r="AM1921" t="inlineStr">
        <is>
          <t>SPRINGER</t>
        </is>
      </c>
      <c r="AN1921" t="inlineStr">
        <is>
          <t>NEW YORK</t>
        </is>
      </c>
      <c r="AO1921" t="inlineStr">
        <is>
          <t>ONE NEW YORK PLAZA, SUITE 4600, NEW YORK, NY, UNITED STATES</t>
        </is>
      </c>
      <c r="AP1921" t="inlineStr">
        <is>
          <t>1866-6280</t>
        </is>
      </c>
      <c r="AQ1921" t="inlineStr">
        <is>
          <t>1866-6299</t>
        </is>
      </c>
      <c r="AS1921" t="inlineStr">
        <is>
          <t>ENVIRON EARTH SCI</t>
        </is>
      </c>
      <c r="AT1921" t="inlineStr">
        <is>
          <t>Environ. Earth Sci.</t>
        </is>
      </c>
      <c r="AU1921" t="inlineStr">
        <is>
          <t>OCT</t>
        </is>
      </c>
      <c r="AV1921" t="n">
        <v>2013</v>
      </c>
      <c r="AW1921" t="n">
        <v>70</v>
      </c>
      <c r="AX1921" t="n">
        <v>4</v>
      </c>
      <c r="BC1921" t="n">
        <v>1783</v>
      </c>
      <c r="BD1921" t="n">
        <v>1790</v>
      </c>
      <c r="BF1921" t="inlineStr">
        <is>
          <t>10.1007/s12665-013-2266-6</t>
        </is>
      </c>
      <c r="BG1921">
        <f>HYPERLINK("http://dx.doi.org/10.1007/s12665-013-2266-6","http://dx.doi.org/10.1007/s12665-013-2266-6")</f>
        <v/>
      </c>
      <c r="BJ1921" t="n">
        <v>8</v>
      </c>
      <c r="BK1921" t="inlineStr">
        <is>
          <t>Environmental Sciences; Geosciences, Multidisciplinary; Water Resources</t>
        </is>
      </c>
      <c r="BL1921" t="inlineStr">
        <is>
          <t>Science Citation Index Expanded (SCI-EXPANDED)</t>
        </is>
      </c>
      <c r="BM1921" t="inlineStr">
        <is>
          <t>Environmental Sciences &amp; Ecology; Geology; Water Resources</t>
        </is>
      </c>
      <c r="BN1921" t="inlineStr">
        <is>
          <t>226YU</t>
        </is>
      </c>
      <c r="BS1921" t="inlineStr">
        <is>
          <t>2023-10-26</t>
        </is>
      </c>
      <c r="BT1921" t="inlineStr">
        <is>
          <t>WOS:000325074400030</t>
        </is>
      </c>
      <c r="BU1921">
        <f>HYPERLINK("https%3A%2F%2Fwww.webofscience.com%2Fwos%2Fwoscc%2Ffull-record%2FWOS:000325074400030","View Full Record in Web of Science")</f>
        <v/>
      </c>
    </row>
    <row r="1922">
      <c r="A1922" t="inlineStr">
        <is>
          <t>J</t>
        </is>
      </c>
      <c r="B1922" t="inlineStr">
        <is>
          <t>Zavadskas, EK; Cavallaro, F; Podvezko, V; Ubarte, I; Kaklauskas, A</t>
        </is>
      </c>
      <c r="F1922" t="inlineStr">
        <is>
          <t>Zavadskas, Edmundas Kazimieras; Cavallaro, Fausto; Podvezko, Valentinas; Ubarte, Ieva; Kaklauskas, Arturas</t>
        </is>
      </c>
      <c r="J1922" t="inlineStr">
        <is>
          <t>SUSTAINABILITY</t>
        </is>
      </c>
      <c r="M1922" t="inlineStr">
        <is>
          <t>English</t>
        </is>
      </c>
      <c r="N1922" t="inlineStr">
        <is>
          <t>Article</t>
        </is>
      </c>
      <c r="T1922" t="inlineStr">
        <is>
          <t>MCDM Assessment of a Healthy and Safe Built Environment According to Sustainable Development Principles: A Practical Neighborhood Approach in Vilnius</t>
        </is>
      </c>
      <c r="U1922" t="inlineStr">
        <is>
          <t>healthy and safe built environment; sustainable development; MCDM methods; neighborhoods; Vilnius</t>
        </is>
      </c>
      <c r="V1922" t="inlineStr">
        <is>
          <t>MULTICRITERIA DECISION-MAKING; ASSESSMENT TOOLS; CRITERIA; ENERGY; DESIGN; CITY; SYSTEMS; MODEL; INFRASTRUCTURE; CLASSIFICATION</t>
        </is>
      </c>
      <c r="W1922" t="inlineStr">
        <is>
          <t>Urbanization has a massive effect on the environment, both locally and globally. With an ever-increasing scale of construction and manufacturing and misuse of energy resources come poorer air quality, growing mortality rates and more rapid climate change. For these reasons, a healthy and safe built environment is ever more in demand. Global debates focus on sustainable development of the built environment; a rational approach to its analysis is multiple criteria decision making (MCDM) methods. Alternative MCDM methods applied to the same problem often produce different results. In the search for a more reliable tool, this study proposes that a system of MCDM methods should be applied to a single problem. This article assesses 21 neighborhoods in Vilnius in the context of a healthy and safe built environment in view of the principles of sustainable development. MCDM methods were used for this purpose: entropy, Criterion Impact LOSs (CILOS) and Integrated Determination of Objective Criteria Weights (IDOCRIW) methods were used to determine the objective weights of the criteria, while expert judgement determined the subjective weights. With the overall weights determined, the Vilnius neighborhoods were assessed through the application of COmplex PRoportional ASsessment (COPRAS), Simple Additive Weighting (SAW), Technique for Order of Preference by Similarity to Ideal Solution (TOPSIS) and Evaluation based on Distance from Average Solution (EDAS) methods. The final results were then processed using the rank average method, Borda count and Copeland's method.</t>
        </is>
      </c>
      <c r="X1922" t="inlineStr">
        <is>
          <t>[Zavadskas, Edmundas Kazimieras] Vilnius Gediminas Tech Univ, Dept Construct Technol &amp; Management, Sauletekis Ave 11, LT-10223 Vilnius, Lithuania; [Cavallaro, Fausto] Univ Molise, Dept Econ Management Soc &amp; Inst EGSI, Via Sanctis, I-86100 Campobasso, Italy; [Podvezko, Valentinas] Vilnius Gediminas Tech Univ, Dept Math Stat, Sauletekis Ave 11, LT-10223 Vilnius, Lithuania; [Ubarte, Ieva] Vilnius Gediminas Tech Univ, Res Inst Smart Bldg Technol, Sauletekis Ave 11, LT-10223 Vilnius, Lithuania; [Kaklauskas, Arturas] Vilnius Gediminas Tech Univ, Dept Construct Econ &amp; Property Management, Sauletekis Ave 11, LT-10223 Vilnius, Lithuania</t>
        </is>
      </c>
      <c r="Y1922" t="inlineStr">
        <is>
          <t>Vilnius Gediminas Technical University; University of Molise; Vilnius Gediminas Technical University; Vilnius Gediminas Technical University; Vilnius Gediminas Technical University</t>
        </is>
      </c>
      <c r="Z1922" t="inlineStr">
        <is>
          <t>Cavallaro, F (corresponding author), Univ Molise, Dept Econ Management Soc &amp; Inst EGSI, Via Sanctis, I-86100 Campobasso, Italy.</t>
        </is>
      </c>
      <c r="AA1922" t="inlineStr">
        <is>
          <t>edmundas.zavadskas@vgtu.lt; cavallaro@unimol.it; valentinas.podvezko@vgtu.lt; ieva.ubarte@vgtu.lt; arturas.kaklauskas@vgtu.lt</t>
        </is>
      </c>
      <c r="AB1922" t="inlineStr">
        <is>
          <t>Ubarte, Ieva/N-8368-2019; Cavallaro, Fausto/G-4486-2011; Kaklauskas, Artūras/AAC-4058-2019; Zavadskas, Edmundas Kazimieras/Q-6048-2018</t>
        </is>
      </c>
      <c r="AC1922" t="inlineStr">
        <is>
          <t>Ubarte, Ieva/0000-0003-4586-7903; Cavallaro, Fausto/0000-0003-4533-1025; Zavadskas, Edmundas Kazimieras/0000-0002-3201-949X; Kaklauskas, Arturas/0000-0001-9800-9158</t>
        </is>
      </c>
      <c r="AH1922" t="n">
        <v>86</v>
      </c>
      <c r="AI1922" t="n">
        <v>59</v>
      </c>
      <c r="AJ1922" t="n">
        <v>59</v>
      </c>
      <c r="AK1922" t="n">
        <v>1</v>
      </c>
      <c r="AL1922" t="n">
        <v>61</v>
      </c>
      <c r="AM1922" t="inlineStr">
        <is>
          <t>MDPI</t>
        </is>
      </c>
      <c r="AN1922" t="inlineStr">
        <is>
          <t>BASEL</t>
        </is>
      </c>
      <c r="AO1922" t="inlineStr">
        <is>
          <t>ST ALBAN-ANLAGE 66, CH-4052 BASEL, SWITZERLAND</t>
        </is>
      </c>
      <c r="AQ1922" t="inlineStr">
        <is>
          <t>2071-1050</t>
        </is>
      </c>
      <c r="AS1922" t="inlineStr">
        <is>
          <t>SUSTAINABILITY-BASEL</t>
        </is>
      </c>
      <c r="AT1922" t="inlineStr">
        <is>
          <t>Sustainability</t>
        </is>
      </c>
      <c r="AU1922" t="inlineStr">
        <is>
          <t>MAY</t>
        </is>
      </c>
      <c r="AV1922" t="n">
        <v>2017</v>
      </c>
      <c r="AW1922" t="n">
        <v>9</v>
      </c>
      <c r="AX1922" t="n">
        <v>5</v>
      </c>
      <c r="BE1922" t="n">
        <v>702</v>
      </c>
      <c r="BF1922" t="inlineStr">
        <is>
          <t>10.3390/su9050702</t>
        </is>
      </c>
      <c r="BG1922">
        <f>HYPERLINK("http://dx.doi.org/10.3390/su9050702","http://dx.doi.org/10.3390/su9050702")</f>
        <v/>
      </c>
      <c r="BJ1922" t="n">
        <v>30</v>
      </c>
      <c r="BK1922" t="inlineStr">
        <is>
          <t>Green &amp; Sustainable Science &amp; Technology; Environmental Sciences; Environmental Studies</t>
        </is>
      </c>
      <c r="BL1922" t="inlineStr">
        <is>
          <t>Science Citation Index Expanded (SCI-EXPANDED); Social Science Citation Index (SSCI)</t>
        </is>
      </c>
      <c r="BM1922" t="inlineStr">
        <is>
          <t>Science &amp; Technology - Other Topics; Environmental Sciences &amp; Ecology</t>
        </is>
      </c>
      <c r="BN1922" t="inlineStr">
        <is>
          <t>EY6XN</t>
        </is>
      </c>
      <c r="BP1922" t="inlineStr">
        <is>
          <t>Green Submitted, gold</t>
        </is>
      </c>
      <c r="BS1922" t="inlineStr">
        <is>
          <t>2023-10-26</t>
        </is>
      </c>
      <c r="BT1922" t="inlineStr">
        <is>
          <t>WOS:000404127800027</t>
        </is>
      </c>
      <c r="BU1922">
        <f>HYPERLINK("https%3A%2F%2Fwww.webofscience.com%2Fwos%2Fwoscc%2Ffull-record%2FWOS:000404127800027","View Full Record in Web of Science")</f>
        <v/>
      </c>
    </row>
    <row r="1923">
      <c r="A1923" t="inlineStr">
        <is>
          <t>J</t>
        </is>
      </c>
      <c r="B1923" t="inlineStr">
        <is>
          <t>Ding, ZK; Niu, JD; Liu, S; Wu, HY; Zuo, J</t>
        </is>
      </c>
      <c r="F1923" t="inlineStr">
        <is>
          <t>Ding, Zhikun; Niu, Jindi; Liu, Shan; Wu, Huanyu; Zuo, Jian</t>
        </is>
      </c>
      <c r="J1923" t="inlineStr">
        <is>
          <t>JOURNAL OF CLEANER PRODUCTION</t>
        </is>
      </c>
      <c r="M1923" t="inlineStr">
        <is>
          <t>English</t>
        </is>
      </c>
      <c r="N1923" t="inlineStr">
        <is>
          <t>Article</t>
        </is>
      </c>
      <c r="T1923" t="inlineStr">
        <is>
          <t>An approach integrating geographic information system and building information modelling to assess the building health of commercial buildings</t>
        </is>
      </c>
      <c r="U1923" t="inlineStr">
        <is>
          <t>Building health assessment; Geographic information system (GIS); Building information modelling (BIM); Physical simulation</t>
        </is>
      </c>
      <c r="V1923" t="inlineStr">
        <is>
          <t>SUSTAINABILITY ASSESSMENT; ENERGY PERFORMANCE; FUZZY-AHP; RISK-ASSESSMENT; GREEN; LEED; INDICATORS; BREEAM; CERTIFICATION; NEIGHBORHOOD</t>
        </is>
      </c>
      <c r="W1923" t="inlineStr">
        <is>
          <t>The building health has become an increasingly popular topic in recent years, as the health of a building is directly related to the safety and health of the users. A scientific evaluation of building health can help to assess building health issues and to avoid the catastrophic consequences of the building system failure. Although there are some building health evaluation methods for public buildings and residential buildings, there is a lack of approach for assessing the building health of commercial buildings. The study aims to propose an innovative and practical approach to evaluate the building health of commercial buildings by integrating the analytic hierarchy process (AHP), geographic information system (GIS), and building information modelling (BIM). Based on the AHP approach, the building health evaluation model is proposed to consider five aspects, including comfort performance (weight 5.15%), safety performance (weight 51.88%), environmental performance (weight 24.92%), operation management (weight 12.56%), and economic performance (weight 6.49%). It suggests that safety performance should be considered the most important factor in building health evaluation. Besides, a commercial project in Shenzhen, China was selected as a case study to validate the feasibility of the proposed evaluation model. Based on the results, the building health of the study case is scored as 6.9654 out of 10, which is ranked as intermediate. To be specific, the comfort performance scored 0.4515, safety performance scored 3.3344, environmental performance scored 2.2308, operation management scored 0.9019, and the economic performance scored 0.0972. Many recommendations have been made to improve the building health performance of the building, for instance, it recommends to reduce the energy consumption of the building to improve the economic performance of the building and the operation management performance. The developed model can help the governmental department regarding the building sector and asset manager to identify the building's health performance and take further actions. (C) 2020 Elsevier Ltd. All rights reserved.</t>
        </is>
      </c>
      <c r="X1923" t="inlineStr">
        <is>
          <t>[Ding, Zhikun; Niu, Jindi; Liu, Shan] Shenzhen Univ, Dept Construct Management &amp; Real Estate, Coll Civil Engn, Shenzhen 518060, Peoples R China; [Ding, Zhikun; Niu, Jindi; Liu, Shan] Shenzhen Univ, Sino Australia Joint Res Ctr BIM &amp; Smart Construc, Shenzhen 518060, Peoples R China; [Wu, Huanyu; Zuo, Jian] Univ Adelaide, Sch Architecture &amp; Built Environm, Room 3015, Adelaide, SA 5001, Australia</t>
        </is>
      </c>
      <c r="Y1923" t="inlineStr">
        <is>
          <t>Shenzhen University; Shenzhen University; University of Adelaide</t>
        </is>
      </c>
      <c r="Z1923" t="inlineStr">
        <is>
          <t>Wu, HY (corresponding author), Univ Adelaide, Sch Architecture &amp; Built Environm, Room 3015, Adelaide, SA 5001, Australia.</t>
        </is>
      </c>
      <c r="AA1923" t="inlineStr">
        <is>
          <t>ddzk@szu.edu.cn; niujindi2011@163.com; shanliu@szu.edu.cn; huanyu.wu@adelaide.edu.au; jian.zuo@adelaide.edu.au</t>
        </is>
      </c>
      <c r="AB1923" t="inlineStr">
        <is>
          <t>Zuo, Jian/HPD-5969-2023</t>
        </is>
      </c>
      <c r="AD1923" t="inlineStr">
        <is>
          <t>Natural Science Foundation of Guangdong Province, China [2018A0303130037]; Shenzhen Government Basic Research Foundation for Free exploration [JCYJ20170818141151733]</t>
        </is>
      </c>
      <c r="AE1923" t="inlineStr">
        <is>
          <t>Natural Science Foundation of Guangdong Province, China(National Natural Science Foundation of Guangdong Province); Shenzhen Government Basic Research Foundation for Free exploration</t>
        </is>
      </c>
      <c r="AF1923" t="inlineStr">
        <is>
          <t>This research was conducted with the support of the Natural Science Foundation of Guangdong Province, China (Grant No. 2018A0303130037) and Shenzhen Government Basic Research Foundation for Free exploration (Grant No. JCYJ20170818141151733).</t>
        </is>
      </c>
      <c r="AH1923" t="n">
        <v>81</v>
      </c>
      <c r="AI1923" t="n">
        <v>20</v>
      </c>
      <c r="AJ1923" t="n">
        <v>20</v>
      </c>
      <c r="AK1923" t="n">
        <v>5</v>
      </c>
      <c r="AL1923" t="n">
        <v>126</v>
      </c>
      <c r="AM1923" t="inlineStr">
        <is>
          <t>ELSEVIER SCI LTD</t>
        </is>
      </c>
      <c r="AN1923" t="inlineStr">
        <is>
          <t>OXFORD</t>
        </is>
      </c>
      <c r="AO1923" t="inlineStr">
        <is>
          <t>THE BOULEVARD, LANGFORD LANE, KIDLINGTON, OXFORD OX5 1GB, OXON, ENGLAND</t>
        </is>
      </c>
      <c r="AP1923" t="inlineStr">
        <is>
          <t>0959-6526</t>
        </is>
      </c>
      <c r="AQ1923" t="inlineStr">
        <is>
          <t>1879-1786</t>
        </is>
      </c>
      <c r="AS1923" t="inlineStr">
        <is>
          <t>J CLEAN PROD</t>
        </is>
      </c>
      <c r="AT1923" t="inlineStr">
        <is>
          <t>J. Clean Prod.</t>
        </is>
      </c>
      <c r="AU1923" t="inlineStr">
        <is>
          <t>JUN 1</t>
        </is>
      </c>
      <c r="AV1923" t="n">
        <v>2020</v>
      </c>
      <c r="AW1923" t="n">
        <v>257</v>
      </c>
      <c r="BE1923" t="n">
        <v>120532</v>
      </c>
      <c r="BF1923" t="inlineStr">
        <is>
          <t>10.1016/j.jclepro.2020.120532</t>
        </is>
      </c>
      <c r="BG1923">
        <f>HYPERLINK("http://dx.doi.org/10.1016/j.jclepro.2020.120532","http://dx.doi.org/10.1016/j.jclepro.2020.120532")</f>
        <v/>
      </c>
      <c r="BJ1923" t="n">
        <v>18</v>
      </c>
      <c r="BK1923" t="inlineStr">
        <is>
          <t>Green &amp; Sustainable Science &amp; Technology; Engineering, Environmental; Environmental Sciences</t>
        </is>
      </c>
      <c r="BL1923" t="inlineStr">
        <is>
          <t>Science Citation Index Expanded (SCI-EXPANDED); Social Science Citation Index (SSCI)</t>
        </is>
      </c>
      <c r="BM1923" t="inlineStr">
        <is>
          <t>Science &amp; Technology - Other Topics; Engineering; Environmental Sciences &amp; Ecology</t>
        </is>
      </c>
      <c r="BN1923" t="inlineStr">
        <is>
          <t>KY2EQ</t>
        </is>
      </c>
      <c r="BS1923" t="inlineStr">
        <is>
          <t>2023-10-26</t>
        </is>
      </c>
      <c r="BT1923" t="inlineStr">
        <is>
          <t>WOS:000522383500028</t>
        </is>
      </c>
      <c r="BU1923">
        <f>HYPERLINK("https%3A%2F%2Fwww.webofscience.com%2Fwos%2Fwoscc%2Ffull-record%2FWOS:000522383500028","View Full Record in Web of Science")</f>
        <v/>
      </c>
    </row>
    <row r="1924">
      <c r="A1924" t="inlineStr">
        <is>
          <t>J</t>
        </is>
      </c>
      <c r="B1924" t="inlineStr">
        <is>
          <t>Kumar, P; Imam, B</t>
        </is>
      </c>
      <c r="F1924" t="inlineStr">
        <is>
          <t>Kumar, Prashant; Imam, Boulent</t>
        </is>
      </c>
      <c r="J1924" t="inlineStr">
        <is>
          <t>SCIENCE OF THE TOTAL ENVIRONMENT</t>
        </is>
      </c>
      <c r="M1924" t="inlineStr">
        <is>
          <t>English</t>
        </is>
      </c>
      <c r="N1924" t="inlineStr">
        <is>
          <t>Article</t>
        </is>
      </c>
      <c r="T1924" t="inlineStr">
        <is>
          <t>Footprints of air pollution and changing environment on the sustainability of built infrastructure</t>
        </is>
      </c>
      <c r="U1924" t="inlineStr">
        <is>
          <t>Air pollutants; Built infrastructure; Dose-response functions; Climate change; Green house and corrosive gases; Transport infrastructure</t>
        </is>
      </c>
      <c r="V1924" t="inlineStr">
        <is>
          <t>CLIMATE-CHANGE; FLOOD RISK; IMPACT; EMISSIONS; TRANSPORT; CONCRETE; RECESSION; LIMESTONE; CORROSION; DAMAGE</t>
        </is>
      </c>
      <c r="W1924" t="inlineStr">
        <is>
          <t>Over 150 research articles relating three multi-disciplinary topics (air pollution, climate change and civil engineering structures) are reviewed to examine the footprints of air pollution and changing environment on the sustainability of building and transport structures (referred as built infrastructure). The aim of this review is to synthesize the existing knowledge on this topic, highlight recent advances in our understanding and discuss research priorities. The article begins with the background information on sources and emission trends of global warming (CO2, CH4, N2O, CFCs, SF6) and corrosive (SO2, O-3, NOx) gases and their role in deterioration of building materials (e.g. steel, stone, concrete, brick and wood) exposed in outdoor environments. Further section covers the impacts of climate- and pollution-derived chemical pathways, generally represented by dose-response functions (DRFs), and changing environmental conditions on built infrastructure. The article concludes with the discussions on the topic areas covered and research challenges. A comprehensive inventory of DRFs is compiled. The case study carried out for analysing the inter-comparability of various DRFs on four different materials (carbon steel, limestone, zinc and copper) produced comparable results. Results of another case study revealed that future projected changes in temperature and/or relatively humidity are expected to have a modest effect on the material deterioration rate whereas changes in precipitation were found to show a more dominant impact. Evidences suggest that both changing and extreme environmental conditions are expected to affect the integrity of built infrastructure both in terms of direct structural damage and indirect losses of transport network functionality. Unlike stone and metals, substantially limited information is available on the deterioration of brick, concrete and wooden structures. Further research is warranted to develop more robust and theoretical DRFs for generalising their application, accurately mapping corrosion losses in an area, and costing risk of corrosion damage. (C) 2012 Elsevier B.V. All rights reserved.</t>
        </is>
      </c>
      <c r="X1924" t="inlineStr">
        <is>
          <t>[Kumar, Prashant; Imam, Boulent] Univ Surrey, Dept Civil &amp; Environm Engn, FEPS, Guildford GU2 7XH, Surrey, England; [Kumar, Prashant] Univ Surrey, Environm Flow EnFlo Res Ctr, FEPS, Guildford GU2 7XH, Surrey, England</t>
        </is>
      </c>
      <c r="Y1924" t="inlineStr">
        <is>
          <t>University of Surrey; University of Surrey</t>
        </is>
      </c>
      <c r="Z1924" t="inlineStr">
        <is>
          <t>Kumar, P (corresponding author), Univ Surrey, Dept Civil &amp; Environm Engn, FEPS, Guildford GU2 7XH, Surrey, England.</t>
        </is>
      </c>
      <c r="AA1924" t="inlineStr">
        <is>
          <t>P.Kumar@surrey.ac.uk</t>
        </is>
      </c>
      <c r="AB1924" t="inlineStr">
        <is>
          <t>Kumar, Prashant/C-6357-2011</t>
        </is>
      </c>
      <c r="AC1924" t="inlineStr">
        <is>
          <t>Kumar, Prashant/0000-0002-2462-4411; Imam, Boulent/0000-0003-2511-981X</t>
        </is>
      </c>
      <c r="AH1924" t="n">
        <v>166</v>
      </c>
      <c r="AI1924" t="n">
        <v>80</v>
      </c>
      <c r="AJ1924" t="n">
        <v>87</v>
      </c>
      <c r="AK1924" t="n">
        <v>1</v>
      </c>
      <c r="AL1924" t="n">
        <v>130</v>
      </c>
      <c r="AM1924" t="inlineStr">
        <is>
          <t>ELSEVIER</t>
        </is>
      </c>
      <c r="AN1924" t="inlineStr">
        <is>
          <t>AMSTERDAM</t>
        </is>
      </c>
      <c r="AO1924" t="inlineStr">
        <is>
          <t>RADARWEG 29, 1043 NX AMSTERDAM, NETHERLANDS</t>
        </is>
      </c>
      <c r="AP1924" t="inlineStr">
        <is>
          <t>0048-9697</t>
        </is>
      </c>
      <c r="AQ1924" t="inlineStr">
        <is>
          <t>1879-1026</t>
        </is>
      </c>
      <c r="AS1924" t="inlineStr">
        <is>
          <t>SCI TOTAL ENVIRON</t>
        </is>
      </c>
      <c r="AT1924" t="inlineStr">
        <is>
          <t>Sci. Total Environ.</t>
        </is>
      </c>
      <c r="AU1924" t="inlineStr">
        <is>
          <t>FEB 1</t>
        </is>
      </c>
      <c r="AV1924" t="n">
        <v>2013</v>
      </c>
      <c r="AW1924" t="n">
        <v>444</v>
      </c>
      <c r="BC1924" t="n">
        <v>85</v>
      </c>
      <c r="BD1924" t="n">
        <v>101</v>
      </c>
      <c r="BF1924" t="inlineStr">
        <is>
          <t>10.1016/j.scitotenv.2012.11.056</t>
        </is>
      </c>
      <c r="BG1924">
        <f>HYPERLINK("http://dx.doi.org/10.1016/j.scitotenv.2012.11.056","http://dx.doi.org/10.1016/j.scitotenv.2012.11.056")</f>
        <v/>
      </c>
      <c r="BJ1924" t="n">
        <v>17</v>
      </c>
      <c r="BK1924" t="inlineStr">
        <is>
          <t>Environmental Sciences</t>
        </is>
      </c>
      <c r="BL1924" t="inlineStr">
        <is>
          <t>Science Citation Index Expanded (SCI-EXPANDED)</t>
        </is>
      </c>
      <c r="BM1924" t="inlineStr">
        <is>
          <t>Environmental Sciences &amp; Ecology</t>
        </is>
      </c>
      <c r="BN1924" t="inlineStr">
        <is>
          <t>107SD</t>
        </is>
      </c>
      <c r="BO1924" t="n">
        <v>23262326</v>
      </c>
      <c r="BP1924" t="inlineStr">
        <is>
          <t>Green Submitted</t>
        </is>
      </c>
      <c r="BS1924" t="inlineStr">
        <is>
          <t>2023-10-26</t>
        </is>
      </c>
      <c r="BT1924" t="inlineStr">
        <is>
          <t>WOS:000316240200009</t>
        </is>
      </c>
      <c r="BU1924">
        <f>HYPERLINK("https%3A%2F%2Fwww.webofscience.com%2Fwos%2Fwoscc%2Ffull-record%2FWOS:000316240200009","View Full Record in Web of Science")</f>
        <v/>
      </c>
    </row>
    <row r="1925">
      <c r="A1925" t="inlineStr">
        <is>
          <t>J</t>
        </is>
      </c>
      <c r="B1925" t="inlineStr">
        <is>
          <t>Lam, KH; To, WM; Lee, PKC</t>
        </is>
      </c>
      <c r="F1925" t="inlineStr">
        <is>
          <t>Lam, King Hang; To, Wai Ming; Lee, Peter K. C.</t>
        </is>
      </c>
      <c r="J1925" t="inlineStr">
        <is>
          <t>SUSTAINABILITY</t>
        </is>
      </c>
      <c r="M1925" t="inlineStr">
        <is>
          <t>English</t>
        </is>
      </c>
      <c r="N1925" t="inlineStr">
        <is>
          <t>Article</t>
        </is>
      </c>
      <c r="T1925" t="inlineStr">
        <is>
          <t>Smart Building Management System (SBMS) for Commercial Buildings-Key Attributes and Usage Intentions from Building Professionals' Perspective</t>
        </is>
      </c>
      <c r="U1925" t="inlineStr">
        <is>
          <t>smart buildings; building management system; technology acceptance; building professionals; commercial buildings</t>
        </is>
      </c>
      <c r="V1925" t="inlineStr">
        <is>
          <t>TECHNOLOGY ACCEPTANCE MODEL; INFORMATION-TECHNOLOGY; USER ACCEPTANCE; UNIFIED THEORY; ELECTRICITY CONSUMPTION; HONG-KONG; ENERGY; PERCEPTIONS; ENVIRONMENT; MOTIVATION</t>
        </is>
      </c>
      <c r="W1925" t="inlineStr">
        <is>
          <t>Smart buildings conserve energy and create a responsive, comfortable, and productive indoor environment for users and occupants. As a crucial component of smart buildings, smart building management system (SBMS) should provide a wide range of functions and bring about the intended benefits upon successful deployment. This paper identifies salient SBMS attributes and explores key factors influencing building professionals' intention to use the system in commercial buildings. Responses were collected from 327 Hong Kong building professionals. Data were analyzed by exploratory factor analysis and structural equation modeling based on the refined Unified Theory of Acceptance and Use of Technology (UTAUT). Exploratory factor analysis shows that intelligent building operations and safety and recovery readiness are two dimensions of SBMS emerged. Specifically, intelligent building operations include intelligent and optimal scheduling of building systems, monitor and control of building facilities, having an intelligent and interactive interface, and enabling alarm settings and automatic notifications, showing the importance on the application of electrical engineering in smart building management. Structural equation model (SEM) results indicate that facilitating conditions affect habit, hedonic motivation, social influence, performance expectancy and effort expectancy. Additionally, habit, hedonic motivation and effort expectancy significantly affect building professionals' intention to use SBMS. Practical implications of SBMS attributes for energy management and the ways in which SBMS is encouraged to be used by building professionals are given.</t>
        </is>
      </c>
      <c r="X1925" t="inlineStr">
        <is>
          <t>[Lam, King Hang] Univ Hong Kong, Dept Elect &amp; Elect Engn, Hong Kong, Peoples R China; [To, Wai Ming] Macao Polytech Univ, Fac Business, Macau, Peoples R China; [Lee, Peter K. C.] Keele Univ, Keele Business Sch, Keele ST5 5AA, Staffs, England</t>
        </is>
      </c>
      <c r="Y1925" t="inlineStr">
        <is>
          <t>University of Hong Kong; Keele University</t>
        </is>
      </c>
      <c r="Z1925" t="inlineStr">
        <is>
          <t>Lam, KH (corresponding author), Univ Hong Kong, Dept Elect &amp; Elect Engn, Hong Kong, Peoples R China.</t>
        </is>
      </c>
      <c r="AA1925" t="inlineStr">
        <is>
          <t>khlam@eee.hku.hk</t>
        </is>
      </c>
      <c r="AB1925" t="inlineStr">
        <is>
          <t>To, Wai Ming/A-2228-2010; LAM, K.H./AAU-9513-2021</t>
        </is>
      </c>
      <c r="AC1925" t="inlineStr">
        <is>
          <t>To, Wai Ming/0000-0002-7208-6873; LEE, Ka Chun/0000-0001-6435-800X</t>
        </is>
      </c>
      <c r="AH1925" t="n">
        <v>54</v>
      </c>
      <c r="AI1925" t="n">
        <v>0</v>
      </c>
      <c r="AJ1925" t="n">
        <v>0</v>
      </c>
      <c r="AK1925" t="n">
        <v>11</v>
      </c>
      <c r="AL1925" t="n">
        <v>14</v>
      </c>
      <c r="AM1925" t="inlineStr">
        <is>
          <t>MDPI</t>
        </is>
      </c>
      <c r="AN1925" t="inlineStr">
        <is>
          <t>BASEL</t>
        </is>
      </c>
      <c r="AO1925" t="inlineStr">
        <is>
          <t>ST ALBAN-ANLAGE 66, CH-4052 BASEL, SWITZERLAND</t>
        </is>
      </c>
      <c r="AQ1925" t="inlineStr">
        <is>
          <t>2071-1050</t>
        </is>
      </c>
      <c r="AS1925" t="inlineStr">
        <is>
          <t>SUSTAINABILITY-BASEL</t>
        </is>
      </c>
      <c r="AT1925" t="inlineStr">
        <is>
          <t>Sustainability</t>
        </is>
      </c>
      <c r="AU1925" t="inlineStr">
        <is>
          <t>JAN</t>
        </is>
      </c>
      <c r="AV1925" t="n">
        <v>2023</v>
      </c>
      <c r="AW1925" t="n">
        <v>15</v>
      </c>
      <c r="AX1925" t="n">
        <v>1</v>
      </c>
      <c r="BE1925" t="n">
        <v>80</v>
      </c>
      <c r="BF1925" t="inlineStr">
        <is>
          <t>10.3390/su15010080</t>
        </is>
      </c>
      <c r="BG1925">
        <f>HYPERLINK("http://dx.doi.org/10.3390/su15010080","http://dx.doi.org/10.3390/su15010080")</f>
        <v/>
      </c>
      <c r="BJ1925" t="n">
        <v>15</v>
      </c>
      <c r="BK1925" t="inlineStr">
        <is>
          <t>Green &amp; Sustainable Science &amp; Technology; Environmental Sciences; Environmental Studies</t>
        </is>
      </c>
      <c r="BL1925" t="inlineStr">
        <is>
          <t>Science Citation Index Expanded (SCI-EXPANDED); Social Science Citation Index (SSCI)</t>
        </is>
      </c>
      <c r="BM1925" t="inlineStr">
        <is>
          <t>Science &amp; Technology - Other Topics; Environmental Sciences &amp; Ecology</t>
        </is>
      </c>
      <c r="BN1925" t="inlineStr">
        <is>
          <t>7Q3DS</t>
        </is>
      </c>
      <c r="BP1925" t="inlineStr">
        <is>
          <t>gold, Green Accepted</t>
        </is>
      </c>
      <c r="BS1925" t="inlineStr">
        <is>
          <t>2023-10-26</t>
        </is>
      </c>
      <c r="BT1925" t="inlineStr">
        <is>
          <t>WOS:000909276100001</t>
        </is>
      </c>
      <c r="BU1925">
        <f>HYPERLINK("https%3A%2F%2Fwww.webofscience.com%2Fwos%2Fwoscc%2Ffull-record%2FWOS:000909276100001","View Full Record in Web of Science")</f>
        <v/>
      </c>
    </row>
    <row r="1926">
      <c r="A1926" t="inlineStr">
        <is>
          <t>J</t>
        </is>
      </c>
      <c r="B1926" t="inlineStr">
        <is>
          <t>Balocco, C; Leoncini, L</t>
        </is>
      </c>
      <c r="F1926" t="inlineStr">
        <is>
          <t>Balocco, Carla; Leoncini, Lorenzo</t>
        </is>
      </c>
      <c r="J1926" t="inlineStr">
        <is>
          <t>SUSTAINABILITY</t>
        </is>
      </c>
      <c r="M1926" t="inlineStr">
        <is>
          <t>English</t>
        </is>
      </c>
      <c r="N1926" t="inlineStr">
        <is>
          <t>Article</t>
        </is>
      </c>
      <c r="T1926" t="inlineStr">
        <is>
          <t>Energy Cost for Effective Ventilation and Air Quality for Healthy Buildings: Plant Proposals for a Historic Building School Reopening in the Covid-19 Era</t>
        </is>
      </c>
      <c r="U1926" t="inlineStr">
        <is>
          <t>healthy environment; indoor air quality; wellbeing; historical building school; controlled ventilation; energy sustainability</t>
        </is>
      </c>
      <c r="V1926" t="inlineStr">
        <is>
          <t>NATURAL VENTILATION; PERFORMANCE; RATES</t>
        </is>
      </c>
      <c r="W1926" t="inlineStr">
        <is>
          <t>The COVID-19 pandemic has changed the engineering/technical approach to building and plant design. In Italy, most of the school heritage belongs to historical buildings, which are not only under constraints for the protection and prevention of loss of cultural heritage but are often created with a different intended use. This fact implies that any plant engineering project is really complex. Starting from the current sanitary measures for reopening during the Covid-19 era and the crucial current research on this matter, the feasibility of plant retrofit/refurbishment solutions by means of effective ventilation and air quality are investigated. Various plant solutions based on demand-controlled mechanical ventilation, operating 24 h a day, seven days a week, without air recirculation mode, for a historical high school building were studied using transient simulations. A result comparison showed that it is possible to obtain healthy school environments by means of an optimal compromise between energy savings and the best ventilation conditions for indoor air quality (IAQ). Sustainability is understood as effective and efficient solutions for energy consumption reduction and environmental sustainability as a guarantee for people's safety and wellbeing.</t>
        </is>
      </c>
      <c r="X1926" t="inlineStr">
        <is>
          <t>[Balocco, Carla; Leoncini, Lorenzo] Univ Florence, Dept Ind Engn, Via Santa Marta 3, I-50139 Florence, Italy</t>
        </is>
      </c>
      <c r="Y1926" t="inlineStr">
        <is>
          <t>University of Florence</t>
        </is>
      </c>
      <c r="Z1926" t="inlineStr">
        <is>
          <t>Balocco, C (corresponding author), Univ Florence, Dept Ind Engn, Via Santa Marta 3, I-50139 Florence, Italy.</t>
        </is>
      </c>
      <c r="AA1926" t="inlineStr">
        <is>
          <t>carla.balocco@unifi.it; lorenzo.leoncini@unifi.it</t>
        </is>
      </c>
      <c r="AC1926" t="inlineStr">
        <is>
          <t>Balocco, Carla/0000-0002-8698-2097</t>
        </is>
      </c>
      <c r="AH1926" t="n">
        <v>57</v>
      </c>
      <c r="AI1926" t="n">
        <v>17</v>
      </c>
      <c r="AJ1926" t="n">
        <v>17</v>
      </c>
      <c r="AK1926" t="n">
        <v>3</v>
      </c>
      <c r="AL1926" t="n">
        <v>30</v>
      </c>
      <c r="AM1926" t="inlineStr">
        <is>
          <t>MDPI</t>
        </is>
      </c>
      <c r="AN1926" t="inlineStr">
        <is>
          <t>BASEL</t>
        </is>
      </c>
      <c r="AO1926" t="inlineStr">
        <is>
          <t>ST ALBAN-ANLAGE 66, CH-4052 BASEL, SWITZERLAND</t>
        </is>
      </c>
      <c r="AQ1926" t="inlineStr">
        <is>
          <t>2071-1050</t>
        </is>
      </c>
      <c r="AS1926" t="inlineStr">
        <is>
          <t>SUSTAINABILITY-BASEL</t>
        </is>
      </c>
      <c r="AT1926" t="inlineStr">
        <is>
          <t>Sustainability</t>
        </is>
      </c>
      <c r="AU1926" t="inlineStr">
        <is>
          <t>OCT</t>
        </is>
      </c>
      <c r="AV1926" t="n">
        <v>2020</v>
      </c>
      <c r="AW1926" t="n">
        <v>12</v>
      </c>
      <c r="AX1926" t="n">
        <v>20</v>
      </c>
      <c r="BE1926" t="n">
        <v>8737</v>
      </c>
      <c r="BF1926" t="inlineStr">
        <is>
          <t>10.3390/su12208737</t>
        </is>
      </c>
      <c r="BG1926">
        <f>HYPERLINK("http://dx.doi.org/10.3390/su12208737","http://dx.doi.org/10.3390/su12208737")</f>
        <v/>
      </c>
      <c r="BJ1926" t="n">
        <v>16</v>
      </c>
      <c r="BK1926" t="inlineStr">
        <is>
          <t>Green &amp; Sustainable Science &amp; Technology; Environmental Sciences; Environmental Studies</t>
        </is>
      </c>
      <c r="BL1926" t="inlineStr">
        <is>
          <t>Science Citation Index Expanded (SCI-EXPANDED); Social Science Citation Index (SSCI)</t>
        </is>
      </c>
      <c r="BM1926" t="inlineStr">
        <is>
          <t>Science &amp; Technology - Other Topics; Environmental Sciences &amp; Ecology</t>
        </is>
      </c>
      <c r="BN1926" t="inlineStr">
        <is>
          <t>OI1WQ</t>
        </is>
      </c>
      <c r="BP1926" t="inlineStr">
        <is>
          <t>Green Published, gold</t>
        </is>
      </c>
      <c r="BS1926" t="inlineStr">
        <is>
          <t>2023-10-26</t>
        </is>
      </c>
      <c r="BT1926" t="inlineStr">
        <is>
          <t>WOS:000583078100001</t>
        </is>
      </c>
      <c r="BU1926">
        <f>HYPERLINK("https%3A%2F%2Fwww.webofscience.com%2Fwos%2Fwoscc%2Ffull-record%2FWOS:000583078100001","View Full Record in Web of Science")</f>
        <v/>
      </c>
    </row>
    <row r="1927">
      <c r="A1927" t="inlineStr">
        <is>
          <t>J</t>
        </is>
      </c>
      <c r="B1927" t="inlineStr">
        <is>
          <t>Mc Carron, B; Meng, XH; Colclough, S</t>
        </is>
      </c>
      <c r="F1927" t="inlineStr">
        <is>
          <t>Mc Carron, Barry; Meng, Xianhai; Colclough, Shane</t>
        </is>
      </c>
      <c r="J1927" t="inlineStr">
        <is>
          <t>INTERNATIONAL JOURNAL OF ENVIRONMENTAL RESEARCH AND PUBLIC HEALTH</t>
        </is>
      </c>
      <c r="M1927" t="inlineStr">
        <is>
          <t>English</t>
        </is>
      </c>
      <c r="N1927" t="inlineStr">
        <is>
          <t>Article</t>
        </is>
      </c>
      <c r="T1927" t="inlineStr">
        <is>
          <t>An Investigation into Indoor Radon Concentrations in Certified Passive House Homes</t>
        </is>
      </c>
      <c r="U1927" t="inlineStr">
        <is>
          <t>indoor radon; certified passive house; mechanical ventilation with heat recovery</t>
        </is>
      </c>
      <c r="W1927" t="inlineStr">
        <is>
          <t>The Energy Performance of Buildings Directive (EPBD) has introduced the concept of Nearly Zero Energy Buildings (NZEB) specifying that by 31 December 2020 all new buildings must meet the nearly zero- energy standard, the Passive House standard has emerged as a key enabler for the Nearly Zero Energy Building standard. The combination of Passive House with renewables represents a suitable solution to move to low/zero carbon. The hypothesis in this study is that a certified passive house building with high levels of airtightness with a balanced mechanical ventilation with heat recovery (MVHR) should yield lower indoor radon concentrations. This article presents results and analysis of measured radon levels in a total of 97 certified passive house dwellings using CR-39(3) alpha track diffusion radon gas detectors. The results support the hypothesis that certified passive house buildings present lower radon levels. A striking observation to emerge from the data shows a difference in radon distribution between upstairs and downstairs when compared against regular housing. The study is a first for Ireland and the United Kingdom and it has relevance to a much wider context with the significant growth of the passive house standard globally.</t>
        </is>
      </c>
      <c r="X1927" t="inlineStr">
        <is>
          <t>[Mc Carron, Barry] South West Coll, Fac Built Environm Creat &amp; Life Sci, Sch Nat &amp; Built Environm, Enniskillen BT74 4EJ, North Ireland; [Meng, Xianhai] Queens Univ Belfast, Fac Engn &amp; Phys Sci, Sch Nat &amp; Build Environm, Belfast BT7 1NN, Antrim, North Ireland; [Colclough, Shane] Univ Coll Dublin, Fac Engn &amp; Architecture, Sch Architecture Planning &amp; Environm Policy, Dublin D04 V1W8, Ireland</t>
        </is>
      </c>
      <c r="Y1927" t="inlineStr">
        <is>
          <t>Queens University Belfast; University College Dublin</t>
        </is>
      </c>
      <c r="Z1927" t="inlineStr">
        <is>
          <t>Mc Carron, B (corresponding author), South West Coll, Fac Built Environm Creat &amp; Life Sci, Sch Nat &amp; Built Environm, Enniskillen BT74 4EJ, North Ireland.</t>
        </is>
      </c>
      <c r="AA1927" t="inlineStr">
        <is>
          <t>barry.mccarron@swc.ac.uk; x.meng@qub.ac.uk; shane.colclough@ucd.ie</t>
        </is>
      </c>
      <c r="AC1927" t="inlineStr">
        <is>
          <t>Mc Carron, Barry/0000-0002-1083-3466</t>
        </is>
      </c>
      <c r="AH1927" t="n">
        <v>37</v>
      </c>
      <c r="AI1927" t="n">
        <v>10</v>
      </c>
      <c r="AJ1927" t="n">
        <v>10</v>
      </c>
      <c r="AK1927" t="n">
        <v>0</v>
      </c>
      <c r="AL1927" t="n">
        <v>5</v>
      </c>
      <c r="AM1927" t="inlineStr">
        <is>
          <t>MDPI</t>
        </is>
      </c>
      <c r="AN1927" t="inlineStr">
        <is>
          <t>BASEL</t>
        </is>
      </c>
      <c r="AO1927" t="inlineStr">
        <is>
          <t>ST ALBAN-ANLAGE 66, CH-4052 BASEL, SWITZERLAND</t>
        </is>
      </c>
      <c r="AQ1927" t="inlineStr">
        <is>
          <t>1660-4601</t>
        </is>
      </c>
      <c r="AS1927" t="inlineStr">
        <is>
          <t>INT J ENV RES PUB HE</t>
        </is>
      </c>
      <c r="AT1927" t="inlineStr">
        <is>
          <t>Int. J. Environ. Res. Public Health</t>
        </is>
      </c>
      <c r="AU1927" t="inlineStr">
        <is>
          <t>JUN</t>
        </is>
      </c>
      <c r="AV1927" t="n">
        <v>2020</v>
      </c>
      <c r="AW1927" t="n">
        <v>17</v>
      </c>
      <c r="AX1927" t="n">
        <v>11</v>
      </c>
      <c r="BE1927" t="n">
        <v>4149</v>
      </c>
      <c r="BF1927" t="inlineStr">
        <is>
          <t>10.3390/ijerph17114149</t>
        </is>
      </c>
      <c r="BG1927">
        <f>HYPERLINK("http://dx.doi.org/10.3390/ijerph17114149","http://dx.doi.org/10.3390/ijerph17114149")</f>
        <v/>
      </c>
      <c r="BJ1927" t="n">
        <v>13</v>
      </c>
      <c r="BK1927" t="inlineStr">
        <is>
          <t>Environmental Sciences; Public, Environmental &amp; Occupational Health</t>
        </is>
      </c>
      <c r="BL1927" t="inlineStr">
        <is>
          <t>Science Citation Index Expanded (SCI-EXPANDED); Social Science Citation Index (SSCI)</t>
        </is>
      </c>
      <c r="BM1927" t="inlineStr">
        <is>
          <t>Environmental Sciences &amp; Ecology; Public, Environmental &amp; Occupational Health</t>
        </is>
      </c>
      <c r="BN1927" t="inlineStr">
        <is>
          <t>MB5FY</t>
        </is>
      </c>
      <c r="BO1927" t="n">
        <v>32532047</v>
      </c>
      <c r="BP1927" t="inlineStr">
        <is>
          <t>gold, Green Published</t>
        </is>
      </c>
      <c r="BS1927" t="inlineStr">
        <is>
          <t>2023-10-26</t>
        </is>
      </c>
      <c r="BT1927" t="inlineStr">
        <is>
          <t>WOS:000542629600402</t>
        </is>
      </c>
      <c r="BU1927">
        <f>HYPERLINK("https%3A%2F%2Fwww.webofscience.com%2Fwos%2Fwoscc%2Ffull-record%2FWOS:000542629600402","View Full Record in Web of Science")</f>
        <v/>
      </c>
    </row>
    <row r="1928">
      <c r="A1928" t="inlineStr">
        <is>
          <t>J</t>
        </is>
      </c>
      <c r="B1928" t="inlineStr">
        <is>
          <t>Muhu, A; Tilga, H</t>
        </is>
      </c>
      <c r="F1928" t="inlineStr">
        <is>
          <t>Muhu, Andra; Tilga, Henri</t>
        </is>
      </c>
      <c r="J1928" t="inlineStr">
        <is>
          <t>SUSTAINABILITY</t>
        </is>
      </c>
      <c r="M1928" t="inlineStr">
        <is>
          <t>English</t>
        </is>
      </c>
      <c r="N1928" t="inlineStr">
        <is>
          <t>Article</t>
        </is>
      </c>
      <c r="T1928" t="inlineStr">
        <is>
          <t>Strength Training Habits and Awareness of Its Recommendations among 18-63-Year-Old Adults</t>
        </is>
      </c>
      <c r="U1928" t="inlineStr">
        <is>
          <t>strength training; physical activity recommendations; adults</t>
        </is>
      </c>
      <c r="V1928" t="inlineStr">
        <is>
          <t>MENTAL-HEALTH; OLDER-ADULTS; EXERCISE; BENEFITS; PERFORMANCE; PROGRAM; BALANCE</t>
        </is>
      </c>
      <c r="W1928" t="inlineStr">
        <is>
          <t>In addition to aerobic physical activity, adults of all ages should engage in muscle-strengthening activities (i.e., strength training). The main aim of this study was to identify the strength training habits and awareness of its recommendations among the study group of 18-64-year-old residents of Parnu County. The sample consisted of 18-63-year-old residents of Parnu County, who completed a questionnaire (n = 250) including sociodemographic and lifestyle-related information, strength training habits, and awareness of the World Health Organization (WHO) recommendations on physical activity about muscle strengthening activities (i.e., strength training). The results showed that 42% of the participants engaged in regular strength training on a weekly basis and 36.4% were aware of the WHO recommendations to engage in strength training on a weekly basis. The participants who were younger, at a normal weight, rated their daily physical activity higher and health better, were significantly associated with a higher likelihood of engaging in regular strength training on a weekly basis. The participants of the study who were aware that the WHO recommends engaging in strength training at least twice a week, were more likely to engage in regular strength training on a weekly basis, the majority of them at least twice a week.</t>
        </is>
      </c>
      <c r="X1928" t="inlineStr">
        <is>
          <t>[Muhu, Andra; Tilga, Henri] Univ Tartu, Inst Sport Sci &amp; Physiotherapy, EE-51008 Tartu, Estonia; [Muhu, Andra] Tartu Hlth Care Coll, Nooruse 5, EE-50411 Tartu, Estonia</t>
        </is>
      </c>
      <c r="Y1928" t="inlineStr">
        <is>
          <t>University of Tartu</t>
        </is>
      </c>
      <c r="Z1928" t="inlineStr">
        <is>
          <t>Tilga, H (corresponding author), Univ Tartu, Inst Sport Sci &amp; Physiotherapy, EE-51008 Tartu, Estonia.</t>
        </is>
      </c>
      <c r="AA1928" t="inlineStr">
        <is>
          <t>henri.tilga@ut.ee</t>
        </is>
      </c>
      <c r="AB1928" t="inlineStr">
        <is>
          <t>Tilga, Henri/X-3497-2018</t>
        </is>
      </c>
      <c r="AC1928" t="inlineStr">
        <is>
          <t>Tilga, Henri/0000-0002-6363-4882</t>
        </is>
      </c>
      <c r="AH1928" t="n">
        <v>39</v>
      </c>
      <c r="AI1928" t="n">
        <v>0</v>
      </c>
      <c r="AJ1928" t="n">
        <v>0</v>
      </c>
      <c r="AK1928" t="n">
        <v>1</v>
      </c>
      <c r="AL1928" t="n">
        <v>1</v>
      </c>
      <c r="AM1928" t="inlineStr">
        <is>
          <t>MDPI</t>
        </is>
      </c>
      <c r="AN1928" t="inlineStr">
        <is>
          <t>BASEL</t>
        </is>
      </c>
      <c r="AO1928" t="inlineStr">
        <is>
          <t>ST ALBAN-ANLAGE 66, CH-4052 BASEL, SWITZERLAND</t>
        </is>
      </c>
      <c r="AQ1928" t="inlineStr">
        <is>
          <t>2071-1050</t>
        </is>
      </c>
      <c r="AS1928" t="inlineStr">
        <is>
          <t>SUSTAINABILITY-BASEL</t>
        </is>
      </c>
      <c r="AT1928" t="inlineStr">
        <is>
          <t>Sustainability</t>
        </is>
      </c>
      <c r="AU1928" t="inlineStr">
        <is>
          <t>MAR</t>
        </is>
      </c>
      <c r="AV1928" t="n">
        <v>2023</v>
      </c>
      <c r="AW1928" t="n">
        <v>15</v>
      </c>
      <c r="AX1928" t="n">
        <v>6</v>
      </c>
      <c r="BE1928" t="n">
        <v>5087</v>
      </c>
      <c r="BF1928" t="inlineStr">
        <is>
          <t>10.3390/su15065087</t>
        </is>
      </c>
      <c r="BG1928">
        <f>HYPERLINK("http://dx.doi.org/10.3390/su15065087","http://dx.doi.org/10.3390/su15065087")</f>
        <v/>
      </c>
      <c r="BJ1928" t="n">
        <v>16</v>
      </c>
      <c r="BK1928" t="inlineStr">
        <is>
          <t>Green &amp; Sustainable Science &amp; Technology; Environmental Sciences; Environmental Studies</t>
        </is>
      </c>
      <c r="BL1928" t="inlineStr">
        <is>
          <t>Science Citation Index Expanded (SCI-EXPANDED); Social Science Citation Index (SSCI)</t>
        </is>
      </c>
      <c r="BM1928" t="inlineStr">
        <is>
          <t>Science &amp; Technology - Other Topics; Environmental Sciences &amp; Ecology</t>
        </is>
      </c>
      <c r="BN1928" t="inlineStr">
        <is>
          <t>F5MT3</t>
        </is>
      </c>
      <c r="BP1928" t="inlineStr">
        <is>
          <t>gold</t>
        </is>
      </c>
      <c r="BS1928" t="inlineStr">
        <is>
          <t>2023-10-26</t>
        </is>
      </c>
      <c r="BT1928" t="inlineStr">
        <is>
          <t>WOS:000982792800001</t>
        </is>
      </c>
      <c r="BU1928">
        <f>HYPERLINK("https%3A%2F%2Fwww.webofscience.com%2Fwos%2Fwoscc%2Ffull-record%2FWOS:000982792800001","View Full Record in Web of Science")</f>
        <v/>
      </c>
    </row>
    <row r="1929">
      <c r="A1929" t="inlineStr">
        <is>
          <t>J</t>
        </is>
      </c>
      <c r="B1929" t="inlineStr">
        <is>
          <t>Roda, C; Kousignian, I; Ramond, A; Momas, I</t>
        </is>
      </c>
      <c r="F1929" t="inlineStr">
        <is>
          <t>Roda, Celina; Kousignian, Isabelle; Ramond, Anna; Momas, Isabelle</t>
        </is>
      </c>
      <c r="J1929" t="inlineStr">
        <is>
          <t>ENVIRONMENTAL RESEARCH</t>
        </is>
      </c>
      <c r="M1929" t="inlineStr">
        <is>
          <t>English</t>
        </is>
      </c>
      <c r="N1929" t="inlineStr">
        <is>
          <t>Article</t>
        </is>
      </c>
      <c r="T1929" t="inlineStr">
        <is>
          <t>Indoor tetrachloroethylene levels and determinants in Paris dwellings</t>
        </is>
      </c>
      <c r="U1929" t="inlineStr">
        <is>
          <t>Indoor air; Dwellings; Tetrachloroethylene; Dry cleaning facility; Predictors</t>
        </is>
      </c>
      <c r="V1929" t="inlineStr">
        <is>
          <t>EXPOSURE; RESIDENCES; PCE</t>
        </is>
      </c>
      <c r="W1929" t="inlineStr">
        <is>
          <t>There is growing public health concern about indoor air quality. Tetrachloroethylene (PERC), a chlorinated volatile organic compound widely used as a solvent in dry cleaning facilities, can be a residential indoor air pollutant. As part of an environmental investigation included in the PARIS (Pollution and asthma Risk: an Infant Study) birth cohort, this study firstly aimed to document domestic PERC levels, and then to identify the factors influencing these levels using standardized questionnaires about housing characteristics and living conditions. Air samples were collected in the child's bedroom over one week using passive devices when infants were 1, 6, 9, and 12 months. PERC was identified and quantified by gas chromatography/mass spectrometry. PERC annual domestic level was calculated by averaging seasonal levels. PERC was omnipresent indoors, annual levels ranged from 0.6 to 124.2 mu g/m(3). Multivariate linear and logistic regression models showed that proximity to dry cleaning facilities, do-it-yourself activities (e.g.: photographic development, silverware), presence of air vents, and building construction date ( &lt; 1945) were responsible for higher domestic levels of PERC. This study, conducted in an urban context, provides helpful information on PERC contamination in dwellings, and identifies parameters influencing this contamination. (c) 2012 Elsevier Inc. All rights reserved.</t>
        </is>
      </c>
      <c r="X1929" t="inlineStr">
        <is>
          <t>[Roda, Celina; Kousignian, Isabelle; Ramond, Anna; Momas, Isabelle] Univ Paris 05, Lab Sante Publ &amp; Environm, EA 4064, F-75270 Paris, France; [Momas, Isabelle] Mairie Paris, Direct Act Sociale Enfance &amp; Sante, Cellule Cohorte, F-75012 Paris, France</t>
        </is>
      </c>
      <c r="Y1929" t="inlineStr">
        <is>
          <t>UDICE-French Research Universities; Universite Paris Cite</t>
        </is>
      </c>
      <c r="Z1929" t="inlineStr">
        <is>
          <t>Momas, I (corresponding author), Univ Paris 05, UFR Sci Pharmaceut &amp; Biol, Dept Sante Publ &amp; Biostat, EA Sante Publ &amp; Environm 4064, 4 Ave Observ, F-75006 Paris, France.</t>
        </is>
      </c>
      <c r="AA1929" t="inlineStr">
        <is>
          <t>isabelle.momas@parisdescartes.fr</t>
        </is>
      </c>
      <c r="AB1929" t="inlineStr">
        <is>
          <t>Roda, Célina/R-1004-2016; KOUSIGNIAN, Isabelle/ABA-7069-2020</t>
        </is>
      </c>
      <c r="AC1929" t="inlineStr">
        <is>
          <t>Roda, Célina/0000-0003-0786-5085; KOUSIGNIAN, Isabelle/0000-0001-5945-3176; Ramond, Anna/0000-0002-9958-3693; momas, isabelle/0000-0003-4344-3787</t>
        </is>
      </c>
      <c r="AD1929" t="inlineStr">
        <is>
          <t>Paris council, within its Social, Childhood and Health Direction (DASES); French National Agency for Food, Environment, and Occupational health Safety (Anses); French Environment and Energy Management Agency (ADEME); French Scientific and Technical Construction Center (CSTB); French Institute for Public Health Surveillance (InVS)</t>
        </is>
      </c>
      <c r="AE1929" t="inlineStr">
        <is>
          <t>Paris council, within its Social, Childhood and Health Direction (DASES); French National Agency for Food, Environment, and Occupational health Safety (Anses); French Environment and Energy Management Agency (ADEME); French Scientific and Technical Construction Center (CSTB); French Institute for Public Health Surveillance (InVS)</t>
        </is>
      </c>
      <c r="AF1929" t="inlineStr">
        <is>
          <t>The PARIS cohort is supported by the Paris council, within its Social, Childhood and Health Direction (DASES). The environmental investigation of the cohort received financial support from the French National Agency for Food, Environment, and Occupational health Safety (Anses) and the French Institute for Public Health Surveillance (InVS). Celina Roda received a doctoral grant from the French Environment and Energy Management Agency (ADEME) and the French Scientific and Technical Construction Center (CSTB).</t>
        </is>
      </c>
      <c r="AH1929" t="n">
        <v>30</v>
      </c>
      <c r="AI1929" t="n">
        <v>9</v>
      </c>
      <c r="AJ1929" t="n">
        <v>9</v>
      </c>
      <c r="AK1929" t="n">
        <v>0</v>
      </c>
      <c r="AL1929" t="n">
        <v>31</v>
      </c>
      <c r="AM1929" t="inlineStr">
        <is>
          <t>ACADEMIC PRESS INC ELSEVIER SCIENCE</t>
        </is>
      </c>
      <c r="AN1929" t="inlineStr">
        <is>
          <t>SAN DIEGO</t>
        </is>
      </c>
      <c r="AO1929" t="inlineStr">
        <is>
          <t>525 B ST, STE 1900, SAN DIEGO, CA 92101-4495 USA</t>
        </is>
      </c>
      <c r="AP1929" t="inlineStr">
        <is>
          <t>0013-9351</t>
        </is>
      </c>
      <c r="AQ1929" t="inlineStr">
        <is>
          <t>1096-0953</t>
        </is>
      </c>
      <c r="AS1929" t="inlineStr">
        <is>
          <t>ENVIRON RES</t>
        </is>
      </c>
      <c r="AT1929" t="inlineStr">
        <is>
          <t>Environ. Res.</t>
        </is>
      </c>
      <c r="AU1929" t="inlineStr">
        <is>
          <t>JAN</t>
        </is>
      </c>
      <c r="AV1929" t="n">
        <v>2013</v>
      </c>
      <c r="AW1929" t="n">
        <v>120</v>
      </c>
      <c r="BC1929" t="n">
        <v>1</v>
      </c>
      <c r="BD1929" t="n">
        <v>6</v>
      </c>
      <c r="BF1929" t="inlineStr">
        <is>
          <t>10.1016/j.envres.2012.09.005</t>
        </is>
      </c>
      <c r="BG1929">
        <f>HYPERLINK("http://dx.doi.org/10.1016/j.envres.2012.09.005","http://dx.doi.org/10.1016/j.envres.2012.09.005")</f>
        <v/>
      </c>
      <c r="BJ1929" t="n">
        <v>6</v>
      </c>
      <c r="BK1929" t="inlineStr">
        <is>
          <t>Environmental Sciences; Public, Environmental &amp; Occupational Health</t>
        </is>
      </c>
      <c r="BL1929" t="inlineStr">
        <is>
          <t>Science Citation Index Expanded (SCI-EXPANDED)</t>
        </is>
      </c>
      <c r="BM1929" t="inlineStr">
        <is>
          <t>Environmental Sciences &amp; Ecology; Public, Environmental &amp; Occupational Health</t>
        </is>
      </c>
      <c r="BN1929" t="inlineStr">
        <is>
          <t>071PJ</t>
        </is>
      </c>
      <c r="BO1929" t="n">
        <v>23127492</v>
      </c>
      <c r="BS1929" t="inlineStr">
        <is>
          <t>2023-10-26</t>
        </is>
      </c>
      <c r="BT1929" t="inlineStr">
        <is>
          <t>WOS:000313606400001</t>
        </is>
      </c>
      <c r="BU1929">
        <f>HYPERLINK("https%3A%2F%2Fwww.webofscience.com%2Fwos%2Fwoscc%2Ffull-record%2FWOS:000313606400001","View Full Record in Web of Science")</f>
        <v/>
      </c>
    </row>
    <row r="1930">
      <c r="A1930" t="inlineStr">
        <is>
          <t>J</t>
        </is>
      </c>
      <c r="B1930" t="inlineStr">
        <is>
          <t>Yang, XL; Orjuela, JP; McCoy, E; Vich, G; Anaya-Boig, E; Avila-Palencia, I; Brand, C; Carrasco-Turigas, G; Dons, E; Gerike, R; Götschi, T; Nieuwenhuijsen, M; Panis, LI; Standaert, A; de Nazelle, A</t>
        </is>
      </c>
      <c r="F1930" t="inlineStr">
        <is>
          <t>Yang, Xiuleng; Orjuela, Juan Pablo; McCoy, Emma; Vich, Guillem; Anaya-Boig, Esther; Avila-Palencia, Ione; Brand, Christian; Carrasco-Turigas, Gloria; Dons, Evi; Gerike, Regine; Gotschi, Thomas; Nieuwenhuijsen, Mark; Panis, Luc Int; Standaert, Arnout; de Nazelle, Audrey</t>
        </is>
      </c>
      <c r="J1930" t="inlineStr">
        <is>
          <t>ENVIRONMENTAL RESEARCH</t>
        </is>
      </c>
      <c r="M1930" t="inlineStr">
        <is>
          <t>English</t>
        </is>
      </c>
      <c r="N1930" t="inlineStr">
        <is>
          <t>Article</t>
        </is>
      </c>
      <c r="T1930" t="inlineStr">
        <is>
          <t>The impact of black carbon (BC) on mode-specific galvanic skin response (GSR) as a measure of stress in urban environments</t>
        </is>
      </c>
      <c r="U1930" t="inlineStr">
        <is>
          <t>Built environment; Urban planning; Stress; Air pollution; Active travel; Causal inference</t>
        </is>
      </c>
      <c r="V1930" t="inlineStr">
        <is>
          <t>AIR-POLLUTION; TRAFFIC CONDITIONS; PHYSICAL-ACTIVITY; TRAVEL BEHAVIOR; SENSEWEAR PRO3; HEALTH; VALIDATION; INDICATOR; EXPOSURE; BENEFITS</t>
        </is>
      </c>
      <c r="W1930" t="inlineStr">
        <is>
          <t>Previous research has shown that walking and cycling could help alleviate stress in cities, however there is poor knowledge on how specific microenvironmental conditions encountered during daily journeys may lead to varying degrees of stress experienced at that moment. We use objectively measured data and a robust causal inference framework to address this gap. Using a Bayesian Doubly Robust (BDR) approach, we find that black carbon exposure statistically significantly increases stress, as measured by Galvanic Skin Response (GSR), while cycling and while walking. Augmented Outcome Regression (AOR) models indicate that greenspace exposure and the presence of walking or cycling infrastructure could reduce stress. None of these effects are statistically significant for people in motorized transport. These findings add to a growing evidence-base on health benefits of policies aimed at decreasing air pollution, improving active travel infrastructure and increasing greenspace in cities.</t>
        </is>
      </c>
      <c r="X1930" t="inlineStr">
        <is>
          <t>[Yang, Xiuleng; McCoy, Emma] Imperial Coll London, Dept Math, London, England; [Orjuela, Juan Pablo; Brand, Christian] Univ Oxford, Sch Geog &amp; Environm, Transport Studies Unit TSU, Oxford, England; [Vich, Guillem; Carrasco-Turigas, Gloria; Nieuwenhuijsen, Mark] Inst Global Hlth ISGlobal, Barcelona, Spain; [Anaya-Boig, Esther; de Nazelle, Audrey] Imperial Coll London, Ctr Environm Policy, 16-18 Princes Gardens, London SW7 1NE, England; [Avila-Palencia, Ione] Queens Univ Belfast, Ctr Publ Hlth, Belfast, Antrim, North Ireland; [Brand, Christian] Univ Oxford, Environm Change Inst, Oxford, England; [Carrasco-Turigas, Gloria; Nieuwenhuijsen, Mark] GIBER Epiderniologin &amp; Salud Pabl CIBERESP, Madrid, Spain; [Carrasco-Turigas, Gloria; Nieuwenhuijsen, Mark] Univ Pompeu Fabra UPF, Barcelona, Spain; [Dons, Evi; Panis, Luc Int] Hasselt Univ, Ctr Environm Sci, Hasselt, Belgium; [Dons, Evi; Panis, Luc Int; Standaert, Arnout] Flemish Inst Technol Res VITO, Mol, Belgium; [Gerike, Regine] Tech Univ Dresden, Inst Transport Planning &amp; Rd Traff, Dresden, Germany; [Gotschi, Thomas] Univ Oregon, Sch Planning Publ Policy &amp; Management PPPM, Eugene, OR 97403 USA; [de Nazelle, Audrey] Imperial Coll London, MRC PHE Ctr Environm &amp; Hlth, London, England</t>
        </is>
      </c>
      <c r="Y1930" t="inlineStr">
        <is>
          <t>Imperial College London; University of Oxford; ISGlobal; Imperial College London; Queens University Belfast; University of Oxford; Pompeu Fabra University; Hasselt University; VITO; Technische Universitat Dresden; University of Oregon; Imperial College London</t>
        </is>
      </c>
      <c r="Z1930" t="inlineStr">
        <is>
          <t>de Nazelle, A (corresponding author), Imperial Coll London, Ctr Environm Policy, 16-18 Princes Gardens, London SW7 1NE, England.</t>
        </is>
      </c>
      <c r="AA1930" t="inlineStr">
        <is>
          <t>anazelle@imperial.ac.uk</t>
        </is>
      </c>
      <c r="AB1930" t="inlineStr">
        <is>
          <t>Anaya-Boig, Ester/K-5395-2015; Vich, Guillem/J-3998-2019; Avila-Palencia, Ione/J-1062-2018; Gerike, Regine/N-7835-2013</t>
        </is>
      </c>
      <c r="AC1930" t="inlineStr">
        <is>
          <t>Anaya-Boig, Ester/0000-0002-9204-534X; Vich, Guillem/0000-0002-6419-1913; Orjuela Mendoza, Juan Pablo/0000-0003-0090-3624; McCoy, Emma/0000-0001-9033-7472; Yang, Xiuleng/0000-0002-2474-5854; Brand, Christian/0000-0002-1535-5328; Avila-Palencia, Ione/0000-0002-4353-2256; Gerike, Regine/0000-0002-8063-6636; de Nazelle, Audrey/0000-0002-1092-3971</t>
        </is>
      </c>
      <c r="AD1930" t="inlineStr">
        <is>
          <t>European project Physical Activity through Sustainable Transportation Approaches (PASTA) - Eu- ropean Union?s Seventh Framework Program (EU FP7) [602624]; European Union [602624]; EPSRC Centre for Doctoral Training (CDT) on Financial Computing Analytics</t>
        </is>
      </c>
      <c r="AE1930" t="inlineStr">
        <is>
          <t>European project Physical Activity through Sustainable Transportation Approaches (PASTA) - Eu- ropean Union?s Seventh Framework Program (EU FP7)(European Union (EU)Marie Curie Actions); European Union(European Union (EU)); EPSRC Centre for Doctoral Training (CDT) on Financial Computing Analytics</t>
        </is>
      </c>
      <c r="AF1930" t="inlineStr">
        <is>
          <t>This work was supported by the European project Physical Activity through Sustainable Transportation Approaches (PASTA) . PASTA (http:// www.pastaproject.eu/) is a four-year project funded by the European Unions Seventh Framework Program (EU FP7) under European Commission-Grant Agreement No. 602624. Xiuleng Yang is supported by a studentship in the EPSRC Centre for Doctoral Training (CDT) on Financial Computing &amp; Analytics (co -organised by Imperial College London and University College London) .</t>
        </is>
      </c>
      <c r="AH1930" t="n">
        <v>87</v>
      </c>
      <c r="AI1930" t="n">
        <v>1</v>
      </c>
      <c r="AJ1930" t="n">
        <v>1</v>
      </c>
      <c r="AK1930" t="n">
        <v>0</v>
      </c>
      <c r="AL1930" t="n">
        <v>6</v>
      </c>
      <c r="AM1930" t="inlineStr">
        <is>
          <t>ACADEMIC PRESS INC ELSEVIER SCIENCE</t>
        </is>
      </c>
      <c r="AN1930" t="inlineStr">
        <is>
          <t>SAN DIEGO</t>
        </is>
      </c>
      <c r="AO1930" t="inlineStr">
        <is>
          <t>525 B ST, STE 1900, SAN DIEGO, CA 92101-4495 USA</t>
        </is>
      </c>
      <c r="AP1930" t="inlineStr">
        <is>
          <t>0013-9351</t>
        </is>
      </c>
      <c r="AQ1930" t="inlineStr">
        <is>
          <t>1096-0953</t>
        </is>
      </c>
      <c r="AS1930" t="inlineStr">
        <is>
          <t>ENVIRON RES</t>
        </is>
      </c>
      <c r="AT1930" t="inlineStr">
        <is>
          <t>Environ. Res.</t>
        </is>
      </c>
      <c r="AU1930" t="inlineStr">
        <is>
          <t>NOV</t>
        </is>
      </c>
      <c r="AV1930" t="n">
        <v>2022</v>
      </c>
      <c r="AW1930" t="n">
        <v>214</v>
      </c>
      <c r="AY1930" t="n">
        <v>4</v>
      </c>
      <c r="BE1930" t="n">
        <v>114083</v>
      </c>
      <c r="BF1930" t="inlineStr">
        <is>
          <t>10.1016/j.envres.2022.114083</t>
        </is>
      </c>
      <c r="BG1930">
        <f>HYPERLINK("http://dx.doi.org/10.1016/j.envres.2022.114083","http://dx.doi.org/10.1016/j.envres.2022.114083")</f>
        <v/>
      </c>
      <c r="BI1930" t="inlineStr">
        <is>
          <t>AUG 2022</t>
        </is>
      </c>
      <c r="BJ1930" t="n">
        <v>10</v>
      </c>
      <c r="BK1930" t="inlineStr">
        <is>
          <t>Environmental Sciences; Public, Environmental &amp; Occupational Health</t>
        </is>
      </c>
      <c r="BL1930" t="inlineStr">
        <is>
          <t>Science Citation Index Expanded (SCI-EXPANDED)</t>
        </is>
      </c>
      <c r="BM1930" t="inlineStr">
        <is>
          <t>Environmental Sciences &amp; Ecology; Public, Environmental &amp; Occupational Health</t>
        </is>
      </c>
      <c r="BN1930" t="inlineStr">
        <is>
          <t>4W5TS</t>
        </is>
      </c>
      <c r="BO1930" t="n">
        <v>35995220</v>
      </c>
      <c r="BP1930" t="inlineStr">
        <is>
          <t>Green Published, hybrid</t>
        </is>
      </c>
      <c r="BS1930" t="inlineStr">
        <is>
          <t>2023-10-26</t>
        </is>
      </c>
      <c r="BT1930" t="inlineStr">
        <is>
          <t>WOS:000860225300012</t>
        </is>
      </c>
      <c r="BU1930">
        <f>HYPERLINK("https%3A%2F%2Fwww.webofscience.com%2Fwos%2Fwoscc%2Ffull-record%2FWOS:000860225300012","View Full Record in Web of Science")</f>
        <v/>
      </c>
    </row>
    <row r="1931">
      <c r="A1931" t="inlineStr">
        <is>
          <t>J</t>
        </is>
      </c>
      <c r="B1931" t="inlineStr">
        <is>
          <t>Ford, JD; Champalle, C; Tudge, P; Riedlsperger, R; Bell, T; Sparling, E</t>
        </is>
      </c>
      <c r="F1931" t="inlineStr">
        <is>
          <t>Ford, James D.; Champalle, Clara; Tudge, Pamela; Riedlsperger, Rudy; Bell, Trevor; Sparling, Erik</t>
        </is>
      </c>
      <c r="J1931" t="inlineStr">
        <is>
          <t>MITIGATION AND ADAPTATION STRATEGIES FOR GLOBAL CHANGE</t>
        </is>
      </c>
      <c r="M1931" t="inlineStr">
        <is>
          <t>English</t>
        </is>
      </c>
      <c r="N1931" t="inlineStr">
        <is>
          <t>Article</t>
        </is>
      </c>
      <c r="T1931" t="inlineStr">
        <is>
          <t>Evaluating climate change vulnerability assessments: a case study of research focusing on the built environment in northern Canada</t>
        </is>
      </c>
      <c r="U1931" t="inlineStr">
        <is>
          <t>Vulnerability; Climate change; Built environment; Northern Canada; Arctic; Literature review; Evaluation framework</t>
        </is>
      </c>
      <c r="V1931" t="inlineStr">
        <is>
          <t>HUMAN DIMENSIONS; ADAPTIVE CAPACITY; CHANGE ADAPTATION; COUPLED HUMAN; IMPACTS; SCIENCE; COMMUNITIES; GOVERNANCE; POLICY; CHALLENGES</t>
        </is>
      </c>
      <c r="W1931" t="inlineStr">
        <is>
          <t>Vulnerability assessments (VAs) have been widely used to understand the risks posed by climate change and identify opportunities for adaptation. Few studies, however, have evaluated VAs from the perspective of intended knowledge users or with reference to established best practices. In this paper, we identify and evaluate VAs focusing on the built environment in northern Canada. We document 16 completed VAs, which range from engineering-based studies of the vulnerability of specific infrastructural assets (e.g. building foundations, roads) to community-based assessments characterizing the vulnerability of the built environment in general in specific communities. We then evaluate projects based on the extent to which they incorporate best practices for vulnerability assessment, informed by a review of the scholarship and interviews with practitioners and knowledge users in the north (n = 21). While completed VAs have increased our understanding of the risks posed by climate change, none perform well across all evaluation criteria, and interviewees identified the need for improvement to VAs to inform decision making. Specifically, there is a need for greater emphasis on stakeholder engagement and effective communication of research findings, and interdisciplinary collaboration to capture the multiple drivers of vulnerability, cost impacts, and examine the performance of infrastructural assets under different climate scenarios.</t>
        </is>
      </c>
      <c r="X1931" t="inlineStr">
        <is>
          <t>[Ford, James D.; Champalle, Clara; Tudge, Pamela] McGill Univ, Dept Geog, Montreal, PQ, Canada; [Riedlsperger, Rudy; Bell, Trevor] Mem Univ Newfoundland, Dept Geog, St John, NF, Canada; [Sparling, Erik] Risk Sci Int, Ottawa, ON, Canada</t>
        </is>
      </c>
      <c r="Y1931" t="inlineStr">
        <is>
          <t>McGill University; Memorial University Newfoundland</t>
        </is>
      </c>
      <c r="Z1931" t="inlineStr">
        <is>
          <t>Ford, JD (corresponding author), McGill Univ, Dept Geog, Montreal, PQ, Canada.</t>
        </is>
      </c>
      <c r="AA1931" t="inlineStr">
        <is>
          <t>james.ford@mcgill.ca</t>
        </is>
      </c>
      <c r="AB1931" t="inlineStr">
        <is>
          <t>Ford, James/A-4284-2013</t>
        </is>
      </c>
      <c r="AC1931" t="inlineStr">
        <is>
          <t>Ford, James/0000-0002-2066-3456</t>
        </is>
      </c>
      <c r="AD1931" t="inlineStr">
        <is>
          <t>Natural Resources Canada</t>
        </is>
      </c>
      <c r="AE1931" t="inlineStr">
        <is>
          <t>Natural Resources Canada(Natural Resources CanadaCanadian Forest Service)</t>
        </is>
      </c>
      <c r="AF1931" t="inlineStr">
        <is>
          <t>This research was funded by Natural Resources Canada in support of Canada's Adaptation Platform Northern Working Group. We'd like to thank the following for their important contributions to the work: Marie-Caroline Badjeck, Caroline Larrivee, Tristan Pearce, Bronwyn Benkert, Frank Duerden, Jamal Shirley, Lacia Kinnear, Sara Brown, Brian Sieben, Al Douglas, Donald Forbes, Martin Tremblay, Colleen Healey, Sara Holzman, Lea Berrang-Ford, and Tom Sheldon. Adam Bonnycastle produced Fig. 1. Finally, the authors also wish to thank all interview participants that contributed their time and valuable knowledge to inform this study.</t>
        </is>
      </c>
      <c r="AH1931" t="n">
        <v>99</v>
      </c>
      <c r="AI1931" t="n">
        <v>13</v>
      </c>
      <c r="AJ1931" t="n">
        <v>13</v>
      </c>
      <c r="AK1931" t="n">
        <v>0</v>
      </c>
      <c r="AL1931" t="n">
        <v>53</v>
      </c>
      <c r="AM1931" t="inlineStr">
        <is>
          <t>SPRINGER</t>
        </is>
      </c>
      <c r="AN1931" t="inlineStr">
        <is>
          <t>DORDRECHT</t>
        </is>
      </c>
      <c r="AO1931" t="inlineStr">
        <is>
          <t>VAN GODEWIJCKSTRAAT 30, 3311 GZ DORDRECHT, NETHERLANDS</t>
        </is>
      </c>
      <c r="AP1931" t="inlineStr">
        <is>
          <t>1381-2386</t>
        </is>
      </c>
      <c r="AQ1931" t="inlineStr">
        <is>
          <t>1573-1596</t>
        </is>
      </c>
      <c r="AS1931" t="inlineStr">
        <is>
          <t>MITIG ADAPT STRAT GL</t>
        </is>
      </c>
      <c r="AT1931" t="inlineStr">
        <is>
          <t>Mitig. Adapt. Strateg. Glob. Chang.</t>
        </is>
      </c>
      <c r="AU1931" t="inlineStr">
        <is>
          <t>DEC</t>
        </is>
      </c>
      <c r="AV1931" t="n">
        <v>2015</v>
      </c>
      <c r="AW1931" t="n">
        <v>20</v>
      </c>
      <c r="AX1931" t="n">
        <v>8</v>
      </c>
      <c r="BC1931" t="n">
        <v>1267</v>
      </c>
      <c r="BD1931" t="n">
        <v>1288</v>
      </c>
      <c r="BF1931" t="inlineStr">
        <is>
          <t>10.1007/s11027-014-9543-x</t>
        </is>
      </c>
      <c r="BG1931">
        <f>HYPERLINK("http://dx.doi.org/10.1007/s11027-014-9543-x","http://dx.doi.org/10.1007/s11027-014-9543-x")</f>
        <v/>
      </c>
      <c r="BJ1931" t="n">
        <v>22</v>
      </c>
      <c r="BK1931" t="inlineStr">
        <is>
          <t>Environmental Sciences</t>
        </is>
      </c>
      <c r="BL1931" t="inlineStr">
        <is>
          <t>Science Citation Index Expanded (SCI-EXPANDED)</t>
        </is>
      </c>
      <c r="BM1931" t="inlineStr">
        <is>
          <t>Environmental Sciences &amp; Ecology</t>
        </is>
      </c>
      <c r="BN1931" t="inlineStr">
        <is>
          <t>CU0ZG</t>
        </is>
      </c>
      <c r="BS1931" t="inlineStr">
        <is>
          <t>2023-10-26</t>
        </is>
      </c>
      <c r="BT1931" t="inlineStr">
        <is>
          <t>WOS:000363247700002</t>
        </is>
      </c>
      <c r="BU1931">
        <f>HYPERLINK("https%3A%2F%2Fwww.webofscience.com%2Fwos%2Fwoscc%2Ffull-record%2FWOS:000363247700002","View Full Record in Web of Science")</f>
        <v/>
      </c>
    </row>
    <row r="1932">
      <c r="A1932" t="inlineStr">
        <is>
          <t>J</t>
        </is>
      </c>
      <c r="B1932" t="inlineStr">
        <is>
          <t>Morisaki, Y; Fujiu, M; Furuta, R; Takayama, J</t>
        </is>
      </c>
      <c r="F1932" t="inlineStr">
        <is>
          <t>Morisaki, Yuma; Fujiu, Makoto; Furuta, Ryoichi; Takayama, Junichi</t>
        </is>
      </c>
      <c r="J1932" t="inlineStr">
        <is>
          <t>REMOTE SENSING</t>
        </is>
      </c>
      <c r="M1932" t="inlineStr">
        <is>
          <t>English</t>
        </is>
      </c>
      <c r="N1932" t="inlineStr">
        <is>
          <t>Article</t>
        </is>
      </c>
      <c r="T1932" t="inlineStr">
        <is>
          <t>Development of a Radar Reflector Kit for Older Adults to Use to Signal Their Location and Needs in a Large-Scale Earthquake Disaster</t>
        </is>
      </c>
      <c r="U1932" t="inlineStr">
        <is>
          <t>large-scale earthquake disaster; older adults; ascertaining location and needs; questionnaire survey</t>
        </is>
      </c>
      <c r="V1932" t="inlineStr">
        <is>
          <t>SAR</t>
        </is>
      </c>
      <c r="W1932" t="inlineStr">
        <is>
          <t>In Japan, older adults account for the highest proportion of the population of any country in the world. When large-scale earthquake disasters strike, large numbers of casualties are known to particularly occur among seniors. Many are physically or mentally vulnerable and require assistance during the different phases of disaster response, including rescue, evacuation, and living in an evacuation center. However, the growing number of older adults has made it difficult, after a disaster, to quickly gather information on their locations and assess their needs. The authors are developing a proposal to enable vulnerable people to signal their location and needs in the aftermath of a disaster to response teams by deploying radar reflectors that can be detected in synthetic aperture radar (SAR) satellite imagery. The purpose of this study was to develop a radar reflector kit that seniors could easily assemble in order to make this proposal feasible in practice. Three versions of the reflector were tested for detectability, and a sample of older adults was asked to assemble the kits and provide feedback regarding problems they encountered and regarding their interest in using the reflectors in the event of a large-scale disaster.</t>
        </is>
      </c>
      <c r="X1932" t="inlineStr">
        <is>
          <t>[Morisaki, Yuma] Kanazawa Univ, Grad Sch Nat Sci &amp; Technol, Div Environm Design, Kanazawa, Ishikawa 9201192, Japan; [Fujiu, Makoto] Kanazawa Univ, Fac Transdisciplinary Sci, Inst Transdisciplinary Sci, Kanazawa, Ishikawa 9201192, Japan; [Furuta, Ryoichi] Remote Sensing Technol Ctr Japan, Minato Ku, Tokyo 1050001, Japan; [Takayama, Junichi] Kanazawa Univ, Kanazawa, Ishikawa 9201192, Japan</t>
        </is>
      </c>
      <c r="Y1932" t="inlineStr">
        <is>
          <t>Kanazawa University; Kanazawa University; Kanazawa University</t>
        </is>
      </c>
      <c r="Z1932" t="inlineStr">
        <is>
          <t>Fujiu, M (corresponding author), Kanazawa Univ, Fac Transdisciplinary Sci, Inst Transdisciplinary Sci, Kanazawa, Ishikawa 9201192, Japan.</t>
        </is>
      </c>
      <c r="AA1932" t="inlineStr">
        <is>
          <t>yki20@stu.kanazawa-u.ac.jp; fujiu@se.kanazawa-u.ac.jp; furuta_ryoichi@restec.or.jp; takayama-j@staff.kanazawa-u.ac.jp</t>
        </is>
      </c>
      <c r="AB1932" t="inlineStr">
        <is>
          <t>FUJIU, Makoto/ADF-1232-2022</t>
        </is>
      </c>
      <c r="AC1932" t="inlineStr">
        <is>
          <t>FUJIU, Makoto/0000-0003-3480-6347</t>
        </is>
      </c>
      <c r="AH1932" t="n">
        <v>16</v>
      </c>
      <c r="AI1932" t="n">
        <v>2</v>
      </c>
      <c r="AJ1932" t="n">
        <v>3</v>
      </c>
      <c r="AK1932" t="n">
        <v>2</v>
      </c>
      <c r="AL1932" t="n">
        <v>4</v>
      </c>
      <c r="AM1932" t="inlineStr">
        <is>
          <t>MDPI</t>
        </is>
      </c>
      <c r="AN1932" t="inlineStr">
        <is>
          <t>BASEL</t>
        </is>
      </c>
      <c r="AO1932" t="inlineStr">
        <is>
          <t>ST ALBAN-ANLAGE 66, CH-4052 BASEL, SWITZERLAND</t>
        </is>
      </c>
      <c r="AQ1932" t="inlineStr">
        <is>
          <t>2072-4292</t>
        </is>
      </c>
      <c r="AS1932" t="inlineStr">
        <is>
          <t>REMOTE SENS-BASEL</t>
        </is>
      </c>
      <c r="AT1932" t="inlineStr">
        <is>
          <t>Remote Sens.</t>
        </is>
      </c>
      <c r="AU1932" t="inlineStr">
        <is>
          <t>MAY</t>
        </is>
      </c>
      <c r="AV1932" t="n">
        <v>2021</v>
      </c>
      <c r="AW1932" t="n">
        <v>13</v>
      </c>
      <c r="AX1932" t="n">
        <v>10</v>
      </c>
      <c r="BE1932" t="n">
        <v>1883</v>
      </c>
      <c r="BF1932" t="inlineStr">
        <is>
          <t>10.3390/rs13101883</t>
        </is>
      </c>
      <c r="BG1932">
        <f>HYPERLINK("http://dx.doi.org/10.3390/rs13101883","http://dx.doi.org/10.3390/rs13101883")</f>
        <v/>
      </c>
      <c r="BJ1932" t="n">
        <v>16</v>
      </c>
      <c r="BK1932" t="inlineStr">
        <is>
          <t>Environmental Sciences; Geosciences, Multidisciplinary; Remote Sensing; Imaging Science &amp; Photographic Technology</t>
        </is>
      </c>
      <c r="BL1932" t="inlineStr">
        <is>
          <t>Science Citation Index Expanded (SCI-EXPANDED)</t>
        </is>
      </c>
      <c r="BM1932" t="inlineStr">
        <is>
          <t>Environmental Sciences &amp; Ecology; Geology; Remote Sensing; Imaging Science &amp; Photographic Technology</t>
        </is>
      </c>
      <c r="BN1932" t="inlineStr">
        <is>
          <t>ST7RC</t>
        </is>
      </c>
      <c r="BP1932" t="inlineStr">
        <is>
          <t>gold</t>
        </is>
      </c>
      <c r="BS1932" t="inlineStr">
        <is>
          <t>2023-10-26</t>
        </is>
      </c>
      <c r="BT1932" t="inlineStr">
        <is>
          <t>WOS:000662635900001</t>
        </is>
      </c>
      <c r="BU1932">
        <f>HYPERLINK("https%3A%2F%2Fwww.webofscience.com%2Fwos%2Fwoscc%2Ffull-record%2FWOS:000662635900001","View Full Record in Web of Science")</f>
        <v/>
      </c>
    </row>
    <row r="1933">
      <c r="A1933" t="inlineStr">
        <is>
          <t>J</t>
        </is>
      </c>
      <c r="B1933" t="inlineStr">
        <is>
          <t>Ampollini, L; Katz, EF; Bourne, S; Tian, YL; Novoselac, A; Goldstein, AH; Lucic, G; Waring, MS; DeCarlo, PF</t>
        </is>
      </c>
      <c r="F1933" t="inlineStr">
        <is>
          <t>Ampollini, Laura; Katz, Erin F.; Bourne, Stephen; Tian, Yilin; Novoselac, Atila; Goldstein, Allen H.; Lucic, Gregor; Waring, Michael S.; DeCarlo, Peter F.</t>
        </is>
      </c>
      <c r="J1933" t="inlineStr">
        <is>
          <t>ENVIRONMENTAL SCIENCE &amp; TECHNOLOGY</t>
        </is>
      </c>
      <c r="M1933" t="inlineStr">
        <is>
          <t>English</t>
        </is>
      </c>
      <c r="N1933" t="inlineStr">
        <is>
          <t>Article</t>
        </is>
      </c>
      <c r="T1933" t="inlineStr">
        <is>
          <t>Observations and Contributions of Real-Time Indoor Ammonia Concentrations during HOMEChem</t>
        </is>
      </c>
      <c r="V1933" t="inlineStr">
        <is>
          <t>OUTDOOR CONCENTRATIONS; RISK-ASSESSMENT; AIR; ACID; BUILDINGS; AEROSOLS; EXPOSURE; HEALTH</t>
        </is>
      </c>
      <c r="W1933" t="inlineStr">
        <is>
          <t>Although ammonia (NH3) is usually found at outdoor concentrations of 1-5 ppb, indoor ammonia concentrations can be much higher. Indoor ammonia is strongly emitted from cleaning products, tobacco smoke, building materials, and humans. Because of ammonia's high reactivity, solubility in water, and tendency to sorb to a variety of surfaces, it is difficult to measure, and thus a comprehensive evaluation of indoor ammonia concentrations remains an understudied topic. During HOMEChem, which was a comprehensive indoor chemistry study occurring in a test house during June 2018, the realtime concentration of ammonia indoors was measured using cavity ringdown spectroscopy. A mean unoccupied background concentration of 32 ppb was observed, with further enhancements of ammonia occurring during cooking, cleaning, and occupancy activities, reaching maximum concentrations during these activities of 130, 1592, and 99 ppb, respectively. Furthermore, ammonia concentrations were strongly influenced by indoor temperatures and heating, ventilation, and air conditioning (HVAC) operation. In the absence of activity-based sources, the HVAC operation was the main modulator of ammonia concentration indoors.</t>
        </is>
      </c>
      <c r="X1933" t="inlineStr">
        <is>
          <t>[Ampollini, Laura; Waring, Michael S.; DeCarlo, Peter F.] Drexel Univ, Dept Civil Architectural &amp; Environm Engn, Philadelphia, PA 19104 USA; [Katz, Erin F.; DeCarlo, Peter F.] Drexel Univ, Dept Chem, Philadelphia, PA 19104 USA; [Bourne, Stephen; Novoselac, Atila] Univ Texas Austin, Dept Civil Architectural &amp; Environm Engn, 1 Univ Stn C1752, Austin, TX 78712 USA; [Tian, Yilin; Goldstein, Allen H.] Univ Calif Berkeley, Dept Environm Sci Policy &amp; Management, Berkeley, CA 94720 USA; [Goldstein, Allen H.] Univ Calif Berkeley, Dept Civil &amp; Environm Engn, Berkeley, CA 94720 USA; [Lucic, Gregor] Picarro Inc, 3105 Patrick Henry Dr, Santa Clara, CA 95054 USA</t>
        </is>
      </c>
      <c r="Y1933" t="inlineStr">
        <is>
          <t>Drexel University; Drexel University; University of Texas System; University of Texas Austin; University of California System; University of California Berkeley; University of California System; University of California Berkeley</t>
        </is>
      </c>
      <c r="Z1933" t="inlineStr">
        <is>
          <t>DeCarlo, PF (corresponding author), Drexel Univ, Dept Civil Architectural &amp; Environm Engn, Philadelphia, PA 19104 USA.</t>
        </is>
      </c>
      <c r="AA1933" t="inlineStr">
        <is>
          <t>pfd33@drexel.edu</t>
        </is>
      </c>
      <c r="AB1933" t="inlineStr">
        <is>
          <t>DeCarlo, Peter F/AAA-8561-2019; Goldstein, Allen/A-6857-2011</t>
        </is>
      </c>
      <c r="AC1933" t="inlineStr">
        <is>
          <t>DeCarlo, Peter F/0000-0001-6385-7149; Goldstein, Allen/0000-0003-4014-4896; Katz, Erin/0000-0002-3726-1808</t>
        </is>
      </c>
      <c r="AD1933" t="inlineStr">
        <is>
          <t>Alfred P. Sloan Foundation Chemistry of Indoor Environments Program [G-2017-9944, 2016-7050]; Drexel University Steinbright</t>
        </is>
      </c>
      <c r="AE1933" t="inlineStr">
        <is>
          <t>Alfred P. Sloan Foundation Chemistry of Indoor Environments Program(Alfred P. Sloan Foundation); Drexel University Steinbright</t>
        </is>
      </c>
      <c r="AF1933" t="inlineStr">
        <is>
          <t>We thank Picarro Inc. for the loan of the G2103 analyzer for use during HOMEChem. This work was funded by grants from the Alfred P. Sloan Foundation Chemistry of Indoor Environments Program (G-2017-9944 and 2016-7050) and Drexel University Steinbright co-op funding. We acknowledge the University of Texas at Austin for hosting HOMEChem and Marina Vance and Delphine Farmer for leading the project.</t>
        </is>
      </c>
      <c r="AH1933" t="n">
        <v>36</v>
      </c>
      <c r="AI1933" t="n">
        <v>43</v>
      </c>
      <c r="AJ1933" t="n">
        <v>44</v>
      </c>
      <c r="AK1933" t="n">
        <v>5</v>
      </c>
      <c r="AL1933" t="n">
        <v>38</v>
      </c>
      <c r="AM1933" t="inlineStr">
        <is>
          <t>AMER CHEMICAL SOC</t>
        </is>
      </c>
      <c r="AN1933" t="inlineStr">
        <is>
          <t>WASHINGTON</t>
        </is>
      </c>
      <c r="AO1933" t="inlineStr">
        <is>
          <t>1155 16TH ST, NW, WASHINGTON, DC 20036 USA</t>
        </is>
      </c>
      <c r="AP1933" t="inlineStr">
        <is>
          <t>0013-936X</t>
        </is>
      </c>
      <c r="AQ1933" t="inlineStr">
        <is>
          <t>1520-5851</t>
        </is>
      </c>
      <c r="AS1933" t="inlineStr">
        <is>
          <t>ENVIRON SCI TECHNOL</t>
        </is>
      </c>
      <c r="AT1933" t="inlineStr">
        <is>
          <t>Environ. Sci. Technol.</t>
        </is>
      </c>
      <c r="AU1933" t="inlineStr">
        <is>
          <t>AUG 6</t>
        </is>
      </c>
      <c r="AV1933" t="n">
        <v>2019</v>
      </c>
      <c r="AW1933" t="n">
        <v>53</v>
      </c>
      <c r="AX1933" t="n">
        <v>15</v>
      </c>
      <c r="BC1933" t="n">
        <v>8591</v>
      </c>
      <c r="BD1933" t="n">
        <v>8598</v>
      </c>
      <c r="BF1933" t="inlineStr">
        <is>
          <t>10.1021/acs.est.9b02157</t>
        </is>
      </c>
      <c r="BG1933">
        <f>HYPERLINK("http://dx.doi.org/10.1021/acs.est.9b02157","http://dx.doi.org/10.1021/acs.est.9b02157")</f>
        <v/>
      </c>
      <c r="BJ1933" t="n">
        <v>8</v>
      </c>
      <c r="BK1933" t="inlineStr">
        <is>
          <t>Engineering, Environmental; Environmental Sciences</t>
        </is>
      </c>
      <c r="BL1933" t="inlineStr">
        <is>
          <t>Science Citation Index Expanded (SCI-EXPANDED)</t>
        </is>
      </c>
      <c r="BM1933" t="inlineStr">
        <is>
          <t>Engineering; Environmental Sciences &amp; Ecology</t>
        </is>
      </c>
      <c r="BN1933" t="inlineStr">
        <is>
          <t>IP9LC</t>
        </is>
      </c>
      <c r="BO1933" t="n">
        <v>31283200</v>
      </c>
      <c r="BP1933" t="inlineStr">
        <is>
          <t>hybrid</t>
        </is>
      </c>
      <c r="BS1933" t="inlineStr">
        <is>
          <t>2023-10-26</t>
        </is>
      </c>
      <c r="BT1933" t="inlineStr">
        <is>
          <t>WOS:000480370600014</t>
        </is>
      </c>
      <c r="BU1933">
        <f>HYPERLINK("https%3A%2F%2Fwww.webofscience.com%2Fwos%2Fwoscc%2Ffull-record%2FWOS:000480370600014","View Full Record in Web of Science")</f>
        <v/>
      </c>
    </row>
    <row r="1934">
      <c r="A1934" t="inlineStr">
        <is>
          <t>J</t>
        </is>
      </c>
      <c r="B1934" t="inlineStr">
        <is>
          <t>Conte, M; Feltracco, M; Chirizzi, D; Trabucco, S; Dinoi, A; Gregoris, E; Barbaro, E; La Bella, G; Ciccarese, G; Belosi, F; La Salandra, G; Gambaro, A; Contini, D</t>
        </is>
      </c>
      <c r="F1934" t="inlineStr">
        <is>
          <t>Conte, Marianna; Feltracco, Matteo; Chirizzi, Daniela; Trabucco, Sara; Dinoi, Adelaide; Gregoris, Elena; Barbaro, Elena; La Bella, Gianfranco; Ciccarese, Giuseppina; Belosi, Franco; La Salandra, Giovanna; Gambaro, Andrea; Contini, Daniele</t>
        </is>
      </c>
      <c r="J1934" t="inlineStr">
        <is>
          <t>ENVIRONMENTAL SCIENCE AND POLLUTION RESEARCH</t>
        </is>
      </c>
      <c r="M1934" t="inlineStr">
        <is>
          <t>English</t>
        </is>
      </c>
      <c r="N1934" t="inlineStr">
        <is>
          <t>Article</t>
        </is>
      </c>
      <c r="T1934" t="inlineStr">
        <is>
          <t>Airborne concentrations of SARS-CoV-2 in indoor community environments in Italy</t>
        </is>
      </c>
      <c r="U1934" t="inlineStr">
        <is>
          <t>SARS-CoV-2; COVID-19; Airborne transmission; Coronavirus; Indoor; PCR</t>
        </is>
      </c>
      <c r="V1934" t="inlineStr">
        <is>
          <t>TRANSMISSION</t>
        </is>
      </c>
      <c r="W1934" t="inlineStr">
        <is>
          <t>COVID-19 pandemic raised a debate regarding the role of airborne transmission. Information regarding virus-laden aerosol concentrations is still scarce in community indoors and what are the risks for general public and the efficiency of restriction policies. This work investigates, for the first time in Italy, the presence of SARS-CoV-2 RNA in air samples collected in different community indoors (one train station, two food markets, one canteen, one shopping centre, one hair salon, and one pharmacy) in three Italian cities: metropolitan city of Venice (NE of Italy), Bologna (central Italy), and Lecce (SE of Italy). Air samples were collected during the maximum spread of the second wave of pandemic in Italy (November and December 2020). All collected samples tested negative for the presence of SARS-CoV-2, using both real-time RT-PCR and ddPCR, and no significant differences were observed comparing samples taken with and without customers. Modelling average concentrations, using influx of customers' data and local epidemiological information, indicated low values (i.e. &lt; 0.8 copies m(-3) when cotton facemasks are used and even lower for surgical facemasks). The results, even if with some limitations, suggest that the restrictive policies enforced could effectively reduce the risk of airborne transmissions in the community indoor investigated, providing that physical distance is respected.</t>
        </is>
      </c>
      <c r="X1934" t="inlineStr">
        <is>
          <t>[Conte, Marianna; Dinoi, Adelaide; Contini, Daniele] Ist Scie dellAtmosfera Clima, CNR, ISAC, Str Prv Lecce Monteroni km 12, Lecce, Italy; [Feltracco, Matteo; Gregoris, Elena; Barbaro, Elena] Ist Sci Polari, CNR, ISP, Via Torino Mestre, I-155 Venice, Italy; [Feltracco, Matteo; Gregoris, Elena; Barbaro, Elena] Univ Ca Foscari Venezia, Dipt Sci Ambientali Informat &amp; Stat, Via Torino Mestre, I-155 Venice, Italy; [Chirizzi, Daniela; La Bella, Gianfranco; Ciccarese, Giuseppina; La Salandra, Giovanna] Ist Zooprofilattico Sperimentale Puglia Basilicat, Via Manfredonia, I-20 Foggia, Italy; [Trabucco, Sara; Belosi, Franco] Ist Sci Atmosfera Clima, CNR, ISAC, Via Gobetti, I-101 Bologna, Italy</t>
        </is>
      </c>
      <c r="Y1934" t="inlineStr">
        <is>
          <t>Consiglio Nazionale delle Ricerche (CNR); Istituto di Scienze dell'Atmosfera e del Clima (ISAC-CNR); Consiglio Nazionale delle Ricerche (CNR); Istituto di Scienze Polari (ISP-CNR); Universita Ca Foscari Venezia; Consiglio Nazionale delle Ricerche (CNR); Istituto di Scienze dell'Atmosfera e del Clima (ISAC-CNR)</t>
        </is>
      </c>
      <c r="Z1934" t="inlineStr">
        <is>
          <t>Contini, D (corresponding author), Ist Scie dellAtmosfera Clima, CNR, ISAC, Str Prv Lecce Monteroni km 12, Lecce, Italy.</t>
        </is>
      </c>
      <c r="AA1934" t="inlineStr">
        <is>
          <t>d.contini@isac.cnr.it</t>
        </is>
      </c>
      <c r="AB1934" t="inlineStr">
        <is>
          <t>Conte, Marianna/AFL-1922-2022; Liu, Hai-Ying/P-5557-2014; Gregoris, Elena/AAE-8055-2022; La Bella, Gianfranco/F-9279-2019; Contini, Daniele/N-7070-2014; Barbaro, Elena/AAX-8809-2020</t>
        </is>
      </c>
      <c r="AC1934" t="inlineStr">
        <is>
          <t>Conte, Marianna/0000-0002-1770-8561; Liu, Hai-Ying/0000-0001-8667-3465; La Bella, Gianfranco/0000-0003-3557-1439; Contini, Daniele/0000-0003-4454-0642; Barbaro, Elena/0000-0003-2639-7475; CHIRIZZI, Daniela/0000-0002-1441-6205; DINOI, ADELAIDE/0000-0002-1869-3963</t>
        </is>
      </c>
      <c r="AH1934" t="n">
        <v>56</v>
      </c>
      <c r="AI1934" t="n">
        <v>22</v>
      </c>
      <c r="AJ1934" t="n">
        <v>22</v>
      </c>
      <c r="AK1934" t="n">
        <v>0</v>
      </c>
      <c r="AL1934" t="n">
        <v>10</v>
      </c>
      <c r="AM1934" t="inlineStr">
        <is>
          <t>SPRINGER HEIDELBERG</t>
        </is>
      </c>
      <c r="AN1934" t="inlineStr">
        <is>
          <t>HEIDELBERG</t>
        </is>
      </c>
      <c r="AO1934" t="inlineStr">
        <is>
          <t>TIERGARTENSTRASSE 17, D-69121 HEIDELBERG, GERMANY</t>
        </is>
      </c>
      <c r="AP1934" t="inlineStr">
        <is>
          <t>0944-1344</t>
        </is>
      </c>
      <c r="AQ1934" t="inlineStr">
        <is>
          <t>1614-7499</t>
        </is>
      </c>
      <c r="AS1934" t="inlineStr">
        <is>
          <t>ENVIRON SCI POLLUT R</t>
        </is>
      </c>
      <c r="AT1934" t="inlineStr">
        <is>
          <t>Environ. Sci. Pollut. Res.</t>
        </is>
      </c>
      <c r="AU1934" t="inlineStr">
        <is>
          <t>FEB</t>
        </is>
      </c>
      <c r="AV1934" t="n">
        <v>2022</v>
      </c>
      <c r="AW1934" t="n">
        <v>29</v>
      </c>
      <c r="AX1934" t="n">
        <v>10</v>
      </c>
      <c r="BC1934" t="n">
        <v>13905</v>
      </c>
      <c r="BD1934" t="n">
        <v>13916</v>
      </c>
      <c r="BF1934" t="inlineStr">
        <is>
          <t>10.1007/s11356-021-16737-7</t>
        </is>
      </c>
      <c r="BG1934">
        <f>HYPERLINK("http://dx.doi.org/10.1007/s11356-021-16737-7","http://dx.doi.org/10.1007/s11356-021-16737-7")</f>
        <v/>
      </c>
      <c r="BI1934" t="inlineStr">
        <is>
          <t>OCT 2021</t>
        </is>
      </c>
      <c r="BJ1934" t="n">
        <v>12</v>
      </c>
      <c r="BK1934" t="inlineStr">
        <is>
          <t>Environmental Sciences</t>
        </is>
      </c>
      <c r="BL1934" t="inlineStr">
        <is>
          <t>Science Citation Index Expanded (SCI-EXPANDED)</t>
        </is>
      </c>
      <c r="BM1934" t="inlineStr">
        <is>
          <t>Environmental Sciences &amp; Ecology</t>
        </is>
      </c>
      <c r="BN1934" t="inlineStr">
        <is>
          <t>YS2BO</t>
        </is>
      </c>
      <c r="BO1934" t="n">
        <v>34599449</v>
      </c>
      <c r="BP1934" t="inlineStr">
        <is>
          <t>Green Published, Bronze</t>
        </is>
      </c>
      <c r="BS1934" t="inlineStr">
        <is>
          <t>2023-10-26</t>
        </is>
      </c>
      <c r="BT1934" t="inlineStr">
        <is>
          <t>WOS:000702635000014</t>
        </is>
      </c>
      <c r="BU1934">
        <f>HYPERLINK("https%3A%2F%2Fwww.webofscience.com%2Fwos%2Fwoscc%2Ffull-record%2FWOS:000702635000014","View Full Record in Web of Science")</f>
        <v/>
      </c>
    </row>
    <row r="1935">
      <c r="A1935" t="inlineStr">
        <is>
          <t>J</t>
        </is>
      </c>
      <c r="B1935" t="inlineStr">
        <is>
          <t>Ness, DA; Xing, K</t>
        </is>
      </c>
      <c r="F1935" t="inlineStr">
        <is>
          <t>Ness, David A.; Xing, Ke</t>
        </is>
      </c>
      <c r="J1935" t="inlineStr">
        <is>
          <t>JOURNAL OF INDUSTRIAL ECOLOGY</t>
        </is>
      </c>
      <c r="M1935" t="inlineStr">
        <is>
          <t>English</t>
        </is>
      </c>
      <c r="N1935" t="inlineStr">
        <is>
          <t>Article</t>
        </is>
      </c>
      <c r="T1935" t="inlineStr">
        <is>
          <t>Toward a Resource-Efficient Built Environment A Literature Review and Conceptual Model</t>
        </is>
      </c>
      <c r="U1935" t="inlineStr">
        <is>
          <t>asset management; carbon neutrality; circular economy; industrial ecology; sustainable development; urban development</t>
        </is>
      </c>
      <c r="V1935" t="inlineStr">
        <is>
          <t>EMBODIED ENERGY MEASUREMENT; CIRCULAR ECONOMY; INDUSTRIAL SYMBIOSIS; URBAN METABOLISM; HAMMARBY SJOSTAD; BUILDING STOCK; CLIMATE-CHANGE; SYSTEM; PRODUCT; CONSUMPTION</t>
        </is>
      </c>
      <c r="W1935" t="inlineStr">
        <is>
          <t>Amid continued growth in the building stock, the pursuit of sustainable buildings is dominated by a focus on carbon neutrality and green, often overlooking resource consumption and its contribution to greenhouse gas emissions and planetary degradation. Accordingly, this article seeks to highlight the importance of a resource-efficient built environment, which enables required functions to be delivered with less assets, and to put forward an approach toward this objective. In this regard, the circular economy (CE) concept seeks to extract more value from resources by using them for as long as possible, thereby increasing economic prosperity and employment while reducing waste, greenhouse emissions, and pollution. Thus far, application of CE principles has largely concentrated on the industrial sector, such as through industrial symbiosis and its extension to urban symbiosis/metabolism. Their application to cities and, in particular, the built environment has been limited and the body of literature is relatively undeveloped. Insight is offered into how this field of research might be developed and applied to enable a more resource-efficient, low-carbon built environment with socioeconomic benefits. It reviews literature on the CE and industrial ecology, their application to industrial and urban contexts, and the gaps pertaining to the building sector. A proposition for extending research and its application to the built environment is then put forward, encapsulated in a conceptual model. This is seen as an important first step in influencing policy makers and repositioning resource efficiency firmly on the sustainable and carbon neutral building agenda.</t>
        </is>
      </c>
      <c r="X1935" t="inlineStr">
        <is>
          <t>[Ness, David A.] Univ South Australia, Sch Nat &amp; Built Environm, GPO Box 2471, Adelaide, SA 5001, Australia; [Xing, Ke] Univ South Australia, Sch Engn, Adelaide, SA, Australia</t>
        </is>
      </c>
      <c r="Y1935" t="inlineStr">
        <is>
          <t>University of South Australia; University of South Australia</t>
        </is>
      </c>
      <c r="Z1935" t="inlineStr">
        <is>
          <t>Ness, DA (corresponding author), Univ South Australia, Sch Nat &amp; Built Environm, GPO Box 2471, Adelaide, SA 5001, Australia.</t>
        </is>
      </c>
      <c r="AA1935" t="inlineStr">
        <is>
          <t>david.ness@unisa.edu.au</t>
        </is>
      </c>
      <c r="AB1935" t="inlineStr">
        <is>
          <t>Xing, Ke/C-9971-2012; Ness, David Angus/AAQ-9953-2021; xing, k/JEP-6928-2023</t>
        </is>
      </c>
      <c r="AC1935" t="inlineStr">
        <is>
          <t>Xing, Ke/0000-0001-6341-6298; Ness, David/0000-0001-9791-4295</t>
        </is>
      </c>
      <c r="AH1935" t="n">
        <v>142</v>
      </c>
      <c r="AI1935" t="n">
        <v>92</v>
      </c>
      <c r="AJ1935" t="n">
        <v>92</v>
      </c>
      <c r="AK1935" t="n">
        <v>7</v>
      </c>
      <c r="AL1935" t="n">
        <v>122</v>
      </c>
      <c r="AM1935" t="inlineStr">
        <is>
          <t>WILEY</t>
        </is>
      </c>
      <c r="AN1935" t="inlineStr">
        <is>
          <t>HOBOKEN</t>
        </is>
      </c>
      <c r="AO1935" t="inlineStr">
        <is>
          <t>111 RIVER ST, HOBOKEN 07030-5774, NJ USA</t>
        </is>
      </c>
      <c r="AP1935" t="inlineStr">
        <is>
          <t>1088-1980</t>
        </is>
      </c>
      <c r="AQ1935" t="inlineStr">
        <is>
          <t>1530-9290</t>
        </is>
      </c>
      <c r="AS1935" t="inlineStr">
        <is>
          <t>J IND ECOL</t>
        </is>
      </c>
      <c r="AT1935" t="inlineStr">
        <is>
          <t>J. Ind. Ecol.</t>
        </is>
      </c>
      <c r="AU1935" t="inlineStr">
        <is>
          <t>JUN</t>
        </is>
      </c>
      <c r="AV1935" t="n">
        <v>2017</v>
      </c>
      <c r="AW1935" t="n">
        <v>21</v>
      </c>
      <c r="AX1935" t="n">
        <v>3</v>
      </c>
      <c r="BA1935" t="inlineStr">
        <is>
          <t>SI</t>
        </is>
      </c>
      <c r="BC1935" t="n">
        <v>572</v>
      </c>
      <c r="BD1935" t="n">
        <v>592</v>
      </c>
      <c r="BF1935" t="inlineStr">
        <is>
          <t>10.1111/jiec.12586</t>
        </is>
      </c>
      <c r="BG1935">
        <f>HYPERLINK("http://dx.doi.org/10.1111/jiec.12586","http://dx.doi.org/10.1111/jiec.12586")</f>
        <v/>
      </c>
      <c r="BJ1935" t="n">
        <v>21</v>
      </c>
      <c r="BK1935" t="inlineStr">
        <is>
          <t>Green &amp; Sustainable Science &amp; Technology; Engineering, Environmental; Environmental Sciences</t>
        </is>
      </c>
      <c r="BL1935" t="inlineStr">
        <is>
          <t>Science Citation Index Expanded (SCI-EXPANDED); Social Science Citation Index (SSCI)</t>
        </is>
      </c>
      <c r="BM1935" t="inlineStr">
        <is>
          <t>Science &amp; Technology - Other Topics; Engineering; Environmental Sciences &amp; Ecology</t>
        </is>
      </c>
      <c r="BN1935" t="inlineStr">
        <is>
          <t>FA3BI</t>
        </is>
      </c>
      <c r="BS1935" t="inlineStr">
        <is>
          <t>2023-10-26</t>
        </is>
      </c>
      <c r="BT1935" t="inlineStr">
        <is>
          <t>WOS:000405315600012</t>
        </is>
      </c>
      <c r="BU1935">
        <f>HYPERLINK("https%3A%2F%2Fwww.webofscience.com%2Fwos%2Fwoscc%2Ffull-record%2FWOS:000405315600012","View Full Record in Web of Science")</f>
        <v/>
      </c>
    </row>
    <row r="1936">
      <c r="A1936" t="inlineStr">
        <is>
          <t>J</t>
        </is>
      </c>
      <c r="B1936" t="inlineStr">
        <is>
          <t>Nazzal, Y; Howari, FM; Yaslam, A; Iqbal, J; Maloukh, L; Ambika, LK; Al-Taani, AA; Ali, I; Othman, EM; Jamal, A; Naseem, M</t>
        </is>
      </c>
      <c r="F1936" t="inlineStr">
        <is>
          <t>Nazzal, Yousef; Howari, Fares M.; Yaslam, Aya; Iqbal, Jibran; Maloukh, Lina; Ambika, Lakshmi Kesari; Al-Taani, Ahmed A.; Ali, Ijaz; Othman, Eman M.; Jamal, Arshad; Naseem, Muhammad</t>
        </is>
      </c>
      <c r="J1936" t="inlineStr">
        <is>
          <t>ATMOSPHERE</t>
        </is>
      </c>
      <c r="M1936" t="inlineStr">
        <is>
          <t>English</t>
        </is>
      </c>
      <c r="N1936" t="inlineStr">
        <is>
          <t>Review</t>
        </is>
      </c>
      <c r="T1936" t="inlineStr">
        <is>
          <t>A Methodological Review of Tools That Assess Dust Microbiomes, Metatranscriptomes and the Particulate Chemistry of Indoor Dust</t>
        </is>
      </c>
      <c r="U1936" t="inlineStr">
        <is>
          <t>indoor dust; allergens; metagenomics; particulate matter; microbiomes; transcriptomes; health effects</t>
        </is>
      </c>
      <c r="V1936" t="inlineStr">
        <is>
          <t>CLIMATE-CHANGE; DNA; EXTRACTION; SOIL; COMMUNITIES; VIRUSES; IMPACT; EXPOSURE; BACTERIA; FILTERS</t>
        </is>
      </c>
      <c r="W1936" t="inlineStr">
        <is>
          <t>Indoor house dust is a blend of organic and inorganic materials, upon which diverse microbial communities such as viruses, bacteria and fungi reside. Adequate moisture in the indoor environment helps microbial communities multiply fast. The outdoor air and materials that are brought into the buildings by airflow, sandstorms, animals pets and house occupants endow the indoor dust particles with extra features that impact human health. Assessment of the health effects of indoor dust particles, the type of indoor microbial inoculants and the secreted enzymes by indoor insects as allergens merit detailed investigation. Here, we discuss the applications of next generation sequencing (NGS) technology which is used to assess microbial diversity and abundance of the indoor dust environments. Likewise, the applications of NGS are discussed to monitor the gene expression profiles of indoor human occupants or their surrogate cellular models when exposed to aqueous solution of collected indoor dust samples. We also highlight the detection methods of dust allergens and analytical procedures that quantify the chemical nature of indoor particulate matter with a potential impact on human health. Our review is thus unique in advocating the applications of interdisciplinary approaches that comprehensively assess the health effects due to bad air quality in built environments.</t>
        </is>
      </c>
      <c r="X1936" t="inlineStr">
        <is>
          <t>[Nazzal, Yousef; Howari, Fares M.; Yaslam, Aya; Iqbal, Jibran; Maloukh, Lina; Ambika, Lakshmi Kesari; Al-Taani, Ahmed A.; Naseem, Muhammad] Zayed Univ, Coll Nat &amp; Hlth Sci, Dept Life &amp; Environm Sci, Abu Dhabi 144534, U Arab Emirates; [Al-Taani, Ahmed A.] Yarmouk Univ, Dept Earth &amp; Environm Sci, Irbid 21163, Jordan; [Ali, Ijaz] COMSATS Univ Islamabad, Mol Virol Grp, Pk Rd, Islamabad 44000, Pakistan; [Othman, Eman M.] Univ Minia, Fac Pharm, Dept Biochem, Al Minya 61519, Egypt; [Othman, Eman M.; Naseem, Muhammad] Univ Wurzburg, Bioctr, Dept Bioinformat, D-97074 Wurzburg, Germany; [Jamal, Arshad] Univ Hail, Coll Sci, Dept Biol, Hail 55476, Saudi Arabia</t>
        </is>
      </c>
      <c r="Y1936" t="inlineStr">
        <is>
          <t>Zayed University; Yarmouk University; COMSATS University Islamabad (CUI); Egyptian Knowledge Bank (EKB); Minia University; University of Wurzburg; University Ha'il</t>
        </is>
      </c>
      <c r="Z1936" t="inlineStr">
        <is>
          <t>Naseem, M (corresponding author), Zayed Univ, Coll Nat &amp; Hlth Sci, Dept Life &amp; Environm Sci, Abu Dhabi 144534, U Arab Emirates.;Naseem, M (corresponding author), Univ Wurzburg, Bioctr, Dept Bioinformat, D-97074 Wurzburg, Germany.</t>
        </is>
      </c>
      <c r="AA1936" t="inlineStr">
        <is>
          <t>muhammad.naseem@zu.ac.ae</t>
        </is>
      </c>
      <c r="AB1936" t="inlineStr">
        <is>
          <t>Al-Taani, Ahmed/H-8055-2019; ALI, IJAZ/AAC-2691-2019</t>
        </is>
      </c>
      <c r="AC1936" t="inlineStr">
        <is>
          <t>Al-Taani, Ahmed/0000-0002-3571-9168; ALI, IJAZ/0000-0003-2163-8874; Howari, Fares/0000-0002-8655-5810; Iqbal, Jibran/0000-0003-0140-2661; Nazzal, Yousef/0000-0002-8092-5868</t>
        </is>
      </c>
      <c r="AD1936" t="inlineStr">
        <is>
          <t>Zayed University [R20115]</t>
        </is>
      </c>
      <c r="AE1936" t="inlineStr">
        <is>
          <t>Zayed University</t>
        </is>
      </c>
      <c r="AF1936" t="inlineStr">
        <is>
          <t>RIF (R20115) grant by Zayed University to Y.N.</t>
        </is>
      </c>
      <c r="AH1936" t="n">
        <v>77</v>
      </c>
      <c r="AI1936" t="n">
        <v>1</v>
      </c>
      <c r="AJ1936" t="n">
        <v>1</v>
      </c>
      <c r="AK1936" t="n">
        <v>5</v>
      </c>
      <c r="AL1936" t="n">
        <v>14</v>
      </c>
      <c r="AM1936" t="inlineStr">
        <is>
          <t>MDPI</t>
        </is>
      </c>
      <c r="AN1936" t="inlineStr">
        <is>
          <t>BASEL</t>
        </is>
      </c>
      <c r="AO1936" t="inlineStr">
        <is>
          <t>ST ALBAN-ANLAGE 66, CH-4052 BASEL, SWITZERLAND</t>
        </is>
      </c>
      <c r="AQ1936" t="inlineStr">
        <is>
          <t>2073-4433</t>
        </is>
      </c>
      <c r="AS1936" t="inlineStr">
        <is>
          <t>ATMOSPHERE-BASEL</t>
        </is>
      </c>
      <c r="AT1936" t="inlineStr">
        <is>
          <t>Atmosphere</t>
        </is>
      </c>
      <c r="AU1936" t="inlineStr">
        <is>
          <t>AUG</t>
        </is>
      </c>
      <c r="AV1936" t="n">
        <v>2022</v>
      </c>
      <c r="AW1936" t="n">
        <v>13</v>
      </c>
      <c r="AX1936" t="n">
        <v>8</v>
      </c>
      <c r="BE1936" t="n">
        <v>1276</v>
      </c>
      <c r="BF1936" t="inlineStr">
        <is>
          <t>10.3390/atmos13081276</t>
        </is>
      </c>
      <c r="BG1936">
        <f>HYPERLINK("http://dx.doi.org/10.3390/atmos13081276","http://dx.doi.org/10.3390/atmos13081276")</f>
        <v/>
      </c>
      <c r="BJ1936" t="n">
        <v>13</v>
      </c>
      <c r="BK1936" t="inlineStr">
        <is>
          <t>Environmental Sciences; Meteorology &amp; Atmospheric Sciences</t>
        </is>
      </c>
      <c r="BL1936" t="inlineStr">
        <is>
          <t>Science Citation Index Expanded (SCI-EXPANDED)</t>
        </is>
      </c>
      <c r="BM1936" t="inlineStr">
        <is>
          <t>Environmental Sciences &amp; Ecology; Meteorology &amp; Atmospheric Sciences</t>
        </is>
      </c>
      <c r="BN1936" t="inlineStr">
        <is>
          <t>4C0BT</t>
        </is>
      </c>
      <c r="BP1936" t="inlineStr">
        <is>
          <t>gold</t>
        </is>
      </c>
      <c r="BS1936" t="inlineStr">
        <is>
          <t>2023-10-26</t>
        </is>
      </c>
      <c r="BT1936" t="inlineStr">
        <is>
          <t>WOS:000846131400001</t>
        </is>
      </c>
      <c r="BU1936">
        <f>HYPERLINK("https%3A%2F%2Fwww.webofscience.com%2Fwos%2Fwoscc%2Ffull-record%2FWOS:000846131400001","View Full Record in Web of Science")</f>
        <v/>
      </c>
    </row>
    <row r="1937">
      <c r="A1937" t="inlineStr">
        <is>
          <t>J</t>
        </is>
      </c>
      <c r="B1937" t="inlineStr">
        <is>
          <t>Ibrahim, NI; Ahmad, MS; Zulfarina, MS; Zaris, SNASM; Mohamed, IN; Mohamed, N; Mokhtar, SA; Shuid, AN</t>
        </is>
      </c>
      <c r="F1937" t="inlineStr">
        <is>
          <t>Ibrahim, Nurul Izzah; Ahmad, Mohd Sharkawi; Zulfarina, Mohamed S.; Zaris, Sharifah Nurul Aqilah Sayed Mohd; Mohamed, Isa Naina; Mohamed, Norazlina; Mokhtar, Sabarul Afian; Shuid, Ahmad Nazrun</t>
        </is>
      </c>
      <c r="J1937" t="inlineStr">
        <is>
          <t>INTERNATIONAL JOURNAL OF ENVIRONMENTAL RESEARCH AND PUBLIC HEALTH</t>
        </is>
      </c>
      <c r="M1937" t="inlineStr">
        <is>
          <t>English</t>
        </is>
      </c>
      <c r="N1937" t="inlineStr">
        <is>
          <t>Article</t>
        </is>
      </c>
      <c r="T1937" t="inlineStr">
        <is>
          <t>Activities of Daily Living and Determinant Factors among Older Adult Subjects with Lower Body Fracture after Discharge from Hospital: A Prospective Study</t>
        </is>
      </c>
      <c r="U1937" t="inlineStr">
        <is>
          <t>older adult; osteoporosis; fracture; disability; ADL; assessment</t>
        </is>
      </c>
      <c r="V1937" t="inlineStr">
        <is>
          <t>QUALITY-OF-LIFE; HIP FRACTURE; OSTEOPOROTIC FRACTURES; PROSPECTIVE COHORT; GENDER-DIFFERENCES; ELDERLY-PATIENTS; FOLLOW-UP; INSTRUMENTAL ACTIVITIES; FUNCTIONAL DISABILITY; RISK-FACTORS</t>
        </is>
      </c>
      <c r="W1937" t="inlineStr">
        <is>
          <t>Fracture is a type of musculoskeletal injury that contributes to an inability to perform daily activities. The objective of this study was to evaluate activities of daily living (ADL) of older adult patients with lower body fracture and to determine factors influencing ADL. Patient's ADL was assessed at pre-fracture, ward admission and post-discharge phases using the Katz ADL questionnaire. There were 129 subjects at pre-fracture and ward phases and 89 subjects at discharge phase. There were four independent variables; age, gender, type of fracture and ability to walk before fracture. Logistic regression models showed that age' and ability to walk before fracture' were the determinant factors of dependent for bathing', dressing' and toileting'. The ability to walk before fracture' was the determinant factor of dependent for transferring'. Age' and gender' were the determinant factors of dependent for continence', while age' was the determinant factor of dependent for feeding'. The ADL score changes were significant across the phases with a reduction in ADL score in the ward admission phase and partial increment during the post-discharge phase. There were improvements in the health outcomes of subjects aged more than 50 years old after 3 months of being discharged from the hospital. In conclusion, age, being female, having a hip fracture and using a walking aid before fracture were the determinants identified in this study.</t>
        </is>
      </c>
      <c r="X1937" t="inlineStr">
        <is>
          <t>[Ibrahim, Nurul Izzah; Ahmad, Mohd Sharkawi; Zulfarina, Mohamed S.; Mohamed, Isa Naina; Mohamed, Norazlina; Shuid, Ahmad Nazrun] Univ Kebangsaan Malaysia, Med Ctr, Fac Med, Dept Pharmacol, Jalan Yaacob Latif, Kuala Lumpur 56000, Malaysia; [Zaris, Sharifah Nurul Aqilah Sayed Mohd; Mokhtar, Sabarul Afian] Univ Kebangsaan Malaysia, Med Ctr, Fac Med, Dept Orthoped &amp; Traumatol, Jalan Yaacob Latif, Kuala Lumpur 56000, Malaysia</t>
        </is>
      </c>
      <c r="Y1937" t="inlineStr">
        <is>
          <t>Universiti Kebangsaan Malaysia; Universiti Kebangsaan Malaysia</t>
        </is>
      </c>
      <c r="Z1937" t="inlineStr">
        <is>
          <t>Shuid, AN (corresponding author), Univ Kebangsaan Malaysia, Med Ctr, Fac Med, Dept Pharmacol, Jalan Yaacob Latif, Kuala Lumpur 56000, Malaysia.</t>
        </is>
      </c>
      <c r="AA1937" t="inlineStr">
        <is>
          <t>nurulizzah88@gmail.com; shark_811@yahoo.com; szulfarinamohamed@gmail.com; sharifahnurulaqilah88@gmail.com; isanaina@yahoo.co.uk; azlina@ppukm.ukm.edu.my; drsam@ppukm.ukm.edu.my; anazrun@yahoo.com</t>
        </is>
      </c>
      <c r="AB1937" t="inlineStr">
        <is>
          <t>SHUID, AHMAD NAZRUN/AAS-7556-2020; Ibrahim, Nurul 'Izzah/X-7167-2019; Mokhtar, Sabarul/ABE-9158-2020; Mohamed, Zulfarina/ABA-4699-2021; Mohamed, Norazlina/M-7306-2017; Zulfarina, Mohamed S/EZB-0645-2022</t>
        </is>
      </c>
      <c r="AC1937" t="inlineStr">
        <is>
          <t>Mohamed, Zulfarina/0000-0002-5954-6943; Mohamed, Norazlina/0000-0003-2480-0224; Zulfarina, Mohamed S/0000-0002-5954-6943</t>
        </is>
      </c>
      <c r="AH1937" t="n">
        <v>85</v>
      </c>
      <c r="AI1937" t="n">
        <v>8</v>
      </c>
      <c r="AJ1937" t="n">
        <v>10</v>
      </c>
      <c r="AK1937" t="n">
        <v>2</v>
      </c>
      <c r="AL1937" t="n">
        <v>6</v>
      </c>
      <c r="AM1937" t="inlineStr">
        <is>
          <t>MDPI</t>
        </is>
      </c>
      <c r="AN1937" t="inlineStr">
        <is>
          <t>BASEL</t>
        </is>
      </c>
      <c r="AO1937" t="inlineStr">
        <is>
          <t>ST ALBAN-ANLAGE 66, CH-4052 BASEL, SWITZERLAND</t>
        </is>
      </c>
      <c r="AQ1937" t="inlineStr">
        <is>
          <t>1660-4601</t>
        </is>
      </c>
      <c r="AS1937" t="inlineStr">
        <is>
          <t>INT J ENV RES PUB HE</t>
        </is>
      </c>
      <c r="AT1937" t="inlineStr">
        <is>
          <t>Int. J. Environ. Res. Public Health</t>
        </is>
      </c>
      <c r="AU1937" t="inlineStr">
        <is>
          <t>MAY</t>
        </is>
      </c>
      <c r="AV1937" t="n">
        <v>2018</v>
      </c>
      <c r="AW1937" t="n">
        <v>15</v>
      </c>
      <c r="AX1937" t="n">
        <v>5</v>
      </c>
      <c r="BE1937" t="n">
        <v>1002</v>
      </c>
      <c r="BF1937" t="inlineStr">
        <is>
          <t>10.3390/ijerph15051002</t>
        </is>
      </c>
      <c r="BG1937">
        <f>HYPERLINK("http://dx.doi.org/10.3390/ijerph15051002","http://dx.doi.org/10.3390/ijerph15051002")</f>
        <v/>
      </c>
      <c r="BJ1937" t="n">
        <v>21</v>
      </c>
      <c r="BK1937" t="inlineStr">
        <is>
          <t>Environmental Sciences; Public, Environmental &amp; Occupational Health</t>
        </is>
      </c>
      <c r="BL1937" t="inlineStr">
        <is>
          <t>Science Citation Index Expanded (SCI-EXPANDED); Social Science Citation Index (SSCI)</t>
        </is>
      </c>
      <c r="BM1937" t="inlineStr">
        <is>
          <t>Environmental Sciences &amp; Ecology; Public, Environmental &amp; Occupational Health</t>
        </is>
      </c>
      <c r="BN1937" t="inlineStr">
        <is>
          <t>GJ3LS</t>
        </is>
      </c>
      <c r="BO1937" t="n">
        <v>29772744</v>
      </c>
      <c r="BP1937" t="inlineStr">
        <is>
          <t>Green Published, Green Submitted, gold</t>
        </is>
      </c>
      <c r="BS1937" t="inlineStr">
        <is>
          <t>2023-10-26</t>
        </is>
      </c>
      <c r="BT1937" t="inlineStr">
        <is>
          <t>WOS:000435197300170</t>
        </is>
      </c>
      <c r="BU1937">
        <f>HYPERLINK("https%3A%2F%2Fwww.webofscience.com%2Fwos%2Fwoscc%2Ffull-record%2FWOS:000435197300170","View Full Record in Web of Science")</f>
        <v/>
      </c>
    </row>
    <row r="1938">
      <c r="A1938" t="inlineStr">
        <is>
          <t>J</t>
        </is>
      </c>
      <c r="B1938" t="inlineStr">
        <is>
          <t>Wei, Y; Zhou, JH; Zhao, F; Chen, C; Wang, J; Luo, YF; Li, CF; Xiong, JH; Lv, Y; Li, J; Shi, XM</t>
        </is>
      </c>
      <c r="F1938" t="inlineStr">
        <is>
          <t>Wei, Yuan; Zhou, Jinhui; Zhao, Feng; Chen, Chen; Wang, Jun; Luo, Yufei; Li, Chenfeng; Xiong, Jiahui; Lv, Yuebin; Li, Juan; Shi, Xiaoming</t>
        </is>
      </c>
      <c r="J1938" t="inlineStr">
        <is>
          <t>ECOTOXICOLOGY AND ENVIRONMENTAL SAFETY</t>
        </is>
      </c>
      <c r="M1938" t="inlineStr">
        <is>
          <t>English</t>
        </is>
      </c>
      <c r="N1938" t="inlineStr">
        <is>
          <t>Article</t>
        </is>
      </c>
      <c r="T1938" t="inlineStr">
        <is>
          <t>Association of blood lead exposure with frailty and its components among the Chinese oldest old</t>
        </is>
      </c>
      <c r="U1938" t="inlineStr">
        <is>
          <t>Lead; Frailty; Functional limitations; The oldest old; Restricted cubic spline</t>
        </is>
      </c>
      <c r="V1938" t="inlineStr">
        <is>
          <t>CADMIUM; ADULTS; HEALTH</t>
        </is>
      </c>
      <c r="W1938" t="inlineStr">
        <is>
          <t>Lead (Pb) is a widespread environmental contaminant, associated with a higher risk of functional impairment that can lead to frailty in older adults. However, few studies focused on the association of Pb exposure with frailty among the oldest old (aged &gt;= 80 years). In this study, we aimed to assess the associations of Pb with frailty and its components in the oldest old. The included individuals were the oldest old aged &gt;= 80 years who participated in a 2017 cross-sectional survey of the Healthy Aging and Biomarkers Cohort Study. Frailty was ascertained by the frailty index, which was created based on health deficits. We used logistic regression models to estimate the association of blood Pb with frailty and its components. The geometric mean and median of blood Pb were 38.51 mu g/L and 36.27 mu g/L among the oldest old, respectively. Compared with the first quartile of blood Pb, participants in the fourth quartile had higher risk of frailty and its components, the ORs are 1.71 (1.22-2.41), 1.99 (1.35-2.94), 1.91 (1.25-2.93), 1.57 (1.13-2.17) and 1.43 (1.05-1.96), for frailty, ADL disability, IADL disability, functional limitations, and hearing loss in the oldest old, respectively. There was a significant interaction between blood Pb and frailty in different age groups. In conclusion, our findings provide preliminary evidence that higher blood Pb may increase the risk of frailty among the oldest old by increasing the risk of disability in four physical functions: disability in ADL, disability in IADL, functional limitations, and hearing loss.</t>
        </is>
      </c>
      <c r="X1938" t="inlineStr">
        <is>
          <t>[Wei, Yuan; Zhou, Jinhui; Zhao, Feng; Chen, Chen; Wang, Jun; Luo, Yufei; Li, Chenfeng; Xiong, Jiahui; Lv, Yuebin; Shi, Xiaoming] Chinese Ctr Dis Control &amp; Prevent, Natl Inst Environm Hlth, China CDC Key Lab Environm &amp; Populat Hlth, 7 Panjiayuan Nanli, Beijing 100021, Peoples R China; [Wei, Yuan; Li, Juan] Jilin Univ, Sch Publ Hlth, Dept Hyg Inspect, 1163 Xinmin St, Changchun 130021, Jilin, Peoples R China; [Luo, Yufei; Li, Chenfeng; Xiong, Jiahui] Anhui Med Univ, Sch Publ Hlth, Hefei, Anhui, Peoples R China; [Shi, Xiaoming] Nanjing Med Univ, Ctr Global Hlth, Sch Publ Hlth, Nanjing, Jiangsu, Peoples R China</t>
        </is>
      </c>
      <c r="Y1938" t="inlineStr">
        <is>
          <t>Chinese Center for Disease Control &amp; Prevention; National Institute of Environmental Health, Chinese Center for Disease Control &amp; Prevention; Jilin University; Anhui Medical University; Nanjing Medical University</t>
        </is>
      </c>
      <c r="Z1938" t="inlineStr">
        <is>
          <t>Shi, XM (corresponding author), Chinese Ctr Dis Control &amp; Prevent, Natl Inst Environm Hlth, China CDC Key Lab Environm &amp; Populat Hlth, 7 Panjiayuan Nanli, Beijing 100021, Peoples R China.;Li, J (corresponding author), Jilin Univ, Sch Publ Hlth, Dept Hyg Inspect, 1163 Xinmin St, Changchun 130021, Jilin, Peoples R China.</t>
        </is>
      </c>
      <c r="AA1938" t="inlineStr">
        <is>
          <t>li_juan@jlu.edu.cn; shixm@chinacdc.cn</t>
        </is>
      </c>
      <c r="AB1938" t="inlineStr">
        <is>
          <t>xiong, jiahui/GZK-2925-2022; wang, chen/JED-7289-2023; sun, chen/JCP-0396-2023; wu, yunhui/JGD-6838-2023; li, bo/JJC-2664-2023; lin, qing/JED-5250-2023</t>
        </is>
      </c>
      <c r="AD1938" t="inlineStr">
        <is>
          <t>National Natural Science Foun-dation of China [82025030, 82003550, 81872707, 81941023]; Non-profit Central Research Institute Fund of Chinese Academy of Medical Sciences [2021-JKCS-028]</t>
        </is>
      </c>
      <c r="AE1938" t="inlineStr">
        <is>
          <t>National Natural Science Foun-dation of China(National Natural Science Foundation of China (NSFC)); Non-profit Central Research Institute Fund of Chinese Academy of Medical Sciences</t>
        </is>
      </c>
      <c r="AF1938" t="inlineStr">
        <is>
          <t>The study was jointly supported by National Natural Science Foun-dation of China [Grant numbers 82025030, 82003550, 81872707, and 81941023] , Non-profit Central Research Institute Fund of Chinese Academy of Medical Sciences [2021-JKCS-028] .</t>
        </is>
      </c>
      <c r="AH1938" t="n">
        <v>35</v>
      </c>
      <c r="AI1938" t="n">
        <v>1</v>
      </c>
      <c r="AJ1938" t="n">
        <v>1</v>
      </c>
      <c r="AK1938" t="n">
        <v>5</v>
      </c>
      <c r="AL1938" t="n">
        <v>17</v>
      </c>
      <c r="AM1938" t="inlineStr">
        <is>
          <t>ACADEMIC PRESS INC ELSEVIER SCIENCE</t>
        </is>
      </c>
      <c r="AN1938" t="inlineStr">
        <is>
          <t>SAN DIEGO</t>
        </is>
      </c>
      <c r="AO1938" t="inlineStr">
        <is>
          <t>525 B ST, STE 1900, SAN DIEGO, CA 92101-4495 USA</t>
        </is>
      </c>
      <c r="AP1938" t="inlineStr">
        <is>
          <t>0147-6513</t>
        </is>
      </c>
      <c r="AQ1938" t="inlineStr">
        <is>
          <t>1090-2414</t>
        </is>
      </c>
      <c r="AS1938" t="inlineStr">
        <is>
          <t>ECOTOX ENVIRON SAFE</t>
        </is>
      </c>
      <c r="AT1938" t="inlineStr">
        <is>
          <t>Ecotox. Environ. Safe.</t>
        </is>
      </c>
      <c r="AU1938" t="inlineStr">
        <is>
          <t>SEP 1</t>
        </is>
      </c>
      <c r="AV1938" t="n">
        <v>2022</v>
      </c>
      <c r="AW1938" t="n">
        <v>242</v>
      </c>
      <c r="BE1938" t="n">
        <v>113959</v>
      </c>
      <c r="BF1938" t="inlineStr">
        <is>
          <t>10.1016/j.ecoenv.2022.113959</t>
        </is>
      </c>
      <c r="BG1938">
        <f>HYPERLINK("http://dx.doi.org/10.1016/j.ecoenv.2022.113959","http://dx.doi.org/10.1016/j.ecoenv.2022.113959")</f>
        <v/>
      </c>
      <c r="BI1938" t="inlineStr">
        <is>
          <t>AUG 2022</t>
        </is>
      </c>
      <c r="BJ1938" t="n">
        <v>9</v>
      </c>
      <c r="BK1938" t="inlineStr">
        <is>
          <t>Environmental Sciences; Toxicology</t>
        </is>
      </c>
      <c r="BL1938" t="inlineStr">
        <is>
          <t>Science Citation Index Expanded (SCI-EXPANDED)</t>
        </is>
      </c>
      <c r="BM1938" t="inlineStr">
        <is>
          <t>Environmental Sciences &amp; Ecology; Toxicology</t>
        </is>
      </c>
      <c r="BN1938" t="inlineStr">
        <is>
          <t>5E5QL</t>
        </is>
      </c>
      <c r="BO1938" t="n">
        <v>35999770</v>
      </c>
      <c r="BP1938" t="inlineStr">
        <is>
          <t>gold</t>
        </is>
      </c>
      <c r="BS1938" t="inlineStr">
        <is>
          <t>2023-10-26</t>
        </is>
      </c>
      <c r="BT1938" t="inlineStr">
        <is>
          <t>WOS:000865678800007</t>
        </is>
      </c>
      <c r="BU1938">
        <f>HYPERLINK("https%3A%2F%2Fwww.webofscience.com%2Fwos%2Fwoscc%2Ffull-record%2FWOS:000865678800007","View Full Record in Web of Science")</f>
        <v/>
      </c>
    </row>
    <row r="1939">
      <c r="A1939" t="inlineStr">
        <is>
          <t>J</t>
        </is>
      </c>
      <c r="B1939" t="inlineStr">
        <is>
          <t>Nguyen, TMC; Kato, H; Phan, LB</t>
        </is>
      </c>
      <c r="F1939" t="inlineStr">
        <is>
          <t>Thi Mai Chi Nguyen; Kato, Hironori; Le Binh Phan</t>
        </is>
      </c>
      <c r="J1939" t="inlineStr">
        <is>
          <t>SUSTAINABILITY</t>
        </is>
      </c>
      <c r="M1939" t="inlineStr">
        <is>
          <t>English</t>
        </is>
      </c>
      <c r="N1939" t="inlineStr">
        <is>
          <t>Article</t>
        </is>
      </c>
      <c r="T1939" t="inlineStr">
        <is>
          <t>Is Built Environment Associated with Travel Mode Choice in Developing Cities? Evidence from Hanoi</t>
        </is>
      </c>
      <c r="U1939" t="inlineStr">
        <is>
          <t>built environment; travel mode choice; transit-oriented development; Hanoi</t>
        </is>
      </c>
      <c r="V1939" t="inlineStr">
        <is>
          <t>URBAN FORM; LAND-USE; IMPACTS; NEIGHBORHOOD; TRANSIT; GREEN; CITY; MOBILITY; VIETNAM; DENSITY</t>
        </is>
      </c>
      <c r="W1939" t="inlineStr">
        <is>
          <t>This paper examines the association between the built environment (BE) and travel behavior in Hanoi, Vietnam. A multinomial logit model is used to analyze individuals' choice of travel mode from a dataset collected via a questionnaire-based household travel survey in 2016 and the geospatial data of BE variables; the dataset contains 762 responses from local residents in ten districts of the Hanoi Metropolitan Area about their daily travel episodes. It also examines a spatial aggregation effect by comparing model performances among four buffering distances and ward-zones. The results showed that (1) a higher population density around an individual's home is associated with more bus use and less motorbike and car use; (2) mixed land use around the home, average tax revenue near the home, and bus frequency at the workplace have positive relationships with bus ridership; (3) senior people, students, or unskilled laborers tend to use the bus; (4) the spatial aggregation bias significantly affects the estimation results; and (5) new immigrants tend to choose to reside in areas designed for automobile users. Finally, there are several policy implications for transit-oriented development (TOD) in Hanoi, including: (1) parking regulations and/or control strategies should be jointly incorporated into the Hanoi's TOD policy; (2) Hanoi's TOD policy should be carefully designed in terms of its scope of development site and type; and (3) a polycentric structure strategy only may not be sufficient for increasing public transit ridership.</t>
        </is>
      </c>
      <c r="X1939" t="inlineStr">
        <is>
          <t>[Thi Mai Chi Nguyen] Natl Univ Civil Engn, Fac Architecture &amp; Planning, Dept Urban Infrastruct Planning, Hanoi 100000, Vietnam; [Kato, Hironori] Univ Tokyo, Grad Sch Engn, Dept Civil Engn, Tokyo 1138656, Japan; [Le Binh Phan] Vietnam Japan Univ, Masters Program Infrastruct Engn, Hanoi 129000, Vietnam</t>
        </is>
      </c>
      <c r="Y1939" t="inlineStr">
        <is>
          <t>National University of Civil Engineering; University of Tokyo</t>
        </is>
      </c>
      <c r="Z1939" t="inlineStr">
        <is>
          <t>Kato, H (corresponding author), Univ Tokyo, Grad Sch Engn, Dept Civil Engn, Tokyo 1138656, Japan.</t>
        </is>
      </c>
      <c r="AA1939" t="inlineStr">
        <is>
          <t>chintm@nuce.edu.vn; kato@civil.t.u-tokyo.ac.jp; pl.binh@vju.ac.vn</t>
        </is>
      </c>
      <c r="AC1939" t="inlineStr">
        <is>
          <t>Nguyen, Thi Mai Chi/0000-0002-0233-5475</t>
        </is>
      </c>
      <c r="AH1939" t="n">
        <v>60</v>
      </c>
      <c r="AI1939" t="n">
        <v>7</v>
      </c>
      <c r="AJ1939" t="n">
        <v>7</v>
      </c>
      <c r="AK1939" t="n">
        <v>6</v>
      </c>
      <c r="AL1939" t="n">
        <v>23</v>
      </c>
      <c r="AM1939" t="inlineStr">
        <is>
          <t>MDPI</t>
        </is>
      </c>
      <c r="AN1939" t="inlineStr">
        <is>
          <t>BASEL</t>
        </is>
      </c>
      <c r="AO1939" t="inlineStr">
        <is>
          <t>ST ALBAN-ANLAGE 66, CH-4052 BASEL, SWITZERLAND</t>
        </is>
      </c>
      <c r="AQ1939" t="inlineStr">
        <is>
          <t>2071-1050</t>
        </is>
      </c>
      <c r="AS1939" t="inlineStr">
        <is>
          <t>SUSTAINABILITY-BASEL</t>
        </is>
      </c>
      <c r="AT1939" t="inlineStr">
        <is>
          <t>Sustainability</t>
        </is>
      </c>
      <c r="AU1939" t="inlineStr">
        <is>
          <t>JUL</t>
        </is>
      </c>
      <c r="AV1939" t="n">
        <v>2020</v>
      </c>
      <c r="AW1939" t="n">
        <v>12</v>
      </c>
      <c r="AX1939" t="n">
        <v>14</v>
      </c>
      <c r="BE1939" t="n">
        <v>5773</v>
      </c>
      <c r="BF1939" t="inlineStr">
        <is>
          <t>10.3390/su12145773</t>
        </is>
      </c>
      <c r="BG1939">
        <f>HYPERLINK("http://dx.doi.org/10.3390/su12145773","http://dx.doi.org/10.3390/su12145773")</f>
        <v/>
      </c>
      <c r="BJ1939" t="n">
        <v>16</v>
      </c>
      <c r="BK1939" t="inlineStr">
        <is>
          <t>Green &amp; Sustainable Science &amp; Technology; Environmental Sciences; Environmental Studies</t>
        </is>
      </c>
      <c r="BL1939" t="inlineStr">
        <is>
          <t>Science Citation Index Expanded (SCI-EXPANDED); Social Science Citation Index (SSCI)</t>
        </is>
      </c>
      <c r="BM1939" t="inlineStr">
        <is>
          <t>Science &amp; Technology - Other Topics; Environmental Sciences &amp; Ecology</t>
        </is>
      </c>
      <c r="BN1939" t="inlineStr">
        <is>
          <t>MS5IF</t>
        </is>
      </c>
      <c r="BP1939" t="inlineStr">
        <is>
          <t>Green Published, gold</t>
        </is>
      </c>
      <c r="BS1939" t="inlineStr">
        <is>
          <t>2023-10-26</t>
        </is>
      </c>
      <c r="BT1939" t="inlineStr">
        <is>
          <t>WOS:000554308800001</t>
        </is>
      </c>
      <c r="BU1939">
        <f>HYPERLINK("https%3A%2F%2Fwww.webofscience.com%2Fwos%2Fwoscc%2Ffull-record%2FWOS:000554308800001","View Full Record in Web of Science")</f>
        <v/>
      </c>
    </row>
    <row r="1940">
      <c r="A1940" t="inlineStr">
        <is>
          <t>J</t>
        </is>
      </c>
      <c r="B1940" t="inlineStr">
        <is>
          <t>Othman, M; Latif, MT; Mohamed, AF</t>
        </is>
      </c>
      <c r="F1940" t="inlineStr">
        <is>
          <t>Othman, Murnira; Latif, Mohd Talib; Mohamed, Ahmad Fariz</t>
        </is>
      </c>
      <c r="J1940" t="inlineStr">
        <is>
          <t>ECOTOXICOLOGY AND ENVIRONMENTAL SAFETY</t>
        </is>
      </c>
      <c r="M1940" t="inlineStr">
        <is>
          <t>English</t>
        </is>
      </c>
      <c r="N1940" t="inlineStr">
        <is>
          <t>Article</t>
        </is>
      </c>
      <c r="T1940" t="inlineStr">
        <is>
          <t>Health impact assessment from building life cycles and trace metals in coarse particulate matter in urban office environments</t>
        </is>
      </c>
      <c r="U1940" t="inlineStr">
        <is>
          <t>Health effects; Office building; LCA; Coarse particulates; Trace metals; Dosimetry</t>
        </is>
      </c>
      <c r="V1940" t="inlineStr">
        <is>
          <t>GREENHOUSE-GAS EMISSIONS; RISK-ASSESSMENT; RESIDENTIAL BUILDINGS; HEAVY-METALS; ENERGY USE; GENERALIZABILITY THEORY; SOURCE APPORTIONMENT; ASSESSMENT FRAMEWORK; PARTICLE DEPOSITION; ORGANIC-COMPOUNDS</t>
        </is>
      </c>
      <c r="W1940" t="inlineStr">
        <is>
          <t>This study intends to determine the health impacts from two office life cycles (St.1 and St.2) using life cycle assessment (LCA) and health risk assessment of indoor metals in coarse particulates (particulate matter with diameters of less than 10 gm). The first building (St.1) is located in the city centre and the second building (St.2) is located within a new development 7 km away from the city centre. All life cycle stages are considered and was analysed using SimaPro software. The trace metal concentrations were determined by inductively couple plasma-mass spectrometry (ICP-MS). Particle deposition in the human lung was estimated using the multiple-path particle dosimetry model (MPPD). The results showed that the total human health impact for St.1 (0.027 DALY m(-2)) was higher than St.2 (0.005 DALY m(-2)) for a 50-year lifespan, with the highest contribution from the operational phase. The potential health risk to indoor workers was quantified as a hazard quotient (HQ) for non-carcinogenic elements, where the total values for ingestion contact were 4.38E - 08 (St.1) and 2.59E-08 (St.2) while for dermal contact the values were 5.12E-09 (St.1) and 2.58E-09 (St.2). For the carcinogenic risk, the values for dermal and ingestion routes for both St.1 and St.2 were lower than the acceptable limit which indicated no carcinogenic risk. Particle deposition for coarse particles in indoor workers was concentrated in the head, followed by the pulmonary region and tracheobronchial tract deposition. The results from this study showed that human health can be significantly affected by all the processes in office building life cycle, thus the minimisation of energy consumption and pollutant exposures are crucially required.</t>
        </is>
      </c>
      <c r="X1940" t="inlineStr">
        <is>
          <t>[Othman, Murnira; Latif, Mohd Talib; Mohamed, Ahmad Fariz] Univ Kebangsaan Malaysia, LESTARI, Inst Environm &amp; Dev, Bangi 43600, Selangor, Malaysia; [Latif, Mohd Talib] Univ Kebangsaan Malaysia, Fac Sci &amp; Technol, Sch Environm &amp; Nat Resource Sci, Bangi 43600, Selangor, Malaysia</t>
        </is>
      </c>
      <c r="Y1940" t="inlineStr">
        <is>
          <t>Universiti Kebangsaan Malaysia; Universiti Kebangsaan Malaysia</t>
        </is>
      </c>
      <c r="Z1940" t="inlineStr">
        <is>
          <t>Latif, MT (corresponding author), Univ Kebangsaan Malaysia, LESTARI, Inst Environm &amp; Dev, Bangi 43600, Selangor, Malaysia.</t>
        </is>
      </c>
      <c r="AA1940" t="inlineStr">
        <is>
          <t>talib@ukm.edu.my</t>
        </is>
      </c>
      <c r="AB1940" t="inlineStr">
        <is>
          <t>Mohamed, Ahmad Fariz/U-2588-2017; Lee, Muhammad Hisyam/G-1914-2017; Latif, Mohd Talib/E-9560-2010; Othman, Murnira/V-6426-2019</t>
        </is>
      </c>
      <c r="AC1940" t="inlineStr">
        <is>
          <t>Lee, Muhammad Hisyam/0000-0002-3700-2363; Latif, Mohd Talib/0000-0003-2339-3321; Othman, Murnira/0000-0001-5015-7901; Mohamed, Ahmad Fariz/0000-0002-0018-3092</t>
        </is>
      </c>
      <c r="AD1940" t="inlineStr">
        <is>
          <t>Ministry of Higher Education and Universiti Kebangsaan Malaysia under Fundamental Research Grant [FRGS/1/2015/WAB03/UKM/01/1]</t>
        </is>
      </c>
      <c r="AE1940" t="inlineStr">
        <is>
          <t>Ministry of Higher Education and Universiti Kebangsaan Malaysia under Fundamental Research Grant</t>
        </is>
      </c>
      <c r="AF1940" t="inlineStr">
        <is>
          <t>This study was supported by Ministry of Higher Education and Universiti Kebangsaan Malaysia under Fundamental Research Grant (FRGS/1/2015/WAB03/UKM/01/1). Special thanks to Mr. Fairus Muhamad Darus for instrument handling and guidance, and Dr. Rose Norman for proof reading this manuscript.</t>
        </is>
      </c>
      <c r="AH1940" t="n">
        <v>90</v>
      </c>
      <c r="AI1940" t="n">
        <v>16</v>
      </c>
      <c r="AJ1940" t="n">
        <v>17</v>
      </c>
      <c r="AK1940" t="n">
        <v>1</v>
      </c>
      <c r="AL1940" t="n">
        <v>36</v>
      </c>
      <c r="AM1940" t="inlineStr">
        <is>
          <t>ACADEMIC PRESS INC ELSEVIER SCIENCE</t>
        </is>
      </c>
      <c r="AN1940" t="inlineStr">
        <is>
          <t>SAN DIEGO</t>
        </is>
      </c>
      <c r="AO1940" t="inlineStr">
        <is>
          <t>525 B ST, STE 1900, SAN DIEGO, CA 92101-4495 USA</t>
        </is>
      </c>
      <c r="AP1940" t="inlineStr">
        <is>
          <t>0147-6513</t>
        </is>
      </c>
      <c r="AQ1940" t="inlineStr">
        <is>
          <t>1090-2414</t>
        </is>
      </c>
      <c r="AS1940" t="inlineStr">
        <is>
          <t>ECOTOX ENVIRON SAFE</t>
        </is>
      </c>
      <c r="AT1940" t="inlineStr">
        <is>
          <t>Ecotox. Environ. Safe.</t>
        </is>
      </c>
      <c r="AU1940" t="inlineStr">
        <is>
          <t>FEB</t>
        </is>
      </c>
      <c r="AV1940" t="n">
        <v>2018</v>
      </c>
      <c r="AW1940" t="n">
        <v>148</v>
      </c>
      <c r="BC1940" t="n">
        <v>293</v>
      </c>
      <c r="BD1940" t="n">
        <v>302</v>
      </c>
      <c r="BF1940" t="inlineStr">
        <is>
          <t>10.1016/j.ecoenv.2017.10.034</t>
        </is>
      </c>
      <c r="BG1940">
        <f>HYPERLINK("http://dx.doi.org/10.1016/j.ecoenv.2017.10.034","http://dx.doi.org/10.1016/j.ecoenv.2017.10.034")</f>
        <v/>
      </c>
      <c r="BJ1940" t="n">
        <v>10</v>
      </c>
      <c r="BK1940" t="inlineStr">
        <is>
          <t>Environmental Sciences; Toxicology</t>
        </is>
      </c>
      <c r="BL1940" t="inlineStr">
        <is>
          <t>Science Citation Index Expanded (SCI-EXPANDED); Social Science Citation Index (SSCI)</t>
        </is>
      </c>
      <c r="BM1940" t="inlineStr">
        <is>
          <t>Environmental Sciences &amp; Ecology; Toxicology</t>
        </is>
      </c>
      <c r="BN1940" t="inlineStr">
        <is>
          <t>GC6IG</t>
        </is>
      </c>
      <c r="BO1940" t="n">
        <v>29080527</v>
      </c>
      <c r="BS1940" t="inlineStr">
        <is>
          <t>2023-10-26</t>
        </is>
      </c>
      <c r="BT1940" t="inlineStr">
        <is>
          <t>WOS:000429892700033</t>
        </is>
      </c>
      <c r="BU1940">
        <f>HYPERLINK("https%3A%2F%2Fwww.webofscience.com%2Fwos%2Fwoscc%2Ffull-record%2FWOS:000429892700033","View Full Record in Web of Science")</f>
        <v/>
      </c>
    </row>
    <row r="1941">
      <c r="A1941" t="inlineStr">
        <is>
          <t>J</t>
        </is>
      </c>
      <c r="B1941" t="inlineStr">
        <is>
          <t>Beekhuizen, J; Vermeulen, R; van Eijsden, M; van Strien, R; Bürgi, A; Loomans, E; Guxens, M; Kromhout, H; Huss, A</t>
        </is>
      </c>
      <c r="F1941" t="inlineStr">
        <is>
          <t>Beekhuizen, J.; Vermeulen, R.; van Eijsden, M.; van Strien, R.; Buergi, A.; Loomans, E.; Guxens, M.; Kromhout, H.; Huss, A.</t>
        </is>
      </c>
      <c r="J1941" t="inlineStr">
        <is>
          <t>ENVIRONMENT INTERNATIONAL</t>
        </is>
      </c>
      <c r="M1941" t="inlineStr">
        <is>
          <t>English</t>
        </is>
      </c>
      <c r="N1941" t="inlineStr">
        <is>
          <t>Article</t>
        </is>
      </c>
      <c r="T1941" t="inlineStr">
        <is>
          <t>Modelling indoor electromagnetic fields (EMF) from mobile phone base stations for epidemiological studies</t>
        </is>
      </c>
      <c r="U1941" t="inlineStr">
        <is>
          <t>Electromagnetic fields; Indoor; Base station; Exposure; Modelling; Radio wave propagation</t>
        </is>
      </c>
      <c r="V1941" t="inlineStr">
        <is>
          <t>EXPOSURE</t>
        </is>
      </c>
      <c r="W1941" t="inlineStr">
        <is>
          <t>Radio frequency electromagnetic fields (RF-EMF) from mobile phone base stations can be reliably modelled for outdoor locations, using 3D radio wave propagation models that consider antenna characteristics and building geometry. For exposure assessment in epidemiological studies, however, it is especially important to determine indoor exposure levels as people spend most of their time indoors. We assessed the accuracy of indoor RF-EMF model predictions, and whether information on building characteristics could increase model accuracy. We performed 15-minute spot measurements in 263 rooms in 101 primary schools and 30 private homes in Amsterdam, the Netherlands. At each measurement location, we collected information on building characteristics that can affect indoor exposure to RF-EMF, namely glazing and wall and window frame materials. Next, we modelled RF-EMF at the measurement locations with the 3D radio wave propagation model NISMap. We compared model predictions with measured values to evaluate model performance, and explored if building characteristics modified the association between modelled and measured RF-EMF using a mixed effect model. We found a Spearman correlation of 0.73 between modelled and measured total downlink RF-EMF from base stations. The average modelled and measured RF-EMF were 0.053 and 0.041 mW/m(2), respectively, and the precision (standard deviation of the differences between predicted and measured values) was 0.184 mW/m(2). Incorporating information on building characteristics did not improve model predictions. Although there is exposure misclassification, we conclude that it is feasible to reliably rank indoor RF-EMF from mobile phone base stations for epidemiological studies. (C) 2014 Elsevier Ltd. All rights reserved.</t>
        </is>
      </c>
      <c r="X1941" t="inlineStr">
        <is>
          <t>[Beekhuizen, J.; Vermeulen, R.; Guxens, M.; Kromhout, H.; Huss, A.] Univ Utrecht, Div Environm Epidemiol, IRAS, NL-3584 CM Utrecht, Netherlands; [van Eijsden, M.; Loomans, E.] Publ Hlth Serv Amsterdam GGD, Dept Epidemiol &amp; Hlth Promot, NL-1018 WT Amsterdam, Netherlands; [van Strien, R.] Publ Hlth Serv Amsterdam GGD, Dept Environm Hlth, NL-1018 WT Amsterdam, Netherlands; [Buergi, A.] ARIAS Umwelt Forsch Beratung, CH-3011 Bern, Switzerland</t>
        </is>
      </c>
      <c r="Y1941" t="inlineStr">
        <is>
          <t>Utrecht University; Public Health Service Amsterdam; Public Health Service Amsterdam</t>
        </is>
      </c>
      <c r="Z1941" t="inlineStr">
        <is>
          <t>Huss, A (corresponding author), Univ Utrecht, Div Environm Epidemiol, IRAS, Yalelaan 2, NL-3584 CM Utrecht, Netherlands.</t>
        </is>
      </c>
      <c r="AA1941" t="inlineStr">
        <is>
          <t>a.huss@uu.nl</t>
        </is>
      </c>
      <c r="AB1941" t="inlineStr">
        <is>
          <t>Kromhout, Hans/A-9159-2008; Vermeulen, Roel/F-8037-2011; Guxens, Monica/T-2285-2018</t>
        </is>
      </c>
      <c r="AC1941" t="inlineStr">
        <is>
          <t>Kromhout, Hans/0000-0002-4233-1890; Vermeulen, Roel/0000-0003-4082-8163; Guxens, Monica/0000-0002-8624-0333; Huss, Anke/0000-0001-9268-1867</t>
        </is>
      </c>
      <c r="AD1941" t="inlineStr">
        <is>
          <t>Netherlands Organization for Health Research (ZonMW) [85600004, 85200001, 85800001]</t>
        </is>
      </c>
      <c r="AE1941" t="inlineStr">
        <is>
          <t>Netherlands Organization for Health Research (ZonMW)(Netherlands Organization for Health Research and Development)</t>
        </is>
      </c>
      <c r="AF1941" t="inlineStr">
        <is>
          <t>This work was supported by The Netherlands Organization for Health Research (ZonMW) within the programme Electromagnetic Fields and Health Research under grant numbers 85600004, 85200001 and 85800001. We thank the Dutch network operators for providing us with detailed data about all mobile phone base station antennas in Amsterdam, and the ABCD assistants Nikki Emmerik, Sjoukje Mos, Marcelle van der Putten, Maaike Schelling, Ilona Steenkamer and Hilde Stegeman for performing the school and home measurements.</t>
        </is>
      </c>
      <c r="AH1941" t="n">
        <v>17</v>
      </c>
      <c r="AI1941" t="n">
        <v>35</v>
      </c>
      <c r="AJ1941" t="n">
        <v>35</v>
      </c>
      <c r="AK1941" t="n">
        <v>0</v>
      </c>
      <c r="AL1941" t="n">
        <v>13</v>
      </c>
      <c r="AM1941" t="inlineStr">
        <is>
          <t>PERGAMON-ELSEVIER SCIENCE LTD</t>
        </is>
      </c>
      <c r="AN1941" t="inlineStr">
        <is>
          <t>OXFORD</t>
        </is>
      </c>
      <c r="AO1941" t="inlineStr">
        <is>
          <t>THE BOULEVARD, LANGFORD LANE, KIDLINGTON, OXFORD OX5 1GB, ENGLAND</t>
        </is>
      </c>
      <c r="AP1941" t="inlineStr">
        <is>
          <t>0160-4120</t>
        </is>
      </c>
      <c r="AQ1941" t="inlineStr">
        <is>
          <t>1873-6750</t>
        </is>
      </c>
      <c r="AS1941" t="inlineStr">
        <is>
          <t>ENVIRON INT</t>
        </is>
      </c>
      <c r="AT1941" t="inlineStr">
        <is>
          <t>Environ. Int.</t>
        </is>
      </c>
      <c r="AU1941" t="inlineStr">
        <is>
          <t>JUN</t>
        </is>
      </c>
      <c r="AV1941" t="n">
        <v>2014</v>
      </c>
      <c r="AW1941" t="n">
        <v>67</v>
      </c>
      <c r="BC1941" t="n">
        <v>22</v>
      </c>
      <c r="BD1941" t="n">
        <v>26</v>
      </c>
      <c r="BF1941" t="inlineStr">
        <is>
          <t>10.1016/j.envint.2014.02.008</t>
        </is>
      </c>
      <c r="BG1941">
        <f>HYPERLINK("http://dx.doi.org/10.1016/j.envint.2014.02.008","http://dx.doi.org/10.1016/j.envint.2014.02.008")</f>
        <v/>
      </c>
      <c r="BJ1941" t="n">
        <v>5</v>
      </c>
      <c r="BK1941" t="inlineStr">
        <is>
          <t>Environmental Sciences</t>
        </is>
      </c>
      <c r="BL1941" t="inlineStr">
        <is>
          <t>Science Citation Index Expanded (SCI-EXPANDED)</t>
        </is>
      </c>
      <c r="BM1941" t="inlineStr">
        <is>
          <t>Environmental Sciences &amp; Ecology</t>
        </is>
      </c>
      <c r="BN1941" t="inlineStr">
        <is>
          <t>AG4ZN</t>
        </is>
      </c>
      <c r="BO1941" t="n">
        <v>24632329</v>
      </c>
      <c r="BS1941" t="inlineStr">
        <is>
          <t>2023-10-26</t>
        </is>
      </c>
      <c r="BT1941" t="inlineStr">
        <is>
          <t>WOS:000335429000003</t>
        </is>
      </c>
      <c r="BU1941">
        <f>HYPERLINK("https%3A%2F%2Fwww.webofscience.com%2Fwos%2Fwoscc%2Ffull-record%2FWOS:000335429000003","View Full Record in Web of Science")</f>
        <v/>
      </c>
    </row>
    <row r="1942">
      <c r="A1942" t="inlineStr">
        <is>
          <t>J</t>
        </is>
      </c>
      <c r="B1942" t="inlineStr">
        <is>
          <t>Zhou, YC</t>
        </is>
      </c>
      <c r="F1942" t="inlineStr">
        <is>
          <t>Zhou, Yuchang</t>
        </is>
      </c>
      <c r="J1942" t="inlineStr">
        <is>
          <t>FRESENIUS ENVIRONMENTAL BULLETIN</t>
        </is>
      </c>
      <c r="M1942" t="inlineStr">
        <is>
          <t>English</t>
        </is>
      </c>
      <c r="N1942" t="inlineStr">
        <is>
          <t>Article</t>
        </is>
      </c>
      <c r="T1942" t="inlineStr">
        <is>
          <t>ANALYSIS ON THE PURIFICATION ABILITY OF SEVERAL PLANTS TO THE POLLUTING GAS FORMALDEHYDE IN INTERIOR DECORATION DESIGN</t>
        </is>
      </c>
      <c r="U1942" t="inlineStr">
        <is>
          <t>Interior decoration; polluted gas; formaldehyde purification capacity; purification capacity analysis</t>
        </is>
      </c>
      <c r="V1942" t="inlineStr">
        <is>
          <t>INDOOR AIR-POLLUTION</t>
        </is>
      </c>
      <c r="W1942" t="inlineStr">
        <is>
          <t>At present, people have entered the third stage of pollution, that is, indoor chemical pollution. Indoor environmental problems caused by chemical substances such as formaldehyde have become one of the major problems facing the world, posing a direct threat to people's health. Due to the long volatilization time of formaldehyde, it cannot be completely clear at one time, and it needs to be gradually reduced for a long time. Therefore, people choose plants to purify indoor formaldehyde. In this paper, three plants, yew, canna, and jasmine, were selected for experiments, placed in a pre-set airtight box, and injected with different concentrations of formaldehyde to analyze the ability of the three plants to purify formaldehyde. The results showed that the purifying ability of yew was the strongest under the formaldehyde concentration of 1.26mg/m(3), and the formaldehyde concentration could be reduced to 0.06mg/m(3) after 12 hours. Yew plants had the highest purification ability under the formaldehyde concentration of 2.29mg/m(3), which could remove formaldehyde in 12 hours. The concentration was reduced to 0.35mg/m(3). Under the formaldehyde concentration of 3.56mg/m(3), yew had the highest purification ability, and the formaldehyde concentration could be reduced to 0.60mg/m(3) in 12h. At the same time, the formaldehyde purification ability of three plants under unit leaf area was studied. The result showed that yew had the strongest purification ability per unit leaf area under the formaldehyde concentration of 1.26mg/m(3), and yew was purified when the formaldehyde concentration was increased to 2.29mg/m(3). The plant with the strongest ability to purify the unit leaf area after continuously increasing the formaldehyde concentration to 3.56mg/m(3) was jasmine. Each plant purifies formaldehyde at different concentrations. The research in this paper can provide data reference for people.</t>
        </is>
      </c>
      <c r="X1942" t="inlineStr">
        <is>
          <t>[Zhou, Yuchang] Jiujiang Univ, Sch Art, Jiujiang 332005, Jiangxi, Peoples R China</t>
        </is>
      </c>
      <c r="Y1942" t="inlineStr">
        <is>
          <t>Jiujiang University</t>
        </is>
      </c>
      <c r="Z1942" t="inlineStr">
        <is>
          <t>Zhou, YC (corresponding author), Jiujiang Univ, Sch Art, Jiujiang 332005, Jiangxi, Peoples R China.</t>
        </is>
      </c>
      <c r="AA1942" t="inlineStr">
        <is>
          <t>zhouyuchang0820@sina.com</t>
        </is>
      </c>
      <c r="AH1942" t="n">
        <v>10</v>
      </c>
      <c r="AI1942" t="n">
        <v>1</v>
      </c>
      <c r="AJ1942" t="n">
        <v>1</v>
      </c>
      <c r="AK1942" t="n">
        <v>0</v>
      </c>
      <c r="AL1942" t="n">
        <v>3</v>
      </c>
      <c r="AM1942" t="inlineStr">
        <is>
          <t>PARLAR SCIENTIFIC PUBLICATIONS (P S P)</t>
        </is>
      </c>
      <c r="AN1942" t="inlineStr">
        <is>
          <t>FREISING</t>
        </is>
      </c>
      <c r="AO1942" t="inlineStr">
        <is>
          <t>ANGERSTR. 12, 85354 FREISING, GERMANY</t>
        </is>
      </c>
      <c r="AP1942" t="inlineStr">
        <is>
          <t>1018-4619</t>
        </is>
      </c>
      <c r="AQ1942" t="inlineStr">
        <is>
          <t>1610-2304</t>
        </is>
      </c>
      <c r="AS1942" t="inlineStr">
        <is>
          <t>FRESEN ENVIRON BULL</t>
        </is>
      </c>
      <c r="AT1942" t="inlineStr">
        <is>
          <t>Fresenius Environ. Bull.</t>
        </is>
      </c>
      <c r="AV1942" t="n">
        <v>2022</v>
      </c>
      <c r="AW1942" t="n">
        <v>31</v>
      </c>
      <c r="AX1942" t="inlineStr">
        <is>
          <t>6A</t>
        </is>
      </c>
      <c r="BC1942" t="n">
        <v>6628</v>
      </c>
      <c r="BD1942" t="n">
        <v>6635</v>
      </c>
      <c r="BJ1942" t="n">
        <v>8</v>
      </c>
      <c r="BK1942" t="inlineStr">
        <is>
          <t>Environmental Sciences</t>
        </is>
      </c>
      <c r="BL1942" t="inlineStr">
        <is>
          <t>Science Citation Index Expanded (SCI-EXPANDED)</t>
        </is>
      </c>
      <c r="BM1942" t="inlineStr">
        <is>
          <t>Environmental Sciences &amp; Ecology</t>
        </is>
      </c>
      <c r="BN1942" t="inlineStr">
        <is>
          <t>2D5LL</t>
        </is>
      </c>
      <c r="BS1942" t="inlineStr">
        <is>
          <t>2023-10-26</t>
        </is>
      </c>
      <c r="BT1942" t="inlineStr">
        <is>
          <t>WOS:000811588300068</t>
        </is>
      </c>
      <c r="BU1942">
        <f>HYPERLINK("https%3A%2F%2Fwww.webofscience.com%2Fwos%2Fwoscc%2Ffull-record%2FWOS:000811588300068","View Full Record in Web of Science")</f>
        <v/>
      </c>
    </row>
    <row r="1943">
      <c r="A1943" t="inlineStr">
        <is>
          <t>J</t>
        </is>
      </c>
      <c r="B1943" t="inlineStr">
        <is>
          <t>Ryu, K; Kim, HJ; Lee, H; Kwon, B</t>
        </is>
      </c>
      <c r="F1943" t="inlineStr">
        <is>
          <t>Ryu, Kisang; Kim, Hyun Jeong; Lee, Hwangyu; Kwon, Bongheon</t>
        </is>
      </c>
      <c r="J1943" t="inlineStr">
        <is>
          <t>SUSTAINABILITY</t>
        </is>
      </c>
      <c r="M1943" t="inlineStr">
        <is>
          <t>English</t>
        </is>
      </c>
      <c r="N1943" t="inlineStr">
        <is>
          <t>Article</t>
        </is>
      </c>
      <c r="T1943" t="inlineStr">
        <is>
          <t>Relative Effects of Physical Environment and Employee Performance on Customers' Emotions, Satisfaction, and Behavioral Intentions in Upscale Restaurants</t>
        </is>
      </c>
      <c r="U1943" t="inlineStr">
        <is>
          <t>physical environment; employee performance; arousal; pleasure; upscale restaurant</t>
        </is>
      </c>
      <c r="V1943" t="inlineStr">
        <is>
          <t>STORE ATMOSPHERE; SERVICE; QUALITY; LOYALTY; IMPACT; MODEL; FOOD</t>
        </is>
      </c>
      <c r="W1943" t="inlineStr">
        <is>
          <t>This study explored the structural relationships among the physical environment, employee performance, and diners' emotional states, satisfaction, and behavioral intentions, applying the Mehrabian-Russell's theoretical framework in upscale restaurants. Empirical data were collected from 275 upscale restaurant patrons. The results showed that both intangible (employee service) and tangible (physical environment) factors have significant impacts on diners' emotional responses (pleasure and arousal), and these emotional responses affect customer satisfaction and behavioral intentions. This study found that the physical environment exerted a greater impact on arousal than employee behavior while employee behavior had a greater impact on pleasure than physical environment. In addition, arousal was found to have a positive influence on pleasure. We discussed managerial and theoretical implications based on these findings.</t>
        </is>
      </c>
      <c r="X1943" t="inlineStr">
        <is>
          <t>[Ryu, Kisang] Sejong Univ, Coll Hospitality &amp; Tourism Management, Seoul 05006, South Korea; [Kim, Hyun Jeong] Washington State Univ, Sch Hospitality Business Management, Carson Coll Business, Pullman, WA 99164 USA; [Lee, Hwangyu] Yeungnam Univ, Law Sch, Gyongsan 38541, South Korea; [Kwon, Bongheon] Baekseok Univ, Dept Tourism, Chungnam 31065, South Korea</t>
        </is>
      </c>
      <c r="Y1943" t="inlineStr">
        <is>
          <t>Sejong University; Washington State University; Yeungnam University; Baekseok University</t>
        </is>
      </c>
      <c r="Z1943" t="inlineStr">
        <is>
          <t>Lee, H (corresponding author), Yeungnam Univ, Law Sch, Gyongsan 38541, South Korea.</t>
        </is>
      </c>
      <c r="AA1943" t="inlineStr">
        <is>
          <t>kryu11@sejong.ac.kr; jennykim@wsu.edu; slawlhg@naver.com; bongdal@bu.ac.kr</t>
        </is>
      </c>
      <c r="AC1943" t="inlineStr">
        <is>
          <t>Yorkulov, Mukhammadmurod/0000-0002-2156-5700; Ryu, Kisang/0000-0002-7600-5583</t>
        </is>
      </c>
      <c r="AD1943" t="inlineStr">
        <is>
          <t>Yeungnam University Research Grant</t>
        </is>
      </c>
      <c r="AE1943" t="inlineStr">
        <is>
          <t>Yeungnam University Research Grant</t>
        </is>
      </c>
      <c r="AF1943" t="inlineStr">
        <is>
          <t>This work was supported by the 2015 Yeungnam University Research Grant.</t>
        </is>
      </c>
      <c r="AH1943" t="n">
        <v>39</v>
      </c>
      <c r="AI1943" t="n">
        <v>8</v>
      </c>
      <c r="AJ1943" t="n">
        <v>8</v>
      </c>
      <c r="AK1943" t="n">
        <v>5</v>
      </c>
      <c r="AL1943" t="n">
        <v>22</v>
      </c>
      <c r="AM1943" t="inlineStr">
        <is>
          <t>MDPI</t>
        </is>
      </c>
      <c r="AN1943" t="inlineStr">
        <is>
          <t>BASEL</t>
        </is>
      </c>
      <c r="AO1943" t="inlineStr">
        <is>
          <t>ST ALBAN-ANLAGE 66, CH-4052 BASEL, SWITZERLAND</t>
        </is>
      </c>
      <c r="AQ1943" t="inlineStr">
        <is>
          <t>2071-1050</t>
        </is>
      </c>
      <c r="AS1943" t="inlineStr">
        <is>
          <t>SUSTAINABILITY-BASEL</t>
        </is>
      </c>
      <c r="AT1943" t="inlineStr">
        <is>
          <t>Sustainability</t>
        </is>
      </c>
      <c r="AU1943" t="inlineStr">
        <is>
          <t>SEP</t>
        </is>
      </c>
      <c r="AV1943" t="n">
        <v>2021</v>
      </c>
      <c r="AW1943" t="n">
        <v>13</v>
      </c>
      <c r="AX1943" t="n">
        <v>17</v>
      </c>
      <c r="BE1943" t="n">
        <v>9549</v>
      </c>
      <c r="BF1943" t="inlineStr">
        <is>
          <t>10.3390/su13179549</t>
        </is>
      </c>
      <c r="BG1943">
        <f>HYPERLINK("http://dx.doi.org/10.3390/su13179549","http://dx.doi.org/10.3390/su13179549")</f>
        <v/>
      </c>
      <c r="BJ1943" t="n">
        <v>13</v>
      </c>
      <c r="BK1943" t="inlineStr">
        <is>
          <t>Green &amp; Sustainable Science &amp; Technology; Environmental Sciences; Environmental Studies</t>
        </is>
      </c>
      <c r="BL1943" t="inlineStr">
        <is>
          <t>Science Citation Index Expanded (SCI-EXPANDED); Social Science Citation Index (SSCI)</t>
        </is>
      </c>
      <c r="BM1943" t="inlineStr">
        <is>
          <t>Science &amp; Technology - Other Topics; Environmental Sciences &amp; Ecology</t>
        </is>
      </c>
      <c r="BN1943" t="inlineStr">
        <is>
          <t>UO1YN</t>
        </is>
      </c>
      <c r="BP1943" t="inlineStr">
        <is>
          <t>gold</t>
        </is>
      </c>
      <c r="BS1943" t="inlineStr">
        <is>
          <t>2023-10-26</t>
        </is>
      </c>
      <c r="BT1943" t="inlineStr">
        <is>
          <t>WOS:000694497500001</t>
        </is>
      </c>
      <c r="BU1943">
        <f>HYPERLINK("https%3A%2F%2Fwww.webofscience.com%2Fwos%2Fwoscc%2Ffull-record%2FWOS:000694497500001","View Full Record in Web of Science")</f>
        <v/>
      </c>
    </row>
    <row r="1944">
      <c r="A1944" t="inlineStr">
        <is>
          <t>J</t>
        </is>
      </c>
      <c r="B1944" t="inlineStr">
        <is>
          <t>Hussien, A; Jannat, N; Mushtaha, E; Al-Shammaa, A</t>
        </is>
      </c>
      <c r="F1944" t="inlineStr">
        <is>
          <t>Hussien, Aseel; Jannat, Nusrat; Mushtaha, Emad; Al-Shammaa, Ahmed</t>
        </is>
      </c>
      <c r="J1944" t="inlineStr">
        <is>
          <t>ECOLOGICAL ENGINEERING</t>
        </is>
      </c>
      <c r="M1944" t="inlineStr">
        <is>
          <t>English</t>
        </is>
      </c>
      <c r="N1944" t="inlineStr">
        <is>
          <t>Article</t>
        </is>
      </c>
      <c r="T1944" t="inlineStr">
        <is>
          <t>A holistic plan of flat roof to green-roof conversion: Towards a sustainable built environment</t>
        </is>
      </c>
      <c r="U1944" t="inlineStr">
        <is>
          <t>Lifecycle costs; Sustainable; Extensive green roof; Intensive green roof; Biodiverse green roof</t>
        </is>
      </c>
      <c r="V1944" t="inlineStr">
        <is>
          <t>BENEFITS</t>
        </is>
      </c>
      <c r="W1944" t="inlineStr">
        <is>
          <t>There is an increased research focus on the benefit of the green roof system (GRs) as a sustainable solution to overcome environmental challenges related to urbanization. Although GRs have been widely implemented in some countries throughout the globe, there needs to be a clear gap in the literature associated with the lagging implementation in the UK, with only a few buildings in London and Manchester have taken up the challenge of adopting them. Therefore, this paper first presents the construction components and multiple benefits of GRs for the UK climate, showing how GRs assist reduces stormwater, cutting down energy costs, and improving air and ecological performance. The research was conducted by undertaking roof surveys of fifty-four buildings across the north of England to determine if these roofs could be suitable for adopting GRs. In addition, an energy simulation using Design Builder software was used to analyze the monthly heat kw/h for the three diverse types of G.R.s. The results show that only 9% of the 54 roofs surveyed were suitable for GRs adoption due to the buildings' construction conditions and location.Furthermore, the study shows a massive saving in energy con-sumption when GRs implementation simulation was conducted for the 9% of the buildings surveyed, ranging between 550 and 1900 pound/year. Finally, it would be evident that green roofs provide better value for money over the longer term. Furthermore, this type of study and desktop analysis could inform policy and lead to significant incentives by the government for green roof adoption As this study was limited to north Englan, this analysis enabled a broader proportion of the country and a more comprehensive range of building ages, yielding even greater results and evidence of the potential benefits of a green roof system, allowing us to calculate the total cost of ownership over the roof's lifespan.</t>
        </is>
      </c>
      <c r="X1944" t="inlineStr">
        <is>
          <t>[Hussien, Aseel; Mushtaha, Emad; Al-Shammaa, Ahmed] Univ Sharjah UAE, Coll Engn, Dept Architectural Engn, Sharjah, U Arab Emirates; [Jannat, Nusrat] Liverpool John Moorse Univ, Dept Built Environm, Liverpool, Merseyside, England</t>
        </is>
      </c>
      <c r="Z1944" t="inlineStr">
        <is>
          <t>Hussien, A (corresponding author), Univ Sharjah UAE, Coll Engn, Dept Architectural Engn, Sharjah, U Arab Emirates.</t>
        </is>
      </c>
      <c r="AA1944" t="inlineStr">
        <is>
          <t>Ahussien@sharjah.ac.ae</t>
        </is>
      </c>
      <c r="AB1944" t="inlineStr">
        <is>
          <t>Jannat, Nusrat/IQT-5448-2023</t>
        </is>
      </c>
      <c r="AC1944" t="inlineStr">
        <is>
          <t>Jannat, Nusrat/0000-0003-0673-0138</t>
        </is>
      </c>
      <c r="AH1944" t="n">
        <v>44</v>
      </c>
      <c r="AI1944" t="n">
        <v>1</v>
      </c>
      <c r="AJ1944" t="n">
        <v>1</v>
      </c>
      <c r="AK1944" t="n">
        <v>10</v>
      </c>
      <c r="AL1944" t="n">
        <v>10</v>
      </c>
      <c r="AM1944" t="inlineStr">
        <is>
          <t>ELSEVIER</t>
        </is>
      </c>
      <c r="AN1944" t="inlineStr">
        <is>
          <t>AMSTERDAM</t>
        </is>
      </c>
      <c r="AO1944" t="inlineStr">
        <is>
          <t>RADARWEG 29, 1043 NX AMSTERDAM, NETHERLANDS</t>
        </is>
      </c>
      <c r="AP1944" t="inlineStr">
        <is>
          <t>0925-8574</t>
        </is>
      </c>
      <c r="AQ1944" t="inlineStr">
        <is>
          <t>1872-6992</t>
        </is>
      </c>
      <c r="AS1944" t="inlineStr">
        <is>
          <t>ECOL ENG</t>
        </is>
      </c>
      <c r="AT1944" t="inlineStr">
        <is>
          <t>Ecol. Eng.</t>
        </is>
      </c>
      <c r="AU1944" t="inlineStr">
        <is>
          <t>MAY</t>
        </is>
      </c>
      <c r="AV1944" t="n">
        <v>2023</v>
      </c>
      <c r="AW1944" t="n">
        <v>190</v>
      </c>
      <c r="BE1944" t="n">
        <v>106925</v>
      </c>
      <c r="BF1944" t="inlineStr">
        <is>
          <t>10.1016/j.ecoleng.2023.106925</t>
        </is>
      </c>
      <c r="BG1944">
        <f>HYPERLINK("http://dx.doi.org/10.1016/j.ecoleng.2023.106925","http://dx.doi.org/10.1016/j.ecoleng.2023.106925")</f>
        <v/>
      </c>
      <c r="BI1944" t="inlineStr">
        <is>
          <t>FEB 2023</t>
        </is>
      </c>
      <c r="BJ1944" t="n">
        <v>11</v>
      </c>
      <c r="BK1944" t="inlineStr">
        <is>
          <t>Ecology; Engineering, Environmental; Environmental Sciences</t>
        </is>
      </c>
      <c r="BL1944" t="inlineStr">
        <is>
          <t>Science Citation Index Expanded (SCI-EXPANDED)</t>
        </is>
      </c>
      <c r="BM1944" t="inlineStr">
        <is>
          <t>Environmental Sciences &amp; Ecology; Engineering</t>
        </is>
      </c>
      <c r="BN1944" t="inlineStr">
        <is>
          <t>D0JD9</t>
        </is>
      </c>
      <c r="BS1944" t="inlineStr">
        <is>
          <t>2023-10-26</t>
        </is>
      </c>
      <c r="BT1944" t="inlineStr">
        <is>
          <t>WOS:000965667100001</t>
        </is>
      </c>
      <c r="BU1944">
        <f>HYPERLINK("https%3A%2F%2Fwww.webofscience.com%2Fwos%2Fwoscc%2Ffull-record%2FWOS:000965667100001","View Full Record in Web of Science")</f>
        <v/>
      </c>
    </row>
    <row r="1945">
      <c r="A1945" t="inlineStr">
        <is>
          <t>J</t>
        </is>
      </c>
      <c r="B1945" t="inlineStr">
        <is>
          <t>Arkkukangas, M; Bååthe, KS; Ekholm, A; Tonkonogi, M</t>
        </is>
      </c>
      <c r="F1945" t="inlineStr">
        <is>
          <t>Arkkukangas, Marina; Baathe, Karin Stromqvist; Ekholm, Anna; Tonkonogi, Michail</t>
        </is>
      </c>
      <c r="J1945" t="inlineStr">
        <is>
          <t>INTERNATIONAL JOURNAL OF ENVIRONMENTAL RESEARCH AND PUBLIC HEALTH</t>
        </is>
      </c>
      <c r="M1945" t="inlineStr">
        <is>
          <t>English</t>
        </is>
      </c>
      <c r="N1945" t="inlineStr">
        <is>
          <t>Article</t>
        </is>
      </c>
      <c r="T1945" t="inlineStr">
        <is>
          <t>High Challenge Exercise and Learning Safe Landing Strategies among Community-Dwelling Older Adults: A Randomized Controlled Trial</t>
        </is>
      </c>
      <c r="U1945" t="inlineStr">
        <is>
          <t>exercise; judo; martial arts; motor skill; physical activity; older adults</t>
        </is>
      </c>
      <c r="V1945" t="inlineStr">
        <is>
          <t>LOWER-EXTREMITY FUNCTION; FALLS PREVENTION; RISK-FACTORS; DISABILITY; BALANCE; PEOPLE; IMPACT</t>
        </is>
      </c>
      <c r="W1945" t="inlineStr">
        <is>
          <t>There is limited research on optimal exercise programs that effectively decrease falls and fall-related injuries in older populations. This randomized controlled trial (RCT) aimed to explore the effects of a 12-week Judo4Balance program on falling techniques, physical and psychological functions, health status, and physical activity levels among 200 community-dwelling older adults (79% women and 21% men) with a mean age of 72 years. The 200 participants were randomly allocated for the Judo4Balce program (n = 100) or control group (n = 100). The RCT intervention started in mid-January 2020 and was abruptly interrupted because of the COVID-19 pandemic. A restart of the RCT was initiated in September 2021, and the 12-week intervention was offered to two groups. This study reports the results from three points of assessment: baseline, 20-month follow-up, and 12-week postintervention. At 20 months follow-up, the control group had significantly decreased physical activity levels (summer p = 0.002 and winter p = 0.003); similar changes were not seen in the exercise group. In the exercise group, learning falling techniques in 6-9 weeks led to sustained fall competence at 20 months follow-up. Further, significant improvements in physical function (exercise group p = 0.009 and control group p &lt; 0.001) and learning falling techniques (p &lt; 0.001 for both groups) were noted in both groups after the 12-week intervention. This effective, supervised, group-based, high-challenge multicomponent exercise program needs to be further evaluated for possible impact on falls and fall-related injuries.</t>
        </is>
      </c>
      <c r="X1945" t="inlineStr">
        <is>
          <t>[Arkkukangas, Marina; Baathe, Karin Stromqvist; Tonkonogi, Michail] Dalarna Univ, Sch Educ Hlth &amp; Social Studies, Dept Med Sport &amp; Fitness Sci, S-79188 Falun, Sweden; [Arkkukangas, Marina] Malardalen Univ, Sch Hlth Care &amp; Social Welf, Dept Physiotherapy, S-72123 Vasteras, Sweden; [Arkkukangas, Marina; Ekholm, Anna] Reg Sormland, Res &amp; Dev Sormland, S-63217 Eskilstuna, Sweden</t>
        </is>
      </c>
      <c r="Y1945" t="inlineStr">
        <is>
          <t>Dalarna University; Malardalen University</t>
        </is>
      </c>
      <c r="Z1945" t="inlineStr">
        <is>
          <t>Arkkukangas, M (corresponding author), Dalarna Univ, Sch Educ Hlth &amp; Social Studies, Dept Med Sport &amp; Fitness Sci, S-79188 Falun, Sweden.;Arkkukangas, M (corresponding author), Malardalen Univ, Sch Hlth Care &amp; Social Welf, Dept Physiotherapy, S-72123 Vasteras, Sweden.;Arkkukangas, M (corresponding author), Reg Sormland, Res &amp; Dev Sormland, S-63217 Eskilstuna, Sweden.</t>
        </is>
      </c>
      <c r="AA1945" t="inlineStr">
        <is>
          <t>marina.arkkukangas@fou.sormland.se; ksb@du.se; anna.ekholm@regionsormland.se; mtn@du.se</t>
        </is>
      </c>
      <c r="AB1945" t="inlineStr">
        <is>
          <t>Strömqvist Bååthe, Karin/JFS-3262-2023</t>
        </is>
      </c>
      <c r="AC1945" t="inlineStr">
        <is>
          <t>Arkkukangas, Marina/0000-0001-7418-6088</t>
        </is>
      </c>
      <c r="AH1945" t="n">
        <v>42</v>
      </c>
      <c r="AI1945" t="n">
        <v>5</v>
      </c>
      <c r="AJ1945" t="n">
        <v>5</v>
      </c>
      <c r="AK1945" t="n">
        <v>0</v>
      </c>
      <c r="AL1945" t="n">
        <v>4</v>
      </c>
      <c r="AM1945" t="inlineStr">
        <is>
          <t>MDPI</t>
        </is>
      </c>
      <c r="AN1945" t="inlineStr">
        <is>
          <t>BASEL</t>
        </is>
      </c>
      <c r="AO1945" t="inlineStr">
        <is>
          <t>ST ALBAN-ANLAGE 66, CH-4052 BASEL, SWITZERLAND</t>
        </is>
      </c>
      <c r="AQ1945" t="inlineStr">
        <is>
          <t>1660-4601</t>
        </is>
      </c>
      <c r="AS1945" t="inlineStr">
        <is>
          <t>INT J ENV RES PUB HE</t>
        </is>
      </c>
      <c r="AT1945" t="inlineStr">
        <is>
          <t>Int. J. Environ. Res. Public Health</t>
        </is>
      </c>
      <c r="AU1945" t="inlineStr">
        <is>
          <t>JUN</t>
        </is>
      </c>
      <c r="AV1945" t="n">
        <v>2022</v>
      </c>
      <c r="AW1945" t="n">
        <v>19</v>
      </c>
      <c r="AX1945" t="n">
        <v>12</v>
      </c>
      <c r="BE1945" t="n">
        <v>7370</v>
      </c>
      <c r="BF1945" t="inlineStr">
        <is>
          <t>10.3390/ijerph19127370</t>
        </is>
      </c>
      <c r="BG1945">
        <f>HYPERLINK("http://dx.doi.org/10.3390/ijerph19127370","http://dx.doi.org/10.3390/ijerph19127370")</f>
        <v/>
      </c>
      <c r="BJ1945" t="n">
        <v>10</v>
      </c>
      <c r="BK1945" t="inlineStr">
        <is>
          <t>Environmental Sciences; Public, Environmental &amp; Occupational Health</t>
        </is>
      </c>
      <c r="BL1945" t="inlineStr">
        <is>
          <t>Science Citation Index Expanded (SCI-EXPANDED); Social Science Citation Index (SSCI)</t>
        </is>
      </c>
      <c r="BM1945" t="inlineStr">
        <is>
          <t>Environmental Sciences &amp; Ecology; Public, Environmental &amp; Occupational Health</t>
        </is>
      </c>
      <c r="BN1945" t="inlineStr">
        <is>
          <t>2J8FD</t>
        </is>
      </c>
      <c r="BO1945" t="n">
        <v>35742618</v>
      </c>
      <c r="BP1945" t="inlineStr">
        <is>
          <t>Green Published, gold</t>
        </is>
      </c>
      <c r="BS1945" t="inlineStr">
        <is>
          <t>2023-10-26</t>
        </is>
      </c>
      <c r="BT1945" t="inlineStr">
        <is>
          <t>WOS:000815884800001</t>
        </is>
      </c>
      <c r="BU1945">
        <f>HYPERLINK("https%3A%2F%2Fwww.webofscience.com%2Fwos%2Fwoscc%2Ffull-record%2FWOS:000815884800001","View Full Record in Web of Science")</f>
        <v/>
      </c>
    </row>
    <row r="1946">
      <c r="A1946" t="inlineStr">
        <is>
          <t>J</t>
        </is>
      </c>
      <c r="B1946" t="inlineStr">
        <is>
          <t>Zhong, QK; Li, B; Chen, Y</t>
        </is>
      </c>
      <c r="F1946" t="inlineStr">
        <is>
          <t>Zhong, Qikang; Li, Bo; Chen, Yue</t>
        </is>
      </c>
      <c r="J1946" t="inlineStr">
        <is>
          <t>INTERNATIONAL JOURNAL OF ENVIRONMENTAL RESEARCH AND PUBLIC HEALTH</t>
        </is>
      </c>
      <c r="M1946" t="inlineStr">
        <is>
          <t>English</t>
        </is>
      </c>
      <c r="N1946" t="inlineStr">
        <is>
          <t>Article</t>
        </is>
      </c>
      <c r="T1946" t="inlineStr">
        <is>
          <t>How Do Different Urban Footpath Environments Affect the Jogging Preferences of Residents of Different Genders? Empirical Research Based on Trajectory Data</t>
        </is>
      </c>
      <c r="U1946" t="inlineStr">
        <is>
          <t>urban footpath; footpath environmental differentiation; gender; jogging activities; trajectory data</t>
        </is>
      </c>
      <c r="V1946" t="inlineStr">
        <is>
          <t>BODY-MASS INDEX; PHYSICAL-ACTIVITY; BUILT ENVIRONMENT; WALKING; ASSOCIATIONS; MORTALITY; OBESITY; SEGREGATION; ADULTS; PARKS</t>
        </is>
      </c>
      <c r="W1946" t="inlineStr">
        <is>
          <t>In recent years, the impact of the urban environment on residents' physical activity (PA) has received extensive attention, but whether this impact has differences in the jogging preferences of residents in different footpath environments and different genders requires further research. Therefore, based on jogging trajectory data, this paper uses the grouping multiple linear regression model to study the different influencing factors of different footpath environments on the jogging of residents of different genders. The results show that (1) jogging activities (JA) were mainly concentrated in the community footpath environment, and its peak was reached at night; (2) the rise and fall of elements in built environments, social environments, and natural environments significantly affected the relative jogging distance of residents; (3) Residential land density (RLD) has a positive impact on the JA of community and green land footpaths and has a negative impact on the JA of urban footpaths. However, arterial road density (ARD) and bus distance density (BDD) have opposite significant effects on the JA of communities and green land footpaths; (4) ARD has the significant opposite effect on the JA for residents of different genders on urban footpaths and community footpaths. Facilities diversity (FD), population density (PD), and bus stop density (BSD) also had significant opposite effects on the JA of residents of different genders on green land footpaths. In general, we put forward a method theory to identify the footpath environment and provide references for improving the layout and construction of different gender residents for different footpath environment elements.</t>
        </is>
      </c>
      <c r="X1946" t="inlineStr">
        <is>
          <t>[Zhong, Qikang; Li, Bo; Chen, Yue] Cent South Univ, Sch Architecture &amp; Art, Changsha 410083, Peoples R China</t>
        </is>
      </c>
      <c r="Y1946" t="inlineStr">
        <is>
          <t>Central South University</t>
        </is>
      </c>
      <c r="Z1946" t="inlineStr">
        <is>
          <t>Li, B (corresponding author), Cent South Univ, Sch Architecture &amp; Art, Changsha 410083, Peoples R China.</t>
        </is>
      </c>
      <c r="AA1946" t="inlineStr">
        <is>
          <t>libo0910@csu.edu.cn</t>
        </is>
      </c>
      <c r="AC1946" t="inlineStr">
        <is>
          <t>li, bo/0000-0003-0763-3583</t>
        </is>
      </c>
      <c r="AH1946" t="n">
        <v>81</v>
      </c>
      <c r="AI1946" t="n">
        <v>3</v>
      </c>
      <c r="AJ1946" t="n">
        <v>3</v>
      </c>
      <c r="AK1946" t="n">
        <v>15</v>
      </c>
      <c r="AL1946" t="n">
        <v>34</v>
      </c>
      <c r="AM1946" t="inlineStr">
        <is>
          <t>MDPI</t>
        </is>
      </c>
      <c r="AN1946" t="inlineStr">
        <is>
          <t>BASEL</t>
        </is>
      </c>
      <c r="AO1946" t="inlineStr">
        <is>
          <t>ST ALBAN-ANLAGE 66, CH-4052 BASEL, SWITZERLAND</t>
        </is>
      </c>
      <c r="AQ1946" t="inlineStr">
        <is>
          <t>1660-4601</t>
        </is>
      </c>
      <c r="AS1946" t="inlineStr">
        <is>
          <t>INT J ENV RES PUB HE</t>
        </is>
      </c>
      <c r="AT1946" t="inlineStr">
        <is>
          <t>Int. J. Environ. Res. Public Health</t>
        </is>
      </c>
      <c r="AU1946" t="inlineStr">
        <is>
          <t>NOV</t>
        </is>
      </c>
      <c r="AV1946" t="n">
        <v>2022</v>
      </c>
      <c r="AW1946" t="n">
        <v>19</v>
      </c>
      <c r="AX1946" t="n">
        <v>21</v>
      </c>
      <c r="BE1946" t="n">
        <v>14372</v>
      </c>
      <c r="BF1946" t="inlineStr">
        <is>
          <t>10.3390/ijerph192114372</t>
        </is>
      </c>
      <c r="BG1946">
        <f>HYPERLINK("http://dx.doi.org/10.3390/ijerph192114372","http://dx.doi.org/10.3390/ijerph192114372")</f>
        <v/>
      </c>
      <c r="BJ1946" t="n">
        <v>22</v>
      </c>
      <c r="BK1946" t="inlineStr">
        <is>
          <t>Environmental Sciences; Public, Environmental &amp; Occupational Health</t>
        </is>
      </c>
      <c r="BL1946" t="inlineStr">
        <is>
          <t>Science Citation Index Expanded (SCI-EXPANDED); Social Science Citation Index (SSCI)</t>
        </is>
      </c>
      <c r="BM1946" t="inlineStr">
        <is>
          <t>Environmental Sciences &amp; Ecology; Public, Environmental &amp; Occupational Health</t>
        </is>
      </c>
      <c r="BN1946" t="inlineStr">
        <is>
          <t>6F4JF</t>
        </is>
      </c>
      <c r="BO1946" t="n">
        <v>36361258</v>
      </c>
      <c r="BP1946" t="inlineStr">
        <is>
          <t>Green Published, gold</t>
        </is>
      </c>
      <c r="BS1946" t="inlineStr">
        <is>
          <t>2023-10-26</t>
        </is>
      </c>
      <c r="BT1946" t="inlineStr">
        <is>
          <t>WOS:000884028600001</t>
        </is>
      </c>
      <c r="BU1946">
        <f>HYPERLINK("https%3A%2F%2Fwww.webofscience.com%2Fwos%2Fwoscc%2Ffull-record%2FWOS:000884028600001","View Full Record in Web of Science")</f>
        <v/>
      </c>
    </row>
    <row r="1947">
      <c r="A1947" t="inlineStr">
        <is>
          <t>J</t>
        </is>
      </c>
      <c r="B1947" t="inlineStr">
        <is>
          <t>Ishizaki, T; Masui, Y; Nakagawa, T; Yoshida, Y; Ishioka, YL; Hori, N; Inagaki, H; Ito, K; Ogawa, M; Kabayama, M; Kamide, K; Ikebe, K; Arai, Y; Gondo, Y</t>
        </is>
      </c>
      <c r="F1947" t="inlineStr">
        <is>
          <t>Ishizaki, Tatsuro; Masui, Yukie; Nakagawa, Takeshi; Yoshida, Yuko; Ishioka, Yoshiko L.; Hori, Noriko; Inagaki, Hiroki; Ito, Kae; Ogawa, Madoka; Kabayama, Mai; Kamide, Kei; Ikebe, Kazunori; Arai, Yasumichi; Gondo, Yasuyuki</t>
        </is>
      </c>
      <c r="J1947" t="inlineStr">
        <is>
          <t>INTERNATIONAL JOURNAL OF ENVIRONMENTAL RESEARCH AND PUBLIC HEALTH</t>
        </is>
      </c>
      <c r="M1947" t="inlineStr">
        <is>
          <t>English</t>
        </is>
      </c>
      <c r="N1947" t="inlineStr">
        <is>
          <t>Article</t>
        </is>
      </c>
      <c r="T1947" t="inlineStr">
        <is>
          <t>Construct Validity of a New Health Assessment Questionnaire for the National Screening Program of Older Adults in Japan: The SONIC Study</t>
        </is>
      </c>
      <c r="U1947" t="inlineStr">
        <is>
          <t>construct validity; questionnaire; national screening program; older adults; Japan</t>
        </is>
      </c>
      <c r="V1947" t="inlineStr">
        <is>
          <t>TILBURG FRAILTY INDICATOR; RELIABILITY; INSTRUMENTS; COMMUNITY; STABILITY; SAMPLE</t>
        </is>
      </c>
      <c r="W1947" t="inlineStr">
        <is>
          <t>The Japanese government has implemented a new screening program to promote measures to avoid worsening lifestyle-related diseases and frailty among the older population. In this effort, the government formulated a new health assessment questionnaire for the screening program of old-old adults aged &gt;= 75 years. The questionnaire comprises 15 items, of which 12 address frailty, two address general health status, and one addresses smoking habits. This study examined the construct validity of this questionnaire, using the explanatory factor analysis (EFA) and confirmatory factor analysis (CFA). The data used in this study were drawn from a mail-in survey conducted in 2020 as part of the Septuagenarians, Octogenarians, Nonagenarians Investigation with Centenarians study. A total of 1576 respondents (range, 78-99 years of age) were included in the study. Although the EFA did not show an interpretable factor structure of the questionnaire with 15 items, the CFA using only 12 frailty-related items showed the goodness of fit for a higher-order factor frailty, and the five frailty-related sub-factors model was acceptable. These results suggest that the total score of the 12 frailty-related items in the questionnaire can be used as an indicator of the degree of frailty.</t>
        </is>
      </c>
      <c r="X1947" t="inlineStr">
        <is>
          <t>[Ishizaki, Tatsuro; Masui, Yukie; Yoshida, Yuko; Hori, Noriko; Inagaki, Hiroki; Ito, Kae] Tokyo Metropolitan Inst Gerontol, Tokyo 1730015, Japan; [Nakagawa, Takeshi] Natl Ctr Geriatr &amp; Gerontol, Obu 4748511, Japan; [Ishioka, Yoshiko L.] OP Jindal Global Univ, Jindal Sch Liberal Arts &amp; Human, Sonipat 131001, Haryana, India; [Ogawa, Madoka; Gondo, Yasuyuki] Osaka Univ, Grad Sch Human Sci, Clin Thanatol &amp; Geriatr Behav Sci, Osaka 5650871, Japan; [Kabayama, Mai] Osaka Univ, Grad Sch Med, Div Hlth Sci, Osaka 5650871, Japan; [Ikebe, Kazunori] Osaka Univ, Grad Sch Dent, Dept Prosthodont Gerodontol &amp; Oral Rehabil, Osaka 5650871, Japan; [Arai, Yasumichi] Keio Univ, Ctr Supercentenarian Med Res, Sch Med, Tokyo 1608582, Japan</t>
        </is>
      </c>
      <c r="Y1947" t="inlineStr">
        <is>
          <t>Tokyo Metropolitan Institute of Gerontology; National Center for Geriatrics &amp; Gerontology; O.P. Jindal Global University; Osaka University; Osaka University; Osaka University; Keio University</t>
        </is>
      </c>
      <c r="Z1947" t="inlineStr">
        <is>
          <t>Ishizaki, T (corresponding author), Tokyo Metropolitan Inst Gerontol, Tokyo 1730015, Japan.</t>
        </is>
      </c>
      <c r="AA1947" t="inlineStr">
        <is>
          <t>tatsuro@tmig.or.jp</t>
        </is>
      </c>
      <c r="AB1947" t="inlineStr">
        <is>
          <t>Ishioka, Yoshiko/HDN-7251-2022</t>
        </is>
      </c>
      <c r="AC1947" t="inlineStr">
        <is>
          <t>Ishioka, Yoshiko/0000-0002-8453-5365; Gondo, Yasuyuki/0000-0002-9805-2807; Ogawa, Madoka/0000-0001-6531-6047; Nakagawa, Takeshi/0000-0001-5533-3169; Ito, Kae/0000-0002-4402-5694; Ishizaki, Tatsuro/0000-0002-1277-7293</t>
        </is>
      </c>
      <c r="AD1947" t="inlineStr">
        <is>
          <t>Ministry of Health, Labor andWelfare of Japan [19CA2004, 20AA2006]</t>
        </is>
      </c>
      <c r="AE1947" t="inlineStr">
        <is>
          <t>Ministry of Health, Labor andWelfare of Japan(Ministry of Health, Labour and Welfare, Japan)</t>
        </is>
      </c>
      <c r="AF1947" t="inlineStr">
        <is>
          <t>This study was supported in part by a Grant-in-Aid from the Ministry of Health, Labor andWelfare of Japan (Grant Numbers: 19CA2004 and 20AA2006).</t>
        </is>
      </c>
      <c r="AH1947" t="n">
        <v>39</v>
      </c>
      <c r="AI1947" t="n">
        <v>1</v>
      </c>
      <c r="AJ1947" t="n">
        <v>1</v>
      </c>
      <c r="AK1947" t="n">
        <v>1</v>
      </c>
      <c r="AL1947" t="n">
        <v>3</v>
      </c>
      <c r="AM1947" t="inlineStr">
        <is>
          <t>MDPI</t>
        </is>
      </c>
      <c r="AN1947" t="inlineStr">
        <is>
          <t>BASEL</t>
        </is>
      </c>
      <c r="AO1947" t="inlineStr">
        <is>
          <t>ST ALBAN-ANLAGE 66, CH-4052 BASEL, SWITZERLAND</t>
        </is>
      </c>
      <c r="AQ1947" t="inlineStr">
        <is>
          <t>1660-4601</t>
        </is>
      </c>
      <c r="AS1947" t="inlineStr">
        <is>
          <t>INT J ENV RES PUB HE</t>
        </is>
      </c>
      <c r="AT1947" t="inlineStr">
        <is>
          <t>Int. J. Environ. Res. Public Health</t>
        </is>
      </c>
      <c r="AU1947" t="inlineStr">
        <is>
          <t>AUG</t>
        </is>
      </c>
      <c r="AV1947" t="n">
        <v>2022</v>
      </c>
      <c r="AW1947" t="n">
        <v>19</v>
      </c>
      <c r="AX1947" t="n">
        <v>16</v>
      </c>
      <c r="BE1947" t="n">
        <v>10330</v>
      </c>
      <c r="BF1947" t="inlineStr">
        <is>
          <t>10.3390/ijerph191610330</t>
        </is>
      </c>
      <c r="BG1947">
        <f>HYPERLINK("http://dx.doi.org/10.3390/ijerph191610330","http://dx.doi.org/10.3390/ijerph191610330")</f>
        <v/>
      </c>
      <c r="BJ1947" t="n">
        <v>10</v>
      </c>
      <c r="BK1947" t="inlineStr">
        <is>
          <t>Environmental Sciences; Public, Environmental &amp; Occupational Health</t>
        </is>
      </c>
      <c r="BL1947" t="inlineStr">
        <is>
          <t>Science Citation Index Expanded (SCI-EXPANDED); Social Science Citation Index (SSCI)</t>
        </is>
      </c>
      <c r="BM1947" t="inlineStr">
        <is>
          <t>Environmental Sciences &amp; Ecology; Public, Environmental &amp; Occupational Health</t>
        </is>
      </c>
      <c r="BN1947" t="inlineStr">
        <is>
          <t>4C6FH</t>
        </is>
      </c>
      <c r="BO1947" t="n">
        <v>36011962</v>
      </c>
      <c r="BP1947" t="inlineStr">
        <is>
          <t>Green Published, gold</t>
        </is>
      </c>
      <c r="BS1947" t="inlineStr">
        <is>
          <t>2023-10-26</t>
        </is>
      </c>
      <c r="BT1947" t="inlineStr">
        <is>
          <t>WOS:000846546200001</t>
        </is>
      </c>
      <c r="BU1947">
        <f>HYPERLINK("https%3A%2F%2Fwww.webofscience.com%2Fwos%2Fwoscc%2Ffull-record%2FWOS:000846546200001","View Full Record in Web of Science")</f>
        <v/>
      </c>
    </row>
    <row r="1948">
      <c r="A1948" t="inlineStr">
        <is>
          <t>J</t>
        </is>
      </c>
      <c r="B1948" t="inlineStr">
        <is>
          <t>Wu, WS; Niu, XY; Li, M</t>
        </is>
      </c>
      <c r="F1948" t="inlineStr">
        <is>
          <t>Wu, Wanshu; Niu, Xinyi; Li, Meng</t>
        </is>
      </c>
      <c r="J1948" t="inlineStr">
        <is>
          <t>SUSTAINABILITY</t>
        </is>
      </c>
      <c r="M1948" t="inlineStr">
        <is>
          <t>English</t>
        </is>
      </c>
      <c r="N1948" t="inlineStr">
        <is>
          <t>Article</t>
        </is>
      </c>
      <c r="T1948" t="inlineStr">
        <is>
          <t>Influence of Built Environment on Street Vitality: A Case Study of West Nanjing Road in Shanghai Based on Mobile Location Data</t>
        </is>
      </c>
      <c r="U1948" t="inlineStr">
        <is>
          <t>street vitality; built environment; mobile location data; street activity; Shanghai</t>
        </is>
      </c>
      <c r="V1948" t="inlineStr">
        <is>
          <t>WALKING ACTIVITY; URBAN VITALITY; CITY</t>
        </is>
      </c>
      <c r="W1948" t="inlineStr">
        <is>
          <t>A successful built environment is assumed to encourage street vitality in the time and space dimensions. The availability of mobile location data has made it possible to measure street vitality from a large-scale and multiperiod perspective. We used the mobile location data recorded in West Nanjing Road and the surrounding streets in Shanghai as a proxy for street activity, and introduced intensity and instability as indicators of street vitality to test whether there is still a correlation between street vitality and built environment in high-density cities, and whether there are applicable conditions. The results show that for spatial units with higher intensity, the street activities tend to be more unstable. It is more effective to promote street vitality by increasing the diversity of commercial formats. For the streets in high-intensity areas, increasing the mix degree of building functions and the development intensity of the surrounding blocks may not necessarily enhance the street vitality. The design of the external spaces is always an effective measure to maintain continuous vitality. Subway stations play a significant role in promoting street vitality.</t>
        </is>
      </c>
      <c r="X1948" t="inlineStr">
        <is>
          <t>[Wu, Wanshu] Huaqiao Univ, Sch Architecture, Xiamen 361021, Peoples R China; [Niu, Xinyi] Tongji Univ, Coll Architecture &amp; Urban Planning, Shanghai 200092, Peoples R China; [Niu, Xinyi] Shanghai Key Lab Urban Renewal &amp; Spatial Optimiza, Shanghai 200092, Peoples R China; [Li, Meng] Xiamen Urban Planning &amp; Design Inst, Xiamen 361021, Peoples R China</t>
        </is>
      </c>
      <c r="Y1948" t="inlineStr">
        <is>
          <t>Huaqiao University; Tongji University</t>
        </is>
      </c>
      <c r="Z1948" t="inlineStr">
        <is>
          <t>Niu, XY (corresponding author), Tongji Univ, Coll Architecture &amp; Urban Planning, Shanghai 200092, Peoples R China.;Niu, XY (corresponding author), Shanghai Key Lab Urban Renewal &amp; Spatial Optimiza, Shanghai 200092, Peoples R China.</t>
        </is>
      </c>
      <c r="AA1948" t="inlineStr">
        <is>
          <t>wuwanshu131@163.com; niuxinyi@tongji.edu.cn; hllm94@163.com</t>
        </is>
      </c>
      <c r="AC1948" t="inlineStr">
        <is>
          <t>Wu, Wanshu/0000-0002-9361-628X; Niu, Xinyi/0000-0001-6611-0331</t>
        </is>
      </c>
      <c r="AD1948" t="inlineStr">
        <is>
          <t>National Natural Science Foundation of China [51908229]; Natural Science Foundation of Fujian Province [2019J01063]; Science and Technology Innovation Funding Program for Middle Aged and Young Teachers of Huaqiao University [ZQN-816]</t>
        </is>
      </c>
      <c r="AE1948" t="inlineStr">
        <is>
          <t>National Natural Science Foundation of China(National Natural Science Foundation of China (NSFC)); Natural Science Foundation of Fujian Province(Natural Science Foundation of Fujian Province); Science and Technology Innovation Funding Program for Middle Aged and Young Teachers of Huaqiao University</t>
        </is>
      </c>
      <c r="AF1948" t="inlineStr">
        <is>
          <t>This study is supported by the National Natural Science Foundation of China (Grant No. 51908229), the Natural Science Foundation of Fujian Province (Grant No. 2019J01063), and the Science and Technology Innovation Funding Program for Middle Aged and Young Teachers of Huaqiao University (ZQN-816).</t>
        </is>
      </c>
      <c r="AH1948" t="n">
        <v>40</v>
      </c>
      <c r="AI1948" t="n">
        <v>14</v>
      </c>
      <c r="AJ1948" t="n">
        <v>16</v>
      </c>
      <c r="AK1948" t="n">
        <v>26</v>
      </c>
      <c r="AL1948" t="n">
        <v>118</v>
      </c>
      <c r="AM1948" t="inlineStr">
        <is>
          <t>MDPI</t>
        </is>
      </c>
      <c r="AN1948" t="inlineStr">
        <is>
          <t>BASEL</t>
        </is>
      </c>
      <c r="AO1948" t="inlineStr">
        <is>
          <t>ST ALBAN-ANLAGE 66, CH-4052 BASEL, SWITZERLAND</t>
        </is>
      </c>
      <c r="AQ1948" t="inlineStr">
        <is>
          <t>2071-1050</t>
        </is>
      </c>
      <c r="AS1948" t="inlineStr">
        <is>
          <t>SUSTAINABILITY-BASEL</t>
        </is>
      </c>
      <c r="AT1948" t="inlineStr">
        <is>
          <t>Sustainability</t>
        </is>
      </c>
      <c r="AU1948" t="inlineStr">
        <is>
          <t>FEB</t>
        </is>
      </c>
      <c r="AV1948" t="n">
        <v>2021</v>
      </c>
      <c r="AW1948" t="n">
        <v>13</v>
      </c>
      <c r="AX1948" t="n">
        <v>4</v>
      </c>
      <c r="BE1948" t="n">
        <v>1840</v>
      </c>
      <c r="BF1948" t="inlineStr">
        <is>
          <t>10.3390/su13041840</t>
        </is>
      </c>
      <c r="BG1948">
        <f>HYPERLINK("http://dx.doi.org/10.3390/su13041840","http://dx.doi.org/10.3390/su13041840")</f>
        <v/>
      </c>
      <c r="BJ1948" t="n">
        <v>22</v>
      </c>
      <c r="BK1948" t="inlineStr">
        <is>
          <t>Green &amp; Sustainable Science &amp; Technology; Environmental Sciences; Environmental Studies</t>
        </is>
      </c>
      <c r="BL1948" t="inlineStr">
        <is>
          <t>Science Citation Index Expanded (SCI-EXPANDED); Social Science Citation Index (SSCI)</t>
        </is>
      </c>
      <c r="BM1948" t="inlineStr">
        <is>
          <t>Science &amp; Technology - Other Topics; Environmental Sciences &amp; Ecology</t>
        </is>
      </c>
      <c r="BN1948" t="inlineStr">
        <is>
          <t>QQ8ZG</t>
        </is>
      </c>
      <c r="BP1948" t="inlineStr">
        <is>
          <t>gold, Green Published</t>
        </is>
      </c>
      <c r="BS1948" t="inlineStr">
        <is>
          <t>2023-10-26</t>
        </is>
      </c>
      <c r="BT1948" t="inlineStr">
        <is>
          <t>WOS:000624806900001</t>
        </is>
      </c>
      <c r="BU1948">
        <f>HYPERLINK("https%3A%2F%2Fwww.webofscience.com%2Fwos%2Fwoscc%2Ffull-record%2FWOS:000624806900001","View Full Record in Web of Science")</f>
        <v/>
      </c>
    </row>
    <row r="1949">
      <c r="A1949" t="inlineStr">
        <is>
          <t>J</t>
        </is>
      </c>
      <c r="B1949" t="inlineStr">
        <is>
          <t>Reimers, AK; Schoeppe, S; Demetriou, Y; Knapp, G</t>
        </is>
      </c>
      <c r="F1949" t="inlineStr">
        <is>
          <t>Reimers, Anne Kerstin; Schoeppe, Stephanie; Demetriou, Yolanda; Knapp, Guido</t>
        </is>
      </c>
      <c r="J1949" t="inlineStr">
        <is>
          <t>INTERNATIONAL JOURNAL OF ENVIRONMENTAL RESEARCH AND PUBLIC HEALTH</t>
        </is>
      </c>
      <c r="M1949" t="inlineStr">
        <is>
          <t>English</t>
        </is>
      </c>
      <c r="N1949" t="inlineStr">
        <is>
          <t>Article</t>
        </is>
      </c>
      <c r="T1949" t="inlineStr">
        <is>
          <t>Physical Activity and Outdoor Play of Children in Public Playgrounds-Do Gender and Social Environment Matter?</t>
        </is>
      </c>
      <c r="U1949" t="inlineStr">
        <is>
          <t>physical activity; gender; outdoor play; playgrounds; children; direct observation; social environment</t>
        </is>
      </c>
      <c r="V1949" t="inlineStr">
        <is>
          <t>SCHOOL RECESS; TIME; PRESCHOOL; OBESITY; IMPACT</t>
        </is>
      </c>
      <c r="W1949" t="inlineStr">
        <is>
          <t>Background: Few studies have delved into the relationship of the social environment with children's physical activity and outdoor play in public playgrounds by considering gender differences. The aim of the present study was to examine gender differences and the relationship of the social environment with children's physical activity and outdoor play in public playgrounds. Methods: A quantitative, observational study was conducted at ten playgrounds in one district of a middle-sized town in Germany. The social environment, physical activity levels, and outdoor play were measured using a modified version of the System for Observing Play and Leisure Activity in Youth. Results: In total, 266 observations of children (117 girls/149 boys) between four and 12 years old were used in this analysis. Significant gender differences were found in relation to activity types, but not in moderate-to-vigorous physical activity (MVPA). The presence of active children was the main explanatory variable for MVPA. In the models stratified by gender, the presence of opposite-sex children was a significant negative predictor of MVPA in girls but not in boys. Conclusions: The presence of active children contributes to children's physical activity levels in public playgrounds. Girls' physical activity seems to be suppressed in the presence of boys.</t>
        </is>
      </c>
      <c r="X1949" t="inlineStr">
        <is>
          <t>[Reimers, Anne Kerstin] Tech Univ Chemnitz, Fac Behav &amp; Social Sci, Inst Human Movement Sci &amp; Hlth, D-09111 Chemnitz, Germany; [Schoeppe, Stephanie] Cent Queensland Univ, Sch Hlth Med &amp; Appl Sci, Phys Act Res Grp, Rockhampton, Qld 4702, Australia; [Demetriou, Yolanda] Tech Univ Munich, Dept Sport &amp; Hlth Sci, Campus D Uptown Munchen, D-80992 Munich, Germany; [Knapp, Guido] Tech Univ Dortmund, Fac Stat, D-44221 Dortmund, Germany</t>
        </is>
      </c>
      <c r="Y1949" t="inlineStr">
        <is>
          <t>Technische Universitat Chemnitz; Central Queensland University; Technical University of Munich; Dortmund University of Technology</t>
        </is>
      </c>
      <c r="Z1949" t="inlineStr">
        <is>
          <t>Reimers, AK (corresponding author), Tech Univ Chemnitz, Fac Behav &amp; Social Sci, Inst Human Movement Sci &amp; Hlth, D-09111 Chemnitz, Germany.</t>
        </is>
      </c>
      <c r="AA1949" t="inlineStr">
        <is>
          <t>anne.reimers@hsw.tu-chemnitz.de; s.schoeppe@cqu.edu.au; yolanda.demetriou@tum.de; guido.knapp@tu-dortmund.de</t>
        </is>
      </c>
      <c r="AB1949" t="inlineStr">
        <is>
          <t>Reimers, Anne/AAH-5735-2021; Demetriou, Yolanda/AAT-1258-2020; Reimers, Anne/M-8519-2018</t>
        </is>
      </c>
      <c r="AC1949" t="inlineStr">
        <is>
          <t>Demetriou, Yolanda/0000-0001-6781-1295; Reimers, Anne/0000-0003-4053-1378</t>
        </is>
      </c>
      <c r="AD1949" t="inlineStr">
        <is>
          <t>German Research Foundation/DFG; Chemnitz University of Technology</t>
        </is>
      </c>
      <c r="AE1949" t="inlineStr">
        <is>
          <t>German Research Foundation/DFG(German Research Foundation (DFG)); Chemnitz University of Technology</t>
        </is>
      </c>
      <c r="AF1949" t="inlineStr">
        <is>
          <t>The publication costs of this article were funded by the German Research Foundation/DFG and the Chemnitz University of Technology in the funding programme Open Access Publishing.</t>
        </is>
      </c>
      <c r="AH1949" t="n">
        <v>61</v>
      </c>
      <c r="AI1949" t="n">
        <v>38</v>
      </c>
      <c r="AJ1949" t="n">
        <v>39</v>
      </c>
      <c r="AK1949" t="n">
        <v>3</v>
      </c>
      <c r="AL1949" t="n">
        <v>35</v>
      </c>
      <c r="AM1949" t="inlineStr">
        <is>
          <t>MDPI</t>
        </is>
      </c>
      <c r="AN1949" t="inlineStr">
        <is>
          <t>BASEL</t>
        </is>
      </c>
      <c r="AO1949" t="inlineStr">
        <is>
          <t>ST ALBAN-ANLAGE 66, CH-4052 BASEL, SWITZERLAND</t>
        </is>
      </c>
      <c r="AQ1949" t="inlineStr">
        <is>
          <t>1660-4601</t>
        </is>
      </c>
      <c r="AS1949" t="inlineStr">
        <is>
          <t>INT J ENV RES PUB HE</t>
        </is>
      </c>
      <c r="AT1949" t="inlineStr">
        <is>
          <t>Int. J. Environ. Res. Public Health</t>
        </is>
      </c>
      <c r="AU1949" t="inlineStr">
        <is>
          <t>JUL</t>
        </is>
      </c>
      <c r="AV1949" t="n">
        <v>2018</v>
      </c>
      <c r="AW1949" t="n">
        <v>15</v>
      </c>
      <c r="AX1949" t="n">
        <v>7</v>
      </c>
      <c r="BE1949" t="n">
        <v>1356</v>
      </c>
      <c r="BF1949" t="inlineStr">
        <is>
          <t>10.3390/ijerph15071356</t>
        </is>
      </c>
      <c r="BG1949">
        <f>HYPERLINK("http://dx.doi.org/10.3390/ijerph15071356","http://dx.doi.org/10.3390/ijerph15071356")</f>
        <v/>
      </c>
      <c r="BJ1949" t="n">
        <v>14</v>
      </c>
      <c r="BK1949" t="inlineStr">
        <is>
          <t>Environmental Sciences; Public, Environmental &amp; Occupational Health</t>
        </is>
      </c>
      <c r="BL1949" t="inlineStr">
        <is>
          <t>Science Citation Index Expanded (SCI-EXPANDED); Social Science Citation Index (SSCI)</t>
        </is>
      </c>
      <c r="BM1949" t="inlineStr">
        <is>
          <t>Environmental Sciences &amp; Ecology; Public, Environmental &amp; Occupational Health</t>
        </is>
      </c>
      <c r="BN1949" t="inlineStr">
        <is>
          <t>GU7XC</t>
        </is>
      </c>
      <c r="BO1949" t="n">
        <v>29958386</v>
      </c>
      <c r="BP1949" t="inlineStr">
        <is>
          <t>Green Submitted, Green Published, gold</t>
        </is>
      </c>
      <c r="BS1949" t="inlineStr">
        <is>
          <t>2023-10-26</t>
        </is>
      </c>
      <c r="BT1949" t="inlineStr">
        <is>
          <t>WOS:000445543500062</t>
        </is>
      </c>
      <c r="BU1949">
        <f>HYPERLINK("https%3A%2F%2Fwww.webofscience.com%2Fwos%2Fwoscc%2Ffull-record%2FWOS:000445543500062","View Full Record in Web of Science")</f>
        <v/>
      </c>
    </row>
    <row r="1950">
      <c r="A1950" t="inlineStr">
        <is>
          <t>J</t>
        </is>
      </c>
      <c r="B1950" t="inlineStr">
        <is>
          <t>Riazi, NA; Blanchette, S; Trudeau, F; Larouche, R; Tremblay, MS; Faulkner, G</t>
        </is>
      </c>
      <c r="F1950" t="inlineStr">
        <is>
          <t>Riazi, Negin A.; Blanchette, Sebastien; Trudeau, Francois; Larouche, Richard; Tremblay, Mark S.; Faulkner, Guy</t>
        </is>
      </c>
      <c r="J1950" t="inlineStr">
        <is>
          <t>INTERNATIONAL JOURNAL OF ENVIRONMENTAL RESEARCH AND PUBLIC HEALTH</t>
        </is>
      </c>
      <c r="M1950" t="inlineStr">
        <is>
          <t>English</t>
        </is>
      </c>
      <c r="N1950" t="inlineStr">
        <is>
          <t>Article</t>
        </is>
      </c>
      <c r="T1950" t="inlineStr">
        <is>
          <t>Correlates of Children's Independent Mobility in Canada: A Multi-Site Study</t>
        </is>
      </c>
      <c r="U1950" t="inlineStr">
        <is>
          <t>active transportation; built environment; socioeconomic status; physical activity; social-ecological framework; urbanization</t>
        </is>
      </c>
      <c r="V1950" t="inlineStr">
        <is>
          <t>PHYSICAL-ACTIVITY; SOCIAL-ENVIRONMENT; SCHOOL; YOUTH; NEIGHBORHOODS; ADOLESCENTS; TRAVEL; TORONTO; HEALTH; IMPACT</t>
        </is>
      </c>
      <c r="W1950" t="inlineStr">
        <is>
          <t>Globally, physical inactivity is a concern, and children's independent mobility (CIM) may be an important target behavior for addressing the physical inactivity crisis. The aim of this study was to examine correlates of CIM (8-12 years old) in the Canadian context to inform future interventions. CIM was measured via parent surveys. Individual, social, and environmental correlates of CIM were examined using a social-ecological framework. 1699 participants' data were analyzed using descriptive statistics and gender-stratified linear mixed-effects models while controlling for site, area-level socioeconomic status, and type of urbanization. Individual correlates including child grade (beta = 0.612, p &lt; 0.001), language spoken at home (beta = -0.503, p &lt; 0.001), car ownership (beta = -0.374, p &lt; 0.05), and phone ownership (beta = 0.593, p &lt; 0.001) were associated with CIM. For boys, parental gender (beta = -0.387, p &lt; 0.01) was negatively associated with CIM. Parents' perceptions of safety and environment were significantly associated with CIM. Location (i.e., site) was significantly associated with CIM (ref: Trois-Rivieres; Ottawa (beta = -1.188, p &lt; 0.001); Vancouver (beta = -1.216, p &lt; 0.001)). Suburban environments were negatively associated with boys' independent mobility (beta = -0.536, p &lt; 0.05), while walkability (400 m beta = 0.064, p &lt; 0.05; 1600 m beta = -0.059, p &lt; 0.05) was significantly associated with girls' independent mobility only. Future research and interventions should consider targeting modifiable factors like children's and parents' perceptions of neighborhood safety and environment.</t>
        </is>
      </c>
      <c r="X1950" t="inlineStr">
        <is>
          <t>[Riazi, Negin A.; Faulkner, Guy] Univ British Columbia, Sch Kinesiol, Fac Educ, Vancouver, BC V6T 1Z4, Canada; [Blanchette, Sebastien; Trudeau, Francois] Univ Quebec Trois Rivieres, Dept Sci Act Phys, Trois Rivieres, PQ G8Z 4M3, Canada; [Larouche, Richard] Univ Lethbridge, Fac Hlth Sci, Lethbridge, AB T1K 3M4, Canada; [Tremblay, Mark S.] Childrens Hosp, Eastern Ontario Res Inst, Hlth Act Living &amp; Obes Res Grp, Ottawa, ON K1H 8L1, Canada; [Faulkner, Guy] Vancouver Coastal Hlth Res Ctr, Ctr Hip Hlth &amp; Mobil, Vancouver, BC V5Z 1M9, Canada</t>
        </is>
      </c>
      <c r="Y1950" t="inlineStr">
        <is>
          <t>University of British Columbia; University of Quebec; University of Quebec Trois Rivieres; University of Lethbridge; University of Ottawa; Children's Hospital of Eastern Ontario; Vancouver Coastal Health Research Institute</t>
        </is>
      </c>
      <c r="Z1950" t="inlineStr">
        <is>
          <t>Riazi, NA (corresponding author), Univ British Columbia, Sch Kinesiol, Fac Educ, Vancouver, BC V6T 1Z4, Canada.</t>
        </is>
      </c>
      <c r="AA1950" t="inlineStr">
        <is>
          <t>negin.riazi@ubc.ca</t>
        </is>
      </c>
      <c r="AB1950" t="inlineStr">
        <is>
          <t>Tremblay, Mark/ABI-5477-2020; Riazi, Negin/AAC-9983-2021; Blanchette, Sebastien/ABT-8980-2022; Tremblay, Mark/AAF-2981-2019; Faulkner, Guy/ABE-6536-2020</t>
        </is>
      </c>
      <c r="AC1950" t="inlineStr">
        <is>
          <t>Riazi, Negin/0000-0002-0674-177X; Blanchette, Sebastien/0000-0002-7813-5410;</t>
        </is>
      </c>
      <c r="AD1950" t="inlineStr">
        <is>
          <t>Heart and Stroke Foundation of Canada [G-15-0009021]</t>
        </is>
      </c>
      <c r="AE1950" t="inlineStr">
        <is>
          <t>Heart and Stroke Foundation of Canada(Heart &amp; Stroke Foundation of Canada)</t>
        </is>
      </c>
      <c r="AF1950" t="inlineStr">
        <is>
          <t>This research was funded by the Heart and Stroke Foundation of Canada, grant number G-15-0009021.</t>
        </is>
      </c>
      <c r="AH1950" t="n">
        <v>63</v>
      </c>
      <c r="AI1950" t="n">
        <v>20</v>
      </c>
      <c r="AJ1950" t="n">
        <v>20</v>
      </c>
      <c r="AK1950" t="n">
        <v>2</v>
      </c>
      <c r="AL1950" t="n">
        <v>16</v>
      </c>
      <c r="AM1950" t="inlineStr">
        <is>
          <t>MDPI</t>
        </is>
      </c>
      <c r="AN1950" t="inlineStr">
        <is>
          <t>BASEL</t>
        </is>
      </c>
      <c r="AO1950" t="inlineStr">
        <is>
          <t>ST ALBAN-ANLAGE 66, CH-4052 BASEL, SWITZERLAND</t>
        </is>
      </c>
      <c r="AQ1950" t="inlineStr">
        <is>
          <t>1660-4601</t>
        </is>
      </c>
      <c r="AS1950" t="inlineStr">
        <is>
          <t>INT J ENV RES PUB HE</t>
        </is>
      </c>
      <c r="AT1950" t="inlineStr">
        <is>
          <t>Int. J. Environ. Res. Public Health</t>
        </is>
      </c>
      <c r="AU1950" t="inlineStr">
        <is>
          <t>AUG 14</t>
        </is>
      </c>
      <c r="AV1950" t="n">
        <v>2019</v>
      </c>
      <c r="AW1950" t="n">
        <v>16</v>
      </c>
      <c r="AX1950" t="n">
        <v>16</v>
      </c>
      <c r="BE1950" t="n">
        <v>2862</v>
      </c>
      <c r="BF1950" t="inlineStr">
        <is>
          <t>10.3390/ijerph16162862</t>
        </is>
      </c>
      <c r="BG1950">
        <f>HYPERLINK("http://dx.doi.org/10.3390/ijerph16162862","http://dx.doi.org/10.3390/ijerph16162862")</f>
        <v/>
      </c>
      <c r="BJ1950" t="n">
        <v>14</v>
      </c>
      <c r="BK1950" t="inlineStr">
        <is>
          <t>Environmental Sciences; Public, Environmental &amp; Occupational Health</t>
        </is>
      </c>
      <c r="BL1950" t="inlineStr">
        <is>
          <t>Science Citation Index Expanded (SCI-EXPANDED); Social Science Citation Index (SSCI)</t>
        </is>
      </c>
      <c r="BM1950" t="inlineStr">
        <is>
          <t>Environmental Sciences &amp; Ecology; Public, Environmental &amp; Occupational Health</t>
        </is>
      </c>
      <c r="BN1950" t="inlineStr">
        <is>
          <t>IV7AN</t>
        </is>
      </c>
      <c r="BO1950" t="n">
        <v>31405110</v>
      </c>
      <c r="BP1950" t="inlineStr">
        <is>
          <t>gold, Green Published</t>
        </is>
      </c>
      <c r="BS1950" t="inlineStr">
        <is>
          <t>2023-10-26</t>
        </is>
      </c>
      <c r="BT1950" t="inlineStr">
        <is>
          <t>WOS:000484419000050</t>
        </is>
      </c>
      <c r="BU1950">
        <f>HYPERLINK("https%3A%2F%2Fwww.webofscience.com%2Fwos%2Fwoscc%2Ffull-record%2FWOS:000484419000050","View Full Record in Web of Science")</f>
        <v/>
      </c>
    </row>
    <row r="1951">
      <c r="A1951" t="inlineStr">
        <is>
          <t>J</t>
        </is>
      </c>
      <c r="B1951" t="inlineStr">
        <is>
          <t>Yurdakul, S; Civan, M; Dogan, G; Üzmez, ÖÖ; Gaga, EO; Dögeroglu, T; Ayakli, G; Tuncel, G</t>
        </is>
      </c>
      <c r="F1951" t="inlineStr">
        <is>
          <t>Yurdakul, Sema; Civan, Mihriban; Dogan, Guray; Uzmez, Ozlem Ozden; Gaga, Eftadeo O.; Dogeroglu, Tuncay; Ayakli, Gul; Tuncel, Gurdal</t>
        </is>
      </c>
      <c r="J1951" t="inlineStr">
        <is>
          <t>ENVIRONMENTAL FORENSICS</t>
        </is>
      </c>
      <c r="M1951" t="inlineStr">
        <is>
          <t>English</t>
        </is>
      </c>
      <c r="N1951" t="inlineStr">
        <is>
          <t>Article</t>
        </is>
      </c>
      <c r="T1951" t="inlineStr">
        <is>
          <t>Vertical variation and source evaluation of VOCs and inorganic pollutants in a university building</t>
        </is>
      </c>
      <c r="U1951" t="inlineStr">
        <is>
          <t>VOCs; inorganic pollutants; vertical variation; indoor pollution; indoor to outdoor ratio; factor analysis</t>
        </is>
      </c>
      <c r="V1951" t="inlineStr">
        <is>
          <t>VOLATILE ORGANIC-COMPOUNDS; HEALTH-RISK ASSESSMENT; AIR-QUALITY; AMBIENT AIR; SOURCE APPORTIONMENT; SEASONAL-VARIATION; TEMPORAL VARIATION; ATMOSPHERE; INDOOR; URBAN</t>
        </is>
      </c>
      <c r="W1951" t="inlineStr">
        <is>
          <t>Concentrations of volatile organic compounds (VOCs) and inorganic pollutants including sulfur dioxide (SO2), nitrogen dioxide (NO2), and ozone (O-3) were measured using passive samplers in both indoor and outdoor environments at 2, 5, 8, 13, 17, 24, and 29 m from the ground level at a high-rise building in the Middle East Technical University campus in Ankara, Turkey. The measured indoor concentrations of Sigma 24VOCs were highly variable, ranging from 98g m(-3) (at the ground floor) to 235.3g m(-3) (at the fourth floor), while the outdoor concentrations varied between 96.8g m(-3) (at the seventh floor) and 189.8g m(-3) (at the ground level). Outdoor concentrations of inorganic pollutants ranged between 58g m(-3) at the ground floor and 26g m(-3) at the ninth floor for SO2, and 59.9g m(-3) at the ground floor and 31.2g m(-3) at the ninth floor for NO2. A similar decreasing trend with altitude was also observed for indoor concentrations of these pollutants. Indoor and outdoor O-3 concentrations did not change with altitude. Statistically significant correlations were found between indoor and outdoor concentrations of some of the measured NO2, SO2 toluene, octane, nonane and 1,2-dichlorobenzene, indicating moderate-to-strong relationships between their indoor and outdoor concentrations. The factor analysis revealed six factors for both indoor and outdoor data. Traffic was found to be the highest contributor to the measured VOCs, SO2, and NO2 concentrations, which was followed by painting activities.</t>
        </is>
      </c>
      <c r="X1951" t="inlineStr">
        <is>
          <t>[Yurdakul, Sema] Suleyman Demirel Univ, Dept Environm Engn, Isparta, Turkey; [Civan, Mihriban] Kocaeli Univ, Dept Environm Engn, Kocaeli, Turkey; [Dogan, Guray] Akdeniz Univ, Dept Environm Engn, Antalya, Turkey; [Uzmez, Ozlem Ozden; Gaga, Eftadeo O.; Dogeroglu, Tuncay] Eskisehir Tech Univ, Dept Environm Engn, Eskisehir, Turkey; [Ayakli, Gul; Tuncel, Gurdal] Middle East Tech Univ, Dept Environm Engn, Ankara, Turkey</t>
        </is>
      </c>
      <c r="Y1951" t="inlineStr">
        <is>
          <t>Suleyman Demirel University; Kocaeli University; Akdeniz University; Eskisehir Technical University; Middle East Technical University</t>
        </is>
      </c>
      <c r="Z1951" t="inlineStr">
        <is>
          <t>Yurdakul, S (corresponding author), Suleyman Demirel Univ, Environm Engn, TR-032260 Isparta, Turkey.</t>
        </is>
      </c>
      <c r="AA1951" t="inlineStr">
        <is>
          <t>semayurdakul@sdu.edu.tr</t>
        </is>
      </c>
      <c r="AB1951" t="inlineStr">
        <is>
          <t>Dogeroglu, Tuncay/Q-1654-2019; Yurdakul, Sema/ABG-2359-2021; Tuncel, Gurdal/HKV-1641-2023; Ozden, Ozlem/P-1828-2019; Doğan, Güray/AAP-7943-2020</t>
        </is>
      </c>
      <c r="AC1951" t="inlineStr">
        <is>
          <t>Tuncel, Gurdal/0000-0003-4855-7409; Ozden, Ozlem/0000-0003-4310-788X; Doğan, Güray/0000-0003-0481-8080</t>
        </is>
      </c>
      <c r="AD1951" t="inlineStr">
        <is>
          <t>Faculty of Engineering, Middle East Technical University</t>
        </is>
      </c>
      <c r="AE1951" t="inlineStr">
        <is>
          <t>Faculty of Engineering, Middle East Technical University</t>
        </is>
      </c>
      <c r="AF1951" t="inlineStr">
        <is>
          <t>The authors thank administration of the Faculty of Engineering, Middle East Technical University for the support they provided for this work.</t>
        </is>
      </c>
      <c r="AH1951" t="n">
        <v>76</v>
      </c>
      <c r="AI1951" t="n">
        <v>3</v>
      </c>
      <c r="AJ1951" t="n">
        <v>3</v>
      </c>
      <c r="AK1951" t="n">
        <v>5</v>
      </c>
      <c r="AL1951" t="n">
        <v>31</v>
      </c>
      <c r="AM1951" t="inlineStr">
        <is>
          <t>TAYLOR &amp; FRANCIS LTD</t>
        </is>
      </c>
      <c r="AN1951" t="inlineStr">
        <is>
          <t>ABINGDON</t>
        </is>
      </c>
      <c r="AO1951" t="inlineStr">
        <is>
          <t>2-4 PARK SQUARE, MILTON PARK, ABINGDON OR14 4RN, OXON, ENGLAND</t>
        </is>
      </c>
      <c r="AP1951" t="inlineStr">
        <is>
          <t>1527-5922</t>
        </is>
      </c>
      <c r="AQ1951" t="inlineStr">
        <is>
          <t>1527-5930</t>
        </is>
      </c>
      <c r="AS1951" t="inlineStr">
        <is>
          <t>ENVIRON FORENSICS</t>
        </is>
      </c>
      <c r="AT1951" t="inlineStr">
        <is>
          <t>Environ. Forensics</t>
        </is>
      </c>
      <c r="AV1951" t="n">
        <v>2018</v>
      </c>
      <c r="AW1951" t="n">
        <v>19</v>
      </c>
      <c r="AX1951" t="n">
        <v>4</v>
      </c>
      <c r="BC1951" t="n">
        <v>327</v>
      </c>
      <c r="BD1951" t="n">
        <v>340</v>
      </c>
      <c r="BF1951" t="inlineStr">
        <is>
          <t>10.1080/15275922.2018.1519734</t>
        </is>
      </c>
      <c r="BG1951">
        <f>HYPERLINK("http://dx.doi.org/10.1080/15275922.2018.1519734","http://dx.doi.org/10.1080/15275922.2018.1519734")</f>
        <v/>
      </c>
      <c r="BJ1951" t="n">
        <v>14</v>
      </c>
      <c r="BK1951" t="inlineStr">
        <is>
          <t>Environmental Sciences</t>
        </is>
      </c>
      <c r="BL1951" t="inlineStr">
        <is>
          <t>Science Citation Index Expanded (SCI-EXPANDED)</t>
        </is>
      </c>
      <c r="BM1951" t="inlineStr">
        <is>
          <t>Environmental Sciences &amp; Ecology</t>
        </is>
      </c>
      <c r="BN1951" t="inlineStr">
        <is>
          <t>HM7RN</t>
        </is>
      </c>
      <c r="BS1951" t="inlineStr">
        <is>
          <t>2023-10-26</t>
        </is>
      </c>
      <c r="BT1951" t="inlineStr">
        <is>
          <t>WOS:000459677000010</t>
        </is>
      </c>
      <c r="BU1951">
        <f>HYPERLINK("https%3A%2F%2Fwww.webofscience.com%2Fwos%2Fwoscc%2Ffull-record%2FWOS:000459677000010","View Full Record in Web of Science")</f>
        <v/>
      </c>
    </row>
    <row r="1952">
      <c r="A1952" t="inlineStr">
        <is>
          <t>J</t>
        </is>
      </c>
      <c r="B1952" t="inlineStr">
        <is>
          <t>Kim, YB; Lee, SH</t>
        </is>
      </c>
      <c r="F1952" t="inlineStr">
        <is>
          <t>Kim, Young Bum; Lee, Seung Hee</t>
        </is>
      </c>
      <c r="J1952" t="inlineStr">
        <is>
          <t>INTERNATIONAL JOURNAL OF ENVIRONMENTAL RESEARCH AND PUBLIC HEALTH</t>
        </is>
      </c>
      <c r="M1952" t="inlineStr">
        <is>
          <t>English</t>
        </is>
      </c>
      <c r="N1952" t="inlineStr">
        <is>
          <t>Article</t>
        </is>
      </c>
      <c r="T1952" t="inlineStr">
        <is>
          <t>Gender Differences in Correlates of Loneliness among Community-Dwelling Older Koreans</t>
        </is>
      </c>
      <c r="U1952" t="inlineStr">
        <is>
          <t>loneliness; social network; older adults; Korea</t>
        </is>
      </c>
      <c r="V1952" t="inlineStr">
        <is>
          <t>SOCIAL NETWORK; WOMEN; HEALTH; ADULTS; MEN; PREDICTORS; LIFE; GENERATIONS; PREVALENCE; COUNTRIES</t>
        </is>
      </c>
      <c r="W1952" t="inlineStr">
        <is>
          <t>Background: Despite a relatively large number of studies exploring late-life loneliness, few studies have compared gender differences in the correlates of loneliness of older adults. Thus, we examined the gender differences in correlates of loneliness among community-dwelling older adults. Methods: This study was a secondary analysis of data from a parent study conducted among community-dwelling Koreans 65 years of age or older. Loneliness was measured by the 20-item Revised University of California Los Angeles Loneliness Scale. As potential correlates, demographic, health-related, and social variables were included. Multivariate hierarchical regression analyses were performed separately by gender. Results: Men were more likely to be lonely than women, after controlling for demographic, health-related, and social variables. A social network of family ties and being married were found to be inversely correlated with loneliness in men but not in women. A social network of friendship ties and participation in a variety of community activities were inversely correlated with loneliness in both men and women. Conclusions: A social network of family ties and being married may help reduce late-life loneliness, particularly among men. This study highlights the importance of considering gender differences in the design of strategies for preventing and alleviating late-life loneliness.</t>
        </is>
      </c>
      <c r="X1952" t="inlineStr">
        <is>
          <t>[Kim, Young Bum] Hallym Univ, Inst Aging, Chunchon 24252, South Korea; [Lee, Seung Hee] Univ Ulsan, Dept Nursing, Ulsan 44610, South Korea</t>
        </is>
      </c>
      <c r="Y1952" t="inlineStr">
        <is>
          <t>Hallym University; University of Ulsan</t>
        </is>
      </c>
      <c r="Z1952" t="inlineStr">
        <is>
          <t>Lee, SH (corresponding author), Univ Ulsan, Dept Nursing, Ulsan 44610, South Korea.</t>
        </is>
      </c>
      <c r="AA1952" t="inlineStr">
        <is>
          <t>twoponej@gmail.com; woaiyoung@gmail.com</t>
        </is>
      </c>
      <c r="AD1952" t="inlineStr">
        <is>
          <t>Ministry of Education of the Republic of Korea; National Research Foundation of Korea [NRF-2020S1A5A2A03040254]; National Research Foundation of Korea [2020S1A5A2A03040254] Funding Source: Korea Institute of Science &amp; Technology Information (KISTI), National Science &amp; Technology Information Service (NTIS)</t>
        </is>
      </c>
      <c r="AE1952" t="inlineStr">
        <is>
          <t>Ministry of Education of the Republic of Korea(Ministry of Education (MOE), Republic of Korea); National Research Foundation of Korea(National Research Foundation of Korea); National Research Foundation of Korea(National Research Foundation of Korea)</t>
        </is>
      </c>
      <c r="AF1952" t="inlineStr">
        <is>
          <t>The authors disclosed receipt of the following financial support for the research, authorship, and/or publication of this article: This work was supported by the Ministry of Education of the Republic of Korea and the National Research Foundation of Korea (NRF-2020S1A5A2A03040254).</t>
        </is>
      </c>
      <c r="AH1952" t="n">
        <v>47</v>
      </c>
      <c r="AI1952" t="n">
        <v>2</v>
      </c>
      <c r="AJ1952" t="n">
        <v>2</v>
      </c>
      <c r="AK1952" t="n">
        <v>1</v>
      </c>
      <c r="AL1952" t="n">
        <v>3</v>
      </c>
      <c r="AM1952" t="inlineStr">
        <is>
          <t>MDPI</t>
        </is>
      </c>
      <c r="AN1952" t="inlineStr">
        <is>
          <t>BASEL</t>
        </is>
      </c>
      <c r="AO1952" t="inlineStr">
        <is>
          <t>ST ALBAN-ANLAGE 66, CH-4052 BASEL, SWITZERLAND</t>
        </is>
      </c>
      <c r="AQ1952" t="inlineStr">
        <is>
          <t>1660-4601</t>
        </is>
      </c>
      <c r="AS1952" t="inlineStr">
        <is>
          <t>INT J ENV RES PUB HE</t>
        </is>
      </c>
      <c r="AT1952" t="inlineStr">
        <is>
          <t>Int. J. Environ. Res. Public Health</t>
        </is>
      </c>
      <c r="AU1952" t="inlineStr">
        <is>
          <t>JUN</t>
        </is>
      </c>
      <c r="AV1952" t="n">
        <v>2022</v>
      </c>
      <c r="AW1952" t="n">
        <v>19</v>
      </c>
      <c r="AX1952" t="n">
        <v>12</v>
      </c>
      <c r="BE1952" t="n">
        <v>7334</v>
      </c>
      <c r="BF1952" t="inlineStr">
        <is>
          <t>10.3390/ijerph19127334</t>
        </is>
      </c>
      <c r="BG1952">
        <f>HYPERLINK("http://dx.doi.org/10.3390/ijerph19127334","http://dx.doi.org/10.3390/ijerph19127334")</f>
        <v/>
      </c>
      <c r="BJ1952" t="n">
        <v>11</v>
      </c>
      <c r="BK1952" t="inlineStr">
        <is>
          <t>Environmental Sciences; Public, Environmental &amp; Occupational Health</t>
        </is>
      </c>
      <c r="BL1952" t="inlineStr">
        <is>
          <t>Science Citation Index Expanded (SCI-EXPANDED); Social Science Citation Index (SSCI)</t>
        </is>
      </c>
      <c r="BM1952" t="inlineStr">
        <is>
          <t>Environmental Sciences &amp; Ecology; Public, Environmental &amp; Occupational Health</t>
        </is>
      </c>
      <c r="BN1952" t="inlineStr">
        <is>
          <t>2J8LJ</t>
        </is>
      </c>
      <c r="BO1952" t="n">
        <v>35742581</v>
      </c>
      <c r="BP1952" t="inlineStr">
        <is>
          <t>Green Published, gold</t>
        </is>
      </c>
      <c r="BS1952" t="inlineStr">
        <is>
          <t>2023-10-26</t>
        </is>
      </c>
      <c r="BT1952" t="inlineStr">
        <is>
          <t>WOS:000815901100001</t>
        </is>
      </c>
      <c r="BU1952">
        <f>HYPERLINK("https%3A%2F%2Fwww.webofscience.com%2Fwos%2Fwoscc%2Ffull-record%2FWOS:000815901100001","View Full Record in Web of Science")</f>
        <v/>
      </c>
    </row>
    <row r="1953">
      <c r="A1953" t="inlineStr">
        <is>
          <t>J</t>
        </is>
      </c>
      <c r="B1953" t="inlineStr">
        <is>
          <t>Wang, ZB; Song, JR; Zhang, YC; Li, SH; Jia, JL; Song, CC</t>
        </is>
      </c>
      <c r="F1953" t="inlineStr">
        <is>
          <t>Wang, Zhenbao; Song, Jiarui; Zhang, Yuchen; Li, Shihao; Jia, Jianlin; Song, Chengcheng</t>
        </is>
      </c>
      <c r="J1953" t="inlineStr">
        <is>
          <t>SUSTAINABILITY</t>
        </is>
      </c>
      <c r="M1953" t="inlineStr">
        <is>
          <t>English</t>
        </is>
      </c>
      <c r="N1953" t="inlineStr">
        <is>
          <t>Article</t>
        </is>
      </c>
      <c r="T1953" t="inlineStr">
        <is>
          <t>Spatial Heterogeneity Analysis for Influencing Factors of Outbound Ridership of Subway Stations Considering the Optimal Scale Range of 7D Built Environments</t>
        </is>
      </c>
      <c r="U1953" t="inlineStr">
        <is>
          <t>urban traffic; built environment; multi-scale geographically weighted regression (MGWR); subway station; optimal scale range</t>
        </is>
      </c>
      <c r="V1953" t="inlineStr">
        <is>
          <t>GEOGRAPHICALLY WEIGHTED REGRESSION; TRANSIT-ORIENTED DEVELOPMENT; AREAL UNIT PROBLEM; LAND-USE; TRAVEL; LEVEL</t>
        </is>
      </c>
      <c r="W1953" t="inlineStr">
        <is>
          <t>The accuracy of the regression model of ridership of subway stations depends on the scale range of the built environment around the subway stations. Previous studies have not considered the Modifiable Area Unit Problem (MAUP) to establish the regression model of subway station ridership. Taking Beijing as an example, this paper expanded the built environment variables from 5D category to 7D category, added indicators such as parking fee standard and population density factor, and proposed a Multi-Scale Geographical Weighted Regression (MGWR) model of outbound ridership of subway stations with standardized variables. The goodness of fit of regression models under 10 spatial scales or built environment around subway stations are compared, and the spatial heterogeneity of built environment factors under the optimal spatial scale of outbound ridership of subway stations during the morning peak on weekdays is discussed. The results show that: (1) the scale range overlapped by 1000 m radius circular buffer zone and Thiessen polygon has the highest explanatory power for the regression model, and is regarded as the optimal scale range of built environment; (2) the density of office facilities, sports and leisure facilities, medical service facilities, building density and floor area ratio (FAR) has a significant impact on the outbound ridership of all subway stations; (3) office facilities, catering facilities, FAR, number of parking lots, and whether subway stations are transfer stations have a positive impact on outbound ridership. The number of medical service facilities, sports and leisure facilities, bus stops and building density have a negative impact on outbound ridership; (4) the two added factors in this study: parking charge standard and population density, as the influencing factors of the built environment, have a significant impact on the outbound ridership of some subway stations; and (5) the different local coefficients of the built environment factors at different stations are discussed, which indicate the spatial heterogeneity on the outbound ridership. The results can provide an important theoretical basis for the prediction and analysis of demand of ridership at subway stations and the integration of the built environment around the stations.</t>
        </is>
      </c>
      <c r="X1953" t="inlineStr">
        <is>
          <t>[Wang, Zhenbao; Song, Jiarui; Li, Shihao] Hebei Univ Engn, Sch Architecture &amp; Art, Handan 056038, Peoples R China; [Zhang, Yuchen] Univ Sheffield, Dept Urban Studies &amp; Planning, Sheffield S102TN, S Yorkshire, England; [Jia, Jianlin] Inner Mongolia Univ Technol, Sch Civil Engn, Hohhot 010051, Peoples R China; [Song, Chengcheng] Beijing Univ Technol, Beijing Key Lab Traff Engn, Beijing 100124, Peoples R China</t>
        </is>
      </c>
      <c r="Y1953" t="inlineStr">
        <is>
          <t>Hebei University of Engineering; University of Sheffield; Inner Mongolia University of Technology; Beijing University of Technology</t>
        </is>
      </c>
      <c r="Z1953" t="inlineStr">
        <is>
          <t>Wang, ZB (corresponding author), Hebei Univ Engn, Sch Architecture &amp; Art, Handan 056038, Peoples R China.</t>
        </is>
      </c>
      <c r="AA1953" t="inlineStr">
        <is>
          <t>wangzhenbao@hebeu.edu.cn</t>
        </is>
      </c>
      <c r="AB1953" t="inlineStr">
        <is>
          <t>李, 世豪/GQZ-7201-2022; Wang, Zhenbao/HOC-0202-2023; Song, Chengcheng/GWQ-3725-2022</t>
        </is>
      </c>
      <c r="AC1953" t="inlineStr">
        <is>
          <t>Wang, Zhenbao/0000-0002-6402-6280; Song, Chengcheng/0000-0001-9259-419X</t>
        </is>
      </c>
      <c r="AD1953" t="inlineStr">
        <is>
          <t>Hebei Social Science Development Research Project, China; [20210201407]</t>
        </is>
      </c>
      <c r="AE1953" t="inlineStr">
        <is>
          <t>Hebei Social Science Development Research Project, China;</t>
        </is>
      </c>
      <c r="AF1953" t="inlineStr">
        <is>
          <t>This research was supported by Hebei Social Science Development Research Project, China (grant No. 20210201407).</t>
        </is>
      </c>
      <c r="AH1953" t="n">
        <v>44</v>
      </c>
      <c r="AI1953" t="n">
        <v>2</v>
      </c>
      <c r="AJ1953" t="n">
        <v>2</v>
      </c>
      <c r="AK1953" t="n">
        <v>30</v>
      </c>
      <c r="AL1953" t="n">
        <v>48</v>
      </c>
      <c r="AM1953" t="inlineStr">
        <is>
          <t>MDPI</t>
        </is>
      </c>
      <c r="AN1953" t="inlineStr">
        <is>
          <t>BASEL</t>
        </is>
      </c>
      <c r="AO1953" t="inlineStr">
        <is>
          <t>ST ALBAN-ANLAGE 66, CH-4052 BASEL, SWITZERLAND</t>
        </is>
      </c>
      <c r="AQ1953" t="inlineStr">
        <is>
          <t>2071-1050</t>
        </is>
      </c>
      <c r="AS1953" t="inlineStr">
        <is>
          <t>SUSTAINABILITY-BASEL</t>
        </is>
      </c>
      <c r="AT1953" t="inlineStr">
        <is>
          <t>Sustainability</t>
        </is>
      </c>
      <c r="AU1953" t="inlineStr">
        <is>
          <t>DEC</t>
        </is>
      </c>
      <c r="AV1953" t="n">
        <v>2022</v>
      </c>
      <c r="AW1953" t="n">
        <v>14</v>
      </c>
      <c r="AX1953" t="n">
        <v>23</v>
      </c>
      <c r="BE1953" t="n">
        <v>16314</v>
      </c>
      <c r="BF1953" t="inlineStr">
        <is>
          <t>10.3390/su142316314</t>
        </is>
      </c>
      <c r="BG1953">
        <f>HYPERLINK("http://dx.doi.org/10.3390/su142316314","http://dx.doi.org/10.3390/su142316314")</f>
        <v/>
      </c>
      <c r="BJ1953" t="n">
        <v>21</v>
      </c>
      <c r="BK1953" t="inlineStr">
        <is>
          <t>Green &amp; Sustainable Science &amp; Technology; Environmental Sciences; Environmental Studies</t>
        </is>
      </c>
      <c r="BL1953" t="inlineStr">
        <is>
          <t>Science Citation Index Expanded (SCI-EXPANDED); Social Science Citation Index (SSCI)</t>
        </is>
      </c>
      <c r="BM1953" t="inlineStr">
        <is>
          <t>Science &amp; Technology - Other Topics; Environmental Sciences &amp; Ecology</t>
        </is>
      </c>
      <c r="BN1953" t="inlineStr">
        <is>
          <t>6X1HR</t>
        </is>
      </c>
      <c r="BP1953" t="inlineStr">
        <is>
          <t>Green Accepted, gold</t>
        </is>
      </c>
      <c r="BS1953" t="inlineStr">
        <is>
          <t>2023-10-26</t>
        </is>
      </c>
      <c r="BT1953" t="inlineStr">
        <is>
          <t>WOS:000896173400001</t>
        </is>
      </c>
      <c r="BU1953">
        <f>HYPERLINK("https%3A%2F%2Fwww.webofscience.com%2Fwos%2Fwoscc%2Ffull-record%2FWOS:000896173400001","View Full Record in Web of Science")</f>
        <v/>
      </c>
    </row>
    <row r="1954">
      <c r="A1954" t="inlineStr">
        <is>
          <t>J</t>
        </is>
      </c>
      <c r="B1954" t="inlineStr">
        <is>
          <t>Al-Absi, ZA; Hafizal, MIM; Ismail, M; Ghazali, A</t>
        </is>
      </c>
      <c r="F1954" t="inlineStr">
        <is>
          <t>Al-Absi, Zeyad Amin; Hafizal, Mohd Isa Mohd; Ismail, Mazran; Ghazali, Azhar</t>
        </is>
      </c>
      <c r="J1954" t="inlineStr">
        <is>
          <t>SUSTAINABILITY</t>
        </is>
      </c>
      <c r="M1954" t="inlineStr">
        <is>
          <t>English</t>
        </is>
      </c>
      <c r="N1954" t="inlineStr">
        <is>
          <t>Article</t>
        </is>
      </c>
      <c r="T1954" t="inlineStr">
        <is>
          <t>Towards Sustainable Development: Building's Retrofitting with PCMs to Enhance the Indoor Thermal Comfort in Tropical Climate, Malaysia</t>
        </is>
      </c>
      <c r="U1954" t="inlineStr">
        <is>
          <t>phase change materials (PCMs); tropical climate; thermal comfort; naturally conditioned buildings; residential buildings; operative temperature; night ventilation</t>
        </is>
      </c>
      <c r="W1954" t="inlineStr">
        <is>
          <t>Building sector is associated with high energy consumption and greenhouse gas emissions, which contribute to climate change. Sustainable development emphasizes any actions to reduce climate change and its effect. In Malaysia, half of the energy utilized in buildings goes towards building cooling. Thermal comfort studies and adaptive thermal comfort models reflect the high comfort temperatures for Malaysians in naturally conditioned buildings, which make it possible to tackle the difference between buildings' indoor temperature and the required comfort temperature by using proper passive measures. This study investigates the effectiveness of building's retrofitting with phase change materials (PCMs) as a passive cooling technology to improve the indoor thermal environment for more comfortable conditions. PCM sheets were numerically investigated below the internal finishing of the walls. The investigation involved an optimization study for the PCMs transition temperatures and quantities. The results showed significant improvement in the indoor thermal environment, especially when using lower transition temperatures and higher quantities of PCMs. Therefore, the monthly thermal discomfort time has decreased completely, while the thermal comfort time has increased to as high as 98%. The PCM was effective year-round and the optimum performance for the investigated conditions was achieved when using 18mm layer of PCM27-26.</t>
        </is>
      </c>
      <c r="X1954" t="inlineStr">
        <is>
          <t>[Al-Absi, Zeyad Amin; Hafizal, Mohd Isa Mohd; Ismail, Mazran; Ghazali, Azhar] Univ Sains Malaysia, Sch Housing Bldg &amp; Planning, George Town 11800, Malaysia; [Al-Absi, Zeyad Amin] Sanaa Univ, Fac Engn, Dept Architecture, Sanaa, Yemen</t>
        </is>
      </c>
      <c r="Y1954" t="inlineStr">
        <is>
          <t>Universiti Sains Malaysia</t>
        </is>
      </c>
      <c r="Z1954" t="inlineStr">
        <is>
          <t>Al-Absi, ZA; Hafizal, MIM (corresponding author), Univ Sains Malaysia, Sch Housing Bldg &amp; Planning, George Town 11800, Malaysia.;Al-Absi, ZA (corresponding author), Sanaa Univ, Fac Engn, Dept Architecture, Sanaa, Yemen.</t>
        </is>
      </c>
      <c r="AA1954" t="inlineStr">
        <is>
          <t>zeyadarch@gmail.com; hafizal@usm.my; mazran@usm.my; azhar.ghazali@usm.my</t>
        </is>
      </c>
      <c r="AB1954" t="inlineStr">
        <is>
          <t>Al-Absi, Zeyad Amin/AAJ-6338-2021; Ghazali, Azhar/R-4891-2017</t>
        </is>
      </c>
      <c r="AC1954" t="inlineStr">
        <is>
          <t>Al-Absi, Zeyad Amin/0000-0003-3507-802X; Ghazali, Azhar/0000-0001-7558-3966</t>
        </is>
      </c>
      <c r="AD1954" t="inlineStr">
        <is>
          <t>Universiti Sains Malaysia [1001/PPBGN/814285]</t>
        </is>
      </c>
      <c r="AE1954" t="inlineStr">
        <is>
          <t>Universiti Sains Malaysia(Universiti Sains Malaysia)</t>
        </is>
      </c>
      <c r="AF1954" t="inlineStr">
        <is>
          <t>This research was funded by Universiti Sains Malaysia, Research University Grant number (1001/PPBGN/814285).</t>
        </is>
      </c>
      <c r="AH1954" t="n">
        <v>65</v>
      </c>
      <c r="AI1954" t="n">
        <v>11</v>
      </c>
      <c r="AJ1954" t="n">
        <v>12</v>
      </c>
      <c r="AK1954" t="n">
        <v>3</v>
      </c>
      <c r="AL1954" t="n">
        <v>13</v>
      </c>
      <c r="AM1954" t="inlineStr">
        <is>
          <t>MDPI</t>
        </is>
      </c>
      <c r="AN1954" t="inlineStr">
        <is>
          <t>BASEL</t>
        </is>
      </c>
      <c r="AO1954" t="inlineStr">
        <is>
          <t>ST ALBAN-ANLAGE 66, CH-4052 BASEL, SWITZERLAND</t>
        </is>
      </c>
      <c r="AQ1954" t="inlineStr">
        <is>
          <t>2071-1050</t>
        </is>
      </c>
      <c r="AS1954" t="inlineStr">
        <is>
          <t>SUSTAINABILITY-BASEL</t>
        </is>
      </c>
      <c r="AT1954" t="inlineStr">
        <is>
          <t>Sustainability</t>
        </is>
      </c>
      <c r="AU1954" t="inlineStr">
        <is>
          <t>APR</t>
        </is>
      </c>
      <c r="AV1954" t="n">
        <v>2021</v>
      </c>
      <c r="AW1954" t="n">
        <v>13</v>
      </c>
      <c r="AX1954" t="n">
        <v>7</v>
      </c>
      <c r="BE1954" t="n">
        <v>3614</v>
      </c>
      <c r="BF1954" t="inlineStr">
        <is>
          <t>10.3390/su13073614</t>
        </is>
      </c>
      <c r="BG1954">
        <f>HYPERLINK("http://dx.doi.org/10.3390/su13073614","http://dx.doi.org/10.3390/su13073614")</f>
        <v/>
      </c>
      <c r="BJ1954" t="n">
        <v>16</v>
      </c>
      <c r="BK1954" t="inlineStr">
        <is>
          <t>Green &amp; Sustainable Science &amp; Technology; Environmental Sciences; Environmental Studies</t>
        </is>
      </c>
      <c r="BL1954" t="inlineStr">
        <is>
          <t>Science Citation Index Expanded (SCI-EXPANDED); Social Science Citation Index (SSCI)</t>
        </is>
      </c>
      <c r="BM1954" t="inlineStr">
        <is>
          <t>Science &amp; Technology - Other Topics; Environmental Sciences &amp; Ecology</t>
        </is>
      </c>
      <c r="BN1954" t="inlineStr">
        <is>
          <t>RL4DM</t>
        </is>
      </c>
      <c r="BP1954" t="inlineStr">
        <is>
          <t>gold</t>
        </is>
      </c>
      <c r="BS1954" t="inlineStr">
        <is>
          <t>2023-10-26</t>
        </is>
      </c>
      <c r="BT1954" t="inlineStr">
        <is>
          <t>WOS:000638926100001</t>
        </is>
      </c>
      <c r="BU1954">
        <f>HYPERLINK("https%3A%2F%2Fwww.webofscience.com%2Fwos%2Fwoscc%2Ffull-record%2FWOS:000638926100001","View Full Record in Web of Science")</f>
        <v/>
      </c>
    </row>
    <row r="1955">
      <c r="A1955" t="inlineStr">
        <is>
          <t>J</t>
        </is>
      </c>
      <c r="B1955" t="inlineStr">
        <is>
          <t>Pappaccogli, G; Giovannini, L; Zardi, D; Martilli, A</t>
        </is>
      </c>
      <c r="F1955" t="inlineStr">
        <is>
          <t>Pappaccogli, Gianluca; Giovannini, Lorenzo; Zardi, Dino; Martilli, Alberto</t>
        </is>
      </c>
      <c r="J1955" t="inlineStr">
        <is>
          <t>URBAN CLIMATE</t>
        </is>
      </c>
      <c r="M1955" t="inlineStr">
        <is>
          <t>English</t>
        </is>
      </c>
      <c r="N1955" t="inlineStr">
        <is>
          <t>Article</t>
        </is>
      </c>
      <c r="T1955" t="inlineStr">
        <is>
          <t>Sensitivity analysis of urban microclimatic conditions and building energy consumption on urban parameters by means of idealized numerical simulations</t>
        </is>
      </c>
      <c r="U1955" t="inlineStr">
        <is>
          <t>BEP plus BEM; Idealized simulations; WRF model; Building; Urban climate</t>
        </is>
      </c>
      <c r="V1955" t="inlineStr">
        <is>
          <t>HEAT-ISLAND; MITIGATION; CLIMATE; ALBEDO; TURBULENCE; IMPACTS; WRF</t>
        </is>
      </c>
      <c r="W1955" t="inlineStr">
        <is>
          <t>In the present work the mesoscale meteorological model Weather Research and Forecasting (WRF), coupled with a multilayer urban canopy parameterization and a building energy model (BEP + BEM), is used to analyze the sensitivity of both urban climatic conditions and building energy consumption on parameters characterizing urban materials and the building environment. In particular, simulations in an idealized urban area, with different urban geometry and under different climatic conditions, are compared to evaluate the relative importance of various parameters. Results highlight that the target indoor temperature has the strongest impact on both building energy consumption and external air temperature. Building energy consumption is also significantly affected by other internal building parameters, such as the ventilation rate and the heat produced by equipment and occupants. On the contrary, no significant influence, either on building energy consumption or on air temperature, is found from changes in wall albedo and emissivity.</t>
        </is>
      </c>
      <c r="X1955" t="inlineStr">
        <is>
          <t>[Pappaccogli, Gianluca] Free Univ Bozen Bolzano, Fac Sci &amp; Technol, Piazza Univ 5, Bolzano, Italy; [Giovannini, Lorenzo; Zardi, Dino] Univ Trento, Dept Civil Environm &amp; Mech Engn, Atmospher Phys Grp, Trento, Italy; [Martilli, Alberto] CIEMAT, Dept Environm, Madrid, Spain; [Zardi, Dino] Univ Trento, Ctr Agr Food Environm C3A, Trento, Italy</t>
        </is>
      </c>
      <c r="Y1955" t="inlineStr">
        <is>
          <t>Free University of Bozen-Bolzano; University of Trento; Centro de Investigaciones Energeticas, Medioambientales Tecnologicas; University of Trento</t>
        </is>
      </c>
      <c r="Z1955" t="inlineStr">
        <is>
          <t>Pappaccogli, G (corresponding author), Free Univ Bozen Bolzano, Fac Sci &amp; Technol, Piazza Univ 5, Bolzano, Italy.</t>
        </is>
      </c>
      <c r="AA1955" t="inlineStr">
        <is>
          <t>pappaccogli@le.isac.cnr.it</t>
        </is>
      </c>
      <c r="AB1955" t="inlineStr">
        <is>
          <t>Giovannini, Lorenzo/A-5468-2015; Pappaccogli, Gianluca/JCF-0754-2023; Zardi, Dino/J-3237-2012; Martilli, Alberto/H-5426-2015; Martilli, Alberto/AAC-5455-2022</t>
        </is>
      </c>
      <c r="AC1955" t="inlineStr">
        <is>
          <t>Giovannini, Lorenzo/0000-0003-1650-0344; Zardi, Dino/0000-0002-3573-3920; Martilli, Alberto/0000-0002-7795-5871;</t>
        </is>
      </c>
      <c r="AH1955" t="n">
        <v>32</v>
      </c>
      <c r="AI1955" t="n">
        <v>11</v>
      </c>
      <c r="AJ1955" t="n">
        <v>11</v>
      </c>
      <c r="AK1955" t="n">
        <v>5</v>
      </c>
      <c r="AL1955" t="n">
        <v>34</v>
      </c>
      <c r="AM1955" t="inlineStr">
        <is>
          <t>ELSEVIER</t>
        </is>
      </c>
      <c r="AN1955" t="inlineStr">
        <is>
          <t>AMSTERDAM</t>
        </is>
      </c>
      <c r="AO1955" t="inlineStr">
        <is>
          <t>RADARWEG 29, 1043 NX AMSTERDAM, NETHERLANDS</t>
        </is>
      </c>
      <c r="AP1955" t="inlineStr">
        <is>
          <t>2212-0955</t>
        </is>
      </c>
      <c r="AS1955" t="inlineStr">
        <is>
          <t>URBAN CLIM</t>
        </is>
      </c>
      <c r="AT1955" t="inlineStr">
        <is>
          <t>Urban CLim.</t>
        </is>
      </c>
      <c r="AU1955" t="inlineStr">
        <is>
          <t>DEC</t>
        </is>
      </c>
      <c r="AV1955" t="n">
        <v>2020</v>
      </c>
      <c r="AW1955" t="n">
        <v>34</v>
      </c>
      <c r="BE1955" t="n">
        <v>100677</v>
      </c>
      <c r="BF1955" t="inlineStr">
        <is>
          <t>10.1016/j.uclim.2020.100677</t>
        </is>
      </c>
      <c r="BG1955">
        <f>HYPERLINK("http://dx.doi.org/10.1016/j.uclim.2020.100677","http://dx.doi.org/10.1016/j.uclim.2020.100677")</f>
        <v/>
      </c>
      <c r="BJ1955" t="n">
        <v>17</v>
      </c>
      <c r="BK1955" t="inlineStr">
        <is>
          <t>Environmental Sciences; Meteorology &amp; Atmospheric Sciences</t>
        </is>
      </c>
      <c r="BL1955" t="inlineStr">
        <is>
          <t>Science Citation Index Expanded (SCI-EXPANDED)</t>
        </is>
      </c>
      <c r="BM1955" t="inlineStr">
        <is>
          <t>Environmental Sciences &amp; Ecology; Meteorology &amp; Atmospheric Sciences</t>
        </is>
      </c>
      <c r="BN1955" t="inlineStr">
        <is>
          <t>OY6VY</t>
        </is>
      </c>
      <c r="BS1955" t="inlineStr">
        <is>
          <t>2023-10-26</t>
        </is>
      </c>
      <c r="BT1955" t="inlineStr">
        <is>
          <t>WOS:000594383800002</t>
        </is>
      </c>
      <c r="BU1955">
        <f>HYPERLINK("https%3A%2F%2Fwww.webofscience.com%2Fwos%2Fwoscc%2Ffull-record%2FWOS:000594383800002","View Full Record in Web of Science")</f>
        <v/>
      </c>
    </row>
    <row r="1956">
      <c r="A1956" t="inlineStr">
        <is>
          <t>J</t>
        </is>
      </c>
      <c r="B1956" t="inlineStr">
        <is>
          <t>Peltzer, K</t>
        </is>
      </c>
      <c r="F1956" t="inlineStr">
        <is>
          <t>Peltzer, Karl</t>
        </is>
      </c>
      <c r="J1956" t="inlineStr">
        <is>
          <t>INTERNATIONAL JOURNAL OF ENVIRONMENTAL RESEARCH AND PUBLIC HEALTH</t>
        </is>
      </c>
      <c r="M1956" t="inlineStr">
        <is>
          <t>English</t>
        </is>
      </c>
      <c r="N1956" t="inlineStr">
        <is>
          <t>Article</t>
        </is>
      </c>
      <c r="T1956" t="inlineStr">
        <is>
          <t>Differences in Sleep Duration among Four Different Population Groups of Older Adults in South Africa</t>
        </is>
      </c>
      <c r="U1956" t="inlineStr">
        <is>
          <t>sleep duration; population group differences; older adults; South Africa; Study of Global Ageing and Adult Health</t>
        </is>
      </c>
      <c r="V1956" t="inlineStr">
        <is>
          <t>ETHNIC-DIFFERENCES; WHITE AMERICANS; HEALTH SAGE; RACE/ETHNICITY; DISPARITIES; QUALITY; SAMPLE</t>
        </is>
      </c>
      <c r="W1956" t="inlineStr">
        <is>
          <t>The study aims to investigate sleep duration in four different population groups in a national probability sample of older South Africans who participated in the Study of Global Ageing and Adult Health (SAGE) Wave 1. A national population-based cross-sectional study with a sample of 3284 aged 50 years or older in South Africa was conducted in 2008. The questionnaire included socio-demographic characteristics, health variables, and self-reported sleep duration. Results indicate that White Africans compared to other population groups had the lowest mean sleep duration (7.88 h among men and 7.46 h among women). The prevalence of short sleep (6 h or less) was the highest among both men and women among the White African (18.8% in men and 16.9% in women) and Indian or Asian African population groups (14.5% in men and 17.1% in women), and lowest among both men and women in the Black African (7.0% in men and 6.5% in women) and multi-ancestry population groups (15.6% in men and 12.7% in women). The prevalence of long sleep (9 h or more) was among both men and women the highest in the Black African population group (56.2% in men and 58.5% in women), and the lowest in the White African population group (36.4% in men and 24.3% in women). In a Poisson regression model, adjusted for sociodemographics and chronic disease status, coming from the male and female White African population group was associated with short sleep. In addition, coming from the Indian or Asian African population group was associated with short sleep. No population group differences were found regarding long sleep prevalence. White Africans reported more short sleep duration than the other population groups, while there were no racial or ethnic differences in long sleep. White Africans are more likely to have sleep durations that are associated with negative health outcomes. An explanation of the high short sleep prevalence among White Africans may be related to their racial or ethnic minority status in South Africa.</t>
        </is>
      </c>
      <c r="X1956" t="inlineStr">
        <is>
          <t>[Peltzer, Karl] Human Sci Res Council, HAST, ZA-0001 Pretoria, South Africa; [Peltzer, Karl] Univ Limpopo, Dept Res &amp; Innovat, ZA-0727 Sovenga, South Africa</t>
        </is>
      </c>
      <c r="Y1956" t="inlineStr">
        <is>
          <t>Human Sciences Research Council-South Africa; University of Limpopo</t>
        </is>
      </c>
      <c r="Z1956" t="inlineStr">
        <is>
          <t>Peltzer, K (corresponding author), Human Sci Res Council, HAST, ZA-0001 Pretoria, South Africa.;Peltzer, K (corresponding author), Univ Limpopo, Dept Res &amp; Innovat, ZA-0727 Sovenga, South Africa.</t>
        </is>
      </c>
      <c r="AA1956" t="inlineStr">
        <is>
          <t>kpeltzer@hsrc.ac.za</t>
        </is>
      </c>
      <c r="AB1956" t="inlineStr">
        <is>
          <t>Peltzer, Karl/D-1518-2019; Peltzer, Karl/Q-7334-2019</t>
        </is>
      </c>
      <c r="AC1956" t="inlineStr">
        <is>
          <t>Peltzer, Karl/0000-0002-5980-0876; Peltzer, Karl/0000-0002-5980-0876</t>
        </is>
      </c>
      <c r="AD1956" t="inlineStr">
        <is>
          <t>National Department of Health; United States National Institute on Aging; Human Sciences Research Council, South Africa; World Health Organization</t>
        </is>
      </c>
      <c r="AE1956" t="inlineStr">
        <is>
          <t>National Department of Health; United States National Institute on Aging(United States Department of Health &amp; Human ServicesNational Institutes of Health (NIH) - USANIH National Institute on Aging (NIA)); Human Sciences Research Council, South Africa; World Health Organization(World Health Organization)</t>
        </is>
      </c>
      <c r="AF1956" t="inlineStr">
        <is>
          <t>Funding was provided predominantly from the National Department of Health with additional funding provided by United States National Institute on Aging through an interagency agreement with the World Health Organization, and the Human Sciences Research Council, South Africa.</t>
        </is>
      </c>
      <c r="AH1956" t="n">
        <v>26</v>
      </c>
      <c r="AI1956" t="n">
        <v>13</v>
      </c>
      <c r="AJ1956" t="n">
        <v>13</v>
      </c>
      <c r="AK1956" t="n">
        <v>0</v>
      </c>
      <c r="AL1956" t="n">
        <v>2</v>
      </c>
      <c r="AM1956" t="inlineStr">
        <is>
          <t>MDPI AG</t>
        </is>
      </c>
      <c r="AN1956" t="inlineStr">
        <is>
          <t>BASEL</t>
        </is>
      </c>
      <c r="AO1956" t="inlineStr">
        <is>
          <t>ST ALBAN-ANLAGE 66, CH-4052 BASEL, SWITZERLAND</t>
        </is>
      </c>
      <c r="AP1956" t="inlineStr">
        <is>
          <t>1660-4601</t>
        </is>
      </c>
      <c r="AS1956" t="inlineStr">
        <is>
          <t>INT J ENV RES PUB HE</t>
        </is>
      </c>
      <c r="AT1956" t="inlineStr">
        <is>
          <t>Int. J. Environ. Res. Public Health</t>
        </is>
      </c>
      <c r="AU1956" t="inlineStr">
        <is>
          <t>MAY</t>
        </is>
      </c>
      <c r="AV1956" t="n">
        <v>2017</v>
      </c>
      <c r="AW1956" t="n">
        <v>14</v>
      </c>
      <c r="AX1956" t="n">
        <v>5</v>
      </c>
      <c r="BE1956" t="n">
        <v>502</v>
      </c>
      <c r="BF1956" t="inlineStr">
        <is>
          <t>10.3390/ijerph14050502</t>
        </is>
      </c>
      <c r="BG1956">
        <f>HYPERLINK("http://dx.doi.org/10.3390/ijerph14050502","http://dx.doi.org/10.3390/ijerph14050502")</f>
        <v/>
      </c>
      <c r="BJ1956" t="n">
        <v>9</v>
      </c>
      <c r="BK1956" t="inlineStr">
        <is>
          <t>Environmental Sciences; Public, Environmental &amp; Occupational Health</t>
        </is>
      </c>
      <c r="BL1956" t="inlineStr">
        <is>
          <t>Science Citation Index Expanded (SCI-EXPANDED); Social Science Citation Index (SSCI)</t>
        </is>
      </c>
      <c r="BM1956" t="inlineStr">
        <is>
          <t>Environmental Sciences &amp; Ecology; Public, Environmental &amp; Occupational Health</t>
        </is>
      </c>
      <c r="BN1956" t="inlineStr">
        <is>
          <t>EY6PT</t>
        </is>
      </c>
      <c r="BO1956" t="n">
        <v>28486421</v>
      </c>
      <c r="BP1956" t="inlineStr">
        <is>
          <t>gold, Green Published, Green Submitted</t>
        </is>
      </c>
      <c r="BS1956" t="inlineStr">
        <is>
          <t>2023-10-26</t>
        </is>
      </c>
      <c r="BT1956" t="inlineStr">
        <is>
          <t>WOS:000404106400050</t>
        </is>
      </c>
      <c r="BU1956">
        <f>HYPERLINK("https%3A%2F%2Fwww.webofscience.com%2Fwos%2Fwoscc%2Ffull-record%2FWOS:000404106400050","View Full Record in Web of Science")</f>
        <v/>
      </c>
    </row>
    <row r="1957">
      <c r="A1957" t="inlineStr">
        <is>
          <t>J</t>
        </is>
      </c>
      <c r="B1957" t="inlineStr">
        <is>
          <t>Saxe, H; Okkels, SL; Jensen, JD</t>
        </is>
      </c>
      <c r="F1957" t="inlineStr">
        <is>
          <t>Saxe, Henrik; Okkels, Signe Loftager; Jensen, Jorgen Dejgard</t>
        </is>
      </c>
      <c r="J1957" t="inlineStr">
        <is>
          <t>INTERNATIONAL JOURNAL OF ENVIRONMENTAL RESEARCH AND PUBLIC HEALTH</t>
        </is>
      </c>
      <c r="M1957" t="inlineStr">
        <is>
          <t>English</t>
        </is>
      </c>
      <c r="N1957" t="inlineStr">
        <is>
          <t>Article</t>
        </is>
      </c>
      <c r="T1957" t="inlineStr">
        <is>
          <t>How to Obtain Forty Percent Less Environmental Impact by Healthy, Protein-Optimized Snacks for Older Adults</t>
        </is>
      </c>
      <c r="U1957" t="inlineStr">
        <is>
          <t>consequential life cycle assessment; global warming; monetized environmental impact; municipal kitchens; older adults; snack-meal recipes</t>
        </is>
      </c>
      <c r="V1957" t="inlineStr">
        <is>
          <t>LIFE-CYCLE ASSESSMENT; FUNCTIONAL UNIT; NORDIC DIET; VALUATION; COST; FOOD</t>
        </is>
      </c>
      <c r="W1957" t="inlineStr">
        <is>
          <t>It is well known that meals containing less meat are more sustainable, but little is known about snack-meals, which typically do not contain meat. This study investigates the diversity in environmental impacts associated with snack production based on 20 common recipes optimized for protein content, energy content and sensory aspects for older adults. The purpose is to improve sustainability of public procurement by serving more sustainable snack-meals. Public procurement serves Danish older adults over millions of snack-meals every year, and millions more are served in countries with a similar social service. The environmental impact of snack production was estimated by consequential life cycle assessment. The average impact of producing the 10 least environmentally harmful snacks was 40% less than the average impact of producing the 10 most harmful snacks. This is true whether the functional unit was mass, energy, or protein content, and whether the environmental impact was measured as global warming potential or the monetized value of 16 impact categories. We conclude that large-scale public procurement of snack-meals by private and municipal kitchens can be reduced by up to 40% if the kitchens evaluate the environmental impact of all their snacks and serve the better half more frequently.</t>
        </is>
      </c>
      <c r="X1957" t="inlineStr">
        <is>
          <t>[Saxe, Henrik] Univ Copenhagen, Fac Sci, Dept Food Sci, Sect Design &amp; Consumer Behav, DK-1958 Copenhagen C, Denmark; [Okkels, Signe Loftager] Herlev &amp; Gentofte Univ Hosp, Dietet &amp; Nutr Res Unit, DK-2820 Gentofte, Denmark; [Jensen, Jorgen Dejgard] Univ Copenhagen, Fac Sci, Sect Consumpt Bioeth &amp; Governance, Dept Food &amp; Resource Econ, DK-1958 Frederiksberg C, Denmark</t>
        </is>
      </c>
      <c r="Y1957" t="inlineStr">
        <is>
          <t>University of Copenhagen; University of Copenhagen</t>
        </is>
      </c>
      <c r="Z1957" t="inlineStr">
        <is>
          <t>Saxe, H (corresponding author), Univ Copenhagen, Fac Sci, Dept Food Sci, Sect Design &amp; Consumer Behav, DK-1958 Copenhagen C, Denmark.</t>
        </is>
      </c>
      <c r="AA1957" t="inlineStr">
        <is>
          <t>Henriksaxe@gmail.com; signe.loftager.okkels.01@regionh.dk; jorgen@ifro.ku.dk</t>
        </is>
      </c>
      <c r="AC1957" t="inlineStr">
        <is>
          <t>Saxe, Henrik/0000-0002-3230-8646</t>
        </is>
      </c>
      <c r="AD1957" t="inlineStr">
        <is>
          <t>Innovation Fund Denmark [4105-00009B]</t>
        </is>
      </c>
      <c r="AE1957" t="inlineStr">
        <is>
          <t>Innovation Fund Denmark</t>
        </is>
      </c>
      <c r="AF1957" t="inlineStr">
        <is>
          <t>The study is part of the ELDORADO project 'Preventing malnourishment and promoting well-being in the elderly at home through personalized cost-effective food and meal supply'. This work was supported by grant No. 4105-00009B from the Innovation Fund Denmark. There are funds to publish in open access. The authors thank Wender Bredie and Anne Marie Beck for advice on this study and manuscript.</t>
        </is>
      </c>
      <c r="AH1957" t="n">
        <v>20</v>
      </c>
      <c r="AI1957" t="n">
        <v>4</v>
      </c>
      <c r="AJ1957" t="n">
        <v>4</v>
      </c>
      <c r="AK1957" t="n">
        <v>0</v>
      </c>
      <c r="AL1957" t="n">
        <v>11</v>
      </c>
      <c r="AM1957" t="inlineStr">
        <is>
          <t>MDPI AG</t>
        </is>
      </c>
      <c r="AN1957" t="inlineStr">
        <is>
          <t>BASEL</t>
        </is>
      </c>
      <c r="AO1957" t="inlineStr">
        <is>
          <t>ST ALBAN-ANLAGE 66, CH-4052 BASEL, SWITZERLAND</t>
        </is>
      </c>
      <c r="AP1957" t="inlineStr">
        <is>
          <t>1660-4601</t>
        </is>
      </c>
      <c r="AS1957" t="inlineStr">
        <is>
          <t>INT J ENV RES PUB HE</t>
        </is>
      </c>
      <c r="AT1957" t="inlineStr">
        <is>
          <t>Int. J. Environ. Res. Public Health</t>
        </is>
      </c>
      <c r="AU1957" t="inlineStr">
        <is>
          <t>DEC</t>
        </is>
      </c>
      <c r="AV1957" t="n">
        <v>2017</v>
      </c>
      <c r="AW1957" t="n">
        <v>14</v>
      </c>
      <c r="AX1957" t="n">
        <v>12</v>
      </c>
      <c r="BE1957" t="n">
        <v>1514</v>
      </c>
      <c r="BF1957" t="inlineStr">
        <is>
          <t>10.3390/ijerph14121514</t>
        </is>
      </c>
      <c r="BG1957">
        <f>HYPERLINK("http://dx.doi.org/10.3390/ijerph14121514","http://dx.doi.org/10.3390/ijerph14121514")</f>
        <v/>
      </c>
      <c r="BJ1957" t="n">
        <v>21</v>
      </c>
      <c r="BK1957" t="inlineStr">
        <is>
          <t>Environmental Sciences; Public, Environmental &amp; Occupational Health</t>
        </is>
      </c>
      <c r="BL1957" t="inlineStr">
        <is>
          <t>Science Citation Index Expanded (SCI-EXPANDED); Social Science Citation Index (SSCI)</t>
        </is>
      </c>
      <c r="BM1957" t="inlineStr">
        <is>
          <t>Environmental Sciences &amp; Ecology; Public, Environmental &amp; Occupational Health</t>
        </is>
      </c>
      <c r="BN1957" t="inlineStr">
        <is>
          <t>FU2SD</t>
        </is>
      </c>
      <c r="BO1957" t="n">
        <v>29211041</v>
      </c>
      <c r="BP1957" t="inlineStr">
        <is>
          <t>Green Published, gold, Green Submitted</t>
        </is>
      </c>
      <c r="BS1957" t="inlineStr">
        <is>
          <t>2023-10-26</t>
        </is>
      </c>
      <c r="BT1957" t="inlineStr">
        <is>
          <t>WOS:000423699400077</t>
        </is>
      </c>
      <c r="BU1957">
        <f>HYPERLINK("https%3A%2F%2Fwww.webofscience.com%2Fwos%2Fwoscc%2Ffull-record%2FWOS:000423699400077","View Full Record in Web of Science")</f>
        <v/>
      </c>
    </row>
    <row r="1958">
      <c r="A1958" t="inlineStr">
        <is>
          <t>J</t>
        </is>
      </c>
      <c r="B1958" t="inlineStr">
        <is>
          <t>Li, ZY; Tse, M; Tang, A</t>
        </is>
      </c>
      <c r="F1958" t="inlineStr">
        <is>
          <t>Li, Ziyan; Tse, Mimi; Tang, Angel</t>
        </is>
      </c>
      <c r="J1958" t="inlineStr">
        <is>
          <t>INTERNATIONAL JOURNAL OF ENVIRONMENTAL RESEARCH AND PUBLIC HEALTH</t>
        </is>
      </c>
      <c r="M1958" t="inlineStr">
        <is>
          <t>English</t>
        </is>
      </c>
      <c r="N1958" t="inlineStr">
        <is>
          <t>Article</t>
        </is>
      </c>
      <c r="T1958" t="inlineStr">
        <is>
          <t>The Effectiveness of a Dyadic Pain Management Program for Community-Dwelling Older Adults with Chronic Pain: A Pilot Randomized Controlled Trial</t>
        </is>
      </c>
      <c r="U1958" t="inlineStr">
        <is>
          <t>dyadic pain management; chronic pain; older adult; informal caregiver</t>
        </is>
      </c>
      <c r="V1958" t="inlineStr">
        <is>
          <t>ANXIETY STRESS SCALES; QUALITY-OF-LIFE; CANCER-PATIENTS; INFORMAL CAREGIVERS; ELDERLY POPULATION; CHINESE VERSION; COPING SKILLS; CARE; INTERVENTIONS; DEPRESSION</t>
        </is>
      </c>
      <c r="W1958" t="inlineStr">
        <is>
          <t>Background: Chronic pain is a major health problem among older adults and their informal caregivers, which has negative effects on their physical and psychological status. The dyadic pain management program (DPMP) is provided to community-dwelling older adults and informal caregivers to help the dyads reduce pain symptoms, improve the quality of life, develop good exercise habits, as well as cope and break the vicious circle of pain. Methods: A pilot randomized controlled trial was designed and all the dyads were randomly divided into two groups: the DPMP group and control group. Dyads in the DPMP group participated in an 8-week DPMP (4-week face-to-face program and 4-week home-based program), whereas dyads in the control group received one page of simple pain-related information. Results: In total, 64 dyads participated in this study. For baseline comparisons, no significant differences were found between the two groups. After the interventions, the pain score was significantly reduced from 4.25 to 2.57 in the experimental group, respectively. In the repeated measures ANOVA, the differences in pain score (F = 107.787,p&lt; 0.001,d= 0.777) was statistically significant for the group-by-time interaction. After the interventions, the experimental group participants demonstrated significantly higher pain self-efficacy compared with the control group (F = 80.535,p&lt; 0.001,d= 0.722). Furthermore, the elderly increased exercise time significantly (F = 111.212,p&lt; 0.001,d= 0.782) and reported developing good exercise habits. Conclusions: These results provide preliminary support for the effectiveness of a DPMP for relieving the symptoms of chronic pain among the elderly.</t>
        </is>
      </c>
      <c r="X1958" t="inlineStr">
        <is>
          <t>[Li, Ziyan; Tse, Mimi; Tang, Angel] Hong Kong Polytech Univ, Sch Nursing, Hung Hom, Hong Kong 999007, Peoples R China</t>
        </is>
      </c>
      <c r="Y1958" t="inlineStr">
        <is>
          <t>Hong Kong Polytechnic University</t>
        </is>
      </c>
      <c r="Z1958" t="inlineStr">
        <is>
          <t>Tse, M (corresponding author), Hong Kong Polytech Univ, Sch Nursing, Hung Hom, Hong Kong 999007, Peoples R China.</t>
        </is>
      </c>
      <c r="AA1958" t="inlineStr">
        <is>
          <t>18092892g@connect.polyu.hk; mimitse@polyu.edu.hk; sk-angel.tang@polyu.edu.hk</t>
        </is>
      </c>
      <c r="AB1958" t="inlineStr">
        <is>
          <t>Janson, Patrick/AAC-7581-2022; Tang, Angel Shuk Kwan/AAI-8452-2020</t>
        </is>
      </c>
      <c r="AC1958" t="inlineStr">
        <is>
          <t>Tang, Angel Shuk Kwan/0000-0002-7878-0794; TSE, Mun Yee Mimi/0000-0001-9428-8719; ZIYAN, LI/0000-0002-7002-8784</t>
        </is>
      </c>
      <c r="AH1958" t="n">
        <v>73</v>
      </c>
      <c r="AI1958" t="n">
        <v>4</v>
      </c>
      <c r="AJ1958" t="n">
        <v>4</v>
      </c>
      <c r="AK1958" t="n">
        <v>0</v>
      </c>
      <c r="AL1958" t="n">
        <v>8</v>
      </c>
      <c r="AM1958" t="inlineStr">
        <is>
          <t>MDPI</t>
        </is>
      </c>
      <c r="AN1958" t="inlineStr">
        <is>
          <t>BASEL</t>
        </is>
      </c>
      <c r="AO1958" t="inlineStr">
        <is>
          <t>ST ALBAN-ANLAGE 66, CH-4052 BASEL, SWITZERLAND</t>
        </is>
      </c>
      <c r="AQ1958" t="inlineStr">
        <is>
          <t>1660-4601</t>
        </is>
      </c>
      <c r="AS1958" t="inlineStr">
        <is>
          <t>INT J ENV RES PUB HE</t>
        </is>
      </c>
      <c r="AT1958" t="inlineStr">
        <is>
          <t>Int. J. Environ. Res. Public Health</t>
        </is>
      </c>
      <c r="AU1958" t="inlineStr">
        <is>
          <t>JUL</t>
        </is>
      </c>
      <c r="AV1958" t="n">
        <v>2020</v>
      </c>
      <c r="AW1958" t="n">
        <v>17</v>
      </c>
      <c r="AX1958" t="n">
        <v>14</v>
      </c>
      <c r="BE1958" t="n">
        <v>4966</v>
      </c>
      <c r="BF1958" t="inlineStr">
        <is>
          <t>10.3390/ijerph17144966</t>
        </is>
      </c>
      <c r="BG1958">
        <f>HYPERLINK("http://dx.doi.org/10.3390/ijerph17144966","http://dx.doi.org/10.3390/ijerph17144966")</f>
        <v/>
      </c>
      <c r="BJ1958" t="n">
        <v>18</v>
      </c>
      <c r="BK1958" t="inlineStr">
        <is>
          <t>Environmental Sciences; Public, Environmental &amp; Occupational Health</t>
        </is>
      </c>
      <c r="BL1958" t="inlineStr">
        <is>
          <t>Science Citation Index Expanded (SCI-EXPANDED); Social Science Citation Index (SSCI)</t>
        </is>
      </c>
      <c r="BM1958" t="inlineStr">
        <is>
          <t>Environmental Sciences &amp; Ecology; Public, Environmental &amp; Occupational Health</t>
        </is>
      </c>
      <c r="BN1958" t="inlineStr">
        <is>
          <t>MS3ZT</t>
        </is>
      </c>
      <c r="BO1958" t="n">
        <v>32660159</v>
      </c>
      <c r="BP1958" t="inlineStr">
        <is>
          <t>gold, Green Published</t>
        </is>
      </c>
      <c r="BS1958" t="inlineStr">
        <is>
          <t>2023-10-26</t>
        </is>
      </c>
      <c r="BT1958" t="inlineStr">
        <is>
          <t>WOS:000554219200001</t>
        </is>
      </c>
      <c r="BU1958">
        <f>HYPERLINK("https%3A%2F%2Fwww.webofscience.com%2Fwos%2Fwoscc%2Ffull-record%2FWOS:000554219200001","View Full Record in Web of Science")</f>
        <v/>
      </c>
    </row>
    <row r="1959">
      <c r="A1959" t="inlineStr">
        <is>
          <t>J</t>
        </is>
      </c>
      <c r="B1959" t="inlineStr">
        <is>
          <t>Palmberg, RCO; Susilo, YO; Gidófalvi, G; Naqavi, F</t>
        </is>
      </c>
      <c r="F1959" t="inlineStr">
        <is>
          <t>Palmberg, Robin C. O.; Susilo, Yusak O.; Gidofalvi, Gyozo; Naqavi, Fatemeh</t>
        </is>
      </c>
      <c r="J1959" t="inlineStr">
        <is>
          <t>SUSTAINABILITY</t>
        </is>
      </c>
      <c r="M1959" t="inlineStr">
        <is>
          <t>English</t>
        </is>
      </c>
      <c r="N1959" t="inlineStr">
        <is>
          <t>Article</t>
        </is>
      </c>
      <c r="T1959" t="inlineStr">
        <is>
          <t>Built Environment Characteristics, Daily Travel, and Biometric Readings: Creation of an Experimental Tool Based on a Smartwatch Platform</t>
        </is>
      </c>
      <c r="U1959" t="inlineStr">
        <is>
          <t>built environment; position data; biometric data; automated data collection; urban planning; traveller needs; traveller behaviour</t>
        </is>
      </c>
      <c r="V1959" t="inlineStr">
        <is>
          <t>DIARY COLLECTION; BIG DATA; BEHAVIOR; GPS; SMARTPHONES; ACCURACY; TIME</t>
        </is>
      </c>
      <c r="W1959" t="inlineStr">
        <is>
          <t>Travel surveys can uncover information regarding travel behaviour, needs, and more. Collected information is utilised to make choices when reorganising or planning built environments. Over the years, methods for conducting travel surveys have changed from interviews and forms to automated travel diaries in order to monitor trips made by travellers. With the fast progression of technological advancements, new possibilities for operationalising such travel diaries can be implemented, changing from utilising mobile to wearable devices. Wearable devices are often equipped with sensors which collect continuous biometric data from sources that are not reachable from standard mobile devices. Data collected through wearable devices range from heart rate and blood pressure to temperature and perspiration. This advancement opens new possible layers of information in the collection of travel data. Such biometric data can be used to derive psychophysiological conditions related to cognitive load, which can uncover in-depth knowledge regarding stress and emotions. This paper aims to explore the possibilities of data analysis on the data collected through a software combining travel survey data, such as position and time, with heartrate, to gain knowledge of the implications of such data. The knowledge about the implications of spatial configurations can be used to create more accessible environments.</t>
        </is>
      </c>
      <c r="X1959" t="inlineStr">
        <is>
          <t>[Palmberg, Robin C. O.; Gidofalvi, Gyozo] KTH Royal Inst Technol, Integrated Transport Res Lab, Sch Ind Technol &amp; Management, S-10044 Stockholm, Sweden; [Susilo, Yusak O.] Univ Nat Resources &amp; Life Sci BOKU, Inst Transport Studies, Dept Landscape Spatial &amp; Infrastruct Sci, A-1090 Vienna, Austria; [Gidofalvi, Gyozo] KTH Royal Inst Technol, Div Geoinformat, Dept Urban Planning &amp; Environm, Sch Architecture &amp; Built Environm, S-10044 Stockholm, Sweden; [Naqavi, Fatemeh] KTH Royal Inst Technol, Div Syst Anal &amp; Econ, Dept Urban Planning &amp; Environm, Sch Architecture &amp; Built Environm, S-10044 Stockholm, Sweden</t>
        </is>
      </c>
      <c r="Y1959" t="inlineStr">
        <is>
          <t>Royal Institute of Technology; University of Natural Resources &amp; Life Sciences, Vienna; Royal Institute of Technology; Royal Institute of Technology</t>
        </is>
      </c>
      <c r="Z1959" t="inlineStr">
        <is>
          <t>Palmberg, RCO (corresponding author), KTH Royal Inst Technol, Integrated Transport Res Lab, Sch Ind Technol &amp; Management, S-10044 Stockholm, Sweden.</t>
        </is>
      </c>
      <c r="AA1959" t="inlineStr">
        <is>
          <t>robinpa@kth.se; yusak.susilo@boku.ac.at; gyozo.gidofalvi@abe.kth.se; naqavi@kth.se</t>
        </is>
      </c>
      <c r="AB1959" t="inlineStr">
        <is>
          <t>Susilo, Yusak O/M-3707-2013</t>
        </is>
      </c>
      <c r="AC1959" t="inlineStr">
        <is>
          <t>Susilo, Yusak O/0000-0001-7124-7164; /0000-0003-1164-8403; Naqavi, Fatemeh/0000-0002-1046-4293; Palmberg, Robin C. O./0000-0003-1558-382X</t>
        </is>
      </c>
      <c r="AD1959" t="inlineStr">
        <is>
          <t>NOESIS (NOvel Decision Support tool for Evaluating Strategic Big Data investments in Transport and Intelligent Mobility Services), EU H2020 [769980]; H2020 Societal Challenges Programme [769980] Funding Source: H2020 Societal Challenges Programme</t>
        </is>
      </c>
      <c r="AE1959" t="inlineStr">
        <is>
          <t>NOESIS (NOvel Decision Support tool for Evaluating Strategic Big Data investments in Transport and Intelligent Mobility Services), EU H2020; H2020 Societal Challenges Programme(Horizon 2020)</t>
        </is>
      </c>
      <c r="AF1959" t="inlineStr">
        <is>
          <t>This work was supported by NOESIS (NOvel Decision Support tool for Evaluating Strategic Big Data investments in Transport and Intelligent Mobility Services, http://noesis-project.eu/(accessed on 9 July 2021)), Project number 769980, EU H2020 funded project.</t>
        </is>
      </c>
      <c r="AH1959" t="n">
        <v>68</v>
      </c>
      <c r="AI1959" t="n">
        <v>0</v>
      </c>
      <c r="AJ1959" t="n">
        <v>0</v>
      </c>
      <c r="AK1959" t="n">
        <v>0</v>
      </c>
      <c r="AL1959" t="n">
        <v>4</v>
      </c>
      <c r="AM1959" t="inlineStr">
        <is>
          <t>MDPI</t>
        </is>
      </c>
      <c r="AN1959" t="inlineStr">
        <is>
          <t>BASEL</t>
        </is>
      </c>
      <c r="AO1959" t="inlineStr">
        <is>
          <t>ST ALBAN-ANLAGE 66, CH-4052 BASEL, SWITZERLAND</t>
        </is>
      </c>
      <c r="AQ1959" t="inlineStr">
        <is>
          <t>2071-1050</t>
        </is>
      </c>
      <c r="AS1959" t="inlineStr">
        <is>
          <t>SUSTAINABILITY-BASEL</t>
        </is>
      </c>
      <c r="AT1959" t="inlineStr">
        <is>
          <t>Sustainability</t>
        </is>
      </c>
      <c r="AU1959" t="inlineStr">
        <is>
          <t>SEP</t>
        </is>
      </c>
      <c r="AV1959" t="n">
        <v>2021</v>
      </c>
      <c r="AW1959" t="n">
        <v>13</v>
      </c>
      <c r="AX1959" t="n">
        <v>17</v>
      </c>
      <c r="BE1959" t="n">
        <v>9993</v>
      </c>
      <c r="BF1959" t="inlineStr">
        <is>
          <t>10.3390/su13179993</t>
        </is>
      </c>
      <c r="BG1959">
        <f>HYPERLINK("http://dx.doi.org/10.3390/su13179993","http://dx.doi.org/10.3390/su13179993")</f>
        <v/>
      </c>
      <c r="BJ1959" t="n">
        <v>21</v>
      </c>
      <c r="BK1959" t="inlineStr">
        <is>
          <t>Green &amp; Sustainable Science &amp; Technology; Environmental Sciences; Environmental Studies</t>
        </is>
      </c>
      <c r="BL1959" t="inlineStr">
        <is>
          <t>Science Citation Index Expanded (SCI-EXPANDED); Social Science Citation Index (SSCI)</t>
        </is>
      </c>
      <c r="BM1959" t="inlineStr">
        <is>
          <t>Science &amp; Technology - Other Topics; Environmental Sciences &amp; Ecology</t>
        </is>
      </c>
      <c r="BN1959" t="inlineStr">
        <is>
          <t>UO1NR</t>
        </is>
      </c>
      <c r="BP1959" t="inlineStr">
        <is>
          <t>gold, Green Submitted</t>
        </is>
      </c>
      <c r="BS1959" t="inlineStr">
        <is>
          <t>2023-10-26</t>
        </is>
      </c>
      <c r="BT1959" t="inlineStr">
        <is>
          <t>WOS:000694469300001</t>
        </is>
      </c>
      <c r="BU1959">
        <f>HYPERLINK("https%3A%2F%2Fwww.webofscience.com%2Fwos%2Fwoscc%2Ffull-record%2FWOS:000694469300001","View Full Record in Web of Science")</f>
        <v/>
      </c>
    </row>
    <row r="1960">
      <c r="A1960" t="inlineStr">
        <is>
          <t>J</t>
        </is>
      </c>
      <c r="B1960" t="inlineStr">
        <is>
          <t>Marques-Sule, E; Sempere-Rubio, N; Esparcia-Sánchez, S; Deka, P; Sentandreu-Mañó, T; Sanchez-González, JL; Klompstra, L; Moreno-Segura, N</t>
        </is>
      </c>
      <c r="F1960" t="inlineStr">
        <is>
          <t>Marques-Sule, Elena; Sempere-Rubio, Nuria; Esparcia-Sanchez, Sergio; Deka, Pallav; Sentandreu-Mano, Trinidad; Luis Sanchez-Gonzalez, Juan; Klompstra, Leonie; Moreno-Segura, Noemi</t>
        </is>
      </c>
      <c r="J1960" t="inlineStr">
        <is>
          <t>INTERNATIONAL JOURNAL OF ENVIRONMENTAL RESEARCH AND PUBLIC HEALTH</t>
        </is>
      </c>
      <c r="M1960" t="inlineStr">
        <is>
          <t>English</t>
        </is>
      </c>
      <c r="N1960" t="inlineStr">
        <is>
          <t>Article</t>
        </is>
      </c>
      <c r="T1960" t="inlineStr">
        <is>
          <t>Physical Therapy Programs in Older Adults with Coronary Artery Disease: Preferences to Technology-Based Cardiac Physical Therapy Programs</t>
        </is>
      </c>
      <c r="U1960" t="inlineStr">
        <is>
          <t>physical therapy; coronary artery disease; technology-based physical therapy; exercise; healthy lifestyle; ischemic heart disease; older adults</t>
        </is>
      </c>
      <c r="V1960" t="inlineStr">
        <is>
          <t>TELEMONITORING GUIDANCE; TELEREHABILITATION; EXERCISE</t>
        </is>
      </c>
      <c r="W1960" t="inlineStr">
        <is>
          <t>(1) Background: Assessing preferences in technology-based cardiac physical therapy programs in older adults with coronary artery disease (CAD) is fundamental to promoting adherence to healthy lifestyles and healthy aging. This study aimed at analyzing preferences in technology-based cardiac physical therapy programs in older adults with CAD. Additionally, a comparison by sex was performed. (2) Methods: Cross-sectional study. 70 older adults with CAD (mean age 66.73 +/- 0.77, 80% men) were evaluated. Technology use and preferences in technology-based cardiac physical therapy programs (Technology Usage Questionnaire) were assessed. (3) Results: 97.1% of the sample had Smartphones and 81.4% accessed the Internet every day, mostly with their Smartphones (75.5%). A total of 54.3% were interested in receiving rehabilitation via their Smartphone, and most of the sample considered ideas to manage stress (92.9%), healthy meal ideas and recipes (85.7%), exercise ideas (84.3%), exercise prompts (72.9%), setting goals (67.1%), exercise taught by a virtual therapist (65.7%), ideas to overcome cigarette cravings (62.9%), information on local exercise opportunities (60%), ideas to remember to take medications (57.1%), steps to achieve goals (54.3%) and eating tips for takeaways (51.7%) very useful. Additionally, men considered the technology-based advice about exercise prompts, healthy meal ideas and recipes, and ideas to manage stress more useful than women, and had more frequently a Smartphone, less frequently made phone calls, had more regular access to the Internet, and used the Internet more often. (4) Conclusions: Clinicians should encourage older adults to engage in cardiac technology-based physical therapy programs to provide meaningful exercise counselling, promote healthy lifestyle and healthy aging.</t>
        </is>
      </c>
      <c r="X1960" t="inlineStr">
        <is>
          <t>[Marques-Sule, Elena] Univ Valencia, Dept Physiotherapy, Physiotherapy Mot Multispecial Res Grp PTinMOT, Gasco Oliag 5, Valencia 46010, Spain; [Sempere-Rubio, Nuria] Univ Valencia, Dept Physiotherapy, Clin Biomech Res Unit UBIC, Gasco Oliag 5, Valencia 46010, Spain; [Esparcia-Sanchez, Sergio; Sentandreu-Mano, Trinidad; Moreno-Segura, Noemi] Univ Valencia, Dept Physiotherapy, Gasco Oliag 5, Valencia 46010, Spain; [Deka, Pallav] Michigan State Univ, Coll Nursing, E Lansing, MI 48824 USA; [Luis Sanchez-Gonzalez, Juan] Univ Salamanca, Dept Nursing &amp; Physiotherapy, Salamanca 37007, Spain; [Klompstra, Leonie] Linkoping Univ, Dept Hlth Med &amp; Caring Sci, S-58185 Linkoping, Sweden</t>
        </is>
      </c>
      <c r="Y1960" t="inlineStr">
        <is>
          <t>University of Valencia; University of Valencia; University of Valencia; Michigan State University; University of Salamanca; Linkoping University</t>
        </is>
      </c>
      <c r="Z1960" t="inlineStr">
        <is>
          <t>Sempere-Rubio, N (corresponding author), Univ Valencia, Dept Physiotherapy, Clin Biomech Res Unit UBIC, Gasco Oliag 5, Valencia 46010, Spain.</t>
        </is>
      </c>
      <c r="AA1960" t="inlineStr">
        <is>
          <t>nuria.sempere@uv.es</t>
        </is>
      </c>
      <c r="AB1960" t="inlineStr">
        <is>
          <t>Sánchez González, Juan Luis/AFV-5136-2022</t>
        </is>
      </c>
      <c r="AC1960" t="inlineStr">
        <is>
          <t>Sánchez González, Juan Luis/0000-0002-4791-6513; Moreno-Segura, Noemi/0000-0001-6061-5080; Sentandreu-Mano, Trinidad/0000-0003-4405-0539; Sempere-Rubio, Nuria/0000-0002-6564-0936; Marques Sule, Elena/0000-0001-8554-5402</t>
        </is>
      </c>
      <c r="AH1960" t="n">
        <v>30</v>
      </c>
      <c r="AI1960" t="n">
        <v>1</v>
      </c>
      <c r="AJ1960" t="n">
        <v>1</v>
      </c>
      <c r="AK1960" t="n">
        <v>2</v>
      </c>
      <c r="AL1960" t="n">
        <v>3</v>
      </c>
      <c r="AM1960" t="inlineStr">
        <is>
          <t>MDPI</t>
        </is>
      </c>
      <c r="AN1960" t="inlineStr">
        <is>
          <t>BASEL</t>
        </is>
      </c>
      <c r="AO1960" t="inlineStr">
        <is>
          <t>ST ALBAN-ANLAGE 66, CH-4052 BASEL, SWITZERLAND</t>
        </is>
      </c>
      <c r="AQ1960" t="inlineStr">
        <is>
          <t>1660-4601</t>
        </is>
      </c>
      <c r="AS1960" t="inlineStr">
        <is>
          <t>INT J ENV RES PUB HE</t>
        </is>
      </c>
      <c r="AT1960" t="inlineStr">
        <is>
          <t>Int. J. Environ. Res. Public Health</t>
        </is>
      </c>
      <c r="AU1960" t="inlineStr">
        <is>
          <t>OCT</t>
        </is>
      </c>
      <c r="AV1960" t="n">
        <v>2022</v>
      </c>
      <c r="AW1960" t="n">
        <v>19</v>
      </c>
      <c r="AX1960" t="n">
        <v>20</v>
      </c>
      <c r="BE1960" t="n">
        <v>13130</v>
      </c>
      <c r="BF1960" t="inlineStr">
        <is>
          <t>10.3390/ijerph192013130</t>
        </is>
      </c>
      <c r="BG1960">
        <f>HYPERLINK("http://dx.doi.org/10.3390/ijerph192013130","http://dx.doi.org/10.3390/ijerph192013130")</f>
        <v/>
      </c>
      <c r="BJ1960" t="n">
        <v>12</v>
      </c>
      <c r="BK1960" t="inlineStr">
        <is>
          <t>Environmental Sciences; Public, Environmental &amp; Occupational Health</t>
        </is>
      </c>
      <c r="BL1960" t="inlineStr">
        <is>
          <t>Science Citation Index Expanded (SCI-EXPANDED); Social Science Citation Index (SSCI)</t>
        </is>
      </c>
      <c r="BM1960" t="inlineStr">
        <is>
          <t>Environmental Sciences &amp; Ecology; Public, Environmental &amp; Occupational Health</t>
        </is>
      </c>
      <c r="BN1960" t="inlineStr">
        <is>
          <t>5P2NB</t>
        </is>
      </c>
      <c r="BO1960" t="n">
        <v>36293707</v>
      </c>
      <c r="BP1960" t="inlineStr">
        <is>
          <t>Green Published, gold</t>
        </is>
      </c>
      <c r="BS1960" t="inlineStr">
        <is>
          <t>2023-10-26</t>
        </is>
      </c>
      <c r="BT1960" t="inlineStr">
        <is>
          <t>WOS:000872992600001</t>
        </is>
      </c>
      <c r="BU1960">
        <f>HYPERLINK("https%3A%2F%2Fwww.webofscience.com%2Fwos%2Fwoscc%2Ffull-record%2FWOS:000872992600001","View Full Record in Web of Science")</f>
        <v/>
      </c>
    </row>
    <row r="1961">
      <c r="A1961" t="inlineStr">
        <is>
          <t>J</t>
        </is>
      </c>
      <c r="B1961" t="inlineStr">
        <is>
          <t>Guan, CH; Tan, JJ; Hall, B; Liu, C; Li, Y; Cai, ZC</t>
        </is>
      </c>
      <c r="F1961" t="inlineStr">
        <is>
          <t>Guan, Chenghe; Tan, Junjie; Hall, Brian; Liu, Chao; Li, Ying; Cai, Zhichang</t>
        </is>
      </c>
      <c r="J1961" t="inlineStr">
        <is>
          <t>SUSTAINABILITY</t>
        </is>
      </c>
      <c r="M1961" t="inlineStr">
        <is>
          <t>English</t>
        </is>
      </c>
      <c r="N1961" t="inlineStr">
        <is>
          <t>Article</t>
        </is>
      </c>
      <c r="T1961" t="inlineStr">
        <is>
          <t>The Effect of the Built Environment on the COVID-19 Pandemic at the Initial Stage: A County-Level Study of the USA</t>
        </is>
      </c>
      <c r="U1961" t="inlineStr">
        <is>
          <t>coronavirus pandemic; built environment; road network density; access to transit; United States</t>
        </is>
      </c>
      <c r="V1961" t="inlineStr">
        <is>
          <t>SPREAD; RATES</t>
        </is>
      </c>
      <c r="W1961" t="inlineStr">
        <is>
          <t>The COVID-19 pandemic affected how people interact with the built environment and ways of human habitation are facing significant challenges. However, the existing literature has not adequately addressed how the built environment affected the early prevalence of the pandemic. This research aims to extend the existing literature by relating the initial stage pandemic conditions with more comprehensive measures of the built environment including density, diversity, road network, and accessibility at the county level across the United States and conducting bi-weekly comparisons. We collected infection, death, and mortality data in 3141 counties between 1 March to 8 June 2020 and collected seventeen built environment attributes. Our results show that: (1) Road density and street intersection density were significantly associated with the infection rate; (2) Population density only maintained a positive correlation to the prevalence of COVID-19 during the first two weeks, after which the relationship became negative; and (3) Transit accessibility also contributed significantly to the pandemic and the accessibility of transit-oriented jobs was highly correlated to the infection rate in the first two weeks. The study provides valuable insights for policymakers and stakeholders to adopt resource allocation strategies for context-specific conditions.</t>
        </is>
      </c>
      <c r="X1961" t="inlineStr">
        <is>
          <t>[Guan, Chenghe; Li, Ying] New York Univ Shanghai, Lab Urban Design &amp; Urban Sci, Shanghai 200122, Peoples R China; [Tan, Junjie] Univ Oxford, PEAK Urban Programme, Oxford OX2 6QS, England; [Hall, Brian] New York Univ Shanghai, Ctr Global Hlth Equ, Shanghai 200122, Peoples R China; [Hall, Brian] New York Univ Sch Global Publ Hlth, New York, NY 10003 USA; [Liu, Chao] Tongji Univ, Coll Architecture &amp; Urban Planning, Dept Urban Planning, Shanghai 200092, Peoples R China; [Cai, Zhichang] Nanjing Tech Univ, Coll Architecture, Nanjing 211816, Peoples R China</t>
        </is>
      </c>
      <c r="Y1961" t="inlineStr">
        <is>
          <t>NYU Shanghai; University of Oxford; NYU Shanghai; Tongji University; Nanjing Tech University</t>
        </is>
      </c>
      <c r="Z1961" t="inlineStr">
        <is>
          <t>Guan, CH; Li, Y (corresponding author), New York Univ Shanghai, Lab Urban Design &amp; Urban Sci, Shanghai 200122, Peoples R China.</t>
        </is>
      </c>
      <c r="AA1961" t="inlineStr">
        <is>
          <t>chenghe.guan@nyu.edu; junjie.tan@gtc.ox.ac.uk; brianhall@nyu.edu; liuchao1020@tongji.edu.cn; yingli@nyu.edu; zhichang@njtech.edu.cn</t>
        </is>
      </c>
      <c r="AB1961" t="inlineStr">
        <is>
          <t>Guan, ChengHe/AAM-9581-2020; Hall, Brian/B-7694-2016</t>
        </is>
      </c>
      <c r="AC1961" t="inlineStr">
        <is>
          <t>Guan, ChengHe/0000-0002-5997-418X; Li, Ying/0000-0002-3426-494X; Hall, Brian/0000-0001-9358-2377</t>
        </is>
      </c>
      <c r="AD1961" t="inlineStr">
        <is>
          <t>Laboratory of Urban Design and Urban Science (LOUD) at NYU Shanghai; Major Grants Seed Fund [2022CHGuan_MGSF]; Fujian Urban Investment and Technology Institute's Research Fund [20210201]; Zaanheh Project at NYU Shanghai; Center for Data Science and Artificial Intelligence at NYU Shanghai; PEAK-Urban Programme at University of Oxford - UK Research and Innovation's Global Challenge Research Fund [ES/P01105 5/1]</t>
        </is>
      </c>
      <c r="AE1961" t="inlineStr">
        <is>
          <t>Laboratory of Urban Design and Urban Science (LOUD) at NYU Shanghai; Major Grants Seed Fund; Fujian Urban Investment and Technology Institute's Research Fund; Zaanheh Project at NYU Shanghai; Center for Data Science and Artificial Intelligence at NYU Shanghai; PEAK-Urban Programme at University of Oxford - UK Research and Innovation's Global Challenge Research Fund</t>
        </is>
      </c>
      <c r="AF1961" t="inlineStr">
        <is>
          <t>This work was sponsored by the Laboratory of Urban Design and Urban Science (LOUD) at NYU Shanghai; partially funded by the Major Grants Seed Fund (Grant No. 2022CHGuan_MGSF) and the Fujian Urban Investment and Technology Institute's Research Fund (Grant No. 20210201); the Zaanheh Project and Center for Data Science and Artificial Intelligence, both at NYU Shanghai; and the PEAK-Urban Programme at University of Oxford, which is funded by the UK Research and Innovation's Global Challenge Research Fund (Grant Ref: ES/P01105 5/1).</t>
        </is>
      </c>
      <c r="AH1961" t="n">
        <v>32</v>
      </c>
      <c r="AI1961" t="n">
        <v>4</v>
      </c>
      <c r="AJ1961" t="n">
        <v>4</v>
      </c>
      <c r="AK1961" t="n">
        <v>4</v>
      </c>
      <c r="AL1961" t="n">
        <v>16</v>
      </c>
      <c r="AM1961" t="inlineStr">
        <is>
          <t>MDPI</t>
        </is>
      </c>
      <c r="AN1961" t="inlineStr">
        <is>
          <t>BASEL</t>
        </is>
      </c>
      <c r="AO1961" t="inlineStr">
        <is>
          <t>ST ALBAN-ANLAGE 66, CH-4052 BASEL, SWITZERLAND</t>
        </is>
      </c>
      <c r="AQ1961" t="inlineStr">
        <is>
          <t>2071-1050</t>
        </is>
      </c>
      <c r="AS1961" t="inlineStr">
        <is>
          <t>SUSTAINABILITY-BASEL</t>
        </is>
      </c>
      <c r="AT1961" t="inlineStr">
        <is>
          <t>Sustainability</t>
        </is>
      </c>
      <c r="AU1961" t="inlineStr">
        <is>
          <t>MAR</t>
        </is>
      </c>
      <c r="AV1961" t="n">
        <v>2022</v>
      </c>
      <c r="AW1961" t="n">
        <v>14</v>
      </c>
      <c r="AX1961" t="n">
        <v>6</v>
      </c>
      <c r="BE1961" t="n">
        <v>3417</v>
      </c>
      <c r="BF1961" t="inlineStr">
        <is>
          <t>10.3390/su14063417</t>
        </is>
      </c>
      <c r="BG1961">
        <f>HYPERLINK("http://dx.doi.org/10.3390/su14063417","http://dx.doi.org/10.3390/su14063417")</f>
        <v/>
      </c>
      <c r="BJ1961" t="n">
        <v>17</v>
      </c>
      <c r="BK1961" t="inlineStr">
        <is>
          <t>Green &amp; Sustainable Science &amp; Technology; Environmental Sciences; Environmental Studies</t>
        </is>
      </c>
      <c r="BL1961" t="inlineStr">
        <is>
          <t>Science Citation Index Expanded (SCI-EXPANDED); Social Science Citation Index (SSCI)</t>
        </is>
      </c>
      <c r="BM1961" t="inlineStr">
        <is>
          <t>Science &amp; Technology - Other Topics; Environmental Sciences &amp; Ecology</t>
        </is>
      </c>
      <c r="BN1961" t="inlineStr">
        <is>
          <t>0D9SR</t>
        </is>
      </c>
      <c r="BP1961" t="inlineStr">
        <is>
          <t>gold</t>
        </is>
      </c>
      <c r="BS1961" t="inlineStr">
        <is>
          <t>2023-10-26</t>
        </is>
      </c>
      <c r="BT1961" t="inlineStr">
        <is>
          <t>WOS:000776328700001</t>
        </is>
      </c>
      <c r="BU1961">
        <f>HYPERLINK("https%3A%2F%2Fwww.webofscience.com%2Fwos%2Fwoscc%2Ffull-record%2FWOS:000776328700001","View Full Record in Web of Science")</f>
        <v/>
      </c>
    </row>
    <row r="1962">
      <c r="A1962" t="inlineStr">
        <is>
          <t>J</t>
        </is>
      </c>
      <c r="B1962" t="inlineStr">
        <is>
          <t>Salthammer, T; Goss, KU</t>
        </is>
      </c>
      <c r="F1962" t="inlineStr">
        <is>
          <t>Salthammer, Tunga; Goss, Kai-Uwe</t>
        </is>
      </c>
      <c r="J1962" t="inlineStr">
        <is>
          <t>ENVIRONMENTAL SCIENCE &amp; TECHNOLOGY</t>
        </is>
      </c>
      <c r="M1962" t="inlineStr">
        <is>
          <t>English</t>
        </is>
      </c>
      <c r="N1962" t="inlineStr">
        <is>
          <t>Article</t>
        </is>
      </c>
      <c r="T1962" t="inlineStr">
        <is>
          <t>Predicting the Gas/Particle Distribution of SVOCs in the Indoor Environment Using Poly Parameter Linear Free Energy Relationships</t>
        </is>
      </c>
      <c r="V1962" t="inlineStr">
        <is>
          <t>SEMIVOLATILE ORGANIC-COMPOUNDS; AIR/SURFACE ADSORPTION EQUILIBRIUM; PHYSICAL-CHEMICAL PROPERTIES; PARTITION-COEFFICIENTS; GAS-PHASE; PARTICULATE MATTER; AIRBORNE PARTICLES; ELEMENTAL CARBON; VAPOR-PRESSURE; SETTLED DUST</t>
        </is>
      </c>
      <c r="W1962" t="inlineStr">
        <is>
          <t>Understanding the partitioning of semi volatile organic compounds (SVOCs) between gas phase and particle phase is essential for exposure analysis and risk assessment in the indoor environment. Numerous attempts have been made to calculate gas/particle partitioning coefficients K1p. Single parameter adsorption and absorption models, which relate 'tip to the vapor pressure P-s or the octanol/air distribution coefficient KoA are usually applied. In this work we use poly parameter Linear Free Energy Relationships (pp-LFER) to describe the partitioning behavior of 14 SVOCs with high relevance for the Pure indoor environment. The pp-LFER concept is based on Abraham descriptors and considers interactions between molecule and particle by separate parameters. van der Waals interactions can be approximated by the logarithm of the hexadecane/air partitioning coefficient (log KHdA = L), which is a key parameter for the 14 polar but nonionizable organic esters being studied here. For many of the examined compounds experimentally determined L-values were not available and had to be measured using gas chromatography. It is shown that the pp-LFER method is a strong alternative to single-parameter approaches and gives reliable coefficients for gas/particle distribution in the indoor environment.</t>
        </is>
      </c>
      <c r="X1962" t="inlineStr">
        <is>
          <t>[Salthammer, Tunga] Fraunhofer WKI, Dept Mat Anal &amp; Indoor Chem, Bienroder Weg 54E, D-38108 Braunschweig, Germany; [Goss, Kai-Uwe] UFZ Helmholtz Ctr Environm Res, Dept Analyt Environm Chem, Permoserstr 15, D-04318 Leipzig, Germany</t>
        </is>
      </c>
      <c r="Y1962" t="inlineStr">
        <is>
          <t>Helmholtz Association; Helmholtz Center for Environmental Research (UFZ)</t>
        </is>
      </c>
      <c r="Z1962" t="inlineStr">
        <is>
          <t>Salthammer, T (corresponding author), Fraunhofer WKI, Dept Mat Anal &amp; Indoor Chem, Bienroder Weg 54E, D-38108 Braunschweig, Germany.</t>
        </is>
      </c>
      <c r="AA1962" t="inlineStr">
        <is>
          <t>tunga.salthammer@wki.fraunhofer.de</t>
        </is>
      </c>
      <c r="AB1962" t="inlineStr">
        <is>
          <t>Salthammer, Tunga/F-6638-2013</t>
        </is>
      </c>
      <c r="AC1962" t="inlineStr">
        <is>
          <t>Salthammer, Tunga/0000-0002-2370-8664</t>
        </is>
      </c>
      <c r="AD1962" t="inlineStr">
        <is>
          <t>internal Fraunhofer WIG research funds</t>
        </is>
      </c>
      <c r="AE1962" t="inlineStr">
        <is>
          <t>internal Fraunhofer WIG research funds</t>
        </is>
      </c>
      <c r="AF1962" t="inlineStr">
        <is>
          <t>We are grateful to Prof. John C. Little and his co-workers, especially Yaoxing Wu, for providing the raw data of their study Wu et al. (2018) Environ. Sci. Technol. 52, 3583-3590 and to Alexander Omelan (WKI) for his analytical support. This work was financially supported by internal Fraunhofer WIG research funds. Graphical Abstract design: Klara Salthammer and Manuela Lingnau.</t>
        </is>
      </c>
      <c r="AH1962" t="n">
        <v>67</v>
      </c>
      <c r="AI1962" t="n">
        <v>27</v>
      </c>
      <c r="AJ1962" t="n">
        <v>28</v>
      </c>
      <c r="AK1962" t="n">
        <v>4</v>
      </c>
      <c r="AL1962" t="n">
        <v>103</v>
      </c>
      <c r="AM1962" t="inlineStr">
        <is>
          <t>AMER CHEMICAL SOC</t>
        </is>
      </c>
      <c r="AN1962" t="inlineStr">
        <is>
          <t>WASHINGTON</t>
        </is>
      </c>
      <c r="AO1962" t="inlineStr">
        <is>
          <t>1155 16TH ST, NW, WASHINGTON, DC 20036 USA</t>
        </is>
      </c>
      <c r="AP1962" t="inlineStr">
        <is>
          <t>0013-936X</t>
        </is>
      </c>
      <c r="AQ1962" t="inlineStr">
        <is>
          <t>1520-5851</t>
        </is>
      </c>
      <c r="AS1962" t="inlineStr">
        <is>
          <t>ENVIRON SCI TECHNOL</t>
        </is>
      </c>
      <c r="AT1962" t="inlineStr">
        <is>
          <t>Environ. Sci. Technol.</t>
        </is>
      </c>
      <c r="AU1962" t="inlineStr">
        <is>
          <t>MAR 5</t>
        </is>
      </c>
      <c r="AV1962" t="n">
        <v>2019</v>
      </c>
      <c r="AW1962" t="n">
        <v>53</v>
      </c>
      <c r="AX1962" t="n">
        <v>5</v>
      </c>
      <c r="BC1962" t="n">
        <v>2491</v>
      </c>
      <c r="BD1962" t="n">
        <v>2499</v>
      </c>
      <c r="BF1962" t="inlineStr">
        <is>
          <t>10.1021/acs.est.8b06585</t>
        </is>
      </c>
      <c r="BG1962">
        <f>HYPERLINK("http://dx.doi.org/10.1021/acs.est.8b06585","http://dx.doi.org/10.1021/acs.est.8b06585")</f>
        <v/>
      </c>
      <c r="BJ1962" t="n">
        <v>9</v>
      </c>
      <c r="BK1962" t="inlineStr">
        <is>
          <t>Engineering, Environmental; Environmental Sciences</t>
        </is>
      </c>
      <c r="BL1962" t="inlineStr">
        <is>
          <t>Science Citation Index Expanded (SCI-EXPANDED)</t>
        </is>
      </c>
      <c r="BM1962" t="inlineStr">
        <is>
          <t>Engineering; Environmental Sciences &amp; Ecology</t>
        </is>
      </c>
      <c r="BN1962" t="inlineStr">
        <is>
          <t>HO1YR</t>
        </is>
      </c>
      <c r="BO1962" t="n">
        <v>30688443</v>
      </c>
      <c r="BS1962" t="inlineStr">
        <is>
          <t>2023-10-26</t>
        </is>
      </c>
      <c r="BT1962" t="inlineStr">
        <is>
          <t>WOS:000460709100024</t>
        </is>
      </c>
      <c r="BU1962">
        <f>HYPERLINK("https%3A%2F%2Fwww.webofscience.com%2Fwos%2Fwoscc%2Ffull-record%2FWOS:000460709100024","View Full Record in Web of Science")</f>
        <v/>
      </c>
    </row>
    <row r="1963">
      <c r="A1963" t="inlineStr">
        <is>
          <t>J</t>
        </is>
      </c>
      <c r="B1963" t="inlineStr">
        <is>
          <t>Bahri, M; Haghighat, F</t>
        </is>
      </c>
      <c r="F1963" t="inlineStr">
        <is>
          <t>Bahri, Mitra; Haghighat, Fariborz</t>
        </is>
      </c>
      <c r="J1963" t="inlineStr">
        <is>
          <t>CLEAN-SOIL AIR WATER</t>
        </is>
      </c>
      <c r="M1963" t="inlineStr">
        <is>
          <t>English</t>
        </is>
      </c>
      <c r="N1963" t="inlineStr">
        <is>
          <t>Review</t>
        </is>
      </c>
      <c r="T1963" t="inlineStr">
        <is>
          <t>Plasma-Based Indoor Air Cleaning Technologies: The State of the Art-Review</t>
        </is>
      </c>
      <c r="U1963" t="inlineStr">
        <is>
          <t>Air cleaners; Indoor air quality; Plasma; Sustainable buildings; Volatile organic compounds</t>
        </is>
      </c>
      <c r="V1963" t="inlineStr">
        <is>
          <t>VOLATILE ORGANIC-COMPOUNDS; LOW-CONCENTRATION FORMALDEHYDE; ULTRAVIOLET PHOTOCATALYTIC OXIDATION; DIELECTRIC-BARRIER DISCHARGES; LOW-CONCENTRATION BTX; NONTHERMAL PLASMA; HETEROGENEOUS CATALYSIS; GAS STREAMS; POLLUTION CONTROL; TOLUENE REMOVAL</t>
        </is>
      </c>
      <c r="W1963" t="inlineStr">
        <is>
          <t>The negative impact of the presence of volatile organic compounds (VOCs) on indoor air quality has motivated researchers to develop different air treatment technologies. Although, building mechanical ventilation systems can provide a comfortable thermal indoor environment, they are not capable of removing the VOCs effectively. Thus, other components must be integrated with them to be able to carry out this function. Plasma-based air treatment techniques are a series of processes in which a high voltage discharge is used for elimination of VOCs. Development of plasma-based methods, and their capabilities for chemical gas decomposition, has motivated designers to employ these methods for indoor air purification. This paper addresses the outcomes of a critical literature review on plasma-based air cleaner technologies, thermal to non-thermal plasma and plasma catalyst, and their application for indoor environment VOCs removal. The reaction mechanism, effect of different parameters on the performance of the method, and abilities and limitations of these methods are discussed. Different types of reactors and the most common used catalysts are classified. The role of the presence of the catalyst in improving the non-thermal plasma efficiency is reviewed. Finally, the scope of the future work to enhance the performance of this method for application in sustainable buildings is discussed.</t>
        </is>
      </c>
      <c r="X1963" t="inlineStr">
        <is>
          <t>[Bahri, Mitra; Haghighat, Fariborz] Concordia Univ, Dept Bldg Civil &amp; Environm Engn, Montreal, PQ H3G 1M8, Canada</t>
        </is>
      </c>
      <c r="Y1963" t="inlineStr">
        <is>
          <t>Concordia University - Canada</t>
        </is>
      </c>
      <c r="Z1963" t="inlineStr">
        <is>
          <t>Haghighat, F (corresponding author), Concordia Univ, Dept Bldg Civil &amp; Environm Engn, EV 6-153,1455 Maisonneuve Blvd W, Montreal, PQ H3G 1M8, Canada.</t>
        </is>
      </c>
      <c r="AA1963" t="inlineStr">
        <is>
          <t>fariborz.haghighat@concordia.ca</t>
        </is>
      </c>
      <c r="AD1963" t="inlineStr">
        <is>
          <t>Natural Sciences and Engineering Research Council of Canada through a CRD grant</t>
        </is>
      </c>
      <c r="AE1963" t="inlineStr">
        <is>
          <t>Natural Sciences and Engineering Research Council of Canada through a CRD grant(Natural Sciences and Engineering Research Council of Canada (NSERC))</t>
        </is>
      </c>
      <c r="AF1963" t="inlineStr">
        <is>
          <t>The authors would like to express their gratitude to the Natural Sciences and Engineering Research Council of Canada, for supporting this research project through a CRD grant.</t>
        </is>
      </c>
      <c r="AH1963" t="n">
        <v>104</v>
      </c>
      <c r="AI1963" t="n">
        <v>69</v>
      </c>
      <c r="AJ1963" t="n">
        <v>72</v>
      </c>
      <c r="AK1963" t="n">
        <v>7</v>
      </c>
      <c r="AL1963" t="n">
        <v>279</v>
      </c>
      <c r="AM1963" t="inlineStr">
        <is>
          <t>WILEY</t>
        </is>
      </c>
      <c r="AN1963" t="inlineStr">
        <is>
          <t>HOBOKEN</t>
        </is>
      </c>
      <c r="AO1963" t="inlineStr">
        <is>
          <t>111 RIVER ST, HOBOKEN 07030-5774, NJ USA</t>
        </is>
      </c>
      <c r="AP1963" t="inlineStr">
        <is>
          <t>1863-0650</t>
        </is>
      </c>
      <c r="AQ1963" t="inlineStr">
        <is>
          <t>1863-0669</t>
        </is>
      </c>
      <c r="AS1963" t="inlineStr">
        <is>
          <t>CLEAN-SOIL AIR WATER</t>
        </is>
      </c>
      <c r="AT1963" t="inlineStr">
        <is>
          <t>Clean-Soil Air Water</t>
        </is>
      </c>
      <c r="AU1963" t="inlineStr">
        <is>
          <t>DEC</t>
        </is>
      </c>
      <c r="AV1963" t="n">
        <v>2014</v>
      </c>
      <c r="AW1963" t="n">
        <v>42</v>
      </c>
      <c r="AX1963" t="n">
        <v>12</v>
      </c>
      <c r="BC1963" t="n">
        <v>1667</v>
      </c>
      <c r="BD1963" t="n">
        <v>1680</v>
      </c>
      <c r="BF1963" t="inlineStr">
        <is>
          <t>10.1002/clen.201300296</t>
        </is>
      </c>
      <c r="BG1963">
        <f>HYPERLINK("http://dx.doi.org/10.1002/clen.201300296","http://dx.doi.org/10.1002/clen.201300296")</f>
        <v/>
      </c>
      <c r="BJ1963" t="n">
        <v>14</v>
      </c>
      <c r="BK1963" t="inlineStr">
        <is>
          <t>Green &amp; Sustainable Science &amp; Technology; Environmental Sciences; Marine &amp; Freshwater Biology; Water Resources</t>
        </is>
      </c>
      <c r="BL1963" t="inlineStr">
        <is>
          <t>Science Citation Index Expanded (SCI-EXPANDED)</t>
        </is>
      </c>
      <c r="BM1963" t="inlineStr">
        <is>
          <t>Science &amp; Technology - Other Topics; Environmental Sciences &amp; Ecology; Marine &amp; Freshwater Biology; Water Resources</t>
        </is>
      </c>
      <c r="BN1963" t="inlineStr">
        <is>
          <t>AW4UH</t>
        </is>
      </c>
      <c r="BS1963" t="inlineStr">
        <is>
          <t>2023-10-26</t>
        </is>
      </c>
      <c r="BT1963" t="inlineStr">
        <is>
          <t>WOS:000346275300001</t>
        </is>
      </c>
      <c r="BU1963">
        <f>HYPERLINK("https%3A%2F%2Fwww.webofscience.com%2Fwos%2Fwoscc%2Ffull-record%2FWOS:000346275300001","View Full Record in Web of Science")</f>
        <v/>
      </c>
    </row>
    <row r="1964">
      <c r="A1964" t="inlineStr">
        <is>
          <t>J</t>
        </is>
      </c>
      <c r="B1964" t="inlineStr">
        <is>
          <t>Zhou, XJ; Liu, JL; Dong, XJ; Ma, RX; Wang, XK; Wang, FH</t>
        </is>
      </c>
      <c r="F1964" t="inlineStr">
        <is>
          <t>Zhou, Xiaojun; Liu, Jialu; Dong, Xuejiao; Ma, Ruixue; Wang, Xinke; Wang, Fenghao</t>
        </is>
      </c>
      <c r="J1964" t="inlineStr">
        <is>
          <t>SCIENCE OF THE TOTAL ENVIRONMENT</t>
        </is>
      </c>
      <c r="M1964" t="inlineStr">
        <is>
          <t>English</t>
        </is>
      </c>
      <c r="N1964" t="inlineStr">
        <is>
          <t>Article</t>
        </is>
      </c>
      <c r="T1964" t="inlineStr">
        <is>
          <t>A multistage fractal-like tree network model to predict VOC diffusion characteristic of indoor fabrics</t>
        </is>
      </c>
      <c r="U1964" t="inlineStr">
        <is>
          <t>Indoor air quality; Fabric; Diffusioncoefficient; VOC; Modeling</t>
        </is>
      </c>
      <c r="V1964" t="inlineStr">
        <is>
          <t>EMISSION CHARACTERISTIC PARAMETERS; C-HISTORY METHOD; GAS-DIFFUSION; BUILDING-MATERIALS; ORGANIC-COMPOUNDS; SORPTION; AIR; FORMALDEHYDE/VOCS; COEFFICIENT; TEMPERATURE</t>
        </is>
      </c>
      <c r="W1964" t="inlineStr">
        <is>
          <t>Understanding the coupling mechanism between multi-material pollution sources and sinks is key to predicting the pollution load. Indoor fabric materials strongly adsorb volatile organic compounds (VOCs) owing to their high loading rates and large specific surface areas. The secondary source effects generated by their desorption easily aggravates in-door air pollution and prolongs the pollution period. The existing research conclusions on the VOC mass-transfer prop-erties of building materials are difficult to apply directly to fabrics due to their multilayered anisotropic fiber -interlaced structure. In this study, the triple porous structure of the fabrics was characterized, and the mass-transfer network were analyzed. Moreover, a multistage fractal-like tree network model was proposed to characterize the fab-ric's pore structure and establish a theoretical prediction model of the VOC diffusion coefficient. Subsequently, the mass-transfer characteristic parameters of the fabrics were measured at different ambient temperatures through load-ing and emission experiments of formaldehyde, benzene, toluene, ethylbenzene, and xylene (BTEX) on typical indoor fabrics. A comparison of the experimentally determined and theoretically predicted values revealed that the proposed model could accurately predict the diffusion coefficient of fabrics. This study can help understand the dynamic source and sink characteristics of fabrics in an indoor environment.</t>
        </is>
      </c>
      <c r="X1964" t="inlineStr">
        <is>
          <t>[Zhou, Xiaojun; Liu, Jialu; Dong, Xuejiao; Ma, Ruixue; Wang, Xinke; Wang, Fenghao] Xi An Jiao Tong Univ, Sch Human Settlements &amp; Civil Engn, Xian 710054, Shaanxi, Peoples R China</t>
        </is>
      </c>
      <c r="Y1964" t="inlineStr">
        <is>
          <t>Xi'an Jiaotong University</t>
        </is>
      </c>
      <c r="Z1964" t="inlineStr">
        <is>
          <t>Zhou, XJ (corresponding author), Xi An Jiao Tong Univ, Sch Human Settlements &amp; Civil Engn, Xian 710054, Shaanxi, Peoples R China.</t>
        </is>
      </c>
      <c r="AA1964" t="inlineStr">
        <is>
          <t>zhouxiaojun@xjtu.edu.cn</t>
        </is>
      </c>
      <c r="AB1964" t="inlineStr">
        <is>
          <t>Ma, Ruixue/GXW-1055-2022; LIU, JIALU/HPC-0403-2023</t>
        </is>
      </c>
      <c r="AD1964" t="inlineStr">
        <is>
          <t>National Natural Science Foundation of China [52278129, 51808441]; China Postdoctoral Science Foundation [2021M702602]</t>
        </is>
      </c>
      <c r="AE1964" t="inlineStr">
        <is>
          <t>National Natural Science Foundation of China(National Natural Science Foundation of China (NSFC)); China Postdoctoral Science Foundation(China Postdoctoral Science Foundation)</t>
        </is>
      </c>
      <c r="AF1964" t="inlineStr">
        <is>
          <t>The research was fi nancially supported by the National Natural Science Foundation of China (grant numbers 52278129, 51808441) and the China Postdoctoral Science Foundation (grant number 2021M702602) .</t>
        </is>
      </c>
      <c r="AH1964" t="n">
        <v>45</v>
      </c>
      <c r="AI1964" t="n">
        <v>0</v>
      </c>
      <c r="AJ1964" t="n">
        <v>0</v>
      </c>
      <c r="AK1964" t="n">
        <v>6</v>
      </c>
      <c r="AL1964" t="n">
        <v>15</v>
      </c>
      <c r="AM1964" t="inlineStr">
        <is>
          <t>ELSEVIER</t>
        </is>
      </c>
      <c r="AN1964" t="inlineStr">
        <is>
          <t>AMSTERDAM</t>
        </is>
      </c>
      <c r="AO1964" t="inlineStr">
        <is>
          <t>RADARWEG 29, 1043 NX AMSTERDAM, NETHERLANDS</t>
        </is>
      </c>
      <c r="AP1964" t="inlineStr">
        <is>
          <t>0048-9697</t>
        </is>
      </c>
      <c r="AQ1964" t="inlineStr">
        <is>
          <t>1879-1026</t>
        </is>
      </c>
      <c r="AS1964" t="inlineStr">
        <is>
          <t>SCI TOTAL ENVIRON</t>
        </is>
      </c>
      <c r="AT1964" t="inlineStr">
        <is>
          <t>Sci. Total Environ.</t>
        </is>
      </c>
      <c r="AU1964" t="inlineStr">
        <is>
          <t>MAR 15</t>
        </is>
      </c>
      <c r="AV1964" t="n">
        <v>2023</v>
      </c>
      <c r="AW1964" t="n">
        <v>864</v>
      </c>
      <c r="BE1964" t="n">
        <v>161189</v>
      </c>
      <c r="BF1964" t="inlineStr">
        <is>
          <t>10.1016/j.scitotenv.2022.161189</t>
        </is>
      </c>
      <c r="BG1964">
        <f>HYPERLINK("http://dx.doi.org/10.1016/j.scitotenv.2022.161189","http://dx.doi.org/10.1016/j.scitotenv.2022.161189")</f>
        <v/>
      </c>
      <c r="BI1964" t="inlineStr">
        <is>
          <t>DEC 2022</t>
        </is>
      </c>
      <c r="BJ1964" t="n">
        <v>11</v>
      </c>
      <c r="BK1964" t="inlineStr">
        <is>
          <t>Environmental Sciences</t>
        </is>
      </c>
      <c r="BL1964" t="inlineStr">
        <is>
          <t>Science Citation Index Expanded (SCI-EXPANDED)</t>
        </is>
      </c>
      <c r="BM1964" t="inlineStr">
        <is>
          <t>Environmental Sciences &amp; Ecology</t>
        </is>
      </c>
      <c r="BN1964" t="inlineStr">
        <is>
          <t>7Y7KR</t>
        </is>
      </c>
      <c r="BO1964" t="n">
        <v>36584952</v>
      </c>
      <c r="BS1964" t="inlineStr">
        <is>
          <t>2023-10-26</t>
        </is>
      </c>
      <c r="BT1964" t="inlineStr">
        <is>
          <t>WOS:000915053800001</t>
        </is>
      </c>
      <c r="BU1964">
        <f>HYPERLINK("https%3A%2F%2Fwww.webofscience.com%2Fwos%2Fwoscc%2Ffull-record%2FWOS:000915053800001","View Full Record in Web of Science")</f>
        <v/>
      </c>
    </row>
    <row r="1965">
      <c r="A1965" t="inlineStr">
        <is>
          <t>J</t>
        </is>
      </c>
      <c r="B1965" t="inlineStr">
        <is>
          <t>Yuguchi, S; Asahi, R; Kamo, T; Azami, M; Ogihara, H</t>
        </is>
      </c>
      <c r="F1965" t="inlineStr">
        <is>
          <t>Yuguchi, Satoshi; Asahi, Ryoma; Kamo, Tomohiko; Azami, Masato; Ogihara, Hirofumi</t>
        </is>
      </c>
      <c r="J1965" t="inlineStr">
        <is>
          <t>INTERNATIONAL JOURNAL OF ENVIRONMENTAL RESEARCH AND PUBLIC HEALTH</t>
        </is>
      </c>
      <c r="M1965" t="inlineStr">
        <is>
          <t>English</t>
        </is>
      </c>
      <c r="N1965" t="inlineStr">
        <is>
          <t>Article</t>
        </is>
      </c>
      <c r="T1965" t="inlineStr">
        <is>
          <t>Prediction Model including Gastrocnemius Thickness for the Skeletal Muscle Mass Index in Japanese Older Adults</t>
        </is>
      </c>
      <c r="U1965" t="inlineStr">
        <is>
          <t>older adults; skeletal muscle mass index; ultrasonography; gastrocnemius thickness; prediction model</t>
        </is>
      </c>
      <c r="V1965" t="inlineStr">
        <is>
          <t>SARCOPENIA; ULTRASOUND; CONSENSUS</t>
        </is>
      </c>
      <c r="W1965" t="inlineStr">
        <is>
          <t>Non-invasive and easy alternative methods to indicate skeletal muscle mass index (SMI) have not been established when dual energy X-ray absorptiometry (DXA) or bioelectrical impedance analysis (BIA) cannot be performed. This study aims to construct a prediction model including gastrocnemius thickness using ultrasonography for skeletal muscle mass index (SMI). Total of 193 Japanese aged &gt;= 65 years participated. SMI was measured by BIA, and subcutaneous fat thickness and gastrocnemius thickness in the medial gastrocnemius were measured by using ultrasonography, and age, gender and body mass index (BMI), grip strength, and gait speed were collected. The stepwise multiple regression analysis was conducted, which incorporated SMI as a dependent variable and age, gender, BMI, gastrocnemius thickness, and other factors as independent variables. Gender, BMI, and gastrocnemius thickness were included as significant factors, and the formula: SMI = 1.27 x gender (men: 1, women: 0) + 0.18 x BMI + 0.09 x gastrocnemius thickness (mm) + 1.3 was shown as the prediction model for SMI (R = 0.89, R-2 = 0.8, adjusted R-2 = 0.8, p &lt; 0.001). The prediction model for SMI had high accuracy and could be a non-invasive and easy alternative method to predict SMI in Japanese older adults.</t>
        </is>
      </c>
      <c r="X1965" t="inlineStr">
        <is>
          <t>[Yuguchi, Satoshi; Asahi, Ryoma; Kamo, Tomohiko; Azami, Masato] Japan Univ Hlth Sci, Sch Hlth Sci, Dept Phys Therapy, Saitama 3400145, Japan; [Ogihara, Hirofumi] Nagano Univ Hlth &amp; Med, Div Phys Therapy, Dept Rehabil, Fac Hlth Sci, Nagano 3812227, Japan</t>
        </is>
      </c>
      <c r="Z1965" t="inlineStr">
        <is>
          <t>Yuguchi, S (corresponding author), Japan Univ Hlth Sci, Sch Hlth Sci, Dept Phys Therapy, Saitama 3400145, Japan.</t>
        </is>
      </c>
      <c r="AA1965" t="inlineStr">
        <is>
          <t>s-yuguchi@jhsu.ac.jp; r-asahi@jhsu.ac.jp; t-kamo@jhsu.ac.jp; m-azami@jhsu.ac.jp; ogihara.hirofumi@shitoku.ac.jp</t>
        </is>
      </c>
      <c r="AB1965" t="inlineStr">
        <is>
          <t>Ogihara, Hirofumi/GOG-9410-2022</t>
        </is>
      </c>
      <c r="AC1965" t="inlineStr">
        <is>
          <t>Ogihara, Hirofumi/0000-0001-8335-2279</t>
        </is>
      </c>
      <c r="AD1965" t="inlineStr">
        <is>
          <t>JSPS KAKENHI [JP19K19843]</t>
        </is>
      </c>
      <c r="AE1965" t="inlineStr">
        <is>
          <t>JSPS KAKENHI(Ministry of Education, Culture, Sports, Science and Technology, Japan (MEXT)Japan Society for the Promotion of ScienceGrants-in-Aid for Scientific Research (KAKENHI))</t>
        </is>
      </c>
      <c r="AF1965" t="inlineStr">
        <is>
          <t>We would like to thank members in several hospitals and Satte city hall who collaborated to collect data. We also appreciate that participants living in Satte city participated in this study.; This work was supported by JSPS KAKENHI Grant Number JP19K19843.</t>
        </is>
      </c>
      <c r="AH1965" t="n">
        <v>19</v>
      </c>
      <c r="AI1965" t="n">
        <v>0</v>
      </c>
      <c r="AJ1965" t="n">
        <v>0</v>
      </c>
      <c r="AK1965" t="n">
        <v>2</v>
      </c>
      <c r="AL1965" t="n">
        <v>7</v>
      </c>
      <c r="AM1965" t="inlineStr">
        <is>
          <t>MDPI</t>
        </is>
      </c>
      <c r="AN1965" t="inlineStr">
        <is>
          <t>BASEL</t>
        </is>
      </c>
      <c r="AO1965" t="inlineStr">
        <is>
          <t>ST ALBAN-ANLAGE 66, CH-4052 BASEL, SWITZERLAND</t>
        </is>
      </c>
      <c r="AQ1965" t="inlineStr">
        <is>
          <t>1660-4601</t>
        </is>
      </c>
      <c r="AS1965" t="inlineStr">
        <is>
          <t>INT J ENV RES PUB HE</t>
        </is>
      </c>
      <c r="AT1965" t="inlineStr">
        <is>
          <t>Int. J. Environ. Res. Public Health</t>
        </is>
      </c>
      <c r="AU1965" t="inlineStr">
        <is>
          <t>APR</t>
        </is>
      </c>
      <c r="AV1965" t="n">
        <v>2022</v>
      </c>
      <c r="AW1965" t="n">
        <v>19</v>
      </c>
      <c r="AX1965" t="n">
        <v>7</v>
      </c>
      <c r="BE1965" t="n">
        <v>4042</v>
      </c>
      <c r="BF1965" t="inlineStr">
        <is>
          <t>10.3390/ijerph19074042</t>
        </is>
      </c>
      <c r="BG1965">
        <f>HYPERLINK("http://dx.doi.org/10.3390/ijerph19074042","http://dx.doi.org/10.3390/ijerph19074042")</f>
        <v/>
      </c>
      <c r="BJ1965" t="n">
        <v>9</v>
      </c>
      <c r="BK1965" t="inlineStr">
        <is>
          <t>Environmental Sciences; Public, Environmental &amp; Occupational Health</t>
        </is>
      </c>
      <c r="BL1965" t="inlineStr">
        <is>
          <t>Science Citation Index Expanded (SCI-EXPANDED); Social Science Citation Index (SSCI)</t>
        </is>
      </c>
      <c r="BM1965" t="inlineStr">
        <is>
          <t>Environmental Sciences &amp; Ecology; Public, Environmental &amp; Occupational Health</t>
        </is>
      </c>
      <c r="BN1965" t="inlineStr">
        <is>
          <t>0M2PX</t>
        </is>
      </c>
      <c r="BO1965" t="n">
        <v>35409723</v>
      </c>
      <c r="BP1965" t="inlineStr">
        <is>
          <t>gold, Green Published</t>
        </is>
      </c>
      <c r="BS1965" t="inlineStr">
        <is>
          <t>2023-10-26</t>
        </is>
      </c>
      <c r="BT1965" t="inlineStr">
        <is>
          <t>WOS:000782003700001</t>
        </is>
      </c>
      <c r="BU1965">
        <f>HYPERLINK("https%3A%2F%2Fwww.webofscience.com%2Fwos%2Fwoscc%2Ffull-record%2FWOS:000782003700001","View Full Record in Web of Science")</f>
        <v/>
      </c>
    </row>
    <row r="1966">
      <c r="A1966" t="inlineStr">
        <is>
          <t>J</t>
        </is>
      </c>
      <c r="B1966" t="inlineStr">
        <is>
          <t>Jankovic, L</t>
        </is>
      </c>
      <c r="F1966" t="inlineStr">
        <is>
          <t>Jankovic, Ljubomir</t>
        </is>
      </c>
      <c r="J1966" t="inlineStr">
        <is>
          <t>SUSTAINABILITY</t>
        </is>
      </c>
      <c r="M1966" t="inlineStr">
        <is>
          <t>English</t>
        </is>
      </c>
      <c r="N1966" t="inlineStr">
        <is>
          <t>Article</t>
        </is>
      </c>
      <c r="T1966" t="inlineStr">
        <is>
          <t>Designing Resilience of the Built Environment to Extreme Weather Events</t>
        </is>
      </c>
      <c r="U1966" t="inlineStr">
        <is>
          <t>building resilience; site resilience; regional resilience; Passivhaus retrofit; multi-objective optimization; solar radiation; transpiration; heat island; connectivity; complexity</t>
        </is>
      </c>
      <c r="W1966" t="inlineStr">
        <is>
          <t>Built environment comprises of a multitude of complex networks of buildings and processes in and between buildings. The paper looks at resilience design on three different levels: the building, the site, and the region. The building resilience design is studied using multi-objective optimization of a recently completed Passivhaus retrofit, under four different climate years: current, 2030, 2050, and 2080. The site resilience design is studied on the basis of a balance between incoming solar radiation and evaporative cooling from transpiration of plants to mitigate heat island effect. The regional resilience design is studied using a network model, taking into account connectivity, information capacity, and the ability to reconfigure. A common denominator found between these three aspects is a degree of system redundancy. Thus, a provision for adaptable building thermal insulation, a provision for adaptable green areas, and a provision for adaptable connectivity are the ingredients for resilient designs on these three respective levels. The findings increase our understanding of practical issues and implications for the resilience design of the built environment under extreme weather events. A combination of qualitative and quantitative approaches discussed in the paper provides practical guidance for designers and policy makers.</t>
        </is>
      </c>
      <c r="X1966" t="inlineStr">
        <is>
          <t>[Jankovic, Ljubomir] Univ Hertfordshire, Sch Creat Arts, Hatfield AL10 9AB, Herts, England</t>
        </is>
      </c>
      <c r="Y1966" t="inlineStr">
        <is>
          <t>University of Hertfordshire</t>
        </is>
      </c>
      <c r="Z1966" t="inlineStr">
        <is>
          <t>Jankovic, L (corresponding author), Univ Hertfordshire, Sch Creat Arts, Hatfield AL10 9AB, Herts, England.</t>
        </is>
      </c>
      <c r="AA1966" t="inlineStr">
        <is>
          <t>l.jankovic@herts.ac.uk</t>
        </is>
      </c>
      <c r="AB1966" t="inlineStr">
        <is>
          <t>Jankovic, Ljubomir/J-1596-2017</t>
        </is>
      </c>
      <c r="AC1966" t="inlineStr">
        <is>
          <t>Jankovic, Ljubomir/0000-0002-6974-9701</t>
        </is>
      </c>
      <c r="AD1966" t="inlineStr">
        <is>
          <t>Innovate UK [101614]; RetrofitPlus Project Consortium: Beattie Passive Retrofit Ltd.; iZdesign Ltd.; InteSys Ltd.; Birmingham City University; Birmingham City Council; Innovate UK [101614] Funding Source: UKRI</t>
        </is>
      </c>
      <c r="AE1966" t="inlineStr">
        <is>
          <t>Innovate UK(UK Research &amp; Innovation (UKRI)Innovate UK); RetrofitPlus Project Consortium: Beattie Passive Retrofit Ltd.; iZdesign Ltd.; InteSys Ltd.; Birmingham City University; Birmingham City Council; Innovate UK(UK Research &amp; Innovation (UKRI)Innovate UK)</t>
        </is>
      </c>
      <c r="AF1966" t="inlineStr">
        <is>
          <t>The work on building retrofit (RetrofitPlus project) presented in the paper was part-funded by a grant reference number 101614 from Innovate UK, and matched by funding from RetrofitPlus Project Consortium: Beattie Passive Retrofit Ltd., iZdesign Ltd., and InteSys Ltd., and with Birmingham City University as academic partner. The support from Birmingham City Council for providing the buildings to retrofit is gratefully acknowledged. As the paper reports a follow-up study after the project completion date, no funds are receivable for covering the costs to publish in open access.</t>
        </is>
      </c>
      <c r="AH1966" t="n">
        <v>21</v>
      </c>
      <c r="AI1966" t="n">
        <v>9</v>
      </c>
      <c r="AJ1966" t="n">
        <v>9</v>
      </c>
      <c r="AK1966" t="n">
        <v>0</v>
      </c>
      <c r="AL1966" t="n">
        <v>23</v>
      </c>
      <c r="AM1966" t="inlineStr">
        <is>
          <t>MDPI</t>
        </is>
      </c>
      <c r="AN1966" t="inlineStr">
        <is>
          <t>BASEL</t>
        </is>
      </c>
      <c r="AO1966" t="inlineStr">
        <is>
          <t>ST ALBAN-ANLAGE 66, CH-4052 BASEL, SWITZERLAND</t>
        </is>
      </c>
      <c r="AQ1966" t="inlineStr">
        <is>
          <t>2071-1050</t>
        </is>
      </c>
      <c r="AS1966" t="inlineStr">
        <is>
          <t>SUSTAINABILITY-BASEL</t>
        </is>
      </c>
      <c r="AT1966" t="inlineStr">
        <is>
          <t>Sustainability</t>
        </is>
      </c>
      <c r="AU1966" t="inlineStr">
        <is>
          <t>JAN</t>
        </is>
      </c>
      <c r="AV1966" t="n">
        <v>2018</v>
      </c>
      <c r="AW1966" t="n">
        <v>10</v>
      </c>
      <c r="AX1966" t="n">
        <v>1</v>
      </c>
      <c r="BE1966" t="n">
        <v>141</v>
      </c>
      <c r="BF1966" t="inlineStr">
        <is>
          <t>10.3390/su10010141</t>
        </is>
      </c>
      <c r="BG1966">
        <f>HYPERLINK("http://dx.doi.org/10.3390/su10010141","http://dx.doi.org/10.3390/su10010141")</f>
        <v/>
      </c>
      <c r="BJ1966" t="n">
        <v>14</v>
      </c>
      <c r="BK1966" t="inlineStr">
        <is>
          <t>Green &amp; Sustainable Science &amp; Technology; Environmental Sciences; Environmental Studies</t>
        </is>
      </c>
      <c r="BL1966" t="inlineStr">
        <is>
          <t>Science Citation Index Expanded (SCI-EXPANDED); Social Science Citation Index (SSCI)</t>
        </is>
      </c>
      <c r="BM1966" t="inlineStr">
        <is>
          <t>Science &amp; Technology - Other Topics; Environmental Sciences &amp; Ecology</t>
        </is>
      </c>
      <c r="BN1966" t="inlineStr">
        <is>
          <t>FW1TN</t>
        </is>
      </c>
      <c r="BP1966" t="inlineStr">
        <is>
          <t>gold, Green Submitted, Green Published</t>
        </is>
      </c>
      <c r="BS1966" t="inlineStr">
        <is>
          <t>2023-10-26</t>
        </is>
      </c>
      <c r="BT1966" t="inlineStr">
        <is>
          <t>WOS:000425082600139</t>
        </is>
      </c>
      <c r="BU1966">
        <f>HYPERLINK("https%3A%2F%2Fwww.webofscience.com%2Fwos%2Fwoscc%2Ffull-record%2FWOS:000425082600139","View Full Record in Web of Science")</f>
        <v/>
      </c>
    </row>
    <row r="1967">
      <c r="A1967" t="inlineStr">
        <is>
          <t>J</t>
        </is>
      </c>
      <c r="B1967" t="inlineStr">
        <is>
          <t>Byun, M; Kim, J; Kim, M</t>
        </is>
      </c>
      <c r="F1967" t="inlineStr">
        <is>
          <t>Byun, Mikyong; Kim, Jiyeon; Kim, Moonho</t>
        </is>
      </c>
      <c r="J1967" t="inlineStr">
        <is>
          <t>INTERNATIONAL JOURNAL OF ENVIRONMENTAL RESEARCH AND PUBLIC HEALTH</t>
        </is>
      </c>
      <c r="M1967" t="inlineStr">
        <is>
          <t>English</t>
        </is>
      </c>
      <c r="N1967" t="inlineStr">
        <is>
          <t>Article</t>
        </is>
      </c>
      <c r="T1967" t="inlineStr">
        <is>
          <t>Physical and Psychological Factors Affecting Falls in Older Patients with Arthritis</t>
        </is>
      </c>
      <c r="U1967" t="inlineStr">
        <is>
          <t>fall; arthritis; older adults; public health</t>
        </is>
      </c>
      <c r="V1967" t="inlineStr">
        <is>
          <t>RISK-FACTORS; RHEUMATOID-ARTHRITIS; HIP FRACTURE; ADULTS; FEAR; OSTEOARTHRITIS; PAIN</t>
        </is>
      </c>
      <c r="W1967" t="inlineStr">
        <is>
          <t>As the population ages, falls are becoming one of the leading causes of morbidity and mortality. Joint disease (either osteoarthritis or rheumatoid arthritis) is a well-known predictor of falls, and these medical conditions increase in accordance with the aging population. This study aimed to describe individual, physical, and psychological characteristics between older adults with and without a fall history. Further, we aimed to identify statistically significant physical or psychological factors associated with falls by controlling individual variables. We analyzed data from the 2014 Survey of Living Conditions and Welfare Needs of Korean Older Adults. Adults aged 65 years or over with doctor-diagnosed joint disease were eligible. A total of 2707 women and 784 men (n = 3491) were enrolled. Of these, 1174 patients suffered a fall within a year (average number of falls = 2.4). We adopted individual variable-adjusted models and found that limited activities of daily living (odds ratio (OR) 1.4, 95% confidence interval (CI) 1.04-1.87), fear of falling (OR 7.18, 95% CI 4.26-12.09), and depression (OR 1.28, 95% CI 1.09-1.50) significantly increased fall risks on logistic regression analysis. Our findings suggest that physical and psychological factors, especially the fear of falling, need to be addressed to prevent falls in elderly patients with arthritis.</t>
        </is>
      </c>
      <c r="X1967" t="inlineStr">
        <is>
          <t>[Byun, Mikyong; Kim, Jiyeon] Korea Univ, Coll Nursing, Seoul 02841, South Korea; [Kim, Moonho] Univ Ulsan, Coll Med, Dept Hematol &amp; Oncol, Gangneung Asan Hosp, 38 Bangdong Gil, Gangneung Si 25440, Gangwon Do, South Korea</t>
        </is>
      </c>
      <c r="Y1967" t="inlineStr">
        <is>
          <t>Korea University; University of Ulsan</t>
        </is>
      </c>
      <c r="Z1967" t="inlineStr">
        <is>
          <t>Kim, M (corresponding author), Univ Ulsan, Coll Med, Dept Hematol &amp; Oncol, Gangneung Asan Hosp, 38 Bangdong Gil, Gangneung Si 25440, Gangwon Do, South Korea.</t>
        </is>
      </c>
      <c r="AA1967" t="inlineStr">
        <is>
          <t>mulanbb@korea.ac.kr; tortoi@korea.ac.kr; muno0802@hanmail.net</t>
        </is>
      </c>
      <c r="AC1967" t="inlineStr">
        <is>
          <t>Kim, Moonho/0000-0002-1777-3267; , Mikyong/0000-0002-0055-2898</t>
        </is>
      </c>
      <c r="AH1967" t="n">
        <v>44</v>
      </c>
      <c r="AI1967" t="n">
        <v>11</v>
      </c>
      <c r="AJ1967" t="n">
        <v>11</v>
      </c>
      <c r="AK1967" t="n">
        <v>2</v>
      </c>
      <c r="AL1967" t="n">
        <v>13</v>
      </c>
      <c r="AM1967" t="inlineStr">
        <is>
          <t>MDPI</t>
        </is>
      </c>
      <c r="AN1967" t="inlineStr">
        <is>
          <t>BASEL</t>
        </is>
      </c>
      <c r="AO1967" t="inlineStr">
        <is>
          <t>ST ALBAN-ANLAGE 66, CH-4052 BASEL, SWITZERLAND</t>
        </is>
      </c>
      <c r="AQ1967" t="inlineStr">
        <is>
          <t>1660-4601</t>
        </is>
      </c>
      <c r="AS1967" t="inlineStr">
        <is>
          <t>INT J ENV RES PUB HE</t>
        </is>
      </c>
      <c r="AT1967" t="inlineStr">
        <is>
          <t>Int. J. Environ. Res. Public Health</t>
        </is>
      </c>
      <c r="AU1967" t="inlineStr">
        <is>
          <t>FEB 1</t>
        </is>
      </c>
      <c r="AV1967" t="n">
        <v>2020</v>
      </c>
      <c r="AW1967" t="n">
        <v>17</v>
      </c>
      <c r="AX1967" t="n">
        <v>3</v>
      </c>
      <c r="BE1967" t="n">
        <v>1098</v>
      </c>
      <c r="BF1967" t="inlineStr">
        <is>
          <t>10.3390/ijerph17031098</t>
        </is>
      </c>
      <c r="BG1967">
        <f>HYPERLINK("http://dx.doi.org/10.3390/ijerph17031098","http://dx.doi.org/10.3390/ijerph17031098")</f>
        <v/>
      </c>
      <c r="BJ1967" t="n">
        <v>11</v>
      </c>
      <c r="BK1967" t="inlineStr">
        <is>
          <t>Environmental Sciences; Public, Environmental &amp; Occupational Health</t>
        </is>
      </c>
      <c r="BL1967" t="inlineStr">
        <is>
          <t>Science Citation Index Expanded (SCI-EXPANDED); Social Science Citation Index (SSCI)</t>
        </is>
      </c>
      <c r="BM1967" t="inlineStr">
        <is>
          <t>Environmental Sciences &amp; Ecology; Public, Environmental &amp; Occupational Health</t>
        </is>
      </c>
      <c r="BN1967" t="inlineStr">
        <is>
          <t>KR7GF</t>
        </is>
      </c>
      <c r="BO1967" t="n">
        <v>32050468</v>
      </c>
      <c r="BP1967" t="inlineStr">
        <is>
          <t>Green Published, gold</t>
        </is>
      </c>
      <c r="BS1967" t="inlineStr">
        <is>
          <t>2023-10-26</t>
        </is>
      </c>
      <c r="BT1967" t="inlineStr">
        <is>
          <t>WOS:000517783300423</t>
        </is>
      </c>
      <c r="BU1967">
        <f>HYPERLINK("https%3A%2F%2Fwww.webofscience.com%2Fwos%2Fwoscc%2Ffull-record%2FWOS:000517783300423","View Full Record in Web of Science")</f>
        <v/>
      </c>
    </row>
    <row r="1968">
      <c r="A1968" t="inlineStr">
        <is>
          <t>J</t>
        </is>
      </c>
      <c r="B1968" t="inlineStr">
        <is>
          <t>Khan, D; Ullah, S; Nabi, S</t>
        </is>
      </c>
      <c r="F1968" t="inlineStr">
        <is>
          <t>Khan, Dawar; Ullah, Sehat; Nabi, Syed</t>
        </is>
      </c>
      <c r="J1968" t="inlineStr">
        <is>
          <t>REMOTE SENSING</t>
        </is>
      </c>
      <c r="M1968" t="inlineStr">
        <is>
          <t>English</t>
        </is>
      </c>
      <c r="N1968" t="inlineStr">
        <is>
          <t>Article</t>
        </is>
      </c>
      <c r="T1968" t="inlineStr">
        <is>
          <t>A Generic Approach toward Indoor Navigation and Pathfinding with Robust Marker Tracking</t>
        </is>
      </c>
      <c r="U1968" t="inlineStr">
        <is>
          <t>augmented reality; indoor navigation; automatic path generation; marker tracking</t>
        </is>
      </c>
      <c r="V1968" t="inlineStr">
        <is>
          <t>WIRELESS COMMUNICATIONS; SYSTEM; GENERATION; GPS</t>
        </is>
      </c>
      <c r="W1968" t="inlineStr">
        <is>
          <t>Indoor navigation and localization has gained a key attention of the researchers in the recent decades. Various technologies such as WiFi, Bluetooth, Ultra Wideband (UWB), and Radio-frequency identification (RFID) have been used for indoor navigation and localization. However, most of these existing methods often fail in providing a reasonable solution to the key challenges such as implementation cost, accuracy and extendibility. In this paper, we proposed a low-cost, and extendable framework for indoor navigation. We used simple markers printed on the paper, and placed on ceilings of the building. These markers are detected by a smartphone's camera, and the audio and visual information associated with these markers are used as a user guidance. The system finds shortest path between any two arbitrary nodes for user navigation. In addition, it is extendable having the capability to cover new sections by installing new nodes at any place in the building. The system can be used for guidance of the blind people, tourists and new visitors in an indoor environment. The evaluation results reveal that the proposed system can guide users toward their destination in an efficient and accurate manner.</t>
        </is>
      </c>
      <c r="X1968" t="inlineStr">
        <is>
          <t>[Khan, Dawar] Nara Inst Sci &amp; Technol, Interact Media Design Lab, Nara 6300192, Japan; [Ullah, Sehat; Nabi, Syed] Univ Malakand, Dept Comp Sci &amp; IT, Chakdara 18800, Pakistan</t>
        </is>
      </c>
      <c r="Y1968" t="inlineStr">
        <is>
          <t>Nara Institute of Science &amp; Technology; University of Malakand</t>
        </is>
      </c>
      <c r="Z1968" t="inlineStr">
        <is>
          <t>Khan, D (corresponding author), Nara Inst Sci &amp; Technol, Interact Media Design Lab, Nara 6300192, Japan.</t>
        </is>
      </c>
      <c r="AA1968" t="inlineStr">
        <is>
          <t>dawar@is.naist.jp; sehatullah@uom.edu.pk; syed.nabi@uom.edu.pk</t>
        </is>
      </c>
      <c r="AB1968" t="inlineStr">
        <is>
          <t>ullah, sehat/HTT-4581-2023; Khan, Dawar/Q-7730-2019</t>
        </is>
      </c>
      <c r="AC1968" t="inlineStr">
        <is>
          <t>ullah, sehat/0000-0002-1193-9350; Khan, Dawar/0000-0001-5864-1888</t>
        </is>
      </c>
      <c r="AD1968" t="inlineStr">
        <is>
          <t>IGNITE National Technology Fund; Ministry of Information Technology, Government of Pakistan [ICTRDF/TR D/2014/12]</t>
        </is>
      </c>
      <c r="AE1968" t="inlineStr">
        <is>
          <t>IGNITE National Technology Fund; Ministry of Information Technology, Government of Pakistan</t>
        </is>
      </c>
      <c r="AF1968" t="inlineStr">
        <is>
          <t>This project is partially funded by IGNITE National Technology Fund (Formally known as ICT R&amp;D Fund), Ministry of Information Technology, Government of Pakistan (ICTRDF/TR&amp; D/2014/12).</t>
        </is>
      </c>
      <c r="AH1968" t="n">
        <v>56</v>
      </c>
      <c r="AI1968" t="n">
        <v>14</v>
      </c>
      <c r="AJ1968" t="n">
        <v>14</v>
      </c>
      <c r="AK1968" t="n">
        <v>0</v>
      </c>
      <c r="AL1968" t="n">
        <v>16</v>
      </c>
      <c r="AM1968" t="inlineStr">
        <is>
          <t>MDPI</t>
        </is>
      </c>
      <c r="AN1968" t="inlineStr">
        <is>
          <t>BASEL</t>
        </is>
      </c>
      <c r="AO1968" t="inlineStr">
        <is>
          <t>ST ALBAN-ANLAGE 66, CH-4052 BASEL, SWITZERLAND</t>
        </is>
      </c>
      <c r="AQ1968" t="inlineStr">
        <is>
          <t>2072-4292</t>
        </is>
      </c>
      <c r="AS1968" t="inlineStr">
        <is>
          <t>REMOTE SENS-BASEL</t>
        </is>
      </c>
      <c r="AT1968" t="inlineStr">
        <is>
          <t>Remote Sens.</t>
        </is>
      </c>
      <c r="AU1968" t="inlineStr">
        <is>
          <t>DEC 2</t>
        </is>
      </c>
      <c r="AV1968" t="n">
        <v>2019</v>
      </c>
      <c r="AW1968" t="n">
        <v>11</v>
      </c>
      <c r="AX1968" t="n">
        <v>24</v>
      </c>
      <c r="BE1968" t="n">
        <v>3052</v>
      </c>
      <c r="BF1968" t="inlineStr">
        <is>
          <t>10.3390/rs11243052</t>
        </is>
      </c>
      <c r="BG1968">
        <f>HYPERLINK("http://dx.doi.org/10.3390/rs11243052","http://dx.doi.org/10.3390/rs11243052")</f>
        <v/>
      </c>
      <c r="BJ1968" t="n">
        <v>21</v>
      </c>
      <c r="BK1968" t="inlineStr">
        <is>
          <t>Environmental Sciences; Geosciences, Multidisciplinary; Remote Sensing; Imaging Science &amp; Photographic Technology</t>
        </is>
      </c>
      <c r="BL1968" t="inlineStr">
        <is>
          <t>Science Citation Index Expanded (SCI-EXPANDED)</t>
        </is>
      </c>
      <c r="BM1968" t="inlineStr">
        <is>
          <t>Environmental Sciences &amp; Ecology; Geology; Remote Sensing; Imaging Science &amp; Photographic Technology</t>
        </is>
      </c>
      <c r="BN1968" t="inlineStr">
        <is>
          <t>KC7DH</t>
        </is>
      </c>
      <c r="BP1968" t="inlineStr">
        <is>
          <t>gold</t>
        </is>
      </c>
      <c r="BS1968" t="inlineStr">
        <is>
          <t>2023-10-26</t>
        </is>
      </c>
      <c r="BT1968" t="inlineStr">
        <is>
          <t>WOS:000507333400166</t>
        </is>
      </c>
      <c r="BU1968">
        <f>HYPERLINK("https%3A%2F%2Fwww.webofscience.com%2Fwos%2Fwoscc%2Ffull-record%2FWOS:000507333400166","View Full Record in Web of Science")</f>
        <v/>
      </c>
    </row>
    <row r="1969">
      <c r="A1969" t="inlineStr">
        <is>
          <t>J</t>
        </is>
      </c>
      <c r="B1969" t="inlineStr">
        <is>
          <t>Watkins, DJ; McClean, MD; Fraser, AJ; Weinberg, J; Stapleton, HM; Webster, TF</t>
        </is>
      </c>
      <c r="F1969" t="inlineStr">
        <is>
          <t>Watkins, Deborah J.; McClean, Michael D.; Fraser, Alicia J.; Weinberg, Janice; Stapleton, Heather M.; Webster, Thomas F.</t>
        </is>
      </c>
      <c r="J1969" t="inlineStr">
        <is>
          <t>ENVIRONMENT INTERNATIONAL</t>
        </is>
      </c>
      <c r="M1969" t="inlineStr">
        <is>
          <t>English</t>
        </is>
      </c>
      <c r="N1969" t="inlineStr">
        <is>
          <t>Article</t>
        </is>
      </c>
      <c r="T1969" t="inlineStr">
        <is>
          <t>Associations between PBDEs in office air, dust, and surface wipes</t>
        </is>
      </c>
      <c r="U1969" t="inlineStr">
        <is>
          <t>Polybrominated diphenyl ethers; Flame retardants; Indoor exposure; Partitioning; Air-to-dust transport; Offices</t>
        </is>
      </c>
      <c r="V1969" t="inlineStr">
        <is>
          <t>POLYBROMINATED DIPHENYL ETHERS; FLAME RETARDANTS; BREAST-MILK; HOUSE-DUST; EXPOSURE; INDOOR; HORMONE; IMPACT; ENVIRONMENT; HANDWIPES</t>
        </is>
      </c>
      <c r="W1969" t="inlineStr">
        <is>
          <t>Increased use of flame-retardants in office furniture may increase exposure to PBDEs in the office environment. However, partitioning of PBDEs within the office environment is not well understood. Our objectives were to examine relationships between concurrent measures of PBDEs in office air, floor dust and surface wipes. We collected air, dust, and surface wipe samples from 31 offices in Boston, MA. Correlation and linear regression were used to evaluate associations between variables. Geometric mean (GM) concentrations of individual BDE congeners in air and congener specific octanol-air partition coefficients (K-oa) were used to predict GM concentrations in dust and surface wipes and compared to the measured concentrations. GM concentrations of PentaBDEs in office air, dust, and surface wipes were 472 pg/m(3), 2411 ng/g, and 77 pg/cm(2), respectively. BDE209 was detected in 100% of dust samples (GM = 4202 ng/g), 93% of surface wipes (GM = 125 pg/cm(2)), and 39% of air samples. PentaBDEs in dust and air were moderately correlated with each other (r = 0.60, p = 0.0003), as well as with PentaBDEs in surface wipes (r = 0.51, p = 0.003 for both dust and air). BDE209 in dust was correlated with BDE209 in surface wipes (r = 0.69, p = 0.007). Building (three categories) and PentaBDEs in dust were independent predictors of PentaBDEs in both air and surface wipes, together explaining 50% (p = 0.0009) and 48% (p = 0.001) of the variation respectively. Predicted and measured concentrations of individual BDE congeners were highly correlated in dust (r = 0.98, p &lt; 0.0001) and surface wipes (r = 0.94, p = 002). BDE209 provided an interesting test of this equilibrium partitioning model as it is a low volatility compound. Associations between PentaBDEs in multiple sampling media suggest that collecting dust or surface wipes may be a convenient method of characterizing exposure in the indoor environment. The volatility of individual congeners, as well as physical characteristics of the indoor environment, influence relationships between PBDEs in air, dust, and surface wipes. (C) 2013 Elsevier Ltd. All rights reserved.</t>
        </is>
      </c>
      <c r="X1969" t="inlineStr">
        <is>
          <t>[Watkins, Deborah J.; McClean, Michael D.; Fraser, Alicia J.; Webster, Thomas F.] Boston Univ, Sch Publ Hlth, Dept Environm Hlth, Boston, MA 02118 USA; [Weinberg, Janice] Boston Univ, Sch Publ Hlth, Dept Biostat, Boston, MA 02118 USA; [Stapleton, Heather M.] Duke Univ, LSRC, Nicholas Sch Environm, Durham, NC 27708 USA</t>
        </is>
      </c>
      <c r="Y1969" t="inlineStr">
        <is>
          <t>Boston University; Boston University; Duke University</t>
        </is>
      </c>
      <c r="Z1969" t="inlineStr">
        <is>
          <t>Watkins, DJ (corresponding author), Brown Univ, Ctr Environm Hlth &amp; Technol, 121 South Main St,Box G-S121-2, Providence, RI 02912 USA.</t>
        </is>
      </c>
      <c r="AA1969" t="inlineStr">
        <is>
          <t>Deborah_Watkins@brown.edu</t>
        </is>
      </c>
      <c r="AB1969" t="inlineStr">
        <is>
          <t>McClean, Michael D/J-2934-2015; Stapleton, Heather/AAE-7232-2019</t>
        </is>
      </c>
      <c r="AC1969" t="inlineStr">
        <is>
          <t>Stapleton, Heather/0000-0002-9995-6517; McClean, Michael/0000-0002-3902-8823; Weinberg, Janice/0000-0002-3503-0061; Webster, Thomas/0000-0003-4896-9323</t>
        </is>
      </c>
      <c r="AD1969" t="inlineStr">
        <is>
          <t>National Institute of Environmental Health Sciences [R01ES015829, T32ES014562]</t>
        </is>
      </c>
      <c r="AE1969" t="inlineStr">
        <is>
          <t>National Institute of Environmental Health Sciences(United States Department of Health &amp; Human ServicesNational Institutes of Health (NIH) - USANIH National Institute of Environmental Health Sciences (NIEHS))</t>
        </is>
      </c>
      <c r="AF1969" t="inlineStr">
        <is>
          <t>We thank the study participants, Stephanie Chan, Dr. Jessica Nelson, Heather Simpson, Jennifer Valerio, and Dr. Courtney Walker. This work was supported by R01ES015829 and T32ES014562 from the National Institute of Environmental Health Sciences. We also thank Charles Weschler for his helpful suggestions.</t>
        </is>
      </c>
      <c r="AH1969" t="n">
        <v>34</v>
      </c>
      <c r="AI1969" t="n">
        <v>68</v>
      </c>
      <c r="AJ1969" t="n">
        <v>70</v>
      </c>
      <c r="AK1969" t="n">
        <v>2</v>
      </c>
      <c r="AL1969" t="n">
        <v>104</v>
      </c>
      <c r="AM1969" t="inlineStr">
        <is>
          <t>PERGAMON-ELSEVIER SCIENCE LTD</t>
        </is>
      </c>
      <c r="AN1969" t="inlineStr">
        <is>
          <t>OXFORD</t>
        </is>
      </c>
      <c r="AO1969" t="inlineStr">
        <is>
          <t>THE BOULEVARD, LANGFORD LANE, KIDLINGTON, OXFORD OX5 1GB, ENGLAND</t>
        </is>
      </c>
      <c r="AP1969" t="inlineStr">
        <is>
          <t>0160-4120</t>
        </is>
      </c>
      <c r="AQ1969" t="inlineStr">
        <is>
          <t>1873-6750</t>
        </is>
      </c>
      <c r="AS1969" t="inlineStr">
        <is>
          <t>ENVIRON INT</t>
        </is>
      </c>
      <c r="AT1969" t="inlineStr">
        <is>
          <t>Environ. Int.</t>
        </is>
      </c>
      <c r="AU1969" t="inlineStr">
        <is>
          <t>SEP</t>
        </is>
      </c>
      <c r="AV1969" t="n">
        <v>2013</v>
      </c>
      <c r="AW1969" t="n">
        <v>59</v>
      </c>
      <c r="BC1969" t="n">
        <v>124</v>
      </c>
      <c r="BD1969" t="n">
        <v>132</v>
      </c>
      <c r="BF1969" t="inlineStr">
        <is>
          <t>10.1016/j.envint.2013.06.001</t>
        </is>
      </c>
      <c r="BG1969">
        <f>HYPERLINK("http://dx.doi.org/10.1016/j.envint.2013.06.001","http://dx.doi.org/10.1016/j.envint.2013.06.001")</f>
        <v/>
      </c>
      <c r="BJ1969" t="n">
        <v>9</v>
      </c>
      <c r="BK1969" t="inlineStr">
        <is>
          <t>Environmental Sciences</t>
        </is>
      </c>
      <c r="BL1969" t="inlineStr">
        <is>
          <t>Science Citation Index Expanded (SCI-EXPANDED)</t>
        </is>
      </c>
      <c r="BM1969" t="inlineStr">
        <is>
          <t>Environmental Sciences &amp; Ecology</t>
        </is>
      </c>
      <c r="BN1969" t="inlineStr">
        <is>
          <t>224PQ</t>
        </is>
      </c>
      <c r="BO1969" t="n">
        <v>23797055</v>
      </c>
      <c r="BP1969" t="inlineStr">
        <is>
          <t>Green Accepted, hybrid</t>
        </is>
      </c>
      <c r="BS1969" t="inlineStr">
        <is>
          <t>2023-10-26</t>
        </is>
      </c>
      <c r="BT1969" t="inlineStr">
        <is>
          <t>WOS:000324901000014</t>
        </is>
      </c>
      <c r="BU1969">
        <f>HYPERLINK("https%3A%2F%2Fwww.webofscience.com%2Fwos%2Fwoscc%2Ffull-record%2FWOS:000324901000014","View Full Record in Web of Science")</f>
        <v/>
      </c>
    </row>
    <row r="1970">
      <c r="A1970" t="inlineStr">
        <is>
          <t>J</t>
        </is>
      </c>
      <c r="B1970" t="inlineStr">
        <is>
          <t>Morin, J; Brochard, G; Bergé, V; Rosset, A; Artous, S; Clavaguera, S; Strekowski, RS; Wortham, H</t>
        </is>
      </c>
      <c r="F1970" t="inlineStr">
        <is>
          <t>Morin, Julien; Brochard, Gregory; Berge, Virgine; Rosset, Aurelie; Artous, Sebastien; Clavaguera, Simon; Strekowski, Rafal S.; Wortham, Henri</t>
        </is>
      </c>
      <c r="J1970" t="inlineStr">
        <is>
          <t>ENVIRONMENTAL SCIENCE-NANO</t>
        </is>
      </c>
      <c r="M1970" t="inlineStr">
        <is>
          <t>English</t>
        </is>
      </c>
      <c r="N1970" t="inlineStr">
        <is>
          <t>Article</t>
        </is>
      </c>
      <c r="T1970" t="inlineStr">
        <is>
          <t>Uptake of m-xylene and VOC emissions by mineral photocatalytic paints of indoor air building interest</t>
        </is>
      </c>
      <c r="V1970" t="inlineStr">
        <is>
          <t>REACTION MASS-SPECTROMETRY; PTR-MS; ORGANIC-COMPOUNDS; OXIDATION; NANOPARTICLES; ABATEMENT; SURFACE; SAFER; NO2</t>
        </is>
      </c>
      <c r="W1970" t="inlineStr">
        <is>
          <t>Given the toxic nature of many volatile organic compounds (VOCs) present within indoor settings, it behooves the building engineering community to develop control strategies for contaminant removal to mitigate health impacts and improve well-being within indoor building environments. Photocatalytic paints belong to a class of technologies potentially used to obtain self-cleaning wall surfaces for air decontamination within building environments. They offer a promising solution for the building engineering industry involved in paint manufacturing processes to produce paint formulations that limit indoor air pollution and consequently individual exposition of inhabitants. In this work, we report on the uptake efficiency of m-xylene on one reference paint and three mineral paints impregnated with a photocatalytic agent, namely, a conventional photocatalyst containing 3.5% of nano-TiO2 and two new nano-TiO2 photocatalysts coated with polyethylene glycol (PEG 3350) and a hybrid cellulose nanocrystals-nano-TiO2 (CNC) containing 3.5% and 0.5% of nanoparticles, respectively. The photocatalytic degradation of these paints under UV irradiation and the consequent VOC emissions were assessed to evaluate the photocatalytic stability of the nano-TiO2 photocatalytic paints. The experimental results shown neither photocatalytic activity nor VOC emissions for the reference paint containing exclusively micro-TiO2 (that is, no nano-TiO2 material) particles under given experimental conditions. On the other hand, the results showed that the paint containing CNC nanoparticles (NPs) had only a finite photocatalytic effect that was likely due to the low quantity of the nano-TiO2 photocatalyst present within the paint formulation matrix. Furthermore, it was observed that the paints containing nano-TiO2 and PEG 3350 NPs resulted in an important photocatalytic activity that, unfortunately, led to consequential VOC emissions resulting from the polymeric matrix photo-oxidation reactivity under the given experimental conditions employed. Overall, the experimental results indicate that the paint containing PEG 3350 NPs had a greater photocatalytic activity than the paint containing the nano-TiO2 particles. Further, it was observed that the VOC emissions of this PEG 3350 paint decreased with the aging time (28% and 10% for 500 hours and 1000 hours of aging, respectively). Based on these results, the PEG 3350 photocatalyst integrated in mineral paint is a promising indoor air decontamination engineering solution.</t>
        </is>
      </c>
      <c r="X1970" t="inlineStr">
        <is>
          <t>[Morin, Julien; Strekowski, Rafal S.; Wortham, Henri] Aix Marseille Univ, CNRS, LCE, Marseille, France; [Brochard, Gregory; Berge, Virgine] ALLIOS, 185 Chemin St Lambert, F-13821 La Penne Sur Huveaune, France; [Rosset, Aurelie; Artous, Sebastien; Clavaguera, Simon] Univ Grenoble Alpes, CEA, LITEN, DTNM,LMSE, F-38000 Grenoble, France; [Strekowski, Rafal S.] Now Aix Marseille Univ, CNRS, Cent Marseille, ISM2, Marseille, France</t>
        </is>
      </c>
      <c r="Y1970" t="inlineStr">
        <is>
          <t>Centre National de la Recherche Scientifique (CNRS); UDICE-French Research Universities; Aix-Marseille Universite; Communaute Universite Grenoble Alpes; UDICE-French Research Universities; Universite Grenoble Alpes (UGA); CEA; UDICE-French Research Universities; Aix-Marseille Universite; Centre National de la Recherche Scientifique (CNRS)</t>
        </is>
      </c>
      <c r="Z1970" t="inlineStr">
        <is>
          <t>Wortham, H (corresponding author), Aix Marseille Univ, CNRS, LCE, Marseille, France.</t>
        </is>
      </c>
      <c r="AA1970" t="inlineStr">
        <is>
          <t>henri.wortham@univ-amu.fr</t>
        </is>
      </c>
      <c r="AC1970" t="inlineStr">
        <is>
          <t>ARTOUS, Sebastien/0000-0001-7581-2714; Wortham, Henri/0000-0002-7778-8188</t>
        </is>
      </c>
      <c r="AD1970" t="inlineStr">
        <is>
          <t>French National Research Agency (ANR) through the PIA (Programme Investissement d'Avenir) [ANR-11-LABX-0064]</t>
        </is>
      </c>
      <c r="AE1970" t="inlineStr">
        <is>
          <t>French National Research Agency (ANR) through the PIA (Programme Investissement d'Avenir)(Agence Nationale de la Recherche (ANR))</t>
        </is>
      </c>
      <c r="AF1970" t="inlineStr">
        <is>
          <t>The authors thank and acknowledge Isabelle Michaud-Soret (CEA, Grenoble) for the synthesis of PEG 3350 nanoparticles, Isabelle Capron (INRA, Nantes) for the synthesis of CNC nanoparticles. The authors acknowledge gratefully LABEX SERENADE (no. ANR-11-LABX-0064) funded by the French National Research Agency (ANR) through the PIA (Programme Investissement d'Avenir).</t>
        </is>
      </c>
      <c r="AH1970" t="n">
        <v>46</v>
      </c>
      <c r="AI1970" t="n">
        <v>1</v>
      </c>
      <c r="AJ1970" t="n">
        <v>1</v>
      </c>
      <c r="AK1970" t="n">
        <v>14</v>
      </c>
      <c r="AL1970" t="n">
        <v>14</v>
      </c>
      <c r="AM1970" t="inlineStr">
        <is>
          <t>ROYAL SOC CHEMISTRY</t>
        </is>
      </c>
      <c r="AN1970" t="inlineStr">
        <is>
          <t>CAMBRIDGE</t>
        </is>
      </c>
      <c r="AO1970" t="inlineStr">
        <is>
          <t>THOMAS GRAHAM HOUSE, SCIENCE PARK, MILTON RD, CAMBRIDGE CB4 0WF, CAMBS, ENGLAND</t>
        </is>
      </c>
      <c r="AP1970" t="inlineStr">
        <is>
          <t>2051-8153</t>
        </is>
      </c>
      <c r="AQ1970" t="inlineStr">
        <is>
          <t>2051-8161</t>
        </is>
      </c>
      <c r="AS1970" t="inlineStr">
        <is>
          <t>ENVIRON SCI-NANO</t>
        </is>
      </c>
      <c r="AT1970" t="inlineStr">
        <is>
          <t>Environ. Sci.-Nano</t>
        </is>
      </c>
      <c r="AU1970" t="inlineStr">
        <is>
          <t>JUN 15</t>
        </is>
      </c>
      <c r="AV1970" t="n">
        <v>2023</v>
      </c>
      <c r="AW1970" t="n">
        <v>10</v>
      </c>
      <c r="AX1970" t="n">
        <v>6</v>
      </c>
      <c r="BC1970" t="n">
        <v>1704</v>
      </c>
      <c r="BD1970" t="n">
        <v>1714</v>
      </c>
      <c r="BF1970" t="inlineStr">
        <is>
          <t>10.1039/d3en00084b</t>
        </is>
      </c>
      <c r="BG1970">
        <f>HYPERLINK("http://dx.doi.org/10.1039/d3en00084b","http://dx.doi.org/10.1039/d3en00084b")</f>
        <v/>
      </c>
      <c r="BI1970" t="inlineStr">
        <is>
          <t>MAY 2023</t>
        </is>
      </c>
      <c r="BJ1970" t="n">
        <v>11</v>
      </c>
      <c r="BK1970" t="inlineStr">
        <is>
          <t>Chemistry, Multidisciplinary; Environmental Sciences; Nanoscience &amp; Nanotechnology</t>
        </is>
      </c>
      <c r="BL1970" t="inlineStr">
        <is>
          <t>Science Citation Index Expanded (SCI-EXPANDED)</t>
        </is>
      </c>
      <c r="BM1970" t="inlineStr">
        <is>
          <t>Chemistry; Environmental Sciences &amp; Ecology; Science &amp; Technology - Other Topics</t>
        </is>
      </c>
      <c r="BN1970" t="inlineStr">
        <is>
          <t>I8FP6</t>
        </is>
      </c>
      <c r="BS1970" t="inlineStr">
        <is>
          <t>2023-10-26</t>
        </is>
      </c>
      <c r="BT1970" t="inlineStr">
        <is>
          <t>WOS:000990107500001</t>
        </is>
      </c>
      <c r="BU1970">
        <f>HYPERLINK("https%3A%2F%2Fwww.webofscience.com%2Fwos%2Fwoscc%2Ffull-record%2FWOS:000990107500001","View Full Record in Web of Science")</f>
        <v/>
      </c>
    </row>
    <row r="1971">
      <c r="A1971" t="inlineStr">
        <is>
          <t>J</t>
        </is>
      </c>
      <c r="B1971" t="inlineStr">
        <is>
          <t>Davies, A; French, DP; Devereux-Fitzgerald, A; Boulton, E; Todd, C; Phillipson, C; McGowan, LJ; Powell, R</t>
        </is>
      </c>
      <c r="F1971" t="inlineStr">
        <is>
          <t>Davies, Amy; French, David P.; Devereux-Fitzgerald, Angela; Boulton, Elisabeth; Todd, Chris; Phillipson, Chris; McGowan, Laura J.; Powell, Rachael</t>
        </is>
      </c>
      <c r="J1971" t="inlineStr">
        <is>
          <t>INTERNATIONAL JOURNAL OF ENVIRONMENTAL RESEARCH AND PUBLIC HEALTH</t>
        </is>
      </c>
      <c r="M1971" t="inlineStr">
        <is>
          <t>English</t>
        </is>
      </c>
      <c r="N1971" t="inlineStr">
        <is>
          <t>Article</t>
        </is>
      </c>
      <c r="T1971" t="inlineStr">
        <is>
          <t>How Do Decision Makers and Service Providers Experience Participatory Approaches to Developing and Implementing Physical Activity Interventions with Older Adults? A Thematic Analysis</t>
        </is>
      </c>
      <c r="U1971" t="inlineStr">
        <is>
          <t>physical activity; older adults; co-production; co-design; place-based; engagement; acceptability; sustainability; healthy ageing; intervention</t>
        </is>
      </c>
      <c r="V1971" t="inlineStr">
        <is>
          <t>DARK SIDE; COPRODUCTION; MAINTENANCE; VOLUNTEERS; IMPACT</t>
        </is>
      </c>
      <c r="W1971" t="inlineStr">
        <is>
          <t>Background: Physical activity has numerous health and well-being benefits for older adults, but many older adults are inactive. Interventions designed to increase physical activity in older adults have typically only produced small effects and have not achieved long-term changes. There is increasing interest in participatory approaches to promoting physical activity, such as co-production, co-design and place-based approaches, but they have typically involved researchers as participants. This study aimed to understand the experiences of decision-makers and service developers with the introduction of such participatory approaches when developing new physical activity programmes outside of a research setting. Methods: Semi-structured, qualitative interviews were conducted with 20 individuals who were involved in commissioning or developing the Greater Manchester Active Ageing Programme. This programme involved funding eight local authorities within Greater Manchester, England, to produce physical activity projects for older adults, involving participatory approaches. An inductive thematic analysis was conducted, structured using the Framework approach. Results: Interviewees identified important benefits of the participatory approaches. The increased involvement of older adults led to older adults contributing valuable ideas, becoming involved in and taking ownership of projects. Interviewees identified the need to move away from traditional emphases on increasing physical activity to improve health, towards focussing on social and fun elements. The accessibility of the session location and information was considered important. Challenges were also identified. In particular, it was recognised that the new approaches require significant time investment to do well, as trusting relationships with older adults and partner organisations need to be developed. Ensuring the sustainability of projects in the context of short-term funding cycles was a concern. Conclusions: Incorporating participatory approaches was perceived to yield important benefits. Interviewees highlighted that to ensure success, sufficient time needs to be provided to develop good working relationships with older adults and partner organisations. They also emphasised that sufficient funding to ensure adequate staffing and the sustainability of projects is required to allow benefits to be gained. Importantly, the implementation of these approaches appears feasible across a range of local authorities.</t>
        </is>
      </c>
      <c r="X1971" t="inlineStr">
        <is>
          <t>[Davies, Amy; French, David P.; Devereux-Fitzgerald, Angela; Powell, Rachael] Univ Manchester, Sch Hlth Sci, Div Psychol &amp; Mental Hlth, Manchester Ctr Hlth Psychol, Manchester M13 9PL, Lancs, England; [Davies, Amy; French, David P.; Devereux-Fitzgerald, Angela; Boulton, Elisabeth; Todd, Chris; Powell, Rachael] Manchester Acad Hlth Sci Ctr, Manchester M13 9PL, Lancs, England; [French, David P.; Todd, Chris] Appl Res Collaborat Greater Manchester, Natl Inst Hlth Res, Manchester M13 9PL, Lancs, England; [Boulton, Elisabeth; Todd, Chris] Univ Manchester, Sch Hlth Sci, Div Nursing Midwifery &amp; Social Work, Manchester M13 9PL, Lancs, England; [Phillipson, Chris] Univ Manchester, Sch Social Sci, Manchester M13 9PL, Lancs, England; [McGowan, Laura J.] Newcastle Univ, Populat Hlth Sci Inst, Newcastle Upon Tyne NE1 7RU, Tyne &amp; Wear, England</t>
        </is>
      </c>
      <c r="Y1971" t="inlineStr">
        <is>
          <t>University of Manchester; University of Manchester; University of Manchester; University of Manchester; University of Manchester; Newcastle University - UK</t>
        </is>
      </c>
      <c r="Z1971" t="inlineStr">
        <is>
          <t>French, DP (corresponding author), Univ Manchester, Sch Hlth Sci, Div Psychol &amp; Mental Hlth, Manchester Ctr Hlth Psychol, Manchester M13 9PL, Lancs, England.;French, DP (corresponding author), Manchester Acad Hlth Sci Ctr, Manchester M13 9PL, Lancs, England.;French, DP (corresponding author), Appl Res Collaborat Greater Manchester, Natl Inst Hlth Res, Manchester M13 9PL, Lancs, England.</t>
        </is>
      </c>
      <c r="AA1971" t="inlineStr">
        <is>
          <t>amy.davies@manchester.ac.uk; david.french@manchester.ac.uk; Angela.Devereux@manchester.ac.uk; elisabeth.boulton@manchester.ac.uk; Chris.Todd@manchester.ac.uk; christopher.phillipson@manchester.ac.uk; laura.mcgowan@newcastle.ac.uk; rachael.powell@manchester.ac.uk</t>
        </is>
      </c>
      <c r="AB1971" t="inlineStr">
        <is>
          <t>Todd, Chris/A-7904-2010; Boulton, Elisabeth/F-7410-2014; French, David/K-7283-2012</t>
        </is>
      </c>
      <c r="AC1971" t="inlineStr">
        <is>
          <t>Todd, Chris/0000-0001-6645-4505; Phillipson, Chris/0000-0001-6220-2722; Boulton, Elisabeth/0000-0003-2791-8295; Davies, Amy/0000-0003-1741-2661; McGowan, Laura/0000-0002-4054-9300; French, David/0000-0002-7663-7804</t>
        </is>
      </c>
      <c r="AD1971" t="inlineStr">
        <is>
          <t>Sport England to Greater Sport; Economic and Social Research Council as part of the North-West Social Science Doctoral Training Partnership [7325648]; National Institute for Health Research Applied Research Collaboration, Greater Manchester</t>
        </is>
      </c>
      <c r="AE1971" t="inlineStr">
        <is>
          <t>Sport England to Greater Sport; Economic and Social Research Council as part of the North-West Social Science Doctoral Training Partnership; National Institute for Health Research Applied Research Collaboration, Greater Manchester</t>
        </is>
      </c>
      <c r="AF1971" t="inlineStr">
        <is>
          <t>This study was carried out as part of the Greater Manchester Active Ageing programme evaluation. Funding for both the programme and evaluation was provided by Sport England to Greater Sport, who subcontracted this evaluation. LMcG was also funded by the Economic and Social Research Council as part of the North-West Social Science Doctoral Training Partnership (Grant 7325648). This paper presents independent research partly funded by the National Institute for Health Research Applied Research Collaboration, Greater Manchester. The views expressed are those of the authors and not necessarily those of the NIHR or the Department of Health and Social Care.</t>
        </is>
      </c>
      <c r="AH1971" t="n">
        <v>29</v>
      </c>
      <c r="AI1971" t="n">
        <v>0</v>
      </c>
      <c r="AJ1971" t="n">
        <v>0</v>
      </c>
      <c r="AK1971" t="n">
        <v>1</v>
      </c>
      <c r="AL1971" t="n">
        <v>8</v>
      </c>
      <c r="AM1971" t="inlineStr">
        <is>
          <t>MDPI</t>
        </is>
      </c>
      <c r="AN1971" t="inlineStr">
        <is>
          <t>BASEL</t>
        </is>
      </c>
      <c r="AO1971" t="inlineStr">
        <is>
          <t>ST ALBAN-ANLAGE 66, CH-4052 BASEL, SWITZERLAND</t>
        </is>
      </c>
      <c r="AQ1971" t="inlineStr">
        <is>
          <t>1660-4601</t>
        </is>
      </c>
      <c r="AS1971" t="inlineStr">
        <is>
          <t>INT J ENV RES PUB HE</t>
        </is>
      </c>
      <c r="AT1971" t="inlineStr">
        <is>
          <t>Int. J. Environ. Res. Public Health</t>
        </is>
      </c>
      <c r="AU1971" t="inlineStr">
        <is>
          <t>FEB</t>
        </is>
      </c>
      <c r="AV1971" t="n">
        <v>2021</v>
      </c>
      <c r="AW1971" t="n">
        <v>18</v>
      </c>
      <c r="AX1971" t="n">
        <v>4</v>
      </c>
      <c r="BE1971" t="n">
        <v>2172</v>
      </c>
      <c r="BF1971" t="inlineStr">
        <is>
          <t>10.3390/ijerph18042172</t>
        </is>
      </c>
      <c r="BG1971">
        <f>HYPERLINK("http://dx.doi.org/10.3390/ijerph18042172","http://dx.doi.org/10.3390/ijerph18042172")</f>
        <v/>
      </c>
      <c r="BJ1971" t="n">
        <v>12</v>
      </c>
      <c r="BK1971" t="inlineStr">
        <is>
          <t>Environmental Sciences; Public, Environmental &amp; Occupational Health</t>
        </is>
      </c>
      <c r="BL1971" t="inlineStr">
        <is>
          <t>Science Citation Index Expanded (SCI-EXPANDED); Social Science Citation Index (SSCI)</t>
        </is>
      </c>
      <c r="BM1971" t="inlineStr">
        <is>
          <t>Environmental Sciences &amp; Ecology; Public, Environmental &amp; Occupational Health</t>
        </is>
      </c>
      <c r="BN1971" t="inlineStr">
        <is>
          <t>QP0OT</t>
        </is>
      </c>
      <c r="BO1971" t="n">
        <v>33672192</v>
      </c>
      <c r="BP1971" t="inlineStr">
        <is>
          <t>Green Published, gold</t>
        </is>
      </c>
      <c r="BS1971" t="inlineStr">
        <is>
          <t>2023-10-26</t>
        </is>
      </c>
      <c r="BT1971" t="inlineStr">
        <is>
          <t>WOS:000623537900001</t>
        </is>
      </c>
      <c r="BU1971">
        <f>HYPERLINK("https%3A%2F%2Fwww.webofscience.com%2Fwos%2Fwoscc%2Ffull-record%2FWOS:000623537900001","View Full Record in Web of Science")</f>
        <v/>
      </c>
    </row>
    <row r="1972">
      <c r="A1972" t="inlineStr">
        <is>
          <t>J</t>
        </is>
      </c>
      <c r="B1972" t="inlineStr">
        <is>
          <t>Rosso, F; Pisello, AL; Castaldo, VL; Ferrero, M; Cotana, F</t>
        </is>
      </c>
      <c r="F1972" t="inlineStr">
        <is>
          <t>Rosso, Federica; Pisello, Anna Laura; Castaldo, Veronica Lucia; Ferrero, Marco; Cotana, Franco</t>
        </is>
      </c>
      <c r="J1972" t="inlineStr">
        <is>
          <t>SUSTAINABILITY</t>
        </is>
      </c>
      <c r="M1972" t="inlineStr">
        <is>
          <t>English</t>
        </is>
      </c>
      <c r="N1972" t="inlineStr">
        <is>
          <t>Article</t>
        </is>
      </c>
      <c r="T1972" t="inlineStr">
        <is>
          <t>On Innovative Cool-Colored Materials for Building Envelopes: Balancing the Architectural Appearance and the Thermal-Energy Performance in Historical Districts</t>
        </is>
      </c>
      <c r="U1972" t="inlineStr">
        <is>
          <t>cool-colored materials; cement-based materials; historical districts; energy performance; passive solutions; cool envelope; cool roof; dynamic simulation; thermal-optic characteristics</t>
        </is>
      </c>
      <c r="V1972" t="inlineStr">
        <is>
          <t>RESIDENTIAL BUILDINGS; TRADITIONAL BUILDINGS; NATURAL VENTILATION; OPTICAL-PROPERTIES; RETROFIT; MICROCLIMATE; STRATEGIES; COATINGS; FACADES; SAVINGS</t>
        </is>
      </c>
      <c r="W1972" t="inlineStr">
        <is>
          <t>Architectural expression and energy performance are key decision-drivers in the selection of a particular construction element, with the purpose of Urban Heat Island mitigation, energy-consumption reductions, and cultural heritage preservation in historical centers. In historical centers, the external layer of the envelope and the visible parts of the building are built with traditional materials and technological solutions, such as single-layer walls or brickworks, depending on the country's context, while the energy performance is usually optimized by means of internal insulation layers, or other active and passive solutions. Thermal-energy efficient materials and construction elements for the temperate, warm climate of the Mediterranean area are usually light-colored to reflect the largest part of solar radiation, thus reducing energy demands for cooling and improving thermal comfort conditions for occupants. On the other hand, many historical centers in such areas are characterized by reddish or grayish colors. In this work, we considered Italian historical areas, and other countries in the Mediterranean area with present similar situations. Thus, in this study, innovative, cool-colored, cement-based materials were developed to improve the thermal-energy performance of the external envelope of historical/historic built environments, without altering their appearance. These materials were prepared directly on-site, by mixing two types of pigments to achieve the desired color saturation. Optic and thermal properties were assessed, and yearly dynamic simulations of a historic, listed, case study building were performed, by comparing traditional-colored mortar and the prototype cool mortar envelopes. The research demonstrates that such cool-colored materials can maintain lower surface temperatures (-8 degrees C), while reducing energy demands for cooling (-3%).</t>
        </is>
      </c>
      <c r="X1972" t="inlineStr">
        <is>
          <t>[Rosso, Federica; Ferrero, Marco] Sapienza Univ Rome, Dept Civil Construct &amp; Environm Engn, Via Eudossiana 18, I-00184 Rome, Italy; [Pisello, Anna Laura; Castaldo, Veronica Lucia; Cotana, Franco] Univ Perugia, Dept Engn, Via G Duranti 67, I-06125 Perugia, Italy</t>
        </is>
      </c>
      <c r="Y1972" t="inlineStr">
        <is>
          <t>Sapienza University Rome; University of Perugia</t>
        </is>
      </c>
      <c r="Z1972" t="inlineStr">
        <is>
          <t>Rosso, F (corresponding author), Sapienza Univ Rome, Dept Civil Construct &amp; Environm Engn, Via Eudossiana 18, I-00184 Rome, Italy.</t>
        </is>
      </c>
      <c r="AA1972" t="inlineStr">
        <is>
          <t>federica.rosso@uniroma1.it; anna.pisello@unipg.it; castaldo@crbnet.it; marco.ferrero@uniroma1.it; franco.cotana@unipg.it</t>
        </is>
      </c>
      <c r="AB1972" t="inlineStr">
        <is>
          <t>Rosso, Federica/AAL-3321-2020</t>
        </is>
      </c>
      <c r="AC1972" t="inlineStr">
        <is>
          <t>Rosso, Federica/0000-0003-2151-3780; PISELLO, ANNA LAURA/0000-0002-4527-6444; Ferrero, Marco/0000-0001-5600-0390</t>
        </is>
      </c>
      <c r="AD1972" t="inlineStr">
        <is>
          <t>UNESCO Chair Water Resources Management and Culture; H2CU, the Honors Center of Italian Universities</t>
        </is>
      </c>
      <c r="AE1972" t="inlineStr">
        <is>
          <t>UNESCO Chair Water Resources Management and Culture; H2CU, the Honors Center of Italian Universities</t>
        </is>
      </c>
      <c r="AF1972" t="inlineStr">
        <is>
          <t>Anna Laura Pisello acknowledges the UNESCO Chair Water Resources Management and Culture, for supporting her research. This work was carried out thanks to the support of H2CU, the Honors Center of Italian Universities, for scientific cooperation.</t>
        </is>
      </c>
      <c r="AH1972" t="n">
        <v>51</v>
      </c>
      <c r="AI1972" t="n">
        <v>18</v>
      </c>
      <c r="AJ1972" t="n">
        <v>18</v>
      </c>
      <c r="AK1972" t="n">
        <v>3</v>
      </c>
      <c r="AL1972" t="n">
        <v>21</v>
      </c>
      <c r="AM1972" t="inlineStr">
        <is>
          <t>MDPI</t>
        </is>
      </c>
      <c r="AN1972" t="inlineStr">
        <is>
          <t>BASEL</t>
        </is>
      </c>
      <c r="AO1972" t="inlineStr">
        <is>
          <t>ST ALBAN-ANLAGE 66, CH-4052 BASEL, SWITZERLAND</t>
        </is>
      </c>
      <c r="AQ1972" t="inlineStr">
        <is>
          <t>2071-1050</t>
        </is>
      </c>
      <c r="AS1972" t="inlineStr">
        <is>
          <t>SUSTAINABILITY-BASEL</t>
        </is>
      </c>
      <c r="AT1972" t="inlineStr">
        <is>
          <t>Sustainability</t>
        </is>
      </c>
      <c r="AU1972" t="inlineStr">
        <is>
          <t>DEC</t>
        </is>
      </c>
      <c r="AV1972" t="n">
        <v>2017</v>
      </c>
      <c r="AW1972" t="n">
        <v>9</v>
      </c>
      <c r="AX1972" t="n">
        <v>12</v>
      </c>
      <c r="BE1972" t="n">
        <v>2319</v>
      </c>
      <c r="BF1972" t="inlineStr">
        <is>
          <t>10.3390/su9122319</t>
        </is>
      </c>
      <c r="BG1972">
        <f>HYPERLINK("http://dx.doi.org/10.3390/su9122319","http://dx.doi.org/10.3390/su9122319")</f>
        <v/>
      </c>
      <c r="BJ1972" t="n">
        <v>13</v>
      </c>
      <c r="BK1972" t="inlineStr">
        <is>
          <t>Green &amp; Sustainable Science &amp; Technology; Environmental Sciences; Environmental Studies</t>
        </is>
      </c>
      <c r="BL1972" t="inlineStr">
        <is>
          <t>Science Citation Index Expanded (SCI-EXPANDED); Social Science Citation Index (SSCI)</t>
        </is>
      </c>
      <c r="BM1972" t="inlineStr">
        <is>
          <t>Science &amp; Technology - Other Topics; Environmental Sciences &amp; Ecology</t>
        </is>
      </c>
      <c r="BN1972" t="inlineStr">
        <is>
          <t>FR7FA</t>
        </is>
      </c>
      <c r="BP1972" t="inlineStr">
        <is>
          <t>Green Published, Green Submitted, gold</t>
        </is>
      </c>
      <c r="BS1972" t="inlineStr">
        <is>
          <t>2023-10-26</t>
        </is>
      </c>
      <c r="BT1972" t="inlineStr">
        <is>
          <t>WOS:000419231500165</t>
        </is>
      </c>
      <c r="BU1972">
        <f>HYPERLINK("https%3A%2F%2Fwww.webofscience.com%2Fwos%2Fwoscc%2Ffull-record%2FWOS:000419231500165","View Full Record in Web of Science")</f>
        <v/>
      </c>
    </row>
    <row r="1973">
      <c r="A1973" t="inlineStr">
        <is>
          <t>J</t>
        </is>
      </c>
      <c r="B1973" t="inlineStr">
        <is>
          <t>Kalalian, C; Abis, L; Depoorter, A; Lunardelli, B; Perrier, S; George, C</t>
        </is>
      </c>
      <c r="F1973" t="inlineStr">
        <is>
          <t>Kalalian, Carmen; Abis, Letizia; Depoorter, Antoine; Lunardelli, Bastien; Perrier, Sebastien; George, Christian</t>
        </is>
      </c>
      <c r="J1973" t="inlineStr">
        <is>
          <t>SCIENCE OF THE TOTAL ENVIRONMENT</t>
        </is>
      </c>
      <c r="M1973" t="inlineStr">
        <is>
          <t>English</t>
        </is>
      </c>
      <c r="N1973" t="inlineStr">
        <is>
          <t>Article</t>
        </is>
      </c>
      <c r="T1973" t="inlineStr">
        <is>
          <t>Influence of indoor chemistry on the emission of mVOCs from Aspergillus niger molds</t>
        </is>
      </c>
      <c r="U1973" t="inlineStr">
        <is>
          <t>Aspergillus niger; Molds; Microbial volatile organic compounds mVOC; Indoor air quality; Light effect; Cultivation time; Relative humidity</t>
        </is>
      </c>
      <c r="V1973" t="inlineStr">
        <is>
          <t>VOLATILE ORGANIC-COMPOUNDS; GAS-PHASE REACTIONS; OH RADICALS; COMPOUND EMISSIONS; FUNGAL DEVELOPMENT; BUILDING-MATERIALS; ESCHERISCHIA-COLI; HYDROXYL RADICALS; RATE CONSTANTS; NO3 RADICALS</t>
        </is>
      </c>
      <c r="W1973" t="inlineStr">
        <is>
          <t>People spend 80% of their time indoors exposed to poor air quality due to mold growth in humid air as well as human activities (painting, cooking, cleaning, smoking...). To better understand the impact of molds on indoor air quality, we studied the emission of microbial Volatile Organic Compounds (mVOCs) from Aspergillus niger, cultivated on malt agar extract, using a high-resolution proton transfer reactiontime of flightmass spectrometer (PTR-TOF-MS). These emissions were studied for different cultivation time and indoor relative humidities. Our results show that the concentration of the known C4-C9 mVOCs tracers of the microbial activity (like 1octen-3-ol, 3-methylfuran, 2-pentanone, dimethyl sulfide, dimethyl disulfide, nitromethane, 1,3-octadiene...) was the highest in the early stage of growth. However, these emissions decreased substantially after a cultivation time of 10-14 days and were highly affected by the relative humidity. In addition, the emissions of certain mVOCs were sensitive to indoor light, suggesting an impact of photochemistry on the relative amounts of indoor mVOCs. Based on this study, an estimation of the mVOC concentration for a standard living room was established at different air exchange rates and their indoor lifetimes toward hydroxyl radicals and ozone were also estimated. These findings give insights on possible mVOCs levels in moisture-damaged buildings for an early detection of microbial activity and new evidences about the effect of indoor light on their emission. (c) 2020 Elsevier B.V. All rights reserved.</t>
        </is>
      </c>
      <c r="X1973" t="inlineStr">
        <is>
          <t>[Kalalian, Carmen; Abis, Letizia; Depoorter, Antoine; Lunardelli, Bastien; Perrier, Sebastien; George, Christian] Univ Claude Bernard Lyon 1, Univ Lyon, CNRS, IRCELYON, F-69626 Villeurbanne, France</t>
        </is>
      </c>
      <c r="Y1973" t="inlineStr">
        <is>
          <t>Centre National de la Recherche Scientifique (CNRS); UDICE-French Research Universities; Universite Claude Bernard Lyon 1</t>
        </is>
      </c>
      <c r="Z1973" t="inlineStr">
        <is>
          <t>George, C (corresponding author), Univ Claude Bernard Lyon 1, Univ Lyon, CNRS, IRCELYON, F-69626 Villeurbanne, France.</t>
        </is>
      </c>
      <c r="AA1973" t="inlineStr">
        <is>
          <t>christian.george@ircelyon.univ-lyon1.fr</t>
        </is>
      </c>
      <c r="AB1973" t="inlineStr">
        <is>
          <t>George, Christian/F-5220-2018</t>
        </is>
      </c>
      <c r="AC1973" t="inlineStr">
        <is>
          <t>George, Christian/0000-0003-1578-7056; Abis, Letizia/0000-0002-7465-0087; kalalian, Carmen/0000-0002-9765-9738</t>
        </is>
      </c>
      <c r="AD1973" t="inlineStr">
        <is>
          <t>Alfred P. Sloan Foundation under its Chemistry of Indoor Environments program</t>
        </is>
      </c>
      <c r="AE1973" t="inlineStr">
        <is>
          <t>Alfred P. Sloan Foundation under its Chemistry of Indoor Environments program(Alfred P. Sloan Foundation)</t>
        </is>
      </c>
      <c r="AF1973" t="inlineStr">
        <is>
          <t>This work was supported by the Alfred P. Sloan Foundation under its Chemistry of Indoor Environments program.</t>
        </is>
      </c>
      <c r="AH1973" t="n">
        <v>74</v>
      </c>
      <c r="AI1973" t="n">
        <v>10</v>
      </c>
      <c r="AJ1973" t="n">
        <v>10</v>
      </c>
      <c r="AK1973" t="n">
        <v>1</v>
      </c>
      <c r="AL1973" t="n">
        <v>36</v>
      </c>
      <c r="AM1973" t="inlineStr">
        <is>
          <t>ELSEVIER</t>
        </is>
      </c>
      <c r="AN1973" t="inlineStr">
        <is>
          <t>AMSTERDAM</t>
        </is>
      </c>
      <c r="AO1973" t="inlineStr">
        <is>
          <t>RADARWEG 29, 1043 NX AMSTERDAM, NETHERLANDS</t>
        </is>
      </c>
      <c r="AP1973" t="inlineStr">
        <is>
          <t>0048-9697</t>
        </is>
      </c>
      <c r="AQ1973" t="inlineStr">
        <is>
          <t>1879-1026</t>
        </is>
      </c>
      <c r="AS1973" t="inlineStr">
        <is>
          <t>SCI TOTAL ENVIRON</t>
        </is>
      </c>
      <c r="AT1973" t="inlineStr">
        <is>
          <t>Sci. Total Environ.</t>
        </is>
      </c>
      <c r="AU1973" t="inlineStr">
        <is>
          <t>NOV 1</t>
        </is>
      </c>
      <c r="AV1973" t="n">
        <v>2020</v>
      </c>
      <c r="AW1973" t="n">
        <v>741</v>
      </c>
      <c r="BE1973" t="n">
        <v>140148</v>
      </c>
      <c r="BF1973" t="inlineStr">
        <is>
          <t>10.1016/j.scitotenv.2020.140148</t>
        </is>
      </c>
      <c r="BG1973">
        <f>HYPERLINK("http://dx.doi.org/10.1016/j.scitotenv.2020.140148","http://dx.doi.org/10.1016/j.scitotenv.2020.140148")</f>
        <v/>
      </c>
      <c r="BJ1973" t="n">
        <v>13</v>
      </c>
      <c r="BK1973" t="inlineStr">
        <is>
          <t>Environmental Sciences</t>
        </is>
      </c>
      <c r="BL1973" t="inlineStr">
        <is>
          <t>Science Citation Index Expanded (SCI-EXPANDED)</t>
        </is>
      </c>
      <c r="BM1973" t="inlineStr">
        <is>
          <t>Environmental Sciences &amp; Ecology</t>
        </is>
      </c>
      <c r="BN1973" t="inlineStr">
        <is>
          <t>NN5GT</t>
        </is>
      </c>
      <c r="BO1973" t="n">
        <v>32610229</v>
      </c>
      <c r="BP1973" t="inlineStr">
        <is>
          <t>hybrid, Green Published</t>
        </is>
      </c>
      <c r="BS1973" t="inlineStr">
        <is>
          <t>2023-10-26</t>
        </is>
      </c>
      <c r="BT1973" t="inlineStr">
        <is>
          <t>WOS:000568817700012</t>
        </is>
      </c>
      <c r="BU1973">
        <f>HYPERLINK("https%3A%2F%2Fwww.webofscience.com%2Fwos%2Fwoscc%2Ffull-record%2FWOS:000568817700012","View Full Record in Web of Science")</f>
        <v/>
      </c>
    </row>
    <row r="1974">
      <c r="A1974" t="inlineStr">
        <is>
          <t>J</t>
        </is>
      </c>
      <c r="B1974" t="inlineStr">
        <is>
          <t>Lu, JF</t>
        </is>
      </c>
      <c r="F1974" t="inlineStr">
        <is>
          <t>Lu, Jianfeng</t>
        </is>
      </c>
      <c r="J1974" t="inlineStr">
        <is>
          <t>ATMOSPHERE</t>
        </is>
      </c>
      <c r="M1974" t="inlineStr">
        <is>
          <t>English</t>
        </is>
      </c>
      <c r="N1974" t="inlineStr">
        <is>
          <t>Article</t>
        </is>
      </c>
      <c r="T1974" t="inlineStr">
        <is>
          <t>The Influencing Mechanism of Urban Travel Carbon Emissions from the Perspective of Built Environment: The Case of Guangzhou, China</t>
        </is>
      </c>
      <c r="U1974" t="inlineStr">
        <is>
          <t>urban travel; carbon emissions; influencing mechanism; built environment; Guangzhou</t>
        </is>
      </c>
      <c r="V1974" t="inlineStr">
        <is>
          <t>GREENHOUSE-GAS EMISSIONS; CO2 EMISSIONS; ENERGY-CONSUMPTION; SOCIOECONOMIC-FACTORS; TRANSPORTATION; FORM; ASSOCIATIONS; IMPACT; TRIPS</t>
        </is>
      </c>
      <c r="W1974" t="inlineStr">
        <is>
          <t>Urban travel is a major component of urban transport, and the total carbon emissions of urban transport can be effectively reduced if the carbon emissions of residents' travel can be reasonably controlled. Based on the questionnaire data of many different types of residential areas in Guangzhou, the daily travel behaviour of residents was analysed and their travel carbon emissions were calculated. The differences in travel characteristics and travel carbon emissions of residents in different types of residential areas were compared. The influencing factors of residents' travel carbon emissions were divided into three categories: individual socio-economic factors, built environment, and residents' travel behaviour. On this basis, a structural equation model is established to study the impact mechanism of residents' travel carbon emissions. The path relationship between endogenous variables and endogenous variables, as well as the path relationship between exogenous variables and endogenous variables were investigated. The interactions between various influencing factors of residents' travel carbon emissions were examined. The results show that: (1) there are significant differences in residents' travel carbon emissions in different types of municipalities. Residents' travel carbon emissions in Guangzhou are closer to the 60/20 distribution; (2) compared with individual socio-economic factors, the impact of the built environment on travel carbon emissions is more obvious; (3) travel distance and travel mode are the factors that directly affect residents' travel carbon emissions. Proposals have been made to reduce the carbon emissions of residents travelling.</t>
        </is>
      </c>
      <c r="X1974" t="inlineStr">
        <is>
          <t>[Lu, Jianfeng] Nanchang Inst Technol, Coll Business Adm, Nanchang, Peoples R China</t>
        </is>
      </c>
      <c r="Y1974" t="inlineStr">
        <is>
          <t>Nanchang Institute Technology</t>
        </is>
      </c>
      <c r="Z1974" t="inlineStr">
        <is>
          <t>Lu, JF (corresponding author), Nanchang Inst Technol, Coll Business Adm, Nanchang, Peoples R China.</t>
        </is>
      </c>
      <c r="AA1974" t="inlineStr">
        <is>
          <t>2021994802@nit.edu.cn</t>
        </is>
      </c>
      <c r="AD1974" t="inlineStr">
        <is>
          <t>science and technology research project of the Education Department of Jiangxi Province [GJJ211928]; project of high-level talent introduction of the scientific research of the Nanchang Institute of Technology [2021kyqd022]; Jiangxi Provincial University humanities and social science research and planning project [GL22229, GL21126]</t>
        </is>
      </c>
      <c r="AE1974" t="inlineStr">
        <is>
          <t>science and technology research project of the Education Department of Jiangxi Province; project of high-level talent introduction of the scientific research of the Nanchang Institute of Technology; Jiangxi Provincial University humanities and social science research and planning project</t>
        </is>
      </c>
      <c r="AF1974" t="inlineStr">
        <is>
          <t>This research was funded by the science and technology research project of the Education Department of Jiangxi Province (GJJ211928), the project of high-level talent introduction of the scientific research of the Nanchang Institute of Technology (Grant No. 2021kyqd022), and the Jiangxi Provincial University humanities and social science research and planning project (Grant No. GL22229, GL21126).</t>
        </is>
      </c>
      <c r="AH1974" t="n">
        <v>32</v>
      </c>
      <c r="AI1974" t="n">
        <v>0</v>
      </c>
      <c r="AJ1974" t="n">
        <v>0</v>
      </c>
      <c r="AK1974" t="n">
        <v>16</v>
      </c>
      <c r="AL1974" t="n">
        <v>16</v>
      </c>
      <c r="AM1974" t="inlineStr">
        <is>
          <t>MDPI</t>
        </is>
      </c>
      <c r="AN1974" t="inlineStr">
        <is>
          <t>BASEL</t>
        </is>
      </c>
      <c r="AO1974" t="inlineStr">
        <is>
          <t>ST ALBAN-ANLAGE 66, CH-4052 BASEL, SWITZERLAND</t>
        </is>
      </c>
      <c r="AQ1974" t="inlineStr">
        <is>
          <t>2073-4433</t>
        </is>
      </c>
      <c r="AS1974" t="inlineStr">
        <is>
          <t>ATMOSPHERE-BASEL</t>
        </is>
      </c>
      <c r="AT1974" t="inlineStr">
        <is>
          <t>Atmosphere</t>
        </is>
      </c>
      <c r="AU1974" t="inlineStr">
        <is>
          <t>MAR</t>
        </is>
      </c>
      <c r="AV1974" t="n">
        <v>2023</v>
      </c>
      <c r="AW1974" t="n">
        <v>14</v>
      </c>
      <c r="AX1974" t="n">
        <v>3</v>
      </c>
      <c r="BE1974" t="n">
        <v>547</v>
      </c>
      <c r="BF1974" t="inlineStr">
        <is>
          <t>10.3390/atmos14030547</t>
        </is>
      </c>
      <c r="BG1974">
        <f>HYPERLINK("http://dx.doi.org/10.3390/atmos14030547","http://dx.doi.org/10.3390/atmos14030547")</f>
        <v/>
      </c>
      <c r="BJ1974" t="n">
        <v>13</v>
      </c>
      <c r="BK1974" t="inlineStr">
        <is>
          <t>Environmental Sciences; Meteorology &amp; Atmospheric Sciences</t>
        </is>
      </c>
      <c r="BL1974" t="inlineStr">
        <is>
          <t>Science Citation Index Expanded (SCI-EXPANDED)</t>
        </is>
      </c>
      <c r="BM1974" t="inlineStr">
        <is>
          <t>Environmental Sciences &amp; Ecology; Meteorology &amp; Atmospheric Sciences</t>
        </is>
      </c>
      <c r="BN1974" t="inlineStr">
        <is>
          <t>A3IP3</t>
        </is>
      </c>
      <c r="BP1974" t="inlineStr">
        <is>
          <t>gold</t>
        </is>
      </c>
      <c r="BS1974" t="inlineStr">
        <is>
          <t>2023-10-26</t>
        </is>
      </c>
      <c r="BT1974" t="inlineStr">
        <is>
          <t>WOS:000954105800001</t>
        </is>
      </c>
      <c r="BU1974">
        <f>HYPERLINK("https%3A%2F%2Fwww.webofscience.com%2Fwos%2Fwoscc%2Ffull-record%2FWOS:000954105800001","View Full Record in Web of Science")</f>
        <v/>
      </c>
    </row>
    <row r="1975">
      <c r="A1975" t="inlineStr">
        <is>
          <t>J</t>
        </is>
      </c>
      <c r="B1975" t="inlineStr">
        <is>
          <t>Gubb, C; Blanusa, T; Griffiths, A; Pfrang, C</t>
        </is>
      </c>
      <c r="F1975" t="inlineStr">
        <is>
          <t>Gubb, C.; Blanusa, T.; Griffiths, A.; Pfrang, C.</t>
        </is>
      </c>
      <c r="J1975" t="inlineStr">
        <is>
          <t>AIR QUALITY ATMOSPHERE AND HEALTH</t>
        </is>
      </c>
      <c r="M1975" t="inlineStr">
        <is>
          <t>English</t>
        </is>
      </c>
      <c r="N1975" t="inlineStr">
        <is>
          <t>Article</t>
        </is>
      </c>
      <c r="T1975" t="inlineStr">
        <is>
          <t>Can houseplants improve indoor air quality by removing CO2 and increasing relative humidity?</t>
        </is>
      </c>
      <c r="U1975" t="inlineStr">
        <is>
          <t>Dracaena; Drought; Hedera; Indoor light; Indoor air quality; Spathiphyllum</t>
        </is>
      </c>
      <c r="V1975" t="inlineStr">
        <is>
          <t>CARBON-DIOXIDE; PLANTS; RESPONSES; PERFORMANCE; COMFORT; SYSTEMS; ASSIMILATION; RESPIRATION; ENVIRONMENT; REDUCTION</t>
        </is>
      </c>
      <c r="W1975" t="inlineStr">
        <is>
          <t>High indoor CO2 concentrations and low relative humidity (RH) create an array of well-documented human health issues. Therefore, assessing houseplants' potential as a low-cost approach to CO2 removal and increasing RH is important. We investigated how environmental factors such as 'dry' (&lt; 0.20 m(3) of water per m(3) of substrate, m(3) m(-3)) or 'wet' (&gt; 0.30 m(3) m(-3))growing substrates, and indoor light levels ('low' 10 mu mol m(-2) s(-1), 'high' 50 mu mol m(-2) s(-1), and 'very high' 300 mu mol m(-2) s(-1)) influence the plants' net CO2 assimilation ('A') and water vapour loss. Seven common houseplant taxa-representing a variety of leaf types and sizes-were studied for their ability to assimilate CO2 across a range of indoor light levels. Additionally, to assess the plants' potential contribution to RH increase, the plants' evapo-transpiration (ET) was measured. At typical 'low' indoor light levels, 'A' rates were generally low (&lt; 3.9 mg h(-1)). Differences between 'dry' and 'wet' plants at typical indoor light levels were negligible in terms of room-level impact. Light compensation points (i.e. the light level where the CO2 assimilation equals zero) were in the typical indoor light range (1-50 mu mol m(-2) s(-1)) only for two studied Spathiphyllum wallisii cultivars and Hedera helix; these plants would thus provide the best CO2 removal indoors. Additionally, increasing indoor light levels to 300 mu mol m(-2) S-1 would, in most species, significantly increase their potential to assimilate CO2. Species which assimilated the most CO2 also contributed most to increasing RH.</t>
        </is>
      </c>
      <c r="X1975" t="inlineStr">
        <is>
          <t>[Gubb, C.] Univ Reading, Dept Chem, POB 224, Reading RG6 6AD, Berks, England; [Blanusa, T.; Griffiths, A.] Royal Hort Soc, Sci Dept, Woking GU23 6QB, Surrey, England; [Blanusa, T.] Univ Reading, Sch Agr Policy &amp; Dev, Reading RG6 6AS, Berks, England; [Pfrang, C.] Univ Birmingham, Sch Geog Earth &amp; Environm Sci, Birmingham B15 2TT, W Midlands, England</t>
        </is>
      </c>
      <c r="Y1975" t="inlineStr">
        <is>
          <t>University of Reading; University of Reading; University of Birmingham</t>
        </is>
      </c>
      <c r="Z1975" t="inlineStr">
        <is>
          <t>Blanusa, T (corresponding author), Royal Hort Soc, Sci Dept, Woking GU23 6QB, Surrey, England.;Blanusa, T (corresponding author), Univ Reading, Sch Agr Policy &amp; Dev, Reading RG6 6AS, Berks, England.</t>
        </is>
      </c>
      <c r="AA1975" t="inlineStr">
        <is>
          <t>tijanablanusa@rhs.org.uk</t>
        </is>
      </c>
      <c r="AB1975" t="inlineStr">
        <is>
          <t>Pfrang, Christian/L-1502-2017</t>
        </is>
      </c>
      <c r="AC1975" t="inlineStr">
        <is>
          <t>Pfrang, Christian/0000-0001-9023-5281; Blanusa, Tijana/0000-0001-5294-8897</t>
        </is>
      </c>
      <c r="AD1975" t="inlineStr">
        <is>
          <t>Royal Horticultural Society; Engineering and Physical Sciences Research Council (EPSRC)</t>
        </is>
      </c>
      <c r="AE1975" t="inlineStr">
        <is>
          <t>Royal Horticultural Society; Engineering and Physical Sciences Research Council (EPSRC)(UK Research &amp; Innovation (UKRI)Engineering &amp; Physical Sciences Research Council (EPSRC))</t>
        </is>
      </c>
      <c r="AF1975" t="inlineStr">
        <is>
          <t>This work was supported by the Royal Horticultural Society and the Engineering and Physical Sciences Research Council (EPSRC). The authors would also like to thank Dr. Dalila Touhami, Dr. Fiona Lahive, Dr. Sarah Kemp, Rob Stirling, Val Jasper, Matthew Richardson, and Will Johnson for their practical guidance and support.</t>
        </is>
      </c>
      <c r="AH1975" t="n">
        <v>50</v>
      </c>
      <c r="AI1975" t="n">
        <v>18</v>
      </c>
      <c r="AJ1975" t="n">
        <v>18</v>
      </c>
      <c r="AK1975" t="n">
        <v>1</v>
      </c>
      <c r="AL1975" t="n">
        <v>63</v>
      </c>
      <c r="AM1975" t="inlineStr">
        <is>
          <t>SPRINGER</t>
        </is>
      </c>
      <c r="AN1975" t="inlineStr">
        <is>
          <t>DORDRECHT</t>
        </is>
      </c>
      <c r="AO1975" t="inlineStr">
        <is>
          <t>VAN GODEWIJCKSTRAAT 30, 3311 GZ DORDRECHT, NETHERLANDS</t>
        </is>
      </c>
      <c r="AP1975" t="inlineStr">
        <is>
          <t>1873-9318</t>
        </is>
      </c>
      <c r="AQ1975" t="inlineStr">
        <is>
          <t>1873-9326</t>
        </is>
      </c>
      <c r="AS1975" t="inlineStr">
        <is>
          <t>AIR QUAL ATMOS HLTH</t>
        </is>
      </c>
      <c r="AT1975" t="inlineStr">
        <is>
          <t>Air Qual. Atmos. Health</t>
        </is>
      </c>
      <c r="AU1975" t="inlineStr">
        <is>
          <t>DEC</t>
        </is>
      </c>
      <c r="AV1975" t="n">
        <v>2018</v>
      </c>
      <c r="AW1975" t="n">
        <v>11</v>
      </c>
      <c r="AX1975" t="n">
        <v>10</v>
      </c>
      <c r="BC1975" t="n">
        <v>1191</v>
      </c>
      <c r="BD1975" t="n">
        <v>1201</v>
      </c>
      <c r="BF1975" t="inlineStr">
        <is>
          <t>10.1007/s11869-018-0618-9</t>
        </is>
      </c>
      <c r="BG1975">
        <f>HYPERLINK("http://dx.doi.org/10.1007/s11869-018-0618-9","http://dx.doi.org/10.1007/s11869-018-0618-9")</f>
        <v/>
      </c>
      <c r="BJ1975" t="n">
        <v>11</v>
      </c>
      <c r="BK1975" t="inlineStr">
        <is>
          <t>Environmental Sciences</t>
        </is>
      </c>
      <c r="BL1975" t="inlineStr">
        <is>
          <t>Science Citation Index Expanded (SCI-EXPANDED)</t>
        </is>
      </c>
      <c r="BM1975" t="inlineStr">
        <is>
          <t>Environmental Sciences &amp; Ecology</t>
        </is>
      </c>
      <c r="BN1975" t="inlineStr">
        <is>
          <t>GY6FJ</t>
        </is>
      </c>
      <c r="BP1975" t="inlineStr">
        <is>
          <t>Green Accepted, Green Submitted</t>
        </is>
      </c>
      <c r="BS1975" t="inlineStr">
        <is>
          <t>2023-10-26</t>
        </is>
      </c>
      <c r="BT1975" t="inlineStr">
        <is>
          <t>WOS:000448681600006</t>
        </is>
      </c>
      <c r="BU1975">
        <f>HYPERLINK("https%3A%2F%2Fwww.webofscience.com%2Fwos%2Fwoscc%2Ffull-record%2FWOS:000448681600006","View Full Record in Web of Science")</f>
        <v/>
      </c>
    </row>
    <row r="1976">
      <c r="A1976" t="inlineStr">
        <is>
          <t>J</t>
        </is>
      </c>
      <c r="B1976" t="inlineStr">
        <is>
          <t>Apóstolo, J; Dixe, MD; Bobrowicz-Campos, E; Areosa, T; Santos-Rocha, R; Braúna, M; Ribeiro, J; Marques, I; Freitas, J; Almeida, MD; Couto, F</t>
        </is>
      </c>
      <c r="F1976" t="inlineStr">
        <is>
          <t>Apostolo, Joao; Dixe, Maria dos Anjos; Bobrowicz-Campos, Elzbieta; Areosa, Timoteo; Santos-Rocha, Rita; Brauna, Monica; Ribeiro, Jaime; Marques, Isabel; Freitas, Joana; Almeida, Maria de Lurdes; Couto, Filipa</t>
        </is>
      </c>
      <c r="J1976" t="inlineStr">
        <is>
          <t>INTERNATIONAL JOURNAL OF ENVIRONMENTAL RESEARCH AND PUBLIC HEALTH</t>
        </is>
      </c>
      <c r="M1976" t="inlineStr">
        <is>
          <t>English</t>
        </is>
      </c>
      <c r="N1976" t="inlineStr">
        <is>
          <t>Article</t>
        </is>
      </c>
      <c r="T1976" t="inlineStr">
        <is>
          <t>Effectiveness of a Combined Intervention on Psychological and Physical Capacities of Frail Older Adults: A Cluster Randomized Controlled</t>
        </is>
      </c>
      <c r="U1976" t="inlineStr">
        <is>
          <t>older adults; frailty; combined intervention; cognitive stimulation; Animal-Assisted activities; physical exercise; depressive symptomatology; gait analysis</t>
        </is>
      </c>
      <c r="V1976" t="inlineStr">
        <is>
          <t>PLANTAR PRESSURE; COGNITIVE STIMULATION; GAIT; PEOPLE; TECHNOLOGY; VALIDATION; OUTCOMES; HEALTHY; SYSTEM</t>
        </is>
      </c>
      <c r="W1976" t="inlineStr">
        <is>
          <t>Background: Older adults experience physical and psychological declines affecting independency. Adapted and structured combined interventions composed of cognitive stimulation and physical exercise contribute to comorbidities' reduction. Methods: Multicenter single-blinded two-arm cluster randomized controlled trial conducted to assess effectiveness of a combined intervention (CI), composed of a cognitive stimulation program (CSP) and a physical exercise program (PEP), on psychological and physical capacities of frail older adults as to on their activities of daily living. Were recruited 50 subjects from two elderly end-user organizations. Of these, 44 (65.9% females, mean age of 80.5 +/- 8.47 years) were considered eligible, being randomly allocated in experimental (EG) or control group (CG). Data collected at baseline and post-intervention. EG received CI three times a week during 12 weeks. CG received standard care. Non-parametric measures were considered. Results: At baseline, groups were equivalent for study outcomes. The comparison of pre- and post-intervention data revealed that subjects receiving CI reduced depressive symptomatology and risk of fall based on gait and balance, and improved gait speed. Simultaneously, in the CG a significant decline on activities of daily living was observed. Significant results were found among biomechanical parameters of gait (BPG). EG' effect size revealed to be small (0.2 &lt;= r &lt; 0.5). CG' effect size was also small; but for activities of daily living there was an evident decrease. Conclusion: The CI is effective on managing older adults' psychological and physical capacities.</t>
        </is>
      </c>
      <c r="X1976" t="inlineStr">
        <is>
          <t>[Apostolo, Joao] Nursing Sch Coimbra ESEnfC, Hlth Sci Res Unit, Nursing, P-3046851 Coimbra, Portugal; [Dixe, Maria dos Anjos; Areosa, Timoteo; Brauna, Monica; Ribeiro, Jaime] Polytech Inst Leiria IPLeiria, Ctr Innovat Care &amp; Hlth Technol ciTechCare, P-2411901 Leiria, Portugal; [Bobrowicz-Campos, Elzbieta; Marques, Isabel; Almeida, Maria de Lurdes; Couto, Filipa] Nursing Sch Coimbra, Hlth Sci Res Unit, Nursing, P-3046851 Coimbra, Portugal; [Santos-Rocha, Rita] Polytech Inst Santarem IPSantarem, Sports Sci Sch Rio Maior ESDRM, P-2040413 Rio Maior, Portugal; [Santos-Rocha, Rita; Freitas, Joana] Univ Lisbon, Interdisciplinary Ctr Study Human Performance, Fac Human Kinet, P-1499002 Cruz Quebrada, Portugal</t>
        </is>
      </c>
      <c r="Y1976" t="inlineStr">
        <is>
          <t>Nursing School of Coimbra; Nursing School of Coimbra; Universidade de Lisboa</t>
        </is>
      </c>
      <c r="Z1976" t="inlineStr">
        <is>
          <t>Apóstolo, J (corresponding author), Nursing Sch Coimbra ESEnfC, Hlth Sci Res Unit, Nursing, P-3046851 Coimbra, Portugal.;Couto, F (corresponding author), Nursing Sch Coimbra, Hlth Sci Res Unit, Nursing, P-3046851 Coimbra, Portugal.</t>
        </is>
      </c>
      <c r="AA1976" t="inlineStr">
        <is>
          <t>apostolo@esenfc.pt; filipadccouto@gmail.com</t>
        </is>
      </c>
      <c r="AB1976" t="inlineStr">
        <is>
          <t>Santos-Rocha, Rita/L-4317-2014; Ribeiro, Jaime/F-1706-2015; Rocha, Rita/IWL-9676-2023; Marques, Maria/AAX-3878-2021; Santos-Rocha, Rita/AAF-3774-2020; Apostolo, Joao L A/H-6281-2012; Dixe, Maria dos Anjos/B-9257-2018</t>
        </is>
      </c>
      <c r="AC1976" t="inlineStr">
        <is>
          <t>Santos-Rocha, Rita/0000-0001-7188-8383; Ribeiro, Jaime/0000-0002-1548-5579; Marques, Maria/0000-0002-8720-2419; Santos-Rocha, Rita/0000-0001-7188-8383; Apostolo, Joao L A/0000-0002-3050-4264; Bobrowicz Campos, Elzbieta Malgorzata/0000-0001-5889-5642; Alencar Leao da Costa, Monica Brauna/0000-0003-0091-899X; Areosa, Timoteo/0000-0002-9350-8190; Dixe, Maria dos Anjos/0000-0001-9035-8548</t>
        </is>
      </c>
      <c r="AD1976" t="inlineStr">
        <is>
          <t>Portuguese project AAC [02/SAICT/2016, 023822]; program COMPETE 2020 under the Scientific and Technological Research Support System; European Regional Development Fund (ERDF); Nursing School of Coimbra; Health Sciences Research Unit: Nursing</t>
        </is>
      </c>
      <c r="AE1976" t="inlineStr">
        <is>
          <t>Portuguese project AAC; program COMPETE 2020 under the Scientific and Technological Research Support System; European Regional Development Fund (ERDF)(European Union (EU)); Nursing School of Coimbra; Health Sciences Research Unit: Nursing</t>
        </is>
      </c>
      <c r="AF1976" t="inlineStr">
        <is>
          <t>This research was funded by the Portuguese project AAC in 02/SAICT/2016 reference number 023822, is funded by the program COMPETE 2020 under the Scientific and Technological Research Support System, with an incentive of European Regional Development Fund (ERDF). It has the support of the Nursing School of Coimbra and the Health Sciences Research Unit: Nursing.</t>
        </is>
      </c>
      <c r="AH1976" t="n">
        <v>74</v>
      </c>
      <c r="AI1976" t="n">
        <v>9</v>
      </c>
      <c r="AJ1976" t="n">
        <v>9</v>
      </c>
      <c r="AK1976" t="n">
        <v>2</v>
      </c>
      <c r="AL1976" t="n">
        <v>20</v>
      </c>
      <c r="AM1976" t="inlineStr">
        <is>
          <t>MDPI</t>
        </is>
      </c>
      <c r="AN1976" t="inlineStr">
        <is>
          <t>BASEL</t>
        </is>
      </c>
      <c r="AO1976" t="inlineStr">
        <is>
          <t>ST ALBAN-ANLAGE 66, CH-4052 BASEL, SWITZERLAND</t>
        </is>
      </c>
      <c r="AP1976" t="inlineStr">
        <is>
          <t>1661-7827</t>
        </is>
      </c>
      <c r="AQ1976" t="inlineStr">
        <is>
          <t>1660-4601</t>
        </is>
      </c>
      <c r="AS1976" t="inlineStr">
        <is>
          <t>INT J ENV RES PUB HE</t>
        </is>
      </c>
      <c r="AT1976" t="inlineStr">
        <is>
          <t>Int. J. Environ. Res. Public Health</t>
        </is>
      </c>
      <c r="AU1976" t="inlineStr">
        <is>
          <t>SEP 1</t>
        </is>
      </c>
      <c r="AV1976" t="n">
        <v>2019</v>
      </c>
      <c r="AW1976" t="n">
        <v>16</v>
      </c>
      <c r="AX1976" t="n">
        <v>17</v>
      </c>
      <c r="BE1976" t="n">
        <v>3125</v>
      </c>
      <c r="BF1976" t="inlineStr">
        <is>
          <t>10.3390/ijerph16173125</t>
        </is>
      </c>
      <c r="BG1976">
        <f>HYPERLINK("http://dx.doi.org/10.3390/ijerph16173125","http://dx.doi.org/10.3390/ijerph16173125")</f>
        <v/>
      </c>
      <c r="BJ1976" t="n">
        <v>18</v>
      </c>
      <c r="BK1976" t="inlineStr">
        <is>
          <t>Environmental Sciences; Public, Environmental &amp; Occupational Health</t>
        </is>
      </c>
      <c r="BL1976" t="inlineStr">
        <is>
          <t>Science Citation Index Expanded (SCI-EXPANDED); Social Science Citation Index (SSCI)</t>
        </is>
      </c>
      <c r="BM1976" t="inlineStr">
        <is>
          <t>Environmental Sciences &amp; Ecology; Public, Environmental &amp; Occupational Health</t>
        </is>
      </c>
      <c r="BN1976" t="inlineStr">
        <is>
          <t>IZ4EQ</t>
        </is>
      </c>
      <c r="BO1976" t="n">
        <v>31466229</v>
      </c>
      <c r="BP1976" t="inlineStr">
        <is>
          <t>gold, Green Published, Green Submitted</t>
        </is>
      </c>
      <c r="BS1976" t="inlineStr">
        <is>
          <t>2023-10-26</t>
        </is>
      </c>
      <c r="BT1976" t="inlineStr">
        <is>
          <t>WOS:000487037500120</t>
        </is>
      </c>
      <c r="BU1976">
        <f>HYPERLINK("https%3A%2F%2Fwww.webofscience.com%2Fwos%2Fwoscc%2Ffull-record%2FWOS:000487037500120","View Full Record in Web of Science")</f>
        <v/>
      </c>
    </row>
    <row r="1977">
      <c r="A1977" t="inlineStr">
        <is>
          <t>J</t>
        </is>
      </c>
      <c r="B1977" t="inlineStr">
        <is>
          <t>Kim, NH; Jung, SH; Kawachi, I</t>
        </is>
      </c>
      <c r="F1977" t="inlineStr">
        <is>
          <t>Kim, Nam-Hee; Jung, Se-Hwan; Kawachi, Ichiro</t>
        </is>
      </c>
      <c r="J1977" t="inlineStr">
        <is>
          <t>INTERNATIONAL JOURNAL OF ENVIRONMENTAL RESEARCH AND PUBLIC HEALTH</t>
        </is>
      </c>
      <c r="M1977" t="inlineStr">
        <is>
          <t>English</t>
        </is>
      </c>
      <c r="N1977" t="inlineStr">
        <is>
          <t>Article</t>
        </is>
      </c>
      <c r="T1977" t="inlineStr">
        <is>
          <t>Did Expanded Dental Insurance Reduce Out-of-Pocket Expenditures on Dental Care among Older Adults in Korea? Interrupted Time-Series Analysis</t>
        </is>
      </c>
      <c r="U1977" t="inlineStr">
        <is>
          <t>dental insurance; expenditures; interrupted time-series analysis; counterfactual condition; older adults; causal inference</t>
        </is>
      </c>
      <c r="W1977" t="inlineStr">
        <is>
          <t>The Korean National Health Insurance extended its coverage to reduce the economic burden of receiving dentures and implants for older adults in 2012 and 2014, respectively. We examined whether the new policy resulted in reduced out-of-pocket dental care expenditure in the eligible population, specifically focusing on low-income adults. We used interrupted time-series analysis (ITSA), a quasi-experimental design, to identify the effects of the policy among persons aged 65 or older. Data were extracted from the Korea Health Panel Survey (KHP; 2008-2017). The main outcome was out-of-pocket expenditures on dental care. The ITSA showed that expenditures decreased annually by 4.5% (RR: 0.96, 95% CI: 0.95-0.96) between 2012 and 2014. However, expenditure increased by 7.8% (RR: 1.08, 95% CI: 1.07-1.08) after 2014. Dental insurance coverage did not contribute to reducing the out-of-pocket expenses for dentures among low-income adults, while coverage of dental implants led to an increase in dental expenditure.</t>
        </is>
      </c>
      <c r="X1977" t="inlineStr">
        <is>
          <t>[Kim, Nam-Hee] Yonsei Univ, Wonju Coll Med, Dept Dent Hyg, 20 Ilsan Ro, Wonju 26426, South Korea; [Kim, Nam-Hee; Kawachi, Ichiro] Harvard TH Chan Sch Publ Hlth, Dept Social &amp; Behav Sci, 667 Huntington Ave, Boston, MA 02115 USA; [Jung, Se-Hwan] Gangneung Wonju Natl Univ, Coll Dent, Dept Prevent &amp; Publ Hlth Dent, Kangnung 25457, South Korea; [Jung, Se-Hwan] Gangneung Wonju Natl Univ, Res Inst Oral Sci, Kangnung 25457, South Korea</t>
        </is>
      </c>
      <c r="Y1977" t="inlineStr">
        <is>
          <t>Yonsei University; Harvard University; Harvard T.H. Chan School of Public Health; Kangnung Wonju National University; Kangnung Wonju National University</t>
        </is>
      </c>
      <c r="Z1977" t="inlineStr">
        <is>
          <t>Kim, NH (corresponding author), Yonsei Univ, Wonju Coll Med, Dept Dent Hyg, 20 Ilsan Ro, Wonju 26426, South Korea.;Kim, NH (corresponding author), Harvard TH Chan Sch Publ Hlth, Dept Social &amp; Behav Sci, 667 Huntington Ave, Boston, MA 02115 USA.</t>
        </is>
      </c>
      <c r="AA1977" t="inlineStr">
        <is>
          <t>nami71@yonsei.ac.kr; feeljsh@gwnu.ac.kr; ikawachi@hsph.harvard.edu</t>
        </is>
      </c>
      <c r="AB1977" t="inlineStr">
        <is>
          <t>Kim, Nam-Hee/GVU-3400-2022</t>
        </is>
      </c>
      <c r="AC1977" t="inlineStr">
        <is>
          <t>Kim, Nam-Hee/0000-0001-5463-0073</t>
        </is>
      </c>
      <c r="AH1977" t="n">
        <v>35</v>
      </c>
      <c r="AI1977" t="n">
        <v>2</v>
      </c>
      <c r="AJ1977" t="n">
        <v>2</v>
      </c>
      <c r="AK1977" t="n">
        <v>0</v>
      </c>
      <c r="AL1977" t="n">
        <v>3</v>
      </c>
      <c r="AM1977" t="inlineStr">
        <is>
          <t>MDPI</t>
        </is>
      </c>
      <c r="AN1977" t="inlineStr">
        <is>
          <t>BASEL</t>
        </is>
      </c>
      <c r="AO1977" t="inlineStr">
        <is>
          <t>ST ALBAN-ANLAGE 66, CH-4052 BASEL, SWITZERLAND</t>
        </is>
      </c>
      <c r="AQ1977" t="inlineStr">
        <is>
          <t>1660-4601</t>
        </is>
      </c>
      <c r="AS1977" t="inlineStr">
        <is>
          <t>INT J ENV RES PUB HE</t>
        </is>
      </c>
      <c r="AT1977" t="inlineStr">
        <is>
          <t>Int. J. Environ. Res. Public Health</t>
        </is>
      </c>
      <c r="AU1977" t="inlineStr">
        <is>
          <t>MAR</t>
        </is>
      </c>
      <c r="AV1977" t="n">
        <v>2021</v>
      </c>
      <c r="AW1977" t="n">
        <v>18</v>
      </c>
      <c r="AX1977" t="n">
        <v>6</v>
      </c>
      <c r="BE1977" t="n">
        <v>3003</v>
      </c>
      <c r="BF1977" t="inlineStr">
        <is>
          <t>10.3390/ijerph18063003</t>
        </is>
      </c>
      <c r="BG1977">
        <f>HYPERLINK("http://dx.doi.org/10.3390/ijerph18063003","http://dx.doi.org/10.3390/ijerph18063003")</f>
        <v/>
      </c>
      <c r="BJ1977" t="n">
        <v>9</v>
      </c>
      <c r="BK1977" t="inlineStr">
        <is>
          <t>Environmental Sciences; Public, Environmental &amp; Occupational Health</t>
        </is>
      </c>
      <c r="BL1977" t="inlineStr">
        <is>
          <t>Science Citation Index Expanded (SCI-EXPANDED); Social Science Citation Index (SSCI)</t>
        </is>
      </c>
      <c r="BM1977" t="inlineStr">
        <is>
          <t>Environmental Sciences &amp; Ecology; Public, Environmental &amp; Occupational Health</t>
        </is>
      </c>
      <c r="BN1977" t="inlineStr">
        <is>
          <t>RL8IV</t>
        </is>
      </c>
      <c r="BO1977" t="n">
        <v>33804211</v>
      </c>
      <c r="BP1977" t="inlineStr">
        <is>
          <t>gold, Green Published</t>
        </is>
      </c>
      <c r="BS1977" t="inlineStr">
        <is>
          <t>2023-10-26</t>
        </is>
      </c>
      <c r="BT1977" t="inlineStr">
        <is>
          <t>WOS:000639210500001</t>
        </is>
      </c>
      <c r="BU1977">
        <f>HYPERLINK("https%3A%2F%2Fwww.webofscience.com%2Fwos%2Fwoscc%2Ffull-record%2FWOS:000639210500001","View Full Record in Web of Science")</f>
        <v/>
      </c>
    </row>
    <row r="1978">
      <c r="A1978" t="inlineStr">
        <is>
          <t>J</t>
        </is>
      </c>
      <c r="B1978" t="inlineStr">
        <is>
          <t>Nandan, A; Mondal, P; Kumar, S; Siddiqui, NA; Sinha, S; Subramani, S; Singh, AK; Raja, S; Hussain, CM</t>
        </is>
      </c>
      <c r="F1978" t="inlineStr">
        <is>
          <t>Nandan, Abhishek; Mondal, Prasenjit; Kumar, Sandeep; Siddiqui, Nihal Anwar; Sinha, Shambhavi; Subramani, Sudalai; Singh, Akshi Kunwar; Raja, Sivashankar; Hussain, Chaudhery Mustansar</t>
        </is>
      </c>
      <c r="J1978" t="inlineStr">
        <is>
          <t>AIR QUALITY ATMOSPHERE AND HEALTH</t>
        </is>
      </c>
      <c r="M1978" t="inlineStr">
        <is>
          <t>English</t>
        </is>
      </c>
      <c r="N1978" t="inlineStr">
        <is>
          <t>Article; Early Access</t>
        </is>
      </c>
      <c r="T1978" t="inlineStr">
        <is>
          <t>Investigation of indoor air pollutants in different environmental settings and their health impact: a case study of Dehradun, India</t>
        </is>
      </c>
      <c r="U1978" t="inlineStr">
        <is>
          <t>Indoor air quality; Air pollution; Ventilation; Chronic daily intake</t>
        </is>
      </c>
      <c r="V1978" t="inlineStr">
        <is>
          <t>ATMOSPHERIC POLLUTANTS; ORGANIC-COMPOUNDS; QUALITY; BUILDINGS; POLLUTION; RISK</t>
        </is>
      </c>
      <c r="W1978" t="inlineStr">
        <is>
          <t>The air we breathe both indoors and in the external environment significantly affects human health and life. The legal systems across the globe, including the United Nations programs, have taken measures to protect the right to clean air as a basic human right. Urbanization and modern lifestyles have changed the dynamics of need and usage of products and allied activities. However, the scope of this study is focused on the investigation of indoor air quality (IAQ). This study is perhaps the first ever attempt to investigate the indoor air pollutant in different environmental setup based on building code specially for nonindustrial indoor environments, i.e., office buildings, public buildings (schools, hospitals, theatres, restaurants), and private dwellings in Dehradun, India. Air pollutants measured in this study include particulate matter (PM10), carbon dioxide (CO2), carbon monoxide (CO), ozone (O3), sulfur dioxide (SO2), nitrogen dioxide (NO2), volatile organic compounds (VOCs), and formaldehyde (HCHO). In order to identify the exposure level of indoor air pollutants on human health, chronic daily intake has been calculated. In residential building occupancies, the concentration of particulates is higher in indoor air, and the key sources are kitchen activities such as the operation of gas stoves for cooking. In educational buildings, significant pollutants present are CO2, formaldehyde, and respirable suspended particulate matter (RSPM), predominantly due to characteristic available ventilation systems. Compared to other indoor occupancies, institutional buildings related to health science have significant sources of indoor pollutants generated from biomedical waste, medical equipment, and instruments.</t>
        </is>
      </c>
      <c r="X1978" t="inlineStr">
        <is>
          <t>[Nandan, Abhishek; Kumar, Sandeep; Singh, Akshi Kunwar] Univ Petr &amp; Energy Studies, Dehra Dun, Uttaranchal, India; [Mondal, Prasenjit; Siddiqui, Nihal Anwar] GD Goenka Univ, Ctr Excellence Occupat Hlth Safety Fire &amp; Environm, Gurgaon, India; [Sinha, Shambhavi] Bennett Univ, Greater Noida, India; [Subramani, Sudalai] Pondicherry Univ, Ctr Pollut Control &amp; Environm Engn, Pondicherry, India; [Raja, Sivashankar] Natl Inst Technol, Warangal, India; [Hussain, Chaudhery Mustansar] New Jersey Inst Technol, Dept Chem &amp; Environm Sci, Newark, NJ 07102 USA</t>
        </is>
      </c>
      <c r="Y1978" t="inlineStr">
        <is>
          <t>University of Petroleum &amp; Energy Studies (UPES); GD Goenka University; Pondicherry University; National Institute of Technology (NIT System); National Institute of Technology Warangal; New Jersey Institute of Technology</t>
        </is>
      </c>
      <c r="Z1978" t="inlineStr">
        <is>
          <t>Nandan, A (corresponding author), Univ Petr &amp; Energy Studies, Dehra Dun, Uttaranchal, India.</t>
        </is>
      </c>
      <c r="AA1978" t="inlineStr">
        <is>
          <t>abhisheknandan24@gmail.com; prsnjtmndl@gmail.com; sandyy.hse@gmail.com; nsiddiqui57@gmail.com; shambhavi.sinha@bennett.edu.in; ssudalai.cpe@gmail.com; rsivashankar2010@gmail.com; chaudhery.m.hussain@njit.edu</t>
        </is>
      </c>
      <c r="AC1978" t="inlineStr">
        <is>
          <t>Nandan, Dr. Abhishek/0000-0002-8250-4549</t>
        </is>
      </c>
      <c r="AH1978" t="n">
        <v>79</v>
      </c>
      <c r="AI1978" t="n">
        <v>0</v>
      </c>
      <c r="AJ1978" t="n">
        <v>0</v>
      </c>
      <c r="AK1978" t="n">
        <v>1</v>
      </c>
      <c r="AL1978" t="n">
        <v>1</v>
      </c>
      <c r="AM1978" t="inlineStr">
        <is>
          <t>SPRINGER</t>
        </is>
      </c>
      <c r="AN1978" t="inlineStr">
        <is>
          <t>DORDRECHT</t>
        </is>
      </c>
      <c r="AO1978" t="inlineStr">
        <is>
          <t>VAN GODEWIJCKSTRAAT 30, 3311 GZ DORDRECHT, NETHERLANDS</t>
        </is>
      </c>
      <c r="AP1978" t="inlineStr">
        <is>
          <t>1873-9318</t>
        </is>
      </c>
      <c r="AQ1978" t="inlineStr">
        <is>
          <t>1873-9326</t>
        </is>
      </c>
      <c r="AS1978" t="inlineStr">
        <is>
          <t>AIR QUAL ATMOS HLTH</t>
        </is>
      </c>
      <c r="AT1978" t="inlineStr">
        <is>
          <t>Air Qual. Atmos. Health</t>
        </is>
      </c>
      <c r="AU1978" t="inlineStr">
        <is>
          <t>2023 AUG 31</t>
        </is>
      </c>
      <c r="AV1978" t="n">
        <v>2023</v>
      </c>
      <c r="BF1978" t="inlineStr">
        <is>
          <t>10.1007/s11869-023-01411-3</t>
        </is>
      </c>
      <c r="BG1978">
        <f>HYPERLINK("http://dx.doi.org/10.1007/s11869-023-01411-3","http://dx.doi.org/10.1007/s11869-023-01411-3")</f>
        <v/>
      </c>
      <c r="BI1978" t="inlineStr">
        <is>
          <t>AUG 2023</t>
        </is>
      </c>
      <c r="BJ1978" t="n">
        <v>24</v>
      </c>
      <c r="BK1978" t="inlineStr">
        <is>
          <t>Environmental Sciences</t>
        </is>
      </c>
      <c r="BL1978" t="inlineStr">
        <is>
          <t>Science Citation Index Expanded (SCI-EXPANDED)</t>
        </is>
      </c>
      <c r="BM1978" t="inlineStr">
        <is>
          <t>Environmental Sciences &amp; Ecology</t>
        </is>
      </c>
      <c r="BN1978" t="inlineStr">
        <is>
          <t>R6EE0</t>
        </is>
      </c>
      <c r="BS1978" t="inlineStr">
        <is>
          <t>2023-10-26</t>
        </is>
      </c>
      <c r="BT1978" t="inlineStr">
        <is>
          <t>WOS:001065256200001</t>
        </is>
      </c>
      <c r="BU1978">
        <f>HYPERLINK("https%3A%2F%2Fwww.webofscience.com%2Fwos%2Fwoscc%2Ffull-record%2FWOS:001065256200001","View Full Record in Web of Science")</f>
        <v/>
      </c>
    </row>
    <row r="1979">
      <c r="A1979" t="inlineStr">
        <is>
          <t>J</t>
        </is>
      </c>
      <c r="B1979" t="inlineStr">
        <is>
          <t>Hu, J; Chen, WQ; Li, L; Zhang, Y; Jiang, HW; Liu, WH; Yin, P</t>
        </is>
      </c>
      <c r="F1979" t="inlineStr">
        <is>
          <t>Hu, Jing; Chen, Wenqian; Li, Lei; Zhang, Yu; Jiang, Hongwei; Liu, Wenhua; Yin, Ping</t>
        </is>
      </c>
      <c r="J1979" t="inlineStr">
        <is>
          <t>ENVIRONMENTAL SCIENCE AND POLLUTION RESEARCH</t>
        </is>
      </c>
      <c r="M1979" t="inlineStr">
        <is>
          <t>English</t>
        </is>
      </c>
      <c r="N1979" t="inlineStr">
        <is>
          <t>Article</t>
        </is>
      </c>
      <c r="T1979" t="inlineStr">
        <is>
          <t>Residential proximity to major roadway and progression in physical disability in older adults in China</t>
        </is>
      </c>
      <c r="U1979" t="inlineStr">
        <is>
          <t>Physical function; Air pollution; Traffic; Older adults; CLHLS</t>
        </is>
      </c>
      <c r="V1979" t="inlineStr">
        <is>
          <t>AIR-POLLUTION; LIFE EXPECTANCY; EXPOSURE; MORTALITY; HEALTH; RISK; ASSOCIATION</t>
        </is>
      </c>
      <c r="W1979" t="inlineStr">
        <is>
          <t>Evidence of a connection between living near major roadway and adverse health outcome has come to light. However, little is known about the effect of residential traffic exposure on aging-related physical disability and whether this effect can be modified. We used data derived from Chinese Longitudinal Healthy Longevity Surveys in 2018, with a total of 15,771 participants aged &gt;= 65. Residential proximity to major roadway was used as a surrogate for traffic-related air pollution and physical function was measured using basic and instrumental activities of daily living. Logistic regression models were adopted for the analyses. Compared with those living &gt; 300 m from major road, participants living within 200 m had higher risk of poorer physical functioning. The peak odds ratio was observed in severe disability caused by 101-200 m distance (OR = 1.34, 95% CI: 1.08, 1.66). And this association got stronger with longer duration of living close to major road. In dichotomized analyses using 200 m as a cutoff point, the effect associated with living close to major road was greater in male and current smoker. Specially, poor physical function appears earlier in female, but less severe than that in male. The result emphasizes the adverse effect of residential proximity to major roadways to aging-related declines in health-especially for basic living ability. This association was more pronounced in male and current smokers, which cannot be reversed by lowering the indoor air pollution.</t>
        </is>
      </c>
      <c r="X1979" t="inlineStr">
        <is>
          <t>[Hu, Jing; Chen, Wenqian; Li, Lei; Zhang, Yu; Jiang, Hongwei; Yin, Ping] Huazhong Univ Sci &amp; Technol, Tongji Med Coll, Sch Publ Hlth, Dept Epidemiol &amp; Biostat, 13 Hangkong Rd, Wuhan 430030, Hubei, Peoples R China; [Liu, Wenhua] Huazhong Univ Sci &amp; Technol, Tongji Hosp, Tongji Med Coll, Clin Res Ctr, 1095 Jiefang Ave, Wuhan 430030, Hubei, Peoples R China</t>
        </is>
      </c>
      <c r="Y1979" t="inlineStr">
        <is>
          <t>Huazhong University of Science &amp; Technology; Huazhong University of Science &amp; Technology</t>
        </is>
      </c>
      <c r="Z1979" t="inlineStr">
        <is>
          <t>Yin, P (corresponding author), Huazhong Univ Sci &amp; Technol, Tongji Med Coll, Sch Publ Hlth, Dept Epidemiol &amp; Biostat, 13 Hangkong Rd, Wuhan 430030, Hubei, Peoples R China.;Liu, WH (corresponding author), Huazhong Univ Sci &amp; Technol, Tongji Hosp, Tongji Med Coll, Clin Res Ctr, 1095 Jiefang Ave, Wuhan 430030, Hubei, Peoples R China.</t>
        </is>
      </c>
      <c r="AA1979" t="inlineStr">
        <is>
          <t>liuwh_2013@126.com; pingyin2000@126.com</t>
        </is>
      </c>
      <c r="AD1979" t="inlineStr">
        <is>
          <t>National Natural Science Foundation of China [81573262, 81773549]</t>
        </is>
      </c>
      <c r="AE1979" t="inlineStr">
        <is>
          <t>National Natural Science Foundation of China(National Natural Science Foundation of China (NSFC))</t>
        </is>
      </c>
      <c r="AF1979" t="inlineStr">
        <is>
          <t>The research was funded by the National Natural Science Foundation of China (No. 81573262 and No. 81773549). The funders had no role in design and conduct of the study; collection, management, analysis, and interpretation of the data; preparation, review, and approval of the manuscript; or the decision to submit the manuscript for publication.</t>
        </is>
      </c>
      <c r="AH1979" t="n">
        <v>37</v>
      </c>
      <c r="AI1979" t="n">
        <v>1</v>
      </c>
      <c r="AJ1979" t="n">
        <v>1</v>
      </c>
      <c r="AK1979" t="n">
        <v>11</v>
      </c>
      <c r="AL1979" t="n">
        <v>29</v>
      </c>
      <c r="AM1979" t="inlineStr">
        <is>
          <t>SPRINGER HEIDELBERG</t>
        </is>
      </c>
      <c r="AN1979" t="inlineStr">
        <is>
          <t>HEIDELBERG</t>
        </is>
      </c>
      <c r="AO1979" t="inlineStr">
        <is>
          <t>TIERGARTENSTRASSE 17, D-69121 HEIDELBERG, GERMANY</t>
        </is>
      </c>
      <c r="AP1979" t="inlineStr">
        <is>
          <t>0944-1344</t>
        </is>
      </c>
      <c r="AQ1979" t="inlineStr">
        <is>
          <t>1614-7499</t>
        </is>
      </c>
      <c r="AS1979" t="inlineStr">
        <is>
          <t>ENVIRON SCI POLLUT R</t>
        </is>
      </c>
      <c r="AT1979" t="inlineStr">
        <is>
          <t>Environ. Sci. Pollut. Res.</t>
        </is>
      </c>
      <c r="AU1979" t="inlineStr">
        <is>
          <t>MAY</t>
        </is>
      </c>
      <c r="AV1979" t="n">
        <v>2022</v>
      </c>
      <c r="AW1979" t="n">
        <v>29</v>
      </c>
      <c r="AX1979" t="n">
        <v>24</v>
      </c>
      <c r="BC1979" t="n">
        <v>36616</v>
      </c>
      <c r="BD1979" t="n">
        <v>36625</v>
      </c>
      <c r="BF1979" t="inlineStr">
        <is>
          <t>10.1007/s11356-021-18203-w</t>
        </is>
      </c>
      <c r="BG1979">
        <f>HYPERLINK("http://dx.doi.org/10.1007/s11356-021-18203-w","http://dx.doi.org/10.1007/s11356-021-18203-w")</f>
        <v/>
      </c>
      <c r="BI1979" t="inlineStr">
        <is>
          <t>JAN 2022</t>
        </is>
      </c>
      <c r="BJ1979" t="n">
        <v>10</v>
      </c>
      <c r="BK1979" t="inlineStr">
        <is>
          <t>Environmental Sciences</t>
        </is>
      </c>
      <c r="BL1979" t="inlineStr">
        <is>
          <t>Science Citation Index Expanded (SCI-EXPANDED); Social Science Citation Index (SSCI)</t>
        </is>
      </c>
      <c r="BM1979" t="inlineStr">
        <is>
          <t>Environmental Sciences &amp; Ecology</t>
        </is>
      </c>
      <c r="BN1979" t="inlineStr">
        <is>
          <t>1A7XD</t>
        </is>
      </c>
      <c r="BO1979" t="n">
        <v>35064490</v>
      </c>
      <c r="BS1979" t="inlineStr">
        <is>
          <t>2023-10-26</t>
        </is>
      </c>
      <c r="BT1979" t="inlineStr">
        <is>
          <t>WOS:000745504800008</t>
        </is>
      </c>
      <c r="BU1979">
        <f>HYPERLINK("https%3A%2F%2Fwww.webofscience.com%2Fwos%2Fwoscc%2Ffull-record%2FWOS:000745504800008","View Full Record in Web of Science")</f>
        <v/>
      </c>
    </row>
    <row r="1980">
      <c r="A1980" t="inlineStr">
        <is>
          <t>J</t>
        </is>
      </c>
      <c r="B1980" t="inlineStr">
        <is>
          <t>Hamdaoui, S; Mandaoui, M; Allouhi, A; El Alaiji, R; Kousksou, T; El Bouardi, A</t>
        </is>
      </c>
      <c r="F1980" t="inlineStr">
        <is>
          <t>Hamdaoui, S.; Mandaoui, M.; Allouhi, A.; El Alaiji, R.; Kousksou, T.; El Bouardi, A.</t>
        </is>
      </c>
      <c r="J1980" t="inlineStr">
        <is>
          <t>JOURNAL OF CLEANER PRODUCTION</t>
        </is>
      </c>
      <c r="M1980" t="inlineStr">
        <is>
          <t>English</t>
        </is>
      </c>
      <c r="N1980" t="inlineStr">
        <is>
          <t>Article</t>
        </is>
      </c>
      <c r="T1980" t="inlineStr">
        <is>
          <t>Energy demand and environmental impact of various construction scenarios of an office building in Morocco</t>
        </is>
      </c>
      <c r="U1980" t="inlineStr">
        <is>
          <t>Office building; Energy efficiency; Environment; Intermittent; TRNSYS</t>
        </is>
      </c>
      <c r="V1980" t="inlineStr">
        <is>
          <t>NATURAL VENTILATION; THERMAL COMFORT; SYSTEM; PERFORMANCE; CONSUMPTION; EFFICIENCY; ENVELOPE; STORAGE</t>
        </is>
      </c>
      <c r="W1980" t="inlineStr">
        <is>
          <t>This paper assesses the thermal performance of an office building with an intermittent occupancy pattern, designed according to three construction scenarios. Annual simulations are carried out using TRNSYS software considering a Typical Meteorological Year (TMY) of six Moroccan cities referring to the representative zones of the recent Moroccan climatic zoning. The energetic and environmental performance of various passive energy efficiency measures are evaluated and discussed. The major finding of this work is that these energy measures can have a positive influence on reducing carbon footprint of the considered building. Annual loads can be reduced by about 20% in Agadir, 48% in Tangier, 53% in Fez 56% in Ifrane, 31% in Marrakech and 41% in Er-rachidia. (C) 2018 Elsevier Ltd. All rights reserved.</t>
        </is>
      </c>
      <c r="X1980" t="inlineStr">
        <is>
          <t>[Hamdaoui, S.; El Bouardi, A.] Univ Abdelmalek Essaadi, Fac Sci, Equipe Therm Energie Solaire &amp; Environm, Lab Energet, BP 2121, M Hannech Tetouan 93002, Morocco; [Mandaoui, M.] Univ Abdelmalek Essaadi Tanger, UAE Dept Phys FST E14FST, Equipe Rech Transferts Therm &amp; Energet, M Hannech Tetouan, Morocco; [Allouhi, A.] USMBA, Ecole Super Technol, Fes, Morocco; [El Alaiji, R.] Univ Abdelmalek Essaadi, ENSA, Lab Technol Innovantes, Tanger, Morocco; [Kousksou, T.] UPPA, Lab Sci Ingenieur Appl Mecan &amp; Genie Elect SIAME, F-64000 Pau, France</t>
        </is>
      </c>
      <c r="Y1980" t="inlineStr">
        <is>
          <t>Abdelmalek Essaadi University of Tetouan; Abdelmalek Essaadi University of Tetouan; Sidi Mohamed Ben Abdellah University of Fez; Abdelmalek Essaadi University of Tetouan; Universite de Pau et des Pays de l'Adour</t>
        </is>
      </c>
      <c r="Z1980" t="inlineStr">
        <is>
          <t>Hamdaoui, S (corresponding author), Univ Abdelmalek Essaadi, Fac Sci, Equipe Therm Energie Solaire &amp; Environm, Lab Energet, BP 2121, M Hannech Tetouan 93002, Morocco.</t>
        </is>
      </c>
      <c r="AA1980" t="inlineStr">
        <is>
          <t>said.hamdaoui001@gmail.com</t>
        </is>
      </c>
      <c r="AB1980" t="inlineStr">
        <is>
          <t>Mahdaoui, Mustapha/ABI-6537-2020; hamdaoui, said/Q-9012-2019</t>
        </is>
      </c>
      <c r="AC1980" t="inlineStr">
        <is>
          <t>Mahdaoui, Mustapha/0000-0003-0424-796X; Kousksou, Tarik/0000-0001-9397-0679</t>
        </is>
      </c>
      <c r="AH1980" t="n">
        <v>38</v>
      </c>
      <c r="AI1980" t="n">
        <v>46</v>
      </c>
      <c r="AJ1980" t="n">
        <v>46</v>
      </c>
      <c r="AK1980" t="n">
        <v>2</v>
      </c>
      <c r="AL1980" t="n">
        <v>16</v>
      </c>
      <c r="AM1980" t="inlineStr">
        <is>
          <t>ELSEVIER SCI LTD</t>
        </is>
      </c>
      <c r="AN1980" t="inlineStr">
        <is>
          <t>OXFORD</t>
        </is>
      </c>
      <c r="AO1980" t="inlineStr">
        <is>
          <t>THE BOULEVARD, LANGFORD LANE, KIDLINGTON, OXFORD OX5 1GB, OXON, ENGLAND</t>
        </is>
      </c>
      <c r="AP1980" t="inlineStr">
        <is>
          <t>0959-6526</t>
        </is>
      </c>
      <c r="AQ1980" t="inlineStr">
        <is>
          <t>1879-1786</t>
        </is>
      </c>
      <c r="AS1980" t="inlineStr">
        <is>
          <t>J CLEAN PROD</t>
        </is>
      </c>
      <c r="AT1980" t="inlineStr">
        <is>
          <t>J. Clean Prod.</t>
        </is>
      </c>
      <c r="AU1980" t="inlineStr">
        <is>
          <t>JUL 1</t>
        </is>
      </c>
      <c r="AV1980" t="n">
        <v>2018</v>
      </c>
      <c r="AW1980" t="n">
        <v>188</v>
      </c>
      <c r="BC1980" t="n">
        <v>113</v>
      </c>
      <c r="BD1980" t="n">
        <v>124</v>
      </c>
      <c r="BF1980" t="inlineStr">
        <is>
          <t>10.1016/j.jclepro.2018.03.298</t>
        </is>
      </c>
      <c r="BG1980">
        <f>HYPERLINK("http://dx.doi.org/10.1016/j.jclepro.2018.03.298","http://dx.doi.org/10.1016/j.jclepro.2018.03.298")</f>
        <v/>
      </c>
      <c r="BJ1980" t="n">
        <v>12</v>
      </c>
      <c r="BK1980" t="inlineStr">
        <is>
          <t>Green &amp; Sustainable Science &amp; Technology; Engineering, Environmental; Environmental Sciences</t>
        </is>
      </c>
      <c r="BL1980" t="inlineStr">
        <is>
          <t>Science Citation Index Expanded (SCI-EXPANDED)</t>
        </is>
      </c>
      <c r="BM1980" t="inlineStr">
        <is>
          <t>Science &amp; Technology - Other Topics; Engineering; Environmental Sciences &amp; Ecology</t>
        </is>
      </c>
      <c r="BN1980" t="inlineStr">
        <is>
          <t>GF4MR</t>
        </is>
      </c>
      <c r="BS1980" t="inlineStr">
        <is>
          <t>2023-10-26</t>
        </is>
      </c>
      <c r="BT1980" t="inlineStr">
        <is>
          <t>WOS:000431937500010</t>
        </is>
      </c>
      <c r="BU1980">
        <f>HYPERLINK("https%3A%2F%2Fwww.webofscience.com%2Fwos%2Fwoscc%2Ffull-record%2FWOS:000431937500010","View Full Record in Web of Science")</f>
        <v/>
      </c>
    </row>
    <row r="1981">
      <c r="A1981" t="inlineStr">
        <is>
          <t>J</t>
        </is>
      </c>
      <c r="B1981" t="inlineStr">
        <is>
          <t>Zender-Swiercz, E; Telejko, M; Starzomska, M; Lubek, A</t>
        </is>
      </c>
      <c r="F1981" t="inlineStr">
        <is>
          <t>Zender-Swiercz, E.; Telejko, M.; Starzomska, M.; Lubek, A.</t>
        </is>
      </c>
      <c r="J1981" t="inlineStr">
        <is>
          <t>INTERNATIONAL JOURNAL OF ENVIRONMENTAL SCIENCE AND TECHNOLOGY</t>
        </is>
      </c>
      <c r="M1981" t="inlineStr">
        <is>
          <t>English</t>
        </is>
      </c>
      <c r="N1981" t="inlineStr">
        <is>
          <t>Article</t>
        </is>
      </c>
      <c r="T1981" t="inlineStr">
        <is>
          <t>The microbiology contaminants and microclimate parameters in the nursery building</t>
        </is>
      </c>
      <c r="U1981" t="inlineStr">
        <is>
          <t>Air quality; Building ventilation; Carbon dioxide concentration; Microbiological contaminant</t>
        </is>
      </c>
      <c r="V1981" t="inlineStr">
        <is>
          <t>STREPTOMYCES-CALIFORNICUS; RESPIRATORY HEALTH; AIR-QUALITY; INDOOR; ASSOCIATIONS; EXPOSURE; DAMPNESS</t>
        </is>
      </c>
      <c r="W1981" t="inlineStr">
        <is>
          <t>The indoor microclimate quality is an important factor affecting the human body. Inappropriate microclimate parameters and air pollutants can cause health problems or even be life-threatening. In addition, it can reduce work productivity and learning efficiency. In the article, the analysis of the rooms in the nursery building ventilated by a mechanical system equipped with air ionizers was conducted. The results of research were compared with the research results for rooms of the same type, but equipped with the passive stack ventilation. Fungi were detected in the analyzed building that does not pose a threat to the lives of people, but they can cause allergies and asthma. With regard to the reference objects, in the analyzed building, the microclimate was free from fungi species yeast-like fungi and Trichoderma viride, which occurred in the reference rooms. The indoor relative humidity was kept at a level not conducive to the development of fungi. The concentration of the carbon dioxide in rooms where children stayed permanently did not exceed the permissible value. Slight excessive concentration levels were observed only in the cloakroom. Only the internal air temperature exceeded 25 degrees C, which favors the development of fungi. This means that it would be appropriate to lower the indoor air temperature.</t>
        </is>
      </c>
      <c r="X1981" t="inlineStr">
        <is>
          <t>[Zender-Swiercz, E.] Kielce Univ Technol, Fac Environm, Dept Bldg Phys &amp; Renewable Energy, Geomat &amp; Energy Engn, Kielce, Poland; [Telejko, M.] Kielce Univ Technol, Fac Civil Engn &amp; Architecture, Dept Technol &amp; Bldg Org, Kielce, Poland; [Starzomska, M.; Lubek, A.] Jan Kochanowski Univ Humanities &amp; Sci, Inst Biol, Kielce, Poland</t>
        </is>
      </c>
      <c r="Y1981" t="inlineStr">
        <is>
          <t>Kielce University of Technology; Kielce University of Technology; Jan Kochanowski University</t>
        </is>
      </c>
      <c r="Z1981" t="inlineStr">
        <is>
          <t>Zender-Swiercz, E (corresponding author), Kielce Univ Technol, Fac Environm, Dept Bldg Phys &amp; Renewable Energy, Geomat &amp; Energy Engn, Kielce, Poland.</t>
        </is>
      </c>
      <c r="AA1981" t="inlineStr">
        <is>
          <t>ezender@tu.kielce.pl</t>
        </is>
      </c>
      <c r="AB1981" t="inlineStr">
        <is>
          <t>Świercz, Ewa J. Zender -/G-5332-2018; Telejko, Marek/AAU-7971-2021</t>
        </is>
      </c>
      <c r="AC1981" t="inlineStr">
        <is>
          <t>Świercz, Ewa J. Zender -/0000-0002-5684-8276; Lubek, Anna/0000-0003-2174-8854; Telejko, Marek/0000-0003-4648-3549</t>
        </is>
      </c>
      <c r="AH1981" t="n">
        <v>21</v>
      </c>
      <c r="AI1981" t="n">
        <v>1</v>
      </c>
      <c r="AJ1981" t="n">
        <v>1</v>
      </c>
      <c r="AK1981" t="n">
        <v>0</v>
      </c>
      <c r="AL1981" t="n">
        <v>3</v>
      </c>
      <c r="AM1981" t="inlineStr">
        <is>
          <t>SPRINGER</t>
        </is>
      </c>
      <c r="AN1981" t="inlineStr">
        <is>
          <t>NEW YORK</t>
        </is>
      </c>
      <c r="AO1981" t="inlineStr">
        <is>
          <t>ONE NEW YORK PLAZA, SUITE 4600, NEW YORK, NY, UNITED STATES</t>
        </is>
      </c>
      <c r="AP1981" t="inlineStr">
        <is>
          <t>1735-1472</t>
        </is>
      </c>
      <c r="AQ1981" t="inlineStr">
        <is>
          <t>1735-2630</t>
        </is>
      </c>
      <c r="AS1981" t="inlineStr">
        <is>
          <t>INT J ENVIRON SCI TE</t>
        </is>
      </c>
      <c r="AT1981" t="inlineStr">
        <is>
          <t>Int. J. Environ. Sci. Technol.</t>
        </is>
      </c>
      <c r="AU1981" t="inlineStr">
        <is>
          <t>NOV</t>
        </is>
      </c>
      <c r="AV1981" t="n">
        <v>2019</v>
      </c>
      <c r="AW1981" t="n">
        <v>16</v>
      </c>
      <c r="AX1981" t="n">
        <v>11</v>
      </c>
      <c r="BC1981" t="n">
        <v>6699</v>
      </c>
      <c r="BD1981" t="n">
        <v>6704</v>
      </c>
      <c r="BF1981" t="inlineStr">
        <is>
          <t>10.1007/s13762-019-02284-9</t>
        </is>
      </c>
      <c r="BG1981">
        <f>HYPERLINK("http://dx.doi.org/10.1007/s13762-019-02284-9","http://dx.doi.org/10.1007/s13762-019-02284-9")</f>
        <v/>
      </c>
      <c r="BJ1981" t="n">
        <v>6</v>
      </c>
      <c r="BK1981" t="inlineStr">
        <is>
          <t>Environmental Sciences</t>
        </is>
      </c>
      <c r="BL1981" t="inlineStr">
        <is>
          <t>Science Citation Index Expanded (SCI-EXPANDED)</t>
        </is>
      </c>
      <c r="BM1981" t="inlineStr">
        <is>
          <t>Environmental Sciences &amp; Ecology</t>
        </is>
      </c>
      <c r="BN1981" t="inlineStr">
        <is>
          <t>JC5QE</t>
        </is>
      </c>
      <c r="BP1981" t="inlineStr">
        <is>
          <t>hybrid</t>
        </is>
      </c>
      <c r="BS1981" t="inlineStr">
        <is>
          <t>2023-10-26</t>
        </is>
      </c>
      <c r="BT1981" t="inlineStr">
        <is>
          <t>WOS:000489337200018</t>
        </is>
      </c>
      <c r="BU1981">
        <f>HYPERLINK("https%3A%2F%2Fwww.webofscience.com%2Fwos%2Fwoscc%2Ffull-record%2FWOS:000489337200018","View Full Record in Web of Science")</f>
        <v/>
      </c>
    </row>
    <row r="1982">
      <c r="A1982" t="inlineStr">
        <is>
          <t>J</t>
        </is>
      </c>
      <c r="B1982" t="inlineStr">
        <is>
          <t>Liu, NR; Zhang, X; Wang, LY; Liang, K; Zhang, YP; Cao, JP</t>
        </is>
      </c>
      <c r="F1982" t="inlineStr">
        <is>
          <t>Liu, Ningrui; Zhang, Xu; Wang, Luyang; Liang, Kai; Zhang, Yinping; Cao, Jianping</t>
        </is>
      </c>
      <c r="J1982" t="inlineStr">
        <is>
          <t>ENVIRONMENTAL SCIENCE &amp; TECHNOLOGY</t>
        </is>
      </c>
      <c r="M1982" t="inlineStr">
        <is>
          <t>English</t>
        </is>
      </c>
      <c r="N1982" t="inlineStr">
        <is>
          <t>Article</t>
        </is>
      </c>
      <c r="T1982" t="inlineStr">
        <is>
          <t>Early-Stage Emissions of Formaldehyde and Volatile Organic Compounds from Building Materials: Model Development, Evaluation, and Applications</t>
        </is>
      </c>
      <c r="U1982" t="inlineStr">
        <is>
          <t>indoor air quality; indoor air pollution; emission characterization; mass transfer analysis; semi-infinite medium</t>
        </is>
      </c>
      <c r="V1982" t="inlineStr">
        <is>
          <t>C-HISTORY METHOD; INITIAL EMITTABLE CONCENTRATION; VOC EMISSIONS; CHARACTERISTIC PARAMETERS; PARTITION-COEFFICIENTS; DIFFUSION; HEALTH</t>
        </is>
      </c>
      <c r="W1982" t="inlineStr">
        <is>
          <t>Emissions of formaldehyde and volatile organic compounds (VOCs) from building materials may result in poor indoor air quality. The emission process can be divided into three stages over time: early, transition, and equilibrium stages. In existing studies, mass transfer models without distinguishing the early and transition stages have been widely used for characterizing the formaldehyde/VOC emissions, with three key parameters involved in these models. Many methods have been proposed for determining these parameters by fitting the corresponding models to experimental data. However, multiple groups of best-fit parameters might coexist if experimental data are obtained at the early stage (to shorten the experimental time). Therefore, we developed a novel mass transfer model to describe the early-stage emissions by assuming the building material as semi-infinite medium. The novel model indicated that the early-stage emission was governed by only two parameters, instead of three parameters, which explained the reason for the multi-solution problem of existing methods. Subsequently, the application condition of the early-stage model was clarified, showing that the early stage was very common in the emissions of formaldehyde/VOCs. Finally, a novel approach for characterizing the emissions of formaldehyde/VOCs from building materials was proposed to eliminate the negative effects of the multi-solution problem.</t>
        </is>
      </c>
      <c r="X1982" t="inlineStr">
        <is>
          <t>[Liu, Ningrui; Zhang, Xu; Wang, Luyang; Liang, Kai; Zhang, Yinping] Tsinghua Univ, Dept Bldg Sci, Beijing 100084, Peoples R China; [Liu, Ningrui; Zhang, Xu; Wang, Luyang; Liang, Kai; Zhang, Yinping] Beijing Key Lab Indoor Air Qual Evaluat &amp; Control, Beijing 100084, Peoples R China; [Cao, Jianping] Sun Yat sen Univ, Sch Environm Sci &amp; Engn, Guangzhou 510006, Peoples R China; [Cao, Jianping] Guangdong Prov Key Lab Environm Pollut Control &amp; R, Guangzhou 510006, Peoples R China</t>
        </is>
      </c>
      <c r="Y1982" t="inlineStr">
        <is>
          <t>Tsinghua University; Sun Yat Sen University</t>
        </is>
      </c>
      <c r="Z1982" t="inlineStr">
        <is>
          <t>Cao, JP (corresponding author), Sun Yat sen Univ, Sch Environm Sci &amp; Engn, Guangzhou 510006, Peoples R China.;Cao, JP (corresponding author), Guangdong Prov Key Lab Environm Pollut Control &amp; R, Guangzhou 510006, Peoples R China.</t>
        </is>
      </c>
      <c r="AA1982" t="inlineStr">
        <is>
          <t>caojp3@mail.sysu.edu.cn</t>
        </is>
      </c>
      <c r="AB1982" t="inlineStr">
        <is>
          <t>Cao, Jianping/K-5777-2016</t>
        </is>
      </c>
      <c r="AC1982" t="inlineStr">
        <is>
          <t>Cao, Jianping/0000-0002-8633-388X</t>
        </is>
      </c>
      <c r="AD1982" t="inlineStr">
        <is>
          <t>Natural Science Foundation of China [51908563, 51976106, 51521005]; Guangdong Basic and Applied Basic Research Foundation [2019A1515011179, 2022A1515011142]; Beijing Key Laboratory of Indoor Air Quality Evaluation and Control [BZ0344KF20-11]</t>
        </is>
      </c>
      <c r="AE1982" t="inlineStr">
        <is>
          <t>Natural Science Foundation of China(National Natural Science Foundation of China (NSFC)); Guangdong Basic and Applied Basic Research Foundation; Beijing Key Laboratory of Indoor Air Quality Evaluation and Control</t>
        </is>
      </c>
      <c r="AF1982" t="inlineStr">
        <is>
          <t>? ACKNOWLEDGMENTS This work was supported by the Natural Science Foundation of China (grants 51908563, 51976106, and 51521005) , the Guangdong Basic and Applied Basic Research Foundation (grants 2019A1515011179 and 2022A1515011142) , and the Beijing Key Laboratory of Indoor Air Quality Evaluation and Control (grant BZ0344KF20-11) .</t>
        </is>
      </c>
      <c r="AH1982" t="n">
        <v>34</v>
      </c>
      <c r="AI1982" t="n">
        <v>5</v>
      </c>
      <c r="AJ1982" t="n">
        <v>5</v>
      </c>
      <c r="AK1982" t="n">
        <v>21</v>
      </c>
      <c r="AL1982" t="n">
        <v>53</v>
      </c>
      <c r="AM1982" t="inlineStr">
        <is>
          <t>AMER CHEMICAL SOC</t>
        </is>
      </c>
      <c r="AN1982" t="inlineStr">
        <is>
          <t>WASHINGTON</t>
        </is>
      </c>
      <c r="AO1982" t="inlineStr">
        <is>
          <t>1155 16TH ST, NW, WASHINGTON, DC 20036 USA</t>
        </is>
      </c>
      <c r="AP1982" t="inlineStr">
        <is>
          <t>0013-936X</t>
        </is>
      </c>
      <c r="AQ1982" t="inlineStr">
        <is>
          <t>1520-5851</t>
        </is>
      </c>
      <c r="AS1982" t="inlineStr">
        <is>
          <t>ENVIRON SCI TECHNOL</t>
        </is>
      </c>
      <c r="AT1982" t="inlineStr">
        <is>
          <t>Environ. Sci. Technol.</t>
        </is>
      </c>
      <c r="AU1982" t="inlineStr">
        <is>
          <t>OCT 18</t>
        </is>
      </c>
      <c r="AV1982" t="n">
        <v>2022</v>
      </c>
      <c r="AW1982" t="n">
        <v>56</v>
      </c>
      <c r="AX1982" t="n">
        <v>20</v>
      </c>
      <c r="BC1982" t="n">
        <v>14680</v>
      </c>
      <c r="BD1982" t="n">
        <v>14689</v>
      </c>
      <c r="BF1982" t="inlineStr">
        <is>
          <t>10.1021/acs.est.2c04572</t>
        </is>
      </c>
      <c r="BG1982">
        <f>HYPERLINK("http://dx.doi.org/10.1021/acs.est.2c04572","http://dx.doi.org/10.1021/acs.est.2c04572")</f>
        <v/>
      </c>
      <c r="BI1982" t="inlineStr">
        <is>
          <t>SEP 2022</t>
        </is>
      </c>
      <c r="BJ1982" t="n">
        <v>10</v>
      </c>
      <c r="BK1982" t="inlineStr">
        <is>
          <t>Engineering, Environmental; Environmental Sciences</t>
        </is>
      </c>
      <c r="BL1982" t="inlineStr">
        <is>
          <t>Science Citation Index Expanded (SCI-EXPANDED)</t>
        </is>
      </c>
      <c r="BM1982" t="inlineStr">
        <is>
          <t>Engineering; Environmental Sciences &amp; Ecology</t>
        </is>
      </c>
      <c r="BN1982" t="inlineStr">
        <is>
          <t>7N4UC</t>
        </is>
      </c>
      <c r="BO1982" t="n">
        <v>36112514</v>
      </c>
      <c r="BS1982" t="inlineStr">
        <is>
          <t>2023-10-26</t>
        </is>
      </c>
      <c r="BT1982" t="inlineStr">
        <is>
          <t>WOS:000861705900001</t>
        </is>
      </c>
      <c r="BU1982">
        <f>HYPERLINK("https%3A%2F%2Fwww.webofscience.com%2Fwos%2Fwoscc%2Ffull-record%2FWOS:000861705900001","View Full Record in Web of Science")</f>
        <v/>
      </c>
    </row>
    <row r="1983">
      <c r="A1983" t="inlineStr">
        <is>
          <t>J</t>
        </is>
      </c>
      <c r="B1983" t="inlineStr">
        <is>
          <t>Alidadi, M; Sharifi, A</t>
        </is>
      </c>
      <c r="F1983" t="inlineStr">
        <is>
          <t>Alidadi, Mehdi; Sharifi, Ayyoob</t>
        </is>
      </c>
      <c r="J1983" t="inlineStr">
        <is>
          <t>SCIENCE OF THE TOTAL ENVIRONMENT</t>
        </is>
      </c>
      <c r="M1983" t="inlineStr">
        <is>
          <t>English</t>
        </is>
      </c>
      <c r="N1983" t="inlineStr">
        <is>
          <t>Review</t>
        </is>
      </c>
      <c r="T1983" t="inlineStr">
        <is>
          <t>Effects of the built environment and human factors on the spread of COVID-19: A systematic literature review</t>
        </is>
      </c>
      <c r="U1983" t="inlineStr">
        <is>
          <t>COVID-19; Built environment; Non -pharmacological factors; Density; Socio-economic factors; Urban planning</t>
        </is>
      </c>
      <c r="V1983" t="inlineStr">
        <is>
          <t>POPULATION-DENSITY; VULNERABILITY; DETERMINANTS; ASSOCIATION; DISPARITIES; SARS-COV-2; MORTALITY</t>
        </is>
      </c>
      <c r="W1983" t="inlineStr">
        <is>
          <t>Soon after its emergence, COVID-19 became a global problem. While different types of vaccines and treatments are now available, still non-pharmacological policies play a critical role in managing the pandemic. The literature is enriched enough to provide comprehensive, practical, and scientific insights to better deal with the pandemic. This re-search aims to find out how the built environment and human factors have affected the transmission of COVID-19 on different scales, including country, state, county, city, and urban district. This is done through a systematic literature review of papers indexed on the Web of Science and Scopus. Initially, these databases returned 4264 papers, and after different stages of screening, we found 166 relevant papers and reviewed them. The empirical papers that had at least one case study and analyzed the effects of at least one built environment factor on the spread of COVID-19 were se-lected. Results showed that the driving forces can be divided into seven main categories: density, land use, transpor-tation and mobility, housing conditions, demographic factors, socio-economic factors, and health-related factors. We found that among other things, overcrowding, public transport use, proximity to public spaces, the share of health and services workers, levels of poverty, and the share of minorities and vulnerable populations are major predictors of the spread of the pandemic. As the most studied factor, density was associated with mixed results on different scales, but about 58 % of the papers reported that it is linked with a higher number of cases. This study provides insights for policymakers and academics to better understand the dynamic roles of the non-pharmacological driving forces of COVID-19 at different levels.</t>
        </is>
      </c>
      <c r="X1983" t="inlineStr">
        <is>
          <t>[Alidadi, Mehdi] Hiroshima Univ, Grad Sch Engn &amp; Adv Sci, Hiroshima, Japan; [Sharifi, Ayyoob] Hiroshima Univ, Grad Sch Humanities &amp; Social Sci, Network Educ &amp; Res Peace &amp; Sustainabil NERPS, Hiroshima, Japan; [Sharifi, Ayyoob] Hiroshima Univ, Ctr Peaceful &amp; Sustainable Futures CEPEAS, Hiroshima, Japan</t>
        </is>
      </c>
      <c r="Y1983" t="inlineStr">
        <is>
          <t>Hiroshima University; Hiroshima University; Hiroshima University</t>
        </is>
      </c>
      <c r="Z1983" t="inlineStr">
        <is>
          <t>Sharifi, A (corresponding author), Hiroshima Univ, Grad Sch Humanities &amp; Social Sci, Network Educ &amp; Res Peace &amp; Sustainabil NERPS, 1-3-1 Kagamiyama, Higashihiroshima, Hiroshima 7398530, Japan.</t>
        </is>
      </c>
      <c r="AA1983" t="inlineStr">
        <is>
          <t>d215894@hiroshima-u.ac.jp; sharifi@hiroshima-u.ac.jp</t>
        </is>
      </c>
      <c r="AB1983" t="inlineStr">
        <is>
          <t>Alidadi, Mehdi/HJZ-0235-2023; Sharifi, Ayyoob/M-7584-2013</t>
        </is>
      </c>
      <c r="AC1983" t="inlineStr">
        <is>
          <t>Alidadi, Mehdi/0000-0001-5183-7829; Sharifi, Ayyoob/0000-0002-8983-8613</t>
        </is>
      </c>
      <c r="AD1983" t="inlineStr">
        <is>
          <t>JSPS KAKENHI [22K04493]; Toyota Foundation [D21 -R-0040]</t>
        </is>
      </c>
      <c r="AE1983" t="inlineStr">
        <is>
          <t>JSPS KAKENHI(Ministry of Education, Culture, Sports, Science and Technology, Japan (MEXT)Japan Society for the Promotion of ScienceGrants-in-Aid for Scientific Research (KAKENHI)); Toyota Foundation</t>
        </is>
      </c>
      <c r="AF1983" t="inlineStr">
        <is>
          <t>This study was supported by JSPS KAKENHI Grant Number 22K04493 and a grant from Toyota Foundation (Grant No. D21 -R-0040) .</t>
        </is>
      </c>
      <c r="AH1983" t="n">
        <v>146</v>
      </c>
      <c r="AI1983" t="n">
        <v>23</v>
      </c>
      <c r="AJ1983" t="n">
        <v>24</v>
      </c>
      <c r="AK1983" t="n">
        <v>13</v>
      </c>
      <c r="AL1983" t="n">
        <v>59</v>
      </c>
      <c r="AM1983" t="inlineStr">
        <is>
          <t>ELSEVIER</t>
        </is>
      </c>
      <c r="AN1983" t="inlineStr">
        <is>
          <t>AMSTERDAM</t>
        </is>
      </c>
      <c r="AO1983" t="inlineStr">
        <is>
          <t>RADARWEG 29, 1043 NX AMSTERDAM, NETHERLANDS</t>
        </is>
      </c>
      <c r="AP1983" t="inlineStr">
        <is>
          <t>0048-9697</t>
        </is>
      </c>
      <c r="AQ1983" t="inlineStr">
        <is>
          <t>1879-1026</t>
        </is>
      </c>
      <c r="AS1983" t="inlineStr">
        <is>
          <t>SCI TOTAL ENVIRON</t>
        </is>
      </c>
      <c r="AT1983" t="inlineStr">
        <is>
          <t>Sci. Total Environ.</t>
        </is>
      </c>
      <c r="AU1983" t="inlineStr">
        <is>
          <t>DEC 1</t>
        </is>
      </c>
      <c r="AV1983" t="n">
        <v>2022</v>
      </c>
      <c r="AW1983" t="n">
        <v>850</v>
      </c>
      <c r="BE1983" t="n">
        <v>158056</v>
      </c>
      <c r="BF1983" t="inlineStr">
        <is>
          <t>10.1016/j.scitotenv.2022.158056</t>
        </is>
      </c>
      <c r="BG1983">
        <f>HYPERLINK("http://dx.doi.org/10.1016/j.scitotenv.2022.158056","http://dx.doi.org/10.1016/j.scitotenv.2022.158056")</f>
        <v/>
      </c>
      <c r="BI1983" t="inlineStr">
        <is>
          <t>AUG 2022</t>
        </is>
      </c>
      <c r="BJ1983" t="n">
        <v>13</v>
      </c>
      <c r="BK1983" t="inlineStr">
        <is>
          <t>Environmental Sciences</t>
        </is>
      </c>
      <c r="BL1983" t="inlineStr">
        <is>
          <t>Science Citation Index Expanded (SCI-EXPANDED)</t>
        </is>
      </c>
      <c r="BM1983" t="inlineStr">
        <is>
          <t>Environmental Sciences &amp; Ecology</t>
        </is>
      </c>
      <c r="BN1983" t="inlineStr">
        <is>
          <t>4X0CT</t>
        </is>
      </c>
      <c r="BO1983" t="n">
        <v>35985590</v>
      </c>
      <c r="BP1983" t="inlineStr">
        <is>
          <t>Green Published</t>
        </is>
      </c>
      <c r="BS1983" t="inlineStr">
        <is>
          <t>2023-10-26</t>
        </is>
      </c>
      <c r="BT1983" t="inlineStr">
        <is>
          <t>WOS:000860521200010</t>
        </is>
      </c>
      <c r="BU1983">
        <f>HYPERLINK("https%3A%2F%2Fwww.webofscience.com%2Fwos%2Fwoscc%2Ffull-record%2FWOS:000860521200010","View Full Record in Web of Science")</f>
        <v/>
      </c>
    </row>
    <row r="1984">
      <c r="A1984" t="inlineStr">
        <is>
          <t>J</t>
        </is>
      </c>
      <c r="B1984" t="inlineStr">
        <is>
          <t>Luo, N; Weng, WG; Xu, XY; Hong, TZ; Fu, M; Sun, KY</t>
        </is>
      </c>
      <c r="F1984" t="inlineStr">
        <is>
          <t>Luo, Na; Weng, Wenguo; Xu, Xiaoyu; Hong, Tianzhen; Fu, Ming; Sun, Kaiyu</t>
        </is>
      </c>
      <c r="J1984" t="inlineStr">
        <is>
          <t>SCIENCE OF THE TOTAL ENVIRONMENT</t>
        </is>
      </c>
      <c r="M1984" t="inlineStr">
        <is>
          <t>English</t>
        </is>
      </c>
      <c r="N1984" t="inlineStr">
        <is>
          <t>Article</t>
        </is>
      </c>
      <c r="T1984" t="inlineStr">
        <is>
          <t>Assessment of occupant-behavior-based indoor air quality and its impacts on human exposure risk: A case study based on the wildfires in Northern California</t>
        </is>
      </c>
      <c r="U1984" t="inlineStr">
        <is>
          <t>Human exposure risk; Indoor air quality; Occupant behavior; Respiratory injury; NAPA wildfire; Computational fluid dynamics simulation</t>
        </is>
      </c>
      <c r="V1984" t="inlineStr">
        <is>
          <t>NATURAL VENTILATION; INFILTRATION-RATE; PARTICLES; FLOW; DISPERSION; POLLUTION; ONTOLOGY</t>
        </is>
      </c>
      <c r="W1984" t="inlineStr">
        <is>
          <t>The recent wildfires in California, U.S., have caused not only significant losses to human life and property, but also serious environmental and health issues. Ambient air pollution from combustion during the fires could increase indoor exposure risks to toxic gases and particles. further exacerbating respiratory conditions. This work aims at addressing existing knowledge gaps in understanding how indoor air quality is affected by outdoor air pollutants during wildfires-by taking into account occupant behaviors (e.g., movement, operation of windows and airconditioning) which strongly influence building performance and occupant comfort. A novel modeling framework was developed to simulate the indoor exposure risks considering the impact of occupant behaviors by integrating building energy and occupant behaviour modeling with computational fluid dynamics simulation. Occupant behaviors were found to exert significant impacts on indoor air flow patterns and pollutant concentrations, based on which, certain behaviors are recommended during wildfires. Further, the actual respiratory injury level under such outdoor conditions was predicted. The modeling framework and the findings enable a deeper understanding of the actual health impacts of wildfires, as well as informing strategies for mitigating occupant health risk during wildfires. (C) 2019 Elsevier B.V. All rights reserved.</t>
        </is>
      </c>
      <c r="X1984" t="inlineStr">
        <is>
          <t>[Luo, Na; Weng, Wenguo; Xu, Xiaoyu] Tsinghua Univ, Inst Publ Safety Res, Dept Engn Phys, Beijing 100084, Peoples R China; [Luo, Na; Weng, Wenguo; Xu, Xiaoyu] Tsinghua Univ, Beijing Key Lab City Integrated Emergency Respons, Beijing 100084, Peoples R China; [Luo, Na; Hong, Tianzhen; Sun, Kaiyu] Lawrence Berkeley Natl Lab, Bldg Technol &amp; Urban Syst Div, Berkeley, CA 94720 USA; [Fu, Ming] Tsinghua Univ, Hefei Inst Publ Safety Res, Hefei 320601, Anhui, Peoples R China</t>
        </is>
      </c>
      <c r="Y1984" t="inlineStr">
        <is>
          <t>Tsinghua University; Tsinghua University; United States Department of Energy (DOE); Lawrence Berkeley National Laboratory; Tsinghua University</t>
        </is>
      </c>
      <c r="Z1984" t="inlineStr">
        <is>
          <t>Weng, WG (corresponding author), Tsinghua Univ, Inst Publ Safety Res, Dept Engn Phys, Beijing 100084, Peoples R China.</t>
        </is>
      </c>
      <c r="AA1984" t="inlineStr">
        <is>
          <t>wgweng@tsinghua.edu.cn</t>
        </is>
      </c>
      <c r="AB1984" t="inlineStr">
        <is>
          <t>Hong, Tianzhen/D-3256-2013; Sun, Kaiyu/I-2778-2018</t>
        </is>
      </c>
      <c r="AC1984" t="inlineStr">
        <is>
          <t>Hong, Tianzhen/0000-0003-1886-9137; Sun, Kaiyu/0000-0002-6621-4971</t>
        </is>
      </c>
      <c r="AD1984" t="inlineStr">
        <is>
          <t>National Natural Science Foundation of China [51706123]; National Science Fund for Distinguished Young Scholars of China [71725006]; National Key R&amp;D Program of China [2016YFC0802801, 2016YFC0802807]; Anhui Provincial Natural Science Foundation for Distinguished Young Scholars [1908085J22]; Office of Energy Efficiency and Renewable Energy, the United States Department of Energy [DE-AC0205CH11231]</t>
        </is>
      </c>
      <c r="AE1984" t="inlineStr">
        <is>
          <t>National Natural Science Foundation of China(National Natural Science Foundation of China (NSFC)); National Science Fund for Distinguished Young Scholars of China(National Natural Science Foundation of China (NSFC)National Science Fund for Distinguished Young Scholars); National Key R&amp;D Program of China; Anhui Provincial Natural Science Foundation for Distinguished Young Scholars; Office of Energy Efficiency and Renewable Energy, the United States Department of Energy(United States Department of Energy (DOE))</t>
        </is>
      </c>
      <c r="AF1984" t="inlineStr">
        <is>
          <t>We thank the Indoor Environment Group of Lawrence Berkeley National Laboratory for providing the measured indoor and outdoor air quality data. This study was supported by National Natural Science Foundation of China (Grant No. 51706123), National Science Fund for Distinguished Young Scholars of China (Grant No. 71725006), National Key R&amp;D Program of China (Grant No. 2016YFC0802801 and 2016YFC0802807), Anhui Provincial Natural Science Foundation for Distinguished Young Scholars (Grant No. 1908085J22). This work was also supported by the Office of Energy Efficiency and Renewable Energy, the United States Department of Energy under Contract No. DE-AC0205CH11231. The authors are deeply grateful to these supports.</t>
        </is>
      </c>
      <c r="AH1984" t="n">
        <v>43</v>
      </c>
      <c r="AI1984" t="n">
        <v>21</v>
      </c>
      <c r="AJ1984" t="n">
        <v>21</v>
      </c>
      <c r="AK1984" t="n">
        <v>5</v>
      </c>
      <c r="AL1984" t="n">
        <v>104</v>
      </c>
      <c r="AM1984" t="inlineStr">
        <is>
          <t>ELSEVIER</t>
        </is>
      </c>
      <c r="AN1984" t="inlineStr">
        <is>
          <t>AMSTERDAM</t>
        </is>
      </c>
      <c r="AO1984" t="inlineStr">
        <is>
          <t>RADARWEG 29, 1043 NX AMSTERDAM, NETHERLANDS</t>
        </is>
      </c>
      <c r="AP1984" t="inlineStr">
        <is>
          <t>0048-9697</t>
        </is>
      </c>
      <c r="AQ1984" t="inlineStr">
        <is>
          <t>1879-1026</t>
        </is>
      </c>
      <c r="AS1984" t="inlineStr">
        <is>
          <t>SCI TOTAL ENVIRON</t>
        </is>
      </c>
      <c r="AT1984" t="inlineStr">
        <is>
          <t>Sci. Total Environ.</t>
        </is>
      </c>
      <c r="AU1984" t="inlineStr">
        <is>
          <t>OCT 10</t>
        </is>
      </c>
      <c r="AV1984" t="n">
        <v>2019</v>
      </c>
      <c r="AW1984" t="n">
        <v>686</v>
      </c>
      <c r="BC1984" t="n">
        <v>1251</v>
      </c>
      <c r="BD1984" t="n">
        <v>1261</v>
      </c>
      <c r="BF1984" t="inlineStr">
        <is>
          <t>10.1016/j.scitotenv.2019.05.467</t>
        </is>
      </c>
      <c r="BG1984">
        <f>HYPERLINK("http://dx.doi.org/10.1016/j.scitotenv.2019.05.467","http://dx.doi.org/10.1016/j.scitotenv.2019.05.467")</f>
        <v/>
      </c>
      <c r="BJ1984" t="n">
        <v>11</v>
      </c>
      <c r="BK1984" t="inlineStr">
        <is>
          <t>Environmental Sciences</t>
        </is>
      </c>
      <c r="BL1984" t="inlineStr">
        <is>
          <t>Science Citation Index Expanded (SCI-EXPANDED)</t>
        </is>
      </c>
      <c r="BM1984" t="inlineStr">
        <is>
          <t>Environmental Sciences &amp; Ecology</t>
        </is>
      </c>
      <c r="BN1984" t="inlineStr">
        <is>
          <t>IN9WD</t>
        </is>
      </c>
      <c r="BO1984" t="n">
        <v>31412521</v>
      </c>
      <c r="BP1984" t="inlineStr">
        <is>
          <t>Green Submitted, hybrid</t>
        </is>
      </c>
      <c r="BS1984" t="inlineStr">
        <is>
          <t>2023-10-26</t>
        </is>
      </c>
      <c r="BT1984" t="inlineStr">
        <is>
          <t>WOS:000479029700114</t>
        </is>
      </c>
      <c r="BU1984">
        <f>HYPERLINK("https%3A%2F%2Fwww.webofscience.com%2Fwos%2Fwoscc%2Ffull-record%2FWOS:000479029700114","View Full Record in Web of Science")</f>
        <v/>
      </c>
    </row>
    <row r="1985">
      <c r="A1985" t="inlineStr">
        <is>
          <t>J</t>
        </is>
      </c>
      <c r="B1985" t="inlineStr">
        <is>
          <t>Gansefort, D; Brand, T; Princk, C; Zeeb, H</t>
        </is>
      </c>
      <c r="F1985" t="inlineStr">
        <is>
          <t>Gansefort, Dirk; Brand, Tilman; Princk, Christina; Zeeb, Hajo</t>
        </is>
      </c>
      <c r="J1985" t="inlineStr">
        <is>
          <t>INTERNATIONAL JOURNAL OF ENVIRONMENTAL RESEARCH AND PUBLIC HEALTH</t>
        </is>
      </c>
      <c r="M1985" t="inlineStr">
        <is>
          <t>English</t>
        </is>
      </c>
      <c r="N1985" t="inlineStr">
        <is>
          <t>Article</t>
        </is>
      </c>
      <c r="T1985" t="inlineStr">
        <is>
          <t>Community Readiness for the Promotion of Physical Activity in Older Adults-A Cross-Sectional Comparison of Rural and Urban Communities</t>
        </is>
      </c>
      <c r="U1985" t="inlineStr">
        <is>
          <t>physical activity; older adults; community readiness; primary prevention; capacity building</t>
        </is>
      </c>
      <c r="V1985" t="inlineStr">
        <is>
          <t>HEALTH; HIV/AIDS; DETERMINANTS; PREVENTION; OBESITY; WALKING; WOMEN</t>
        </is>
      </c>
      <c r="W1985" t="inlineStr">
        <is>
          <t>Communities can play an important role in delivering public health programs to older adults, but they differ in the provision of local structures and resources. The community readiness (CR) approach applies a stage model of change to the community level and analyzes structures and the degree of willingness to take action on a health issue. This study compared the CR regarding the promotion of physical activity as part of healthy ageing for older adults among urban and rural communities in North-West Germany. A cross-sectional CR assessment with key respondents in 23 municipalities (11 urban and 12 rural communities) was conducted using a semi-structured interview. Interviews were scored across the five CR dimensions and global CR score was calculated (scores between 1 = no awareness and 9 = professionalization). Wilcoxon rank-sum test and hierarchical regression models were used to compare urban and rural communities. In total, 118 interviews were conducted (response rate 69.8%). On average, the communities showed moderate CR scores (4.9 +/- 0.3; Range: 4.3-5.4; preplanning or preparation phase). The global CR score was slightly higher in rural than in urban communities (regression coefficient = 0.29, 95% confidence interval (CI): 0.02-0.59). The rural communities showed significantly higher CR scores in the 'Knowledge of efforts' dimension (0.70, 95% CI: 0.26-1.14) and in the 'Knowledge of the issue' (0.37, 95% CI: 0.04-0.70). Rural communities display a slightly higher CR level than urban communities. In the next step, targeted capacity building activities will be initiated among communities with low CR levels.</t>
        </is>
      </c>
      <c r="X1985" t="inlineStr">
        <is>
          <t>[Gansefort, Dirk; Brand, Tilman; Princk, Christina; Zeeb, Hajo] Leibniz Inst Prevent Res &amp; Epidemiol BIPS, Achterstr 30, D-28359 Bremen, Germany; [Zeeb, Hajo] Univ Bremen, Res Focus Hlth Sci Bremen, D-28359 Bremen, Germany</t>
        </is>
      </c>
      <c r="Y1985" t="inlineStr">
        <is>
          <t>Leibniz Institute for Prevention Research &amp; Epidemiology (BIPS); University of Bremen</t>
        </is>
      </c>
      <c r="Z1985" t="inlineStr">
        <is>
          <t>Gansefort, D (corresponding author), Leibniz Inst Prevent Res &amp; Epidemiol BIPS, Achterstr 30, D-28359 Bremen, Germany.</t>
        </is>
      </c>
      <c r="AA1985" t="inlineStr">
        <is>
          <t>gansefort@leibniz-bips.de; brand@leibniz-bips.de; princk@leibniz-bips.de; zeeb@leibniz-bips.de</t>
        </is>
      </c>
      <c r="AB1985" t="inlineStr">
        <is>
          <t>Zeeb, Hajo/I-2701-2019</t>
        </is>
      </c>
      <c r="AC1985" t="inlineStr">
        <is>
          <t>Zeeb, Hajo/0000-0001-7509-242X; Brand, Tilman/0000-0001-5140-7511; Princk, Christina/0000-0001-9265-8480</t>
        </is>
      </c>
      <c r="AD1985" t="inlineStr">
        <is>
          <t>German Federal Ministry of Education and Research (BMBF) [01EL1422A, 01EL1422B, 01EL1422C, 01EL1422H]</t>
        </is>
      </c>
      <c r="AE1985" t="inlineStr">
        <is>
          <t>German Federal Ministry of Education and Research (BMBF)(Federal Ministry of Education &amp; Research (BMBF))</t>
        </is>
      </c>
      <c r="AF1985" t="inlineStr">
        <is>
          <t>The Ready to Change project is funded by the German Federal Ministry of Education and Research (BMBF), (project numbers 01EL1422A, 01EL1422B, 01EL1422C, 01EL1422H). The content of this article reflects only the authors' views and the funder is not liable for any use that may be made of the information contained therein. The authors thank the study participants for their cooperation, the field research team led by Stefan Rach and Beate Schutte for managing data collection, and Nicholas Kofi Adjei for his comments on the manuscript.</t>
        </is>
      </c>
      <c r="AH1985" t="n">
        <v>37</v>
      </c>
      <c r="AI1985" t="n">
        <v>14</v>
      </c>
      <c r="AJ1985" t="n">
        <v>14</v>
      </c>
      <c r="AK1985" t="n">
        <v>0</v>
      </c>
      <c r="AL1985" t="n">
        <v>11</v>
      </c>
      <c r="AM1985" t="inlineStr">
        <is>
          <t>MDPI</t>
        </is>
      </c>
      <c r="AN1985" t="inlineStr">
        <is>
          <t>BASEL</t>
        </is>
      </c>
      <c r="AO1985" t="inlineStr">
        <is>
          <t>ST ALBAN-ANLAGE 66, CH-4052 BASEL, SWITZERLAND</t>
        </is>
      </c>
      <c r="AQ1985" t="inlineStr">
        <is>
          <t>1660-4601</t>
        </is>
      </c>
      <c r="AS1985" t="inlineStr">
        <is>
          <t>INT J ENV RES PUB HE</t>
        </is>
      </c>
      <c r="AT1985" t="inlineStr">
        <is>
          <t>Int. J. Environ. Res. Public Health</t>
        </is>
      </c>
      <c r="AU1985" t="inlineStr">
        <is>
          <t>MAR</t>
        </is>
      </c>
      <c r="AV1985" t="n">
        <v>2018</v>
      </c>
      <c r="AW1985" t="n">
        <v>15</v>
      </c>
      <c r="AX1985" t="n">
        <v>3</v>
      </c>
      <c r="BE1985" t="n">
        <v>453</v>
      </c>
      <c r="BF1985" t="inlineStr">
        <is>
          <t>10.3390/ijerph15030453</t>
        </is>
      </c>
      <c r="BG1985">
        <f>HYPERLINK("http://dx.doi.org/10.3390/ijerph15030453","http://dx.doi.org/10.3390/ijerph15030453")</f>
        <v/>
      </c>
      <c r="BJ1985" t="n">
        <v>11</v>
      </c>
      <c r="BK1985" t="inlineStr">
        <is>
          <t>Environmental Sciences; Public, Environmental &amp; Occupational Health</t>
        </is>
      </c>
      <c r="BL1985" t="inlineStr">
        <is>
          <t>Science Citation Index Expanded (SCI-EXPANDED); Social Science Citation Index (SSCI)</t>
        </is>
      </c>
      <c r="BM1985" t="inlineStr">
        <is>
          <t>Environmental Sciences &amp; Ecology; Public, Environmental &amp; Occupational Health</t>
        </is>
      </c>
      <c r="BN1985" t="inlineStr">
        <is>
          <t>GA7II</t>
        </is>
      </c>
      <c r="BO1985" t="n">
        <v>29509675</v>
      </c>
      <c r="BP1985" t="inlineStr">
        <is>
          <t>Green Published, gold, Green Submitted</t>
        </is>
      </c>
      <c r="BS1985" t="inlineStr">
        <is>
          <t>2023-10-26</t>
        </is>
      </c>
      <c r="BT1985" t="inlineStr">
        <is>
          <t>WOS:000428509200060</t>
        </is>
      </c>
      <c r="BU1985">
        <f>HYPERLINK("https%3A%2F%2Fwww.webofscience.com%2Fwos%2Fwoscc%2Ffull-record%2FWOS:000428509200060","View Full Record in Web of Science")</f>
        <v/>
      </c>
    </row>
    <row r="1986">
      <c r="A1986" t="inlineStr">
        <is>
          <t>J</t>
        </is>
      </c>
      <c r="B1986" t="inlineStr">
        <is>
          <t>Ghenta, M; Matei, A; Mladen-Macovei, L; Bobârnat, ES</t>
        </is>
      </c>
      <c r="F1986" t="inlineStr">
        <is>
          <t>Ghenta, Mihaela; Matei, Aniela; Mladen-Macovei, Luise; Bobarnat, Elen-Silvana</t>
        </is>
      </c>
      <c r="J1986" t="inlineStr">
        <is>
          <t>INTERNATIONAL JOURNAL OF ENVIRONMENTAL RESEARCH AND PUBLIC HEALTH</t>
        </is>
      </c>
      <c r="M1986" t="inlineStr">
        <is>
          <t>English</t>
        </is>
      </c>
      <c r="N1986" t="inlineStr">
        <is>
          <t>Article</t>
        </is>
      </c>
      <c r="T1986" t="inlineStr">
        <is>
          <t>Factors Associated with the Participation of Older Adults in Cultural and Sports Activities</t>
        </is>
      </c>
      <c r="U1986" t="inlineStr">
        <is>
          <t>older persons; cultural activities; sports activities</t>
        </is>
      </c>
      <c r="V1986" t="inlineStr">
        <is>
          <t>PHYSICAL-ACTIVITY PARTICIPATION; HEALTH; EXERCISE; IMPACT; ARTS; FACILITATORS; BARRIERS; PROGRAMS; BEHAVIOR; LEISURE</t>
        </is>
      </c>
      <c r="W1986" t="inlineStr">
        <is>
          <t>In the context of population aging, we have witnessed an increased interest in studying the participation of older persons in cultural and sport activities. The aim of this paper is to identify the participation rate in cultural and sports activities among Romanian older adults and the sociodemographics/behavioral variables that correlate with the participation rate in cultural and sports activities. In order to answer our research questions, we employed a questionnaire-based survey, and we used a nationally representative sample. Results point to low participation in both cultural and sports activities. Gender, residence, education, income, degree of mobility, internet connection, and availability of financial resources are significant variables that correlate with the engagement of older people in cultural and sports activities. Our study could serve as a base for concrete policy measures in the field of health and social inclusion of older persons.</t>
        </is>
      </c>
      <c r="X1986" t="inlineStr">
        <is>
          <t>[Ghenta, Mihaela; Matei, Aniela; Mladen-Macovei, Luise; Bobarnat, Elen-Silvana] Natl Sci Res Inst Labour &amp; Social Protect INCSMPS, Bucharest 010643, Romania; [Bobarnat, Elen-Silvana] Univ Bucharest, Fac Sociol &amp; Social Work, Bucharest 030018, Romania</t>
        </is>
      </c>
      <c r="Y1986" t="inlineStr">
        <is>
          <t>University of Bucharest</t>
        </is>
      </c>
      <c r="Z1986" t="inlineStr">
        <is>
          <t>Ghenta, M (corresponding author), Natl Sci Res Inst Labour &amp; Social Protect INCSMPS, Bucharest 010643, Romania.</t>
        </is>
      </c>
      <c r="AA1986" t="inlineStr">
        <is>
          <t>ghenta@incsmps.ro; aalexandrescu@incsmps.ro; luisemladen@hotmail.com; silvana.bobarnat@incsmps.ro</t>
        </is>
      </c>
      <c r="AB1986" t="inlineStr">
        <is>
          <t>Matei, Aniela/GXV-5304-2022; Matei, Aniela/B-5695-2011</t>
        </is>
      </c>
      <c r="AC1986" t="inlineStr">
        <is>
          <t>Matei, Aniela/0000-0002-6645-6209; Ghenta, Mihaela/0000-0002-6629-4676; Crivoi, Elen-Silvana/0000-0002-6945-2801</t>
        </is>
      </c>
      <c r="AD1986" t="inlineStr">
        <is>
          <t>Ministry of Research, Innovation and Digitalization [PN 19130401]; Ministry of Research, Innovation and Digitalization (MCID) [PN 19130401]</t>
        </is>
      </c>
      <c r="AE1986" t="inlineStr">
        <is>
          <t>Ministry of Research, Innovation and Digitalization; Ministry of Research, Innovation and Digitalization (MCID)</t>
        </is>
      </c>
      <c r="AF1986" t="inlineStr">
        <is>
          <t>This work was published and funded under the Nucleu Programme, supported by the Ministry of Research, Innovation and Digitalization, project number PN 19130401 (project title: Innovative strategies for the promotion of social inclusion in later life, in the context of the societal challenges). (Aceasta lucrare a fost realizata prin Programul-nucleu, derulat cu sprijinul MCID, proiect nr. PN 19130401, titlul proiectului: Strategii inovative de promovare a incluziunii sociale la varste inaintate in contextul noilor provocari societale.) The APC was funded by the Nucleu Programme, supported by the Ministry of Research, Innovation and Digitalization (MCID), project number PN 19130401.</t>
        </is>
      </c>
      <c r="AH1986" t="n">
        <v>74</v>
      </c>
      <c r="AI1986" t="n">
        <v>1</v>
      </c>
      <c r="AJ1986" t="n">
        <v>1</v>
      </c>
      <c r="AK1986" t="n">
        <v>9</v>
      </c>
      <c r="AL1986" t="n">
        <v>26</v>
      </c>
      <c r="AM1986" t="inlineStr">
        <is>
          <t>MDPI</t>
        </is>
      </c>
      <c r="AN1986" t="inlineStr">
        <is>
          <t>BASEL</t>
        </is>
      </c>
      <c r="AO1986" t="inlineStr">
        <is>
          <t>ST ALBAN-ANLAGE 66, CH-4052 BASEL, SWITZERLAND</t>
        </is>
      </c>
      <c r="AQ1986" t="inlineStr">
        <is>
          <t>1660-4601</t>
        </is>
      </c>
      <c r="AS1986" t="inlineStr">
        <is>
          <t>INT J ENV RES PUB HE</t>
        </is>
      </c>
      <c r="AT1986" t="inlineStr">
        <is>
          <t>Int. J. Environ. Res. Public Health</t>
        </is>
      </c>
      <c r="AU1986" t="inlineStr">
        <is>
          <t>MAY</t>
        </is>
      </c>
      <c r="AV1986" t="n">
        <v>2022</v>
      </c>
      <c r="AW1986" t="n">
        <v>19</v>
      </c>
      <c r="AX1986" t="n">
        <v>10</v>
      </c>
      <c r="BE1986" t="n">
        <v>6244</v>
      </c>
      <c r="BF1986" t="inlineStr">
        <is>
          <t>10.3390/ijerph19106244</t>
        </is>
      </c>
      <c r="BG1986">
        <f>HYPERLINK("http://dx.doi.org/10.3390/ijerph19106244","http://dx.doi.org/10.3390/ijerph19106244")</f>
        <v/>
      </c>
      <c r="BJ1986" t="n">
        <v>22</v>
      </c>
      <c r="BK1986" t="inlineStr">
        <is>
          <t>Environmental Sciences; Public, Environmental &amp; Occupational Health</t>
        </is>
      </c>
      <c r="BL1986" t="inlineStr">
        <is>
          <t>Science Citation Index Expanded (SCI-EXPANDED); Social Science Citation Index (SSCI)</t>
        </is>
      </c>
      <c r="BM1986" t="inlineStr">
        <is>
          <t>Environmental Sciences &amp; Ecology; Public, Environmental &amp; Occupational Health</t>
        </is>
      </c>
      <c r="BN1986" t="inlineStr">
        <is>
          <t>1R8VV</t>
        </is>
      </c>
      <c r="BO1986" t="n">
        <v>35627782</v>
      </c>
      <c r="BP1986" t="inlineStr">
        <is>
          <t>gold, Green Published</t>
        </is>
      </c>
      <c r="BS1986" t="inlineStr">
        <is>
          <t>2023-10-26</t>
        </is>
      </c>
      <c r="BT1986" t="inlineStr">
        <is>
          <t>WOS:000803642400001</t>
        </is>
      </c>
      <c r="BU1986">
        <f>HYPERLINK("https%3A%2F%2Fwww.webofscience.com%2Fwos%2Fwoscc%2Ffull-record%2FWOS:000803642400001","View Full Record in Web of Science")</f>
        <v/>
      </c>
    </row>
    <row r="1987">
      <c r="A1987" t="inlineStr">
        <is>
          <t>J</t>
        </is>
      </c>
      <c r="B1987" t="inlineStr">
        <is>
          <t>Jun, NR; Kim, JH; Park, JT; Jang, JH</t>
        </is>
      </c>
      <c r="F1987" t="inlineStr">
        <is>
          <t>Jun, Nu-Ri; Kim, Jae-Hyun; Park, Jong-Tae; Jang, Jong-Hwa</t>
        </is>
      </c>
      <c r="J1987" t="inlineStr">
        <is>
          <t>INTERNATIONAL JOURNAL OF ENVIRONMENTAL RESEARCH AND PUBLIC HEALTH</t>
        </is>
      </c>
      <c r="M1987" t="inlineStr">
        <is>
          <t>English</t>
        </is>
      </c>
      <c r="N1987" t="inlineStr">
        <is>
          <t>Article</t>
        </is>
      </c>
      <c r="T1987" t="inlineStr">
        <is>
          <t>Association of Number of Teeth with ADL/IADL in Korean Middle-Aged and Older Adults: An Analysis of the 7th Korean Longitudinal Study of Aging</t>
        </is>
      </c>
      <c r="U1987" t="inlineStr">
        <is>
          <t>age; ADL; IADL; dentistry; natural teeth; dental implant; middle-aged adult; older adult</t>
        </is>
      </c>
      <c r="V1987" t="inlineStr">
        <is>
          <t>QUALITY-OF-LIFE; ORAL-HEALTH; CHEWING ABILITY; TOOTH LOSS; IMPLANT</t>
        </is>
      </c>
      <c r="W1987" t="inlineStr">
        <is>
          <t>We determined the association between the number of natural and implant teeth with activities of daily living (ADL) and instrumental ADL (IADL) levels in middle-aged and older adults aged &gt;= 55 years. We included 6,925 participants, who underwent a computer-assisted personal interview in the 7th Korean Longitudinal Study of Aging. After controlling for general characteristics, the associations between the number of natural and implant teeth with ADL and IADL levels were examined using multiple regression analysis. The participants had 21.2 natural teeth and 1.08 implant teeth on average. The ADL and IADL levels were 0.61 and 1.56, 0.40 and 1.16, and 1.10 and 0.31 in participants with &lt;= 9, 10-19, and &gt;= 20 teeth, respectively. There was no significant association between ADL and the number of natural and implant teeth (p &gt; 0.05). However, a one-unit increase in IADL score was associated with a reduced number of natural (beta = -0.031, p &lt; 0.001) and implant (beta = -0.194, p = 0.006) teeth. Difficulties regarding IADL were associated with fewer natural and implant teeth, suggesting that maintaining and managing the number of teeth is critical to promoting the health of middle-aged and older adults.</t>
        </is>
      </c>
      <c r="X1987" t="inlineStr">
        <is>
          <t>[Jun, Nu-Ri; Kim, Jae-Hyun; Jang, Jong-Hwa] Dankook Univ, Grad Sch, Dept Publ Hlth, Cheonan Si 31116, South Korea; [Kim, Jae-Hyun] Dankook Univ, Coll Hlth Sci, Dept Hlth Adm, Cheonan Si 31116, South Korea; [Park, Jong-Tae] Dankook Univ, Coll Dent, Dept Oral Anat, Cheonan Si 31116, South Korea; [Jang, Jong-Hwa] Dankook Univ, Coll Hlth Sci, Dept Dent Hyg, Cheonan Si 31116, South Korea</t>
        </is>
      </c>
      <c r="Y1987" t="inlineStr">
        <is>
          <t>Dankook University; Dankook University; Dankook University; Dankook University</t>
        </is>
      </c>
      <c r="Z1987" t="inlineStr">
        <is>
          <t>Jang, JH (corresponding author), Dankook Univ, Grad Sch, Dept Publ Hlth, Cheonan Si 31116, South Korea.;Park, JT (corresponding author), Dankook Univ, Coll Dent, Dept Oral Anat, Cheonan Si 31116, South Korea.;Jang, JH (corresponding author), Dankook Univ, Coll Hlth Sci, Dept Dent Hyg, Cheonan Si 31116, South Korea.</t>
        </is>
      </c>
      <c r="AA1987" t="inlineStr">
        <is>
          <t>jongta2@dankook.ac.kr; jhj@dankook.ac.kr</t>
        </is>
      </c>
      <c r="AB1987" t="inlineStr">
        <is>
          <t>Jang, Jong-Hwa/AAF-8910-2020</t>
        </is>
      </c>
      <c r="AC1987" t="inlineStr">
        <is>
          <t>Jang, Jong-Hwa/0000-0001-9044-0218; Park, Jong-Tae/0000-0003-1870-2740; Nuri, Jun/0000-0002-7293-0587</t>
        </is>
      </c>
      <c r="AH1987" t="n">
        <v>51</v>
      </c>
      <c r="AI1987" t="n">
        <v>1</v>
      </c>
      <c r="AJ1987" t="n">
        <v>1</v>
      </c>
      <c r="AK1987" t="n">
        <v>3</v>
      </c>
      <c r="AL1987" t="n">
        <v>4</v>
      </c>
      <c r="AM1987" t="inlineStr">
        <is>
          <t>MDPI</t>
        </is>
      </c>
      <c r="AN1987" t="inlineStr">
        <is>
          <t>BASEL</t>
        </is>
      </c>
      <c r="AO1987" t="inlineStr">
        <is>
          <t>ST ALBAN-ANLAGE 66, CH-4052 BASEL, SWITZERLAND</t>
        </is>
      </c>
      <c r="AQ1987" t="inlineStr">
        <is>
          <t>1660-4601</t>
        </is>
      </c>
      <c r="AS1987" t="inlineStr">
        <is>
          <t>INT J ENV RES PUB HE</t>
        </is>
      </c>
      <c r="AT1987" t="inlineStr">
        <is>
          <t>Int. J. Environ. Res. Public Health</t>
        </is>
      </c>
      <c r="AU1987" t="inlineStr">
        <is>
          <t>OCT</t>
        </is>
      </c>
      <c r="AV1987" t="n">
        <v>2022</v>
      </c>
      <c r="AW1987" t="n">
        <v>19</v>
      </c>
      <c r="AX1987" t="n">
        <v>19</v>
      </c>
      <c r="BE1987" t="n">
        <v>12840</v>
      </c>
      <c r="BF1987" t="inlineStr">
        <is>
          <t>10.3390/ijerph191912840</t>
        </is>
      </c>
      <c r="BG1987">
        <f>HYPERLINK("http://dx.doi.org/10.3390/ijerph191912840","http://dx.doi.org/10.3390/ijerph191912840")</f>
        <v/>
      </c>
      <c r="BJ1987" t="n">
        <v>13</v>
      </c>
      <c r="BK1987" t="inlineStr">
        <is>
          <t>Environmental Sciences; Public, Environmental &amp; Occupational Health</t>
        </is>
      </c>
      <c r="BL1987" t="inlineStr">
        <is>
          <t>Science Citation Index Expanded (SCI-EXPANDED); Social Science Citation Index (SSCI)</t>
        </is>
      </c>
      <c r="BM1987" t="inlineStr">
        <is>
          <t>Environmental Sciences &amp; Ecology; Public, Environmental &amp; Occupational Health</t>
        </is>
      </c>
      <c r="BN1987" t="inlineStr">
        <is>
          <t>5G5OH</t>
        </is>
      </c>
      <c r="BO1987" t="n">
        <v>36232142</v>
      </c>
      <c r="BP1987" t="inlineStr">
        <is>
          <t>Green Published, gold</t>
        </is>
      </c>
      <c r="BS1987" t="inlineStr">
        <is>
          <t>2023-10-26</t>
        </is>
      </c>
      <c r="BT1987" t="inlineStr">
        <is>
          <t>WOS:000867047600001</t>
        </is>
      </c>
      <c r="BU1987">
        <f>HYPERLINK("https%3A%2F%2Fwww.webofscience.com%2Fwos%2Fwoscc%2Ffull-record%2FWOS:000867047600001","View Full Record in Web of Science")</f>
        <v/>
      </c>
    </row>
    <row r="1988">
      <c r="A1988" t="inlineStr">
        <is>
          <t>J</t>
        </is>
      </c>
      <c r="B1988" t="inlineStr">
        <is>
          <t>Corso, N; Zakhor, A</t>
        </is>
      </c>
      <c r="F1988" t="inlineStr">
        <is>
          <t>Corso, Nicholas; Zakhor, Avideh</t>
        </is>
      </c>
      <c r="J1988" t="inlineStr">
        <is>
          <t>REMOTE SENSING</t>
        </is>
      </c>
      <c r="M1988" t="inlineStr">
        <is>
          <t>English</t>
        </is>
      </c>
      <c r="N1988" t="inlineStr">
        <is>
          <t>Article</t>
        </is>
      </c>
      <c r="T1988" t="inlineStr">
        <is>
          <t>Indoor Localization Algorithms for an Ambulatory Human Operated 3D Mobile Mapping System</t>
        </is>
      </c>
      <c r="U1988" t="inlineStr">
        <is>
          <t>backpack; mobile mapping; SLAM; indoor localization</t>
        </is>
      </c>
      <c r="W1988" t="inlineStr">
        <is>
          <t>Indoor localization and mapping is an important problem with many applications such as emergency response, architectural modeling, and historical preservation. In this paper, we develop an automatic, off-line pipeline for metrically accurate, GPS-denied, indoor 3D mobile mapping using a human-mounted backpack system consisting of a variety of sensors. There are three novel contributions in our proposed mapping approach. First, we present an algorithm which automatically detects loop closure constraints from an occupancy grid map. In doing so, we ensure that constraints are detected only in locations that are well conditioned for scan matching. Secondly, we address the problem of scan matching with poor initial condition by presenting an outlier-resistant, genetic scan matching algorithm that accurately matches scans despite a poor initial condition. Third, we present two metrics based on the amount and complexity of overlapping geometry in order to vet the estimated loop closure constraints. By doing so, we automatically prevent erroneous loop closures from degrading the accuracy of the reconstructed trajectory. The proposed algorithms are experimentally verified using both controlled and real-world data. The end-to-end system performance is evaluated using 100 surveyed control points in an office environment and obtains a mean accuracy of 10 cm. Experimental results are also shown on three additional datasets from real world environments including a 1500 meter trajectory in a warehouse sized retail shopping center.</t>
        </is>
      </c>
      <c r="X1988" t="inlineStr">
        <is>
          <t>[Corso, Nicholas; Zakhor, Avideh] Univ Calif Berkeley, Video &amp; Image Proc Lab, Berkeley, CA 94720 USA</t>
        </is>
      </c>
      <c r="Y1988" t="inlineStr">
        <is>
          <t>University of California System; University of California Berkeley</t>
        </is>
      </c>
      <c r="Z1988" t="inlineStr">
        <is>
          <t>Corso, N (corresponding author), Univ Calif Berkeley, Video &amp; Image Proc Lab, Berkeley, CA 94720 USA.</t>
        </is>
      </c>
      <c r="AA1988" t="inlineStr">
        <is>
          <t>ncorso@eecs.berkeley.edu; avz@eecs.berkeley.edu</t>
        </is>
      </c>
      <c r="AB1988" t="inlineStr">
        <is>
          <t>Zakhor, Avideh/GYA-1602-2022</t>
        </is>
      </c>
      <c r="AC1988" t="inlineStr">
        <is>
          <t>Zakhor, Avideh/0000-0003-4770-6353</t>
        </is>
      </c>
      <c r="AD1988" t="inlineStr">
        <is>
          <t>ARPA-E</t>
        </is>
      </c>
      <c r="AE1988" t="inlineStr">
        <is>
          <t>ARPA-E</t>
        </is>
      </c>
      <c r="AF1988" t="inlineStr">
        <is>
          <t>The authors would like to thank ARPA-E for supporting this research.</t>
        </is>
      </c>
      <c r="AH1988" t="n">
        <v>42</v>
      </c>
      <c r="AI1988" t="n">
        <v>33</v>
      </c>
      <c r="AJ1988" t="n">
        <v>34</v>
      </c>
      <c r="AK1988" t="n">
        <v>2</v>
      </c>
      <c r="AL1988" t="n">
        <v>28</v>
      </c>
      <c r="AM1988" t="inlineStr">
        <is>
          <t>MDPI</t>
        </is>
      </c>
      <c r="AN1988" t="inlineStr">
        <is>
          <t>BASEL</t>
        </is>
      </c>
      <c r="AO1988" t="inlineStr">
        <is>
          <t>ST ALBAN-ANLAGE 66, CH-4052 BASEL, SWITZERLAND</t>
        </is>
      </c>
      <c r="AQ1988" t="inlineStr">
        <is>
          <t>2072-4292</t>
        </is>
      </c>
      <c r="AS1988" t="inlineStr">
        <is>
          <t>REMOTE SENS-BASEL</t>
        </is>
      </c>
      <c r="AT1988" t="inlineStr">
        <is>
          <t>Remote Sens.</t>
        </is>
      </c>
      <c r="AU1988" t="inlineStr">
        <is>
          <t>DEC</t>
        </is>
      </c>
      <c r="AV1988" t="n">
        <v>2013</v>
      </c>
      <c r="AW1988" t="n">
        <v>5</v>
      </c>
      <c r="AX1988" t="n">
        <v>12</v>
      </c>
      <c r="BC1988" t="n">
        <v>6611</v>
      </c>
      <c r="BD1988" t="n">
        <v>6646</v>
      </c>
      <c r="BF1988" t="inlineStr">
        <is>
          <t>10.3390/rs5126611</t>
        </is>
      </c>
      <c r="BG1988">
        <f>HYPERLINK("http://dx.doi.org/10.3390/rs5126611","http://dx.doi.org/10.3390/rs5126611")</f>
        <v/>
      </c>
      <c r="BJ1988" t="n">
        <v>36</v>
      </c>
      <c r="BK1988" t="inlineStr">
        <is>
          <t>Environmental Sciences; Geosciences, Multidisciplinary; Remote Sensing; Imaging Science &amp; Photographic Technology</t>
        </is>
      </c>
      <c r="BL1988" t="inlineStr">
        <is>
          <t>Science Citation Index Expanded (SCI-EXPANDED)</t>
        </is>
      </c>
      <c r="BM1988" t="inlineStr">
        <is>
          <t>Environmental Sciences &amp; Ecology; Geology; Remote Sensing; Imaging Science &amp; Photographic Technology</t>
        </is>
      </c>
      <c r="BN1988" t="inlineStr">
        <is>
          <t>298JB</t>
        </is>
      </c>
      <c r="BP1988" t="inlineStr">
        <is>
          <t>Green Submitted, gold</t>
        </is>
      </c>
      <c r="BS1988" t="inlineStr">
        <is>
          <t>2023-10-26</t>
        </is>
      </c>
      <c r="BT1988" t="inlineStr">
        <is>
          <t>WOS:000330318900023</t>
        </is>
      </c>
      <c r="BU1988">
        <f>HYPERLINK("https%3A%2F%2Fwww.webofscience.com%2Fwos%2Fwoscc%2Ffull-record%2FWOS:000330318900023","View Full Record in Web of Science")</f>
        <v/>
      </c>
    </row>
    <row r="1989">
      <c r="A1989" t="inlineStr">
        <is>
          <t>J</t>
        </is>
      </c>
      <c r="B1989" t="inlineStr">
        <is>
          <t>Walikewitz, N; Jänicke, B; Langner, M; Endlicher, W</t>
        </is>
      </c>
      <c r="F1989" t="inlineStr">
        <is>
          <t>Walikewitz, Nadine; Jaenicke, Britta; Langner, Marcel; Endlicher, Wilfried</t>
        </is>
      </c>
      <c r="J1989" t="inlineStr">
        <is>
          <t>INTERNATIONAL JOURNAL OF BIOMETEOROLOGY</t>
        </is>
      </c>
      <c r="M1989" t="inlineStr">
        <is>
          <t>English</t>
        </is>
      </c>
      <c r="N1989" t="inlineStr">
        <is>
          <t>Article; Proceedings Paper</t>
        </is>
      </c>
      <c r="O1989" t="inlineStr">
        <is>
          <t>20th International Congress of Biometeorology (ICB)</t>
        </is>
      </c>
      <c r="P1989" t="n">
        <v>2014</v>
      </c>
      <c r="Q1989" t="inlineStr">
        <is>
          <t>Cleveland, OH</t>
        </is>
      </c>
      <c r="T1989" t="inlineStr">
        <is>
          <t>Assessment of indoor heat stress variability in summer and during heat warnings: a case study using the UTCI in Berlin, Germany</t>
        </is>
      </c>
      <c r="U1989" t="inlineStr">
        <is>
          <t>Indoor climate; Heat stress; UTCI; Indoor measurements</t>
        </is>
      </c>
      <c r="V1989" t="inlineStr">
        <is>
          <t>MEAN RADIANT TEMPERATURE; SOLAR-RADIATION; AIR-TEMPERATURE; CLIMATE-CHANGE; MORTALITY; URBAN; COMFORT; ENVIRONMENTS; PERFORMANCE; MORBIDITY</t>
        </is>
      </c>
      <c r="W1989" t="inlineStr">
        <is>
          <t>Humans spend most of their time in confined spaces and are hence primarily exposed to the direct influence of indoor climate. The Universal Thermal Climate Index (UTCI) was obtained in 31 rooms (eight buildings) in Berlin, Germany, during summer 2013 and 2014. The indoor UTCI was determined from measurements of both air temperature and relative humidity and from data of mean radiant temperature and air velocity, which were either measured or modeled. The associated outdoor UTCI was obtained through facade measurements of air temperature and relative humidity, simulation of mean radiant temperature, and wind data from a central weather station. The results show that all rooms experienced heat stress according to UTCI levels, especially during heat waves. Indoor UTCI varied up to 6.6 K within the city and up to 7 K within building. Heat stress either during day or at night occurred on 35 % of all days. By comparing the day and night thermal loads, we identified maximum values above the 32 degrees C threshold for strong heat stress during the nighttime. Outdoor UTCI based on facade measurements provided no better explanation of indoor UTCI variability than the central weather station. In contrast, we found a stronger relationship of outdoor air temperature and indoor air temperature. Building characteristics, such as the floor level or window area, influenced indoor heat stress ambiguously. We conclude that indoor heat stress is a major hazard, and more effort toward understanding the causes and creating effective countermeasures is needed.</t>
        </is>
      </c>
      <c r="X1989" t="inlineStr">
        <is>
          <t>[Walikewitz, Nadine; Endlicher, Wilfried] Humboldt Univ, Dept Geog, Unter Linden 6, D-10099 Berlin, Germany; [Jaenicke, Britta] Tech Univ Berlin, Dept Ecol, Rothenburgstr 12, D-12165 Berlin, Germany; [Langner, Marcel] Fed Environm Agcy, Worlitzer Pl 1, D-06844 Dessau Rosslau, Germany</t>
        </is>
      </c>
      <c r="Y1989" t="inlineStr">
        <is>
          <t>Humboldt University of Berlin; Technical University of Berlin</t>
        </is>
      </c>
      <c r="Z1989" t="inlineStr">
        <is>
          <t>Walikewitz, N (corresponding author), Humboldt Univ, Dept Geog, Unter Linden 6, D-10099 Berlin, Germany.</t>
        </is>
      </c>
      <c r="AA1989" t="inlineStr">
        <is>
          <t>nadine.walikewitz@geo.hu-berlin.de; britta.jaenicke@tu-berlin.de; marcel.langner@uba.de; wilfried.endlicher@geo.hu-berlin.de</t>
        </is>
      </c>
      <c r="AB1989" t="inlineStr">
        <is>
          <t>Jänicke, Britta/AAZ-1757-2020</t>
        </is>
      </c>
      <c r="AC1989" t="inlineStr">
        <is>
          <t>Jänicke, Britta/0000-0001-6103-048X</t>
        </is>
      </c>
      <c r="AD1989" t="inlineStr">
        <is>
          <t>German research foundation (DFG) [EN138/21-1, SCHE 750/8-1, SCHE 750/9-1]</t>
        </is>
      </c>
      <c r="AE1989" t="inlineStr">
        <is>
          <t>German research foundation (DFG)(German Research Foundation (DFG))</t>
        </is>
      </c>
      <c r="AF1989" t="inlineStr">
        <is>
          <t>We would like to thank the German research foundation (DFG) for funding Research Unit 1736 Urban Climate and Heat stress in mid-latitude cities in view of climate change (UCaHS) (EN138/21-1, SCHE 750/8-1 and SCHE 750/9-1) and Phillip Schuster for his support with data collection.</t>
        </is>
      </c>
      <c r="AH1989" t="n">
        <v>39</v>
      </c>
      <c r="AI1989" t="n">
        <v>22</v>
      </c>
      <c r="AJ1989" t="n">
        <v>23</v>
      </c>
      <c r="AK1989" t="n">
        <v>2</v>
      </c>
      <c r="AL1989" t="n">
        <v>19</v>
      </c>
      <c r="AM1989" t="inlineStr">
        <is>
          <t>SPRINGER</t>
        </is>
      </c>
      <c r="AN1989" t="inlineStr">
        <is>
          <t>NEW YORK</t>
        </is>
      </c>
      <c r="AO1989" t="inlineStr">
        <is>
          <t>ONE NEW YORK PLAZA, SUITE 4600, NEW YORK, NY, UNITED STATES</t>
        </is>
      </c>
      <c r="AP1989" t="inlineStr">
        <is>
          <t>0020-7128</t>
        </is>
      </c>
      <c r="AQ1989" t="inlineStr">
        <is>
          <t>1432-1254</t>
        </is>
      </c>
      <c r="AS1989" t="inlineStr">
        <is>
          <t>INT J BIOMETEOROL</t>
        </is>
      </c>
      <c r="AT1989" t="inlineStr">
        <is>
          <t>Int. J. Biometeorol.</t>
        </is>
      </c>
      <c r="AU1989" t="inlineStr">
        <is>
          <t>JAN</t>
        </is>
      </c>
      <c r="AV1989" t="n">
        <v>2018</v>
      </c>
      <c r="AW1989" t="n">
        <v>62</v>
      </c>
      <c r="AX1989" t="n">
        <v>1</v>
      </c>
      <c r="BA1989" t="inlineStr">
        <is>
          <t>SI</t>
        </is>
      </c>
      <c r="BC1989" t="n">
        <v>29</v>
      </c>
      <c r="BD1989" t="n">
        <v>42</v>
      </c>
      <c r="BF1989" t="inlineStr">
        <is>
          <t>10.1007/s00484-015-1066-y</t>
        </is>
      </c>
      <c r="BG1989">
        <f>HYPERLINK("http://dx.doi.org/10.1007/s00484-015-1066-y","http://dx.doi.org/10.1007/s00484-015-1066-y")</f>
        <v/>
      </c>
      <c r="BJ1989" t="n">
        <v>14</v>
      </c>
      <c r="BK1989" t="inlineStr">
        <is>
          <t>Biophysics; Environmental Sciences; Meteorology &amp; Atmospheric Sciences; Physiology</t>
        </is>
      </c>
      <c r="BL1989" t="inlineStr">
        <is>
          <t>Science Citation Index Expanded (SCI-EXPANDED); Conference Proceedings Citation Index - Science (CPCI-S)</t>
        </is>
      </c>
      <c r="BM1989" t="inlineStr">
        <is>
          <t>Biophysics; Environmental Sciences &amp; Ecology; Meteorology &amp; Atmospheric Sciences; Physiology</t>
        </is>
      </c>
      <c r="BN1989" t="inlineStr">
        <is>
          <t>FR8VF</t>
        </is>
      </c>
      <c r="BO1989" t="n">
        <v>26423527</v>
      </c>
      <c r="BS1989" t="inlineStr">
        <is>
          <t>2023-10-26</t>
        </is>
      </c>
      <c r="BT1989" t="inlineStr">
        <is>
          <t>WOS:000419352000005</t>
        </is>
      </c>
      <c r="BU1989">
        <f>HYPERLINK("https%3A%2F%2Fwww.webofscience.com%2Fwos%2Fwoscc%2Ffull-record%2FWOS:000419352000005","View Full Record in Web of Science")</f>
        <v/>
      </c>
    </row>
    <row r="1990">
      <c r="A1990" t="inlineStr">
        <is>
          <t>J</t>
        </is>
      </c>
      <c r="B1990" t="inlineStr">
        <is>
          <t>Micheluz, A; Manente, S; Prigione, V; Tigini, V; Varese, GC; Ravagnan, G</t>
        </is>
      </c>
      <c r="F1990" t="inlineStr">
        <is>
          <t>Micheluz, Anna; Manente, Sabrina; Prigione, Valeria; Tigini, Valeria; Varese, Giovanna Cristina; Ravagnan, Giampietro</t>
        </is>
      </c>
      <c r="J1990" t="inlineStr">
        <is>
          <t>AEROBIOLOGIA</t>
        </is>
      </c>
      <c r="M1990" t="inlineStr">
        <is>
          <t>English</t>
        </is>
      </c>
      <c r="N1990" t="inlineStr">
        <is>
          <t>Article</t>
        </is>
      </c>
      <c r="T1990" t="inlineStr">
        <is>
          <t>The effects of book disinfection to the airborne microbiological community in a library environment</t>
        </is>
      </c>
      <c r="U1990" t="inlineStr">
        <is>
          <t>Book disinfection; Airborne fungi; Indoor environment; Library</t>
        </is>
      </c>
      <c r="V1990" t="inlineStr">
        <is>
          <t>CULTURAL-HERITAGE; FUNGAL BIODETERIORATION; ARCHIVE; CONSERVATION; PROPOSAL; QUALITY; SPORES; AIR</t>
        </is>
      </c>
      <c r="W1990" t="inlineStr">
        <is>
          <t>The management of fungal contaminants inside libraries and archives has become a big challenge for librarians, restorers and scientists. Several disinfection treatments have been developed in recent years, using both chemical and physical approaches on book collections and indoor environments. However, there is a lack of knowledge about the temporal efficiency of these cleanings, especially in relation with the preservation environments. The aim of this study was to determine the long-term effect of a chemical disinfection that interested a previous-contaminated book collection inside a University library. The monitoring after 6 months and 1 year from the cleaning confirmed any fungal growth on the disinfected books and the reduction of 90% of the airborne fungal load, highlighting anyway the presence of high fungal diversity. Sixty-eight different airborne fungal entities were isolated, in particular Aspergillus vitricola, Bulleromyces albus, Cladosporium cladosporioides, Cladosporium pseudocladosporioides, Cladosporium sphaerospermum, Penicillium brevicompactum, Rodothorula mugillaginosa and Sporodiobolus pararoseus. Several fungal species were sampled from the disinfected books, in particular Aspergillus penicillioides and Penicillium chrysogenum. The presence of these fungi both as airborne and as settled particles highlights the importance to maintain clean the preservation environments in order to prevent further microbial contaminations.</t>
        </is>
      </c>
      <c r="X1990" t="inlineStr">
        <is>
          <t>[Micheluz, Anna] Ca Foscari Univ, Dept Environm Sci Informat &amp; Stat, Via Torino 155, I-30170 Venice, Italy; [Manente, Sabrina; Ravagnan, Giampietro] Ca Foscari Univ, Dept Mol Sci &amp; Nanosyst, Via Torino 155, I-30170 Venice, Italy; [Prigione, Valeria; Tigini, Valeria; Varese, Giovanna Cristina] Univ Turin, Dept Life Sci &amp; Syst Biol, Viale Mattioli 25, I-10125 Turin, Italy</t>
        </is>
      </c>
      <c r="Y1990" t="inlineStr">
        <is>
          <t>Universita Ca Foscari Venezia; Universita Ca Foscari Venezia; University of Turin</t>
        </is>
      </c>
      <c r="Z1990" t="inlineStr">
        <is>
          <t>Micheluz, A (corresponding author), Ca Foscari Univ, Dept Environm Sci Informat &amp; Stat, Via Torino 155, I-30170 Venice, Italy.</t>
        </is>
      </c>
      <c r="AA1990" t="inlineStr">
        <is>
          <t>anna.micheluz@unive.it; manente@unive.it; valeria.prigione@unito.it; valeria.tigini@unito.it; cristina.varese@unito.it; gprav@unive.it</t>
        </is>
      </c>
      <c r="AB1990" t="inlineStr">
        <is>
          <t>Prigione, Valeria/K-6145-2019</t>
        </is>
      </c>
      <c r="AC1990" t="inlineStr">
        <is>
          <t>PRIGIONE, Valeria Paola/0000-0002-9312-1420; Micheluz, Anna/0000-0003-1073-1723</t>
        </is>
      </c>
      <c r="AH1990" t="n">
        <v>67</v>
      </c>
      <c r="AI1990" t="n">
        <v>11</v>
      </c>
      <c r="AJ1990" t="n">
        <v>11</v>
      </c>
      <c r="AK1990" t="n">
        <v>2</v>
      </c>
      <c r="AL1990" t="n">
        <v>24</v>
      </c>
      <c r="AM1990" t="inlineStr">
        <is>
          <t>SPRINGER</t>
        </is>
      </c>
      <c r="AN1990" t="inlineStr">
        <is>
          <t>DORDRECHT</t>
        </is>
      </c>
      <c r="AO1990" t="inlineStr">
        <is>
          <t>VAN GODEWIJCKSTRAAT 30, 3311 GZ DORDRECHT, NETHERLANDS</t>
        </is>
      </c>
      <c r="AP1990" t="inlineStr">
        <is>
          <t>0393-5965</t>
        </is>
      </c>
      <c r="AQ1990" t="inlineStr">
        <is>
          <t>1573-3025</t>
        </is>
      </c>
      <c r="AS1990" t="inlineStr">
        <is>
          <t>AEROBIOLOGIA</t>
        </is>
      </c>
      <c r="AT1990" t="inlineStr">
        <is>
          <t>Aerobiologia</t>
        </is>
      </c>
      <c r="AU1990" t="inlineStr">
        <is>
          <t>MAR</t>
        </is>
      </c>
      <c r="AV1990" t="n">
        <v>2018</v>
      </c>
      <c r="AW1990" t="n">
        <v>34</v>
      </c>
      <c r="AX1990" t="n">
        <v>1</v>
      </c>
      <c r="BC1990" t="n">
        <v>29</v>
      </c>
      <c r="BD1990" t="n">
        <v>44</v>
      </c>
      <c r="BF1990" t="inlineStr">
        <is>
          <t>10.1007/s10453-017-9492-4</t>
        </is>
      </c>
      <c r="BG1990">
        <f>HYPERLINK("http://dx.doi.org/10.1007/s10453-017-9492-4","http://dx.doi.org/10.1007/s10453-017-9492-4")</f>
        <v/>
      </c>
      <c r="BJ1990" t="n">
        <v>16</v>
      </c>
      <c r="BK1990" t="inlineStr">
        <is>
          <t>Biology; Environmental Sciences</t>
        </is>
      </c>
      <c r="BL1990" t="inlineStr">
        <is>
          <t>Science Citation Index Expanded (SCI-EXPANDED)</t>
        </is>
      </c>
      <c r="BM1990" t="inlineStr">
        <is>
          <t>Life Sciences &amp; Biomedicine - Other Topics; Environmental Sciences &amp; Ecology</t>
        </is>
      </c>
      <c r="BN1990" t="inlineStr">
        <is>
          <t>FW7WP</t>
        </is>
      </c>
      <c r="BS1990" t="inlineStr">
        <is>
          <t>2023-10-26</t>
        </is>
      </c>
      <c r="BT1990" t="inlineStr">
        <is>
          <t>WOS:000425538500003</t>
        </is>
      </c>
      <c r="BU1990">
        <f>HYPERLINK("https%3A%2F%2Fwww.webofscience.com%2Fwos%2Fwoscc%2Ffull-record%2FWOS:000425538500003","View Full Record in Web of Science")</f>
        <v/>
      </c>
    </row>
    <row r="1991">
      <c r="A1991" t="inlineStr">
        <is>
          <t>J</t>
        </is>
      </c>
      <c r="B1991" t="inlineStr">
        <is>
          <t>Xu, Y; Liang, YR; Urquidi, JR; Siegel, JA</t>
        </is>
      </c>
      <c r="F1991" t="inlineStr">
        <is>
          <t>Xu, Ying; Liang, Yirui; Urquidi, Jorge R.; Siegel, Jeffrey A.</t>
        </is>
      </c>
      <c r="J1991" t="inlineStr">
        <is>
          <t>ATMOSPHERIC ENVIRONMENT</t>
        </is>
      </c>
      <c r="M1991" t="inlineStr">
        <is>
          <t>English</t>
        </is>
      </c>
      <c r="N1991" t="inlineStr">
        <is>
          <t>Article</t>
        </is>
      </c>
      <c r="T1991" t="inlineStr">
        <is>
          <t>Phthalates and polybrominated diphenyl ethers in retail stores</t>
        </is>
      </c>
      <c r="U1991" t="inlineStr">
        <is>
          <t>Indoor air; Phthalates; Polybrominated diphenyl ethers (PBDEs); Retail buildings; Ventilation</t>
        </is>
      </c>
      <c r="V1991" t="inlineStr">
        <is>
          <t>BROMINATED FLAME RETARDANTS; SEMIVOLATILE ORGANIC-COMPOUNDS; ENDOCRINE-DISRUPTING COMPOUNDS; INDOOR AIR; POLYCHLORINATED-BIPHENYLS; OUTDOOR AIR; RISK-ASSESSMENT; HOUSE-DUST; EXPOSURE; PBDES</t>
        </is>
      </c>
      <c r="W1991" t="inlineStr">
        <is>
          <t>Retail stores contain a wide range of products that can emit a variety of indoor pollutants. Among these chemicals, phthalate esters and polybrominated diphenyl ethers (PBDEs) are two important categories, because they are extensively used as additives in consumer products and associated with serious health concerns. This study measured six phthalate and 14 PBDE compounds inside of 12 retail stores in Texas and Pennsylvania, U.S. Phthalates and PBDEs were widely found in the retail environment, indicating that they are ubiquitous indoor air pollutants. DEP. DnBP, and DEHP were the most abundant phthalates, with DnBP showing the highest concentration (0.23 +/- 0.36 mu g m(-3)). PBDEs were dominated by BDE-28, -99, and -209, having concentrations as high as 0.85 +/- 1.99 ng m(-3) (BDE-99). The levels of phthalates and PBDEs measured in this study are comparable to concentrations found in previous investigations of residential buildings, with phthalates showing lower concentrations and PBDEs exhibiting higher concentrations in retail stores. The potential co-occurrence of phthalates was not as strong as that of PBDEs, suggesting that phthalates might have more diverse sources. Whole building emission rates were calculated and showed similar patterns of variations as indoor air concentrations, suggestion the diversity of indoor sources of phthalates and PBDEs in retail environments. (C) 2014 Elsevier Ltd. All rights reserved.</t>
        </is>
      </c>
      <c r="X1991" t="inlineStr">
        <is>
          <t>[Xu, Ying; Liang, Yirui; Urquidi, Jorge R.] Univ Texas Austin, Dept Civil Architectural &amp; Environm Engn, Austin, TX 78712 USA; [Siegel, Jeffrey A.] Univ Toronto, Dept Civil Engn, Toronto, ON M5S 1A4, Canada</t>
        </is>
      </c>
      <c r="Y1991" t="inlineStr">
        <is>
          <t>University of Texas System; University of Texas Austin; University of Toronto</t>
        </is>
      </c>
      <c r="Z1991" t="inlineStr">
        <is>
          <t>Xu, Y (corresponding author), Univ Texas Austin, Civil Architectural &amp; Environm Engn Dept ARE, 301 E Dean Keeton St,Stop C1752, Austin, TX 78712 USA.</t>
        </is>
      </c>
      <c r="AA1991" t="inlineStr">
        <is>
          <t>xuying@mail.utexas.edu</t>
        </is>
      </c>
      <c r="AB1991" t="inlineStr">
        <is>
          <t>Liang, Yirui/S-8303-2016</t>
        </is>
      </c>
      <c r="AC1991" t="inlineStr">
        <is>
          <t>Liang, Yirui/0000-0002-8801-7266</t>
        </is>
      </c>
      <c r="AD1991" t="inlineStr">
        <is>
          <t>ASHRAE [RP-1596]; National Science Foundation [NSF CBET-1150713]; Div Of Chem, Bioeng, Env, &amp; Transp Sys; Directorate For Engineering [1066642, 1150713] Funding Source: National Science Foundation</t>
        </is>
      </c>
      <c r="AE1991" t="inlineStr">
        <is>
          <t>ASHRAE; National Science Foundation(National Science Foundation (NSF)); Div Of Chem, Bioeng, Env, &amp; Transp Sys; Directorate For Engineering(National Science Foundation (NSF)NSF - Directorate for Engineering (ENG))</t>
        </is>
      </c>
      <c r="AF1991" t="inlineStr">
        <is>
          <t>We are grateful for the field teams at Pennsylvania State University and The University of Texas at Austin who collected the data as part of the larger retail project. We thank Shi Shu, Neil Crain, and Roxana Darvari for assistance with operation of GC-MS and air sampling. Financial support was provided by ASHRAE (RP-1596) and the National Science Foundation (NSF CBET-1150713). We also acknowledge gratefully the cooperation from the owners and employees at the retail stores in Austin, TX and University Park, PA.</t>
        </is>
      </c>
      <c r="AH1991" t="n">
        <v>80</v>
      </c>
      <c r="AI1991" t="n">
        <v>18</v>
      </c>
      <c r="AJ1991" t="n">
        <v>18</v>
      </c>
      <c r="AK1991" t="n">
        <v>2</v>
      </c>
      <c r="AL1991" t="n">
        <v>44</v>
      </c>
      <c r="AM1991" t="inlineStr">
        <is>
          <t>PERGAMON-ELSEVIER SCIENCE LTD</t>
        </is>
      </c>
      <c r="AN1991" t="inlineStr">
        <is>
          <t>OXFORD</t>
        </is>
      </c>
      <c r="AO1991" t="inlineStr">
        <is>
          <t>THE BOULEVARD, LANGFORD LANE, KIDLINGTON, OXFORD OX5 1GB, ENGLAND</t>
        </is>
      </c>
      <c r="AP1991" t="inlineStr">
        <is>
          <t>1352-2310</t>
        </is>
      </c>
      <c r="AQ1991" t="inlineStr">
        <is>
          <t>1873-2844</t>
        </is>
      </c>
      <c r="AS1991" t="inlineStr">
        <is>
          <t>ATMOS ENVIRON</t>
        </is>
      </c>
      <c r="AT1991" t="inlineStr">
        <is>
          <t>Atmos. Environ.</t>
        </is>
      </c>
      <c r="AU1991" t="inlineStr">
        <is>
          <t>APR</t>
        </is>
      </c>
      <c r="AV1991" t="n">
        <v>2014</v>
      </c>
      <c r="AW1991" t="n">
        <v>87</v>
      </c>
      <c r="BC1991" t="n">
        <v>53</v>
      </c>
      <c r="BD1991" t="n">
        <v>64</v>
      </c>
      <c r="BF1991" t="inlineStr">
        <is>
          <t>10.1016/j.atmosenv.2014.01.019</t>
        </is>
      </c>
      <c r="BG1991">
        <f>HYPERLINK("http://dx.doi.org/10.1016/j.atmosenv.2014.01.019","http://dx.doi.org/10.1016/j.atmosenv.2014.01.019")</f>
        <v/>
      </c>
      <c r="BJ1991" t="n">
        <v>12</v>
      </c>
      <c r="BK1991" t="inlineStr">
        <is>
          <t>Environmental Sciences; Meteorology &amp; Atmospheric Sciences</t>
        </is>
      </c>
      <c r="BL1991" t="inlineStr">
        <is>
          <t>Science Citation Index Expanded (SCI-EXPANDED)</t>
        </is>
      </c>
      <c r="BM1991" t="inlineStr">
        <is>
          <t>Environmental Sciences &amp; Ecology; Meteorology &amp; Atmospheric Sciences</t>
        </is>
      </c>
      <c r="BN1991" t="inlineStr">
        <is>
          <t>AY2QR</t>
        </is>
      </c>
      <c r="BS1991" t="inlineStr">
        <is>
          <t>2023-10-26</t>
        </is>
      </c>
      <c r="BT1991" t="inlineStr">
        <is>
          <t>WOS:000347434900008</t>
        </is>
      </c>
      <c r="BU1991">
        <f>HYPERLINK("https%3A%2F%2Fwww.webofscience.com%2Fwos%2Fwoscc%2Ffull-record%2FWOS:000347434900008","View Full Record in Web of Science")</f>
        <v/>
      </c>
    </row>
    <row r="1992">
      <c r="A1992" t="inlineStr">
        <is>
          <t>J</t>
        </is>
      </c>
      <c r="B1992" t="inlineStr">
        <is>
          <t>Jung, H; Kim, M; Lee, Y; Won, CW</t>
        </is>
      </c>
      <c r="F1992" t="inlineStr">
        <is>
          <t>Jung, Heeeun; Kim, Miji; Lee, Yunhwan; Won, Chang Won</t>
        </is>
      </c>
      <c r="J1992" t="inlineStr">
        <is>
          <t>INTERNATIONAL JOURNAL OF ENVIRONMENTAL RESEARCH AND PUBLIC HEALTH</t>
        </is>
      </c>
      <c r="M1992" t="inlineStr">
        <is>
          <t>English</t>
        </is>
      </c>
      <c r="N1992" t="inlineStr">
        <is>
          <t>Article</t>
        </is>
      </c>
      <c r="T1992" t="inlineStr">
        <is>
          <t>Prevalence of Physical Frailty and Its Multidimensional Risk Factors in Korean Community-Dwelling Older Adults: Findings from Korean Frailty and Aging Cohort Study</t>
        </is>
      </c>
      <c r="U1992" t="inlineStr">
        <is>
          <t>community-dwelling older adults; physical frailty; prevalence; risk factors</t>
        </is>
      </c>
      <c r="V1992" t="inlineStr">
        <is>
          <t>PERFORMANCE BATTERY; PRACTICE GUIDELINES; CLINICAL-PRACTICE; CO-MORBIDITY; SHORT-FORM; HEALTH; ASSOCIATION; MORTALITY; IDENTIFICATION; POLYPHARMACY</t>
        </is>
      </c>
      <c r="W1992" t="inlineStr">
        <is>
          <t>Frailty is defined as a state of increased vulnerability to stressors, and it predicts disability and mortality in the older population. This study aimed to investigate the standardized prevalence and multidimensional risk factors associated with frailty among Korean community-dwelling older adults. We analyzed the baseline data of 2907 adults aged 70-84 years (mean age 75.8 +/- 3.9 years, 57.8% women) in the Korean Frailty and Aging Cohort Study. The Fried frailty phenotype was used to define frailty. Analyzed data included sociodemographic, physical, physical function, biological, lifestyle, health condition, medical condition, psychological, and social domains. Data were standardized using the national standard population composition ratio based on the Korean Population and Housing Census. The standardized prevalence of frailty and prefrailty was 7.9% (95% confidence interval (CI) 6.8-8.9%) and 47.0% (95% CI, 45.1-48.8%), respectively. The following 14 risk factors were significantly associated with frailty: at risk of malnutrition, sarcopenia, severe mobility limitation, poor social capital, rural dwellers, depressive symptoms, poor self-perceived health, polypharmacy, elevated high-sensitivity C-reactive protein, elevated glycosylated hemoglobin, low 25-hydroxy vitamin D level, longer Timed Up and Go, and low Short Physical Performance Battery score (p &lt; 0.05). Physiconutritional, psychological, sociodemographic, and medical factors are strongly associated with frailty.</t>
        </is>
      </c>
      <c r="X1992" t="inlineStr">
        <is>
          <t>[Jung, Heeeun] Kyung Hee Univ, Grad Sch, Dept Biomed Sci &amp; Technol, Seoul 02447, South Korea; [Kim, Miji] Kyung Hee Univ, Coll Med, East West Med Res Inst, Dept Biomed Sci &amp; Technol, Seoul 02447, South Korea; [Lee, Yunhwan] Ajou Univ, Dept Prevent Med &amp; Publ Hlth, Sch Med, Suwon 16499, South Korea; [Won, Chang Won] Kyung Hee Univ, Coll Med, Elderly Frailty Res Ctr, Dept Family Med, Seoul 02447, South Korea</t>
        </is>
      </c>
      <c r="Y1992" t="inlineStr">
        <is>
          <t>Kyung Hee University; Kyung Hee University; Ajou University; Kyung Hee University</t>
        </is>
      </c>
      <c r="Z1992" t="inlineStr">
        <is>
          <t>Kim, M (corresponding author), Kyung Hee Univ, Coll Med, East West Med Res Inst, Dept Biomed Sci &amp; Technol, Seoul 02447, South Korea.;Won, CW (corresponding author), Kyung Hee Univ, Coll Med, Elderly Frailty Res Ctr, Dept Family Med, Seoul 02447, South Korea.</t>
        </is>
      </c>
      <c r="AA1992" t="inlineStr">
        <is>
          <t>heeeun.jung@khu.ac.kr; mijiak@khu.ac.kr; yhlee@ajou.ac.kr; chunwon62@naver.com</t>
        </is>
      </c>
      <c r="AB1992" t="inlineStr">
        <is>
          <t>Lee, Yunhwan/F-4967-2010</t>
        </is>
      </c>
      <c r="AC1992" t="inlineStr">
        <is>
          <t>Lee, Yunhwan/0000-0001-8484-4750; Won, Chang Won/0000-0002-6429-4461; Kim, Miji/0000-0002-0852-8825</t>
        </is>
      </c>
      <c r="AD1992" t="inlineStr">
        <is>
          <t>Korea Health Technology R&amp;D Project through the Korean Health Industry Development Institute (KHIDI) - Ministry of Health and Welfare, Republic of Korea [HI15C3153]</t>
        </is>
      </c>
      <c r="AE1992" t="inlineStr">
        <is>
          <t>Korea Health Technology R&amp;D Project through the Korean Health Industry Development Institute (KHIDI) - Ministry of Health and Welfare, Republic of Korea</t>
        </is>
      </c>
      <c r="AF1992" t="inlineStr">
        <is>
          <t>This research was supported by a grant from the Korea Health Technology R&amp;D Project through the Korean Health Industry Development Institute (KHIDI), funded by the Ministry of Health and Welfare, Republic of Korea (grant number: HI15C3153).</t>
        </is>
      </c>
      <c r="AH1992" t="n">
        <v>61</v>
      </c>
      <c r="AI1992" t="n">
        <v>27</v>
      </c>
      <c r="AJ1992" t="n">
        <v>27</v>
      </c>
      <c r="AK1992" t="n">
        <v>1</v>
      </c>
      <c r="AL1992" t="n">
        <v>14</v>
      </c>
      <c r="AM1992" t="inlineStr">
        <is>
          <t>MDPI</t>
        </is>
      </c>
      <c r="AN1992" t="inlineStr">
        <is>
          <t>BASEL</t>
        </is>
      </c>
      <c r="AO1992" t="inlineStr">
        <is>
          <t>ST ALBAN-ANLAGE 66, CH-4052 BASEL, SWITZERLAND</t>
        </is>
      </c>
      <c r="AQ1992" t="inlineStr">
        <is>
          <t>1660-4601</t>
        </is>
      </c>
      <c r="AS1992" t="inlineStr">
        <is>
          <t>INT J ENV RES PUB HE</t>
        </is>
      </c>
      <c r="AT1992" t="inlineStr">
        <is>
          <t>Int. J. Environ. Res. Public Health</t>
        </is>
      </c>
      <c r="AU1992" t="inlineStr">
        <is>
          <t>NOV</t>
        </is>
      </c>
      <c r="AV1992" t="n">
        <v>2020</v>
      </c>
      <c r="AW1992" t="n">
        <v>17</v>
      </c>
      <c r="AX1992" t="n">
        <v>21</v>
      </c>
      <c r="BE1992" t="n">
        <v>7883</v>
      </c>
      <c r="BF1992" t="inlineStr">
        <is>
          <t>10.3390/ijerph17217883</t>
        </is>
      </c>
      <c r="BG1992">
        <f>HYPERLINK("http://dx.doi.org/10.3390/ijerph17217883","http://dx.doi.org/10.3390/ijerph17217883")</f>
        <v/>
      </c>
      <c r="BJ1992" t="n">
        <v>20</v>
      </c>
      <c r="BK1992" t="inlineStr">
        <is>
          <t>Environmental Sciences; Public, Environmental &amp; Occupational Health</t>
        </is>
      </c>
      <c r="BL1992" t="inlineStr">
        <is>
          <t>Science Citation Index Expanded (SCI-EXPANDED); Social Science Citation Index (SSCI)</t>
        </is>
      </c>
      <c r="BM1992" t="inlineStr">
        <is>
          <t>Environmental Sciences &amp; Ecology; Public, Environmental &amp; Occupational Health</t>
        </is>
      </c>
      <c r="BN1992" t="inlineStr">
        <is>
          <t>OQ6VC</t>
        </is>
      </c>
      <c r="BO1992" t="n">
        <v>33121159</v>
      </c>
      <c r="BP1992" t="inlineStr">
        <is>
          <t>gold, Green Submitted, Green Published</t>
        </is>
      </c>
      <c r="BS1992" t="inlineStr">
        <is>
          <t>2023-10-26</t>
        </is>
      </c>
      <c r="BT1992" t="inlineStr">
        <is>
          <t>WOS:000588917400001</t>
        </is>
      </c>
      <c r="BU1992">
        <f>HYPERLINK("https%3A%2F%2Fwww.webofscience.com%2Fwos%2Fwoscc%2Ffull-record%2FWOS:000588917400001","View Full Record in Web of Science")</f>
        <v/>
      </c>
    </row>
    <row r="1993">
      <c r="A1993" t="inlineStr">
        <is>
          <t>J</t>
        </is>
      </c>
      <c r="B1993" t="inlineStr">
        <is>
          <t>Wang, JY; Ji, LX; Ma, S; Sun, X; Wang, MX</t>
        </is>
      </c>
      <c r="F1993" t="inlineStr">
        <is>
          <t>Wang, Jianyu; Ji, Lanxin; Ma, Shuo; Sun, Xu; Wang, Mingxin</t>
        </is>
      </c>
      <c r="J1993" t="inlineStr">
        <is>
          <t>SUSTAINABILITY</t>
        </is>
      </c>
      <c r="M1993" t="inlineStr">
        <is>
          <t>English</t>
        </is>
      </c>
      <c r="N1993" t="inlineStr">
        <is>
          <t>Article</t>
        </is>
      </c>
      <c r="T1993" t="inlineStr">
        <is>
          <t>Analysis of Factors Influencing the Severity of Vehicle-to-Vehicle Accidents Considering the Built Environment: An Interpretable Machine Learning Model</t>
        </is>
      </c>
      <c r="U1993" t="inlineStr">
        <is>
          <t>crash severity; built environment; random forest; SHapley Additive exPlanation (SHAP)</t>
        </is>
      </c>
      <c r="V1993" t="inlineStr">
        <is>
          <t>RANDOM PARAMETERS; INJURY SEVERITY; CRASHES; XGBOOST; SAFETY</t>
        </is>
      </c>
      <c r="W1993" t="inlineStr">
        <is>
          <t>Understanding the causes of traffic road accidents is crucial; however, as data collection is conducted by traffic police, accident-related environmental information is not available. To fill this gap, we collect information on the built environment within R = 500 m of the accident site; model the factors influencing accident severity in Shenyang, China, from 2018 to 2020 using the Random Forest algorithm; and use the SHapley Additive exPlanation method to interpret the underlying driving forces. We initially integrate five indicators of the built environment with 18 characteristics, including human and vehicle at-fault characters, infrastructure, time, climate, and land use attributes. Our results show that road type, urban/rural, season, and speed limit in the first 10 factors have a significant positive effect on accident severity; density of commercial-POI in the first 10 factors has a significant negative effect. Factors such as urban/rural and road type, commercial and vehicle type, road type, and season have significant effects on accident severity through an interactive mechanism. These findings provide important information for improving road safety.</t>
        </is>
      </c>
      <c r="X1993" t="inlineStr">
        <is>
          <t>[Wang, Jianyu; Ji, Lanxin; Ma, Shuo; Sun, Xu; Wang, Mingxin] Beijing Univ Civil Engn &amp; Architecture, Sch Civil &amp; Transportat Engn, Beijing 100044, Peoples R China</t>
        </is>
      </c>
      <c r="Y1993" t="inlineStr">
        <is>
          <t>Beijing University of Civil Engineering &amp; Architecture</t>
        </is>
      </c>
      <c r="Z1993" t="inlineStr">
        <is>
          <t>Sun, X (corresponding author), Beijing Univ Civil Engn &amp; Architecture, Sch Civil &amp; Transportat Engn, Beijing 100044, Peoples R China.</t>
        </is>
      </c>
      <c r="AA1993" t="inlineStr">
        <is>
          <t>sunxu@bucea.edu.cn</t>
        </is>
      </c>
      <c r="AD1993" t="inlineStr">
        <is>
          <t>Beijing Natural Science Foundation [9234025]; Research Capacity Enhancement Program for Young Teachers of Beijing University of Civil Engineering and Architecture [X22006]; Ramp;D Program of the Beijing Municipal Education Commission [KM202110016013]; Humanity and Social Science Youth Foundation of the Ministry of Education of China [19YJC630148]; BUCEA Post Graduate Innovation Project [PG2023050]</t>
        </is>
      </c>
      <c r="AE1993" t="inlineStr">
        <is>
          <t>Beijing Natural Science Foundation(Beijing Natural Science Foundation); Research Capacity Enhancement Program for Young Teachers of Beijing University of Civil Engineering and Architecture; Ramp;D Program of the Beijing Municipal Education Commission; Humanity and Social Science Youth Foundation of the Ministry of Education of China; BUCEA Post Graduate Innovation Project</t>
        </is>
      </c>
      <c r="AF1993" t="inlineStr">
        <is>
          <t>This research was funded by the Beijing Natural Science Foundation (No. 9234025),the Research Capacity Enhancement Program for Young Teachers of Beijing University of Civil Engineering and Architecture (No. X22006), the R &amp; amp;D Program of the Beijing Municipal Education Commission (No. KM202110016013), the Humanity and Social Science Youth Foundation of the Ministry of Education of China (No. 19YJC630148), and the BUCEA Post Graduate Innovation Project (Grant No. PG2023050)</t>
        </is>
      </c>
      <c r="AH1993" t="n">
        <v>49</v>
      </c>
      <c r="AI1993" t="n">
        <v>0</v>
      </c>
      <c r="AJ1993" t="n">
        <v>0</v>
      </c>
      <c r="AK1993" t="n">
        <v>4</v>
      </c>
      <c r="AL1993" t="n">
        <v>4</v>
      </c>
      <c r="AM1993" t="inlineStr">
        <is>
          <t>MDPI</t>
        </is>
      </c>
      <c r="AN1993" t="inlineStr">
        <is>
          <t>BASEL</t>
        </is>
      </c>
      <c r="AO1993" t="inlineStr">
        <is>
          <t>ST ALBAN-ANLAGE 66, CH-4052 BASEL, SWITZERLAND</t>
        </is>
      </c>
      <c r="AQ1993" t="inlineStr">
        <is>
          <t>2071-1050</t>
        </is>
      </c>
      <c r="AS1993" t="inlineStr">
        <is>
          <t>SUSTAINABILITY-BASEL</t>
        </is>
      </c>
      <c r="AT1993" t="inlineStr">
        <is>
          <t>Sustainability</t>
        </is>
      </c>
      <c r="AU1993" t="inlineStr">
        <is>
          <t>SEP</t>
        </is>
      </c>
      <c r="AV1993" t="n">
        <v>2023</v>
      </c>
      <c r="AW1993" t="n">
        <v>15</v>
      </c>
      <c r="AX1993" t="n">
        <v>17</v>
      </c>
      <c r="BE1993" t="n">
        <v>12904</v>
      </c>
      <c r="BF1993" t="inlineStr">
        <is>
          <t>10.3390/su151712904</t>
        </is>
      </c>
      <c r="BG1993">
        <f>HYPERLINK("http://dx.doi.org/10.3390/su151712904","http://dx.doi.org/10.3390/su151712904")</f>
        <v/>
      </c>
      <c r="BJ1993" t="n">
        <v>17</v>
      </c>
      <c r="BK1993" t="inlineStr">
        <is>
          <t>Green &amp; Sustainable Science &amp; Technology; Environmental Sciences; Environmental Studies</t>
        </is>
      </c>
      <c r="BL1993" t="inlineStr">
        <is>
          <t>Science Citation Index Expanded (SCI-EXPANDED); Social Science Citation Index (SSCI)</t>
        </is>
      </c>
      <c r="BM1993" t="inlineStr">
        <is>
          <t>Science &amp; Technology - Other Topics; Environmental Sciences &amp; Ecology</t>
        </is>
      </c>
      <c r="BN1993" t="inlineStr">
        <is>
          <t>R0EI2</t>
        </is>
      </c>
      <c r="BP1993" t="inlineStr">
        <is>
          <t>gold</t>
        </is>
      </c>
      <c r="BS1993" t="inlineStr">
        <is>
          <t>2023-10-26</t>
        </is>
      </c>
      <c r="BT1993" t="inlineStr">
        <is>
          <t>WOS:001061152300001</t>
        </is>
      </c>
      <c r="BU1993">
        <f>HYPERLINK("https%3A%2F%2Fwww.webofscience.com%2Fwos%2Fwoscc%2Ffull-record%2FWOS:001061152300001","View Full Record in Web of Science")</f>
        <v/>
      </c>
    </row>
    <row r="1994">
      <c r="A1994" t="inlineStr">
        <is>
          <t>J</t>
        </is>
      </c>
      <c r="B1994" t="inlineStr">
        <is>
          <t>Pirouz, B; Palermo, SA; Naghib, SN; Mazzeo, D; Turco, M; Piro, P</t>
        </is>
      </c>
      <c r="F1994" t="inlineStr">
        <is>
          <t>Pirouz, Behrouz; Palermo, Stefania Anna; Naghib, Seyed Navid; Mazzeo, Domenico; Turco, Michele; Piro, Patrizia</t>
        </is>
      </c>
      <c r="J1994" t="inlineStr">
        <is>
          <t>SUSTAINABILITY</t>
        </is>
      </c>
      <c r="M1994" t="inlineStr">
        <is>
          <t>English</t>
        </is>
      </c>
      <c r="N1994" t="inlineStr">
        <is>
          <t>Article</t>
        </is>
      </c>
      <c r="T1994" t="inlineStr">
        <is>
          <t>The Role of HVAC Design and Windows on the Indoor Airflow Pattern and ACH</t>
        </is>
      </c>
      <c r="U1994" t="inlineStr">
        <is>
          <t>indoor environment; airflow; HVAC; ACH; UV light; CFD; COVID-19; IAQ</t>
        </is>
      </c>
      <c r="V1994" t="inlineStr">
        <is>
          <t>SICK BUILDING SYNDROME; VENTILATION; INFECTION; SYSTEM; HEALTH; RATES; DISTRIBUTIONS; TRANSMISSION; COLLECTION; EFFICIENCY</t>
        </is>
      </c>
      <c r="W1994" t="inlineStr">
        <is>
          <t>The purpose of heating, ventilation, and air conditioning (HVAC) systems are to create optimum thermal comfort and appropriate indoor air quality (IAQ) for occupants. Air ventilation systems can significantly affect the health risk in indoor environments, especially those by contaminated aerosols. Therefore, the main goal of the study is to analyze the indoor airflow patterns in the heating, ventilation, and air conditioning (HVAC) systems and the impact of outlets/windows. The other goal of this study is to simulate the trajectory of the aerosols from a human sneeze, investigate the impact of opening windows on the number of air changes per hour (ACH) and exhibit the role of dead zones with poor ventilation. The final goal is to show the application of computational fluid dynamics (CFD) simulation in improving the HVAC design, such as outlet locations or airflow rate, in addition to the placement of occupants. In this regard, an extensive literature review has been combined with the CFD method to analyze the indoor airflow patterns, ACH, and the role of windows. The airflow pattern analysis shows the critical impact of inflow/outflow and windows. The results show that the CFD model simulation could exhibit optimal placement and safer locations for the occupants to decrease the health risk. The results of the discrete phase simulation determined that the actual ACH could be different from the theoretical ACH as the short circuit and dead zones affect the ACH.</t>
        </is>
      </c>
      <c r="X1994" t="inlineStr">
        <is>
          <t>[Pirouz, Behrouz; Naghib, Seyed Navid; Mazzeo, Domenico] Univ Calabria, Dept Mech Energy &amp; Management Engn, I-87036 Arcavacata Di Rende, CS, Italy; [Palermo, Stefania Anna; Turco, Michele; Piro, Patrizia] Univ Calabria, Dept Civil Engn, I-87036 Arcavacata Di Rende, CS, Italy</t>
        </is>
      </c>
      <c r="Y1994" t="inlineStr">
        <is>
          <t>University of Calabria; University of Calabria</t>
        </is>
      </c>
      <c r="Z1994" t="inlineStr">
        <is>
          <t>Pirouz, B (corresponding author), Univ Calabria, Dept Mech Energy &amp; Management Engn, I-87036 Arcavacata Di Rende, CS, Italy.</t>
        </is>
      </c>
      <c r="AA1994" t="inlineStr">
        <is>
          <t>behrouz.pirouz@unical.it; stefania.palermo@unical.it; navid.naghib@gmail.com; domenico.mazzeo@unical.it; michele.turco@unical.it; patrizia.piro@unical.it</t>
        </is>
      </c>
      <c r="AB1994" t="inlineStr">
        <is>
          <t>Mazzeo, Domenico/O-1741-2014; PALERMO, STEFANIA ANNA/ABA-9050-2020; Pirouz, Behrouz/AAF-1238-2020</t>
        </is>
      </c>
      <c r="AC1994" t="inlineStr">
        <is>
          <t>Mazzeo, Domenico/0000-0001-7253-2506; PALERMO, STEFANIA ANNA/0000-0002-4513-7401; Pirouz, Behrouz/0000-0002-9163-3393; NAGHIB, SEYED NAVID/0000-0002-2149-2556; Turco, Michele/0000-0003-3768-842X</t>
        </is>
      </c>
      <c r="AH1994" t="n">
        <v>97</v>
      </c>
      <c r="AI1994" t="n">
        <v>13</v>
      </c>
      <c r="AJ1994" t="n">
        <v>13</v>
      </c>
      <c r="AK1994" t="n">
        <v>4</v>
      </c>
      <c r="AL1994" t="n">
        <v>32</v>
      </c>
      <c r="AM1994" t="inlineStr">
        <is>
          <t>MDPI</t>
        </is>
      </c>
      <c r="AN1994" t="inlineStr">
        <is>
          <t>BASEL</t>
        </is>
      </c>
      <c r="AO1994" t="inlineStr">
        <is>
          <t>ST ALBAN-ANLAGE 66, CH-4052 BASEL, SWITZERLAND</t>
        </is>
      </c>
      <c r="AQ1994" t="inlineStr">
        <is>
          <t>2071-1050</t>
        </is>
      </c>
      <c r="AS1994" t="inlineStr">
        <is>
          <t>SUSTAINABILITY-BASEL</t>
        </is>
      </c>
      <c r="AT1994" t="inlineStr">
        <is>
          <t>Sustainability</t>
        </is>
      </c>
      <c r="AU1994" t="inlineStr">
        <is>
          <t>JUL</t>
        </is>
      </c>
      <c r="AV1994" t="n">
        <v>2021</v>
      </c>
      <c r="AW1994" t="n">
        <v>13</v>
      </c>
      <c r="AX1994" t="n">
        <v>14</v>
      </c>
      <c r="BE1994" t="n">
        <v>7931</v>
      </c>
      <c r="BF1994" t="inlineStr">
        <is>
          <t>10.3390/su13147931</t>
        </is>
      </c>
      <c r="BG1994">
        <f>HYPERLINK("http://dx.doi.org/10.3390/su13147931","http://dx.doi.org/10.3390/su13147931")</f>
        <v/>
      </c>
      <c r="BJ1994" t="n">
        <v>31</v>
      </c>
      <c r="BK1994" t="inlineStr">
        <is>
          <t>Green &amp; Sustainable Science &amp; Technology; Environmental Sciences; Environmental Studies</t>
        </is>
      </c>
      <c r="BL1994" t="inlineStr">
        <is>
          <t>Science Citation Index Expanded (SCI-EXPANDED); Social Science Citation Index (SSCI)</t>
        </is>
      </c>
      <c r="BM1994" t="inlineStr">
        <is>
          <t>Science &amp; Technology - Other Topics; Environmental Sciences &amp; Ecology</t>
        </is>
      </c>
      <c r="BN1994" t="inlineStr">
        <is>
          <t>TO8RH</t>
        </is>
      </c>
      <c r="BP1994" t="inlineStr">
        <is>
          <t>gold</t>
        </is>
      </c>
      <c r="BS1994" t="inlineStr">
        <is>
          <t>2023-10-26</t>
        </is>
      </c>
      <c r="BT1994" t="inlineStr">
        <is>
          <t>WOS:000677170800001</t>
        </is>
      </c>
      <c r="BU1994">
        <f>HYPERLINK("https%3A%2F%2Fwww.webofscience.com%2Fwos%2Fwoscc%2Ffull-record%2FWOS:000677170800001","View Full Record in Web of Science")</f>
        <v/>
      </c>
    </row>
    <row r="1995">
      <c r="A1995" t="inlineStr">
        <is>
          <t>J</t>
        </is>
      </c>
      <c r="B1995" t="inlineStr">
        <is>
          <t>Roy, S; Rautela, R; Kumar, S</t>
        </is>
      </c>
      <c r="F1995" t="inlineStr">
        <is>
          <t>Roy, Sampriti; Rautela, Rahul; Kumar, Sunil</t>
        </is>
      </c>
      <c r="J1995" t="inlineStr">
        <is>
          <t>JOURNAL OF CLEANER PRODUCTION</t>
        </is>
      </c>
      <c r="M1995" t="inlineStr">
        <is>
          <t>English</t>
        </is>
      </c>
      <c r="N1995" t="inlineStr">
        <is>
          <t>Review</t>
        </is>
      </c>
      <c r="T1995" t="inlineStr">
        <is>
          <t>Towards a sustainable future: Nexus between the sustainable development goals and waste management in the built environment</t>
        </is>
      </c>
      <c r="U1995" t="inlineStr">
        <is>
          <t>Sustainable development goals; Built environment; Waste management; Cooperative game theory</t>
        </is>
      </c>
      <c r="V1995" t="inlineStr">
        <is>
          <t>SOLID-WASTE; FOOD WASTE; WATER; MICROPLASTICS; SANITATION; JUSTICE</t>
        </is>
      </c>
      <c r="W1995" t="inlineStr">
        <is>
          <t>The Sustainable Development Goals (SDGs) were introduced to the world in 2015 to provide a roadmap for development in domains, such as poverty reduction, health, education, clean water and sanitation, affordable and clean energy, and climate action. Among the domains that must be worked on to reach the SDGs, waste management in the present day Built Environment (BE) is a domain that has been found to be significantly involved in achieving the SDGs and ensuring a sustainable future. Addressing the significance of this observation, the review aims to provide an overview of the current environmental and social factors related to waste management in the BE, identifies how waste management is important in achieving each SDG, and discusses key challenges and opportunities regarding the waste sector along with innovative approaches to waste management. Furthermore, the review presents cooperative game theory as a tool for providing models for the better identification of gaps in the compliance of waste laws and potential predictions of the future behaviour of the generators and handlers of waste to make better policies regarding waste management in the BE by considering SDGs as a guiding tool.</t>
        </is>
      </c>
      <c r="X1995" t="inlineStr">
        <is>
          <t>[Roy, Sampriti; Rautela, Rahul; Kumar, Sunil] CSIR Natl Environm Engn Res Inst CSIR NEERI, Nehru Marg, Nagpur 440020, Maharashtra, India; [Rautela, Rahul; Kumar, Sunil] Acad Sci &amp; Innovat Res AcSIR, Ghaziabad 201002, Uttar Pradesh, India</t>
        </is>
      </c>
      <c r="Y1995" t="inlineStr">
        <is>
          <t>Council of Scientific &amp; Industrial Research (CSIR) - India; CSIR - National Environmental Engineering Research Institute (NEERI); Academy of Scientific &amp; Innovative Research (AcSIR)</t>
        </is>
      </c>
      <c r="Z1995" t="inlineStr">
        <is>
          <t>Kumar, S (corresponding author), CSIR Natl Environm Engn Res Inst CSIR NEERI, Nehru Marg, Nagpur 440020, Maharashtra, India.</t>
        </is>
      </c>
      <c r="AA1995" t="inlineStr">
        <is>
          <t>s_kumar@neeri.res.in</t>
        </is>
      </c>
      <c r="AH1995" t="n">
        <v>146</v>
      </c>
      <c r="AI1995" t="n">
        <v>3</v>
      </c>
      <c r="AJ1995" t="n">
        <v>3</v>
      </c>
      <c r="AK1995" t="n">
        <v>7</v>
      </c>
      <c r="AL1995" t="n">
        <v>7</v>
      </c>
      <c r="AM1995" t="inlineStr">
        <is>
          <t>ELSEVIER SCI LTD</t>
        </is>
      </c>
      <c r="AN1995" t="inlineStr">
        <is>
          <t>OXFORD</t>
        </is>
      </c>
      <c r="AO1995" t="inlineStr">
        <is>
          <t>THE BOULEVARD, LANGFORD LANE, KIDLINGTON, OXFORD OX5 1GB, OXON, ENGLAND</t>
        </is>
      </c>
      <c r="AP1995" t="inlineStr">
        <is>
          <t>0959-6526</t>
        </is>
      </c>
      <c r="AQ1995" t="inlineStr">
        <is>
          <t>1879-1786</t>
        </is>
      </c>
      <c r="AS1995" t="inlineStr">
        <is>
          <t>J CLEAN PROD</t>
        </is>
      </c>
      <c r="AT1995" t="inlineStr">
        <is>
          <t>J. Clean Prod.</t>
        </is>
      </c>
      <c r="AU1995" t="inlineStr">
        <is>
          <t>AUG 20</t>
        </is>
      </c>
      <c r="AV1995" t="n">
        <v>2023</v>
      </c>
      <c r="AW1995" t="n">
        <v>415</v>
      </c>
      <c r="BE1995" t="n">
        <v>137865</v>
      </c>
      <c r="BF1995" t="inlineStr">
        <is>
          <t>10.1016/j.jclepro.2023.137865</t>
        </is>
      </c>
      <c r="BG1995">
        <f>HYPERLINK("http://dx.doi.org/10.1016/j.jclepro.2023.137865","http://dx.doi.org/10.1016/j.jclepro.2023.137865")</f>
        <v/>
      </c>
      <c r="BI1995" t="inlineStr">
        <is>
          <t>JUN 2023</t>
        </is>
      </c>
      <c r="BJ1995" t="n">
        <v>14</v>
      </c>
      <c r="BK1995" t="inlineStr">
        <is>
          <t>Green &amp; Sustainable Science &amp; Technology; Engineering, Environmental; Environmental Sciences</t>
        </is>
      </c>
      <c r="BL1995" t="inlineStr">
        <is>
          <t>Science Citation Index Expanded (SCI-EXPANDED)</t>
        </is>
      </c>
      <c r="BM1995" t="inlineStr">
        <is>
          <t>Science &amp; Technology - Other Topics; Engineering; Environmental Sciences &amp; Ecology</t>
        </is>
      </c>
      <c r="BN1995" t="inlineStr">
        <is>
          <t>N2ES9</t>
        </is>
      </c>
      <c r="BS1995" t="inlineStr">
        <is>
          <t>2023-10-26</t>
        </is>
      </c>
      <c r="BT1995" t="inlineStr">
        <is>
          <t>WOS:001035213200001</t>
        </is>
      </c>
      <c r="BU1995">
        <f>HYPERLINK("https%3A%2F%2Fwww.webofscience.com%2Fwos%2Fwoscc%2Ffull-record%2FWOS:001035213200001","View Full Record in Web of Science")</f>
        <v/>
      </c>
    </row>
    <row r="1996">
      <c r="A1996" t="inlineStr">
        <is>
          <t>J</t>
        </is>
      </c>
      <c r="B1996" t="inlineStr">
        <is>
          <t>Zhu, CE; Walsh, C; Zhou, LL; Zhang, XJ</t>
        </is>
      </c>
      <c r="F1996" t="inlineStr">
        <is>
          <t>Zhu, Change; Walsh, Christine; Zhou, Lulin; Zhang, Xinjie</t>
        </is>
      </c>
      <c r="J1996" t="inlineStr">
        <is>
          <t>INTERNATIONAL JOURNAL OF ENVIRONMENTAL RESEARCH AND PUBLIC HEALTH</t>
        </is>
      </c>
      <c r="M1996" t="inlineStr">
        <is>
          <t>English</t>
        </is>
      </c>
      <c r="N1996" t="inlineStr">
        <is>
          <t>Article</t>
        </is>
      </c>
      <c r="T1996" t="inlineStr">
        <is>
          <t>Latent Classification Analysis of Leisure Activities and Their Impact on ADL, IADL and Cognitive Ability of Older Adults Based on CLHLS (2008-2018)</t>
        </is>
      </c>
      <c r="U1996" t="inlineStr">
        <is>
          <t>ADL ability; IADL ability; cognitive ability; development trajectory; leisure activities; panel binary regression; latent profile analysis; older adults</t>
        </is>
      </c>
      <c r="V1996" t="inlineStr">
        <is>
          <t>MINI-MENTAL-STATE; DAILY LIVING ADL; SOCIAL-PARTICIPATION; ACTIVITY ENGAGEMENT; HEALTH; EXERCISE; DECLINE; PERFORMANCE; RETIREMENT; DISABILITY</t>
        </is>
      </c>
      <c r="W1996" t="inlineStr">
        <is>
          <t>This study aimed to research the trajectory of leisure activity and the health status of older adults and analyze the effects of leisure activity on the health status of older adults. Based on the longitudinal data of CLHLS (2008-2018), the latent growth curve model (LGCM) was used; we found that the leisure activities (LA), activities of daily living (ADL) ability, instrumental activities of daily living (IADL) ability, and cognitive ability (COG) of older adults show a nonlinear downward trend over time. Furthermore, the panel binary regression analysis is used to find that leisure activities have significant inhibitory effects on ADL disorder, IADL disorder, and cognitive impairment in the older population. In addition, by using latent profile analysis (LPA), the older population is classified into three groups according to the homogeneity of the older adults' choice of leisure activities, namely the types of relaxation, entertainment, and intellectual-learning, respectively. Based on the classification results, the analysis of one-way ANOVA shows that the rates of ADL disorder, IADL disorder, and cognitive impairment of older adults with different types are significantly different. Moreover, the inhibitory effect of leisure activities on the rate of ADL disorder, IADL disorder, and cognitive impairment of older adults is more significant in the middle-aged and high-aged groups. Therefore, older adults should be encouraged to increase leisure activities, especially those who are middle-aged and high-aged.</t>
        </is>
      </c>
      <c r="X1996" t="inlineStr">
        <is>
          <t>[Zhu, Change; Zhou, Lulin; Zhang, Xinjie] Jiangsu Univ, Dept Management, 301 Xuefu Rd, Zhenjiang 212001, Peoples R China; [Zhu, Change; Walsh, Christine] Univ Calgary, Fac Social Work, 2500 Univ Drive NW Calgary, Calgary, AB T2N 1N4, Canada</t>
        </is>
      </c>
      <c r="Y1996" t="inlineStr">
        <is>
          <t>Jiangsu University; University of Calgary</t>
        </is>
      </c>
      <c r="Z1996" t="inlineStr">
        <is>
          <t>Zhou, LL (corresponding author), Jiangsu Univ, Dept Management, 301 Xuefu Rd, Zhenjiang 212001, Peoples R China.</t>
        </is>
      </c>
      <c r="AA1996" t="inlineStr">
        <is>
          <t>zll62@ujs.edu.cn</t>
        </is>
      </c>
      <c r="AH1996" t="n">
        <v>69</v>
      </c>
      <c r="AI1996" t="n">
        <v>1</v>
      </c>
      <c r="AJ1996" t="n">
        <v>1</v>
      </c>
      <c r="AK1996" t="n">
        <v>52</v>
      </c>
      <c r="AL1996" t="n">
        <v>90</v>
      </c>
      <c r="AM1996" t="inlineStr">
        <is>
          <t>MDPI</t>
        </is>
      </c>
      <c r="AN1996" t="inlineStr">
        <is>
          <t>BASEL</t>
        </is>
      </c>
      <c r="AO1996" t="inlineStr">
        <is>
          <t>ST ALBAN-ANLAGE 66, CH-4052 BASEL, SWITZERLAND</t>
        </is>
      </c>
      <c r="AQ1996" t="inlineStr">
        <is>
          <t>1660-4601</t>
        </is>
      </c>
      <c r="AS1996" t="inlineStr">
        <is>
          <t>INT J ENV RES PUB HE</t>
        </is>
      </c>
      <c r="AT1996" t="inlineStr">
        <is>
          <t>Int. J. Environ. Res. Public Health</t>
        </is>
      </c>
      <c r="AU1996" t="inlineStr">
        <is>
          <t>JAN</t>
        </is>
      </c>
      <c r="AV1996" t="n">
        <v>2023</v>
      </c>
      <c r="AW1996" t="n">
        <v>20</v>
      </c>
      <c r="AX1996" t="n">
        <v>2</v>
      </c>
      <c r="BE1996" t="n">
        <v>1546</v>
      </c>
      <c r="BF1996" t="inlineStr">
        <is>
          <t>10.3390/ijerph20021546</t>
        </is>
      </c>
      <c r="BG1996">
        <f>HYPERLINK("http://dx.doi.org/10.3390/ijerph20021546","http://dx.doi.org/10.3390/ijerph20021546")</f>
        <v/>
      </c>
      <c r="BJ1996" t="n">
        <v>19</v>
      </c>
      <c r="BK1996" t="inlineStr">
        <is>
          <t>Environmental Sciences; Public, Environmental &amp; Occupational Health</t>
        </is>
      </c>
      <c r="BL1996" t="inlineStr">
        <is>
          <t>Science Citation Index Expanded (SCI-EXPANDED); Social Science Citation Index (SSCI)</t>
        </is>
      </c>
      <c r="BM1996" t="inlineStr">
        <is>
          <t>Environmental Sciences &amp; Ecology; Public, Environmental &amp; Occupational Health</t>
        </is>
      </c>
      <c r="BN1996" t="inlineStr">
        <is>
          <t>7Z1ZY</t>
        </is>
      </c>
      <c r="BO1996" t="n">
        <v>36674302</v>
      </c>
      <c r="BP1996" t="inlineStr">
        <is>
          <t>Green Published, gold</t>
        </is>
      </c>
      <c r="BS1996" t="inlineStr">
        <is>
          <t>2023-10-26</t>
        </is>
      </c>
      <c r="BT1996" t="inlineStr">
        <is>
          <t>WOS:000915364300001</t>
        </is>
      </c>
      <c r="BU1996">
        <f>HYPERLINK("https%3A%2F%2Fwww.webofscience.com%2Fwos%2Fwoscc%2Ffull-record%2FWOS:000915364300001","View Full Record in Web of Science")</f>
        <v/>
      </c>
    </row>
    <row r="1997">
      <c r="A1997" t="inlineStr">
        <is>
          <t>J</t>
        </is>
      </c>
      <c r="B1997" t="inlineStr">
        <is>
          <t>Loder, AKF; van Poppel, MNM</t>
        </is>
      </c>
      <c r="F1997" t="inlineStr">
        <is>
          <t>Loder, Alexander Karl Ferdinand; van Poppel, Mireille Nicoline Maria</t>
        </is>
      </c>
      <c r="J1997" t="inlineStr">
        <is>
          <t>INTERNATIONAL JOURNAL OF ENVIRONMENTAL RESEARCH AND PUBLIC HEALTH</t>
        </is>
      </c>
      <c r="M1997" t="inlineStr">
        <is>
          <t>English</t>
        </is>
      </c>
      <c r="N1997" t="inlineStr">
        <is>
          <t>Article</t>
        </is>
      </c>
      <c r="T1997" t="inlineStr">
        <is>
          <t>Sedentariness of College Students Is Negatively Associated with Perceived Neighborhood Greenness at Home, but Not at University</t>
        </is>
      </c>
      <c r="U1997" t="inlineStr">
        <is>
          <t>neighborhood greenness; environmental psychology; public health; sedentariness; green space; built environment; natural environment; Austria</t>
        </is>
      </c>
      <c r="V1997" t="inlineStr">
        <is>
          <t>PHYSICAL-ACTIVITY; SOCIOECONOMIC-STATUS; HEALTH; SPACE; PREFERENCE; BEHAVIOR; OBESITY; DETERMINANTS; ENVIRONMENTS; RESTORATION</t>
        </is>
      </c>
      <c r="W1997" t="inlineStr">
        <is>
          <t>Previous studies reported contradictory evidence for associations between perceived greenness and obesity mediated by physical activity, focusing on people's homes or general greenness. Data are lacking in other environments. We studied the association of perceived greenness at home and at university with BMI and physical activity. An online survey collected data from 601 participants, living and studying in and around the city of Graz, Austria; mean age of 24 years. Greenness was assessed using questions on quality of and access to green space; Body mass index (BMI) was derived from self-reported measures; physical activity and sedentariness were measured using the IPAQ questionnaire (short version). On average, BMI was 22.6 (SD = 3.7), physical activity was 63.3 (SD = 51.7) METh/week, and participants spent 5.8 (SD = 4.0) h/day sitting. Regression analyses revealed no associations between perceived greenness and BMI and physical activity for all environments, but a negative association for sedentariness and perceived greenness at home, but not at university. The results indicate a relation between perceived greenness and sedentariness, which differs for the home-and study environment.</t>
        </is>
      </c>
      <c r="X1997" t="inlineStr">
        <is>
          <t>[Loder, Alexander Karl Ferdinand; van Poppel, Mireille Nicoline Maria] Karl Franzens Univ Graz, Inst Sport Sci, A-8010 Graz, Austria; [Loder, Alexander Karl Ferdinand] Univ Mus &amp; Performing Arts Graz, Dept Qual Management, A-8010 Graz, Austria</t>
        </is>
      </c>
      <c r="Y1997" t="inlineStr">
        <is>
          <t>University of Graz</t>
        </is>
      </c>
      <c r="Z1997" t="inlineStr">
        <is>
          <t>Loder, AKF (corresponding author), Karl Franzens Univ Graz, Inst Sport Sci, A-8010 Graz, Austria.;Loder, AKF (corresponding author), Univ Mus &amp; Performing Arts Graz, Dept Qual Management, A-8010 Graz, Austria.</t>
        </is>
      </c>
      <c r="AA1997" t="inlineStr">
        <is>
          <t>alexlode@live.at; mireille.van-poppel@uni-graz.at</t>
        </is>
      </c>
      <c r="AB1997" t="inlineStr">
        <is>
          <t>Van Poppel, Mireille/AAL-8228-2020</t>
        </is>
      </c>
      <c r="AC1997" t="inlineStr">
        <is>
          <t>Van Poppel, Mireille/0000-0001-5694-4324; Loder, Alexander Karl Ferdinand/0009-0008-8906-8410</t>
        </is>
      </c>
      <c r="AH1997" t="n">
        <v>55</v>
      </c>
      <c r="AI1997" t="n">
        <v>4</v>
      </c>
      <c r="AJ1997" t="n">
        <v>4</v>
      </c>
      <c r="AK1997" t="n">
        <v>1</v>
      </c>
      <c r="AL1997" t="n">
        <v>14</v>
      </c>
      <c r="AM1997" t="inlineStr">
        <is>
          <t>MDPI</t>
        </is>
      </c>
      <c r="AN1997" t="inlineStr">
        <is>
          <t>BASEL</t>
        </is>
      </c>
      <c r="AO1997" t="inlineStr">
        <is>
          <t>ST ALBAN-ANLAGE 66, CH-4052 BASEL, SWITZERLAND</t>
        </is>
      </c>
      <c r="AQ1997" t="inlineStr">
        <is>
          <t>1660-4601</t>
        </is>
      </c>
      <c r="AS1997" t="inlineStr">
        <is>
          <t>INT J ENV RES PUB HE</t>
        </is>
      </c>
      <c r="AT1997" t="inlineStr">
        <is>
          <t>Int. J. Environ. Res. Public Health</t>
        </is>
      </c>
      <c r="AU1997" t="inlineStr">
        <is>
          <t>JAN</t>
        </is>
      </c>
      <c r="AV1997" t="n">
        <v>2020</v>
      </c>
      <c r="AW1997" t="n">
        <v>17</v>
      </c>
      <c r="AX1997" t="n">
        <v>1</v>
      </c>
      <c r="BE1997" t="n">
        <v>235</v>
      </c>
      <c r="BF1997" t="inlineStr">
        <is>
          <t>10.3390/ijerph17010235</t>
        </is>
      </c>
      <c r="BG1997">
        <f>HYPERLINK("http://dx.doi.org/10.3390/ijerph17010235","http://dx.doi.org/10.3390/ijerph17010235")</f>
        <v/>
      </c>
      <c r="BJ1997" t="n">
        <v>13</v>
      </c>
      <c r="BK1997" t="inlineStr">
        <is>
          <t>Environmental Sciences; Public, Environmental &amp; Occupational Health</t>
        </is>
      </c>
      <c r="BL1997" t="inlineStr">
        <is>
          <t>Science Citation Index Expanded (SCI-EXPANDED); Social Science Citation Index (SSCI)</t>
        </is>
      </c>
      <c r="BM1997" t="inlineStr">
        <is>
          <t>Environmental Sciences &amp; Ecology; Public, Environmental &amp; Occupational Health</t>
        </is>
      </c>
      <c r="BN1997" t="inlineStr">
        <is>
          <t>KF7AG</t>
        </is>
      </c>
      <c r="BO1997" t="n">
        <v>31905658</v>
      </c>
      <c r="BP1997" t="inlineStr">
        <is>
          <t>Green Published, gold</t>
        </is>
      </c>
      <c r="BS1997" t="inlineStr">
        <is>
          <t>2023-10-26</t>
        </is>
      </c>
      <c r="BT1997" t="inlineStr">
        <is>
          <t>WOS:000509391500235</t>
        </is>
      </c>
      <c r="BU1997">
        <f>HYPERLINK("https%3A%2F%2Fwww.webofscience.com%2Fwos%2Fwoscc%2Ffull-record%2FWOS:000509391500235","View Full Record in Web of Science")</f>
        <v/>
      </c>
    </row>
    <row r="1998">
      <c r="A1998" t="inlineStr">
        <is>
          <t>J</t>
        </is>
      </c>
      <c r="B1998" t="inlineStr">
        <is>
          <t>Agarwal, G; Pirrie, M; Angeles, R; Marzanek, F; Parascandalo, J</t>
        </is>
      </c>
      <c r="F1998" t="inlineStr">
        <is>
          <t>Agarwal, Gina; Pirrie, Melissa; Angeles, Ricardo; Marzanek, Francine; Parascandalo, Jenna</t>
        </is>
      </c>
      <c r="J1998" t="inlineStr">
        <is>
          <t>JOURNAL OF HEALTH POPULATION AND NUTRITION</t>
        </is>
      </c>
      <c r="M1998" t="inlineStr">
        <is>
          <t>English</t>
        </is>
      </c>
      <c r="N1998" t="inlineStr">
        <is>
          <t>Article</t>
        </is>
      </c>
      <c r="T1998" t="inlineStr">
        <is>
          <t>Development of the Health Awareness and Behaviour Tool (HABiT): reliability and suitability for a Canadian older adult population</t>
        </is>
      </c>
      <c r="U1998" t="inlineStr">
        <is>
          <t>Questionnaire development; Older adults; Low income; Health behavior; Quality of life; Healthcare utilization; Health knowledge; Health literacy</t>
        </is>
      </c>
      <c r="V1998" t="inlineStr">
        <is>
          <t>EDUCATION; MODEL; QUESTIONNAIRE; KNOWLEDGE; CARE</t>
        </is>
      </c>
      <c r="W1998" t="inlineStr">
        <is>
          <t>Background: Determining the effectiveness of community-based health promotion and disease prevention programs requires an appropriate data collection tool. This study aimed to develop a comprehensive health questionnaire for older adults, called the HABiT, and evaluate its reliability, content validity, and face validity in assessing individual health-related items (e.g., health status, healthcare utilization) and five specific scales: knowledge, current health behaviors (risk factors), health-related quality of life (HRQoL), perceived risk and understanding, and self-efficacy. Methods: Iterative survey development and evaluation of its psychometric properties in a convenience sample of 28 older adults (&gt;= 55 years old), half from a low-income population. Following item generation, the questionnaire was assessed for content validity (expert panel), face validity (participant feedback), internal consistency of each scale (Cronbach's alpha), and test-retest reliability for each item and scale (Pearson's r and phi correlations, as appropriate). Results: Questions were drawn from 15 sources, but primarily three surveys: Canadian Community Health Survey, Canadian Diabetes Risk Questionnaire (CANRISK), and a survey by the Canadian Hypertension Education Program. Expert consensus was attained for item inclusion and representation of the desired constructs. Participants completing the questionnaire deemed the questions to be clear and appropriate. Test-retest reliability for many individual items was moderate-to-high, with some exceptions for items that can reasonably change in a short period (e.g., perceived day-to-day stress). Of the five potential scales evaluated, two had acceptable internal consistency (Cronbach's alpha &gt;= 0.60) and a subset of one scale also had acceptable internal consistency. Test-retest reliability was high (correlation &gt;= 0.80) for all scales and sub-scales. Conclusions: The HABiT is a reliable and suitable comprehensive tool with content and face validity that can be used to evaluate health promotion and chronic disease prevention programs in older adults, including low-income older adults. Some noted limitations are discussed. Data collected using this tool also provides a diabetes risk score, health literacy score, and quality-adjusted life years (QALYs) for economic analysis.</t>
        </is>
      </c>
      <c r="X1998" t="inlineStr">
        <is>
          <t>[Agarwal, Gina; Pirrie, Melissa; Angeles, Ricardo; Marzanek, Francine; Parascandalo, Jenna] McMaster Univ, Dept Family Med, DBHSC, 100 Main St W, Hamilton, ON, Canada; [Agarwal, Gina] McMaster Univ, Dept Hlth Res Methods Evidence &amp; Impact, Hamilton, ON, Canada</t>
        </is>
      </c>
      <c r="Y1998" t="inlineStr">
        <is>
          <t>McMaster University; McMaster University</t>
        </is>
      </c>
      <c r="Z1998" t="inlineStr">
        <is>
          <t>Agarwal, G (corresponding author), McMaster Univ, Dept Family Med, DBHSC, 100 Main St W, Hamilton, ON, Canada.;Agarwal, G (corresponding author), McMaster Univ, Dept Hlth Res Methods Evidence &amp; Impact, Hamilton, ON, Canada.</t>
        </is>
      </c>
      <c r="AA1998" t="inlineStr">
        <is>
          <t>gina.agarwal@gmail.com</t>
        </is>
      </c>
      <c r="AB1998" t="inlineStr">
        <is>
          <t>Pirrie, Melissa/C-5271-2017</t>
        </is>
      </c>
      <c r="AC1998" t="inlineStr">
        <is>
          <t>Pirrie, Melissa/0000-0003-1407-4775; Agarwal, Gina/0000-0002-5691-4675</t>
        </is>
      </c>
      <c r="AD1998" t="inlineStr">
        <is>
          <t>Canadian Institutes of Health Research [133563]</t>
        </is>
      </c>
      <c r="AE1998" t="inlineStr">
        <is>
          <t>Canadian Institutes of Health Research(Canadian Institutes of Health Research (CIHR))</t>
        </is>
      </c>
      <c r="AF1998" t="inlineStr">
        <is>
          <t>This work was supported by the Canadian Institutes of Health Research (Grant No. 133563). The funding body had no role in the design of the study, data collection, analysis, interpretation of data, or writing the manuscript.</t>
        </is>
      </c>
      <c r="AH1998" t="n">
        <v>45</v>
      </c>
      <c r="AI1998" t="n">
        <v>5</v>
      </c>
      <c r="AJ1998" t="n">
        <v>6</v>
      </c>
      <c r="AK1998" t="n">
        <v>2</v>
      </c>
      <c r="AL1998" t="n">
        <v>3</v>
      </c>
      <c r="AM1998" t="inlineStr">
        <is>
          <t>BMC</t>
        </is>
      </c>
      <c r="AN1998" t="inlineStr">
        <is>
          <t>LONDON</t>
        </is>
      </c>
      <c r="AO1998" t="inlineStr">
        <is>
          <t>CAMPUS, 4 CRINAN ST, LONDON N1 9XW, ENGLAND</t>
        </is>
      </c>
      <c r="AP1998" t="inlineStr">
        <is>
          <t>1606-0997</t>
        </is>
      </c>
      <c r="AQ1998" t="inlineStr">
        <is>
          <t>2072-1315</t>
        </is>
      </c>
      <c r="AS1998" t="inlineStr">
        <is>
          <t>J HEALTH POPUL NUTR</t>
        </is>
      </c>
      <c r="AT1998" t="inlineStr">
        <is>
          <t>J. Heatlh Popul. Nutr.</t>
        </is>
      </c>
      <c r="AU1998" t="inlineStr">
        <is>
          <t>DEC 4</t>
        </is>
      </c>
      <c r="AV1998" t="n">
        <v>2019</v>
      </c>
      <c r="AW1998" t="n">
        <v>38</v>
      </c>
      <c r="AX1998" t="n">
        <v>1</v>
      </c>
      <c r="BE1998" t="n">
        <v>40</v>
      </c>
      <c r="BF1998" t="inlineStr">
        <is>
          <t>10.1186/s41043-019-0206-0</t>
        </is>
      </c>
      <c r="BG1998">
        <f>HYPERLINK("http://dx.doi.org/10.1186/s41043-019-0206-0","http://dx.doi.org/10.1186/s41043-019-0206-0")</f>
        <v/>
      </c>
      <c r="BJ1998" t="n">
        <v>11</v>
      </c>
      <c r="BK1998" t="inlineStr">
        <is>
          <t>Environmental Sciences; Public, Environmental &amp; Occupational Health</t>
        </is>
      </c>
      <c r="BL1998" t="inlineStr">
        <is>
          <t>Science Citation Index Expanded (SCI-EXPANDED); Social Science Citation Index (SSCI)</t>
        </is>
      </c>
      <c r="BM1998" t="inlineStr">
        <is>
          <t>Environmental Sciences &amp; Ecology; Public, Environmental &amp; Occupational Health</t>
        </is>
      </c>
      <c r="BN1998" t="inlineStr">
        <is>
          <t>KT2ID</t>
        </is>
      </c>
      <c r="BO1998" t="n">
        <v>31801623</v>
      </c>
      <c r="BP1998" t="inlineStr">
        <is>
          <t>gold, Green Published</t>
        </is>
      </c>
      <c r="BS1998" t="inlineStr">
        <is>
          <t>2023-10-26</t>
        </is>
      </c>
      <c r="BT1998" t="inlineStr">
        <is>
          <t>WOS:000518837000001</t>
        </is>
      </c>
      <c r="BU1998">
        <f>HYPERLINK("https%3A%2F%2Fwww.webofscience.com%2Fwos%2Fwoscc%2Ffull-record%2FWOS:000518837000001","View Full Record in Web of Science")</f>
        <v/>
      </c>
    </row>
    <row r="1999">
      <c r="A1999" t="inlineStr">
        <is>
          <t>J</t>
        </is>
      </c>
      <c r="B1999" t="inlineStr">
        <is>
          <t>Palmes, MSS; Trajera, SMM; Ching, GSS</t>
        </is>
      </c>
      <c r="F1999" t="inlineStr">
        <is>
          <t>Palmes, Madonna S. S.; Trajera, Sheilla M. M.; Ching, Gregory S. S.</t>
        </is>
      </c>
      <c r="J1999" t="inlineStr">
        <is>
          <t>INTERNATIONAL JOURNAL OF ENVIRONMENTAL RESEARCH AND PUBLIC HEALTH</t>
        </is>
      </c>
      <c r="M1999" t="inlineStr">
        <is>
          <t>English</t>
        </is>
      </c>
      <c r="N1999" t="inlineStr">
        <is>
          <t>Article</t>
        </is>
      </c>
      <c r="T1999" t="inlineStr">
        <is>
          <t>Relationship of Coping Strategies and Quality of Life: Parallel and Serial Mediating Role of Resilience and Social Participation among Older Adults in Western Philippines</t>
        </is>
      </c>
      <c r="U1999" t="inlineStr">
        <is>
          <t>quality of life; older adults; resilience; social participation; coping strategies; Western Visayas; Philippines</t>
        </is>
      </c>
      <c r="V1999" t="inlineStr">
        <is>
          <t>PREDICTORS</t>
        </is>
      </c>
      <c r="W1999" t="inlineStr">
        <is>
          <t>Growing old is frequently linked with various challenges. Hence, it is important to understand how to age successfully. Drawing on the concept that an individual's quality of life (QOL) is influenced by their demographics, coping strategies, resilience, and social participation, the current study reports on the findings of these variables among older adults in the Western Philippines. A total of 392 volunteer older adults were surveyed. Aside from the demographics such as age, gender, marital status, average monthly income, educational attainment, and health status, the data collected also included the 30-item coping strategies for the elderly, 14-item resilience scale, 12-item social participation scale, and 35-item older people's QOL scale. Structural equation modeling was used to verify the parallel and serial mediating role of resilience and social participation within the relationship between coping strategies and QOL. Findings show that coping strategies alone are not enough to improve QOL. The only way to improve QOL is through resiliency, as well as the ability to participate in social activities. In essence, the QOL of older adults can be improved by encouraging them to have more social participation, and at the same time, understand how it takes to become resilient.</t>
        </is>
      </c>
      <c r="X1999" t="inlineStr">
        <is>
          <t>[Palmes, Madonna S. S.] West Visayas State Univ, Coll Nursing, Iloilo 5000, Philippines; [Trajera, Sheilla M. M.] Univ St La Salle, Ctr Linkages &amp; Int Affairs, BSN MN &amp; PhD Programs Nursing, Bacolod City 6100, Philippines; [Ching, Gregory S. S.] Fu Jen Catholic Univ, Res &amp; Dev Ctr Phys Educ Hlth &amp; Informat Technol, Grad Inst Educ Leadership &amp; Dev, New Taipei 24205, Taiwan</t>
        </is>
      </c>
      <c r="Y1999" t="inlineStr">
        <is>
          <t>University of St. La Salle; Fu Jen Catholic University</t>
        </is>
      </c>
      <c r="Z1999" t="inlineStr">
        <is>
          <t>Ching, GSS (corresponding author), Fu Jen Catholic Univ, Res &amp; Dev Ctr Phys Educ Hlth &amp; Informat Technol, Grad Inst Educ Leadership &amp; Dev, New Taipei 24205, Taiwan.</t>
        </is>
      </c>
      <c r="AA1999" t="inlineStr">
        <is>
          <t>madonna.palmes@wvsu.edu.ph; s.trajera@usls.edu.ph; 094478@mail.fju.edu.tw</t>
        </is>
      </c>
      <c r="AB1999" t="inlineStr">
        <is>
          <t>Ching, Gregory/AAW-1663-2020</t>
        </is>
      </c>
      <c r="AC1999" t="inlineStr">
        <is>
          <t>Ching, Gregory/0000-0001-9148-0019; Trajera, Sheilla/0000-0003-1834-7275</t>
        </is>
      </c>
      <c r="AD1999" t="inlineStr">
        <is>
          <t>Fu Jen Catholic University Taiwan</t>
        </is>
      </c>
      <c r="AE1999" t="inlineStr">
        <is>
          <t>Fu Jen Catholic University Taiwan</t>
        </is>
      </c>
      <c r="AF1999" t="inlineStr">
        <is>
          <t>This research received no external funding. APC is supported in part by Fu Jen Catholic University Taiwan.</t>
        </is>
      </c>
      <c r="AH1999" t="n">
        <v>75</v>
      </c>
      <c r="AI1999" t="n">
        <v>4</v>
      </c>
      <c r="AJ1999" t="n">
        <v>4</v>
      </c>
      <c r="AK1999" t="n">
        <v>1</v>
      </c>
      <c r="AL1999" t="n">
        <v>11</v>
      </c>
      <c r="AM1999" t="inlineStr">
        <is>
          <t>MDPI</t>
        </is>
      </c>
      <c r="AN1999" t="inlineStr">
        <is>
          <t>BASEL</t>
        </is>
      </c>
      <c r="AO1999" t="inlineStr">
        <is>
          <t>ST ALBAN-ANLAGE 66, CH-4052 BASEL, SWITZERLAND</t>
        </is>
      </c>
      <c r="AQ1999" t="inlineStr">
        <is>
          <t>1660-4601</t>
        </is>
      </c>
      <c r="AS1999" t="inlineStr">
        <is>
          <t>INT J ENV RES PUB HE</t>
        </is>
      </c>
      <c r="AT1999" t="inlineStr">
        <is>
          <t>Int. J. Environ. Res. Public Health</t>
        </is>
      </c>
      <c r="AU1999" t="inlineStr">
        <is>
          <t>OCT</t>
        </is>
      </c>
      <c r="AV1999" t="n">
        <v>2021</v>
      </c>
      <c r="AW1999" t="n">
        <v>18</v>
      </c>
      <c r="AX1999" t="n">
        <v>19</v>
      </c>
      <c r="BE1999" t="n">
        <v>10006</v>
      </c>
      <c r="BF1999" t="inlineStr">
        <is>
          <t>10.3390/ijerph181910006</t>
        </is>
      </c>
      <c r="BG1999">
        <f>HYPERLINK("http://dx.doi.org/10.3390/ijerph181910006","http://dx.doi.org/10.3390/ijerph181910006")</f>
        <v/>
      </c>
      <c r="BJ1999" t="n">
        <v>12</v>
      </c>
      <c r="BK1999" t="inlineStr">
        <is>
          <t>Environmental Sciences; Public, Environmental &amp; Occupational Health</t>
        </is>
      </c>
      <c r="BL1999" t="inlineStr">
        <is>
          <t>Science Citation Index Expanded (SCI-EXPANDED); Social Science Citation Index (SSCI)</t>
        </is>
      </c>
      <c r="BM1999" t="inlineStr">
        <is>
          <t>Environmental Sciences &amp; Ecology; Public, Environmental &amp; Occupational Health</t>
        </is>
      </c>
      <c r="BN1999" t="inlineStr">
        <is>
          <t>WJ9ED</t>
        </is>
      </c>
      <c r="BO1999" t="n">
        <v>34639315</v>
      </c>
      <c r="BP1999" t="inlineStr">
        <is>
          <t>gold, Green Published</t>
        </is>
      </c>
      <c r="BS1999" t="inlineStr">
        <is>
          <t>2023-10-26</t>
        </is>
      </c>
      <c r="BT1999" t="inlineStr">
        <is>
          <t>WOS:000709338700001</t>
        </is>
      </c>
      <c r="BU1999">
        <f>HYPERLINK("https%3A%2F%2Fwww.webofscience.com%2Fwos%2Fwoscc%2Ffull-record%2FWOS:000709338700001","View Full Record in Web of Science")</f>
        <v/>
      </c>
    </row>
    <row r="2000">
      <c r="A2000" t="inlineStr">
        <is>
          <t>J</t>
        </is>
      </c>
      <c r="B2000" t="inlineStr">
        <is>
          <t>Kato, M; Green, FN; Hotta, K; Tsukamoto, T; Kurita, Y; Kubo, A; Takagi, H</t>
        </is>
      </c>
      <c r="F2000" t="inlineStr">
        <is>
          <t>Kato, Michitaka; Green, Fumi Nihei; Hotta, Kazuki; Tsukamoto, Toshiya; Kurita, Yasunari; Kubo, Akira; Takagi, Hisato</t>
        </is>
      </c>
      <c r="J2000" t="inlineStr">
        <is>
          <t>INTERNATIONAL JOURNAL OF ENVIRONMENTAL RESEARCH AND PUBLIC HEALTH</t>
        </is>
      </c>
      <c r="M2000" t="inlineStr">
        <is>
          <t>English</t>
        </is>
      </c>
      <c r="N2000" t="inlineStr">
        <is>
          <t>Review</t>
        </is>
      </c>
      <c r="T2000" t="inlineStr">
        <is>
          <t>The Efficacy of Stretching Exercises on Arterial Stiffness in Middle-Aged and Older Adults: A Meta-Analysis of Randomized and Non-Randomized Controlled Trials</t>
        </is>
      </c>
      <c r="U2000" t="inlineStr">
        <is>
          <t>stretching exercises; arterial stiffness; endothelial function; middle-aged; older adult</t>
        </is>
      </c>
      <c r="V2000" t="inlineStr">
        <is>
          <t>VASCULAR ENDOTHELIAL FUNCTION; INTIMA-MEDIA THICKNESS; PULSE-WAVE VELOCITY; CONTRIBUTES; DYSFUNCTION; REFLECTION; PRESSURE; MUSCLE; YOUNG</t>
        </is>
      </c>
      <c r="W2000" t="inlineStr">
        <is>
          <t>Background: Aerobic exercise is known to reduce arterial stiffness; however, high-intensity resistance exercise is associated with increased arterial stiffness. Stretching exercises are another exercise modality, and their effect on arterial stiffness remains unclear. The purpose of this study was to determine whether stretching exercises reduce arterial stiffness in middle-aged and older adults, performing the first meta-analysis of currently available studies. Methods: We searched the literature for randomized controlled trials (RCTs) and non-RCTs published up to January 2020 describing middle-aged and older adults who participated in a stretching intervention vs. controls without exercise training. The primary and secondary outcomes were changes in arterial stiffness and vascular endothelial function and hemodynamic status. Pooled mean differences (MDs) and standard MDs (SMDs) with 95% confidence intervals (CIs) between the intervention and control groups were calculated using a random effects model. Results: We identified 69 trials and, after an assessment of relevance, eight trials, including a combined total of 213 subjects, were analyzed. Muscle stretching exercises were shown to significantly reduce arterial stiffness and improve vascular endothelial function (SMD: -1.00, 95% CI: -1.57 to -0.44,p= 0.0004; SMD: 1.15, 95% CI: 0.26 to 2.03,p= 0.01, respectively). Resting heart rate (HR) and diastolic blood pressure (DBP) decreased significantly after stretching exercise intervention (MD: -0.95 beats/min, 95% CI: -1.67 to -0.23 beats/min,p= 0.009; MD: -2.72 mm Hg, 95% CI: -4.01 to -1.43 mm Hg,p&lt; 0.0001, respectively) Conclusions: Our analyses suggest that stretching exercises reduce arterial stiffness, HR, and DBP, and improve vascular endothelial function in middle-aged and older adults.</t>
        </is>
      </c>
      <c r="X2000" t="inlineStr">
        <is>
          <t>[Kato, Michitaka; Tsukamoto, Toshiya; Kurita, Yasunari] Tokoha Univ, Fac Hlth Sci, Dept Phys Therapy, Shizuoka 4200911, Japan; [Green, Fumi Nihei; Kubo, Akira] Ginza Hosp, Antiaging Ctr, Tokyo 1040061, Japan; [Hotta, Kazuki] Niigata Univ Hlth &amp; Welf, Dept Phys Therapy, Niigata 9503198, Japan; [Takagi, Hisato] Shizuoka Med Ctr, Dept Cardiovasc Surg, Shizuoka 4118611, Japan</t>
        </is>
      </c>
      <c r="Y2000" t="inlineStr">
        <is>
          <t>Niigata University</t>
        </is>
      </c>
      <c r="Z2000" t="inlineStr">
        <is>
          <t>Kato, M (corresponding author), Tokoha Univ, Fac Hlth Sci, Dept Phys Therapy, Shizuoka 4200911, Japan.</t>
        </is>
      </c>
      <c r="AA2000" t="inlineStr">
        <is>
          <t>katomanzooo@sz.tokoha-u.ac.jp; fng@medica21.com; kazuki-hotta@nuhw.ac.jp; t-tsukamoto@sz.tokoha-u.ac.jp; ykurita@sz.tokoha-u.ac.jp; ak@kuboakira.com; kfgth973@ybb.ne.jp</t>
        </is>
      </c>
      <c r="AD2000" t="inlineStr">
        <is>
          <t>JSPS KAKENHI [18K17693]; Grants-in-Aid for Scientific Research [18K17693] Funding Source: KAKEN</t>
        </is>
      </c>
      <c r="AE2000" t="inlineStr">
        <is>
          <t>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is>
      </c>
      <c r="AF2000" t="inlineStr">
        <is>
          <t>The authors disclosed receipt of the following financial support for the research, authorship, and publication of this article: this research was supported by JSPS KAKENHI (grant number 18K17693).</t>
        </is>
      </c>
      <c r="AH2000" t="n">
        <v>37</v>
      </c>
      <c r="AI2000" t="n">
        <v>13</v>
      </c>
      <c r="AJ2000" t="n">
        <v>13</v>
      </c>
      <c r="AK2000" t="n">
        <v>0</v>
      </c>
      <c r="AL2000" t="n">
        <v>9</v>
      </c>
      <c r="AM2000" t="inlineStr">
        <is>
          <t>MDPI</t>
        </is>
      </c>
      <c r="AN2000" t="inlineStr">
        <is>
          <t>BASEL</t>
        </is>
      </c>
      <c r="AO2000" t="inlineStr">
        <is>
          <t>ST ALBAN-ANLAGE 66, CH-4052 BASEL, SWITZERLAND</t>
        </is>
      </c>
      <c r="AQ2000" t="inlineStr">
        <is>
          <t>1660-4601</t>
        </is>
      </c>
      <c r="AS2000" t="inlineStr">
        <is>
          <t>INT J ENV RES PUB HE</t>
        </is>
      </c>
      <c r="AT2000" t="inlineStr">
        <is>
          <t>Int. J. Environ. Res. Public Health</t>
        </is>
      </c>
      <c r="AU2000" t="inlineStr">
        <is>
          <t>AUG</t>
        </is>
      </c>
      <c r="AV2000" t="n">
        <v>2020</v>
      </c>
      <c r="AW2000" t="n">
        <v>17</v>
      </c>
      <c r="AX2000" t="n">
        <v>16</v>
      </c>
      <c r="BE2000" t="n">
        <v>5643</v>
      </c>
      <c r="BF2000" t="inlineStr">
        <is>
          <t>10.3390/ijerph17165643</t>
        </is>
      </c>
      <c r="BG2000">
        <f>HYPERLINK("http://dx.doi.org/10.3390/ijerph17165643","http://dx.doi.org/10.3390/ijerph17165643")</f>
        <v/>
      </c>
      <c r="BJ2000" t="n">
        <v>15</v>
      </c>
      <c r="BK2000" t="inlineStr">
        <is>
          <t>Environmental Sciences; Public, Environmental &amp; Occupational Health</t>
        </is>
      </c>
      <c r="BL2000" t="inlineStr">
        <is>
          <t>Science Citation Index Expanded (SCI-EXPANDED); Social Science Citation Index (SSCI)</t>
        </is>
      </c>
      <c r="BM2000" t="inlineStr">
        <is>
          <t>Environmental Sciences &amp; Ecology; Public, Environmental &amp; Occupational Health</t>
        </is>
      </c>
      <c r="BN2000" t="inlineStr">
        <is>
          <t>NI5VE</t>
        </is>
      </c>
      <c r="BO2000" t="n">
        <v>32764418</v>
      </c>
      <c r="BP2000" t="inlineStr">
        <is>
          <t>Green Published, gold</t>
        </is>
      </c>
      <c r="BS2000" t="inlineStr">
        <is>
          <t>2023-10-26</t>
        </is>
      </c>
      <c r="BT2000" t="inlineStr">
        <is>
          <t>WOS:000565418200001</t>
        </is>
      </c>
      <c r="BU2000">
        <f>HYPERLINK("https%3A%2F%2Fwww.webofscience.com%2Fwos%2Fwoscc%2Ffull-record%2FWOS:000565418200001","View Full Record in Web of Science")</f>
        <v/>
      </c>
    </row>
    <row r="2001">
      <c r="A2001" t="inlineStr">
        <is>
          <t>J</t>
        </is>
      </c>
      <c r="B2001" t="inlineStr">
        <is>
          <t>Ozbil, A; Yesiltepe, D; Argin, G; Rybarczyk, G</t>
        </is>
      </c>
      <c r="F2001" t="inlineStr">
        <is>
          <t>Ozbil, Ayse; Yesiltepe, Demet; Argin, Gorsev; Rybarczyk, Greg</t>
        </is>
      </c>
      <c r="J2001" t="inlineStr">
        <is>
          <t>INTERNATIONAL JOURNAL OF ENVIRONMENTAL RESEARCH AND PUBLIC HEALTH</t>
        </is>
      </c>
      <c r="M2001" t="inlineStr">
        <is>
          <t>English</t>
        </is>
      </c>
      <c r="N2001" t="inlineStr">
        <is>
          <t>Article</t>
        </is>
      </c>
      <c r="T2001" t="inlineStr">
        <is>
          <t>Children's Active School Travel: Examining the Combined Perceived and Objective Built-Environment Factors from Space Syntax</t>
        </is>
      </c>
      <c r="U2001" t="inlineStr">
        <is>
          <t>active school travel; street connectivity; public health; childhood obesity; GIS; space syntax; nominal regression; Istanbul; Turkey</t>
        </is>
      </c>
      <c r="V2001" t="inlineStr">
        <is>
          <t>PHYSICAL-ACTIVITY; NEIGHBORHOOD ENVIRONMENT; MODE CHOICE; INDEPENDENT MOBILITY; URBAN FORM; ELEMENTARY-SCHOOL; WALKABILITY SCALE; SCREEN TIME; LAND-USE; WALKING</t>
        </is>
      </c>
      <c r="W2001" t="inlineStr">
        <is>
          <t>Increasing active school travel (AST) among children may provide the required level of daily physical activity and reduce the prevalence of obesity. Despite efforts to promote this mode, recent evidence shows that AST rates continue to decrease in suburban and urban areas alike. The aim of this research study, therefore, is to facilitate our understanding of how objective and perceived factors near the home influence children's AST in an understudied city, Istanbul, Turkey. Using data from a cross-sectional sample of students aged 12-14 from 20 elementary schools (n = 1802) and consenting parents (n = 843), we applied a nominal logistic regression model to highlight important predictors of AST. The findings showed that street network connectivity (as measured by two novel space syntax measures, metric reach and directional reach) was the main deciding factor for active commuting to school, while parents' perceptions of condition of sidewalks and shade-casting street trees were moderately significant factors associated with AST. Overall, this study demonstrated the significance of spatial structure of street network around the homes in the potential for encouraging AST, and more importantly, the need to consider objective and perceived environmental attributes when strategizing means to increase this mode choice and reduce ill-health among children.</t>
        </is>
      </c>
      <c r="X2001" t="inlineStr">
        <is>
          <t>[Ozbil, Ayse; Yesiltepe, Demet] Northumbria Univ, Fac Engn &amp; Environm, Dept Architecture &amp; Built Environm, Newcastle Upon Tyne NE1 8ST, Tyne &amp; Wear, England; [Argin, Gorsev] Istanbul Tech Univ, Dept Urban &amp; Reg Planning, TR-34367 Istanbul, Turkey; [Rybarczyk, Greg] Univ Michigan Flint, Coll Arts &amp; Sci, Flint, MI 48502 USA; [Rybarczyk, Greg] Michigan Inst Data Sci MIDAS, Ann Arbor, MI 48108 USA; [Rybarczyk, Greg] Ctr Urban Design &amp; Mental Hlth, London SW9 7QF, England</t>
        </is>
      </c>
      <c r="Y2001" t="inlineStr">
        <is>
          <t>Northumbria University; Istanbul Technical University; University of Michigan System; University of Michigan Flint</t>
        </is>
      </c>
      <c r="Z2001" t="inlineStr">
        <is>
          <t>Ozbil, A (corresponding author), Northumbria Univ, Fac Engn &amp; Environm, Dept Architecture &amp; Built Environm, Newcastle Upon Tyne NE1 8ST, Tyne &amp; Wear, England.</t>
        </is>
      </c>
      <c r="AA2001" t="inlineStr">
        <is>
          <t>ayse.torun@northumbria.ac.uk; demet.yesiltepe@northumbria.ac.uk; arging@itu.edu.tr; grybar@umich.edu</t>
        </is>
      </c>
      <c r="AB2001" t="inlineStr">
        <is>
          <t>Yesiltepe, Demet/AAP-3589-2021</t>
        </is>
      </c>
      <c r="AC2001" t="inlineStr">
        <is>
          <t>Yesiltepe, Demet/0000-0003-2409-6687; Argin, Gorsev/0000-0002-4888-2212; Rybarczyk, Greg/0000-0002-3920-2780; Ozbil Torun, Ayse/0000-0002-5707-1235</t>
        </is>
      </c>
      <c r="AD2001" t="inlineStr">
        <is>
          <t>Scientific and Technological Research Council of Turkey (TUBITAK) [113K796]</t>
        </is>
      </c>
      <c r="AE2001" t="inlineStr">
        <is>
          <t>Scientific and Technological Research Council of Turkey (TUBITAK)(Turkiye Bilimsel ve Teknolojik Arastirma Kurumu (TUBITAK))</t>
        </is>
      </c>
      <c r="AF2001" t="inlineStr">
        <is>
          <t>This work was supported by the Scientific and Technological Research Council of Turkey (TUBITAK), grant number 113K796.</t>
        </is>
      </c>
      <c r="AH2001" t="n">
        <v>116</v>
      </c>
      <c r="AI2001" t="n">
        <v>15</v>
      </c>
      <c r="AJ2001" t="n">
        <v>15</v>
      </c>
      <c r="AK2001" t="n">
        <v>10</v>
      </c>
      <c r="AL2001" t="n">
        <v>47</v>
      </c>
      <c r="AM2001" t="inlineStr">
        <is>
          <t>MDPI</t>
        </is>
      </c>
      <c r="AN2001" t="inlineStr">
        <is>
          <t>BASEL</t>
        </is>
      </c>
      <c r="AO2001" t="inlineStr">
        <is>
          <t>ST ALBAN-ANLAGE 66, CH-4052 BASEL, SWITZERLAND</t>
        </is>
      </c>
      <c r="AQ2001" t="inlineStr">
        <is>
          <t>1660-4601</t>
        </is>
      </c>
      <c r="AS2001" t="inlineStr">
        <is>
          <t>INT J ENV RES PUB HE</t>
        </is>
      </c>
      <c r="AT2001" t="inlineStr">
        <is>
          <t>Int. J. Environ. Res. Public Health</t>
        </is>
      </c>
      <c r="AU2001" t="inlineStr">
        <is>
          <t>JAN</t>
        </is>
      </c>
      <c r="AV2001" t="n">
        <v>2021</v>
      </c>
      <c r="AW2001" t="n">
        <v>18</v>
      </c>
      <c r="AX2001" t="n">
        <v>1</v>
      </c>
      <c r="BE2001" t="n">
        <v>286</v>
      </c>
      <c r="BF2001" t="inlineStr">
        <is>
          <t>10.3390/ijerph18010286</t>
        </is>
      </c>
      <c r="BG2001">
        <f>HYPERLINK("http://dx.doi.org/10.3390/ijerph18010286","http://dx.doi.org/10.3390/ijerph18010286")</f>
        <v/>
      </c>
      <c r="BJ2001" t="n">
        <v>22</v>
      </c>
      <c r="BK2001" t="inlineStr">
        <is>
          <t>Environmental Sciences; Public, Environmental &amp; Occupational Health</t>
        </is>
      </c>
      <c r="BL2001" t="inlineStr">
        <is>
          <t>Science Citation Index Expanded (SCI-EXPANDED); Social Science Citation Index (SSCI)</t>
        </is>
      </c>
      <c r="BM2001" t="inlineStr">
        <is>
          <t>Environmental Sciences &amp; Ecology; Public, Environmental &amp; Occupational Health</t>
        </is>
      </c>
      <c r="BN2001" t="inlineStr">
        <is>
          <t>PQ0HL</t>
        </is>
      </c>
      <c r="BO2001" t="n">
        <v>33401738</v>
      </c>
      <c r="BP2001" t="inlineStr">
        <is>
          <t>Green Accepted, Green Published, gold</t>
        </is>
      </c>
      <c r="BS2001" t="inlineStr">
        <is>
          <t>2023-10-26</t>
        </is>
      </c>
      <c r="BT2001" t="inlineStr">
        <is>
          <t>WOS:000606232200001</t>
        </is>
      </c>
      <c r="BU2001">
        <f>HYPERLINK("https%3A%2F%2Fwww.webofscience.com%2Fwos%2Fwoscc%2Ffull-record%2FWOS:000606232200001","View Full Record in Web of Science")</f>
        <v/>
      </c>
    </row>
  </sheetData>
  <conditionalFormatting sqref="T1:T1048576">
    <cfRule type="duplicateValues" priority="1" stopIfTrue="1"/>
  </conditionalFormatting>
  <pageMargins left="0.75" right="0.75" top="1" bottom="1" header="0.5" footer="0.5"/>
  <pageSetup orientation="portrait" horizontalDpi="300" verticalDpi="300"/>
</worksheet>
</file>

<file path=xl/worksheets/sheet2.xml><?xml version="1.0" encoding="utf-8"?>
<worksheet xmlns="http://schemas.openxmlformats.org/spreadsheetml/2006/main">
  <sheetPr>
    <outlinePr summaryBelow="1" summaryRight="1"/>
    <pageSetUpPr/>
  </sheetPr>
  <dimension ref="A1:B5254"/>
  <sheetViews>
    <sheetView workbookViewId="0">
      <selection activeCell="A1" sqref="A1"/>
    </sheetView>
  </sheetViews>
  <sheetFormatPr baseColWidth="8" defaultRowHeight="15"/>
  <sheetData>
    <row r="1">
      <c r="A1" t="inlineStr">
        <is>
          <t>urbanization</t>
        </is>
      </c>
      <c r="B1" t="n">
        <v>5</v>
      </c>
    </row>
    <row r="2">
      <c r="A2" t="inlineStr">
        <is>
          <t>built environment</t>
        </is>
      </c>
      <c r="B2" t="n">
        <v>341</v>
      </c>
    </row>
    <row r="3">
      <c r="A3" t="inlineStr">
        <is>
          <t>physical activity</t>
        </is>
      </c>
      <c r="B3" t="n">
        <v>168</v>
      </c>
    </row>
    <row r="4">
      <c r="A4" t="inlineStr">
        <is>
          <t>older adults</t>
        </is>
      </c>
      <c r="B4" t="n">
        <v>402</v>
      </c>
    </row>
    <row r="5">
      <c r="A5" t="inlineStr">
        <is>
          <t>subjectively built environment</t>
        </is>
      </c>
      <c r="B5" t="n">
        <v>1</v>
      </c>
    </row>
    <row r="6">
      <c r="A6" t="inlineStr">
        <is>
          <t>physical and mental health</t>
        </is>
      </c>
      <c r="B6" t="n">
        <v>3</v>
      </c>
    </row>
    <row r="7">
      <c r="A7" t="inlineStr">
        <is>
          <t>mediating effect</t>
        </is>
      </c>
      <c r="B7" t="n">
        <v>1</v>
      </c>
    </row>
    <row r="8">
      <c r="A8" t="inlineStr">
        <is>
          <t>residential self-selection</t>
        </is>
      </c>
      <c r="B8" t="n">
        <v>3</v>
      </c>
    </row>
    <row r="9">
      <c r="A9" t="inlineStr">
        <is>
          <t>green visibility</t>
        </is>
      </c>
      <c r="B9" t="n">
        <v>1</v>
      </c>
    </row>
    <row r="10">
      <c r="A10" t="inlineStr">
        <is>
          <t>light physical activity</t>
        </is>
      </c>
      <c r="B10" t="n">
        <v>2</v>
      </c>
    </row>
    <row r="11">
      <c r="A11" t="inlineStr">
        <is>
          <t>random forest</t>
        </is>
      </c>
      <c r="B11" t="n">
        <v>3</v>
      </c>
    </row>
    <row r="12">
      <c r="A12" t="inlineStr">
        <is>
          <t>high-density</t>
        </is>
      </c>
      <c r="B12" t="n">
        <v>2</v>
      </c>
    </row>
    <row r="13">
      <c r="A13" t="inlineStr">
        <is>
          <t>walking</t>
        </is>
      </c>
      <c r="B13" t="n">
        <v>34</v>
      </c>
    </row>
    <row r="14">
      <c r="A14" t="inlineStr">
        <is>
          <t>walking behavior</t>
        </is>
      </c>
      <c r="B14" t="n">
        <v>2</v>
      </c>
    </row>
    <row r="15">
      <c r="A15" t="inlineStr">
        <is>
          <t>socio-demographic factors</t>
        </is>
      </c>
      <c r="B15" t="n">
        <v>1</v>
      </c>
    </row>
    <row r="16">
      <c r="A16" t="inlineStr">
        <is>
          <t>indoor architecture</t>
        </is>
      </c>
      <c r="B16" t="n">
        <v>1</v>
      </c>
    </row>
    <row r="17">
      <c r="A17" t="inlineStr">
        <is>
          <t>interiors</t>
        </is>
      </c>
      <c r="B17" t="n">
        <v>1</v>
      </c>
    </row>
    <row r="18">
      <c r="A18" t="inlineStr">
        <is>
          <t>contours</t>
        </is>
      </c>
      <c r="B18" t="n">
        <v>1</v>
      </c>
    </row>
    <row r="19">
      <c r="A19" t="inlineStr">
        <is>
          <t>affect</t>
        </is>
      </c>
      <c r="B19" t="n">
        <v>1</v>
      </c>
    </row>
    <row r="20">
      <c r="A20" t="inlineStr">
        <is>
          <t>behavior</t>
        </is>
      </c>
      <c r="B20" t="n">
        <v>3</v>
      </c>
    </row>
    <row r="21">
      <c r="A21" t="inlineStr">
        <is>
          <t>cognition</t>
        </is>
      </c>
      <c r="B21" t="n">
        <v>12</v>
      </c>
    </row>
    <row r="22">
      <c r="A22" t="inlineStr">
        <is>
          <t>spatial experience</t>
        </is>
      </c>
      <c r="B22" t="n">
        <v>1</v>
      </c>
    </row>
    <row r="23">
      <c r="A23" t="inlineStr">
        <is>
          <t>virtual reality</t>
        </is>
      </c>
      <c r="B23" t="n">
        <v>9</v>
      </c>
    </row>
    <row r="24">
      <c r="A24" t="inlineStr">
        <is>
          <t>well-being</t>
        </is>
      </c>
      <c r="B24" t="n">
        <v>20</v>
      </c>
    </row>
    <row r="25">
      <c r="A25" t="inlineStr">
        <is>
          <t>mental health</t>
        </is>
      </c>
      <c r="B25" t="n">
        <v>38</v>
      </c>
    </row>
    <row r="26">
      <c r="A26" t="inlineStr">
        <is>
          <t>nonlinear</t>
        </is>
      </c>
      <c r="B26" t="n">
        <v>1</v>
      </c>
    </row>
    <row r="27">
      <c r="A27" t="inlineStr">
        <is>
          <t>cycling</t>
        </is>
      </c>
      <c r="B27" t="n">
        <v>11</v>
      </c>
    </row>
    <row r="28">
      <c r="A28" t="inlineStr">
        <is>
          <t>xgboost</t>
        </is>
      </c>
      <c r="B28" t="n">
        <v>1</v>
      </c>
    </row>
    <row r="29">
      <c r="A29" t="inlineStr">
        <is>
          <t>threshold effect</t>
        </is>
      </c>
      <c r="B29" t="n">
        <v>3</v>
      </c>
    </row>
    <row r="30">
      <c r="A30" t="inlineStr">
        <is>
          <t>community-dwelling older adults</t>
        </is>
      </c>
      <c r="B30" t="n">
        <v>14</v>
      </c>
    </row>
    <row r="31">
      <c r="A31" t="inlineStr">
        <is>
          <t>neighborhood environment</t>
        </is>
      </c>
      <c r="B31" t="n">
        <v>18</v>
      </c>
    </row>
    <row r="32">
      <c r="A32" t="inlineStr">
        <is>
          <t>physical function</t>
        </is>
      </c>
      <c r="B32" t="n">
        <v>12</v>
      </c>
    </row>
    <row r="33">
      <c r="A33" t="inlineStr">
        <is>
          <t>longitudinal study</t>
        </is>
      </c>
      <c r="B33" t="n">
        <v>4</v>
      </c>
    </row>
    <row r="34">
      <c r="A34" t="inlineStr">
        <is>
          <t>non-linear</t>
        </is>
      </c>
      <c r="B34" t="n">
        <v>1</v>
      </c>
    </row>
    <row r="35">
      <c r="A35" t="inlineStr">
        <is>
          <t>social environment</t>
        </is>
      </c>
      <c r="B35" t="n">
        <v>28</v>
      </c>
    </row>
    <row r="36">
      <c r="A36" t="inlineStr">
        <is>
          <t>bus use</t>
        </is>
      </c>
      <c r="B36" t="n">
        <v>1</v>
      </c>
    </row>
    <row r="37">
      <c r="A37" t="inlineStr">
        <is>
          <t>xgboost model</t>
        </is>
      </c>
      <c r="B37" t="n">
        <v>1</v>
      </c>
    </row>
    <row r="38">
      <c r="A38" t="inlineStr">
        <is>
          <t>depression symptoms</t>
        </is>
      </c>
      <c r="B38" t="n">
        <v>2</v>
      </c>
    </row>
    <row r="39">
      <c r="A39" t="inlineStr">
        <is>
          <t>environment</t>
        </is>
      </c>
      <c r="B39" t="n">
        <v>39</v>
      </c>
    </row>
    <row r="40">
      <c r="A40" t="inlineStr">
        <is>
          <t>acoustics</t>
        </is>
      </c>
      <c r="B40" t="n">
        <v>4</v>
      </c>
    </row>
    <row r="41">
      <c r="A41" t="inlineStr">
        <is>
          <t>environmental quality</t>
        </is>
      </c>
      <c r="B41" t="n">
        <v>5</v>
      </c>
    </row>
    <row r="42">
      <c r="A42" t="inlineStr">
        <is>
          <t>learning space</t>
        </is>
      </c>
      <c r="B42" t="n">
        <v>4</v>
      </c>
    </row>
    <row r="43">
      <c r="A43" t="inlineStr">
        <is>
          <t>occupant comfort</t>
        </is>
      </c>
      <c r="B43" t="n">
        <v>2</v>
      </c>
    </row>
    <row r="44">
      <c r="A44" t="inlineStr">
        <is>
          <t>sustainable architecture</t>
        </is>
      </c>
      <c r="B44" t="n">
        <v>2</v>
      </c>
    </row>
    <row r="45">
      <c r="A45" t="inlineStr">
        <is>
          <t>sustainable building</t>
        </is>
      </c>
      <c r="B45" t="n">
        <v>6</v>
      </c>
    </row>
    <row r="46">
      <c r="A46" t="inlineStr">
        <is>
          <t>visual comfort</t>
        </is>
      </c>
      <c r="B46" t="n">
        <v>6</v>
      </c>
    </row>
    <row r="47">
      <c r="A47" t="inlineStr">
        <is>
          <t>thermal comfort</t>
        </is>
      </c>
      <c r="B47" t="n">
        <v>38</v>
      </c>
    </row>
    <row r="48">
      <c r="A48" t="inlineStr">
        <is>
          <t>ventilation comfort</t>
        </is>
      </c>
      <c r="B48" t="n">
        <v>2</v>
      </c>
    </row>
    <row r="49">
      <c r="A49" t="inlineStr">
        <is>
          <t>age-friendly environments</t>
        </is>
      </c>
      <c r="B49" t="n">
        <v>6</v>
      </c>
    </row>
    <row r="50">
      <c r="A50" t="inlineStr">
        <is>
          <t>quality of life</t>
        </is>
      </c>
      <c r="B50" t="n">
        <v>32</v>
      </c>
    </row>
    <row r="51">
      <c r="A51" t="inlineStr">
        <is>
          <t>physical environment</t>
        </is>
      </c>
      <c r="B51" t="n">
        <v>19</v>
      </c>
    </row>
    <row r="52">
      <c r="A52" t="inlineStr">
        <is>
          <t>thailand</t>
        </is>
      </c>
      <c r="B52" t="n">
        <v>2</v>
      </c>
    </row>
    <row r="53">
      <c r="A53" t="inlineStr">
        <is>
          <t>qualitative</t>
        </is>
      </c>
      <c r="B53" t="n">
        <v>9</v>
      </c>
    </row>
    <row r="54">
      <c r="A54" t="inlineStr">
        <is>
          <t>neighbourhood</t>
        </is>
      </c>
      <c r="B54" t="n">
        <v>14</v>
      </c>
    </row>
    <row r="55">
      <c r="A55" t="inlineStr">
        <is>
          <t>walkability</t>
        </is>
      </c>
      <c r="B55" t="n">
        <v>46</v>
      </c>
    </row>
    <row r="56">
      <c r="A56" t="inlineStr">
        <is>
          <t>age friendly city</t>
        </is>
      </c>
      <c r="B56" t="n">
        <v>1</v>
      </c>
    </row>
    <row r="57">
      <c r="A57" t="inlineStr">
        <is>
          <t>cognitive function</t>
        </is>
      </c>
      <c r="B57" t="n">
        <v>22</v>
      </c>
    </row>
    <row r="58">
      <c r="A58" t="inlineStr">
        <is>
          <t>neighborhood</t>
        </is>
      </c>
      <c r="B58" t="n">
        <v>19</v>
      </c>
    </row>
    <row r="59">
      <c r="A59" t="inlineStr">
        <is>
          <t>healthy aging</t>
        </is>
      </c>
      <c r="B59" t="n">
        <v>9</v>
      </c>
    </row>
    <row r="60">
      <c r="A60" t="inlineStr">
        <is>
          <t>elderly</t>
        </is>
      </c>
      <c r="B60" t="n">
        <v>26</v>
      </c>
    </row>
    <row r="61">
      <c r="A61" t="inlineStr">
        <is>
          <t>health promotion</t>
        </is>
      </c>
      <c r="B61" t="n">
        <v>9</v>
      </c>
    </row>
    <row r="62">
      <c r="A62" t="inlineStr">
        <is>
          <t>generalized estimating equations</t>
        </is>
      </c>
      <c r="B62" t="n">
        <v>1</v>
      </c>
    </row>
    <row r="63">
      <c r="A63" t="inlineStr">
        <is>
          <t>psycho-architectural profiles</t>
        </is>
      </c>
      <c r="B63" t="n">
        <v>1</v>
      </c>
    </row>
    <row r="64">
      <c r="A64" t="inlineStr">
        <is>
          <t>compositional elements</t>
        </is>
      </c>
      <c r="B64" t="n">
        <v>1</v>
      </c>
    </row>
    <row r="65">
      <c r="A65" t="inlineStr">
        <is>
          <t>regulatory parameters</t>
        </is>
      </c>
      <c r="B65" t="n">
        <v>1</v>
      </c>
    </row>
    <row r="66">
      <c r="A66" t="inlineStr">
        <is>
          <t>transactional perspective</t>
        </is>
      </c>
      <c r="B66" t="n">
        <v>1</v>
      </c>
    </row>
    <row r="67">
      <c r="A67" t="inlineStr">
        <is>
          <t>salutogenesis</t>
        </is>
      </c>
      <c r="B67" t="n">
        <v>4</v>
      </c>
    </row>
    <row r="68">
      <c r="A68" t="inlineStr">
        <is>
          <t>cluster analysis</t>
        </is>
      </c>
      <c r="B68" t="n">
        <v>2</v>
      </c>
    </row>
    <row r="69">
      <c r="A69" t="inlineStr">
        <is>
          <t>cardiovascular diseases</t>
        </is>
      </c>
      <c r="B69" t="n">
        <v>2</v>
      </c>
    </row>
    <row r="70">
      <c r="A70" t="inlineStr">
        <is>
          <t>hypertension</t>
        </is>
      </c>
      <c r="B70" t="n">
        <v>10</v>
      </c>
    </row>
    <row r="71">
      <c r="A71" t="inlineStr">
        <is>
          <t>diabetes</t>
        </is>
      </c>
      <c r="B71" t="n">
        <v>6</v>
      </c>
    </row>
    <row r="72">
      <c r="A72" t="inlineStr">
        <is>
          <t>dyslipidemia</t>
        </is>
      </c>
      <c r="B72" t="n">
        <v>1</v>
      </c>
    </row>
    <row r="73">
      <c r="A73" t="inlineStr">
        <is>
          <t>stroke</t>
        </is>
      </c>
      <c r="B73" t="n">
        <v>2</v>
      </c>
    </row>
    <row r="74">
      <c r="A74" t="inlineStr">
        <is>
          <t>myocardial infarction</t>
        </is>
      </c>
      <c r="B74" t="n">
        <v>1</v>
      </c>
    </row>
    <row r="75">
      <c r="A75" t="inlineStr">
        <is>
          <t>angina</t>
        </is>
      </c>
      <c r="B75" t="n">
        <v>1</v>
      </c>
    </row>
    <row r="76">
      <c r="A76" t="inlineStr">
        <is>
          <t>middle-aged and older adults</t>
        </is>
      </c>
      <c r="B76" t="n">
        <v>8</v>
      </c>
    </row>
    <row r="77">
      <c r="A77" t="inlineStr">
        <is>
          <t>korea</t>
        </is>
      </c>
      <c r="B77" t="n">
        <v>8</v>
      </c>
    </row>
    <row r="78">
      <c r="A78" t="inlineStr">
        <is>
          <t>older adult</t>
        </is>
      </c>
      <c r="B78" t="n">
        <v>38</v>
      </c>
    </row>
    <row r="79">
      <c r="A79" t="inlineStr">
        <is>
          <t>social connectedness</t>
        </is>
      </c>
      <c r="B79" t="n">
        <v>3</v>
      </c>
    </row>
    <row r="80">
      <c r="A80" t="inlineStr">
        <is>
          <t>citizen science</t>
        </is>
      </c>
      <c r="B80" t="n">
        <v>5</v>
      </c>
    </row>
    <row r="81">
      <c r="A81" t="inlineStr">
        <is>
          <t>discovery tool</t>
        </is>
      </c>
      <c r="B81" t="n">
        <v>1</v>
      </c>
    </row>
    <row r="82">
      <c r="A82" t="inlineStr">
        <is>
          <t>age-friendly environment</t>
        </is>
      </c>
      <c r="B82" t="n">
        <v>4</v>
      </c>
    </row>
    <row r="83">
      <c r="A83" t="inlineStr">
        <is>
          <t>active mobility</t>
        </is>
      </c>
      <c r="B83" t="n">
        <v>1</v>
      </c>
    </row>
    <row r="84">
      <c r="A84" t="inlineStr">
        <is>
          <t>walking for transport</t>
        </is>
      </c>
      <c r="B84" t="n">
        <v>3</v>
      </c>
    </row>
    <row r="85">
      <c r="A85" t="inlineStr">
        <is>
          <t>active aging</t>
        </is>
      </c>
      <c r="B85" t="n">
        <v>2</v>
      </c>
    </row>
    <row r="86">
      <c r="A86" t="inlineStr">
        <is>
          <t>architectural features</t>
        </is>
      </c>
      <c r="B86" t="n">
        <v>1</v>
      </c>
    </row>
    <row r="87">
      <c r="A87" t="inlineStr">
        <is>
          <t>housing conditions</t>
        </is>
      </c>
      <c r="B87" t="n">
        <v>1</v>
      </c>
    </row>
    <row r="88">
      <c r="A88" t="inlineStr">
        <is>
          <t>indoor environmental quality</t>
        </is>
      </c>
      <c r="B88" t="n">
        <v>19</v>
      </c>
    </row>
    <row r="89">
      <c r="A89" t="inlineStr">
        <is>
          <t>design recommendations</t>
        </is>
      </c>
      <c r="B89" t="n">
        <v>1</v>
      </c>
    </row>
    <row r="90">
      <c r="A90" t="inlineStr">
        <is>
          <t>sustainability</t>
        </is>
      </c>
      <c r="B90" t="n">
        <v>27</v>
      </c>
    </row>
    <row r="91">
      <c r="A91" t="inlineStr">
        <is>
          <t>interior design</t>
        </is>
      </c>
      <c r="B91" t="n">
        <v>10</v>
      </c>
    </row>
    <row r="92">
      <c r="A92" t="inlineStr">
        <is>
          <t>barrier</t>
        </is>
      </c>
      <c r="B92" t="n">
        <v>1</v>
      </c>
    </row>
    <row r="93">
      <c r="A93" t="inlineStr">
        <is>
          <t>architectural design</t>
        </is>
      </c>
      <c r="B93" t="n">
        <v>9</v>
      </c>
    </row>
    <row r="94">
      <c r="A94" t="inlineStr">
        <is>
          <t>interior environment</t>
        </is>
      </c>
      <c r="B94" t="n">
        <v>2</v>
      </c>
    </row>
    <row r="95">
      <c r="A95" t="inlineStr">
        <is>
          <t>meta-analysis</t>
        </is>
      </c>
      <c r="B95" t="n">
        <v>9</v>
      </c>
    </row>
    <row r="96">
      <c r="A96" t="inlineStr">
        <is>
          <t>physical well-being</t>
        </is>
      </c>
      <c r="B96" t="n">
        <v>2</v>
      </c>
    </row>
    <row r="97">
      <c r="A97" t="inlineStr">
        <is>
          <t>mental well-being</t>
        </is>
      </c>
      <c r="B97" t="n">
        <v>2</v>
      </c>
    </row>
    <row r="98">
      <c r="A98" t="inlineStr">
        <is>
          <t>healthy ageing</t>
        </is>
      </c>
      <c r="B98" t="n">
        <v>9</v>
      </c>
    </row>
    <row r="99">
      <c r="A99" t="inlineStr">
        <is>
          <t>deprivation</t>
        </is>
      </c>
      <c r="B99" t="n">
        <v>4</v>
      </c>
    </row>
    <row r="100">
      <c r="A100" t="inlineStr">
        <is>
          <t>perception</t>
        </is>
      </c>
      <c r="B100" t="n">
        <v>13</v>
      </c>
    </row>
    <row r="101">
      <c r="A101" t="inlineStr">
        <is>
          <t>inequalities</t>
        </is>
      </c>
      <c r="B101" t="n">
        <v>3</v>
      </c>
    </row>
    <row r="102">
      <c r="A102" t="inlineStr">
        <is>
          <t>gps</t>
        </is>
      </c>
      <c r="B102" t="n">
        <v>5</v>
      </c>
    </row>
    <row r="103">
      <c r="A103" t="inlineStr">
        <is>
          <t>neighborhood built environment</t>
        </is>
      </c>
      <c r="B103" t="n">
        <v>5</v>
      </c>
    </row>
    <row r="104">
      <c r="A104" t="inlineStr">
        <is>
          <t>walking activities</t>
        </is>
      </c>
      <c r="B104" t="n">
        <v>1</v>
      </c>
    </row>
    <row r="105">
      <c r="A105" t="inlineStr">
        <is>
          <t>multi-scale analysis</t>
        </is>
      </c>
      <c r="B105" t="n">
        <v>1</v>
      </c>
    </row>
    <row r="106">
      <c r="A106" t="inlineStr">
        <is>
          <t>influence intensity</t>
        </is>
      </c>
      <c r="B106" t="n">
        <v>1</v>
      </c>
    </row>
    <row r="107">
      <c r="A107" t="inlineStr">
        <is>
          <t>obesity</t>
        </is>
      </c>
      <c r="B107" t="n">
        <v>30</v>
      </c>
    </row>
    <row r="108">
      <c r="A108" t="inlineStr">
        <is>
          <t>gender difference</t>
        </is>
      </c>
      <c r="B108" t="n">
        <v>2</v>
      </c>
    </row>
    <row r="109">
      <c r="A109" t="inlineStr">
        <is>
          <t>spatial analysis</t>
        </is>
      </c>
      <c r="B109" t="n">
        <v>2</v>
      </c>
    </row>
    <row r="110">
      <c r="A110" t="inlineStr">
        <is>
          <t>falls</t>
        </is>
      </c>
      <c r="B110" t="n">
        <v>10</v>
      </c>
    </row>
    <row r="111">
      <c r="A111" t="inlineStr">
        <is>
          <t>ageing</t>
        </is>
      </c>
      <c r="B111" t="n">
        <v>12</v>
      </c>
    </row>
    <row r="112">
      <c r="A112" t="inlineStr">
        <is>
          <t>fear of falling</t>
        </is>
      </c>
      <c r="B112" t="n">
        <v>3</v>
      </c>
    </row>
    <row r="113">
      <c r="A113" t="inlineStr">
        <is>
          <t>mobility</t>
        </is>
      </c>
      <c r="B113" t="n">
        <v>11</v>
      </c>
    </row>
    <row r="114">
      <c r="A114" t="inlineStr">
        <is>
          <t>wellbeing</t>
        </is>
      </c>
      <c r="B114" t="n">
        <v>14</v>
      </c>
    </row>
    <row r="115">
      <c r="A115" t="inlineStr">
        <is>
          <t>active ageing</t>
        </is>
      </c>
      <c r="B115" t="n">
        <v>4</v>
      </c>
    </row>
    <row r="116">
      <c r="A116" t="inlineStr">
        <is>
          <t>physical neighbourhood environment</t>
        </is>
      </c>
      <c r="B116" t="n">
        <v>1</v>
      </c>
    </row>
    <row r="117">
      <c r="A117" t="inlineStr">
        <is>
          <t>objective neighbourhood environment</t>
        </is>
      </c>
      <c r="B117" t="n">
        <v>1</v>
      </c>
    </row>
    <row r="118">
      <c r="A118" t="inlineStr">
        <is>
          <t>subjective neighbourhood environment</t>
        </is>
      </c>
      <c r="B118" t="n">
        <v>1</v>
      </c>
    </row>
    <row r="119">
      <c r="A119" t="inlineStr">
        <is>
          <t>gis</t>
        </is>
      </c>
      <c r="B119" t="n">
        <v>23</v>
      </c>
    </row>
    <row r="120">
      <c r="A120" t="inlineStr">
        <is>
          <t>adaptation</t>
        </is>
      </c>
      <c r="B120" t="n">
        <v>6</v>
      </c>
    </row>
    <row r="121">
      <c r="A121" t="inlineStr">
        <is>
          <t>physical performance</t>
        </is>
      </c>
      <c r="B121" t="n">
        <v>6</v>
      </c>
    </row>
    <row r="122">
      <c r="A122" t="inlineStr">
        <is>
          <t>indoor temperature</t>
        </is>
      </c>
      <c r="B122" t="n">
        <v>11</v>
      </c>
    </row>
    <row r="123">
      <c r="A123" t="inlineStr">
        <is>
          <t>perception of neighborhood built environments</t>
        </is>
      </c>
      <c r="B123" t="n">
        <v>1</v>
      </c>
    </row>
    <row r="124">
      <c r="A124" t="inlineStr">
        <is>
          <t>walk score</t>
        </is>
      </c>
      <c r="B124" t="n">
        <v>3</v>
      </c>
    </row>
    <row r="125">
      <c r="A125" t="inlineStr">
        <is>
          <t>traffic accidents</t>
        </is>
      </c>
      <c r="B125" t="n">
        <v>1</v>
      </c>
    </row>
    <row r="126">
      <c r="A126" t="inlineStr">
        <is>
          <t>sustainable neighborhood walking behaviors</t>
        </is>
      </c>
      <c r="B126" t="n">
        <v>1</v>
      </c>
    </row>
    <row r="127">
      <c r="A127" t="inlineStr">
        <is>
          <t>self-rated health</t>
        </is>
      </c>
      <c r="B127" t="n">
        <v>11</v>
      </c>
    </row>
    <row r="128">
      <c r="A128" t="inlineStr">
        <is>
          <t>low-income older adults</t>
        </is>
      </c>
      <c r="B128" t="n">
        <v>1</v>
      </c>
    </row>
    <row r="129">
      <c r="A129" t="inlineStr">
        <is>
          <t>built environment elements</t>
        </is>
      </c>
      <c r="B129" t="n">
        <v>2</v>
      </c>
    </row>
    <row r="130">
      <c r="A130" t="inlineStr">
        <is>
          <t>aging over 60 years old</t>
        </is>
      </c>
      <c r="B130" t="n">
        <v>1</v>
      </c>
    </row>
    <row r="131">
      <c r="A131" t="inlineStr">
        <is>
          <t>recreational physical activity</t>
        </is>
      </c>
      <c r="B131" t="n">
        <v>3</v>
      </c>
    </row>
    <row r="132">
      <c r="A132" t="inlineStr">
        <is>
          <t>microbiome</t>
        </is>
      </c>
      <c r="B132" t="n">
        <v>4</v>
      </c>
    </row>
    <row r="133">
      <c r="A133" t="inlineStr">
        <is>
          <t>occupant</t>
        </is>
      </c>
      <c r="B133" t="n">
        <v>2</v>
      </c>
    </row>
    <row r="134">
      <c r="A134" t="inlineStr">
        <is>
          <t>health</t>
        </is>
      </c>
      <c r="B134" t="n">
        <v>42</v>
      </c>
    </row>
    <row r="135">
      <c r="A135" t="inlineStr">
        <is>
          <t>scale</t>
        </is>
      </c>
      <c r="B135" t="n">
        <v>3</v>
      </c>
    </row>
    <row r="136">
      <c r="A136" t="inlineStr">
        <is>
          <t>physical exercise</t>
        </is>
      </c>
      <c r="B136" t="n">
        <v>10</v>
      </c>
    </row>
    <row r="137">
      <c r="A137" t="inlineStr">
        <is>
          <t>greenness</t>
        </is>
      </c>
      <c r="B137" t="n">
        <v>8</v>
      </c>
    </row>
    <row r="138">
      <c r="A138" t="inlineStr">
        <is>
          <t>walking perceptions</t>
        </is>
      </c>
      <c r="B138" t="n">
        <v>1</v>
      </c>
    </row>
    <row r="139">
      <c r="A139" t="inlineStr">
        <is>
          <t>urban experience</t>
        </is>
      </c>
      <c r="B139" t="n">
        <v>1</v>
      </c>
    </row>
    <row r="140">
      <c r="A140" t="inlineStr">
        <is>
          <t>urban design</t>
        </is>
      </c>
      <c r="B140" t="n">
        <v>15</v>
      </c>
    </row>
    <row r="141">
      <c r="A141" t="inlineStr">
        <is>
          <t>latin america</t>
        </is>
      </c>
      <c r="B141" t="n">
        <v>4</v>
      </c>
    </row>
    <row r="142">
      <c r="A142" t="inlineStr">
        <is>
          <t>adults</t>
        </is>
      </c>
      <c r="B142" t="n">
        <v>6</v>
      </c>
    </row>
    <row r="143">
      <c r="A143" t="inlineStr">
        <is>
          <t>jordan</t>
        </is>
      </c>
      <c r="B143" t="n">
        <v>1</v>
      </c>
    </row>
    <row r="144">
      <c r="A144" t="inlineStr">
        <is>
          <t>north dong areas</t>
        </is>
      </c>
      <c r="B144" t="n">
        <v>1</v>
      </c>
    </row>
    <row r="145">
      <c r="A145" t="inlineStr">
        <is>
          <t>traditional dwelling</t>
        </is>
      </c>
      <c r="B145" t="n">
        <v>1</v>
      </c>
    </row>
    <row r="146">
      <c r="A146" t="inlineStr">
        <is>
          <t>indoor physical environment</t>
        </is>
      </c>
      <c r="B146" t="n">
        <v>3</v>
      </c>
    </row>
    <row r="147">
      <c r="A147" t="inlineStr">
        <is>
          <t>climate adaptability</t>
        </is>
      </c>
      <c r="B147" t="n">
        <v>1</v>
      </c>
    </row>
    <row r="148">
      <c r="A148" t="inlineStr">
        <is>
          <t>monitoring and simulation</t>
        </is>
      </c>
      <c r="B148" t="n">
        <v>1</v>
      </c>
    </row>
    <row r="149">
      <c r="A149" t="inlineStr">
        <is>
          <t>geographic information systems</t>
        </is>
      </c>
      <c r="B149" t="n">
        <v>5</v>
      </c>
    </row>
    <row r="150">
      <c r="A150" t="inlineStr">
        <is>
          <t>observational study</t>
        </is>
      </c>
      <c r="B150" t="n">
        <v>1</v>
      </c>
    </row>
    <row r="151">
      <c r="A151" t="inlineStr">
        <is>
          <t>healthy indoor environment</t>
        </is>
      </c>
      <c r="B151" t="n">
        <v>1</v>
      </c>
    </row>
    <row r="152">
      <c r="A152" t="inlineStr">
        <is>
          <t>holistic approach</t>
        </is>
      </c>
      <c r="B152" t="n">
        <v>1</v>
      </c>
    </row>
    <row r="153">
      <c r="A153" t="inlineStr">
        <is>
          <t>transdisciplinary studies</t>
        </is>
      </c>
      <c r="B153" t="n">
        <v>1</v>
      </c>
    </row>
    <row r="154">
      <c r="A154" t="inlineStr">
        <is>
          <t>multidisciplinary studies</t>
        </is>
      </c>
      <c r="B154" t="n">
        <v>1</v>
      </c>
    </row>
    <row r="155">
      <c r="A155" t="inlineStr">
        <is>
          <t>indoor environment quality</t>
        </is>
      </c>
      <c r="B155" t="n">
        <v>7</v>
      </c>
    </row>
    <row r="156">
      <c r="A156" t="inlineStr">
        <is>
          <t>urban neighborhood environment</t>
        </is>
      </c>
      <c r="B156" t="n">
        <v>1</v>
      </c>
    </row>
    <row r="157">
      <c r="A157" t="inlineStr">
        <is>
          <t>mediation effects</t>
        </is>
      </c>
      <c r="B157" t="n">
        <v>1</v>
      </c>
    </row>
    <row r="158">
      <c r="A158" t="inlineStr">
        <is>
          <t>perceived environment</t>
        </is>
      </c>
      <c r="B158" t="n">
        <v>5</v>
      </c>
    </row>
    <row r="159">
      <c r="A159" t="inlineStr">
        <is>
          <t>sense of community</t>
        </is>
      </c>
      <c r="B159" t="n">
        <v>3</v>
      </c>
    </row>
    <row r="160">
      <c r="A160" t="inlineStr">
        <is>
          <t>bmi</t>
        </is>
      </c>
      <c r="B160" t="n">
        <v>2</v>
      </c>
    </row>
    <row r="161">
      <c r="A161" t="inlineStr">
        <is>
          <t>mediation effect</t>
        </is>
      </c>
      <c r="B161" t="n">
        <v>1</v>
      </c>
    </row>
    <row r="162">
      <c r="A162" t="inlineStr">
        <is>
          <t>active transport to school</t>
        </is>
      </c>
      <c r="B162" t="n">
        <v>1</v>
      </c>
    </row>
    <row r="163">
      <c r="A163" t="inlineStr">
        <is>
          <t>child health</t>
        </is>
      </c>
      <c r="B163" t="n">
        <v>1</v>
      </c>
    </row>
    <row r="164">
      <c r="A164" t="inlineStr">
        <is>
          <t>childhood obesity</t>
        </is>
      </c>
      <c r="B164" t="n">
        <v>4</v>
      </c>
    </row>
    <row r="165">
      <c r="A165" t="inlineStr">
        <is>
          <t>the elderly</t>
        </is>
      </c>
      <c r="B165" t="n">
        <v>6</v>
      </c>
    </row>
    <row r="166">
      <c r="A166" t="inlineStr">
        <is>
          <t>physical health</t>
        </is>
      </c>
      <c r="B166" t="n">
        <v>9</v>
      </c>
    </row>
    <row r="167">
      <c r="A167" t="inlineStr">
        <is>
          <t>social interaction activity</t>
        </is>
      </c>
      <c r="B167" t="n">
        <v>1</v>
      </c>
    </row>
    <row r="168">
      <c r="A168" t="inlineStr">
        <is>
          <t>physical fitness</t>
        </is>
      </c>
      <c r="B168" t="n">
        <v>6</v>
      </c>
    </row>
    <row r="169">
      <c r="A169" t="inlineStr">
        <is>
          <t>courtyard design</t>
        </is>
      </c>
      <c r="B169" t="n">
        <v>1</v>
      </c>
    </row>
    <row r="170">
      <c r="A170" t="inlineStr">
        <is>
          <t>acute mental health</t>
        </is>
      </c>
      <c r="B170" t="n">
        <v>1</v>
      </c>
    </row>
    <row r="171">
      <c r="A171" t="inlineStr">
        <is>
          <t>therapeutic environments</t>
        </is>
      </c>
      <c r="B171" t="n">
        <v>1</v>
      </c>
    </row>
    <row r="172">
      <c r="A172" t="inlineStr">
        <is>
          <t>confinement</t>
        </is>
      </c>
      <c r="B172" t="n">
        <v>1</v>
      </c>
    </row>
    <row r="173">
      <c r="A173" t="inlineStr">
        <is>
          <t>incarceration</t>
        </is>
      </c>
      <c r="B173" t="n">
        <v>1</v>
      </c>
    </row>
    <row r="174">
      <c r="A174" t="inlineStr">
        <is>
          <t>mental health and wellbeing</t>
        </is>
      </c>
      <c r="B174" t="n">
        <v>1</v>
      </c>
    </row>
    <row r="175">
      <c r="A175" t="inlineStr">
        <is>
          <t>health of older adults</t>
        </is>
      </c>
      <c r="B175" t="n">
        <v>1</v>
      </c>
    </row>
    <row r="176">
      <c r="A176" t="inlineStr">
        <is>
          <t>age group</t>
        </is>
      </c>
      <c r="B176" t="n">
        <v>3</v>
      </c>
    </row>
    <row r="177">
      <c r="A177" t="inlineStr">
        <is>
          <t>social participation</t>
        </is>
      </c>
      <c r="B177" t="n">
        <v>10</v>
      </c>
    </row>
    <row r="178">
      <c r="A178" t="inlineStr">
        <is>
          <t>outdoors activity</t>
        </is>
      </c>
      <c r="B178" t="n">
        <v>1</v>
      </c>
    </row>
    <row r="179">
      <c r="A179" t="inlineStr">
        <is>
          <t>mediating role</t>
        </is>
      </c>
      <c r="B179" t="n">
        <v>2</v>
      </c>
    </row>
    <row r="180">
      <c r="A180" t="inlineStr">
        <is>
          <t>mood</t>
        </is>
      </c>
      <c r="B180" t="n">
        <v>3</v>
      </c>
    </row>
    <row r="181">
      <c r="A181" t="inlineStr">
        <is>
          <t>mixed methods</t>
        </is>
      </c>
      <c r="B181" t="n">
        <v>5</v>
      </c>
    </row>
    <row r="182">
      <c r="A182" t="inlineStr">
        <is>
          <t>electroencephalography (eeg)</t>
        </is>
      </c>
      <c r="B182" t="n">
        <v>1</v>
      </c>
    </row>
    <row r="183">
      <c r="A183" t="inlineStr">
        <is>
          <t>moderate-to-vigorous physical activity</t>
        </is>
      </c>
      <c r="B183" t="n">
        <v>3</v>
      </c>
    </row>
    <row r="184">
      <c r="A184" t="inlineStr">
        <is>
          <t>cross-lagged</t>
        </is>
      </c>
      <c r="B184" t="n">
        <v>1</v>
      </c>
    </row>
    <row r="185">
      <c r="A185" t="inlineStr">
        <is>
          <t>adolescents</t>
        </is>
      </c>
      <c r="B185" t="n">
        <v>15</v>
      </c>
    </row>
    <row r="186">
      <c r="A186" t="inlineStr">
        <is>
          <t>community center</t>
        </is>
      </c>
      <c r="B186" t="n">
        <v>1</v>
      </c>
    </row>
    <row r="187">
      <c r="A187" t="inlineStr">
        <is>
          <t>hilliness</t>
        </is>
      </c>
      <c r="B187" t="n">
        <v>1</v>
      </c>
    </row>
    <row r="188">
      <c r="A188" t="inlineStr">
        <is>
          <t>green building</t>
        </is>
      </c>
      <c r="B188" t="n">
        <v>9</v>
      </c>
    </row>
    <row r="189">
      <c r="A189" t="inlineStr">
        <is>
          <t>assessment index</t>
        </is>
      </c>
      <c r="B189" t="n">
        <v>1</v>
      </c>
    </row>
    <row r="190">
      <c r="A190" t="inlineStr">
        <is>
          <t>indoor environment</t>
        </is>
      </c>
      <c r="B190" t="n">
        <v>49</v>
      </c>
    </row>
    <row r="191">
      <c r="A191" t="inlineStr">
        <is>
          <t>mvpa</t>
        </is>
      </c>
      <c r="B191" t="n">
        <v>2</v>
      </c>
    </row>
    <row r="192">
      <c r="A192" t="inlineStr">
        <is>
          <t>adolescent</t>
        </is>
      </c>
      <c r="B192" t="n">
        <v>6</v>
      </c>
    </row>
    <row r="193">
      <c r="A193" t="inlineStr">
        <is>
          <t>elderly health</t>
        </is>
      </c>
      <c r="B193" t="n">
        <v>1</v>
      </c>
    </row>
    <row r="194">
      <c r="A194" t="inlineStr">
        <is>
          <t>interpersonal environment</t>
        </is>
      </c>
      <c r="B194" t="n">
        <v>1</v>
      </c>
    </row>
    <row r="195">
      <c r="A195" t="inlineStr">
        <is>
          <t>age differences</t>
        </is>
      </c>
      <c r="B195" t="n">
        <v>1</v>
      </c>
    </row>
    <row r="196">
      <c r="A196" t="inlineStr">
        <is>
          <t>accelerometer</t>
        </is>
      </c>
      <c r="B196" t="n">
        <v>10</v>
      </c>
    </row>
    <row r="197">
      <c r="A197" t="inlineStr">
        <is>
          <t>child</t>
        </is>
      </c>
      <c r="B197" t="n">
        <v>3</v>
      </c>
    </row>
    <row r="198">
      <c r="A198" t="inlineStr">
        <is>
          <t>residence characteristics</t>
        </is>
      </c>
      <c r="B198" t="n">
        <v>1</v>
      </c>
    </row>
    <row r="199">
      <c r="A199" t="inlineStr">
        <is>
          <t>city planning</t>
        </is>
      </c>
      <c r="B199" t="n">
        <v>1</v>
      </c>
    </row>
    <row r="200">
      <c r="A200" t="inlineStr">
        <is>
          <t>alzheimer disease</t>
        </is>
      </c>
      <c r="B200" t="n">
        <v>2</v>
      </c>
    </row>
    <row r="201">
      <c r="A201" t="inlineStr">
        <is>
          <t>preventive medicine</t>
        </is>
      </c>
      <c r="B201" t="n">
        <v>1</v>
      </c>
    </row>
    <row r="202">
      <c r="A202" t="inlineStr">
        <is>
          <t>public health</t>
        </is>
      </c>
      <c r="B202" t="n">
        <v>22</v>
      </c>
    </row>
    <row r="203">
      <c r="A203" t="inlineStr">
        <is>
          <t>walking destination</t>
        </is>
      </c>
      <c r="B203" t="n">
        <v>1</v>
      </c>
    </row>
    <row r="204">
      <c r="A204" t="inlineStr">
        <is>
          <t>land use</t>
        </is>
      </c>
      <c r="B204" t="n">
        <v>3</v>
      </c>
    </row>
    <row r="205">
      <c r="A205" t="inlineStr">
        <is>
          <t>urban analysis</t>
        </is>
      </c>
      <c r="B205" t="n">
        <v>1</v>
      </c>
    </row>
    <row r="206">
      <c r="A206" t="inlineStr">
        <is>
          <t>walking and cycling</t>
        </is>
      </c>
      <c r="B206" t="n">
        <v>1</v>
      </c>
    </row>
    <row r="207">
      <c r="A207" t="inlineStr">
        <is>
          <t>neighborhood design</t>
        </is>
      </c>
      <c r="B207" t="n">
        <v>1</v>
      </c>
    </row>
    <row r="208">
      <c r="A208" t="inlineStr">
        <is>
          <t>china</t>
        </is>
      </c>
      <c r="B208" t="n">
        <v>26</v>
      </c>
    </row>
    <row r="209">
      <c r="A209" t="inlineStr">
        <is>
          <t>natural experiment</t>
        </is>
      </c>
      <c r="B209" t="n">
        <v>4</v>
      </c>
    </row>
    <row r="210">
      <c r="A210" t="inlineStr">
        <is>
          <t>diet</t>
        </is>
      </c>
      <c r="B210" t="n">
        <v>6</v>
      </c>
    </row>
    <row r="211">
      <c r="A211" t="inlineStr">
        <is>
          <t>longitudinal</t>
        </is>
      </c>
      <c r="B211" t="n">
        <v>3</v>
      </c>
    </row>
    <row r="212">
      <c r="A212" t="inlineStr">
        <is>
          <t>bmi index</t>
        </is>
      </c>
      <c r="B212" t="n">
        <v>1</v>
      </c>
    </row>
    <row r="213">
      <c r="A213" t="inlineStr">
        <is>
          <t>walking environment</t>
        </is>
      </c>
      <c r="B213" t="n">
        <v>2</v>
      </c>
    </row>
    <row r="214">
      <c r="A214" t="inlineStr">
        <is>
          <t>gender</t>
        </is>
      </c>
      <c r="B214" t="n">
        <v>10</v>
      </c>
    </row>
    <row r="215">
      <c r="A215" t="inlineStr">
        <is>
          <t>physical capability</t>
        </is>
      </c>
      <c r="B215" t="n">
        <v>1</v>
      </c>
    </row>
    <row r="216">
      <c r="A216" t="inlineStr">
        <is>
          <t>functional status</t>
        </is>
      </c>
      <c r="B216" t="n">
        <v>1</v>
      </c>
    </row>
    <row r="217">
      <c r="A217" t="inlineStr">
        <is>
          <t>sea</t>
        </is>
      </c>
      <c r="B217" t="n">
        <v>1</v>
      </c>
    </row>
    <row r="218">
      <c r="A218" t="inlineStr">
        <is>
          <t>ndvi</t>
        </is>
      </c>
      <c r="B218" t="n">
        <v>2</v>
      </c>
    </row>
    <row r="219">
      <c r="A219" t="inlineStr">
        <is>
          <t>healthy city</t>
        </is>
      </c>
      <c r="B219" t="n">
        <v>5</v>
      </c>
    </row>
    <row r="220">
      <c r="A220" t="inlineStr">
        <is>
          <t>psychology of sustainability and sustainable development</t>
        </is>
      </c>
      <c r="B220" t="n">
        <v>1</v>
      </c>
    </row>
    <row r="221">
      <c r="A221" t="inlineStr">
        <is>
          <t>sustainability technologies</t>
        </is>
      </c>
      <c r="B221" t="n">
        <v>1</v>
      </c>
    </row>
    <row r="222">
      <c r="A222" t="inlineStr">
        <is>
          <t>urban environment</t>
        </is>
      </c>
      <c r="B222" t="n">
        <v>17</v>
      </c>
    </row>
    <row r="223">
      <c r="A223" t="inlineStr">
        <is>
          <t>urban health</t>
        </is>
      </c>
      <c r="B223" t="n">
        <v>10</v>
      </c>
    </row>
    <row r="224">
      <c r="A224" t="inlineStr">
        <is>
          <t>rural built environment</t>
        </is>
      </c>
      <c r="B224" t="n">
        <v>3</v>
      </c>
    </row>
    <row r="225">
      <c r="A225" t="inlineStr">
        <is>
          <t>bicycling distance</t>
        </is>
      </c>
      <c r="B225" t="n">
        <v>1</v>
      </c>
    </row>
    <row r="226">
      <c r="A226" t="inlineStr">
        <is>
          <t>bicycling psychological factors</t>
        </is>
      </c>
      <c r="B226" t="n">
        <v>1</v>
      </c>
    </row>
    <row r="227">
      <c r="A227" t="inlineStr">
        <is>
          <t>bicycling behavior</t>
        </is>
      </c>
      <c r="B227" t="n">
        <v>1</v>
      </c>
    </row>
    <row r="228">
      <c r="A228" t="inlineStr">
        <is>
          <t>multiple linear regression model</t>
        </is>
      </c>
      <c r="B228" t="n">
        <v>2</v>
      </c>
    </row>
    <row r="229">
      <c r="A229" t="inlineStr">
        <is>
          <t>guangzhou</t>
        </is>
      </c>
      <c r="B229" t="n">
        <v>4</v>
      </c>
    </row>
    <row r="230">
      <c r="A230" t="inlineStr">
        <is>
          <t>built environments</t>
        </is>
      </c>
      <c r="B230" t="n">
        <v>4</v>
      </c>
    </row>
    <row r="231">
      <c r="A231" t="inlineStr">
        <is>
          <t>fat mass</t>
        </is>
      </c>
      <c r="B231" t="n">
        <v>2</v>
      </c>
    </row>
    <row r="232">
      <c r="A232" t="inlineStr">
        <is>
          <t>body mass index</t>
        </is>
      </c>
      <c r="B232" t="n">
        <v>9</v>
      </c>
    </row>
    <row r="233">
      <c r="A233" t="inlineStr">
        <is>
          <t>neighborhood environment walkability scale</t>
        </is>
      </c>
      <c r="B233" t="n">
        <v>1</v>
      </c>
    </row>
    <row r="234">
      <c r="A234" t="inlineStr">
        <is>
          <t>aging over 60 years</t>
        </is>
      </c>
      <c r="B234" t="n">
        <v>1</v>
      </c>
    </row>
    <row r="235">
      <c r="A235" t="inlineStr">
        <is>
          <t>empirical study</t>
        </is>
      </c>
      <c r="B235" t="n">
        <v>2</v>
      </c>
    </row>
    <row r="236">
      <c r="A236" t="inlineStr">
        <is>
          <t>irvine minnesota inventory</t>
        </is>
      </c>
      <c r="B236" t="n">
        <v>1</v>
      </c>
    </row>
    <row r="237">
      <c r="A237" t="inlineStr">
        <is>
          <t>scales</t>
        </is>
      </c>
      <c r="B237" t="n">
        <v>1</v>
      </c>
    </row>
    <row r="238">
      <c r="A238" t="inlineStr">
        <is>
          <t>replication</t>
        </is>
      </c>
      <c r="B238" t="n">
        <v>1</v>
      </c>
    </row>
    <row r="239">
      <c r="A239" t="inlineStr">
        <is>
          <t>reliability</t>
        </is>
      </c>
      <c r="B239" t="n">
        <v>2</v>
      </c>
    </row>
    <row r="240">
      <c r="A240" t="inlineStr">
        <is>
          <t>learning efficiency</t>
        </is>
      </c>
      <c r="B240" t="n">
        <v>1</v>
      </c>
    </row>
    <row r="241">
      <c r="A241" t="inlineStr">
        <is>
          <t>task type</t>
        </is>
      </c>
      <c r="B241" t="n">
        <v>1</v>
      </c>
    </row>
    <row r="242">
      <c r="A242" t="inlineStr">
        <is>
          <t>environmental factor</t>
        </is>
      </c>
      <c r="B242" t="n">
        <v>2</v>
      </c>
    </row>
    <row r="243">
      <c r="A243" t="inlineStr">
        <is>
          <t>full factorial design</t>
        </is>
      </c>
      <c r="B243" t="n">
        <v>1</v>
      </c>
    </row>
    <row r="244">
      <c r="A244" t="inlineStr">
        <is>
          <t>park-based physical activity</t>
        </is>
      </c>
      <c r="B244" t="n">
        <v>1</v>
      </c>
    </row>
    <row r="245">
      <c r="A245" t="inlineStr">
        <is>
          <t>socioecological model</t>
        </is>
      </c>
      <c r="B245" t="n">
        <v>1</v>
      </c>
    </row>
    <row r="246">
      <c r="A246" t="inlineStr">
        <is>
          <t>urban parks</t>
        </is>
      </c>
      <c r="B246" t="n">
        <v>3</v>
      </c>
    </row>
    <row r="247">
      <c r="A247" t="inlineStr">
        <is>
          <t>active living</t>
        </is>
      </c>
      <c r="B247" t="n">
        <v>5</v>
      </c>
    </row>
    <row r="248">
      <c r="A248" t="inlineStr">
        <is>
          <t>perceived park environment</t>
        </is>
      </c>
      <c r="B248" t="n">
        <v>1</v>
      </c>
    </row>
    <row r="249">
      <c r="A249" t="inlineStr">
        <is>
          <t>ipaq-long form</t>
        </is>
      </c>
      <c r="B249" t="n">
        <v>1</v>
      </c>
    </row>
    <row r="250">
      <c r="A250" t="inlineStr">
        <is>
          <t>recommendation</t>
        </is>
      </c>
      <c r="B250" t="n">
        <v>1</v>
      </c>
    </row>
    <row r="251">
      <c r="A251" t="inlineStr">
        <is>
          <t>steps</t>
        </is>
      </c>
      <c r="B251" t="n">
        <v>1</v>
      </c>
    </row>
    <row r="252">
      <c r="A252" t="inlineStr">
        <is>
          <t>duration patterns</t>
        </is>
      </c>
      <c r="B252" t="n">
        <v>1</v>
      </c>
    </row>
    <row r="253">
      <c r="A253" t="inlineStr">
        <is>
          <t>mixed logit</t>
        </is>
      </c>
      <c r="B253" t="n">
        <v>1</v>
      </c>
    </row>
    <row r="254">
      <c r="A254" t="inlineStr">
        <is>
          <t>huizhou region</t>
        </is>
      </c>
      <c r="B254" t="n">
        <v>1</v>
      </c>
    </row>
    <row r="255">
      <c r="A255" t="inlineStr">
        <is>
          <t>traditional architecture</t>
        </is>
      </c>
      <c r="B255" t="n">
        <v>1</v>
      </c>
    </row>
    <row r="256">
      <c r="A256" t="inlineStr">
        <is>
          <t>phoenics</t>
        </is>
      </c>
      <c r="B256" t="n">
        <v>1</v>
      </c>
    </row>
    <row r="257">
      <c r="A257" t="inlineStr">
        <is>
          <t>outdoor wind environment</t>
        </is>
      </c>
      <c r="B257" t="n">
        <v>2</v>
      </c>
    </row>
    <row r="258">
      <c r="A258" t="inlineStr">
        <is>
          <t>physical distancing</t>
        </is>
      </c>
      <c r="B258" t="n">
        <v>1</v>
      </c>
    </row>
    <row r="259">
      <c r="A259" t="inlineStr">
        <is>
          <t>infection risk</t>
        </is>
      </c>
      <c r="B259" t="n">
        <v>1</v>
      </c>
    </row>
    <row r="260">
      <c r="A260" t="inlineStr">
        <is>
          <t>speaking</t>
        </is>
      </c>
      <c r="B260" t="n">
        <v>1</v>
      </c>
    </row>
    <row r="261">
      <c r="A261" t="inlineStr">
        <is>
          <t>thermal stratification</t>
        </is>
      </c>
      <c r="B261" t="n">
        <v>1</v>
      </c>
    </row>
    <row r="262">
      <c r="A262" t="inlineStr">
        <is>
          <t>perceived neighborhood environment</t>
        </is>
      </c>
      <c r="B262" t="n">
        <v>1</v>
      </c>
    </row>
    <row r="263">
      <c r="A263" t="inlineStr">
        <is>
          <t>multiple linear regression</t>
        </is>
      </c>
      <c r="B263" t="n">
        <v>1</v>
      </c>
    </row>
    <row r="264">
      <c r="A264" t="inlineStr">
        <is>
          <t>structural equation modeling</t>
        </is>
      </c>
      <c r="B264" t="n">
        <v>5</v>
      </c>
    </row>
    <row r="265">
      <c r="A265" t="inlineStr">
        <is>
          <t>healthy built environment</t>
        </is>
      </c>
      <c r="B265" t="n">
        <v>1</v>
      </c>
    </row>
    <row r="266">
      <c r="A266" t="inlineStr">
        <is>
          <t>passive design</t>
        </is>
      </c>
      <c r="B266" t="n">
        <v>4</v>
      </c>
    </row>
    <row r="267">
      <c r="A267" t="inlineStr">
        <is>
          <t>thermal</t>
        </is>
      </c>
      <c r="B267" t="n">
        <v>1</v>
      </c>
    </row>
    <row r="268">
      <c r="A268" t="inlineStr">
        <is>
          <t>light</t>
        </is>
      </c>
      <c r="B268" t="n">
        <v>2</v>
      </c>
    </row>
    <row r="269">
      <c r="A269" t="inlineStr">
        <is>
          <t>acoustic</t>
        </is>
      </c>
      <c r="B269" t="n">
        <v>1</v>
      </c>
    </row>
    <row r="270">
      <c r="A270" t="inlineStr">
        <is>
          <t>residential building</t>
        </is>
      </c>
      <c r="B270" t="n">
        <v>2</v>
      </c>
    </row>
    <row r="271">
      <c r="A271" t="inlineStr">
        <is>
          <t>lingnan area</t>
        </is>
      </c>
      <c r="B271" t="n">
        <v>1</v>
      </c>
    </row>
    <row r="272">
      <c r="A272" t="inlineStr">
        <is>
          <t>building performance</t>
        </is>
      </c>
      <c r="B272" t="n">
        <v>4</v>
      </c>
    </row>
    <row r="273">
      <c r="A273" t="inlineStr">
        <is>
          <t>housing condition</t>
        </is>
      </c>
      <c r="B273" t="n">
        <v>2</v>
      </c>
    </row>
    <row r="274">
      <c r="A274" t="inlineStr">
        <is>
          <t>social-ecologic theory</t>
        </is>
      </c>
      <c r="B274" t="n">
        <v>1</v>
      </c>
    </row>
    <row r="275">
      <c r="A275" t="inlineStr">
        <is>
          <t>chinese residents</t>
        </is>
      </c>
      <c r="B275" t="n">
        <v>1</v>
      </c>
    </row>
    <row r="276">
      <c r="A276" t="inlineStr">
        <is>
          <t>cardiovascular disease</t>
        </is>
      </c>
      <c r="B276" t="n">
        <v>5</v>
      </c>
    </row>
    <row r="277">
      <c r="A277" t="inlineStr">
        <is>
          <t>scientometric analysis</t>
        </is>
      </c>
      <c r="B277" t="n">
        <v>2</v>
      </c>
    </row>
    <row r="278">
      <c r="A278" t="inlineStr">
        <is>
          <t>food environment</t>
        </is>
      </c>
      <c r="B278" t="n">
        <v>12</v>
      </c>
    </row>
    <row r="279">
      <c r="A279" t="inlineStr">
        <is>
          <t>bionic design concept</t>
        </is>
      </c>
      <c r="B279" t="n">
        <v>1</v>
      </c>
    </row>
    <row r="280">
      <c r="A280" t="inlineStr">
        <is>
          <t>green ecological residence</t>
        </is>
      </c>
      <c r="B280" t="n">
        <v>1</v>
      </c>
    </row>
    <row r="281">
      <c r="A281" t="inlineStr">
        <is>
          <t>indoor environment design</t>
        </is>
      </c>
      <c r="B281" t="n">
        <v>1</v>
      </c>
    </row>
    <row r="282">
      <c r="A282" t="inlineStr">
        <is>
          <t>heat consumption</t>
        </is>
      </c>
      <c r="B282" t="n">
        <v>1</v>
      </c>
    </row>
    <row r="283">
      <c r="A283" t="inlineStr">
        <is>
          <t>lighting and ventilation</t>
        </is>
      </c>
      <c r="B283" t="n">
        <v>1</v>
      </c>
    </row>
    <row r="284">
      <c r="A284" t="inlineStr">
        <is>
          <t>connection</t>
        </is>
      </c>
      <c r="B284" t="n">
        <v>1</v>
      </c>
    </row>
    <row r="285">
      <c r="A285" t="inlineStr">
        <is>
          <t>divergence</t>
        </is>
      </c>
      <c r="B285" t="n">
        <v>1</v>
      </c>
    </row>
    <row r="286">
      <c r="A286" t="inlineStr">
        <is>
          <t>indoor particulate matter</t>
        </is>
      </c>
      <c r="B286" t="n">
        <v>1</v>
      </c>
    </row>
    <row r="287">
      <c r="A287" t="inlineStr">
        <is>
          <t>indoor aerosols</t>
        </is>
      </c>
      <c r="B287" t="n">
        <v>1</v>
      </c>
    </row>
    <row r="288">
      <c r="A288" t="inlineStr">
        <is>
          <t>indoor ultrafine particles</t>
        </is>
      </c>
      <c r="B288" t="n">
        <v>1</v>
      </c>
    </row>
    <row r="289">
      <c r="A289" t="inlineStr">
        <is>
          <t>home indoor particles</t>
        </is>
      </c>
      <c r="B289" t="n">
        <v>1</v>
      </c>
    </row>
    <row r="290">
      <c r="A290" t="inlineStr">
        <is>
          <t>school indoor particles</t>
        </is>
      </c>
      <c r="B290" t="n">
        <v>1</v>
      </c>
    </row>
    <row r="291">
      <c r="A291" t="inlineStr">
        <is>
          <t>office indoor particles</t>
        </is>
      </c>
      <c r="B291" t="n">
        <v>1</v>
      </c>
    </row>
    <row r="292">
      <c r="A292" t="inlineStr">
        <is>
          <t>child care indoor particles</t>
        </is>
      </c>
      <c r="B292" t="n">
        <v>1</v>
      </c>
    </row>
    <row r="293">
      <c r="A293" t="inlineStr">
        <is>
          <t>aged care indoor particles</t>
        </is>
      </c>
      <c r="B293" t="n">
        <v>1</v>
      </c>
    </row>
    <row r="294">
      <c r="A294" t="inlineStr">
        <is>
          <t>adolescents' obesity</t>
        </is>
      </c>
      <c r="B294" t="n">
        <v>1</v>
      </c>
    </row>
    <row r="295">
      <c r="A295" t="inlineStr">
        <is>
          <t>nutritional environment</t>
        </is>
      </c>
      <c r="B295" t="n">
        <v>1</v>
      </c>
    </row>
    <row r="296">
      <c r="A296" t="inlineStr">
        <is>
          <t>sedentary behaviors</t>
        </is>
      </c>
      <c r="B296" t="n">
        <v>1</v>
      </c>
    </row>
    <row r="297">
      <c r="A297" t="inlineStr">
        <is>
          <t>residential thermal environment</t>
        </is>
      </c>
      <c r="B297" t="n">
        <v>1</v>
      </c>
    </row>
    <row r="298">
      <c r="A298" t="inlineStr">
        <is>
          <t>green ratio</t>
        </is>
      </c>
      <c r="B298" t="n">
        <v>1</v>
      </c>
    </row>
    <row r="299">
      <c r="A299" t="inlineStr">
        <is>
          <t>building height</t>
        </is>
      </c>
      <c r="B299" t="n">
        <v>2</v>
      </c>
    </row>
    <row r="300">
      <c r="A300" t="inlineStr">
        <is>
          <t>building density</t>
        </is>
      </c>
      <c r="B300" t="n">
        <v>2</v>
      </c>
    </row>
    <row r="301">
      <c r="A301" t="inlineStr">
        <is>
          <t>india</t>
        </is>
      </c>
      <c r="B301" t="n">
        <v>6</v>
      </c>
    </row>
    <row r="302">
      <c r="A302" t="inlineStr">
        <is>
          <t>measurement</t>
        </is>
      </c>
      <c r="B302" t="n">
        <v>4</v>
      </c>
    </row>
    <row r="303">
      <c r="A303" t="inlineStr">
        <is>
          <t>dye-sensitized solar cells</t>
        </is>
      </c>
      <c r="B303" t="n">
        <v>1</v>
      </c>
    </row>
    <row r="304">
      <c r="A304" t="inlineStr">
        <is>
          <t>architectural window</t>
        </is>
      </c>
      <c r="B304" t="n">
        <v>1</v>
      </c>
    </row>
    <row r="305">
      <c r="A305" t="inlineStr">
        <is>
          <t>color environment</t>
        </is>
      </c>
      <c r="B305" t="n">
        <v>1</v>
      </c>
    </row>
    <row r="306">
      <c r="A306" t="inlineStr">
        <is>
          <t>shape recognition</t>
        </is>
      </c>
      <c r="B306" t="n">
        <v>1</v>
      </c>
    </row>
    <row r="307">
      <c r="A307" t="inlineStr">
        <is>
          <t>color gamut overage</t>
        </is>
      </c>
      <c r="B307" t="n">
        <v>1</v>
      </c>
    </row>
    <row r="308">
      <c r="A308" t="inlineStr">
        <is>
          <t>natural environment</t>
        </is>
      </c>
      <c r="B308" t="n">
        <v>10</v>
      </c>
    </row>
    <row r="309">
      <c r="A309" t="inlineStr">
        <is>
          <t>self -rated health</t>
        </is>
      </c>
      <c r="B309" t="n">
        <v>1</v>
      </c>
    </row>
    <row r="310">
      <c r="A310" t="inlineStr">
        <is>
          <t>machine learning</t>
        </is>
      </c>
      <c r="B310" t="n">
        <v>16</v>
      </c>
    </row>
    <row r="311">
      <c r="A311" t="inlineStr">
        <is>
          <t>residential selection bias</t>
        </is>
      </c>
      <c r="B311" t="n">
        <v>1</v>
      </c>
    </row>
    <row r="312">
      <c r="A312" t="inlineStr">
        <is>
          <t>built environment pattern</t>
        </is>
      </c>
      <c r="B312" t="n">
        <v>1</v>
      </c>
    </row>
    <row r="313">
      <c r="A313" t="inlineStr">
        <is>
          <t>latent profile analysis</t>
        </is>
      </c>
      <c r="B313" t="n">
        <v>3</v>
      </c>
    </row>
    <row r="314">
      <c r="A314" t="inlineStr">
        <is>
          <t>cohort study</t>
        </is>
      </c>
      <c r="B314" t="n">
        <v>4</v>
      </c>
    </row>
    <row r="315">
      <c r="A315" t="inlineStr">
        <is>
          <t>dog ownership</t>
        </is>
      </c>
      <c r="B315" t="n">
        <v>2</v>
      </c>
    </row>
    <row r="316">
      <c r="A316" t="inlineStr">
        <is>
          <t>parental perception</t>
        </is>
      </c>
      <c r="B316" t="n">
        <v>1</v>
      </c>
    </row>
    <row r="317">
      <c r="A317" t="inlineStr">
        <is>
          <t>rural health</t>
        </is>
      </c>
      <c r="B317" t="n">
        <v>2</v>
      </c>
    </row>
    <row r="318">
      <c r="A318" t="inlineStr">
        <is>
          <t>triangulation</t>
        </is>
      </c>
      <c r="B318" t="n">
        <v>1</v>
      </c>
    </row>
    <row r="319">
      <c r="A319" t="inlineStr">
        <is>
          <t>prevention</t>
        </is>
      </c>
      <c r="B319" t="n">
        <v>4</v>
      </c>
    </row>
    <row r="320">
      <c r="A320" t="inlineStr">
        <is>
          <t>interaction</t>
        </is>
      </c>
      <c r="B320" t="n">
        <v>1</v>
      </c>
    </row>
    <row r="321">
      <c r="A321" t="inlineStr">
        <is>
          <t>scoping review</t>
        </is>
      </c>
      <c r="B321" t="n">
        <v>8</v>
      </c>
    </row>
    <row r="322">
      <c r="A322" t="inlineStr">
        <is>
          <t>review</t>
        </is>
      </c>
      <c r="B322" t="n">
        <v>4</v>
      </c>
    </row>
    <row r="323">
      <c r="A323" t="inlineStr">
        <is>
          <t>active travel</t>
        </is>
      </c>
      <c r="B323" t="n">
        <v>8</v>
      </c>
    </row>
    <row r="324">
      <c r="A324" t="inlineStr">
        <is>
          <t>personal projects</t>
        </is>
      </c>
      <c r="B324" t="n">
        <v>1</v>
      </c>
    </row>
    <row r="325">
      <c r="A325" t="inlineStr">
        <is>
          <t>activity space</t>
        </is>
      </c>
      <c r="B325" t="n">
        <v>4</v>
      </c>
    </row>
    <row r="326">
      <c r="A326" t="inlineStr">
        <is>
          <t>public participatory gis (ppgis)</t>
        </is>
      </c>
      <c r="B326" t="n">
        <v>1</v>
      </c>
    </row>
    <row r="327">
      <c r="A327" t="inlineStr">
        <is>
          <t>common cold</t>
        </is>
      </c>
      <c r="B327" t="n">
        <v>1</v>
      </c>
    </row>
    <row r="328">
      <c r="A328" t="inlineStr">
        <is>
          <t>children</t>
        </is>
      </c>
      <c r="B328" t="n">
        <v>32</v>
      </c>
    </row>
    <row r="329">
      <c r="A329" t="inlineStr">
        <is>
          <t>symptom</t>
        </is>
      </c>
      <c r="B329" t="n">
        <v>1</v>
      </c>
    </row>
    <row r="330">
      <c r="A330" t="inlineStr">
        <is>
          <t>prevalence</t>
        </is>
      </c>
      <c r="B330" t="n">
        <v>10</v>
      </c>
    </row>
    <row r="331">
      <c r="A331" t="inlineStr">
        <is>
          <t>duration</t>
        </is>
      </c>
      <c r="B331" t="n">
        <v>1</v>
      </c>
    </row>
    <row r="332">
      <c r="A332" t="inlineStr">
        <is>
          <t>old residential communities</t>
        </is>
      </c>
      <c r="B332" t="n">
        <v>1</v>
      </c>
    </row>
    <row r="333">
      <c r="A333" t="inlineStr">
        <is>
          <t>outdoor living environment</t>
        </is>
      </c>
      <c r="B333" t="n">
        <v>1</v>
      </c>
    </row>
    <row r="334">
      <c r="A334" t="inlineStr">
        <is>
          <t>citespace</t>
        </is>
      </c>
      <c r="B334" t="n">
        <v>2</v>
      </c>
    </row>
    <row r="335">
      <c r="A335" t="inlineStr">
        <is>
          <t>school</t>
        </is>
      </c>
      <c r="B335" t="n">
        <v>10</v>
      </c>
    </row>
    <row r="336">
      <c r="A336" t="inlineStr">
        <is>
          <t>parks</t>
        </is>
      </c>
      <c r="B336" t="n">
        <v>5</v>
      </c>
    </row>
    <row r="337">
      <c r="A337" t="inlineStr">
        <is>
          <t>recreation</t>
        </is>
      </c>
      <c r="B337" t="n">
        <v>2</v>
      </c>
    </row>
    <row r="338">
      <c r="A338" t="inlineStr">
        <is>
          <t>exercise</t>
        </is>
      </c>
      <c r="B338" t="n">
        <v>23</v>
      </c>
    </row>
    <row r="339">
      <c r="A339" t="inlineStr">
        <is>
          <t>infrastructure</t>
        </is>
      </c>
      <c r="B339" t="n">
        <v>7</v>
      </c>
    </row>
    <row r="340">
      <c r="A340" t="inlineStr">
        <is>
          <t>community gardens</t>
        </is>
      </c>
      <c r="B340" t="n">
        <v>1</v>
      </c>
    </row>
    <row r="341">
      <c r="A341" t="inlineStr">
        <is>
          <t>the built environment</t>
        </is>
      </c>
      <c r="B341" t="n">
        <v>4</v>
      </c>
    </row>
    <row r="342">
      <c r="A342" t="inlineStr">
        <is>
          <t>the geographically weighted regression model</t>
        </is>
      </c>
      <c r="B342" t="n">
        <v>1</v>
      </c>
    </row>
    <row r="343">
      <c r="A343" t="inlineStr">
        <is>
          <t>strava</t>
        </is>
      </c>
      <c r="B343" t="n">
        <v>2</v>
      </c>
    </row>
    <row r="344">
      <c r="A344" t="inlineStr">
        <is>
          <t>street view data</t>
        </is>
      </c>
      <c r="B344" t="n">
        <v>1</v>
      </c>
    </row>
    <row r="345">
      <c r="A345" t="inlineStr">
        <is>
          <t>street greenery</t>
        </is>
      </c>
      <c r="B345" t="n">
        <v>3</v>
      </c>
    </row>
    <row r="346">
      <c r="A346" t="inlineStr">
        <is>
          <t>physical activity diversity</t>
        </is>
      </c>
      <c r="B346" t="n">
        <v>1</v>
      </c>
    </row>
    <row r="347">
      <c r="A347" t="inlineStr">
        <is>
          <t>residential built environment</t>
        </is>
      </c>
      <c r="B347" t="n">
        <v>1</v>
      </c>
    </row>
    <row r="348">
      <c r="A348" t="inlineStr">
        <is>
          <t>high-density city</t>
        </is>
      </c>
      <c r="B348" t="n">
        <v>1</v>
      </c>
    </row>
    <row r="349">
      <c r="A349" t="inlineStr">
        <is>
          <t>over 60 years old</t>
        </is>
      </c>
      <c r="B349" t="n">
        <v>1</v>
      </c>
    </row>
    <row r="350">
      <c r="A350" t="inlineStr">
        <is>
          <t>leisure time</t>
        </is>
      </c>
      <c r="B350" t="n">
        <v>2</v>
      </c>
    </row>
    <row r="351">
      <c r="A351" t="inlineStr">
        <is>
          <t>correlates</t>
        </is>
      </c>
      <c r="B351" t="n">
        <v>4</v>
      </c>
    </row>
    <row r="352">
      <c r="A352" t="inlineStr">
        <is>
          <t>interior environment design</t>
        </is>
      </c>
      <c r="B352" t="n">
        <v>1</v>
      </c>
    </row>
    <row r="353">
      <c r="A353" t="inlineStr">
        <is>
          <t>low energy consumption</t>
        </is>
      </c>
      <c r="B353" t="n">
        <v>1</v>
      </c>
    </row>
    <row r="354">
      <c r="A354" t="inlineStr">
        <is>
          <t>thermal neutral temperature</t>
        </is>
      </c>
      <c r="B354" t="n">
        <v>1</v>
      </c>
    </row>
    <row r="355">
      <c r="A355" t="inlineStr">
        <is>
          <t>scheme optimization</t>
        </is>
      </c>
      <c r="B355" t="n">
        <v>1</v>
      </c>
    </row>
    <row r="356">
      <c r="A356" t="inlineStr">
        <is>
          <t>systematic review</t>
        </is>
      </c>
      <c r="B356" t="n">
        <v>15</v>
      </c>
    </row>
    <row r="357">
      <c r="A357" t="inlineStr">
        <is>
          <t>meta-synthesis</t>
        </is>
      </c>
      <c r="B357" t="n">
        <v>1</v>
      </c>
    </row>
    <row r="358">
      <c r="A358" t="inlineStr">
        <is>
          <t>walking for recreation</t>
        </is>
      </c>
      <c r="B358" t="n">
        <v>2</v>
      </c>
    </row>
    <row r="359">
      <c r="A359" t="inlineStr">
        <is>
          <t>older people</t>
        </is>
      </c>
      <c r="B359" t="n">
        <v>17</v>
      </c>
    </row>
    <row r="360">
      <c r="A360" t="inlineStr">
        <is>
          <t>computer-simulated experiment</t>
        </is>
      </c>
      <c r="B360" t="n">
        <v>1</v>
      </c>
    </row>
    <row r="361">
      <c r="A361" t="inlineStr">
        <is>
          <t>ozone</t>
        </is>
      </c>
      <c r="B361" t="n">
        <v>10</v>
      </c>
    </row>
    <row r="362">
      <c r="A362" t="inlineStr">
        <is>
          <t>skin-oils</t>
        </is>
      </c>
      <c r="B362" t="n">
        <v>1</v>
      </c>
    </row>
    <row r="363">
      <c r="A363" t="inlineStr">
        <is>
          <t>particles</t>
        </is>
      </c>
      <c r="B363" t="n">
        <v>5</v>
      </c>
    </row>
    <row r="364">
      <c r="A364" t="inlineStr">
        <is>
          <t>nucleation</t>
        </is>
      </c>
      <c r="B364" t="n">
        <v>1</v>
      </c>
    </row>
    <row r="365">
      <c r="A365" t="inlineStr">
        <is>
          <t>condensation</t>
        </is>
      </c>
      <c r="B365" t="n">
        <v>2</v>
      </c>
    </row>
    <row r="366">
      <c r="A366" t="inlineStr">
        <is>
          <t>restorative</t>
        </is>
      </c>
      <c r="B366" t="n">
        <v>1</v>
      </c>
    </row>
    <row r="367">
      <c r="A367" t="inlineStr">
        <is>
          <t>biophilia</t>
        </is>
      </c>
      <c r="B367" t="n">
        <v>4</v>
      </c>
    </row>
    <row r="368">
      <c r="A368" t="inlineStr">
        <is>
          <t>home care</t>
        </is>
      </c>
      <c r="B368" t="n">
        <v>2</v>
      </c>
    </row>
    <row r="369">
      <c r="A369" t="inlineStr">
        <is>
          <t>non-pharmacological interventions</t>
        </is>
      </c>
      <c r="B369" t="n">
        <v>1</v>
      </c>
    </row>
    <row r="370">
      <c r="A370" t="inlineStr">
        <is>
          <t>self-management</t>
        </is>
      </c>
      <c r="B370" t="n">
        <v>1</v>
      </c>
    </row>
    <row r="371">
      <c r="A371" t="inlineStr">
        <is>
          <t>neurological disorders</t>
        </is>
      </c>
      <c r="B371" t="n">
        <v>1</v>
      </c>
    </row>
    <row r="372">
      <c r="A372" t="inlineStr">
        <is>
          <t>design and health</t>
        </is>
      </c>
      <c r="B372" t="n">
        <v>2</v>
      </c>
    </row>
    <row r="373">
      <c r="A373" t="inlineStr">
        <is>
          <t>bim</t>
        </is>
      </c>
      <c r="B373" t="n">
        <v>6</v>
      </c>
    </row>
    <row r="374">
      <c r="A374" t="inlineStr">
        <is>
          <t>materials</t>
        </is>
      </c>
      <c r="B374" t="n">
        <v>3</v>
      </c>
    </row>
    <row r="375">
      <c r="A375" t="inlineStr">
        <is>
          <t>voc emission</t>
        </is>
      </c>
      <c r="B375" t="n">
        <v>1</v>
      </c>
    </row>
    <row r="376">
      <c r="A376" t="inlineStr">
        <is>
          <t>iaq</t>
        </is>
      </c>
      <c r="B376" t="n">
        <v>9</v>
      </c>
    </row>
    <row r="377">
      <c r="A377" t="inlineStr">
        <is>
          <t>building design</t>
        </is>
      </c>
      <c r="B377" t="n">
        <v>4</v>
      </c>
    </row>
    <row r="378">
      <c r="A378" t="inlineStr">
        <is>
          <t>social capital</t>
        </is>
      </c>
      <c r="B378" t="n">
        <v>10</v>
      </c>
    </row>
    <row r="379">
      <c r="A379" t="inlineStr">
        <is>
          <t>pedestrian environment</t>
        </is>
      </c>
      <c r="B379" t="n">
        <v>1</v>
      </c>
    </row>
    <row r="380">
      <c r="A380" t="inlineStr">
        <is>
          <t>environment friendly</t>
        </is>
      </c>
      <c r="B380" t="n">
        <v>1</v>
      </c>
    </row>
    <row r="381">
      <c r="A381" t="inlineStr">
        <is>
          <t>community</t>
        </is>
      </c>
      <c r="B381" t="n">
        <v>11</v>
      </c>
    </row>
    <row r="382">
      <c r="A382" t="inlineStr">
        <is>
          <t>persistence</t>
        </is>
      </c>
      <c r="B382" t="n">
        <v>2</v>
      </c>
    </row>
    <row r="383">
      <c r="A383" t="inlineStr">
        <is>
          <t>rural dwellings</t>
        </is>
      </c>
      <c r="B383" t="n">
        <v>2</v>
      </c>
    </row>
    <row r="384">
      <c r="A384" t="inlineStr">
        <is>
          <t>indoor thermal environment</t>
        </is>
      </c>
      <c r="B384" t="n">
        <v>13</v>
      </c>
    </row>
    <row r="385">
      <c r="A385" t="inlineStr">
        <is>
          <t>pet</t>
        </is>
      </c>
      <c r="B385" t="n">
        <v>3</v>
      </c>
    </row>
    <row r="386">
      <c r="A386" t="inlineStr">
        <is>
          <t>optimization strategy</t>
        </is>
      </c>
      <c r="B386" t="n">
        <v>1</v>
      </c>
    </row>
    <row r="387">
      <c r="A387" t="inlineStr">
        <is>
          <t>objective characteristics</t>
        </is>
      </c>
      <c r="B387" t="n">
        <v>1</v>
      </c>
    </row>
    <row r="388">
      <c r="A388" t="inlineStr">
        <is>
          <t>subjective perception</t>
        </is>
      </c>
      <c r="B388" t="n">
        <v>1</v>
      </c>
    </row>
    <row r="389">
      <c r="A389" t="inlineStr">
        <is>
          <t>structural equation modelling</t>
        </is>
      </c>
      <c r="B389" t="n">
        <v>1</v>
      </c>
    </row>
    <row r="390">
      <c r="A390" t="inlineStr">
        <is>
          <t>exposure area</t>
        </is>
      </c>
      <c r="B390" t="n">
        <v>1</v>
      </c>
    </row>
    <row r="391">
      <c r="A391" t="inlineStr">
        <is>
          <t>aluminum</t>
        </is>
      </c>
      <c r="B391" t="n">
        <v>1</v>
      </c>
    </row>
    <row r="392">
      <c r="A392" t="inlineStr">
        <is>
          <t>cigarette</t>
        </is>
      </c>
      <c r="B392" t="n">
        <v>1</v>
      </c>
    </row>
    <row r="393">
      <c r="A393" t="inlineStr">
        <is>
          <t>heavy metal</t>
        </is>
      </c>
      <c r="B393" t="n">
        <v>1</v>
      </c>
    </row>
    <row r="394">
      <c r="A394" t="inlineStr">
        <is>
          <t>indoor plant</t>
        </is>
      </c>
      <c r="B394" t="n">
        <v>1</v>
      </c>
    </row>
    <row r="395">
      <c r="A395" t="inlineStr">
        <is>
          <t>traffic</t>
        </is>
      </c>
      <c r="B395" t="n">
        <v>4</v>
      </c>
    </row>
    <row r="396">
      <c r="A396" t="inlineStr">
        <is>
          <t>neighborhood factors</t>
        </is>
      </c>
      <c r="B396" t="n">
        <v>1</v>
      </c>
    </row>
    <row r="397">
      <c r="A397" t="inlineStr">
        <is>
          <t>social cohesion</t>
        </is>
      </c>
      <c r="B397" t="n">
        <v>3</v>
      </c>
    </row>
    <row r="398">
      <c r="A398" t="inlineStr">
        <is>
          <t>physical disorder</t>
        </is>
      </c>
      <c r="B398" t="n">
        <v>2</v>
      </c>
    </row>
    <row r="399">
      <c r="A399" t="inlineStr">
        <is>
          <t>fall events</t>
        </is>
      </c>
      <c r="B399" t="n">
        <v>1</v>
      </c>
    </row>
    <row r="400">
      <c r="A400" t="inlineStr">
        <is>
          <t>aging</t>
        </is>
      </c>
      <c r="B400" t="n">
        <v>29</v>
      </c>
    </row>
    <row r="401">
      <c r="A401" t="inlineStr">
        <is>
          <t>sedentary behavior</t>
        </is>
      </c>
      <c r="B401" t="n">
        <v>11</v>
      </c>
    </row>
    <row r="402">
      <c r="A402" t="inlineStr">
        <is>
          <t>rural</t>
        </is>
      </c>
      <c r="B402" t="n">
        <v>10</v>
      </c>
    </row>
    <row r="403">
      <c r="A403" t="inlineStr">
        <is>
          <t>nutrition</t>
        </is>
      </c>
      <c r="B403" t="n">
        <v>7</v>
      </c>
    </row>
    <row r="404">
      <c r="A404" t="inlineStr">
        <is>
          <t>indoor environments</t>
        </is>
      </c>
      <c r="B404" t="n">
        <v>2</v>
      </c>
    </row>
    <row r="405">
      <c r="A405" t="inlineStr">
        <is>
          <t>heat stress</t>
        </is>
      </c>
      <c r="B405" t="n">
        <v>2</v>
      </c>
    </row>
    <row r="406">
      <c r="A406" t="inlineStr">
        <is>
          <t>climate change</t>
        </is>
      </c>
      <c r="B406" t="n">
        <v>19</v>
      </c>
    </row>
    <row r="407">
      <c r="A407" t="inlineStr">
        <is>
          <t>urban heat island</t>
        </is>
      </c>
      <c r="B407" t="n">
        <v>4</v>
      </c>
    </row>
    <row r="408">
      <c r="A408" t="inlineStr">
        <is>
          <t>preventive actions</t>
        </is>
      </c>
      <c r="B408" t="n">
        <v>1</v>
      </c>
    </row>
    <row r="409">
      <c r="A409" t="inlineStr">
        <is>
          <t>intervention</t>
        </is>
      </c>
      <c r="B409" t="n">
        <v>4</v>
      </c>
    </row>
    <row r="410">
      <c r="A410" t="inlineStr">
        <is>
          <t>propensity</t>
        </is>
      </c>
      <c r="B410" t="n">
        <v>1</v>
      </c>
    </row>
    <row r="411">
      <c r="A411" t="inlineStr">
        <is>
          <t>comparative study</t>
        </is>
      </c>
      <c r="B411" t="n">
        <v>1</v>
      </c>
    </row>
    <row r="412">
      <c r="A412" t="inlineStr">
        <is>
          <t>factors</t>
        </is>
      </c>
      <c r="B412" t="n">
        <v>1</v>
      </c>
    </row>
    <row r="413">
      <c r="A413" t="inlineStr">
        <is>
          <t>green campus</t>
        </is>
      </c>
      <c r="B413" t="n">
        <v>1</v>
      </c>
    </row>
    <row r="414">
      <c r="A414" t="inlineStr">
        <is>
          <t>motivations</t>
        </is>
      </c>
      <c r="B414" t="n">
        <v>1</v>
      </c>
    </row>
    <row r="415">
      <c r="A415" t="inlineStr">
        <is>
          <t>tropical</t>
        </is>
      </c>
      <c r="B415" t="n">
        <v>1</v>
      </c>
    </row>
    <row r="416">
      <c r="A416" t="inlineStr">
        <is>
          <t>housing</t>
        </is>
      </c>
      <c r="B416" t="n">
        <v>10</v>
      </c>
    </row>
    <row r="417">
      <c r="A417" t="inlineStr">
        <is>
          <t>mould</t>
        </is>
      </c>
      <c r="B417" t="n">
        <v>2</v>
      </c>
    </row>
    <row r="418">
      <c r="A418" t="inlineStr">
        <is>
          <t>asthma</t>
        </is>
      </c>
      <c r="B418" t="n">
        <v>4</v>
      </c>
    </row>
    <row r="419">
      <c r="A419" t="inlineStr">
        <is>
          <t>multi-risk</t>
        </is>
      </c>
      <c r="B419" t="n">
        <v>1</v>
      </c>
    </row>
    <row r="420">
      <c r="A420" t="inlineStr">
        <is>
          <t>biomonitoring</t>
        </is>
      </c>
      <c r="B420" t="n">
        <v>3</v>
      </c>
    </row>
    <row r="421">
      <c r="A421" t="inlineStr">
        <is>
          <t>dermal exposure</t>
        </is>
      </c>
      <c r="B421" t="n">
        <v>1</v>
      </c>
    </row>
    <row r="422">
      <c r="A422" t="inlineStr">
        <is>
          <t>disease</t>
        </is>
      </c>
      <c r="B422" t="n">
        <v>1</v>
      </c>
    </row>
    <row r="423">
      <c r="A423" t="inlineStr">
        <is>
          <t>environmental monitoring</t>
        </is>
      </c>
      <c r="B423" t="n">
        <v>1</v>
      </c>
    </row>
    <row r="424">
      <c r="A424" t="inlineStr">
        <is>
          <t>epidemiology</t>
        </is>
      </c>
      <c r="B424" t="n">
        <v>8</v>
      </c>
    </row>
    <row r="425">
      <c r="A425" t="inlineStr">
        <is>
          <t>personal exposure</t>
        </is>
      </c>
      <c r="B425" t="n">
        <v>1</v>
      </c>
    </row>
    <row r="426">
      <c r="A426" t="inlineStr">
        <is>
          <t>schizophrenia</t>
        </is>
      </c>
      <c r="B426" t="n">
        <v>2</v>
      </c>
    </row>
    <row r="427">
      <c r="A427" t="inlineStr">
        <is>
          <t>rehospitalization</t>
        </is>
      </c>
      <c r="B427" t="n">
        <v>1</v>
      </c>
    </row>
    <row r="428">
      <c r="A428" t="inlineStr">
        <is>
          <t>point of interest</t>
        </is>
      </c>
      <c r="B428" t="n">
        <v>1</v>
      </c>
    </row>
    <row r="429">
      <c r="A429" t="inlineStr">
        <is>
          <t>shanghai</t>
        </is>
      </c>
      <c r="B429" t="n">
        <v>3</v>
      </c>
    </row>
    <row r="430">
      <c r="A430" t="inlineStr">
        <is>
          <t>cultural-led heritage reuse</t>
        </is>
      </c>
      <c r="B430" t="n">
        <v>1</v>
      </c>
    </row>
    <row r="431">
      <c r="A431" t="inlineStr">
        <is>
          <t>built-environment regeneration</t>
        </is>
      </c>
      <c r="B431" t="n">
        <v>1</v>
      </c>
    </row>
    <row r="432">
      <c r="A432" t="inlineStr">
        <is>
          <t>creative enterprises</t>
        </is>
      </c>
      <c r="B432" t="n">
        <v>1</v>
      </c>
    </row>
    <row r="433">
      <c r="A433" t="inlineStr">
        <is>
          <t>extrartis (c)</t>
        </is>
      </c>
      <c r="B433" t="n">
        <v>1</v>
      </c>
    </row>
    <row r="434">
      <c r="A434" t="inlineStr">
        <is>
          <t>sustainability transitions</t>
        </is>
      </c>
      <c r="B434" t="n">
        <v>2</v>
      </c>
    </row>
    <row r="435">
      <c r="A435" t="inlineStr">
        <is>
          <t>sustainable urban transformations</t>
        </is>
      </c>
      <c r="B435" t="n">
        <v>1</v>
      </c>
    </row>
    <row r="436">
      <c r="A436" t="inlineStr">
        <is>
          <t>urban studies</t>
        </is>
      </c>
      <c r="B436" t="n">
        <v>1</v>
      </c>
    </row>
    <row r="437">
      <c r="A437" t="inlineStr">
        <is>
          <t>urban planning</t>
        </is>
      </c>
      <c r="B437" t="n">
        <v>16</v>
      </c>
    </row>
    <row r="438">
      <c r="A438" t="inlineStr">
        <is>
          <t>agency</t>
        </is>
      </c>
      <c r="B438" t="n">
        <v>1</v>
      </c>
    </row>
    <row r="439">
      <c r="A439" t="inlineStr">
        <is>
          <t>covid-19</t>
        </is>
      </c>
      <c r="B439" t="n">
        <v>50</v>
      </c>
    </row>
    <row r="440">
      <c r="A440" t="inlineStr">
        <is>
          <t>decision tree</t>
        </is>
      </c>
      <c r="B440" t="n">
        <v>1</v>
      </c>
    </row>
    <row r="441">
      <c r="A441" t="inlineStr">
        <is>
          <t>logistic regression</t>
        </is>
      </c>
      <c r="B441" t="n">
        <v>1</v>
      </c>
    </row>
    <row r="442">
      <c r="A442" t="inlineStr">
        <is>
          <t>load disturbances</t>
        </is>
      </c>
      <c r="B442" t="n">
        <v>1</v>
      </c>
    </row>
    <row r="443">
      <c r="A443" t="inlineStr">
        <is>
          <t>representative interior load</t>
        </is>
      </c>
      <c r="B443" t="n">
        <v>1</v>
      </c>
    </row>
    <row r="444">
      <c r="A444" t="inlineStr">
        <is>
          <t>consistency check</t>
        </is>
      </c>
      <c r="B444" t="n">
        <v>1</v>
      </c>
    </row>
    <row r="445">
      <c r="A445" t="inlineStr">
        <is>
          <t>university buildings</t>
        </is>
      </c>
      <c r="B445" t="n">
        <v>1</v>
      </c>
    </row>
    <row r="446">
      <c r="A446" t="inlineStr">
        <is>
          <t>building insulation</t>
        </is>
      </c>
      <c r="B446" t="n">
        <v>1</v>
      </c>
    </row>
    <row r="447">
      <c r="A447" t="inlineStr">
        <is>
          <t>indoor air quality</t>
        </is>
      </c>
      <c r="B447" t="n">
        <v>124</v>
      </c>
    </row>
    <row r="448">
      <c r="A448" t="inlineStr">
        <is>
          <t>pollutant concentration</t>
        </is>
      </c>
      <c r="B448" t="n">
        <v>1</v>
      </c>
    </row>
    <row r="449">
      <c r="A449" t="inlineStr">
        <is>
          <t>hazard evaluation</t>
        </is>
      </c>
      <c r="B449" t="n">
        <v>1</v>
      </c>
    </row>
    <row r="450">
      <c r="A450" t="inlineStr">
        <is>
          <t>test bed</t>
        </is>
      </c>
      <c r="B450" t="n">
        <v>1</v>
      </c>
    </row>
    <row r="451">
      <c r="A451" t="inlineStr">
        <is>
          <t>urban resilience</t>
        </is>
      </c>
      <c r="B451" t="n">
        <v>2</v>
      </c>
    </row>
    <row r="452">
      <c r="A452" t="inlineStr">
        <is>
          <t>adaptive planning</t>
        </is>
      </c>
      <c r="B452" t="n">
        <v>1</v>
      </c>
    </row>
    <row r="453">
      <c r="A453" t="inlineStr">
        <is>
          <t>urban floods</t>
        </is>
      </c>
      <c r="B453" t="n">
        <v>1</v>
      </c>
    </row>
    <row r="454">
      <c r="A454" t="inlineStr">
        <is>
          <t>indoor radon</t>
        </is>
      </c>
      <c r="B454" t="n">
        <v>12</v>
      </c>
    </row>
    <row r="455">
      <c r="A455" t="inlineStr">
        <is>
          <t>air quality monitoring</t>
        </is>
      </c>
      <c r="B455" t="n">
        <v>2</v>
      </c>
    </row>
    <row r="456">
      <c r="A456" t="inlineStr">
        <is>
          <t>empirical modeling</t>
        </is>
      </c>
      <c r="B456" t="n">
        <v>1</v>
      </c>
    </row>
    <row r="457">
      <c r="A457" t="inlineStr">
        <is>
          <t>spatiotemporal dynamics</t>
        </is>
      </c>
      <c r="B457" t="n">
        <v>2</v>
      </c>
    </row>
    <row r="458">
      <c r="A458" t="inlineStr">
        <is>
          <t>durability</t>
        </is>
      </c>
      <c r="B458" t="n">
        <v>1</v>
      </c>
    </row>
    <row r="459">
      <c r="A459" t="inlineStr">
        <is>
          <t>google street view</t>
        </is>
      </c>
      <c r="B459" t="n">
        <v>3</v>
      </c>
    </row>
    <row r="460">
      <c r="A460" t="inlineStr">
        <is>
          <t>mortality</t>
        </is>
      </c>
      <c r="B460" t="n">
        <v>10</v>
      </c>
    </row>
    <row r="461">
      <c r="A461" t="inlineStr">
        <is>
          <t>big data</t>
        </is>
      </c>
      <c r="B461" t="n">
        <v>4</v>
      </c>
    </row>
    <row r="462">
      <c r="A462" t="inlineStr">
        <is>
          <t>protests</t>
        </is>
      </c>
      <c r="B462" t="n">
        <v>1</v>
      </c>
    </row>
    <row r="463">
      <c r="A463" t="inlineStr">
        <is>
          <t>urban space</t>
        </is>
      </c>
      <c r="B463" t="n">
        <v>1</v>
      </c>
    </row>
    <row r="464">
      <c r="A464" t="inlineStr">
        <is>
          <t>peaceful protests</t>
        </is>
      </c>
      <c r="B464" t="n">
        <v>1</v>
      </c>
    </row>
    <row r="465">
      <c r="A465" t="inlineStr">
        <is>
          <t>violent protests</t>
        </is>
      </c>
      <c r="B465" t="n">
        <v>1</v>
      </c>
    </row>
    <row r="466">
      <c r="A466" t="inlineStr">
        <is>
          <t>child-friendliness</t>
        </is>
      </c>
      <c r="B466" t="n">
        <v>1</v>
      </c>
    </row>
    <row r="467">
      <c r="A467" t="inlineStr">
        <is>
          <t>landscape architecture</t>
        </is>
      </c>
      <c r="B467" t="n">
        <v>2</v>
      </c>
    </row>
    <row r="468">
      <c r="A468" t="inlineStr">
        <is>
          <t>landscape management</t>
        </is>
      </c>
      <c r="B468" t="n">
        <v>1</v>
      </c>
    </row>
    <row r="469">
      <c r="A469" t="inlineStr">
        <is>
          <t>landscape planning</t>
        </is>
      </c>
      <c r="B469" t="n">
        <v>1</v>
      </c>
    </row>
    <row r="470">
      <c r="A470" t="inlineStr">
        <is>
          <t>socio-physical environments</t>
        </is>
      </c>
      <c r="B470" t="n">
        <v>1</v>
      </c>
    </row>
    <row r="471">
      <c r="A471" t="inlineStr">
        <is>
          <t>mexican american</t>
        </is>
      </c>
      <c r="B471" t="n">
        <v>1</v>
      </c>
    </row>
    <row r="472">
      <c r="A472" t="inlineStr">
        <is>
          <t>population-based study</t>
        </is>
      </c>
      <c r="B472" t="n">
        <v>1</v>
      </c>
    </row>
    <row r="473">
      <c r="A473" t="inlineStr">
        <is>
          <t>leisure</t>
        </is>
      </c>
      <c r="B473" t="n">
        <v>1</v>
      </c>
    </row>
    <row r="474">
      <c r="A474" t="inlineStr">
        <is>
          <t>public open space</t>
        </is>
      </c>
      <c r="B474" t="n">
        <v>1</v>
      </c>
    </row>
    <row r="475">
      <c r="A475" t="inlineStr">
        <is>
          <t>weather</t>
        </is>
      </c>
      <c r="B475" t="n">
        <v>2</v>
      </c>
    </row>
    <row r="476">
      <c r="A476" t="inlineStr">
        <is>
          <t>senior adults</t>
        </is>
      </c>
      <c r="B476" t="n">
        <v>1</v>
      </c>
    </row>
    <row r="477">
      <c r="A477" t="inlineStr">
        <is>
          <t>predimed-plus trial</t>
        </is>
      </c>
      <c r="B477" t="n">
        <v>1</v>
      </c>
    </row>
    <row r="478">
      <c r="A478" t="inlineStr">
        <is>
          <t>health status</t>
        </is>
      </c>
      <c r="B478" t="n">
        <v>5</v>
      </c>
    </row>
    <row r="479">
      <c r="A479" t="inlineStr">
        <is>
          <t>supportive environments</t>
        </is>
      </c>
      <c r="B479" t="n">
        <v>1</v>
      </c>
    </row>
    <row r="480">
      <c r="A480" t="inlineStr">
        <is>
          <t>united states of america</t>
        </is>
      </c>
      <c r="B480" t="n">
        <v>1</v>
      </c>
    </row>
    <row r="481">
      <c r="A481" t="inlineStr">
        <is>
          <t>campania region</t>
        </is>
      </c>
      <c r="B481" t="n">
        <v>1</v>
      </c>
    </row>
    <row r="482">
      <c r="A482" t="inlineStr">
        <is>
          <t>pca</t>
        </is>
      </c>
      <c r="B482" t="n">
        <v>1</v>
      </c>
    </row>
    <row r="483">
      <c r="A483" t="inlineStr">
        <is>
          <t>k-means</t>
        </is>
      </c>
      <c r="B483" t="n">
        <v>1</v>
      </c>
    </row>
    <row r="484">
      <c r="A484" t="inlineStr">
        <is>
          <t>building materials</t>
        </is>
      </c>
      <c r="B484" t="n">
        <v>12</v>
      </c>
    </row>
    <row r="485">
      <c r="A485" t="inlineStr">
        <is>
          <t>stocks</t>
        </is>
      </c>
      <c r="B485" t="n">
        <v>1</v>
      </c>
    </row>
    <row r="486">
      <c r="A486" t="inlineStr">
        <is>
          <t>human development</t>
        </is>
      </c>
      <c r="B486" t="n">
        <v>1</v>
      </c>
    </row>
    <row r="487">
      <c r="A487" t="inlineStr">
        <is>
          <t>greenhouse gas emissions</t>
        </is>
      </c>
      <c r="B487" t="n">
        <v>1</v>
      </c>
    </row>
    <row r="488">
      <c r="A488" t="inlineStr">
        <is>
          <t>residential streets</t>
        </is>
      </c>
      <c r="B488" t="n">
        <v>1</v>
      </c>
    </row>
    <row r="489">
      <c r="A489" t="inlineStr">
        <is>
          <t>health-supportive environment</t>
        </is>
      </c>
      <c r="B489" t="n">
        <v>1</v>
      </c>
    </row>
    <row r="490">
      <c r="A490" t="inlineStr">
        <is>
          <t>residents' walking trips</t>
        </is>
      </c>
      <c r="B490" t="n">
        <v>1</v>
      </c>
    </row>
    <row r="491">
      <c r="A491" t="inlineStr">
        <is>
          <t>spatial elements</t>
        </is>
      </c>
      <c r="B491" t="n">
        <v>1</v>
      </c>
    </row>
    <row r="492">
      <c r="A492" t="inlineStr">
        <is>
          <t>spatiotemporal characteristics</t>
        </is>
      </c>
      <c r="B492" t="n">
        <v>1</v>
      </c>
    </row>
    <row r="493">
      <c r="A493" t="inlineStr">
        <is>
          <t>health needs</t>
        </is>
      </c>
      <c r="B493" t="n">
        <v>1</v>
      </c>
    </row>
    <row r="494">
      <c r="A494" t="inlineStr">
        <is>
          <t>close-range photogrammetry</t>
        </is>
      </c>
      <c r="B494" t="n">
        <v>1</v>
      </c>
    </row>
    <row r="495">
      <c r="A495" t="inlineStr">
        <is>
          <t>heritage</t>
        </is>
      </c>
      <c r="B495" t="n">
        <v>3</v>
      </c>
    </row>
    <row r="496">
      <c r="A496" t="inlineStr">
        <is>
          <t>surface and geometric deformations</t>
        </is>
      </c>
      <c r="B496" t="n">
        <v>1</v>
      </c>
    </row>
    <row r="497">
      <c r="A497" t="inlineStr">
        <is>
          <t>ortho-photographic model</t>
        </is>
      </c>
      <c r="B497" t="n">
        <v>1</v>
      </c>
    </row>
    <row r="498">
      <c r="A498" t="inlineStr">
        <is>
          <t>uzutrakis manor</t>
        </is>
      </c>
      <c r="B498" t="n">
        <v>1</v>
      </c>
    </row>
    <row r="499">
      <c r="A499" t="inlineStr">
        <is>
          <t>subjective assessment</t>
        </is>
      </c>
      <c r="B499" t="n">
        <v>2</v>
      </c>
    </row>
    <row r="500">
      <c r="A500" t="inlineStr">
        <is>
          <t>ppgis</t>
        </is>
      </c>
      <c r="B500" t="n">
        <v>1</v>
      </c>
    </row>
    <row r="501">
      <c r="A501" t="inlineStr">
        <is>
          <t>community social infrastructure</t>
        </is>
      </c>
      <c r="B501" t="n">
        <v>1</v>
      </c>
    </row>
    <row r="502">
      <c r="A502" t="inlineStr">
        <is>
          <t>community street networks</t>
        </is>
      </c>
      <c r="B502" t="n">
        <v>1</v>
      </c>
    </row>
    <row r="503">
      <c r="A503" t="inlineStr">
        <is>
          <t>voc</t>
        </is>
      </c>
      <c r="B503" t="n">
        <v>10</v>
      </c>
    </row>
    <row r="504">
      <c r="A504" t="inlineStr">
        <is>
          <t>box-model</t>
        </is>
      </c>
      <c r="B504" t="n">
        <v>1</v>
      </c>
    </row>
    <row r="505">
      <c r="A505" t="inlineStr">
        <is>
          <t>cfd</t>
        </is>
      </c>
      <c r="B505" t="n">
        <v>5</v>
      </c>
    </row>
    <row r="506">
      <c r="A506" t="inlineStr">
        <is>
          <t>age-friendly community</t>
        </is>
      </c>
      <c r="B506" t="n">
        <v>3</v>
      </c>
    </row>
    <row r="507">
      <c r="A507" t="inlineStr">
        <is>
          <t>livability</t>
        </is>
      </c>
      <c r="B507" t="n">
        <v>2</v>
      </c>
    </row>
    <row r="508">
      <c r="A508" t="inlineStr">
        <is>
          <t>renovation</t>
        </is>
      </c>
      <c r="B508" t="n">
        <v>4</v>
      </c>
    </row>
    <row r="509">
      <c r="A509" t="inlineStr">
        <is>
          <t>building energy simulation</t>
        </is>
      </c>
      <c r="B509" t="n">
        <v>2</v>
      </c>
    </row>
    <row r="510">
      <c r="A510" t="inlineStr">
        <is>
          <t>energy use</t>
        </is>
      </c>
      <c r="B510" t="n">
        <v>1</v>
      </c>
    </row>
    <row r="511">
      <c r="A511" t="inlineStr">
        <is>
          <t>multifamily buildings</t>
        </is>
      </c>
      <c r="B511" t="n">
        <v>1</v>
      </c>
    </row>
    <row r="512">
      <c r="A512" t="inlineStr">
        <is>
          <t>earthquake</t>
        </is>
      </c>
      <c r="B512" t="n">
        <v>3</v>
      </c>
    </row>
    <row r="513">
      <c r="A513" t="inlineStr">
        <is>
          <t>seismic risk assessment</t>
        </is>
      </c>
      <c r="B513" t="n">
        <v>1</v>
      </c>
    </row>
    <row r="514">
      <c r="A514" t="inlineStr">
        <is>
          <t>risk factors</t>
        </is>
      </c>
      <c r="B514" t="n">
        <v>3</v>
      </c>
    </row>
    <row r="515">
      <c r="A515" t="inlineStr">
        <is>
          <t>open space</t>
        </is>
      </c>
      <c r="B515" t="n">
        <v>4</v>
      </c>
    </row>
    <row r="516">
      <c r="A516" t="inlineStr">
        <is>
          <t>outdoor leisure activity</t>
        </is>
      </c>
      <c r="B516" t="n">
        <v>1</v>
      </c>
    </row>
    <row r="517">
      <c r="A517" t="inlineStr">
        <is>
          <t>time-constrains</t>
        </is>
      </c>
      <c r="B517" t="n">
        <v>1</v>
      </c>
    </row>
    <row r="518">
      <c r="A518" t="inlineStr">
        <is>
          <t>park area</t>
        </is>
      </c>
      <c r="B518" t="n">
        <v>1</v>
      </c>
    </row>
    <row r="519">
      <c r="A519" t="inlineStr">
        <is>
          <t>path-analysis</t>
        </is>
      </c>
      <c r="B519" t="n">
        <v>1</v>
      </c>
    </row>
    <row r="520">
      <c r="A520" t="inlineStr">
        <is>
          <t>photovoice</t>
        </is>
      </c>
      <c r="B520" t="n">
        <v>4</v>
      </c>
    </row>
    <row r="521">
      <c r="A521" t="inlineStr">
        <is>
          <t>eating habits</t>
        </is>
      </c>
      <c r="B521" t="n">
        <v>1</v>
      </c>
    </row>
    <row r="522">
      <c r="A522" t="inlineStr">
        <is>
          <t>active transportation</t>
        </is>
      </c>
      <c r="B522" t="n">
        <v>5</v>
      </c>
    </row>
    <row r="523">
      <c r="A523" t="inlineStr">
        <is>
          <t>streets</t>
        </is>
      </c>
      <c r="B523" t="n">
        <v>2</v>
      </c>
    </row>
    <row r="524">
      <c r="A524" t="inlineStr">
        <is>
          <t>meta-narrative review</t>
        </is>
      </c>
      <c r="B524" t="n">
        <v>1</v>
      </c>
    </row>
    <row r="525">
      <c r="A525" t="inlineStr">
        <is>
          <t>non-communicable diseases</t>
        </is>
      </c>
      <c r="B525" t="n">
        <v>3</v>
      </c>
    </row>
    <row r="526">
      <c r="A526" t="inlineStr">
        <is>
          <t>health outcomes</t>
        </is>
      </c>
      <c r="B526" t="n">
        <v>3</v>
      </c>
    </row>
    <row r="527">
      <c r="A527" t="inlineStr">
        <is>
          <t>social sustainability</t>
        </is>
      </c>
      <c r="B527" t="n">
        <v>7</v>
      </c>
    </row>
    <row r="528">
      <c r="A528" t="inlineStr">
        <is>
          <t>motor activity</t>
        </is>
      </c>
      <c r="B528" t="n">
        <v>3</v>
      </c>
    </row>
    <row r="529">
      <c r="A529" t="inlineStr">
        <is>
          <t>environment design</t>
        </is>
      </c>
      <c r="B529" t="n">
        <v>3</v>
      </c>
    </row>
    <row r="530">
      <c r="A530" t="inlineStr">
        <is>
          <t>retirement</t>
        </is>
      </c>
      <c r="B530" t="n">
        <v>4</v>
      </c>
    </row>
    <row r="531">
      <c r="A531" t="inlineStr">
        <is>
          <t>ecological model</t>
        </is>
      </c>
      <c r="B531" t="n">
        <v>5</v>
      </c>
    </row>
    <row r="532">
      <c r="A532" t="inlineStr">
        <is>
          <t>transport</t>
        </is>
      </c>
      <c r="B532" t="n">
        <v>3</v>
      </c>
    </row>
    <row r="533">
      <c r="A533" t="inlineStr">
        <is>
          <t>driving</t>
        </is>
      </c>
      <c r="B533" t="n">
        <v>1</v>
      </c>
    </row>
    <row r="534">
      <c r="A534" t="inlineStr">
        <is>
          <t>environmental management</t>
        </is>
      </c>
      <c r="B534" t="n">
        <v>1</v>
      </c>
    </row>
    <row r="535">
      <c r="A535" t="inlineStr">
        <is>
          <t>indoor built</t>
        </is>
      </c>
      <c r="B535" t="n">
        <v>1</v>
      </c>
    </row>
    <row r="536">
      <c r="A536" t="inlineStr">
        <is>
          <t>indoor ecosystem</t>
        </is>
      </c>
      <c r="B536" t="n">
        <v>1</v>
      </c>
    </row>
    <row r="537">
      <c r="A537" t="inlineStr">
        <is>
          <t>sustainable development</t>
        </is>
      </c>
      <c r="B537" t="n">
        <v>17</v>
      </c>
    </row>
    <row r="538">
      <c r="A538" t="inlineStr">
        <is>
          <t>energy efficiency</t>
        </is>
      </c>
      <c r="B538" t="n">
        <v>10</v>
      </c>
    </row>
    <row r="539">
      <c r="A539" t="inlineStr">
        <is>
          <t>co2 reduction</t>
        </is>
      </c>
      <c r="B539" t="n">
        <v>1</v>
      </c>
    </row>
    <row r="540">
      <c r="A540" t="inlineStr">
        <is>
          <t>health impacts</t>
        </is>
      </c>
      <c r="B540" t="n">
        <v>1</v>
      </c>
    </row>
    <row r="541">
      <c r="A541" t="inlineStr">
        <is>
          <t>rural residential houses</t>
        </is>
      </c>
      <c r="B541" t="n">
        <v>1</v>
      </c>
    </row>
    <row r="542">
      <c r="A542" t="inlineStr">
        <is>
          <t>hot summer and cold winter (hscw) zone</t>
        </is>
      </c>
      <c r="B542" t="n">
        <v>1</v>
      </c>
    </row>
    <row r="543">
      <c r="A543" t="inlineStr">
        <is>
          <t>phase change material</t>
        </is>
      </c>
      <c r="B543" t="n">
        <v>1</v>
      </c>
    </row>
    <row r="544">
      <c r="A544" t="inlineStr">
        <is>
          <t>energy consumption</t>
        </is>
      </c>
      <c r="B544" t="n">
        <v>8</v>
      </c>
    </row>
    <row r="545">
      <c r="A545" t="inlineStr">
        <is>
          <t>participatory research</t>
        </is>
      </c>
      <c r="B545" t="n">
        <v>1</v>
      </c>
    </row>
    <row r="546">
      <c r="A546" t="inlineStr">
        <is>
          <t>who</t>
        </is>
      </c>
      <c r="B546" t="n">
        <v>1</v>
      </c>
    </row>
    <row r="547">
      <c r="A547" t="inlineStr">
        <is>
          <t>health equity</t>
        </is>
      </c>
      <c r="B547" t="n">
        <v>2</v>
      </c>
    </row>
    <row r="548">
      <c r="A548" t="inlineStr">
        <is>
          <t>digital health</t>
        </is>
      </c>
      <c r="B548" t="n">
        <v>3</v>
      </c>
    </row>
    <row r="549">
      <c r="A549" t="inlineStr">
        <is>
          <t>air pollution</t>
        </is>
      </c>
      <c r="B549" t="n">
        <v>33</v>
      </c>
    </row>
    <row r="550">
      <c r="A550" t="inlineStr">
        <is>
          <t>nitrogen dioxide</t>
        </is>
      </c>
      <c r="B550" t="n">
        <v>1</v>
      </c>
    </row>
    <row r="551">
      <c r="A551" t="inlineStr">
        <is>
          <t>sources</t>
        </is>
      </c>
      <c r="B551" t="n">
        <v>2</v>
      </c>
    </row>
    <row r="552">
      <c r="A552" t="inlineStr">
        <is>
          <t>indoor/outdoor ratio</t>
        </is>
      </c>
      <c r="B552" t="n">
        <v>2</v>
      </c>
    </row>
    <row r="553">
      <c r="A553" t="inlineStr">
        <is>
          <t>school environments</t>
        </is>
      </c>
      <c r="B553" t="n">
        <v>2</v>
      </c>
    </row>
    <row r="554">
      <c r="A554" t="inlineStr">
        <is>
          <t>office environments</t>
        </is>
      </c>
      <c r="B554" t="n">
        <v>2</v>
      </c>
    </row>
    <row r="555">
      <c r="A555" t="inlineStr">
        <is>
          <t>sedentary time</t>
        </is>
      </c>
      <c r="B555" t="n">
        <v>4</v>
      </c>
    </row>
    <row r="556">
      <c r="A556" t="inlineStr">
        <is>
          <t>radon</t>
        </is>
      </c>
      <c r="B556" t="n">
        <v>7</v>
      </c>
    </row>
    <row r="557">
      <c r="A557" t="inlineStr">
        <is>
          <t>building regulation</t>
        </is>
      </c>
      <c r="B557" t="n">
        <v>1</v>
      </c>
    </row>
    <row r="558">
      <c r="A558" t="inlineStr">
        <is>
          <t>radon prone area</t>
        </is>
      </c>
      <c r="B558" t="n">
        <v>3</v>
      </c>
    </row>
    <row r="559">
      <c r="A559" t="inlineStr">
        <is>
          <t>architectural style</t>
        </is>
      </c>
      <c r="B559" t="n">
        <v>2</v>
      </c>
    </row>
    <row r="560">
      <c r="A560" t="inlineStr">
        <is>
          <t>remote sensing</t>
        </is>
      </c>
      <c r="B560" t="n">
        <v>7</v>
      </c>
    </row>
    <row r="561">
      <c r="A561" t="inlineStr">
        <is>
          <t>urban-built-environment assessment</t>
        </is>
      </c>
      <c r="B561" t="n">
        <v>1</v>
      </c>
    </row>
    <row r="562">
      <c r="A562" t="inlineStr">
        <is>
          <t>spatial cognition</t>
        </is>
      </c>
      <c r="B562" t="n">
        <v>1</v>
      </c>
    </row>
    <row r="563">
      <c r="A563" t="inlineStr">
        <is>
          <t>image understanding</t>
        </is>
      </c>
      <c r="B563" t="n">
        <v>1</v>
      </c>
    </row>
    <row r="564">
      <c r="A564" t="inlineStr">
        <is>
          <t>indoor plants</t>
        </is>
      </c>
      <c r="B564" t="n">
        <v>7</v>
      </c>
    </row>
    <row r="565">
      <c r="A565" t="inlineStr">
        <is>
          <t>people-plant interactions</t>
        </is>
      </c>
      <c r="B565" t="n">
        <v>1</v>
      </c>
    </row>
    <row r="566">
      <c r="A566" t="inlineStr">
        <is>
          <t>questionnaire</t>
        </is>
      </c>
      <c r="B566" t="n">
        <v>7</v>
      </c>
    </row>
    <row r="567">
      <c r="A567" t="inlineStr">
        <is>
          <t>preference</t>
        </is>
      </c>
      <c r="B567" t="n">
        <v>1</v>
      </c>
    </row>
    <row r="568">
      <c r="A568" t="inlineStr">
        <is>
          <t>socioeconomic status</t>
        </is>
      </c>
      <c r="B568" t="n">
        <v>10</v>
      </c>
    </row>
    <row r="569">
      <c r="A569" t="inlineStr">
        <is>
          <t>social support</t>
        </is>
      </c>
      <c r="B569" t="n">
        <v>12</v>
      </c>
    </row>
    <row r="570">
      <c r="A570" t="inlineStr">
        <is>
          <t>active commuting</t>
        </is>
      </c>
      <c r="B570" t="n">
        <v>3</v>
      </c>
    </row>
    <row r="571">
      <c r="A571" t="inlineStr">
        <is>
          <t>public transit</t>
        </is>
      </c>
      <c r="B571" t="n">
        <v>2</v>
      </c>
    </row>
    <row r="572">
      <c r="A572" t="inlineStr">
        <is>
          <t>adult</t>
        </is>
      </c>
      <c r="B572" t="n">
        <v>2</v>
      </c>
    </row>
    <row r="573">
      <c r="A573" t="inlineStr">
        <is>
          <t>surveys and questionnaires</t>
        </is>
      </c>
      <c r="B573" t="n">
        <v>1</v>
      </c>
    </row>
    <row r="574">
      <c r="A574" t="inlineStr">
        <is>
          <t>compact city</t>
        </is>
      </c>
      <c r="B574" t="n">
        <v>2</v>
      </c>
    </row>
    <row r="575">
      <c r="A575" t="inlineStr">
        <is>
          <t>metropolitan scale</t>
        </is>
      </c>
      <c r="B575" t="n">
        <v>1</v>
      </c>
    </row>
    <row r="576">
      <c r="A576" t="inlineStr">
        <is>
          <t>hygienic city</t>
        </is>
      </c>
      <c r="B576" t="n">
        <v>1</v>
      </c>
    </row>
    <row r="577">
      <c r="A577" t="inlineStr">
        <is>
          <t>cancer</t>
        </is>
      </c>
      <c r="B577" t="n">
        <v>1</v>
      </c>
    </row>
    <row r="578">
      <c r="A578" t="inlineStr">
        <is>
          <t>facade</t>
        </is>
      </c>
      <c r="B578" t="n">
        <v>1</v>
      </c>
    </row>
    <row r="579">
      <c r="A579" t="inlineStr">
        <is>
          <t>building envelope</t>
        </is>
      </c>
      <c r="B579" t="n">
        <v>4</v>
      </c>
    </row>
    <row r="580">
      <c r="A580" t="inlineStr">
        <is>
          <t>acoustic environment</t>
        </is>
      </c>
      <c r="B580" t="n">
        <v>1</v>
      </c>
    </row>
    <row r="581">
      <c r="A581" t="inlineStr">
        <is>
          <t>soundscape</t>
        </is>
      </c>
      <c r="B581" t="n">
        <v>2</v>
      </c>
    </row>
    <row r="582">
      <c r="A582" t="inlineStr">
        <is>
          <t>urban comfort</t>
        </is>
      </c>
      <c r="B582" t="n">
        <v>1</v>
      </c>
    </row>
    <row r="583">
      <c r="A583" t="inlineStr">
        <is>
          <t>bullying</t>
        </is>
      </c>
      <c r="B583" t="n">
        <v>1</v>
      </c>
    </row>
    <row r="584">
      <c r="A584" t="inlineStr">
        <is>
          <t>peer victimisation</t>
        </is>
      </c>
      <c r="B584" t="n">
        <v>1</v>
      </c>
    </row>
    <row r="585">
      <c r="A585" t="inlineStr">
        <is>
          <t>conceptual model</t>
        </is>
      </c>
      <c r="B585" t="n">
        <v>1</v>
      </c>
    </row>
    <row r="586">
      <c r="A586" t="inlineStr">
        <is>
          <t>prospective cohort study</t>
        </is>
      </c>
      <c r="B586" t="n">
        <v>1</v>
      </c>
    </row>
    <row r="587">
      <c r="A587" t="inlineStr">
        <is>
          <t>geographic information system (gis)</t>
        </is>
      </c>
      <c r="B587" t="n">
        <v>2</v>
      </c>
    </row>
    <row r="588">
      <c r="A588" t="inlineStr">
        <is>
          <t>floor area ratios</t>
        </is>
      </c>
      <c r="B588" t="n">
        <v>1</v>
      </c>
    </row>
    <row r="589">
      <c r="A589" t="inlineStr">
        <is>
          <t>envi-met</t>
        </is>
      </c>
      <c r="B589" t="n">
        <v>1</v>
      </c>
    </row>
    <row r="590">
      <c r="A590" t="inlineStr">
        <is>
          <t>residential environment</t>
        </is>
      </c>
      <c r="B590" t="n">
        <v>5</v>
      </c>
    </row>
    <row r="591">
      <c r="A591" t="inlineStr">
        <is>
          <t>neighborhood interaction</t>
        </is>
      </c>
      <c r="B591" t="n">
        <v>1</v>
      </c>
    </row>
    <row r="592">
      <c r="A592" t="inlineStr">
        <is>
          <t>outdoor exercise</t>
        </is>
      </c>
      <c r="B592" t="n">
        <v>1</v>
      </c>
    </row>
    <row r="593">
      <c r="A593" t="inlineStr">
        <is>
          <t>age groups</t>
        </is>
      </c>
      <c r="B593" t="n">
        <v>1</v>
      </c>
    </row>
    <row r="594">
      <c r="A594" t="inlineStr">
        <is>
          <t>the life quality of older adults</t>
        </is>
      </c>
      <c r="B594" t="n">
        <v>1</v>
      </c>
    </row>
    <row r="595">
      <c r="A595" t="inlineStr">
        <is>
          <t>indoor air quality (iaq)</t>
        </is>
      </c>
      <c r="B595" t="n">
        <v>12</v>
      </c>
    </row>
    <row r="596">
      <c r="A596" t="inlineStr">
        <is>
          <t>air pollutants</t>
        </is>
      </c>
      <c r="B596" t="n">
        <v>11</v>
      </c>
    </row>
    <row r="597">
      <c r="A597" t="inlineStr">
        <is>
          <t>indoor environment quality (ieq)</t>
        </is>
      </c>
      <c r="B597" t="n">
        <v>3</v>
      </c>
    </row>
    <row r="598">
      <c r="A598" t="inlineStr">
        <is>
          <t>reference values</t>
        </is>
      </c>
      <c r="B598" t="n">
        <v>1</v>
      </c>
    </row>
    <row r="599">
      <c r="A599" t="inlineStr">
        <is>
          <t>guidelines values</t>
        </is>
      </c>
      <c r="B599" t="n">
        <v>1</v>
      </c>
    </row>
    <row r="600">
      <c r="A600" t="inlineStr">
        <is>
          <t>international regulations</t>
        </is>
      </c>
      <c r="B600" t="n">
        <v>1</v>
      </c>
    </row>
    <row r="601">
      <c r="A601" t="inlineStr">
        <is>
          <t>perspectives in iaq</t>
        </is>
      </c>
      <c r="B601" t="n">
        <v>1</v>
      </c>
    </row>
    <row r="602">
      <c r="A602" t="inlineStr">
        <is>
          <t>chemical contaminants</t>
        </is>
      </c>
      <c r="B602" t="n">
        <v>1</v>
      </c>
    </row>
    <row r="603">
      <c r="A603" t="inlineStr">
        <is>
          <t>complex environment</t>
        </is>
      </c>
      <c r="B603" t="n">
        <v>1</v>
      </c>
    </row>
    <row r="604">
      <c r="A604" t="inlineStr">
        <is>
          <t>environmental protection</t>
        </is>
      </c>
      <c r="B604" t="n">
        <v>1</v>
      </c>
    </row>
    <row r="605">
      <c r="A605" t="inlineStr">
        <is>
          <t>green energy-saving building</t>
        </is>
      </c>
      <c r="B605" t="n">
        <v>1</v>
      </c>
    </row>
    <row r="606">
      <c r="A606" t="inlineStr">
        <is>
          <t>apriori algorithm</t>
        </is>
      </c>
      <c r="B606" t="n">
        <v>1</v>
      </c>
    </row>
    <row r="607">
      <c r="A607" t="inlineStr">
        <is>
          <t>radermachera hainanensis merr</t>
        </is>
      </c>
      <c r="B607" t="n">
        <v>1</v>
      </c>
    </row>
    <row r="608">
      <c r="A608" t="inlineStr">
        <is>
          <t>carbon dioxide</t>
        </is>
      </c>
      <c r="B608" t="n">
        <v>9</v>
      </c>
    </row>
    <row r="609">
      <c r="A609" t="inlineStr">
        <is>
          <t>humidity</t>
        </is>
      </c>
      <c r="B609" t="n">
        <v>5</v>
      </c>
    </row>
    <row r="610">
      <c r="A610" t="inlineStr">
        <is>
          <t>fine particulate matters</t>
        </is>
      </c>
      <c r="B610" t="n">
        <v>1</v>
      </c>
    </row>
    <row r="611">
      <c r="A611" t="inlineStr">
        <is>
          <t>suspended particles</t>
        </is>
      </c>
      <c r="B611" t="n">
        <v>1</v>
      </c>
    </row>
    <row r="612">
      <c r="A612" t="inlineStr">
        <is>
          <t>temperature</t>
        </is>
      </c>
      <c r="B612" t="n">
        <v>11</v>
      </c>
    </row>
    <row r="613">
      <c r="A613" t="inlineStr">
        <is>
          <t>total walking</t>
        </is>
      </c>
      <c r="B613" t="n">
        <v>1</v>
      </c>
    </row>
    <row r="614">
      <c r="A614" t="inlineStr">
        <is>
          <t>moderator</t>
        </is>
      </c>
      <c r="B614" t="n">
        <v>1</v>
      </c>
    </row>
    <row r="615">
      <c r="A615" t="inlineStr">
        <is>
          <t>household lifecycle stage</t>
        </is>
      </c>
      <c r="B615" t="n">
        <v>1</v>
      </c>
    </row>
    <row r="616">
      <c r="A616" t="inlineStr">
        <is>
          <t>japan</t>
        </is>
      </c>
      <c r="B616" t="n">
        <v>4</v>
      </c>
    </row>
    <row r="617">
      <c r="A617" t="inlineStr">
        <is>
          <t>office cooling system</t>
        </is>
      </c>
      <c r="B617" t="n">
        <v>1</v>
      </c>
    </row>
    <row r="618">
      <c r="A618" t="inlineStr">
        <is>
          <t>recovery time</t>
        </is>
      </c>
      <c r="B618" t="n">
        <v>1</v>
      </c>
    </row>
    <row r="619">
      <c r="A619" t="inlineStr">
        <is>
          <t>restart time</t>
        </is>
      </c>
      <c r="B619" t="n">
        <v>1</v>
      </c>
    </row>
    <row r="620">
      <c r="A620" t="inlineStr">
        <is>
          <t>capacity</t>
        </is>
      </c>
      <c r="B620" t="n">
        <v>2</v>
      </c>
    </row>
    <row r="621">
      <c r="A621" t="inlineStr">
        <is>
          <t>energy simulation</t>
        </is>
      </c>
      <c r="B621" t="n">
        <v>2</v>
      </c>
    </row>
    <row r="622">
      <c r="A622" t="inlineStr">
        <is>
          <t>building information modeling</t>
        </is>
      </c>
      <c r="B622" t="n">
        <v>5</v>
      </c>
    </row>
    <row r="623">
      <c r="A623" t="inlineStr">
        <is>
          <t>carbon footprint</t>
        </is>
      </c>
      <c r="B623" t="n">
        <v>1</v>
      </c>
    </row>
    <row r="624">
      <c r="A624" t="inlineStr">
        <is>
          <t>environmental impact</t>
        </is>
      </c>
      <c r="B624" t="n">
        <v>1</v>
      </c>
    </row>
    <row r="625">
      <c r="A625" t="inlineStr">
        <is>
          <t>housing sector</t>
        </is>
      </c>
      <c r="B625" t="n">
        <v>1</v>
      </c>
    </row>
    <row r="626">
      <c r="A626" t="inlineStr">
        <is>
          <t>operational co2</t>
        </is>
      </c>
      <c r="B626" t="n">
        <v>1</v>
      </c>
    </row>
    <row r="627">
      <c r="A627" t="inlineStr">
        <is>
          <t>tropical climate</t>
        </is>
      </c>
      <c r="B627" t="n">
        <v>1</v>
      </c>
    </row>
    <row r="628">
      <c r="A628" t="inlineStr">
        <is>
          <t>school travel</t>
        </is>
      </c>
      <c r="B628" t="n">
        <v>2</v>
      </c>
    </row>
    <row r="629">
      <c r="A629" t="inlineStr">
        <is>
          <t>the multinomial logit model</t>
        </is>
      </c>
      <c r="B629" t="n">
        <v>1</v>
      </c>
    </row>
    <row r="630">
      <c r="A630" t="inlineStr">
        <is>
          <t>data linkage</t>
        </is>
      </c>
      <c r="B630" t="n">
        <v>1</v>
      </c>
    </row>
    <row r="631">
      <c r="A631" t="inlineStr">
        <is>
          <t>early childhood development</t>
        </is>
      </c>
      <c r="B631" t="n">
        <v>1</v>
      </c>
    </row>
    <row r="632">
      <c r="A632" t="inlineStr">
        <is>
          <t>indicators</t>
        </is>
      </c>
      <c r="B632" t="n">
        <v>1</v>
      </c>
    </row>
    <row r="633">
      <c r="A633" t="inlineStr">
        <is>
          <t>cerebrovascular disease</t>
        </is>
      </c>
      <c r="B633" t="n">
        <v>1</v>
      </c>
    </row>
    <row r="634">
      <c r="A634" t="inlineStr">
        <is>
          <t>stroke rehabilitation</t>
        </is>
      </c>
      <c r="B634" t="n">
        <v>1</v>
      </c>
    </row>
    <row r="635">
      <c r="A635" t="inlineStr">
        <is>
          <t>walk-friendly environment</t>
        </is>
      </c>
      <c r="B635" t="n">
        <v>1</v>
      </c>
    </row>
    <row r="636">
      <c r="A636" t="inlineStr">
        <is>
          <t>mobility limitation</t>
        </is>
      </c>
      <c r="B636" t="n">
        <v>2</v>
      </c>
    </row>
    <row r="637">
      <c r="A637" t="inlineStr">
        <is>
          <t>ferry terminal</t>
        </is>
      </c>
      <c r="B637" t="n">
        <v>1</v>
      </c>
    </row>
    <row r="638">
      <c r="A638" t="inlineStr">
        <is>
          <t>walking path environment</t>
        </is>
      </c>
      <c r="B638" t="n">
        <v>1</v>
      </c>
    </row>
    <row r="639">
      <c r="A639" t="inlineStr">
        <is>
          <t>importance-performance analysis</t>
        </is>
      </c>
      <c r="B639" t="n">
        <v>1</v>
      </c>
    </row>
    <row r="640">
      <c r="A640" t="inlineStr">
        <is>
          <t>anova analysis</t>
        </is>
      </c>
      <c r="B640" t="n">
        <v>1</v>
      </c>
    </row>
    <row r="641">
      <c r="A641" t="inlineStr">
        <is>
          <t>urban greening</t>
        </is>
      </c>
      <c r="B641" t="n">
        <v>1</v>
      </c>
    </row>
    <row r="642">
      <c r="A642" t="inlineStr">
        <is>
          <t>ecological civilization</t>
        </is>
      </c>
      <c r="B642" t="n">
        <v>2</v>
      </c>
    </row>
    <row r="643">
      <c r="A643" t="inlineStr">
        <is>
          <t>green and harmonious</t>
        </is>
      </c>
      <c r="B643" t="n">
        <v>1</v>
      </c>
    </row>
    <row r="644">
      <c r="A644" t="inlineStr">
        <is>
          <t>green design</t>
        </is>
      </c>
      <c r="B644" t="n">
        <v>2</v>
      </c>
    </row>
    <row r="645">
      <c r="A645" t="inlineStr">
        <is>
          <t>leisure activity</t>
        </is>
      </c>
      <c r="B645" t="n">
        <v>2</v>
      </c>
    </row>
    <row r="646">
      <c r="A646" t="inlineStr">
        <is>
          <t>multi-scale</t>
        </is>
      </c>
      <c r="B646" t="n">
        <v>2</v>
      </c>
    </row>
    <row r="647">
      <c r="A647" t="inlineStr">
        <is>
          <t>hefei city</t>
        </is>
      </c>
      <c r="B647" t="n">
        <v>1</v>
      </c>
    </row>
    <row r="648">
      <c r="A648" t="inlineStr">
        <is>
          <t>occupant satisfaction</t>
        </is>
      </c>
      <c r="B648" t="n">
        <v>3</v>
      </c>
    </row>
    <row r="649">
      <c r="A649" t="inlineStr">
        <is>
          <t>sick building syndrome</t>
        </is>
      </c>
      <c r="B649" t="n">
        <v>25</v>
      </c>
    </row>
    <row r="650">
      <c r="A650" t="inlineStr">
        <is>
          <t>classroom</t>
        </is>
      </c>
      <c r="B650" t="n">
        <v>3</v>
      </c>
    </row>
    <row r="651">
      <c r="A651" t="inlineStr">
        <is>
          <t>retrofitted</t>
        </is>
      </c>
      <c r="B651" t="n">
        <v>1</v>
      </c>
    </row>
    <row r="652">
      <c r="A652" t="inlineStr">
        <is>
          <t>public spaces</t>
        </is>
      </c>
      <c r="B652" t="n">
        <v>2</v>
      </c>
    </row>
    <row r="653">
      <c r="A653" t="inlineStr">
        <is>
          <t>sensory cues</t>
        </is>
      </c>
      <c r="B653" t="n">
        <v>1</v>
      </c>
    </row>
    <row r="654">
      <c r="A654" t="inlineStr">
        <is>
          <t>architectural accessibility</t>
        </is>
      </c>
      <c r="B654" t="n">
        <v>2</v>
      </c>
    </row>
    <row r="655">
      <c r="A655" t="inlineStr">
        <is>
          <t>qualitative research</t>
        </is>
      </c>
      <c r="B655" t="n">
        <v>3</v>
      </c>
    </row>
    <row r="656">
      <c r="A656" t="inlineStr">
        <is>
          <t>vehicle ownership</t>
        </is>
      </c>
      <c r="B656" t="n">
        <v>1</v>
      </c>
    </row>
    <row r="657">
      <c r="A657" t="inlineStr">
        <is>
          <t>sustainable transportation</t>
        </is>
      </c>
      <c r="B657" t="n">
        <v>5</v>
      </c>
    </row>
    <row r="658">
      <c r="A658" t="inlineStr">
        <is>
          <t>transport policy</t>
        </is>
      </c>
      <c r="B658" t="n">
        <v>2</v>
      </c>
    </row>
    <row r="659">
      <c r="A659" t="inlineStr">
        <is>
          <t>multinomial logit model</t>
        </is>
      </c>
      <c r="B659" t="n">
        <v>2</v>
      </c>
    </row>
    <row r="660">
      <c r="A660" t="inlineStr">
        <is>
          <t>coastal building</t>
        </is>
      </c>
      <c r="B660" t="n">
        <v>1</v>
      </c>
    </row>
    <row r="661">
      <c r="A661" t="inlineStr">
        <is>
          <t>alkaline environment</t>
        </is>
      </c>
      <c r="B661" t="n">
        <v>1</v>
      </c>
    </row>
    <row r="662">
      <c r="A662" t="inlineStr">
        <is>
          <t>anticorrosion and reinforcement</t>
        </is>
      </c>
      <c r="B662" t="n">
        <v>1</v>
      </c>
    </row>
    <row r="663">
      <c r="A663" t="inlineStr">
        <is>
          <t>greenspace</t>
        </is>
      </c>
      <c r="B663" t="n">
        <v>5</v>
      </c>
    </row>
    <row r="664">
      <c r="A664" t="inlineStr">
        <is>
          <t>disadvantage</t>
        </is>
      </c>
      <c r="B664" t="n">
        <v>1</v>
      </c>
    </row>
    <row r="665">
      <c r="A665" t="inlineStr">
        <is>
          <t>mid-aged and older adults</t>
        </is>
      </c>
      <c r="B665" t="n">
        <v>1</v>
      </c>
    </row>
    <row r="666">
      <c r="A666" t="inlineStr">
        <is>
          <t>memory</t>
        </is>
      </c>
      <c r="B666" t="n">
        <v>2</v>
      </c>
    </row>
    <row r="667">
      <c r="A667" t="inlineStr">
        <is>
          <t>processing speed</t>
        </is>
      </c>
      <c r="B667" t="n">
        <v>3</v>
      </c>
    </row>
    <row r="668">
      <c r="A668" t="inlineStr">
        <is>
          <t>built and natural environments</t>
        </is>
      </c>
      <c r="B668" t="n">
        <v>1</v>
      </c>
    </row>
    <row r="669">
      <c r="A669" t="inlineStr">
        <is>
          <t>running</t>
        </is>
      </c>
      <c r="B669" t="n">
        <v>2</v>
      </c>
    </row>
    <row r="670">
      <c r="A670" t="inlineStr">
        <is>
          <t>the netherlands</t>
        </is>
      </c>
      <c r="B670" t="n">
        <v>2</v>
      </c>
    </row>
    <row r="671">
      <c r="A671" t="inlineStr">
        <is>
          <t>infection risks</t>
        </is>
      </c>
      <c r="B671" t="n">
        <v>1</v>
      </c>
    </row>
    <row r="672">
      <c r="A672" t="inlineStr">
        <is>
          <t>buildings</t>
        </is>
      </c>
      <c r="B672" t="n">
        <v>7</v>
      </c>
    </row>
    <row r="673">
      <c r="A673" t="inlineStr">
        <is>
          <t>urban areas</t>
        </is>
      </c>
      <c r="B673" t="n">
        <v>1</v>
      </c>
    </row>
    <row r="674">
      <c r="A674" t="inlineStr">
        <is>
          <t>resilience</t>
        </is>
      </c>
      <c r="B674" t="n">
        <v>7</v>
      </c>
    </row>
    <row r="675">
      <c r="A675" t="inlineStr">
        <is>
          <t>transport physical activity</t>
        </is>
      </c>
      <c r="B675" t="n">
        <v>1</v>
      </c>
    </row>
    <row r="676">
      <c r="A676" t="inlineStr">
        <is>
          <t>schools</t>
        </is>
      </c>
      <c r="B676" t="n">
        <v>5</v>
      </c>
    </row>
    <row r="677">
      <c r="A677" t="inlineStr">
        <is>
          <t>surveillance</t>
        </is>
      </c>
      <c r="B677" t="n">
        <v>2</v>
      </c>
    </row>
    <row r="678">
      <c r="A678" t="inlineStr">
        <is>
          <t>perceived physical environment</t>
        </is>
      </c>
      <c r="B678" t="n">
        <v>1</v>
      </c>
    </row>
    <row r="679">
      <c r="A679" t="inlineStr">
        <is>
          <t>sex</t>
        </is>
      </c>
      <c r="B679" t="n">
        <v>2</v>
      </c>
    </row>
    <row r="680">
      <c r="A680" t="inlineStr">
        <is>
          <t>association</t>
        </is>
      </c>
      <c r="B680" t="n">
        <v>1</v>
      </c>
    </row>
    <row r="681">
      <c r="A681" t="inlineStr">
        <is>
          <t>socio-demographic</t>
        </is>
      </c>
      <c r="B681" t="n">
        <v>1</v>
      </c>
    </row>
    <row r="682">
      <c r="A682" t="inlineStr">
        <is>
          <t>europe</t>
        </is>
      </c>
      <c r="B682" t="n">
        <v>1</v>
      </c>
    </row>
    <row r="683">
      <c r="A683" t="inlineStr">
        <is>
          <t>germany</t>
        </is>
      </c>
      <c r="B683" t="n">
        <v>2</v>
      </c>
    </row>
    <row r="684">
      <c r="A684" t="inlineStr">
        <is>
          <t>transport-related physical activity</t>
        </is>
      </c>
      <c r="B684" t="n">
        <v>1</v>
      </c>
    </row>
    <row r="685">
      <c r="A685" t="inlineStr">
        <is>
          <t>recreation-related physical activity</t>
        </is>
      </c>
      <c r="B685" t="n">
        <v>1</v>
      </c>
    </row>
    <row r="686">
      <c r="A686" t="inlineStr">
        <is>
          <t>severe cold region</t>
        </is>
      </c>
      <c r="B686" t="n">
        <v>1</v>
      </c>
    </row>
    <row r="687">
      <c r="A687" t="inlineStr">
        <is>
          <t>energy-saving design</t>
        </is>
      </c>
      <c r="B687" t="n">
        <v>1</v>
      </c>
    </row>
    <row r="688">
      <c r="A688" t="inlineStr">
        <is>
          <t>orthogonal experiment</t>
        </is>
      </c>
      <c r="B688" t="n">
        <v>1</v>
      </c>
    </row>
    <row r="689">
      <c r="A689" t="inlineStr">
        <is>
          <t>sarcopenia</t>
        </is>
      </c>
      <c r="B689" t="n">
        <v>17</v>
      </c>
    </row>
    <row r="690">
      <c r="A690" t="inlineStr">
        <is>
          <t>overweight</t>
        </is>
      </c>
      <c r="B690" t="n">
        <v>6</v>
      </c>
    </row>
    <row r="691">
      <c r="A691" t="inlineStr">
        <is>
          <t>childhood</t>
        </is>
      </c>
      <c r="B691" t="n">
        <v>2</v>
      </c>
    </row>
    <row r="692">
      <c r="A692" t="inlineStr">
        <is>
          <t>pandemic</t>
        </is>
      </c>
      <c r="B692" t="n">
        <v>4</v>
      </c>
    </row>
    <row r="693">
      <c r="A693" t="inlineStr">
        <is>
          <t>social</t>
        </is>
      </c>
      <c r="B693" t="n">
        <v>2</v>
      </c>
    </row>
    <row r="694">
      <c r="A694" t="inlineStr">
        <is>
          <t>economic</t>
        </is>
      </c>
      <c r="B694" t="n">
        <v>1</v>
      </c>
    </row>
    <row r="695">
      <c r="A695" t="inlineStr">
        <is>
          <t>energy</t>
        </is>
      </c>
      <c r="B695" t="n">
        <v>7</v>
      </c>
    </row>
    <row r="696">
      <c r="A696" t="inlineStr">
        <is>
          <t>lockdown</t>
        </is>
      </c>
      <c r="B696" t="n">
        <v>3</v>
      </c>
    </row>
    <row r="697">
      <c r="A697" t="inlineStr">
        <is>
          <t>quarantine</t>
        </is>
      </c>
      <c r="B697" t="n">
        <v>1</v>
      </c>
    </row>
    <row r="698">
      <c r="A698" t="inlineStr">
        <is>
          <t>sustainable development goal (sdg)</t>
        </is>
      </c>
      <c r="B698" t="n">
        <v>1</v>
      </c>
    </row>
    <row r="699">
      <c r="A699" t="inlineStr">
        <is>
          <t>united nation (un)</t>
        </is>
      </c>
      <c r="B699" t="n">
        <v>1</v>
      </c>
    </row>
    <row r="700">
      <c r="A700" t="inlineStr">
        <is>
          <t>child-friendly environments</t>
        </is>
      </c>
      <c r="B700" t="n">
        <v>1</v>
      </c>
    </row>
    <row r="701">
      <c r="A701" t="inlineStr">
        <is>
          <t>children's experience</t>
        </is>
      </c>
      <c r="B701" t="n">
        <v>1</v>
      </c>
    </row>
    <row r="702">
      <c r="A702" t="inlineStr">
        <is>
          <t>environmental consciousness</t>
        </is>
      </c>
      <c r="B702" t="n">
        <v>1</v>
      </c>
    </row>
    <row r="703">
      <c r="A703" t="inlineStr">
        <is>
          <t>user experience</t>
        </is>
      </c>
      <c r="B703" t="n">
        <v>1</v>
      </c>
    </row>
    <row r="704">
      <c r="A704" t="inlineStr">
        <is>
          <t>evaluation framework</t>
        </is>
      </c>
      <c r="B704" t="n">
        <v>2</v>
      </c>
    </row>
    <row r="705">
      <c r="A705" t="inlineStr">
        <is>
          <t>cadmium</t>
        </is>
      </c>
      <c r="B705" t="n">
        <v>2</v>
      </c>
    </row>
    <row r="706">
      <c r="A706" t="inlineStr">
        <is>
          <t>functional impairment</t>
        </is>
      </c>
      <c r="B706" t="n">
        <v>1</v>
      </c>
    </row>
    <row r="707">
      <c r="A707" t="inlineStr">
        <is>
          <t>disability</t>
        </is>
      </c>
      <c r="B707" t="n">
        <v>9</v>
      </c>
    </row>
    <row r="708">
      <c r="A708" t="inlineStr">
        <is>
          <t>deep shade type balcony</t>
        </is>
      </c>
      <c r="B708" t="n">
        <v>1</v>
      </c>
    </row>
    <row r="709">
      <c r="A709" t="inlineStr">
        <is>
          <t>fenestration rate</t>
        </is>
      </c>
      <c r="B709" t="n">
        <v>1</v>
      </c>
    </row>
    <row r="710">
      <c r="A710" t="inlineStr">
        <is>
          <t>building high-rise</t>
        </is>
      </c>
      <c r="B710" t="n">
        <v>1</v>
      </c>
    </row>
    <row r="711">
      <c r="A711" t="inlineStr">
        <is>
          <t>building information model (bim)</t>
        </is>
      </c>
      <c r="B711" t="n">
        <v>2</v>
      </c>
    </row>
    <row r="712">
      <c r="A712" t="inlineStr">
        <is>
          <t>eco-efficiency model</t>
        </is>
      </c>
      <c r="B712" t="n">
        <v>1</v>
      </c>
    </row>
    <row r="713">
      <c r="A713" t="inlineStr">
        <is>
          <t>formaldehyde</t>
        </is>
      </c>
      <c r="B713" t="n">
        <v>10</v>
      </c>
    </row>
    <row r="714">
      <c r="A714" t="inlineStr">
        <is>
          <t>colorimetric detection</t>
        </is>
      </c>
      <c r="B714" t="n">
        <v>1</v>
      </c>
    </row>
    <row r="715">
      <c r="A715" t="inlineStr">
        <is>
          <t>mobile phone</t>
        </is>
      </c>
      <c r="B715" t="n">
        <v>1</v>
      </c>
    </row>
    <row r="716">
      <c r="A716" t="inlineStr">
        <is>
          <t>home testing</t>
        </is>
      </c>
      <c r="B716" t="n">
        <v>1</v>
      </c>
    </row>
    <row r="717">
      <c r="A717" t="inlineStr">
        <is>
          <t>interaction effects</t>
        </is>
      </c>
      <c r="B717" t="n">
        <v>1</v>
      </c>
    </row>
    <row r="718">
      <c r="A718" t="inlineStr">
        <is>
          <t>socio-ecological model</t>
        </is>
      </c>
      <c r="B718" t="n">
        <v>2</v>
      </c>
    </row>
    <row r="719">
      <c r="A719" t="inlineStr">
        <is>
          <t>computer vision</t>
        </is>
      </c>
      <c r="B719" t="n">
        <v>4</v>
      </c>
    </row>
    <row r="720">
      <c r="A720" t="inlineStr">
        <is>
          <t>preschool children</t>
        </is>
      </c>
      <c r="B720" t="n">
        <v>1</v>
      </c>
    </row>
    <row r="721">
      <c r="A721" t="inlineStr">
        <is>
          <t>safety</t>
        </is>
      </c>
      <c r="B721" t="n">
        <v>7</v>
      </c>
    </row>
    <row r="722">
      <c r="A722" t="inlineStr">
        <is>
          <t>latino</t>
        </is>
      </c>
      <c r="B722" t="n">
        <v>3</v>
      </c>
    </row>
    <row r="723">
      <c r="A723" t="inlineStr">
        <is>
          <t>transportation</t>
        </is>
      </c>
      <c r="B723" t="n">
        <v>2</v>
      </c>
    </row>
    <row r="724">
      <c r="A724" t="inlineStr">
        <is>
          <t>artificial neural network</t>
        </is>
      </c>
      <c r="B724" t="n">
        <v>4</v>
      </c>
    </row>
    <row r="725">
      <c r="A725" t="inlineStr">
        <is>
          <t>clustering</t>
        </is>
      </c>
      <c r="B725" t="n">
        <v>3</v>
      </c>
    </row>
    <row r="726">
      <c r="A726" t="inlineStr">
        <is>
          <t>health disparities</t>
        </is>
      </c>
      <c r="B726" t="n">
        <v>3</v>
      </c>
    </row>
    <row r="727">
      <c r="A727" t="inlineStr">
        <is>
          <t>average walking distance</t>
        </is>
      </c>
      <c r="B727" t="n">
        <v>1</v>
      </c>
    </row>
    <row r="728">
      <c r="A728" t="inlineStr">
        <is>
          <t>perceived built environment</t>
        </is>
      </c>
      <c r="B728" t="n">
        <v>1</v>
      </c>
    </row>
    <row r="729">
      <c r="A729" t="inlineStr">
        <is>
          <t>metro stations</t>
        </is>
      </c>
      <c r="B729" t="n">
        <v>1</v>
      </c>
    </row>
    <row r="730">
      <c r="A730" t="inlineStr">
        <is>
          <t>aesthetic attributes</t>
        </is>
      </c>
      <c r="B730" t="n">
        <v>1</v>
      </c>
    </row>
    <row r="731">
      <c r="A731" t="inlineStr">
        <is>
          <t>land use type</t>
        </is>
      </c>
      <c r="B731" t="n">
        <v>1</v>
      </c>
    </row>
    <row r="732">
      <c r="A732" t="inlineStr">
        <is>
          <t>therapeutic healthcare environment</t>
        </is>
      </c>
      <c r="B732" t="n">
        <v>1</v>
      </c>
    </row>
    <row r="733">
      <c r="A733" t="inlineStr">
        <is>
          <t>healthcare facility design</t>
        </is>
      </c>
      <c r="B733" t="n">
        <v>1</v>
      </c>
    </row>
    <row r="734">
      <c r="A734" t="inlineStr">
        <is>
          <t>architectural designer</t>
        </is>
      </c>
      <c r="B734" t="n">
        <v>1</v>
      </c>
    </row>
    <row r="735">
      <c r="A735" t="inlineStr">
        <is>
          <t>evidence-based healthcare design practice</t>
        </is>
      </c>
      <c r="B735" t="n">
        <v>1</v>
      </c>
    </row>
    <row r="736">
      <c r="A736" t="inlineStr">
        <is>
          <t>walk-along interview</t>
        </is>
      </c>
      <c r="B736" t="n">
        <v>1</v>
      </c>
    </row>
    <row r="737">
      <c r="A737" t="inlineStr">
        <is>
          <t>parcours commentes</t>
        </is>
      </c>
      <c r="B737" t="n">
        <v>1</v>
      </c>
    </row>
    <row r="738">
      <c r="A738" t="inlineStr">
        <is>
          <t>go-along interview</t>
        </is>
      </c>
      <c r="B738" t="n">
        <v>1</v>
      </c>
    </row>
    <row r="739">
      <c r="A739" t="inlineStr">
        <is>
          <t>qualitative methods</t>
        </is>
      </c>
      <c r="B739" t="n">
        <v>2</v>
      </c>
    </row>
    <row r="740">
      <c r="A740" t="inlineStr">
        <is>
          <t>pedestrian</t>
        </is>
      </c>
      <c r="B740" t="n">
        <v>2</v>
      </c>
    </row>
    <row r="741">
      <c r="A741" t="inlineStr">
        <is>
          <t>regression analysis</t>
        </is>
      </c>
      <c r="B741" t="n">
        <v>4</v>
      </c>
    </row>
    <row r="742">
      <c r="A742" t="inlineStr">
        <is>
          <t>ugcop</t>
        </is>
      </c>
      <c r="B742" t="n">
        <v>1</v>
      </c>
    </row>
    <row r="743">
      <c r="A743" t="inlineStr">
        <is>
          <t>sars-cov-2</t>
        </is>
      </c>
      <c r="B743" t="n">
        <v>7</v>
      </c>
    </row>
    <row r="744">
      <c r="A744" t="inlineStr">
        <is>
          <t>nonmotorized travel behavior</t>
        </is>
      </c>
      <c r="B744" t="n">
        <v>1</v>
      </c>
    </row>
    <row r="745">
      <c r="A745" t="inlineStr">
        <is>
          <t>bicycling</t>
        </is>
      </c>
      <c r="B745" t="n">
        <v>2</v>
      </c>
    </row>
    <row r="746">
      <c r="A746" t="inlineStr">
        <is>
          <t>post-occupancy evaluation</t>
        </is>
      </c>
      <c r="B746" t="n">
        <v>1</v>
      </c>
    </row>
    <row r="747">
      <c r="A747" t="inlineStr">
        <is>
          <t>occupants' comfort</t>
        </is>
      </c>
      <c r="B747" t="n">
        <v>1</v>
      </c>
    </row>
    <row r="748">
      <c r="A748" t="inlineStr">
        <is>
          <t>literature analysis</t>
        </is>
      </c>
      <c r="B748" t="n">
        <v>1</v>
      </c>
    </row>
    <row r="749">
      <c r="A749" t="inlineStr">
        <is>
          <t>local policies</t>
        </is>
      </c>
      <c r="B749" t="n">
        <v>1</v>
      </c>
    </row>
    <row r="750">
      <c r="A750" t="inlineStr">
        <is>
          <t>old-aged people</t>
        </is>
      </c>
      <c r="B750" t="n">
        <v>1</v>
      </c>
    </row>
    <row r="751">
      <c r="A751" t="inlineStr">
        <is>
          <t>walkable environment</t>
        </is>
      </c>
      <c r="B751" t="n">
        <v>2</v>
      </c>
    </row>
    <row r="752">
      <c r="A752" t="inlineStr">
        <is>
          <t>activities</t>
        </is>
      </c>
      <c r="B752" t="n">
        <v>1</v>
      </c>
    </row>
    <row r="753">
      <c r="A753" t="inlineStr">
        <is>
          <t>built-environment</t>
        </is>
      </c>
      <c r="B753" t="n">
        <v>4</v>
      </c>
    </row>
    <row r="754">
      <c r="A754" t="inlineStr">
        <is>
          <t>neighborhood boundary</t>
        </is>
      </c>
      <c r="B754" t="n">
        <v>1</v>
      </c>
    </row>
    <row r="755">
      <c r="A755" t="inlineStr">
        <is>
          <t>air-borne microorganisms</t>
        </is>
      </c>
      <c r="B755" t="n">
        <v>1</v>
      </c>
    </row>
    <row r="756">
      <c r="A756" t="inlineStr">
        <is>
          <t>indoor air contamination</t>
        </is>
      </c>
      <c r="B756" t="n">
        <v>1</v>
      </c>
    </row>
    <row r="757">
      <c r="A757" t="inlineStr">
        <is>
          <t>office building</t>
        </is>
      </c>
      <c r="B757" t="n">
        <v>5</v>
      </c>
    </row>
    <row r="758">
      <c r="A758" t="inlineStr">
        <is>
          <t>desert environment</t>
        </is>
      </c>
      <c r="B758" t="n">
        <v>1</v>
      </c>
    </row>
    <row r="759">
      <c r="A759" t="inlineStr">
        <is>
          <t>indoor sources</t>
        </is>
      </c>
      <c r="B759" t="n">
        <v>4</v>
      </c>
    </row>
    <row r="760">
      <c r="A760" t="inlineStr">
        <is>
          <t>outdoor sources</t>
        </is>
      </c>
      <c r="B760" t="n">
        <v>1</v>
      </c>
    </row>
    <row r="761">
      <c r="A761" t="inlineStr">
        <is>
          <t>cardiometabolic disease</t>
        </is>
      </c>
      <c r="B761" t="n">
        <v>2</v>
      </c>
    </row>
    <row r="762">
      <c r="A762" t="inlineStr">
        <is>
          <t>residential environments</t>
        </is>
      </c>
      <c r="B762" t="n">
        <v>1</v>
      </c>
    </row>
    <row r="763">
      <c r="A763" t="inlineStr">
        <is>
          <t>descriptive norms</t>
        </is>
      </c>
      <c r="B763" t="n">
        <v>1</v>
      </c>
    </row>
    <row r="764">
      <c r="A764" t="inlineStr">
        <is>
          <t>mediation</t>
        </is>
      </c>
      <c r="B764" t="n">
        <v>2</v>
      </c>
    </row>
    <row r="765">
      <c r="A765" t="inlineStr">
        <is>
          <t>glycosylated hemoglobin</t>
        </is>
      </c>
      <c r="B765" t="n">
        <v>1</v>
      </c>
    </row>
    <row r="766">
      <c r="A766" t="inlineStr">
        <is>
          <t>urban form</t>
        </is>
      </c>
      <c r="B766" t="n">
        <v>4</v>
      </c>
    </row>
    <row r="767">
      <c r="A767" t="inlineStr">
        <is>
          <t>socioeconomic factors</t>
        </is>
      </c>
      <c r="B767" t="n">
        <v>1</v>
      </c>
    </row>
    <row r="768">
      <c r="A768" t="inlineStr">
        <is>
          <t>telecommuting</t>
        </is>
      </c>
      <c r="B768" t="n">
        <v>1</v>
      </c>
    </row>
    <row r="769">
      <c r="A769" t="inlineStr">
        <is>
          <t>teleshopping</t>
        </is>
      </c>
      <c r="B769" t="n">
        <v>1</v>
      </c>
    </row>
    <row r="770">
      <c r="A770" t="inlineStr">
        <is>
          <t>particulate matter</t>
        </is>
      </c>
      <c r="B770" t="n">
        <v>24</v>
      </c>
    </row>
    <row r="771">
      <c r="A771" t="inlineStr">
        <is>
          <t>copd</t>
        </is>
      </c>
      <c r="B771" t="n">
        <v>1</v>
      </c>
    </row>
    <row r="772">
      <c r="A772" t="inlineStr">
        <is>
          <t>respiratory health</t>
        </is>
      </c>
      <c r="B772" t="n">
        <v>3</v>
      </c>
    </row>
    <row r="773">
      <c r="A773" t="inlineStr">
        <is>
          <t>geographically weighted regression</t>
        </is>
      </c>
      <c r="B773" t="n">
        <v>5</v>
      </c>
    </row>
    <row r="774">
      <c r="A774" t="inlineStr">
        <is>
          <t>physical activity environment</t>
        </is>
      </c>
      <c r="B774" t="n">
        <v>2</v>
      </c>
    </row>
    <row r="775">
      <c r="A775" t="inlineStr">
        <is>
          <t>waist circumference</t>
        </is>
      </c>
      <c r="B775" t="n">
        <v>2</v>
      </c>
    </row>
    <row r="776">
      <c r="A776" t="inlineStr">
        <is>
          <t>area socioeconomic status</t>
        </is>
      </c>
      <c r="B776" t="n">
        <v>1</v>
      </c>
    </row>
    <row r="777">
      <c r="A777" t="inlineStr">
        <is>
          <t>multilevel poisson regression</t>
        </is>
      </c>
      <c r="B777" t="n">
        <v>1</v>
      </c>
    </row>
    <row r="778">
      <c r="A778" t="inlineStr">
        <is>
          <t>sleep quality</t>
        </is>
      </c>
      <c r="B778" t="n">
        <v>5</v>
      </c>
    </row>
    <row r="779">
      <c r="A779" t="inlineStr">
        <is>
          <t>cohort studies</t>
        </is>
      </c>
      <c r="B779" t="n">
        <v>2</v>
      </c>
    </row>
    <row r="780">
      <c r="A780" t="inlineStr">
        <is>
          <t>heat</t>
        </is>
      </c>
      <c r="B780" t="n">
        <v>9</v>
      </c>
    </row>
    <row r="781">
      <c r="A781" t="inlineStr">
        <is>
          <t>vulnerability</t>
        </is>
      </c>
      <c r="B781" t="n">
        <v>7</v>
      </c>
    </row>
    <row r="782">
      <c r="A782" t="inlineStr">
        <is>
          <t>public housing</t>
        </is>
      </c>
      <c r="B782" t="n">
        <v>3</v>
      </c>
    </row>
    <row r="783">
      <c r="A783" t="inlineStr">
        <is>
          <t>successful aging</t>
        </is>
      </c>
      <c r="B783" t="n">
        <v>4</v>
      </c>
    </row>
    <row r="784">
      <c r="A784" t="inlineStr">
        <is>
          <t>old-age care methods</t>
        </is>
      </c>
      <c r="B784" t="n">
        <v>1</v>
      </c>
    </row>
    <row r="785">
      <c r="A785" t="inlineStr">
        <is>
          <t>roadway distance</t>
        </is>
      </c>
      <c r="B785" t="n">
        <v>1</v>
      </c>
    </row>
    <row r="786">
      <c r="A786" t="inlineStr">
        <is>
          <t>urbanicity</t>
        </is>
      </c>
      <c r="B786" t="n">
        <v>2</v>
      </c>
    </row>
    <row r="787">
      <c r="A787" t="inlineStr">
        <is>
          <t>depression</t>
        </is>
      </c>
      <c r="B787" t="n">
        <v>30</v>
      </c>
    </row>
    <row r="788">
      <c r="A788" t="inlineStr">
        <is>
          <t>anxiety</t>
        </is>
      </c>
      <c r="B788" t="n">
        <v>5</v>
      </c>
    </row>
    <row r="789">
      <c r="A789" t="inlineStr">
        <is>
          <t>perceived stress</t>
        </is>
      </c>
      <c r="B789" t="n">
        <v>1</v>
      </c>
    </row>
    <row r="790">
      <c r="A790" t="inlineStr">
        <is>
          <t>audit tools</t>
        </is>
      </c>
      <c r="B790" t="n">
        <v>1</v>
      </c>
    </row>
    <row r="791">
      <c r="A791" t="inlineStr">
        <is>
          <t>nalp</t>
        </is>
      </c>
      <c r="B791" t="n">
        <v>1</v>
      </c>
    </row>
    <row r="792">
      <c r="A792" t="inlineStr">
        <is>
          <t>imi</t>
        </is>
      </c>
      <c r="B792" t="n">
        <v>1</v>
      </c>
    </row>
    <row r="793">
      <c r="A793" t="inlineStr">
        <is>
          <t>researcher-rated</t>
        </is>
      </c>
      <c r="B793" t="n">
        <v>1</v>
      </c>
    </row>
    <row r="794">
      <c r="A794" t="inlineStr">
        <is>
          <t>ecology</t>
        </is>
      </c>
      <c r="B794" t="n">
        <v>2</v>
      </c>
    </row>
    <row r="795">
      <c r="A795" t="inlineStr">
        <is>
          <t>environmentally friendly materials</t>
        </is>
      </c>
      <c r="B795" t="n">
        <v>1</v>
      </c>
    </row>
    <row r="796">
      <c r="A796" t="inlineStr">
        <is>
          <t>sustainable application</t>
        </is>
      </c>
      <c r="B796" t="n">
        <v>1</v>
      </c>
    </row>
    <row r="797">
      <c r="A797" t="inlineStr">
        <is>
          <t>obesogenic environment</t>
        </is>
      </c>
      <c r="B797" t="n">
        <v>1</v>
      </c>
    </row>
    <row r="798">
      <c r="A798" t="inlineStr">
        <is>
          <t>healthy eating</t>
        </is>
      </c>
      <c r="B798" t="n">
        <v>2</v>
      </c>
    </row>
    <row r="799">
      <c r="A799" t="inlineStr">
        <is>
          <t>index measurement</t>
        </is>
      </c>
      <c r="B799" t="n">
        <v>1</v>
      </c>
    </row>
    <row r="800">
      <c r="A800" t="inlineStr">
        <is>
          <t>spatial clustering</t>
        </is>
      </c>
      <c r="B800" t="n">
        <v>1</v>
      </c>
    </row>
    <row r="801">
      <c r="A801" t="inlineStr">
        <is>
          <t>architectural heritage</t>
        </is>
      </c>
      <c r="B801" t="n">
        <v>3</v>
      </c>
    </row>
    <row r="802">
      <c r="A802" t="inlineStr">
        <is>
          <t>conservation</t>
        </is>
      </c>
      <c r="B802" t="n">
        <v>3</v>
      </c>
    </row>
    <row r="803">
      <c r="A803" t="inlineStr">
        <is>
          <t>non-destructive diagnostic techniques</t>
        </is>
      </c>
      <c r="B803" t="n">
        <v>1</v>
      </c>
    </row>
    <row r="804">
      <c r="A804" t="inlineStr">
        <is>
          <t>energy simulations</t>
        </is>
      </c>
      <c r="B804" t="n">
        <v>2</v>
      </c>
    </row>
    <row r="805">
      <c r="A805" t="inlineStr">
        <is>
          <t>indoor comfort</t>
        </is>
      </c>
      <c r="B805" t="n">
        <v>3</v>
      </c>
    </row>
    <row r="806">
      <c r="A806" t="inlineStr">
        <is>
          <t>social-emotional development</t>
        </is>
      </c>
      <c r="B806" t="n">
        <v>1</v>
      </c>
    </row>
    <row r="807">
      <c r="A807" t="inlineStr">
        <is>
          <t>child development</t>
        </is>
      </c>
      <c r="B807" t="n">
        <v>1</v>
      </c>
    </row>
    <row r="808">
      <c r="A808" t="inlineStr">
        <is>
          <t>parent</t>
        </is>
      </c>
      <c r="B808" t="n">
        <v>1</v>
      </c>
    </row>
    <row r="809">
      <c r="A809" t="inlineStr">
        <is>
          <t>perceptions</t>
        </is>
      </c>
      <c r="B809" t="n">
        <v>4</v>
      </c>
    </row>
    <row r="810">
      <c r="A810" t="inlineStr">
        <is>
          <t>innovation</t>
        </is>
      </c>
      <c r="B810" t="n">
        <v>1</v>
      </c>
    </row>
    <row r="811">
      <c r="A811" t="inlineStr">
        <is>
          <t>high-tech firms</t>
        </is>
      </c>
      <c r="B811" t="n">
        <v>1</v>
      </c>
    </row>
    <row r="812">
      <c r="A812" t="inlineStr">
        <is>
          <t>pearl river delta</t>
        </is>
      </c>
      <c r="B812" t="n">
        <v>2</v>
      </c>
    </row>
    <row r="813">
      <c r="A813" t="inlineStr">
        <is>
          <t>jordan hospital</t>
        </is>
      </c>
      <c r="B813" t="n">
        <v>1</v>
      </c>
    </row>
    <row r="814">
      <c r="A814" t="inlineStr">
        <is>
          <t>ieq</t>
        </is>
      </c>
      <c r="B814" t="n">
        <v>5</v>
      </c>
    </row>
    <row r="815">
      <c r="A815" t="inlineStr">
        <is>
          <t>bedroom</t>
        </is>
      </c>
      <c r="B815" t="n">
        <v>1</v>
      </c>
    </row>
    <row r="816">
      <c r="A816" t="inlineStr">
        <is>
          <t>healthcare</t>
        </is>
      </c>
      <c r="B816" t="n">
        <v>3</v>
      </c>
    </row>
    <row r="817">
      <c r="A817" t="inlineStr">
        <is>
          <t>green building assessment</t>
        </is>
      </c>
      <c r="B817" t="n">
        <v>1</v>
      </c>
    </row>
    <row r="818">
      <c r="A818" t="inlineStr">
        <is>
          <t>dgnb</t>
        </is>
      </c>
      <c r="B818" t="n">
        <v>1</v>
      </c>
    </row>
    <row r="819">
      <c r="A819" t="inlineStr">
        <is>
          <t>integrated neural network</t>
        </is>
      </c>
      <c r="B819" t="n">
        <v>1</v>
      </c>
    </row>
    <row r="820">
      <c r="A820" t="inlineStr">
        <is>
          <t>selective input connection</t>
        </is>
      </c>
      <c r="B820" t="n">
        <v>1</v>
      </c>
    </row>
    <row r="821">
      <c r="A821" t="inlineStr">
        <is>
          <t>pmv</t>
        </is>
      </c>
      <c r="B821" t="n">
        <v>2</v>
      </c>
    </row>
    <row r="822">
      <c r="A822" t="inlineStr">
        <is>
          <t>comprehensive environments prediction</t>
        </is>
      </c>
      <c r="B822" t="n">
        <v>1</v>
      </c>
    </row>
    <row r="823">
      <c r="A823" t="inlineStr">
        <is>
          <t>occupant productivity</t>
        </is>
      </c>
      <c r="B823" t="n">
        <v>2</v>
      </c>
    </row>
    <row r="824">
      <c r="A824" t="inlineStr">
        <is>
          <t>indoor air comfort</t>
        </is>
      </c>
      <c r="B824" t="n">
        <v>1</v>
      </c>
    </row>
    <row r="825">
      <c r="A825" t="inlineStr">
        <is>
          <t>response surface methodology</t>
        </is>
      </c>
      <c r="B825" t="n">
        <v>1</v>
      </c>
    </row>
    <row r="826">
      <c r="A826" t="inlineStr">
        <is>
          <t>occupant health</t>
        </is>
      </c>
      <c r="B826" t="n">
        <v>2</v>
      </c>
    </row>
    <row r="827">
      <c r="A827" t="inlineStr">
        <is>
          <t>children &amp; adolescents</t>
        </is>
      </c>
      <c r="B827" t="n">
        <v>1</v>
      </c>
    </row>
    <row r="828">
      <c r="A828" t="inlineStr">
        <is>
          <t>race</t>
        </is>
      </c>
      <c r="B828" t="n">
        <v>1</v>
      </c>
    </row>
    <row r="829">
      <c r="A829" t="inlineStr">
        <is>
          <t>ethnicity</t>
        </is>
      </c>
      <c r="B829" t="n">
        <v>3</v>
      </c>
    </row>
    <row r="830">
      <c r="A830" t="inlineStr">
        <is>
          <t>american society</t>
        </is>
      </c>
      <c r="B830" t="n">
        <v>1</v>
      </c>
    </row>
    <row r="831">
      <c r="A831" t="inlineStr">
        <is>
          <t>impact factors</t>
        </is>
      </c>
      <c r="B831" t="n">
        <v>2</v>
      </c>
    </row>
    <row r="832">
      <c r="A832" t="inlineStr">
        <is>
          <t>lung cancer incidence</t>
        </is>
      </c>
      <c r="B832" t="n">
        <v>1</v>
      </c>
    </row>
    <row r="833">
      <c r="A833" t="inlineStr">
        <is>
          <t>exploratory regression analysis</t>
        </is>
      </c>
      <c r="B833" t="n">
        <v>1</v>
      </c>
    </row>
    <row r="834">
      <c r="A834" t="inlineStr">
        <is>
          <t>built environment stocks</t>
        </is>
      </c>
      <c r="B834" t="n">
        <v>3</v>
      </c>
    </row>
    <row r="835">
      <c r="A835" t="inlineStr">
        <is>
          <t>spatial planning</t>
        </is>
      </c>
      <c r="B835" t="n">
        <v>1</v>
      </c>
    </row>
    <row r="836">
      <c r="A836" t="inlineStr">
        <is>
          <t>circular economy</t>
        </is>
      </c>
      <c r="B836" t="n">
        <v>20</v>
      </c>
    </row>
    <row r="837">
      <c r="A837" t="inlineStr">
        <is>
          <t>urban sustainability</t>
        </is>
      </c>
      <c r="B837" t="n">
        <v>4</v>
      </c>
    </row>
    <row r="838">
      <c r="A838" t="inlineStr">
        <is>
          <t>material flow analysis</t>
        </is>
      </c>
      <c r="B838" t="n">
        <v>3</v>
      </c>
    </row>
    <row r="839">
      <c r="A839" t="inlineStr">
        <is>
          <t>gram-positive</t>
        </is>
      </c>
      <c r="B839" t="n">
        <v>1</v>
      </c>
    </row>
    <row r="840">
      <c r="A840" t="inlineStr">
        <is>
          <t>gram-negative</t>
        </is>
      </c>
      <c r="B840" t="n">
        <v>1</v>
      </c>
    </row>
    <row r="841">
      <c r="A841" t="inlineStr">
        <is>
          <t>penicillium/aspergillus spp.</t>
        </is>
      </c>
      <c r="B841" t="n">
        <v>1</v>
      </c>
    </row>
    <row r="842">
      <c r="A842" t="inlineStr">
        <is>
          <t>total fungi</t>
        </is>
      </c>
      <c r="B842" t="n">
        <v>1</v>
      </c>
    </row>
    <row r="843">
      <c r="A843" t="inlineStr">
        <is>
          <t>dwellings</t>
        </is>
      </c>
      <c r="B843" t="n">
        <v>4</v>
      </c>
    </row>
    <row r="844">
      <c r="A844" t="inlineStr">
        <is>
          <t>educational building</t>
        </is>
      </c>
      <c r="B844" t="n">
        <v>4</v>
      </c>
    </row>
    <row r="845">
      <c r="A845" t="inlineStr">
        <is>
          <t>facilities</t>
        </is>
      </c>
      <c r="B845" t="n">
        <v>1</v>
      </c>
    </row>
    <row r="846">
      <c r="A846" t="inlineStr">
        <is>
          <t>quantitative</t>
        </is>
      </c>
      <c r="B846" t="n">
        <v>1</v>
      </c>
    </row>
    <row r="847">
      <c r="A847" t="inlineStr">
        <is>
          <t>walking interview</t>
        </is>
      </c>
      <c r="B847" t="n">
        <v>1</v>
      </c>
    </row>
    <row r="848">
      <c r="A848" t="inlineStr">
        <is>
          <t>multilevel/hierarchical analyses</t>
        </is>
      </c>
      <c r="B848" t="n">
        <v>1</v>
      </c>
    </row>
    <row r="849">
      <c r="A849" t="inlineStr">
        <is>
          <t>healthy urban planning</t>
        </is>
      </c>
      <c r="B849" t="n">
        <v>4</v>
      </c>
    </row>
    <row r="850">
      <c r="A850" t="inlineStr">
        <is>
          <t>volatile organic compounds</t>
        </is>
      </c>
      <c r="B850" t="n">
        <v>19</v>
      </c>
    </row>
    <row r="851">
      <c r="A851" t="inlineStr">
        <is>
          <t>carbonyls</t>
        </is>
      </c>
      <c r="B851" t="n">
        <v>2</v>
      </c>
    </row>
    <row r="852">
      <c r="A852" t="inlineStr">
        <is>
          <t>benzene</t>
        </is>
      </c>
      <c r="B852" t="n">
        <v>2</v>
      </c>
    </row>
    <row r="853">
      <c r="A853" t="inlineStr">
        <is>
          <t>walkable neighborhood</t>
        </is>
      </c>
      <c r="B853" t="n">
        <v>1</v>
      </c>
    </row>
    <row r="854">
      <c r="A854" t="inlineStr">
        <is>
          <t>sitting</t>
        </is>
      </c>
      <c r="B854" t="n">
        <v>7</v>
      </c>
    </row>
    <row r="855">
      <c r="A855" t="inlineStr">
        <is>
          <t>africa</t>
        </is>
      </c>
      <c r="B855" t="n">
        <v>1</v>
      </c>
    </row>
    <row r="856">
      <c r="A856" t="inlineStr">
        <is>
          <t>pedestrian collisions</t>
        </is>
      </c>
      <c r="B856" t="n">
        <v>1</v>
      </c>
    </row>
    <row r="857">
      <c r="A857" t="inlineStr">
        <is>
          <t>gwpr</t>
        </is>
      </c>
      <c r="B857" t="n">
        <v>1</v>
      </c>
    </row>
    <row r="858">
      <c r="A858" t="inlineStr">
        <is>
          <t>walk</t>
        </is>
      </c>
      <c r="B858" t="n">
        <v>1</v>
      </c>
    </row>
    <row r="859">
      <c r="A859" t="inlineStr">
        <is>
          <t>street view</t>
        </is>
      </c>
      <c r="B859" t="n">
        <v>1</v>
      </c>
    </row>
    <row r="860">
      <c r="A860" t="inlineStr">
        <is>
          <t>walking activity</t>
        </is>
      </c>
      <c r="B860" t="n">
        <v>2</v>
      </c>
    </row>
    <row r="861">
      <c r="A861" t="inlineStr">
        <is>
          <t>probability</t>
        </is>
      </c>
      <c r="B861" t="n">
        <v>1</v>
      </c>
    </row>
    <row r="862">
      <c r="A862" t="inlineStr">
        <is>
          <t>frequency and duration</t>
        </is>
      </c>
      <c r="B862" t="n">
        <v>2</v>
      </c>
    </row>
    <row r="863">
      <c r="A863" t="inlineStr">
        <is>
          <t>zero-inflated poisson regression</t>
        </is>
      </c>
      <c r="B863" t="n">
        <v>1</v>
      </c>
    </row>
    <row r="864">
      <c r="A864" t="inlineStr">
        <is>
          <t>wood remodeling</t>
        </is>
      </c>
      <c r="B864" t="n">
        <v>1</v>
      </c>
    </row>
    <row r="865">
      <c r="A865" t="inlineStr">
        <is>
          <t>welfare facility</t>
        </is>
      </c>
      <c r="B865" t="n">
        <v>1</v>
      </c>
    </row>
    <row r="866">
      <c r="A866" t="inlineStr">
        <is>
          <t>wood material</t>
        </is>
      </c>
      <c r="B866" t="n">
        <v>1</v>
      </c>
    </row>
    <row r="867">
      <c r="A867" t="inlineStr">
        <is>
          <t>eco-design</t>
        </is>
      </c>
      <c r="B867" t="n">
        <v>1</v>
      </c>
    </row>
    <row r="868">
      <c r="A868" t="inlineStr">
        <is>
          <t>lux level</t>
        </is>
      </c>
      <c r="B868" t="n">
        <v>1</v>
      </c>
    </row>
    <row r="869">
      <c r="A869" t="inlineStr">
        <is>
          <t>kernel regression</t>
        </is>
      </c>
      <c r="B869" t="n">
        <v>1</v>
      </c>
    </row>
    <row r="870">
      <c r="A870" t="inlineStr">
        <is>
          <t>predictive mapping</t>
        </is>
      </c>
      <c r="B870" t="n">
        <v>1</v>
      </c>
    </row>
    <row r="871">
      <c r="A871" t="inlineStr">
        <is>
          <t>probability mapping</t>
        </is>
      </c>
      <c r="B871" t="n">
        <v>1</v>
      </c>
    </row>
    <row r="872">
      <c r="A872" t="inlineStr">
        <is>
          <t>switzerland</t>
        </is>
      </c>
      <c r="B872" t="n">
        <v>2</v>
      </c>
    </row>
    <row r="873">
      <c r="A873" t="inlineStr">
        <is>
          <t>geology</t>
        </is>
      </c>
      <c r="B873" t="n">
        <v>2</v>
      </c>
    </row>
    <row r="874">
      <c r="A874" t="inlineStr">
        <is>
          <t>accidental falls</t>
        </is>
      </c>
      <c r="B874" t="n">
        <v>2</v>
      </c>
    </row>
    <row r="875">
      <c r="A875" t="inlineStr">
        <is>
          <t>home and environment hazards</t>
        </is>
      </c>
      <c r="B875" t="n">
        <v>1</v>
      </c>
    </row>
    <row r="876">
      <c r="A876" t="inlineStr">
        <is>
          <t>rural area</t>
        </is>
      </c>
      <c r="B876" t="n">
        <v>2</v>
      </c>
    </row>
    <row r="877">
      <c r="A877" t="inlineStr">
        <is>
          <t>learning-based tourism</t>
        </is>
      </c>
      <c r="B877" t="n">
        <v>1</v>
      </c>
    </row>
    <row r="878">
      <c r="A878" t="inlineStr">
        <is>
          <t>science museum</t>
        </is>
      </c>
      <c r="B878" t="n">
        <v>1</v>
      </c>
    </row>
    <row r="879">
      <c r="A879" t="inlineStr">
        <is>
          <t>motivation</t>
        </is>
      </c>
      <c r="B879" t="n">
        <v>2</v>
      </c>
    </row>
    <row r="880">
      <c r="A880" t="inlineStr">
        <is>
          <t>constraint</t>
        </is>
      </c>
      <c r="B880" t="n">
        <v>1</v>
      </c>
    </row>
    <row r="881">
      <c r="A881" t="inlineStr">
        <is>
          <t>museum planning</t>
        </is>
      </c>
      <c r="B881" t="n">
        <v>1</v>
      </c>
    </row>
    <row r="882">
      <c r="A882" t="inlineStr">
        <is>
          <t>physical environment (phe)</t>
        </is>
      </c>
      <c r="B882" t="n">
        <v>1</v>
      </c>
    </row>
    <row r="883">
      <c r="A883" t="inlineStr">
        <is>
          <t>visitor behavior</t>
        </is>
      </c>
      <c r="B883" t="n">
        <v>1</v>
      </c>
    </row>
    <row r="884">
      <c r="A884" t="inlineStr">
        <is>
          <t>visitor satisfaction</t>
        </is>
      </c>
      <c r="B884" t="n">
        <v>1</v>
      </c>
    </row>
    <row r="885">
      <c r="A885" t="inlineStr">
        <is>
          <t>city development</t>
        </is>
      </c>
      <c r="B885" t="n">
        <v>1</v>
      </c>
    </row>
    <row r="886">
      <c r="A886" t="inlineStr">
        <is>
          <t>suicide</t>
        </is>
      </c>
      <c r="B886" t="n">
        <v>5</v>
      </c>
    </row>
    <row r="887">
      <c r="A887" t="inlineStr">
        <is>
          <t>ventilation</t>
        </is>
      </c>
      <c r="B887" t="n">
        <v>20</v>
      </c>
    </row>
    <row r="888">
      <c r="A888" t="inlineStr">
        <is>
          <t>environmental change</t>
        </is>
      </c>
      <c r="B888" t="n">
        <v>1</v>
      </c>
    </row>
    <row r="889">
      <c r="A889" t="inlineStr">
        <is>
          <t>polychlorinated biphenyls</t>
        </is>
      </c>
      <c r="B889" t="n">
        <v>3</v>
      </c>
    </row>
    <row r="890">
      <c r="A890" t="inlineStr">
        <is>
          <t>indoor air</t>
        </is>
      </c>
      <c r="B890" t="n">
        <v>44</v>
      </c>
    </row>
    <row r="891">
      <c r="A891" t="inlineStr">
        <is>
          <t>cigarette smoke</t>
        </is>
      </c>
      <c r="B891" t="n">
        <v>1</v>
      </c>
    </row>
    <row r="892">
      <c r="A892" t="inlineStr">
        <is>
          <t>candle burning</t>
        </is>
      </c>
      <c r="B892" t="n">
        <v>1</v>
      </c>
    </row>
    <row r="893">
      <c r="A893" t="inlineStr">
        <is>
          <t>partitioning</t>
        </is>
      </c>
      <c r="B893" t="n">
        <v>3</v>
      </c>
    </row>
    <row r="894">
      <c r="A894" t="inlineStr">
        <is>
          <t>green tod</t>
        </is>
      </c>
      <c r="B894" t="n">
        <v>1</v>
      </c>
    </row>
    <row r="895">
      <c r="A895" t="inlineStr">
        <is>
          <t>fuzzy delphi technique</t>
        </is>
      </c>
      <c r="B895" t="n">
        <v>1</v>
      </c>
    </row>
    <row r="896">
      <c r="A896" t="inlineStr">
        <is>
          <t>quality function deployment</t>
        </is>
      </c>
      <c r="B896" t="n">
        <v>1</v>
      </c>
    </row>
    <row r="897">
      <c r="A897" t="inlineStr">
        <is>
          <t>fuzzy analytic network process</t>
        </is>
      </c>
      <c r="B897" t="n">
        <v>1</v>
      </c>
    </row>
    <row r="898">
      <c r="A898" t="inlineStr">
        <is>
          <t>bioaerosols</t>
        </is>
      </c>
      <c r="B898" t="n">
        <v>4</v>
      </c>
    </row>
    <row r="899">
      <c r="A899" t="inlineStr">
        <is>
          <t>monitoring</t>
        </is>
      </c>
      <c r="B899" t="n">
        <v>2</v>
      </c>
    </row>
    <row r="900">
      <c r="A900" t="inlineStr">
        <is>
          <t>artificial intelligence</t>
        </is>
      </c>
      <c r="B900" t="n">
        <v>5</v>
      </c>
    </row>
    <row r="901">
      <c r="A901" t="inlineStr">
        <is>
          <t>sensors</t>
        </is>
      </c>
      <c r="B901" t="n">
        <v>2</v>
      </c>
    </row>
    <row r="902">
      <c r="A902" t="inlineStr">
        <is>
          <t>stampede prevention</t>
        </is>
      </c>
      <c r="B902" t="n">
        <v>1</v>
      </c>
    </row>
    <row r="903">
      <c r="A903" t="inlineStr">
        <is>
          <t>sustainable layout</t>
        </is>
      </c>
      <c r="B903" t="n">
        <v>1</v>
      </c>
    </row>
    <row r="904">
      <c r="A904" t="inlineStr">
        <is>
          <t>sustainable built environment</t>
        </is>
      </c>
      <c r="B904" t="n">
        <v>2</v>
      </c>
    </row>
    <row r="905">
      <c r="A905" t="inlineStr">
        <is>
          <t>dynamic steady ability</t>
        </is>
      </c>
      <c r="B905" t="n">
        <v>1</v>
      </c>
    </row>
    <row r="906">
      <c r="A906" t="inlineStr">
        <is>
          <t>step depth</t>
        </is>
      </c>
      <c r="B906" t="n">
        <v>1</v>
      </c>
    </row>
    <row r="907">
      <c r="A907" t="inlineStr">
        <is>
          <t>ventilation duct</t>
        </is>
      </c>
      <c r="B907" t="n">
        <v>1</v>
      </c>
    </row>
    <row r="908">
      <c r="A908" t="inlineStr">
        <is>
          <t>industrial heritage</t>
        </is>
      </c>
      <c r="B908" t="n">
        <v>1</v>
      </c>
    </row>
    <row r="909">
      <c r="A909" t="inlineStr">
        <is>
          <t>adaptive retrofit</t>
        </is>
      </c>
      <c r="B909" t="n">
        <v>1</v>
      </c>
    </row>
    <row r="910">
      <c r="A910" t="inlineStr">
        <is>
          <t>cfd analyses</t>
        </is>
      </c>
      <c r="B910" t="n">
        <v>1</v>
      </c>
    </row>
    <row r="911">
      <c r="A911" t="inlineStr">
        <is>
          <t>pediatric obesity</t>
        </is>
      </c>
      <c r="B911" t="n">
        <v>1</v>
      </c>
    </row>
    <row r="912">
      <c r="A912" t="inlineStr">
        <is>
          <t>public green space</t>
        </is>
      </c>
      <c r="B912" t="n">
        <v>1</v>
      </c>
    </row>
    <row r="913">
      <c r="A913" t="inlineStr">
        <is>
          <t>biodiversity</t>
        </is>
      </c>
      <c r="B913" t="n">
        <v>4</v>
      </c>
    </row>
    <row r="914">
      <c r="A914" t="inlineStr">
        <is>
          <t>walking behaviour</t>
        </is>
      </c>
      <c r="B914" t="n">
        <v>1</v>
      </c>
    </row>
    <row r="915">
      <c r="A915" t="inlineStr">
        <is>
          <t>neighbourhood walkability</t>
        </is>
      </c>
      <c r="B915" t="n">
        <v>1</v>
      </c>
    </row>
    <row r="916">
      <c r="A916" t="inlineStr">
        <is>
          <t>regeneration project</t>
        </is>
      </c>
      <c r="B916" t="n">
        <v>1</v>
      </c>
    </row>
    <row r="917">
      <c r="A917" t="inlineStr">
        <is>
          <t>minimum building</t>
        </is>
      </c>
      <c r="B917" t="n">
        <v>1</v>
      </c>
    </row>
    <row r="918">
      <c r="A918" t="inlineStr">
        <is>
          <t>low carbon building</t>
        </is>
      </c>
      <c r="B918" t="n">
        <v>1</v>
      </c>
    </row>
    <row r="919">
      <c r="A919" t="inlineStr">
        <is>
          <t>indoor environmental satisfaction</t>
        </is>
      </c>
      <c r="B919" t="n">
        <v>1</v>
      </c>
    </row>
    <row r="920">
      <c r="A920" t="inlineStr">
        <is>
          <t>perceptive-cognitive aspects</t>
        </is>
      </c>
      <c r="B920" t="n">
        <v>1</v>
      </c>
    </row>
    <row r="921">
      <c r="A921" t="inlineStr">
        <is>
          <t>sensation dimension</t>
        </is>
      </c>
      <c r="B921" t="n">
        <v>1</v>
      </c>
    </row>
    <row r="922">
      <c r="A922" t="inlineStr">
        <is>
          <t>comfort dimension</t>
        </is>
      </c>
      <c r="B922" t="n">
        <v>1</v>
      </c>
    </row>
    <row r="923">
      <c r="A923" t="inlineStr">
        <is>
          <t>building environment</t>
        </is>
      </c>
      <c r="B923" t="n">
        <v>5</v>
      </c>
    </row>
    <row r="924">
      <c r="A924" t="inlineStr">
        <is>
          <t>steady-state simulation</t>
        </is>
      </c>
      <c r="B924" t="n">
        <v>1</v>
      </c>
    </row>
    <row r="925">
      <c r="A925" t="inlineStr">
        <is>
          <t>rural ventilation</t>
        </is>
      </c>
      <c r="B925" t="n">
        <v>1</v>
      </c>
    </row>
    <row r="926">
      <c r="A926" t="inlineStr">
        <is>
          <t>sedentary behaviour</t>
        </is>
      </c>
      <c r="B926" t="n">
        <v>9</v>
      </c>
    </row>
    <row r="927">
      <c r="A927" t="inlineStr">
        <is>
          <t>season</t>
        </is>
      </c>
      <c r="B927" t="n">
        <v>1</v>
      </c>
    </row>
    <row r="928">
      <c r="A928" t="inlineStr">
        <is>
          <t>physical behaviour</t>
        </is>
      </c>
      <c r="B928" t="n">
        <v>1</v>
      </c>
    </row>
    <row r="929">
      <c r="A929" t="inlineStr">
        <is>
          <t>healthy city planning</t>
        </is>
      </c>
      <c r="B929" t="n">
        <v>1</v>
      </c>
    </row>
    <row r="930">
      <c r="A930" t="inlineStr">
        <is>
          <t>prevalence of hypertension</t>
        </is>
      </c>
      <c r="B930" t="n">
        <v>1</v>
      </c>
    </row>
    <row r="931">
      <c r="A931" t="inlineStr">
        <is>
          <t>built environment factors</t>
        </is>
      </c>
      <c r="B931" t="n">
        <v>2</v>
      </c>
    </row>
    <row r="932">
      <c r="A932" t="inlineStr">
        <is>
          <t>empirical research</t>
        </is>
      </c>
      <c r="B932" t="n">
        <v>1</v>
      </c>
    </row>
    <row r="933">
      <c r="A933" t="inlineStr">
        <is>
          <t>pig living environment</t>
        </is>
      </c>
      <c r="B933" t="n">
        <v>1</v>
      </c>
    </row>
    <row r="934">
      <c r="A934" t="inlineStr">
        <is>
          <t>canonical correlation analysis</t>
        </is>
      </c>
      <c r="B934" t="n">
        <v>1</v>
      </c>
    </row>
    <row r="935">
      <c r="A935" t="inlineStr">
        <is>
          <t>environment control</t>
        </is>
      </c>
      <c r="B935" t="n">
        <v>1</v>
      </c>
    </row>
    <row r="936">
      <c r="A936" t="inlineStr">
        <is>
          <t>temperature dependence</t>
        </is>
      </c>
      <c r="B936" t="n">
        <v>1</v>
      </c>
    </row>
    <row r="937">
      <c r="A937" t="inlineStr">
        <is>
          <t>comprehensive health outcomes</t>
        </is>
      </c>
      <c r="B937" t="n">
        <v>1</v>
      </c>
    </row>
    <row r="938">
      <c r="A938" t="inlineStr">
        <is>
          <t>spatial heterogeneity</t>
        </is>
      </c>
      <c r="B938" t="n">
        <v>6</v>
      </c>
    </row>
    <row r="939">
      <c r="A939" t="inlineStr">
        <is>
          <t>random forest approach</t>
        </is>
      </c>
      <c r="B939" t="n">
        <v>1</v>
      </c>
    </row>
    <row r="940">
      <c r="A940" t="inlineStr">
        <is>
          <t>multiscale geographically weighted regression</t>
        </is>
      </c>
      <c r="B940" t="n">
        <v>1</v>
      </c>
    </row>
    <row r="941">
      <c r="A941" t="inlineStr">
        <is>
          <t>pm2.5</t>
        </is>
      </c>
      <c r="B941" t="n">
        <v>10</v>
      </c>
    </row>
    <row r="942">
      <c r="A942" t="inlineStr">
        <is>
          <t>black carbon</t>
        </is>
      </c>
      <c r="B942" t="n">
        <v>5</v>
      </c>
    </row>
    <row r="943">
      <c r="A943" t="inlineStr">
        <is>
          <t>human exposure</t>
        </is>
      </c>
      <c r="B943" t="n">
        <v>6</v>
      </c>
    </row>
    <row r="944">
      <c r="A944" t="inlineStr">
        <is>
          <t>indoor air pollution</t>
        </is>
      </c>
      <c r="B944" t="n">
        <v>19</v>
      </c>
    </row>
    <row r="945">
      <c r="A945" t="inlineStr">
        <is>
          <t>office</t>
        </is>
      </c>
      <c r="B945" t="n">
        <v>2</v>
      </c>
    </row>
    <row r="946">
      <c r="A946" t="inlineStr">
        <is>
          <t>sick building syndrome symptoms</t>
        </is>
      </c>
      <c r="B946" t="n">
        <v>1</v>
      </c>
    </row>
    <row r="947">
      <c r="A947" t="inlineStr">
        <is>
          <t>saharan dust event</t>
        </is>
      </c>
      <c r="B947" t="n">
        <v>1</v>
      </c>
    </row>
    <row r="948">
      <c r="A948" t="inlineStr">
        <is>
          <t>indoor gamma dose rate</t>
        </is>
      </c>
      <c r="B948" t="n">
        <v>1</v>
      </c>
    </row>
    <row r="949">
      <c r="A949" t="inlineStr">
        <is>
          <t>high outdoor gamma dose rate</t>
        </is>
      </c>
      <c r="B949" t="n">
        <v>1</v>
      </c>
    </row>
    <row r="950">
      <c r="A950" t="inlineStr">
        <is>
          <t>block scale</t>
        </is>
      </c>
      <c r="B950" t="n">
        <v>1</v>
      </c>
    </row>
    <row r="951">
      <c r="A951" t="inlineStr">
        <is>
          <t>leisure walking activities</t>
        </is>
      </c>
      <c r="B951" t="n">
        <v>1</v>
      </c>
    </row>
    <row r="952">
      <c r="A952" t="inlineStr">
        <is>
          <t>gaoyou</t>
        </is>
      </c>
      <c r="B952" t="n">
        <v>1</v>
      </c>
    </row>
    <row r="953">
      <c r="A953" t="inlineStr">
        <is>
          <t>cognitive impairment</t>
        </is>
      </c>
      <c r="B953" t="n">
        <v>12</v>
      </c>
    </row>
    <row r="954">
      <c r="A954" t="inlineStr">
        <is>
          <t>urban structure</t>
        </is>
      </c>
      <c r="B954" t="n">
        <v>1</v>
      </c>
    </row>
    <row r="955">
      <c r="A955" t="inlineStr">
        <is>
          <t>turin longitudinal study</t>
        </is>
      </c>
      <c r="B955" t="n">
        <v>1</v>
      </c>
    </row>
    <row r="956">
      <c r="A956" t="inlineStr">
        <is>
          <t>accessibility</t>
        </is>
      </c>
      <c r="B956" t="n">
        <v>11</v>
      </c>
    </row>
    <row r="957">
      <c r="A957" t="inlineStr">
        <is>
          <t>public transport</t>
        </is>
      </c>
      <c r="B957" t="n">
        <v>4</v>
      </c>
    </row>
    <row r="958">
      <c r="A958" t="inlineStr">
        <is>
          <t>urban density</t>
        </is>
      </c>
      <c r="B958" t="n">
        <v>1</v>
      </c>
    </row>
    <row r="959">
      <c r="A959" t="inlineStr">
        <is>
          <t>neighborhood perceptions</t>
        </is>
      </c>
      <c r="B959" t="n">
        <v>2</v>
      </c>
    </row>
    <row r="960">
      <c r="A960" t="inlineStr">
        <is>
          <t>acculturation</t>
        </is>
      </c>
      <c r="B960" t="n">
        <v>1</v>
      </c>
    </row>
    <row r="961">
      <c r="A961" t="inlineStr">
        <is>
          <t>inequities</t>
        </is>
      </c>
      <c r="B961" t="n">
        <v>1</v>
      </c>
    </row>
    <row r="962">
      <c r="A962" t="inlineStr">
        <is>
          <t>latinos</t>
        </is>
      </c>
      <c r="B962" t="n">
        <v>1</v>
      </c>
    </row>
    <row r="963">
      <c r="A963" t="inlineStr">
        <is>
          <t>hispanics</t>
        </is>
      </c>
      <c r="B963" t="n">
        <v>2</v>
      </c>
    </row>
    <row r="964">
      <c r="A964" t="inlineStr">
        <is>
          <t>prospect-refuge</t>
        </is>
      </c>
      <c r="B964" t="n">
        <v>1</v>
      </c>
    </row>
    <row r="965">
      <c r="A965" t="inlineStr">
        <is>
          <t>parametric design</t>
        </is>
      </c>
      <c r="B965" t="n">
        <v>3</v>
      </c>
    </row>
    <row r="966">
      <c r="A966" t="inlineStr">
        <is>
          <t>window design</t>
        </is>
      </c>
      <c r="B966" t="n">
        <v>2</v>
      </c>
    </row>
    <row r="967">
      <c r="A967" t="inlineStr">
        <is>
          <t>design method</t>
        </is>
      </c>
      <c r="B967" t="n">
        <v>1</v>
      </c>
    </row>
    <row r="968">
      <c r="A968" t="inlineStr">
        <is>
          <t>design exploration</t>
        </is>
      </c>
      <c r="B968" t="n">
        <v>1</v>
      </c>
    </row>
    <row r="969">
      <c r="A969" t="inlineStr">
        <is>
          <t>3d visibility</t>
        </is>
      </c>
      <c r="B969" t="n">
        <v>1</v>
      </c>
    </row>
    <row r="970">
      <c r="A970" t="inlineStr">
        <is>
          <t>physical</t>
        </is>
      </c>
      <c r="B970" t="n">
        <v>1</v>
      </c>
    </row>
    <row r="971">
      <c r="A971" t="inlineStr">
        <is>
          <t>pathways of action</t>
        </is>
      </c>
      <c r="B971" t="n">
        <v>1</v>
      </c>
    </row>
    <row r="972">
      <c r="A972" t="inlineStr">
        <is>
          <t>multilevel generalized structural equation model</t>
        </is>
      </c>
      <c r="B972" t="n">
        <v>1</v>
      </c>
    </row>
    <row r="973">
      <c r="A973" t="inlineStr">
        <is>
          <t>healthy public policy</t>
        </is>
      </c>
      <c r="B973" t="n">
        <v>2</v>
      </c>
    </row>
    <row r="974">
      <c r="A974" t="inlineStr">
        <is>
          <t>neighborhood characteristics</t>
        </is>
      </c>
      <c r="B974" t="n">
        <v>1</v>
      </c>
    </row>
    <row r="975">
      <c r="A975" t="inlineStr">
        <is>
          <t>perceived control</t>
        </is>
      </c>
      <c r="B975" t="n">
        <v>1</v>
      </c>
    </row>
    <row r="976">
      <c r="A976" t="inlineStr">
        <is>
          <t>bacteria</t>
        </is>
      </c>
      <c r="B976" t="n">
        <v>3</v>
      </c>
    </row>
    <row r="977">
      <c r="A977" t="inlineStr">
        <is>
          <t>fungi</t>
        </is>
      </c>
      <c r="B977" t="n">
        <v>5</v>
      </c>
    </row>
    <row r="978">
      <c r="A978" t="inlineStr">
        <is>
          <t>green space</t>
        </is>
      </c>
      <c r="B978" t="n">
        <v>10</v>
      </c>
    </row>
    <row r="979">
      <c r="A979" t="inlineStr">
        <is>
          <t>social robots</t>
        </is>
      </c>
      <c r="B979" t="n">
        <v>1</v>
      </c>
    </row>
    <row r="980">
      <c r="A980" t="inlineStr">
        <is>
          <t>ambient assisted living</t>
        </is>
      </c>
      <c r="B980" t="n">
        <v>2</v>
      </c>
    </row>
    <row r="981">
      <c r="A981" t="inlineStr">
        <is>
          <t>older adults care</t>
        </is>
      </c>
      <c r="B981" t="n">
        <v>1</v>
      </c>
    </row>
    <row r="982">
      <c r="A982" t="inlineStr">
        <is>
          <t>daily life activities monitoring</t>
        </is>
      </c>
      <c r="B982" t="n">
        <v>1</v>
      </c>
    </row>
    <row r="983">
      <c r="A983" t="inlineStr">
        <is>
          <t>technology limitation and acceptance</t>
        </is>
      </c>
      <c r="B983" t="n">
        <v>1</v>
      </c>
    </row>
    <row r="984">
      <c r="A984" t="inlineStr">
        <is>
          <t>care services models</t>
        </is>
      </c>
      <c r="B984" t="n">
        <v>1</v>
      </c>
    </row>
    <row r="985">
      <c r="A985" t="inlineStr">
        <is>
          <t>environmental barrier</t>
        </is>
      </c>
      <c r="B985" t="n">
        <v>1</v>
      </c>
    </row>
    <row r="986">
      <c r="A986" t="inlineStr">
        <is>
          <t>inertial measurement unit (imu)</t>
        </is>
      </c>
      <c r="B986" t="n">
        <v>1</v>
      </c>
    </row>
    <row r="987">
      <c r="A987" t="inlineStr">
        <is>
          <t>information entropy</t>
        </is>
      </c>
      <c r="B987" t="n">
        <v>1</v>
      </c>
    </row>
    <row r="988">
      <c r="A988" t="inlineStr">
        <is>
          <t>wearable sensing</t>
        </is>
      </c>
      <c r="B988" t="n">
        <v>1</v>
      </c>
    </row>
    <row r="989">
      <c r="A989" t="inlineStr">
        <is>
          <t>different reflection directional characteristics</t>
        </is>
      </c>
      <c r="B989" t="n">
        <v>1</v>
      </c>
    </row>
    <row r="990">
      <c r="A990" t="inlineStr">
        <is>
          <t>building facade</t>
        </is>
      </c>
      <c r="B990" t="n">
        <v>2</v>
      </c>
    </row>
    <row r="991">
      <c r="A991" t="inlineStr">
        <is>
          <t>outdoor thermal environment</t>
        </is>
      </c>
      <c r="B991" t="n">
        <v>3</v>
      </c>
    </row>
    <row r="992">
      <c r="A992" t="inlineStr">
        <is>
          <t>indoor heat loads</t>
        </is>
      </c>
      <c r="B992" t="n">
        <v>1</v>
      </c>
    </row>
    <row r="993">
      <c r="A993" t="inlineStr">
        <is>
          <t>cfd analysis</t>
        </is>
      </c>
      <c r="B993" t="n">
        <v>1</v>
      </c>
    </row>
    <row r="994">
      <c r="A994" t="inlineStr">
        <is>
          <t>cognitive enhancement</t>
        </is>
      </c>
      <c r="B994" t="n">
        <v>1</v>
      </c>
    </row>
    <row r="995">
      <c r="A995" t="inlineStr">
        <is>
          <t>motion video game</t>
        </is>
      </c>
      <c r="B995" t="n">
        <v>1</v>
      </c>
    </row>
    <row r="996">
      <c r="A996" t="inlineStr">
        <is>
          <t>multitasking</t>
        </is>
      </c>
      <c r="B996" t="n">
        <v>1</v>
      </c>
    </row>
    <row r="997">
      <c r="A997" t="inlineStr">
        <is>
          <t>sustainable vr</t>
        </is>
      </c>
      <c r="B997" t="n">
        <v>1</v>
      </c>
    </row>
    <row r="998">
      <c r="A998" t="inlineStr">
        <is>
          <t>working memory</t>
        </is>
      </c>
      <c r="B998" t="n">
        <v>5</v>
      </c>
    </row>
    <row r="999">
      <c r="A999" t="inlineStr">
        <is>
          <t>attention</t>
        </is>
      </c>
      <c r="B999" t="n">
        <v>1</v>
      </c>
    </row>
    <row r="1000">
      <c r="A1000" t="inlineStr">
        <is>
          <t>reasoning</t>
        </is>
      </c>
      <c r="B1000" t="n">
        <v>1</v>
      </c>
    </row>
    <row r="1001">
      <c r="A1001" t="inlineStr">
        <is>
          <t>physical balance</t>
        </is>
      </c>
      <c r="B1001" t="n">
        <v>1</v>
      </c>
    </row>
    <row r="1002">
      <c r="A1002" t="inlineStr">
        <is>
          <t>land use mix</t>
        </is>
      </c>
      <c r="B1002" t="n">
        <v>1</v>
      </c>
    </row>
    <row r="1003">
      <c r="A1003" t="inlineStr">
        <is>
          <t>socio-economics</t>
        </is>
      </c>
      <c r="B1003" t="n">
        <v>1</v>
      </c>
    </row>
    <row r="1004">
      <c r="A1004" t="inlineStr">
        <is>
          <t>residential segregation</t>
        </is>
      </c>
      <c r="B1004" t="n">
        <v>1</v>
      </c>
    </row>
    <row r="1005">
      <c r="A1005" t="inlineStr">
        <is>
          <t>building information modelling</t>
        </is>
      </c>
      <c r="B1005" t="n">
        <v>2</v>
      </c>
    </row>
    <row r="1006">
      <c r="A1006" t="inlineStr">
        <is>
          <t>sensor monitoring</t>
        </is>
      </c>
      <c r="B1006" t="n">
        <v>1</v>
      </c>
    </row>
    <row r="1007">
      <c r="A1007" t="inlineStr">
        <is>
          <t>college students</t>
        </is>
      </c>
      <c r="B1007" t="n">
        <v>1</v>
      </c>
    </row>
    <row r="1008">
      <c r="A1008" t="inlineStr">
        <is>
          <t>agriculture</t>
        </is>
      </c>
      <c r="B1008" t="n">
        <v>3</v>
      </c>
    </row>
    <row r="1009">
      <c r="A1009" t="inlineStr">
        <is>
          <t>building</t>
        </is>
      </c>
      <c r="B1009" t="n">
        <v>8</v>
      </c>
    </row>
    <row r="1010">
      <c r="A1010" t="inlineStr">
        <is>
          <t>hygiene</t>
        </is>
      </c>
      <c r="B1010" t="n">
        <v>1</v>
      </c>
    </row>
    <row r="1011">
      <c r="A1011" t="inlineStr">
        <is>
          <t>industry</t>
        </is>
      </c>
      <c r="B1011" t="n">
        <v>2</v>
      </c>
    </row>
    <row r="1012">
      <c r="A1012" t="inlineStr">
        <is>
          <t>indoor</t>
        </is>
      </c>
      <c r="B1012" t="n">
        <v>26</v>
      </c>
    </row>
    <row r="1013">
      <c r="A1013" t="inlineStr">
        <is>
          <t>monitoring methods</t>
        </is>
      </c>
      <c r="B1013" t="n">
        <v>1</v>
      </c>
    </row>
    <row r="1014">
      <c r="A1014" t="inlineStr">
        <is>
          <t>micromycetes</t>
        </is>
      </c>
      <c r="B1014" t="n">
        <v>2</v>
      </c>
    </row>
    <row r="1015">
      <c r="A1015" t="inlineStr">
        <is>
          <t>terrorism risk in europe</t>
        </is>
      </c>
      <c r="B1015" t="n">
        <v>1</v>
      </c>
    </row>
    <row r="1016">
      <c r="A1016" t="inlineStr">
        <is>
          <t>phenomenological risk assessment</t>
        </is>
      </c>
      <c r="B1016" t="n">
        <v>1</v>
      </c>
    </row>
    <row r="1017">
      <c r="A1017" t="inlineStr">
        <is>
          <t>parametrization of risk</t>
        </is>
      </c>
      <c r="B1017" t="n">
        <v>1</v>
      </c>
    </row>
    <row r="1018">
      <c r="A1018" t="inlineStr">
        <is>
          <t>urban built environment</t>
        </is>
      </c>
      <c r="B1018" t="n">
        <v>4</v>
      </c>
    </row>
    <row r="1019">
      <c r="A1019" t="inlineStr">
        <is>
          <t>outdoor areas</t>
        </is>
      </c>
      <c r="B1019" t="n">
        <v>1</v>
      </c>
    </row>
    <row r="1020">
      <c r="A1020" t="inlineStr">
        <is>
          <t>structural determinants of health</t>
        </is>
      </c>
      <c r="B1020" t="n">
        <v>1</v>
      </c>
    </row>
    <row r="1021">
      <c r="A1021" t="inlineStr">
        <is>
          <t>youth</t>
        </is>
      </c>
      <c r="B1021" t="n">
        <v>8</v>
      </c>
    </row>
    <row r="1022">
      <c r="A1022" t="inlineStr">
        <is>
          <t>covid-19 outbreak</t>
        </is>
      </c>
      <c r="B1022" t="n">
        <v>1</v>
      </c>
    </row>
    <row r="1023">
      <c r="A1023" t="inlineStr">
        <is>
          <t>spatial regression modeling</t>
        </is>
      </c>
      <c r="B1023" t="n">
        <v>1</v>
      </c>
    </row>
    <row r="1024">
      <c r="A1024" t="inlineStr">
        <is>
          <t>socio-economic environment</t>
        </is>
      </c>
      <c r="B1024" t="n">
        <v>1</v>
      </c>
    </row>
    <row r="1025">
      <c r="A1025" t="inlineStr">
        <is>
          <t>virtual audits</t>
        </is>
      </c>
      <c r="B1025" t="n">
        <v>1</v>
      </c>
    </row>
    <row r="1026">
      <c r="A1026" t="inlineStr">
        <is>
          <t>active neighborhood checklist</t>
        </is>
      </c>
      <c r="B1026" t="n">
        <v>1</v>
      </c>
    </row>
    <row r="1027">
      <c r="A1027" t="inlineStr">
        <is>
          <t>built neighborhood</t>
        </is>
      </c>
      <c r="B1027" t="n">
        <v>1</v>
      </c>
    </row>
    <row r="1028">
      <c r="A1028" t="inlineStr">
        <is>
          <t>residential neighborhoods</t>
        </is>
      </c>
      <c r="B1028" t="n">
        <v>1</v>
      </c>
    </row>
    <row r="1029">
      <c r="A1029" t="inlineStr">
        <is>
          <t>walk score (r)</t>
        </is>
      </c>
      <c r="B1029" t="n">
        <v>1</v>
      </c>
    </row>
    <row r="1030">
      <c r="A1030" t="inlineStr">
        <is>
          <t>environment quality</t>
        </is>
      </c>
      <c r="B1030" t="n">
        <v>1</v>
      </c>
    </row>
    <row r="1031">
      <c r="A1031" t="inlineStr">
        <is>
          <t>washington dc cardiovascular health and needs assessment</t>
        </is>
      </c>
      <c r="B1031" t="n">
        <v>1</v>
      </c>
    </row>
    <row r="1032">
      <c r="A1032" t="inlineStr">
        <is>
          <t>biophilic design</t>
        </is>
      </c>
      <c r="B1032" t="n">
        <v>6</v>
      </c>
    </row>
    <row r="1033">
      <c r="A1033" t="inlineStr">
        <is>
          <t>biophilic patterns</t>
        </is>
      </c>
      <c r="B1033" t="n">
        <v>1</v>
      </c>
    </row>
    <row r="1034">
      <c r="A1034" t="inlineStr">
        <is>
          <t>university campus</t>
        </is>
      </c>
      <c r="B1034" t="n">
        <v>5</v>
      </c>
    </row>
    <row r="1035">
      <c r="A1035" t="inlineStr">
        <is>
          <t>learning environments</t>
        </is>
      </c>
      <c r="B1035" t="n">
        <v>1</v>
      </c>
    </row>
    <row r="1036">
      <c r="A1036" t="inlineStr">
        <is>
          <t>restorative environmental design</t>
        </is>
      </c>
      <c r="B1036" t="n">
        <v>1</v>
      </c>
    </row>
    <row r="1037">
      <c r="A1037" t="inlineStr">
        <is>
          <t>salutogenic design</t>
        </is>
      </c>
      <c r="B1037" t="n">
        <v>1</v>
      </c>
    </row>
    <row r="1038">
      <c r="A1038" t="inlineStr">
        <is>
          <t>wayfinding</t>
        </is>
      </c>
      <c r="B1038" t="n">
        <v>2</v>
      </c>
    </row>
    <row r="1039">
      <c r="A1039" t="inlineStr">
        <is>
          <t>subjective surveys</t>
        </is>
      </c>
      <c r="B1039" t="n">
        <v>1</v>
      </c>
    </row>
    <row r="1040">
      <c r="A1040" t="inlineStr">
        <is>
          <t>deep learning</t>
        </is>
      </c>
      <c r="B1040" t="n">
        <v>5</v>
      </c>
    </row>
    <row r="1041">
      <c r="A1041" t="inlineStr">
        <is>
          <t>nature quality</t>
        </is>
      </c>
      <c r="B1041" t="n">
        <v>1</v>
      </c>
    </row>
    <row r="1042">
      <c r="A1042" t="inlineStr">
        <is>
          <t>exposure assessment</t>
        </is>
      </c>
      <c r="B1042" t="n">
        <v>4</v>
      </c>
    </row>
    <row r="1043">
      <c r="A1043" t="inlineStr">
        <is>
          <t>geographical detector</t>
        </is>
      </c>
      <c r="B1043" t="n">
        <v>1</v>
      </c>
    </row>
    <row r="1044">
      <c r="A1044" t="inlineStr">
        <is>
          <t>taiwan</t>
        </is>
      </c>
      <c r="B1044" t="n">
        <v>2</v>
      </c>
    </row>
    <row r="1045">
      <c r="A1045" t="inlineStr">
        <is>
          <t>building characteristics</t>
        </is>
      </c>
      <c r="B1045" t="n">
        <v>5</v>
      </c>
    </row>
    <row r="1046">
      <c r="A1046" t="inlineStr">
        <is>
          <t>sampling season</t>
        </is>
      </c>
      <c r="B1046" t="n">
        <v>1</v>
      </c>
    </row>
    <row r="1047">
      <c r="A1047" t="inlineStr">
        <is>
          <t>air exchange rate</t>
        </is>
      </c>
      <c r="B1047" t="n">
        <v>3</v>
      </c>
    </row>
    <row r="1048">
      <c r="A1048" t="inlineStr">
        <is>
          <t>organic compounds</t>
        </is>
      </c>
      <c r="B1048" t="n">
        <v>1</v>
      </c>
    </row>
    <row r="1049">
      <c r="A1049" t="inlineStr">
        <is>
          <t>commuter patterns</t>
        </is>
      </c>
      <c r="B1049" t="n">
        <v>1</v>
      </c>
    </row>
    <row r="1050">
      <c r="A1050" t="inlineStr">
        <is>
          <t>patients with chronic diseases</t>
        </is>
      </c>
      <c r="B1050" t="n">
        <v>1</v>
      </c>
    </row>
    <row r="1051">
      <c r="A1051" t="inlineStr">
        <is>
          <t>sem</t>
        </is>
      </c>
      <c r="B1051" t="n">
        <v>2</v>
      </c>
    </row>
    <row r="1052">
      <c r="A1052" t="inlineStr">
        <is>
          <t>changshu city</t>
        </is>
      </c>
      <c r="B1052" t="n">
        <v>1</v>
      </c>
    </row>
    <row r="1053">
      <c r="A1053" t="inlineStr">
        <is>
          <t>overheating</t>
        </is>
      </c>
      <c r="B1053" t="n">
        <v>2</v>
      </c>
    </row>
    <row r="1054">
      <c r="A1054" t="inlineStr">
        <is>
          <t>air quality</t>
        </is>
      </c>
      <c r="B1054" t="n">
        <v>11</v>
      </c>
    </row>
    <row r="1055">
      <c r="A1055" t="inlineStr">
        <is>
          <t>preconception</t>
        </is>
      </c>
      <c r="B1055" t="n">
        <v>1</v>
      </c>
    </row>
    <row r="1056">
      <c r="A1056" t="inlineStr">
        <is>
          <t>pregnancy outcomes</t>
        </is>
      </c>
      <c r="B1056" t="n">
        <v>1</v>
      </c>
    </row>
    <row r="1057">
      <c r="A1057" t="inlineStr">
        <is>
          <t>birth outcomes</t>
        </is>
      </c>
      <c r="B1057" t="n">
        <v>1</v>
      </c>
    </row>
    <row r="1058">
      <c r="A1058" t="inlineStr">
        <is>
          <t>scoping review protocol</t>
        </is>
      </c>
      <c r="B1058" t="n">
        <v>1</v>
      </c>
    </row>
    <row r="1059">
      <c r="A1059" t="inlineStr">
        <is>
          <t>aging-in-place</t>
        </is>
      </c>
      <c r="B1059" t="n">
        <v>3</v>
      </c>
    </row>
    <row r="1060">
      <c r="A1060" t="inlineStr">
        <is>
          <t>daily activity patterns</t>
        </is>
      </c>
      <c r="B1060" t="n">
        <v>1</v>
      </c>
    </row>
    <row r="1061">
      <c r="A1061" t="inlineStr">
        <is>
          <t>rural environment</t>
        </is>
      </c>
      <c r="B1061" t="n">
        <v>1</v>
      </c>
    </row>
    <row r="1062">
      <c r="A1062" t="inlineStr">
        <is>
          <t>sustainable architectural design</t>
        </is>
      </c>
      <c r="B1062" t="n">
        <v>1</v>
      </c>
    </row>
    <row r="1063">
      <c r="A1063" t="inlineStr">
        <is>
          <t>sustainable interior design</t>
        </is>
      </c>
      <c r="B1063" t="n">
        <v>1</v>
      </c>
    </row>
    <row r="1064">
      <c r="A1064" t="inlineStr">
        <is>
          <t>interior components</t>
        </is>
      </c>
      <c r="B1064" t="n">
        <v>1</v>
      </c>
    </row>
    <row r="1065">
      <c r="A1065" t="inlineStr">
        <is>
          <t>adaptive reuse</t>
        </is>
      </c>
      <c r="B1065" t="n">
        <v>1</v>
      </c>
    </row>
    <row r="1066">
      <c r="A1066" t="inlineStr">
        <is>
          <t>environmental contextualization</t>
        </is>
      </c>
      <c r="B1066" t="n">
        <v>1</v>
      </c>
    </row>
    <row r="1067">
      <c r="A1067" t="inlineStr">
        <is>
          <t>poverty</t>
        </is>
      </c>
      <c r="B1067" t="n">
        <v>1</v>
      </c>
    </row>
    <row r="1068">
      <c r="A1068" t="inlineStr">
        <is>
          <t>energy justice</t>
        </is>
      </c>
      <c r="B1068" t="n">
        <v>1</v>
      </c>
    </row>
    <row r="1069">
      <c r="A1069" t="inlineStr">
        <is>
          <t>planning policy</t>
        </is>
      </c>
      <c r="B1069" t="n">
        <v>1</v>
      </c>
    </row>
    <row r="1070">
      <c r="A1070" t="inlineStr">
        <is>
          <t>slum rehabilitation</t>
        </is>
      </c>
      <c r="B1070" t="n">
        <v>1</v>
      </c>
    </row>
    <row r="1071">
      <c r="A1071" t="inlineStr">
        <is>
          <t>energy service</t>
        </is>
      </c>
      <c r="B1071" t="n">
        <v>1</v>
      </c>
    </row>
    <row r="1072">
      <c r="A1072" t="inlineStr">
        <is>
          <t>demand-side management</t>
        </is>
      </c>
      <c r="B1072" t="n">
        <v>1</v>
      </c>
    </row>
    <row r="1073">
      <c r="A1073" t="inlineStr">
        <is>
          <t>housing design</t>
        </is>
      </c>
      <c r="B1073" t="n">
        <v>1</v>
      </c>
    </row>
    <row r="1074">
      <c r="A1074" t="inlineStr">
        <is>
          <t>health services for the aged</t>
        </is>
      </c>
      <c r="B1074" t="n">
        <v>1</v>
      </c>
    </row>
    <row r="1075">
      <c r="A1075" t="inlineStr">
        <is>
          <t>dependency</t>
        </is>
      </c>
      <c r="B1075" t="n">
        <v>1</v>
      </c>
    </row>
    <row r="1076">
      <c r="A1076" t="inlineStr">
        <is>
          <t>mildew odour</t>
        </is>
      </c>
      <c r="B1076" t="n">
        <v>1</v>
      </c>
    </row>
    <row r="1077">
      <c r="A1077" t="inlineStr">
        <is>
          <t>allergy</t>
        </is>
      </c>
      <c r="B1077" t="n">
        <v>3</v>
      </c>
    </row>
    <row r="1078">
      <c r="A1078" t="inlineStr">
        <is>
          <t>sleep</t>
        </is>
      </c>
      <c r="B1078" t="n">
        <v>8</v>
      </c>
    </row>
    <row r="1079">
      <c r="A1079" t="inlineStr">
        <is>
          <t>vision</t>
        </is>
      </c>
      <c r="B1079" t="n">
        <v>1</v>
      </c>
    </row>
    <row r="1080">
      <c r="A1080" t="inlineStr">
        <is>
          <t>spatial accessibility model</t>
        </is>
      </c>
      <c r="B1080" t="n">
        <v>1</v>
      </c>
    </row>
    <row r="1081">
      <c r="A1081" t="inlineStr">
        <is>
          <t>sustainable development strategies</t>
        </is>
      </c>
      <c r="B1081" t="n">
        <v>1</v>
      </c>
    </row>
    <row r="1082">
      <c r="A1082" t="inlineStr">
        <is>
          <t>long-term scenario analysis</t>
        </is>
      </c>
      <c r="B1082" t="n">
        <v>1</v>
      </c>
    </row>
    <row r="1083">
      <c r="A1083" t="inlineStr">
        <is>
          <t>ssps</t>
        </is>
      </c>
      <c r="B1083" t="n">
        <v>1</v>
      </c>
    </row>
    <row r="1084">
      <c r="A1084" t="inlineStr">
        <is>
          <t>cities</t>
        </is>
      </c>
      <c r="B1084" t="n">
        <v>3</v>
      </c>
    </row>
    <row r="1085">
      <c r="A1085" t="inlineStr">
        <is>
          <t>nature-based solutions</t>
        </is>
      </c>
      <c r="B1085" t="n">
        <v>6</v>
      </c>
    </row>
    <row r="1086">
      <c r="A1086" t="inlineStr">
        <is>
          <t>beyond growth</t>
        </is>
      </c>
      <c r="B1086" t="n">
        <v>1</v>
      </c>
    </row>
    <row r="1087">
      <c r="A1087" t="inlineStr">
        <is>
          <t>regional circular economy</t>
        </is>
      </c>
      <c r="B1087" t="n">
        <v>1</v>
      </c>
    </row>
    <row r="1088">
      <c r="A1088" t="inlineStr">
        <is>
          <t>building ventilation</t>
        </is>
      </c>
      <c r="B1088" t="n">
        <v>5</v>
      </c>
    </row>
    <row r="1089">
      <c r="A1089" t="inlineStr">
        <is>
          <t>airborne transmission</t>
        </is>
      </c>
      <c r="B1089" t="n">
        <v>5</v>
      </c>
    </row>
    <row r="1090">
      <c r="A1090" t="inlineStr">
        <is>
          <t>cfd models</t>
        </is>
      </c>
      <c r="B1090" t="n">
        <v>1</v>
      </c>
    </row>
    <row r="1091">
      <c r="A1091" t="inlineStr">
        <is>
          <t>droplets</t>
        </is>
      </c>
      <c r="B1091" t="n">
        <v>1</v>
      </c>
    </row>
    <row r="1092">
      <c r="A1092" t="inlineStr">
        <is>
          <t>reinforced concrete</t>
        </is>
      </c>
      <c r="B1092" t="n">
        <v>1</v>
      </c>
    </row>
    <row r="1093">
      <c r="A1093" t="inlineStr">
        <is>
          <t>chemical corrosion</t>
        </is>
      </c>
      <c r="B1093" t="n">
        <v>1</v>
      </c>
    </row>
    <row r="1094">
      <c r="A1094" t="inlineStr">
        <is>
          <t>modal analysis</t>
        </is>
      </c>
      <c r="B1094" t="n">
        <v>1</v>
      </c>
    </row>
    <row r="1095">
      <c r="A1095" t="inlineStr">
        <is>
          <t>finite element simulation</t>
        </is>
      </c>
      <c r="B1095" t="n">
        <v>1</v>
      </c>
    </row>
    <row r="1096">
      <c r="A1096" t="inlineStr">
        <is>
          <t>heat gain</t>
        </is>
      </c>
      <c r="B1096" t="n">
        <v>1</v>
      </c>
    </row>
    <row r="1097">
      <c r="A1097" t="inlineStr">
        <is>
          <t>fiber optic system</t>
        </is>
      </c>
      <c r="B1097" t="n">
        <v>1</v>
      </c>
    </row>
    <row r="1098">
      <c r="A1098" t="inlineStr">
        <is>
          <t>daylighting</t>
        </is>
      </c>
      <c r="B1098" t="n">
        <v>4</v>
      </c>
    </row>
    <row r="1099">
      <c r="A1099" t="inlineStr">
        <is>
          <t>tropical indoor environment</t>
        </is>
      </c>
      <c r="B1099" t="n">
        <v>1</v>
      </c>
    </row>
    <row r="1100">
      <c r="A1100" t="inlineStr">
        <is>
          <t>subjective built environment</t>
        </is>
      </c>
      <c r="B1100" t="n">
        <v>1</v>
      </c>
    </row>
    <row r="1101">
      <c r="A1101" t="inlineStr">
        <is>
          <t>china's hygienic city</t>
        </is>
      </c>
      <c r="B1101" t="n">
        <v>1</v>
      </c>
    </row>
    <row r="1102">
      <c r="A1102" t="inlineStr">
        <is>
          <t>reliability and validity</t>
        </is>
      </c>
      <c r="B1102" t="n">
        <v>1</v>
      </c>
    </row>
    <row r="1103">
      <c r="A1103" t="inlineStr">
        <is>
          <t>ageing research</t>
        </is>
      </c>
      <c r="B1103" t="n">
        <v>1</v>
      </c>
    </row>
    <row r="1104">
      <c r="A1104" t="inlineStr">
        <is>
          <t>adaption</t>
        </is>
      </c>
      <c r="B1104" t="n">
        <v>1</v>
      </c>
    </row>
    <row r="1105">
      <c r="A1105" t="inlineStr">
        <is>
          <t>tolerance</t>
        </is>
      </c>
      <c r="B1105" t="n">
        <v>1</v>
      </c>
    </row>
    <row r="1106">
      <c r="A1106" t="inlineStr">
        <is>
          <t>sensation</t>
        </is>
      </c>
      <c r="B1106" t="n">
        <v>2</v>
      </c>
    </row>
    <row r="1107">
      <c r="A1107" t="inlineStr">
        <is>
          <t>acceptance</t>
        </is>
      </c>
      <c r="B1107" t="n">
        <v>3</v>
      </c>
    </row>
    <row r="1108">
      <c r="A1108" t="inlineStr">
        <is>
          <t>ride-hailing</t>
        </is>
      </c>
      <c r="B1108" t="n">
        <v>1</v>
      </c>
    </row>
    <row r="1109">
      <c r="A1109" t="inlineStr">
        <is>
          <t>multi-scale geographically weighted regression</t>
        </is>
      </c>
      <c r="B1109" t="n">
        <v>1</v>
      </c>
    </row>
    <row r="1110">
      <c r="A1110" t="inlineStr">
        <is>
          <t>modifiable areal unit problem</t>
        </is>
      </c>
      <c r="B1110" t="n">
        <v>1</v>
      </c>
    </row>
    <row r="1111">
      <c r="A1111" t="inlineStr">
        <is>
          <t>elasticity</t>
        </is>
      </c>
      <c r="B1111" t="n">
        <v>1</v>
      </c>
    </row>
    <row r="1112">
      <c r="A1112" t="inlineStr">
        <is>
          <t>tri-axial accelerometer</t>
        </is>
      </c>
      <c r="B1112" t="n">
        <v>2</v>
      </c>
    </row>
    <row r="1113">
      <c r="A1113" t="inlineStr">
        <is>
          <t>semi-volatile organic compounds (svocs)</t>
        </is>
      </c>
      <c r="B1113" t="n">
        <v>2</v>
      </c>
    </row>
    <row r="1114">
      <c r="A1114" t="inlineStr">
        <is>
          <t>phthalate esters (paes)</t>
        </is>
      </c>
      <c r="B1114" t="n">
        <v>1</v>
      </c>
    </row>
    <row r="1115">
      <c r="A1115" t="inlineStr">
        <is>
          <t>polycyclic aromatic (pahs)</t>
        </is>
      </c>
      <c r="B1115" t="n">
        <v>1</v>
      </c>
    </row>
    <row r="1116">
      <c r="A1116" t="inlineStr">
        <is>
          <t>health effects</t>
        </is>
      </c>
      <c r="B1116" t="n">
        <v>5</v>
      </c>
    </row>
    <row r="1117">
      <c r="A1117" t="inlineStr">
        <is>
          <t>healing conditions</t>
        </is>
      </c>
      <c r="B1117" t="n">
        <v>1</v>
      </c>
    </row>
    <row r="1118">
      <c r="A1118" t="inlineStr">
        <is>
          <t>hospital environment</t>
        </is>
      </c>
      <c r="B1118" t="n">
        <v>1</v>
      </c>
    </row>
    <row r="1119">
      <c r="A1119" t="inlineStr">
        <is>
          <t>burn patient</t>
        </is>
      </c>
      <c r="B1119" t="n">
        <v>1</v>
      </c>
    </row>
    <row r="1120">
      <c r="A1120" t="inlineStr">
        <is>
          <t>thermodynamic response</t>
        </is>
      </c>
      <c r="B1120" t="n">
        <v>1</v>
      </c>
    </row>
    <row r="1121">
      <c r="A1121" t="inlineStr">
        <is>
          <t>user-centred cyber-physical system</t>
        </is>
      </c>
      <c r="B1121" t="n">
        <v>1</v>
      </c>
    </row>
    <row r="1122">
      <c r="A1122" t="inlineStr">
        <is>
          <t>smart building</t>
        </is>
      </c>
      <c r="B1122" t="n">
        <v>1</v>
      </c>
    </row>
    <row r="1123">
      <c r="A1123" t="inlineStr">
        <is>
          <t>health risk assessment</t>
        </is>
      </c>
      <c r="B1123" t="n">
        <v>3</v>
      </c>
    </row>
    <row r="1124">
      <c r="A1124" t="inlineStr">
        <is>
          <t>lstm deep learning</t>
        </is>
      </c>
      <c r="B1124" t="n">
        <v>1</v>
      </c>
    </row>
    <row r="1125">
      <c r="A1125" t="inlineStr">
        <is>
          <t>bayesian fitting</t>
        </is>
      </c>
      <c r="B1125" t="n">
        <v>1</v>
      </c>
    </row>
    <row r="1126">
      <c r="A1126" t="inlineStr">
        <is>
          <t>childcare</t>
        </is>
      </c>
      <c r="B1126" t="n">
        <v>4</v>
      </c>
    </row>
    <row r="1127">
      <c r="A1127" t="inlineStr">
        <is>
          <t>physical activity practices</t>
        </is>
      </c>
      <c r="B1127" t="n">
        <v>1</v>
      </c>
    </row>
    <row r="1128">
      <c r="A1128" t="inlineStr">
        <is>
          <t>barriers</t>
        </is>
      </c>
      <c r="B1128" t="n">
        <v>7</v>
      </c>
    </row>
    <row r="1129">
      <c r="A1129" t="inlineStr">
        <is>
          <t>active transport</t>
        </is>
      </c>
      <c r="B1129" t="n">
        <v>6</v>
      </c>
    </row>
    <row r="1130">
      <c r="A1130" t="inlineStr">
        <is>
          <t>school neighbourhood</t>
        </is>
      </c>
      <c r="B1130" t="n">
        <v>1</v>
      </c>
    </row>
    <row r="1131">
      <c r="A1131" t="inlineStr">
        <is>
          <t>noise</t>
        </is>
      </c>
      <c r="B1131" t="n">
        <v>3</v>
      </c>
    </row>
    <row r="1132">
      <c r="A1132" t="inlineStr">
        <is>
          <t>exercise capacity</t>
        </is>
      </c>
      <c r="B1132" t="n">
        <v>1</v>
      </c>
    </row>
    <row r="1133">
      <c r="A1133" t="inlineStr">
        <is>
          <t>chronic obstructive pulmonary disease</t>
        </is>
      </c>
      <c r="B1133" t="n">
        <v>1</v>
      </c>
    </row>
    <row r="1134">
      <c r="A1134" t="inlineStr">
        <is>
          <t>self-esteem</t>
        </is>
      </c>
      <c r="B1134" t="n">
        <v>2</v>
      </c>
    </row>
    <row r="1135">
      <c r="A1135" t="inlineStr">
        <is>
          <t>indoor heat</t>
        </is>
      </c>
      <c r="B1135" t="n">
        <v>1</v>
      </c>
    </row>
    <row r="1136">
      <c r="A1136" t="inlineStr">
        <is>
          <t>green spaces</t>
        </is>
      </c>
      <c r="B1136" t="n">
        <v>6</v>
      </c>
    </row>
    <row r="1137">
      <c r="A1137" t="inlineStr">
        <is>
          <t>seniors</t>
        </is>
      </c>
      <c r="B1137" t="n">
        <v>3</v>
      </c>
    </row>
    <row r="1138">
      <c r="A1138" t="inlineStr">
        <is>
          <t>interviews</t>
        </is>
      </c>
      <c r="B1138" t="n">
        <v>1</v>
      </c>
    </row>
    <row r="1139">
      <c r="A1139" t="inlineStr">
        <is>
          <t>system for observing play and recreation in communities (soparc)</t>
        </is>
      </c>
      <c r="B1139" t="n">
        <v>1</v>
      </c>
    </row>
    <row r="1140">
      <c r="A1140" t="inlineStr">
        <is>
          <t>age-friendly</t>
        </is>
      </c>
      <c r="B1140" t="n">
        <v>2</v>
      </c>
    </row>
    <row r="1141">
      <c r="A1141" t="inlineStr">
        <is>
          <t>mindful movement</t>
        </is>
      </c>
      <c r="B1141" t="n">
        <v>1</v>
      </c>
    </row>
    <row r="1142">
      <c r="A1142" t="inlineStr">
        <is>
          <t>emotion</t>
        </is>
      </c>
      <c r="B1142" t="n">
        <v>4</v>
      </c>
    </row>
    <row r="1143">
      <c r="A1143" t="inlineStr">
        <is>
          <t>solar radiation</t>
        </is>
      </c>
      <c r="B1143" t="n">
        <v>1</v>
      </c>
    </row>
    <row r="1144">
      <c r="A1144" t="inlineStr">
        <is>
          <t>cross ventilation</t>
        </is>
      </c>
      <c r="B1144" t="n">
        <v>1</v>
      </c>
    </row>
    <row r="1145">
      <c r="A1145" t="inlineStr">
        <is>
          <t>danish national birth cohort</t>
        </is>
      </c>
      <c r="B1145" t="n">
        <v>1</v>
      </c>
    </row>
    <row r="1146">
      <c r="A1146" t="inlineStr">
        <is>
          <t>home</t>
        </is>
      </c>
      <c r="B1146" t="n">
        <v>4</v>
      </c>
    </row>
    <row r="1147">
      <c r="A1147" t="inlineStr">
        <is>
          <t>environmental epidemiology</t>
        </is>
      </c>
      <c r="B1147" t="n">
        <v>5</v>
      </c>
    </row>
    <row r="1148">
      <c r="A1148" t="inlineStr">
        <is>
          <t>socioeconomic position</t>
        </is>
      </c>
      <c r="B1148" t="n">
        <v>4</v>
      </c>
    </row>
    <row r="1149">
      <c r="A1149" t="inlineStr">
        <is>
          <t>performance gap</t>
        </is>
      </c>
      <c r="B1149" t="n">
        <v>1</v>
      </c>
    </row>
    <row r="1150">
      <c r="A1150" t="inlineStr">
        <is>
          <t>gap analysis</t>
        </is>
      </c>
      <c r="B1150" t="n">
        <v>1</v>
      </c>
    </row>
    <row r="1151">
      <c r="A1151" t="inlineStr">
        <is>
          <t>regenerative buildings</t>
        </is>
      </c>
      <c r="B1151" t="n">
        <v>1</v>
      </c>
    </row>
    <row r="1152">
      <c r="A1152" t="inlineStr">
        <is>
          <t>post-occupancy evaluation (poe)</t>
        </is>
      </c>
      <c r="B1152" t="n">
        <v>1</v>
      </c>
    </row>
    <row r="1153">
      <c r="A1153" t="inlineStr">
        <is>
          <t>pre-occupancy evaluation</t>
        </is>
      </c>
      <c r="B1153" t="n">
        <v>1</v>
      </c>
    </row>
    <row r="1154">
      <c r="A1154" t="inlineStr">
        <is>
          <t>qualitative assessment</t>
        </is>
      </c>
      <c r="B1154" t="n">
        <v>1</v>
      </c>
    </row>
    <row r="1155">
      <c r="A1155" t="inlineStr">
        <is>
          <t>quantitative assessment</t>
        </is>
      </c>
      <c r="B1155" t="n">
        <v>1</v>
      </c>
    </row>
    <row r="1156">
      <c r="A1156" t="inlineStr">
        <is>
          <t>occupant-centred approach</t>
        </is>
      </c>
      <c r="B1156" t="n">
        <v>1</v>
      </c>
    </row>
    <row r="1157">
      <c r="A1157" t="inlineStr">
        <is>
          <t>continuous monitoring</t>
        </is>
      </c>
      <c r="B1157" t="n">
        <v>1</v>
      </c>
    </row>
    <row r="1158">
      <c r="A1158" t="inlineStr">
        <is>
          <t>interactive adaptivity</t>
        </is>
      </c>
      <c r="B1158" t="n">
        <v>1</v>
      </c>
    </row>
    <row r="1159">
      <c r="A1159" t="inlineStr">
        <is>
          <t>gas sensor</t>
        </is>
      </c>
      <c r="B1159" t="n">
        <v>1</v>
      </c>
    </row>
    <row r="1160">
      <c r="A1160" t="inlineStr">
        <is>
          <t>hvac control</t>
        </is>
      </c>
      <c r="B1160" t="n">
        <v>1</v>
      </c>
    </row>
    <row r="1161">
      <c r="A1161" t="inlineStr">
        <is>
          <t>adolescent outdoor play</t>
        </is>
      </c>
      <c r="B1161" t="n">
        <v>1</v>
      </c>
    </row>
    <row r="1162">
      <c r="A1162" t="inlineStr">
        <is>
          <t>parenting behaviors</t>
        </is>
      </c>
      <c r="B1162" t="n">
        <v>1</v>
      </c>
    </row>
    <row r="1163">
      <c r="A1163" t="inlineStr">
        <is>
          <t>iran</t>
        </is>
      </c>
      <c r="B1163" t="n">
        <v>1</v>
      </c>
    </row>
    <row r="1164">
      <c r="A1164" t="inlineStr">
        <is>
          <t>total volatile organic compounds</t>
        </is>
      </c>
      <c r="B1164" t="n">
        <v>1</v>
      </c>
    </row>
    <row r="1165">
      <c r="A1165" t="inlineStr">
        <is>
          <t>newly built houses</t>
        </is>
      </c>
      <c r="B1165" t="n">
        <v>2</v>
      </c>
    </row>
    <row r="1166">
      <c r="A1166" t="inlineStr">
        <is>
          <t>perceived walkability</t>
        </is>
      </c>
      <c r="B1166" t="n">
        <v>1</v>
      </c>
    </row>
    <row r="1167">
      <c r="A1167" t="inlineStr">
        <is>
          <t>streetscape design</t>
        </is>
      </c>
      <c r="B1167" t="n">
        <v>1</v>
      </c>
    </row>
    <row r="1168">
      <c r="A1168" t="inlineStr">
        <is>
          <t>factor analysis</t>
        </is>
      </c>
      <c r="B1168" t="n">
        <v>3</v>
      </c>
    </row>
    <row r="1169">
      <c r="A1169" t="inlineStr">
        <is>
          <t>transport carbon emission</t>
        </is>
      </c>
      <c r="B1169" t="n">
        <v>1</v>
      </c>
    </row>
    <row r="1170">
      <c r="A1170" t="inlineStr">
        <is>
          <t>travel behavior</t>
        </is>
      </c>
      <c r="B1170" t="n">
        <v>4</v>
      </c>
    </row>
    <row r="1171">
      <c r="A1171" t="inlineStr">
        <is>
          <t>socio-economic factors</t>
        </is>
      </c>
      <c r="B1171" t="n">
        <v>2</v>
      </c>
    </row>
    <row r="1172">
      <c r="A1172" t="inlineStr">
        <is>
          <t>shopping trips</t>
        </is>
      </c>
      <c r="B1172" t="n">
        <v>1</v>
      </c>
    </row>
    <row r="1173">
      <c r="A1173" t="inlineStr">
        <is>
          <t>salutogenic cities</t>
        </is>
      </c>
      <c r="B1173" t="n">
        <v>1</v>
      </c>
    </row>
    <row r="1174">
      <c r="A1174" t="inlineStr">
        <is>
          <t>walkable environments</t>
        </is>
      </c>
      <c r="B1174" t="n">
        <v>2</v>
      </c>
    </row>
    <row r="1175">
      <c r="A1175" t="inlineStr">
        <is>
          <t>bayesian networks</t>
        </is>
      </c>
      <c r="B1175" t="n">
        <v>1</v>
      </c>
    </row>
    <row r="1176">
      <c r="A1176" t="inlineStr">
        <is>
          <t>sustainable mobility</t>
        </is>
      </c>
      <c r="B1176" t="n">
        <v>2</v>
      </c>
    </row>
    <row r="1177">
      <c r="A1177" t="inlineStr">
        <is>
          <t>neighbourhood environment</t>
        </is>
      </c>
      <c r="B1177" t="n">
        <v>7</v>
      </c>
    </row>
    <row r="1178">
      <c r="A1178" t="inlineStr">
        <is>
          <t>interior design elements</t>
        </is>
      </c>
      <c r="B1178" t="n">
        <v>1</v>
      </c>
    </row>
    <row r="1179">
      <c r="A1179" t="inlineStr">
        <is>
          <t>occupants' perception</t>
        </is>
      </c>
      <c r="B1179" t="n">
        <v>1</v>
      </c>
    </row>
    <row r="1180">
      <c r="A1180" t="inlineStr">
        <is>
          <t>amenity</t>
        </is>
      </c>
      <c r="B1180" t="n">
        <v>1</v>
      </c>
    </row>
    <row r="1181">
      <c r="A1181" t="inlineStr">
        <is>
          <t>efficiency</t>
        </is>
      </c>
      <c r="B1181" t="n">
        <v>2</v>
      </c>
    </row>
    <row r="1182">
      <c r="A1182" t="inlineStr">
        <is>
          <t>causal relationship</t>
        </is>
      </c>
      <c r="B1182" t="n">
        <v>1</v>
      </c>
    </row>
    <row r="1183">
      <c r="A1183" t="inlineStr">
        <is>
          <t>residential space</t>
        </is>
      </c>
      <c r="B1183" t="n">
        <v>2</v>
      </c>
    </row>
    <row r="1184">
      <c r="A1184" t="inlineStr">
        <is>
          <t>virtual reality environment</t>
        </is>
      </c>
      <c r="B1184" t="n">
        <v>1</v>
      </c>
    </row>
    <row r="1185">
      <c r="A1185" t="inlineStr">
        <is>
          <t>spatial design adequacy</t>
        </is>
      </c>
      <c r="B1185" t="n">
        <v>1</v>
      </c>
    </row>
    <row r="1186">
      <c r="A1186" t="inlineStr">
        <is>
          <t>mobility patterns</t>
        </is>
      </c>
      <c r="B1186" t="n">
        <v>1</v>
      </c>
    </row>
    <row r="1187">
      <c r="A1187" t="inlineStr">
        <is>
          <t>floating car data</t>
        </is>
      </c>
      <c r="B1187" t="n">
        <v>1</v>
      </c>
    </row>
    <row r="1188">
      <c r="A1188" t="inlineStr">
        <is>
          <t>openstreetmap repository</t>
        </is>
      </c>
      <c r="B1188" t="n">
        <v>1</v>
      </c>
    </row>
    <row r="1189">
      <c r="A1189" t="inlineStr">
        <is>
          <t>road network</t>
        </is>
      </c>
      <c r="B1189" t="n">
        <v>1</v>
      </c>
    </row>
    <row r="1190">
      <c r="A1190" t="inlineStr">
        <is>
          <t>co2 emissions</t>
        </is>
      </c>
      <c r="B1190" t="n">
        <v>1</v>
      </c>
    </row>
    <row r="1191">
      <c r="A1191" t="inlineStr">
        <is>
          <t>indirect effect</t>
        </is>
      </c>
      <c r="B1191" t="n">
        <v>1</v>
      </c>
    </row>
    <row r="1192">
      <c r="A1192" t="inlineStr">
        <is>
          <t>different purposes of trips</t>
        </is>
      </c>
      <c r="B1192" t="n">
        <v>1</v>
      </c>
    </row>
    <row r="1193">
      <c r="A1193" t="inlineStr">
        <is>
          <t>structural equation model (sem)</t>
        </is>
      </c>
      <c r="B1193" t="n">
        <v>1</v>
      </c>
    </row>
    <row r="1194">
      <c r="A1194" t="inlineStr">
        <is>
          <t>psychosocial environments</t>
        </is>
      </c>
      <c r="B1194" t="n">
        <v>1</v>
      </c>
    </row>
    <row r="1195">
      <c r="A1195" t="inlineStr">
        <is>
          <t>sleep health</t>
        </is>
      </c>
      <c r="B1195" t="n">
        <v>1</v>
      </c>
    </row>
    <row r="1196">
      <c r="A1196" t="inlineStr">
        <is>
          <t>sleep disparities</t>
        </is>
      </c>
      <c r="B1196" t="n">
        <v>1</v>
      </c>
    </row>
    <row r="1197">
      <c r="A1197" t="inlineStr">
        <is>
          <t>aging adults</t>
        </is>
      </c>
      <c r="B1197" t="n">
        <v>1</v>
      </c>
    </row>
    <row r="1198">
      <c r="A1198" t="inlineStr">
        <is>
          <t>indoor microbiome</t>
        </is>
      </c>
      <c r="B1198" t="n">
        <v>2</v>
      </c>
    </row>
    <row r="1199">
      <c r="A1199" t="inlineStr">
        <is>
          <t>sequencing</t>
        </is>
      </c>
      <c r="B1199" t="n">
        <v>1</v>
      </c>
    </row>
    <row r="1200">
      <c r="A1200" t="inlineStr">
        <is>
          <t>weight</t>
        </is>
      </c>
      <c r="B1200" t="n">
        <v>1</v>
      </c>
    </row>
    <row r="1201">
      <c r="A1201" t="inlineStr">
        <is>
          <t>asia</t>
        </is>
      </c>
      <c r="B1201" t="n">
        <v>3</v>
      </c>
    </row>
    <row r="1202">
      <c r="A1202" t="inlineStr">
        <is>
          <t>active behaviour</t>
        </is>
      </c>
      <c r="B1202" t="n">
        <v>1</v>
      </c>
    </row>
    <row r="1203">
      <c r="A1203" t="inlineStr">
        <is>
          <t>self-perceived social life</t>
        </is>
      </c>
      <c r="B1203" t="n">
        <v>1</v>
      </c>
    </row>
    <row r="1204">
      <c r="A1204" t="inlineStr">
        <is>
          <t>convolutional neural network</t>
        </is>
      </c>
      <c r="B1204" t="n">
        <v>1</v>
      </c>
    </row>
    <row r="1205">
      <c r="A1205" t="inlineStr">
        <is>
          <t>classifier</t>
        </is>
      </c>
      <c r="B1205" t="n">
        <v>1</v>
      </c>
    </row>
    <row r="1206">
      <c r="A1206" t="inlineStr">
        <is>
          <t>community resilience</t>
        </is>
      </c>
      <c r="B1206" t="n">
        <v>1</v>
      </c>
    </row>
    <row r="1207">
      <c r="A1207" t="inlineStr">
        <is>
          <t>open data</t>
        </is>
      </c>
      <c r="B1207" t="n">
        <v>1</v>
      </c>
    </row>
    <row r="1208">
      <c r="A1208" t="inlineStr">
        <is>
          <t>exposure</t>
        </is>
      </c>
      <c r="B1208" t="n">
        <v>13</v>
      </c>
    </row>
    <row r="1209">
      <c r="A1209" t="inlineStr">
        <is>
          <t>environmental factors</t>
        </is>
      </c>
      <c r="B1209" t="n">
        <v>4</v>
      </c>
    </row>
    <row r="1210">
      <c r="A1210" t="inlineStr">
        <is>
          <t>rehabilitation</t>
        </is>
      </c>
      <c r="B1210" t="n">
        <v>2</v>
      </c>
    </row>
    <row r="1211">
      <c r="A1211" t="inlineStr">
        <is>
          <t>person-centred care</t>
        </is>
      </c>
      <c r="B1211" t="n">
        <v>1</v>
      </c>
    </row>
    <row r="1212">
      <c r="A1212" t="inlineStr">
        <is>
          <t>person-environment fit</t>
        </is>
      </c>
      <c r="B1212" t="n">
        <v>1</v>
      </c>
    </row>
    <row r="1213">
      <c r="A1213" t="inlineStr">
        <is>
          <t>mixed-methods design</t>
        </is>
      </c>
      <c r="B1213" t="n">
        <v>1</v>
      </c>
    </row>
    <row r="1214">
      <c r="A1214" t="inlineStr">
        <is>
          <t>renal morbidity</t>
        </is>
      </c>
      <c r="B1214" t="n">
        <v>1</v>
      </c>
    </row>
    <row r="1215">
      <c r="A1215" t="inlineStr">
        <is>
          <t>health adaptation</t>
        </is>
      </c>
      <c r="B1215" t="n">
        <v>1</v>
      </c>
    </row>
    <row r="1216">
      <c r="A1216" t="inlineStr">
        <is>
          <t>phthalates</t>
        </is>
      </c>
      <c r="B1216" t="n">
        <v>2</v>
      </c>
    </row>
    <row r="1217">
      <c r="A1217" t="inlineStr">
        <is>
          <t>dehp</t>
        </is>
      </c>
      <c r="B1217" t="n">
        <v>1</v>
      </c>
    </row>
    <row r="1218">
      <c r="A1218" t="inlineStr">
        <is>
          <t>dibp</t>
        </is>
      </c>
      <c r="B1218" t="n">
        <v>1</v>
      </c>
    </row>
    <row r="1219">
      <c r="A1219" t="inlineStr">
        <is>
          <t>dnbp</t>
        </is>
      </c>
      <c r="B1219" t="n">
        <v>1</v>
      </c>
    </row>
    <row r="1220">
      <c r="A1220" t="inlineStr">
        <is>
          <t>building operating</t>
        </is>
      </c>
      <c r="B1220" t="n">
        <v>1</v>
      </c>
    </row>
    <row r="1221">
      <c r="A1221" t="inlineStr">
        <is>
          <t>architecture</t>
        </is>
      </c>
      <c r="B1221" t="n">
        <v>6</v>
      </c>
    </row>
    <row r="1222">
      <c r="A1222" t="inlineStr">
        <is>
          <t>higher education</t>
        </is>
      </c>
      <c r="B1222" t="n">
        <v>2</v>
      </c>
    </row>
    <row r="1223">
      <c r="A1223" t="inlineStr">
        <is>
          <t>learning physical environment</t>
        </is>
      </c>
      <c r="B1223" t="n">
        <v>1</v>
      </c>
    </row>
    <row r="1224">
      <c r="A1224" t="inlineStr">
        <is>
          <t>sustainable buildings</t>
        </is>
      </c>
      <c r="B1224" t="n">
        <v>4</v>
      </c>
    </row>
    <row r="1225">
      <c r="A1225" t="inlineStr">
        <is>
          <t>bio-basis product</t>
        </is>
      </c>
      <c r="B1225" t="n">
        <v>1</v>
      </c>
    </row>
    <row r="1226">
      <c r="A1226" t="inlineStr">
        <is>
          <t>passport materials</t>
        </is>
      </c>
      <c r="B1226" t="n">
        <v>1</v>
      </c>
    </row>
    <row r="1227">
      <c r="A1227" t="inlineStr">
        <is>
          <t>thermal insulations</t>
        </is>
      </c>
      <c r="B1227" t="n">
        <v>1</v>
      </c>
    </row>
    <row r="1228">
      <c r="A1228" t="inlineStr">
        <is>
          <t>marine environment</t>
        </is>
      </c>
      <c r="B1228" t="n">
        <v>2</v>
      </c>
    </row>
    <row r="1229">
      <c r="A1229" t="inlineStr">
        <is>
          <t>microalgae phaeodactylum tricomutum</t>
        </is>
      </c>
      <c r="B1229" t="n">
        <v>1</v>
      </c>
    </row>
    <row r="1230">
      <c r="A1230" t="inlineStr">
        <is>
          <t>titanium dioxide (tio2)</t>
        </is>
      </c>
      <c r="B1230" t="n">
        <v>1</v>
      </c>
    </row>
    <row r="1231">
      <c r="A1231" t="inlineStr">
        <is>
          <t>growth inhibition</t>
        </is>
      </c>
      <c r="B1231" t="n">
        <v>1</v>
      </c>
    </row>
    <row r="1232">
      <c r="A1232" t="inlineStr">
        <is>
          <t>toxicity</t>
        </is>
      </c>
      <c r="B1232" t="n">
        <v>1</v>
      </c>
    </row>
    <row r="1233">
      <c r="A1233" t="inlineStr">
        <is>
          <t>lgbtqia plus</t>
        </is>
      </c>
      <c r="B1233" t="n">
        <v>1</v>
      </c>
    </row>
    <row r="1234">
      <c r="A1234" t="inlineStr">
        <is>
          <t>hiv</t>
        </is>
      </c>
      <c r="B1234" t="n">
        <v>2</v>
      </c>
    </row>
    <row r="1235">
      <c r="A1235" t="inlineStr">
        <is>
          <t>aids</t>
        </is>
      </c>
      <c r="B1235" t="n">
        <v>1</v>
      </c>
    </row>
    <row r="1236">
      <c r="A1236" t="inlineStr">
        <is>
          <t>inclusion</t>
        </is>
      </c>
      <c r="B1236" t="n">
        <v>3</v>
      </c>
    </row>
    <row r="1237">
      <c r="A1237" t="inlineStr">
        <is>
          <t>green physical activity</t>
        </is>
      </c>
      <c r="B1237" t="n">
        <v>1</v>
      </c>
    </row>
    <row r="1238">
      <c r="A1238" t="inlineStr">
        <is>
          <t>environmental design</t>
        </is>
      </c>
      <c r="B1238" t="n">
        <v>2</v>
      </c>
    </row>
    <row r="1239">
      <c r="A1239" t="inlineStr">
        <is>
          <t>happiness</t>
        </is>
      </c>
      <c r="B1239" t="n">
        <v>5</v>
      </c>
    </row>
    <row r="1240">
      <c r="A1240" t="inlineStr">
        <is>
          <t>ecological dynamics</t>
        </is>
      </c>
      <c r="B1240" t="n">
        <v>1</v>
      </c>
    </row>
    <row r="1241">
      <c r="A1241" t="inlineStr">
        <is>
          <t>indoor exercise environments</t>
        </is>
      </c>
      <c r="B1241" t="n">
        <v>1</v>
      </c>
    </row>
    <row r="1242">
      <c r="A1242" t="inlineStr">
        <is>
          <t>cyclist infrastructure</t>
        </is>
      </c>
      <c r="B1242" t="n">
        <v>1</v>
      </c>
    </row>
    <row r="1243">
      <c r="A1243" t="inlineStr">
        <is>
          <t>neighbourhood parks</t>
        </is>
      </c>
      <c r="B1243" t="n">
        <v>1</v>
      </c>
    </row>
    <row r="1244">
      <c r="A1244" t="inlineStr">
        <is>
          <t>open spaces</t>
        </is>
      </c>
      <c r="B1244" t="n">
        <v>1</v>
      </c>
    </row>
    <row r="1245">
      <c r="A1245" t="inlineStr">
        <is>
          <t>sports facilities</t>
        </is>
      </c>
      <c r="B1245" t="n">
        <v>2</v>
      </c>
    </row>
    <row r="1246">
      <c r="A1246" t="inlineStr">
        <is>
          <t>motives</t>
        </is>
      </c>
      <c r="B1246" t="n">
        <v>1</v>
      </c>
    </row>
    <row r="1247">
      <c r="A1247" t="inlineStr">
        <is>
          <t>literature review</t>
        </is>
      </c>
      <c r="B1247" t="n">
        <v>4</v>
      </c>
    </row>
    <row r="1248">
      <c r="A1248" t="inlineStr">
        <is>
          <t>blue space</t>
        </is>
      </c>
      <c r="B1248" t="n">
        <v>2</v>
      </c>
    </row>
    <row r="1249">
      <c r="A1249" t="inlineStr">
        <is>
          <t>cardiometabolic health</t>
        </is>
      </c>
      <c r="B1249" t="n">
        <v>1</v>
      </c>
    </row>
    <row r="1250">
      <c r="A1250" t="inlineStr">
        <is>
          <t>comfort</t>
        </is>
      </c>
      <c r="B1250" t="n">
        <v>5</v>
      </c>
    </row>
    <row r="1251">
      <c r="A1251" t="inlineStr">
        <is>
          <t>layout</t>
        </is>
      </c>
      <c r="B1251" t="n">
        <v>1</v>
      </c>
    </row>
    <row r="1252">
      <c r="A1252" t="inlineStr">
        <is>
          <t>office buildings</t>
        </is>
      </c>
      <c r="B1252" t="n">
        <v>3</v>
      </c>
    </row>
    <row r="1253">
      <c r="A1253" t="inlineStr">
        <is>
          <t>open-plan office spaces</t>
        </is>
      </c>
      <c r="B1253" t="n">
        <v>1</v>
      </c>
    </row>
    <row r="1254">
      <c r="A1254" t="inlineStr">
        <is>
          <t>sex factors</t>
        </is>
      </c>
      <c r="B1254" t="n">
        <v>1</v>
      </c>
    </row>
    <row r="1255">
      <c r="A1255" t="inlineStr">
        <is>
          <t>aged</t>
        </is>
      </c>
      <c r="B1255" t="n">
        <v>5</v>
      </c>
    </row>
    <row r="1256">
      <c r="A1256" t="inlineStr">
        <is>
          <t>care cost</t>
        </is>
      </c>
      <c r="B1256" t="n">
        <v>1</v>
      </c>
    </row>
    <row r="1257">
      <c r="A1257" t="inlineStr">
        <is>
          <t>spatial design</t>
        </is>
      </c>
      <c r="B1257" t="n">
        <v>2</v>
      </c>
    </row>
    <row r="1258">
      <c r="A1258" t="inlineStr">
        <is>
          <t>childcare facility</t>
        </is>
      </c>
      <c r="B1258" t="n">
        <v>1</v>
      </c>
    </row>
    <row r="1259">
      <c r="A1259" t="inlineStr">
        <is>
          <t>biophilic design patterns</t>
        </is>
      </c>
      <c r="B1259" t="n">
        <v>1</v>
      </c>
    </row>
    <row r="1260">
      <c r="A1260" t="inlineStr">
        <is>
          <t>facility planning</t>
        </is>
      </c>
      <c r="B1260" t="n">
        <v>1</v>
      </c>
    </row>
    <row r="1261">
      <c r="A1261" t="inlineStr">
        <is>
          <t>senior housing</t>
        </is>
      </c>
      <c r="B1261" t="n">
        <v>2</v>
      </c>
    </row>
    <row r="1262">
      <c r="A1262" t="inlineStr">
        <is>
          <t>relocation</t>
        </is>
      </c>
      <c r="B1262" t="n">
        <v>2</v>
      </c>
    </row>
    <row r="1263">
      <c r="A1263" t="inlineStr">
        <is>
          <t>walking speed</t>
        </is>
      </c>
      <c r="B1263" t="n">
        <v>2</v>
      </c>
    </row>
    <row r="1264">
      <c r="A1264" t="inlineStr">
        <is>
          <t>grip strength</t>
        </is>
      </c>
      <c r="B1264" t="n">
        <v>2</v>
      </c>
    </row>
    <row r="1265">
      <c r="A1265" t="inlineStr">
        <is>
          <t>chair stands</t>
        </is>
      </c>
      <c r="B1265" t="n">
        <v>1</v>
      </c>
    </row>
    <row r="1266">
      <c r="A1266" t="inlineStr">
        <is>
          <t>capabilities</t>
        </is>
      </c>
      <c r="B1266" t="n">
        <v>1</v>
      </c>
    </row>
    <row r="1267">
      <c r="A1267" t="inlineStr">
        <is>
          <t>walk-along interviews</t>
        </is>
      </c>
      <c r="B1267" t="n">
        <v>1</v>
      </c>
    </row>
    <row r="1268">
      <c r="A1268" t="inlineStr">
        <is>
          <t>chronic diseases</t>
        </is>
      </c>
      <c r="B1268" t="n">
        <v>3</v>
      </c>
    </row>
    <row r="1269">
      <c r="A1269" t="inlineStr">
        <is>
          <t>carbon dioxide (co2) production</t>
        </is>
      </c>
      <c r="B1269" t="n">
        <v>1</v>
      </c>
    </row>
    <row r="1270">
      <c r="A1270" t="inlineStr">
        <is>
          <t>health behaviours</t>
        </is>
      </c>
      <c r="B1270" t="n">
        <v>1</v>
      </c>
    </row>
    <row r="1271">
      <c r="A1271" t="inlineStr">
        <is>
          <t>multiple exposures</t>
        </is>
      </c>
      <c r="B1271" t="n">
        <v>1</v>
      </c>
    </row>
    <row r="1272">
      <c r="A1272" t="inlineStr">
        <is>
          <t>health patterns</t>
        </is>
      </c>
      <c r="B1272" t="n">
        <v>1</v>
      </c>
    </row>
    <row r="1273">
      <c r="A1273" t="inlineStr">
        <is>
          <t>principal component analysis</t>
        </is>
      </c>
      <c r="B1273" t="n">
        <v>2</v>
      </c>
    </row>
    <row r="1274">
      <c r="A1274" t="inlineStr">
        <is>
          <t>location choice</t>
        </is>
      </c>
      <c r="B1274" t="n">
        <v>1</v>
      </c>
    </row>
    <row r="1275">
      <c r="A1275" t="inlineStr">
        <is>
          <t>leisure-time walking</t>
        </is>
      </c>
      <c r="B1275" t="n">
        <v>1</v>
      </c>
    </row>
    <row r="1276">
      <c r="A1276" t="inlineStr">
        <is>
          <t>fuel type</t>
        </is>
      </c>
      <c r="B1276" t="n">
        <v>1</v>
      </c>
    </row>
    <row r="1277">
      <c r="A1277" t="inlineStr">
        <is>
          <t>smoking</t>
        </is>
      </c>
      <c r="B1277" t="n">
        <v>5</v>
      </c>
    </row>
    <row r="1278">
      <c r="A1278" t="inlineStr">
        <is>
          <t>cognitive capacity</t>
        </is>
      </c>
      <c r="B1278" t="n">
        <v>1</v>
      </c>
    </row>
    <row r="1279">
      <c r="A1279" t="inlineStr">
        <is>
          <t>ventilation rates</t>
        </is>
      </c>
      <c r="B1279" t="n">
        <v>1</v>
      </c>
    </row>
    <row r="1280">
      <c r="A1280" t="inlineStr">
        <is>
          <t>influencing building-related factors</t>
        </is>
      </c>
      <c r="B1280" t="n">
        <v>1</v>
      </c>
    </row>
    <row r="1281">
      <c r="A1281" t="inlineStr">
        <is>
          <t>income groups</t>
        </is>
      </c>
      <c r="B1281" t="n">
        <v>1</v>
      </c>
    </row>
    <row r="1282">
      <c r="A1282" t="inlineStr">
        <is>
          <t>building redesign</t>
        </is>
      </c>
      <c r="B1282" t="n">
        <v>1</v>
      </c>
    </row>
    <row r="1283">
      <c r="A1283" t="inlineStr">
        <is>
          <t>spatial behavior</t>
        </is>
      </c>
      <c r="B1283" t="n">
        <v>1</v>
      </c>
    </row>
    <row r="1284">
      <c r="A1284" t="inlineStr">
        <is>
          <t>context-specific</t>
        </is>
      </c>
      <c r="B1284" t="n">
        <v>1</v>
      </c>
    </row>
    <row r="1285">
      <c r="A1285" t="inlineStr">
        <is>
          <t>indoor pollutants</t>
        </is>
      </c>
      <c r="B1285" t="n">
        <v>1</v>
      </c>
    </row>
    <row r="1286">
      <c r="A1286" t="inlineStr">
        <is>
          <t>public utilities</t>
        </is>
      </c>
      <c r="B1286" t="n">
        <v>1</v>
      </c>
    </row>
    <row r="1287">
      <c r="A1287" t="inlineStr">
        <is>
          <t>improvement and performance evaluation</t>
        </is>
      </c>
      <c r="B1287" t="n">
        <v>1</v>
      </c>
    </row>
    <row r="1288">
      <c r="A1288" t="inlineStr">
        <is>
          <t>old detached housing</t>
        </is>
      </c>
      <c r="B1288" t="n">
        <v>1</v>
      </c>
    </row>
    <row r="1289">
      <c r="A1289" t="inlineStr">
        <is>
          <t>renewal technology</t>
        </is>
      </c>
      <c r="B1289" t="n">
        <v>1</v>
      </c>
    </row>
    <row r="1290">
      <c r="A1290" t="inlineStr">
        <is>
          <t>building-related symptoms</t>
        </is>
      </c>
      <c r="B1290" t="n">
        <v>5</v>
      </c>
    </row>
    <row r="1291">
      <c r="A1291" t="inlineStr">
        <is>
          <t>chemical exposure</t>
        </is>
      </c>
      <c r="B1291" t="n">
        <v>2</v>
      </c>
    </row>
    <row r="1292">
      <c r="A1292" t="inlineStr">
        <is>
          <t>independence</t>
        </is>
      </c>
      <c r="B1292" t="n">
        <v>2</v>
      </c>
    </row>
    <row r="1293">
      <c r="A1293" t="inlineStr">
        <is>
          <t>dwelling</t>
        </is>
      </c>
      <c r="B1293" t="n">
        <v>2</v>
      </c>
    </row>
    <row r="1294">
      <c r="A1294" t="inlineStr">
        <is>
          <t>energy-efficient building</t>
        </is>
      </c>
      <c r="B1294" t="n">
        <v>1</v>
      </c>
    </row>
    <row r="1295">
      <c r="A1295" t="inlineStr">
        <is>
          <t>passive house</t>
        </is>
      </c>
      <c r="B1295" t="n">
        <v>1</v>
      </c>
    </row>
    <row r="1296">
      <c r="A1296" t="inlineStr">
        <is>
          <t>seasonal variation</t>
        </is>
      </c>
      <c r="B1296" t="n">
        <v>1</v>
      </c>
    </row>
    <row r="1297">
      <c r="A1297" t="inlineStr">
        <is>
          <t>sustainable infrastructure</t>
        </is>
      </c>
      <c r="B1297" t="n">
        <v>1</v>
      </c>
    </row>
    <row r="1298">
      <c r="A1298" t="inlineStr">
        <is>
          <t>sustainable development goals</t>
        </is>
      </c>
      <c r="B1298" t="n">
        <v>7</v>
      </c>
    </row>
    <row r="1299">
      <c r="A1299" t="inlineStr">
        <is>
          <t>green walls</t>
        </is>
      </c>
      <c r="B1299" t="n">
        <v>2</v>
      </c>
    </row>
    <row r="1300">
      <c r="A1300" t="inlineStr">
        <is>
          <t>biofilter</t>
        </is>
      </c>
      <c r="B1300" t="n">
        <v>1</v>
      </c>
    </row>
    <row r="1301">
      <c r="A1301" t="inlineStr">
        <is>
          <t>bioclimatic chart</t>
        </is>
      </c>
      <c r="B1301" t="n">
        <v>1</v>
      </c>
    </row>
    <row r="1302">
      <c r="A1302" t="inlineStr">
        <is>
          <t>hot-humid climate</t>
        </is>
      </c>
      <c r="B1302" t="n">
        <v>1</v>
      </c>
    </row>
    <row r="1303">
      <c r="A1303" t="inlineStr">
        <is>
          <t>end-user satisfaction</t>
        </is>
      </c>
      <c r="B1303" t="n">
        <v>1</v>
      </c>
    </row>
    <row r="1304">
      <c r="A1304" t="inlineStr">
        <is>
          <t>educational buildings</t>
        </is>
      </c>
      <c r="B1304" t="n">
        <v>2</v>
      </c>
    </row>
    <row r="1305">
      <c r="A1305" t="inlineStr">
        <is>
          <t>residential landscape</t>
        </is>
      </c>
      <c r="B1305" t="n">
        <v>1</v>
      </c>
    </row>
    <row r="1306">
      <c r="A1306" t="inlineStr">
        <is>
          <t>interior landscape space</t>
        </is>
      </c>
      <c r="B1306" t="n">
        <v>1</v>
      </c>
    </row>
    <row r="1307">
      <c r="A1307" t="inlineStr">
        <is>
          <t>interior landscape</t>
        </is>
      </c>
      <c r="B1307" t="n">
        <v>1</v>
      </c>
    </row>
    <row r="1308">
      <c r="A1308" t="inlineStr">
        <is>
          <t>greenness index</t>
        </is>
      </c>
      <c r="B1308" t="n">
        <v>1</v>
      </c>
    </row>
    <row r="1309">
      <c r="A1309" t="inlineStr">
        <is>
          <t>green view index</t>
        </is>
      </c>
      <c r="B1309" t="n">
        <v>1</v>
      </c>
    </row>
    <row r="1310">
      <c r="A1310" t="inlineStr">
        <is>
          <t>human-plant interactions</t>
        </is>
      </c>
      <c r="B1310" t="n">
        <v>1</v>
      </c>
    </row>
    <row r="1311">
      <c r="A1311" t="inlineStr">
        <is>
          <t>fall injuries</t>
        </is>
      </c>
      <c r="B1311" t="n">
        <v>1</v>
      </c>
    </row>
    <row r="1312">
      <c r="A1312" t="inlineStr">
        <is>
          <t>environmental risk factors</t>
        </is>
      </c>
      <c r="B1312" t="n">
        <v>1</v>
      </c>
    </row>
    <row r="1313">
      <c r="A1313" t="inlineStr">
        <is>
          <t>airport green built environment</t>
        </is>
      </c>
      <c r="B1313" t="n">
        <v>1</v>
      </c>
    </row>
    <row r="1314">
      <c r="A1314" t="inlineStr">
        <is>
          <t>psychological resilience</t>
        </is>
      </c>
      <c r="B1314" t="n">
        <v>1</v>
      </c>
    </row>
    <row r="1315">
      <c r="A1315" t="inlineStr">
        <is>
          <t>airport visitors</t>
        </is>
      </c>
      <c r="B1315" t="n">
        <v>1</v>
      </c>
    </row>
    <row r="1316">
      <c r="A1316" t="inlineStr">
        <is>
          <t>healthy atmospherics</t>
        </is>
      </c>
      <c r="B1316" t="n">
        <v>1</v>
      </c>
    </row>
    <row r="1317">
      <c r="A1317" t="inlineStr">
        <is>
          <t>brand-self connection</t>
        </is>
      </c>
      <c r="B1317" t="n">
        <v>1</v>
      </c>
    </row>
    <row r="1318">
      <c r="A1318" t="inlineStr">
        <is>
          <t>loyalty intentions</t>
        </is>
      </c>
      <c r="B1318" t="n">
        <v>1</v>
      </c>
    </row>
    <row r="1319">
      <c r="A1319" t="inlineStr">
        <is>
          <t>indoor environmental quality (ieq)</t>
        </is>
      </c>
      <c r="B1319" t="n">
        <v>5</v>
      </c>
    </row>
    <row r="1320">
      <c r="A1320" t="inlineStr">
        <is>
          <t>occupant satisfaction survey</t>
        </is>
      </c>
      <c r="B1320" t="n">
        <v>1</v>
      </c>
    </row>
    <row r="1321">
      <c r="A1321" t="inlineStr">
        <is>
          <t>work productivity</t>
        </is>
      </c>
      <c r="B1321" t="n">
        <v>1</v>
      </c>
    </row>
    <row r="1322">
      <c r="A1322" t="inlineStr">
        <is>
          <t>research institute</t>
        </is>
      </c>
      <c r="B1322" t="n">
        <v>2</v>
      </c>
    </row>
    <row r="1323">
      <c r="A1323" t="inlineStr">
        <is>
          <t>job types</t>
        </is>
      </c>
      <c r="B1323" t="n">
        <v>1</v>
      </c>
    </row>
    <row r="1324">
      <c r="A1324" t="inlineStr">
        <is>
          <t>building layout</t>
        </is>
      </c>
      <c r="B1324" t="n">
        <v>1</v>
      </c>
    </row>
    <row r="1325">
      <c r="A1325" t="inlineStr">
        <is>
          <t>numerical simulation</t>
        </is>
      </c>
      <c r="B1325" t="n">
        <v>2</v>
      </c>
    </row>
    <row r="1326">
      <c r="A1326" t="inlineStr">
        <is>
          <t>residential areas</t>
        </is>
      </c>
      <c r="B1326" t="n">
        <v>1</v>
      </c>
    </row>
    <row r="1327">
      <c r="A1327" t="inlineStr">
        <is>
          <t>severe cold regions</t>
        </is>
      </c>
      <c r="B1327" t="n">
        <v>1</v>
      </c>
    </row>
    <row r="1328">
      <c r="A1328" t="inlineStr">
        <is>
          <t>international classification of functioning</t>
        </is>
      </c>
      <c r="B1328" t="n">
        <v>2</v>
      </c>
    </row>
    <row r="1329">
      <c r="A1329" t="inlineStr">
        <is>
          <t>disability and health</t>
        </is>
      </c>
      <c r="B1329" t="n">
        <v>2</v>
      </c>
    </row>
    <row r="1330">
      <c r="A1330" t="inlineStr">
        <is>
          <t>attitudinal environment</t>
        </is>
      </c>
      <c r="B1330" t="n">
        <v>1</v>
      </c>
    </row>
    <row r="1331">
      <c r="A1331" t="inlineStr">
        <is>
          <t>structural ableism</t>
        </is>
      </c>
      <c r="B1331" t="n">
        <v>1</v>
      </c>
    </row>
    <row r="1332">
      <c r="A1332" t="inlineStr">
        <is>
          <t>qol</t>
        </is>
      </c>
      <c r="B1332" t="n">
        <v>1</v>
      </c>
    </row>
    <row r="1333">
      <c r="A1333" t="inlineStr">
        <is>
          <t>stigma</t>
        </is>
      </c>
      <c r="B1333" t="n">
        <v>2</v>
      </c>
    </row>
    <row r="1334">
      <c r="A1334" t="inlineStr">
        <is>
          <t>discrimination</t>
        </is>
      </c>
      <c r="B1334" t="n">
        <v>1</v>
      </c>
    </row>
    <row r="1335">
      <c r="A1335" t="inlineStr">
        <is>
          <t>physical disability</t>
        </is>
      </c>
      <c r="B1335" t="n">
        <v>2</v>
      </c>
    </row>
    <row r="1336">
      <c r="A1336" t="inlineStr">
        <is>
          <t>volatile organic compounds (vocs)</t>
        </is>
      </c>
      <c r="B1336" t="n">
        <v>3</v>
      </c>
    </row>
    <row r="1337">
      <c r="A1337" t="inlineStr">
        <is>
          <t>pre-assessment</t>
        </is>
      </c>
      <c r="B1337" t="n">
        <v>1</v>
      </c>
    </row>
    <row r="1338">
      <c r="A1338" t="inlineStr">
        <is>
          <t>indoor and vehicular air quality (ivaq)</t>
        </is>
      </c>
      <c r="B1338" t="n">
        <v>1</v>
      </c>
    </row>
    <row r="1339">
      <c r="A1339" t="inlineStr">
        <is>
          <t>preschool interiors</t>
        </is>
      </c>
      <c r="B1339" t="n">
        <v>1</v>
      </c>
    </row>
    <row r="1340">
      <c r="A1340" t="inlineStr">
        <is>
          <t>biophilic interior design matrix</t>
        </is>
      </c>
      <c r="B1340" t="n">
        <v>1</v>
      </c>
    </row>
    <row r="1341">
      <c r="A1341" t="inlineStr">
        <is>
          <t>urban configuration</t>
        </is>
      </c>
      <c r="B1341" t="n">
        <v>1</v>
      </c>
    </row>
    <row r="1342">
      <c r="A1342" t="inlineStr">
        <is>
          <t>sprawl</t>
        </is>
      </c>
      <c r="B1342" t="n">
        <v>1</v>
      </c>
    </row>
    <row r="1343">
      <c r="A1343" t="inlineStr">
        <is>
          <t>food desert</t>
        </is>
      </c>
      <c r="B1343" t="n">
        <v>1</v>
      </c>
    </row>
    <row r="1344">
      <c r="A1344" t="inlineStr">
        <is>
          <t>fast food</t>
        </is>
      </c>
      <c r="B1344" t="n">
        <v>1</v>
      </c>
    </row>
    <row r="1345">
      <c r="A1345" t="inlineStr">
        <is>
          <t>exercise access</t>
        </is>
      </c>
      <c r="B1345" t="n">
        <v>1</v>
      </c>
    </row>
    <row r="1346">
      <c r="A1346" t="inlineStr">
        <is>
          <t>consumer products</t>
        </is>
      </c>
      <c r="B1346" t="n">
        <v>3</v>
      </c>
    </row>
    <row r="1347">
      <c r="A1347" t="inlineStr">
        <is>
          <t>indoor dust</t>
        </is>
      </c>
      <c r="B1347" t="n">
        <v>10</v>
      </c>
    </row>
    <row r="1348">
      <c r="A1348" t="inlineStr">
        <is>
          <t>svocs</t>
        </is>
      </c>
      <c r="B1348" t="n">
        <v>1</v>
      </c>
    </row>
    <row r="1349">
      <c r="A1349" t="inlineStr">
        <is>
          <t>secondary organic aerosols</t>
        </is>
      </c>
      <c r="B1349" t="n">
        <v>1</v>
      </c>
    </row>
    <row r="1350">
      <c r="A1350" t="inlineStr">
        <is>
          <t>household products</t>
        </is>
      </c>
      <c r="B1350" t="n">
        <v>1</v>
      </c>
    </row>
    <row r="1351">
      <c r="A1351" t="inlineStr">
        <is>
          <t>chemical speciation</t>
        </is>
      </c>
      <c r="B1351" t="n">
        <v>1</v>
      </c>
    </row>
    <row r="1352">
      <c r="A1352" t="inlineStr">
        <is>
          <t>limonene</t>
        </is>
      </c>
      <c r="B1352" t="n">
        <v>3</v>
      </c>
    </row>
    <row r="1353">
      <c r="A1353" t="inlineStr">
        <is>
          <t>walk time</t>
        </is>
      </c>
      <c r="B1353" t="n">
        <v>1</v>
      </c>
    </row>
    <row r="1354">
      <c r="A1354" t="inlineStr">
        <is>
          <t>street vitality</t>
        </is>
      </c>
      <c r="B1354" t="n">
        <v>4</v>
      </c>
    </row>
    <row r="1355">
      <c r="A1355" t="inlineStr">
        <is>
          <t>street activity</t>
        </is>
      </c>
      <c r="B1355" t="n">
        <v>2</v>
      </c>
    </row>
    <row r="1356">
      <c r="A1356" t="inlineStr">
        <is>
          <t>5d</t>
        </is>
      </c>
      <c r="B1356" t="n">
        <v>1</v>
      </c>
    </row>
    <row r="1357">
      <c r="A1357" t="inlineStr">
        <is>
          <t>spatial panel durbin model</t>
        </is>
      </c>
      <c r="B1357" t="n">
        <v>1</v>
      </c>
    </row>
    <row r="1358">
      <c r="A1358" t="inlineStr">
        <is>
          <t>xiamen island</t>
        </is>
      </c>
      <c r="B1358" t="n">
        <v>1</v>
      </c>
    </row>
    <row r="1359">
      <c r="A1359" t="inlineStr">
        <is>
          <t>mental functioning</t>
        </is>
      </c>
      <c r="B1359" t="n">
        <v>1</v>
      </c>
    </row>
    <row r="1360">
      <c r="A1360" t="inlineStr">
        <is>
          <t>physical functioning</t>
        </is>
      </c>
      <c r="B1360" t="n">
        <v>2</v>
      </c>
    </row>
    <row r="1361">
      <c r="A1361" t="inlineStr">
        <is>
          <t>loneliness</t>
        </is>
      </c>
      <c r="B1361" t="n">
        <v>12</v>
      </c>
    </row>
    <row r="1362">
      <c r="A1362" t="inlineStr">
        <is>
          <t>social contacts</t>
        </is>
      </c>
      <c r="B1362" t="n">
        <v>1</v>
      </c>
    </row>
    <row r="1363">
      <c r="A1363" t="inlineStr">
        <is>
          <t>solid fuel use</t>
        </is>
      </c>
      <c r="B1363" t="n">
        <v>1</v>
      </c>
    </row>
    <row r="1364">
      <c r="A1364" t="inlineStr">
        <is>
          <t>phenotypic frailty</t>
        </is>
      </c>
      <c r="B1364" t="n">
        <v>1</v>
      </c>
    </row>
    <row r="1365">
      <c r="A1365" t="inlineStr">
        <is>
          <t>frailty index</t>
        </is>
      </c>
      <c r="B1365" t="n">
        <v>1</v>
      </c>
    </row>
    <row r="1366">
      <c r="A1366" t="inlineStr">
        <is>
          <t>older chinese adults</t>
        </is>
      </c>
      <c r="B1366" t="n">
        <v>3</v>
      </c>
    </row>
    <row r="1367">
      <c r="A1367" t="inlineStr">
        <is>
          <t>cohort</t>
        </is>
      </c>
      <c r="B1367" t="n">
        <v>2</v>
      </c>
    </row>
    <row r="1368">
      <c r="A1368" t="inlineStr">
        <is>
          <t>active design</t>
        </is>
      </c>
      <c r="B1368" t="n">
        <v>1</v>
      </c>
    </row>
    <row r="1369">
      <c r="A1369" t="inlineStr">
        <is>
          <t>affordable housing</t>
        </is>
      </c>
      <c r="B1369" t="n">
        <v>2</v>
      </c>
    </row>
    <row r="1370">
      <c r="A1370" t="inlineStr">
        <is>
          <t>health behaviors</t>
        </is>
      </c>
      <c r="B1370" t="n">
        <v>3</v>
      </c>
    </row>
    <row r="1371">
      <c r="A1371" t="inlineStr">
        <is>
          <t>microscale</t>
        </is>
      </c>
      <c r="B1371" t="n">
        <v>1</v>
      </c>
    </row>
    <row r="1372">
      <c r="A1372" t="inlineStr">
        <is>
          <t>environmental pollution</t>
        </is>
      </c>
      <c r="B1372" t="n">
        <v>1</v>
      </c>
    </row>
    <row r="1373">
      <c r="A1373" t="inlineStr">
        <is>
          <t>indoor thermal comfort</t>
        </is>
      </c>
      <c r="B1373" t="n">
        <v>4</v>
      </c>
    </row>
    <row r="1374">
      <c r="A1374" t="inlineStr">
        <is>
          <t>the evaluation index</t>
        </is>
      </c>
      <c r="B1374" t="n">
        <v>1</v>
      </c>
    </row>
    <row r="1375">
      <c r="A1375" t="inlineStr">
        <is>
          <t>comfort zone</t>
        </is>
      </c>
      <c r="B1375" t="n">
        <v>1</v>
      </c>
    </row>
    <row r="1376">
      <c r="A1376" t="inlineStr">
        <is>
          <t>wind environment</t>
        </is>
      </c>
      <c r="B1376" t="n">
        <v>3</v>
      </c>
    </row>
    <row r="1377">
      <c r="A1377" t="inlineStr">
        <is>
          <t>natural ventilation potential (nvp)</t>
        </is>
      </c>
      <c r="B1377" t="n">
        <v>1</v>
      </c>
    </row>
    <row r="1378">
      <c r="A1378" t="inlineStr">
        <is>
          <t>pm2</t>
        </is>
      </c>
      <c r="B1378" t="n">
        <v>5</v>
      </c>
    </row>
    <row r="1379">
      <c r="A1379" t="inlineStr">
        <is>
          <t>5</t>
        </is>
      </c>
      <c r="B1379" t="n">
        <v>4</v>
      </c>
    </row>
    <row r="1380">
      <c r="A1380" t="inlineStr">
        <is>
          <t>building-tree grouping patterns</t>
        </is>
      </c>
      <c r="B1380" t="n">
        <v>1</v>
      </c>
    </row>
    <row r="1381">
      <c r="A1381" t="inlineStr">
        <is>
          <t>computational fluid dynamics (cfd)</t>
        </is>
      </c>
      <c r="B1381" t="n">
        <v>7</v>
      </c>
    </row>
    <row r="1382">
      <c r="A1382" t="inlineStr">
        <is>
          <t>survey</t>
        </is>
      </c>
      <c r="B1382" t="n">
        <v>4</v>
      </c>
    </row>
    <row r="1383">
      <c r="A1383" t="inlineStr">
        <is>
          <t>multivariate statistics</t>
        </is>
      </c>
      <c r="B1383" t="n">
        <v>1</v>
      </c>
    </row>
    <row r="1384">
      <c r="A1384" t="inlineStr">
        <is>
          <t>soil health</t>
        </is>
      </c>
      <c r="B1384" t="n">
        <v>1</v>
      </c>
    </row>
    <row r="1385">
      <c r="A1385" t="inlineStr">
        <is>
          <t>humid tropics</t>
        </is>
      </c>
      <c r="B1385" t="n">
        <v>1</v>
      </c>
    </row>
    <row r="1386">
      <c r="A1386" t="inlineStr">
        <is>
          <t>millennials</t>
        </is>
      </c>
      <c r="B1386" t="n">
        <v>1</v>
      </c>
    </row>
    <row r="1387">
      <c r="A1387" t="inlineStr">
        <is>
          <t>young adults</t>
        </is>
      </c>
      <c r="B1387" t="n">
        <v>3</v>
      </c>
    </row>
    <row r="1388">
      <c r="A1388" t="inlineStr">
        <is>
          <t>mode choice</t>
        </is>
      </c>
      <c r="B1388" t="n">
        <v>1</v>
      </c>
    </row>
    <row r="1389">
      <c r="A1389" t="inlineStr">
        <is>
          <t>generational differences</t>
        </is>
      </c>
      <c r="B1389" t="n">
        <v>1</v>
      </c>
    </row>
    <row r="1390">
      <c r="A1390" t="inlineStr">
        <is>
          <t>frailty</t>
        </is>
      </c>
      <c r="B1390" t="n">
        <v>25</v>
      </c>
    </row>
    <row r="1391">
      <c r="A1391" t="inlineStr">
        <is>
          <t>multilevel analysis</t>
        </is>
      </c>
      <c r="B1391" t="n">
        <v>5</v>
      </c>
    </row>
    <row r="1392">
      <c r="A1392" t="inlineStr">
        <is>
          <t>hospital</t>
        </is>
      </c>
      <c r="B1392" t="n">
        <v>4</v>
      </c>
    </row>
    <row r="1393">
      <c r="A1393" t="inlineStr">
        <is>
          <t>pollutants</t>
        </is>
      </c>
      <c r="B1393" t="n">
        <v>6</v>
      </c>
    </row>
    <row r="1394">
      <c r="A1394" t="inlineStr">
        <is>
          <t>spatial and temporal variability</t>
        </is>
      </c>
      <c r="B1394" t="n">
        <v>1</v>
      </c>
    </row>
    <row r="1395">
      <c r="A1395" t="inlineStr">
        <is>
          <t>air sampling methodology</t>
        </is>
      </c>
      <c r="B1395" t="n">
        <v>1</v>
      </c>
    </row>
    <row r="1396">
      <c r="A1396" t="inlineStr">
        <is>
          <t>human health</t>
        </is>
      </c>
      <c r="B1396" t="n">
        <v>6</v>
      </c>
    </row>
    <row r="1397">
      <c r="A1397" t="inlineStr">
        <is>
          <t>active school transport</t>
        </is>
      </c>
      <c r="B1397" t="n">
        <v>1</v>
      </c>
    </row>
    <row r="1398">
      <c r="A1398" t="inlineStr">
        <is>
          <t>walking and biking to school</t>
        </is>
      </c>
      <c r="B1398" t="n">
        <v>1</v>
      </c>
    </row>
    <row r="1399">
      <c r="A1399" t="inlineStr">
        <is>
          <t>rail transit</t>
        </is>
      </c>
      <c r="B1399" t="n">
        <v>1</v>
      </c>
    </row>
    <row r="1400">
      <c r="A1400" t="inlineStr">
        <is>
          <t>school commuting</t>
        </is>
      </c>
      <c r="B1400" t="n">
        <v>2</v>
      </c>
    </row>
    <row r="1401">
      <c r="A1401" t="inlineStr">
        <is>
          <t>wuhan</t>
        </is>
      </c>
      <c r="B1401" t="n">
        <v>1</v>
      </c>
    </row>
    <row r="1402">
      <c r="A1402" t="inlineStr">
        <is>
          <t>tvoc</t>
        </is>
      </c>
      <c r="B1402" t="n">
        <v>3</v>
      </c>
    </row>
    <row r="1403">
      <c r="A1403" t="inlineStr">
        <is>
          <t>breeam assessment</t>
        </is>
      </c>
      <c r="B1403" t="n">
        <v>1</v>
      </c>
    </row>
    <row r="1404">
      <c r="A1404" t="inlineStr">
        <is>
          <t>street smart walk score</t>
        </is>
      </c>
      <c r="B1404" t="n">
        <v>1</v>
      </c>
    </row>
    <row r="1405">
      <c r="A1405" t="inlineStr">
        <is>
          <t>walking-related built environment</t>
        </is>
      </c>
      <c r="B1405" t="n">
        <v>1</v>
      </c>
    </row>
    <row r="1406">
      <c r="A1406" t="inlineStr">
        <is>
          <t>low-income housing tax credit households</t>
        </is>
      </c>
      <c r="B1406" t="n">
        <v>1</v>
      </c>
    </row>
    <row r="1407">
      <c r="A1407" t="inlineStr">
        <is>
          <t>public housing households</t>
        </is>
      </c>
      <c r="B1407" t="n">
        <v>1</v>
      </c>
    </row>
    <row r="1408">
      <c r="A1408" t="inlineStr">
        <is>
          <t>perceived indoor environment</t>
        </is>
      </c>
      <c r="B1408" t="n">
        <v>1</v>
      </c>
    </row>
    <row r="1409">
      <c r="A1409" t="inlineStr">
        <is>
          <t>annoyances</t>
        </is>
      </c>
      <c r="B1409" t="n">
        <v>1</v>
      </c>
    </row>
    <row r="1410">
      <c r="A1410" t="inlineStr">
        <is>
          <t>latent class analysis</t>
        </is>
      </c>
      <c r="B1410" t="n">
        <v>2</v>
      </c>
    </row>
    <row r="1411">
      <c r="A1411" t="inlineStr">
        <is>
          <t>distortion</t>
        </is>
      </c>
      <c r="B1411" t="n">
        <v>1</v>
      </c>
    </row>
    <row r="1412">
      <c r="A1412" t="inlineStr">
        <is>
          <t>hurricane</t>
        </is>
      </c>
      <c r="B1412" t="n">
        <v>1</v>
      </c>
    </row>
    <row r="1413">
      <c r="A1413" t="inlineStr">
        <is>
          <t>morphometry</t>
        </is>
      </c>
      <c r="B1413" t="n">
        <v>1</v>
      </c>
    </row>
    <row r="1414">
      <c r="A1414" t="inlineStr">
        <is>
          <t>overwash</t>
        </is>
      </c>
      <c r="B1414" t="n">
        <v>1</v>
      </c>
    </row>
    <row r="1415">
      <c r="A1415" t="inlineStr">
        <is>
          <t>tropical cyclones</t>
        </is>
      </c>
      <c r="B1415" t="n">
        <v>1</v>
      </c>
    </row>
    <row r="1416">
      <c r="A1416" t="inlineStr">
        <is>
          <t>washover</t>
        </is>
      </c>
      <c r="B1416" t="n">
        <v>1</v>
      </c>
    </row>
    <row r="1417">
      <c r="A1417" t="inlineStr">
        <is>
          <t>psychosocial</t>
        </is>
      </c>
      <c r="B1417" t="n">
        <v>3</v>
      </c>
    </row>
    <row r="1418">
      <c r="A1418" t="inlineStr">
        <is>
          <t>pakistan</t>
        </is>
      </c>
      <c r="B1418" t="n">
        <v>1</v>
      </c>
    </row>
    <row r="1419">
      <c r="A1419" t="inlineStr">
        <is>
          <t>mixed-method</t>
        </is>
      </c>
      <c r="B1419" t="n">
        <v>1</v>
      </c>
    </row>
    <row r="1420">
      <c r="A1420" t="inlineStr">
        <is>
          <t>computational fluid dynamics</t>
        </is>
      </c>
      <c r="B1420" t="n">
        <v>9</v>
      </c>
    </row>
    <row r="1421">
      <c r="A1421" t="inlineStr">
        <is>
          <t>transit-oriented development</t>
        </is>
      </c>
      <c r="B1421" t="n">
        <v>3</v>
      </c>
    </row>
    <row r="1422">
      <c r="A1422" t="inlineStr">
        <is>
          <t>supportive design</t>
        </is>
      </c>
      <c r="B1422" t="n">
        <v>1</v>
      </c>
    </row>
    <row r="1423">
      <c r="A1423" t="inlineStr">
        <is>
          <t>healing environment</t>
        </is>
      </c>
      <c r="B1423" t="n">
        <v>1</v>
      </c>
    </row>
    <row r="1424">
      <c r="A1424" t="inlineStr">
        <is>
          <t>emotional significance of space</t>
        </is>
      </c>
      <c r="B1424" t="n">
        <v>1</v>
      </c>
    </row>
    <row r="1425">
      <c r="A1425" t="inlineStr">
        <is>
          <t>optimisation of treatment conditions</t>
        </is>
      </c>
      <c r="B1425" t="n">
        <v>1</v>
      </c>
    </row>
    <row r="1426">
      <c r="A1426" t="inlineStr">
        <is>
          <t>eye tracking in medical research</t>
        </is>
      </c>
      <c r="B1426" t="n">
        <v>1</v>
      </c>
    </row>
    <row r="1427">
      <c r="A1427" t="inlineStr">
        <is>
          <t>information-processing theory</t>
        </is>
      </c>
      <c r="B1427" t="n">
        <v>1</v>
      </c>
    </row>
    <row r="1428">
      <c r="A1428" t="inlineStr">
        <is>
          <t>building facades</t>
        </is>
      </c>
      <c r="B1428" t="n">
        <v>1</v>
      </c>
    </row>
    <row r="1429">
      <c r="A1429" t="inlineStr">
        <is>
          <t>visual complexity</t>
        </is>
      </c>
      <c r="B1429" t="n">
        <v>1</v>
      </c>
    </row>
    <row r="1430">
      <c r="A1430" t="inlineStr">
        <is>
          <t>indoor exposure</t>
        </is>
      </c>
      <c r="B1430" t="n">
        <v>5</v>
      </c>
    </row>
    <row r="1431">
      <c r="A1431" t="inlineStr">
        <is>
          <t>molecular networking</t>
        </is>
      </c>
      <c r="B1431" t="n">
        <v>1</v>
      </c>
    </row>
    <row r="1432">
      <c r="A1432" t="inlineStr">
        <is>
          <t>nontargeted mass spectrometry</t>
        </is>
      </c>
      <c r="B1432" t="n">
        <v>1</v>
      </c>
    </row>
    <row r="1433">
      <c r="A1433" t="inlineStr">
        <is>
          <t>homechem</t>
        </is>
      </c>
      <c r="B1433" t="n">
        <v>1</v>
      </c>
    </row>
    <row r="1434">
      <c r="A1434" t="inlineStr">
        <is>
          <t>passive sampling</t>
        </is>
      </c>
      <c r="B1434" t="n">
        <v>2</v>
      </c>
    </row>
    <row r="1435">
      <c r="A1435" t="inlineStr">
        <is>
          <t>environmental chemistry</t>
        </is>
      </c>
      <c r="B1435" t="n">
        <v>1</v>
      </c>
    </row>
    <row r="1436">
      <c r="A1436" t="inlineStr">
        <is>
          <t>hybrid ventilation</t>
        </is>
      </c>
      <c r="B1436" t="n">
        <v>1</v>
      </c>
    </row>
    <row r="1437">
      <c r="A1437" t="inlineStr">
        <is>
          <t>mycobiota</t>
        </is>
      </c>
      <c r="B1437" t="n">
        <v>2</v>
      </c>
    </row>
    <row r="1438">
      <c r="A1438" t="inlineStr">
        <is>
          <t>indoor air questionnaire</t>
        </is>
      </c>
      <c r="B1438" t="n">
        <v>3</v>
      </c>
    </row>
    <row r="1439">
      <c r="A1439" t="inlineStr">
        <is>
          <t>school building</t>
        </is>
      </c>
      <c r="B1439" t="n">
        <v>3</v>
      </c>
    </row>
    <row r="1440">
      <c r="A1440" t="inlineStr">
        <is>
          <t>trichoderma citrinoviride</t>
        </is>
      </c>
      <c r="B1440" t="n">
        <v>1</v>
      </c>
    </row>
    <row r="1441">
      <c r="A1441" t="inlineStr">
        <is>
          <t>user feedback</t>
        </is>
      </c>
      <c r="B1441" t="n">
        <v>1</v>
      </c>
    </row>
    <row r="1442">
      <c r="A1442" t="inlineStr">
        <is>
          <t>gender mainstreaming</t>
        </is>
      </c>
      <c r="B1442" t="n">
        <v>1</v>
      </c>
    </row>
    <row r="1443">
      <c r="A1443" t="inlineStr">
        <is>
          <t>co-education</t>
        </is>
      </c>
      <c r="B1443" t="n">
        <v>1</v>
      </c>
    </row>
    <row r="1444">
      <c r="A1444" t="inlineStr">
        <is>
          <t>architectural research</t>
        </is>
      </c>
      <c r="B1444" t="n">
        <v>1</v>
      </c>
    </row>
    <row r="1445">
      <c r="A1445" t="inlineStr">
        <is>
          <t>equity</t>
        </is>
      </c>
      <c r="B1445" t="n">
        <v>2</v>
      </c>
    </row>
    <row r="1446">
      <c r="A1446" t="inlineStr">
        <is>
          <t>diversity</t>
        </is>
      </c>
      <c r="B1446" t="n">
        <v>4</v>
      </c>
    </row>
    <row r="1447">
      <c r="A1447" t="inlineStr">
        <is>
          <t>common world</t>
        </is>
      </c>
      <c r="B1447" t="n">
        <v>1</v>
      </c>
    </row>
    <row r="1448">
      <c r="A1448" t="inlineStr">
        <is>
          <t>sustainable practices</t>
        </is>
      </c>
      <c r="B1448" t="n">
        <v>2</v>
      </c>
    </row>
    <row r="1449">
      <c r="A1449" t="inlineStr">
        <is>
          <t>ecofeminism</t>
        </is>
      </c>
      <c r="B1449" t="n">
        <v>1</v>
      </c>
    </row>
    <row r="1450">
      <c r="A1450" t="inlineStr">
        <is>
          <t>topsis and saw models</t>
        </is>
      </c>
      <c r="B1450" t="n">
        <v>1</v>
      </c>
    </row>
    <row r="1451">
      <c r="A1451" t="inlineStr">
        <is>
          <t>prediction</t>
        </is>
      </c>
      <c r="B1451" t="n">
        <v>2</v>
      </c>
    </row>
    <row r="1452">
      <c r="A1452" t="inlineStr">
        <is>
          <t>integrated spatial analysis</t>
        </is>
      </c>
      <c r="B1452" t="n">
        <v>1</v>
      </c>
    </row>
    <row r="1453">
      <c r="A1453" t="inlineStr">
        <is>
          <t>building energy efficiency</t>
        </is>
      </c>
      <c r="B1453" t="n">
        <v>2</v>
      </c>
    </row>
    <row r="1454">
      <c r="A1454" t="inlineStr">
        <is>
          <t>multi-resolution analysis</t>
        </is>
      </c>
      <c r="B1454" t="n">
        <v>1</v>
      </c>
    </row>
    <row r="1455">
      <c r="A1455" t="inlineStr">
        <is>
          <t>scenario analysis</t>
        </is>
      </c>
      <c r="B1455" t="n">
        <v>1</v>
      </c>
    </row>
    <row r="1456">
      <c r="A1456" t="inlineStr">
        <is>
          <t>airborne fungal load</t>
        </is>
      </c>
      <c r="B1456" t="n">
        <v>1</v>
      </c>
    </row>
    <row r="1457">
      <c r="A1457" t="inlineStr">
        <is>
          <t>dormitory room</t>
        </is>
      </c>
      <c r="B1457" t="n">
        <v>1</v>
      </c>
    </row>
    <row r="1458">
      <c r="A1458" t="inlineStr">
        <is>
          <t>source apportionment</t>
        </is>
      </c>
      <c r="B1458" t="n">
        <v>4</v>
      </c>
    </row>
    <row r="1459">
      <c r="A1459" t="inlineStr">
        <is>
          <t>receptor models</t>
        </is>
      </c>
      <c r="B1459" t="n">
        <v>1</v>
      </c>
    </row>
    <row r="1460">
      <c r="A1460" t="inlineStr">
        <is>
          <t>autonomic nervous system function</t>
        </is>
      </c>
      <c r="B1460" t="n">
        <v>1</v>
      </c>
    </row>
    <row r="1461">
      <c r="A1461" t="inlineStr">
        <is>
          <t>blood gases</t>
        </is>
      </c>
      <c r="B1461" t="n">
        <v>1</v>
      </c>
    </row>
    <row r="1462">
      <c r="A1462" t="inlineStr">
        <is>
          <t>room ventilation</t>
        </is>
      </c>
      <c r="B1462" t="n">
        <v>1</v>
      </c>
    </row>
    <row r="1463">
      <c r="A1463" t="inlineStr">
        <is>
          <t>skin temperatures</t>
        </is>
      </c>
      <c r="B1463" t="n">
        <v>1</v>
      </c>
    </row>
    <row r="1464">
      <c r="A1464" t="inlineStr">
        <is>
          <t>active living research</t>
        </is>
      </c>
      <c r="B1464" t="n">
        <v>1</v>
      </c>
    </row>
    <row r="1465">
      <c r="A1465" t="inlineStr">
        <is>
          <t>ecological perspective</t>
        </is>
      </c>
      <c r="B1465" t="n">
        <v>1</v>
      </c>
    </row>
    <row r="1466">
      <c r="A1466" t="inlineStr">
        <is>
          <t>home environment</t>
        </is>
      </c>
      <c r="B1466" t="n">
        <v>6</v>
      </c>
    </row>
    <row r="1467">
      <c r="A1467" t="inlineStr">
        <is>
          <t>moderate to vigorous physical activity</t>
        </is>
      </c>
      <c r="B1467" t="n">
        <v>1</v>
      </c>
    </row>
    <row r="1468">
      <c r="A1468" t="inlineStr">
        <is>
          <t>pediatric therapeutic environment</t>
        </is>
      </c>
      <c r="B1468" t="n">
        <v>1</v>
      </c>
    </row>
    <row r="1469">
      <c r="A1469" t="inlineStr">
        <is>
          <t>healthcare design</t>
        </is>
      </c>
      <c r="B1469" t="n">
        <v>1</v>
      </c>
    </row>
    <row r="1470">
      <c r="A1470" t="inlineStr">
        <is>
          <t>child-friendly design</t>
        </is>
      </c>
      <c r="B1470" t="n">
        <v>1</v>
      </c>
    </row>
    <row r="1471">
      <c r="A1471" t="inlineStr">
        <is>
          <t>therapeutic play</t>
        </is>
      </c>
      <c r="B1471" t="n">
        <v>1</v>
      </c>
    </row>
    <row r="1472">
      <c r="A1472" t="inlineStr">
        <is>
          <t>family-centred care</t>
        </is>
      </c>
      <c r="B1472" t="n">
        <v>1</v>
      </c>
    </row>
    <row r="1473">
      <c r="A1473" t="inlineStr">
        <is>
          <t>bibliometric analysis</t>
        </is>
      </c>
      <c r="B1473" t="n">
        <v>2</v>
      </c>
    </row>
    <row r="1474">
      <c r="A1474" t="inlineStr">
        <is>
          <t>smart home</t>
        </is>
      </c>
      <c r="B1474" t="n">
        <v>2</v>
      </c>
    </row>
    <row r="1475">
      <c r="A1475" t="inlineStr">
        <is>
          <t>vosviewer</t>
        </is>
      </c>
      <c r="B1475" t="n">
        <v>2</v>
      </c>
    </row>
    <row r="1476">
      <c r="A1476" t="inlineStr">
        <is>
          <t>natural hazard-induced disasters</t>
        </is>
      </c>
      <c r="B1476" t="n">
        <v>1</v>
      </c>
    </row>
    <row r="1477">
      <c r="A1477" t="inlineStr">
        <is>
          <t>loss attribution</t>
        </is>
      </c>
      <c r="B1477" t="n">
        <v>1</v>
      </c>
    </row>
    <row r="1478">
      <c r="A1478" t="inlineStr">
        <is>
          <t>risk assessment</t>
        </is>
      </c>
      <c r="B1478" t="n">
        <v>4</v>
      </c>
    </row>
    <row r="1479">
      <c r="A1479" t="inlineStr">
        <is>
          <t>physical environment instability</t>
        </is>
      </c>
      <c r="B1479" t="n">
        <v>1</v>
      </c>
    </row>
    <row r="1480">
      <c r="A1480" t="inlineStr">
        <is>
          <t>ecological effect</t>
        </is>
      </c>
      <c r="B1480" t="n">
        <v>1</v>
      </c>
    </row>
    <row r="1481">
      <c r="A1481" t="inlineStr">
        <is>
          <t>epidemiological studies</t>
        </is>
      </c>
      <c r="B1481" t="n">
        <v>1</v>
      </c>
    </row>
    <row r="1482">
      <c r="A1482" t="inlineStr">
        <is>
          <t>ergonomic studies</t>
        </is>
      </c>
      <c r="B1482" t="n">
        <v>1</v>
      </c>
    </row>
    <row r="1483">
      <c r="A1483" t="inlineStr">
        <is>
          <t>longitudinal studies on aging</t>
        </is>
      </c>
      <c r="B1483" t="n">
        <v>1</v>
      </c>
    </row>
    <row r="1484">
      <c r="A1484" t="inlineStr">
        <is>
          <t>environmental hazards</t>
        </is>
      </c>
      <c r="B1484" t="n">
        <v>1</v>
      </c>
    </row>
    <row r="1485">
      <c r="A1485" t="inlineStr">
        <is>
          <t>building codes</t>
        </is>
      </c>
      <c r="B1485" t="n">
        <v>2</v>
      </c>
    </row>
    <row r="1486">
      <c r="A1486" t="inlineStr">
        <is>
          <t>organophosphate lame retardant</t>
        </is>
      </c>
      <c r="B1486" t="n">
        <v>1</v>
      </c>
    </row>
    <row r="1487">
      <c r="A1487" t="inlineStr">
        <is>
          <t>plasticizer</t>
        </is>
      </c>
      <c r="B1487" t="n">
        <v>1</v>
      </c>
    </row>
    <row r="1488">
      <c r="A1488" t="inlineStr">
        <is>
          <t>low-energy preschool</t>
        </is>
      </c>
      <c r="B1488" t="n">
        <v>1</v>
      </c>
    </row>
    <row r="1489">
      <c r="A1489" t="inlineStr">
        <is>
          <t>environmental certified building</t>
        </is>
      </c>
      <c r="B1489" t="n">
        <v>1</v>
      </c>
    </row>
    <row r="1490">
      <c r="A1490" t="inlineStr">
        <is>
          <t>surface wipe</t>
        </is>
      </c>
      <c r="B1490" t="n">
        <v>1</v>
      </c>
    </row>
    <row r="1491">
      <c r="A1491" t="inlineStr">
        <is>
          <t>sustainable communities</t>
        </is>
      </c>
      <c r="B1491" t="n">
        <v>1</v>
      </c>
    </row>
    <row r="1492">
      <c r="A1492" t="inlineStr">
        <is>
          <t>residential satisfaction</t>
        </is>
      </c>
      <c r="B1492" t="n">
        <v>5</v>
      </c>
    </row>
    <row r="1493">
      <c r="A1493" t="inlineStr">
        <is>
          <t>commercial block</t>
        </is>
      </c>
      <c r="B1493" t="n">
        <v>1</v>
      </c>
    </row>
    <row r="1494">
      <c r="A1494" t="inlineStr">
        <is>
          <t>spatial morphology</t>
        </is>
      </c>
      <c r="B1494" t="n">
        <v>1</v>
      </c>
    </row>
    <row r="1495">
      <c r="A1495" t="inlineStr">
        <is>
          <t>xi 'an</t>
        </is>
      </c>
      <c r="B1495" t="n">
        <v>1</v>
      </c>
    </row>
    <row r="1496">
      <c r="A1496" t="inlineStr">
        <is>
          <t>natural outdoor environments</t>
        </is>
      </c>
      <c r="B1496" t="n">
        <v>2</v>
      </c>
    </row>
    <row r="1497">
      <c r="A1497" t="inlineStr">
        <is>
          <t>outdoor pollution</t>
        </is>
      </c>
      <c r="B1497" t="n">
        <v>1</v>
      </c>
    </row>
    <row r="1498">
      <c r="A1498" t="inlineStr">
        <is>
          <t>indoor pollution</t>
        </is>
      </c>
      <c r="B1498" t="n">
        <v>6</v>
      </c>
    </row>
    <row r="1499">
      <c r="A1499" t="inlineStr">
        <is>
          <t>mexico</t>
        </is>
      </c>
      <c r="B1499" t="n">
        <v>1</v>
      </c>
    </row>
    <row r="1500">
      <c r="A1500" t="inlineStr">
        <is>
          <t>traditional building</t>
        </is>
      </c>
      <c r="B1500" t="n">
        <v>1</v>
      </c>
    </row>
    <row r="1501">
      <c r="A1501" t="inlineStr">
        <is>
          <t>modern building</t>
        </is>
      </c>
      <c r="B1501" t="n">
        <v>1</v>
      </c>
    </row>
    <row r="1502">
      <c r="A1502" t="inlineStr">
        <is>
          <t>warm and humid climate</t>
        </is>
      </c>
      <c r="B1502" t="n">
        <v>1</v>
      </c>
    </row>
    <row r="1503">
      <c r="A1503" t="inlineStr">
        <is>
          <t>multilevel study</t>
        </is>
      </c>
      <c r="B1503" t="n">
        <v>1</v>
      </c>
    </row>
    <row r="1504">
      <c r="A1504" t="inlineStr">
        <is>
          <t>contextual factors</t>
        </is>
      </c>
      <c r="B1504" t="n">
        <v>1</v>
      </c>
    </row>
    <row r="1505">
      <c r="A1505" t="inlineStr">
        <is>
          <t>person-centered care</t>
        </is>
      </c>
      <c r="B1505" t="n">
        <v>1</v>
      </c>
    </row>
    <row r="1506">
      <c r="A1506" t="inlineStr">
        <is>
          <t>co-creation</t>
        </is>
      </c>
      <c r="B1506" t="n">
        <v>1</v>
      </c>
    </row>
    <row r="1507">
      <c r="A1507" t="inlineStr">
        <is>
          <t>perspective of older adults</t>
        </is>
      </c>
      <c r="B1507" t="n">
        <v>2</v>
      </c>
    </row>
    <row r="1508">
      <c r="A1508" t="inlineStr">
        <is>
          <t>quality improvement</t>
        </is>
      </c>
      <c r="B1508" t="n">
        <v>1</v>
      </c>
    </row>
    <row r="1509">
      <c r="A1509" t="inlineStr">
        <is>
          <t>ambient dose equivalent rate</t>
        </is>
      </c>
      <c r="B1509" t="n">
        <v>1</v>
      </c>
    </row>
    <row r="1510">
      <c r="A1510" t="inlineStr">
        <is>
          <t>anova</t>
        </is>
      </c>
      <c r="B1510" t="n">
        <v>1</v>
      </c>
    </row>
    <row r="1511">
      <c r="A1511" t="inlineStr">
        <is>
          <t>correlations</t>
        </is>
      </c>
      <c r="B1511" t="n">
        <v>1</v>
      </c>
    </row>
    <row r="1512">
      <c r="A1512" t="inlineStr">
        <is>
          <t>healthy cities</t>
        </is>
      </c>
      <c r="B1512" t="n">
        <v>1</v>
      </c>
    </row>
    <row r="1513">
      <c r="A1513" t="inlineStr">
        <is>
          <t>walking experience</t>
        </is>
      </c>
      <c r="B1513" t="n">
        <v>1</v>
      </c>
    </row>
    <row r="1514">
      <c r="A1514" t="inlineStr">
        <is>
          <t>virtual environment</t>
        </is>
      </c>
      <c r="B1514" t="n">
        <v>1</v>
      </c>
    </row>
    <row r="1515">
      <c r="A1515" t="inlineStr">
        <is>
          <t>conjoint experiment</t>
        </is>
      </c>
      <c r="B1515" t="n">
        <v>1</v>
      </c>
    </row>
    <row r="1516">
      <c r="A1516" t="inlineStr">
        <is>
          <t>latent-class analysis</t>
        </is>
      </c>
      <c r="B1516" t="n">
        <v>1</v>
      </c>
    </row>
    <row r="1517">
      <c r="A1517" t="inlineStr">
        <is>
          <t>active living environments</t>
        </is>
      </c>
      <c r="B1517" t="n">
        <v>1</v>
      </c>
    </row>
    <row r="1518">
      <c r="A1518" t="inlineStr">
        <is>
          <t>indoor environmental comfort</t>
        </is>
      </c>
      <c r="B1518" t="n">
        <v>2</v>
      </c>
    </row>
    <row r="1519">
      <c r="A1519" t="inlineStr">
        <is>
          <t>thermal sensation</t>
        </is>
      </c>
      <c r="B1519" t="n">
        <v>3</v>
      </c>
    </row>
    <row r="1520">
      <c r="A1520" t="inlineStr">
        <is>
          <t>adaptive response</t>
        </is>
      </c>
      <c r="B1520" t="n">
        <v>1</v>
      </c>
    </row>
    <row r="1521">
      <c r="A1521" t="inlineStr">
        <is>
          <t>caregivers</t>
        </is>
      </c>
      <c r="B1521" t="n">
        <v>3</v>
      </c>
    </row>
    <row r="1522">
      <c r="A1522" t="inlineStr">
        <is>
          <t>nursing homes</t>
        </is>
      </c>
      <c r="B1522" t="n">
        <v>5</v>
      </c>
    </row>
    <row r="1523">
      <c r="A1523" t="inlineStr">
        <is>
          <t>global south</t>
        </is>
      </c>
      <c r="B1523" t="n">
        <v>1</v>
      </c>
    </row>
    <row r="1524">
      <c r="A1524" t="inlineStr">
        <is>
          <t>aging in place</t>
        </is>
      </c>
      <c r="B1524" t="n">
        <v>3</v>
      </c>
    </row>
    <row r="1525">
      <c r="A1525" t="inlineStr">
        <is>
          <t>socio-ecological models</t>
        </is>
      </c>
      <c r="B1525" t="n">
        <v>1</v>
      </c>
    </row>
    <row r="1526">
      <c r="A1526" t="inlineStr">
        <is>
          <t>indoor radon concentration</t>
        </is>
      </c>
      <c r="B1526" t="n">
        <v>3</v>
      </c>
    </row>
    <row r="1527">
      <c r="A1527" t="inlineStr">
        <is>
          <t>hierarchical mixed models</t>
        </is>
      </c>
      <c r="B1527" t="n">
        <v>1</v>
      </c>
    </row>
    <row r="1528">
      <c r="A1528" t="inlineStr">
        <is>
          <t>building factors</t>
        </is>
      </c>
      <c r="B1528" t="n">
        <v>2</v>
      </c>
    </row>
    <row r="1529">
      <c r="A1529" t="inlineStr">
        <is>
          <t>floor effect</t>
        </is>
      </c>
      <c r="B1529" t="n">
        <v>1</v>
      </c>
    </row>
    <row r="1530">
      <c r="A1530" t="inlineStr">
        <is>
          <t>signage</t>
        </is>
      </c>
      <c r="B1530" t="n">
        <v>1</v>
      </c>
    </row>
    <row r="1531">
      <c r="A1531" t="inlineStr">
        <is>
          <t>visual salience</t>
        </is>
      </c>
      <c r="B1531" t="n">
        <v>1</v>
      </c>
    </row>
    <row r="1532">
      <c r="A1532" t="inlineStr">
        <is>
          <t>decision points</t>
        </is>
      </c>
      <c r="B1532" t="n">
        <v>1</v>
      </c>
    </row>
    <row r="1533">
      <c r="A1533" t="inlineStr">
        <is>
          <t>surrounding environment</t>
        </is>
      </c>
      <c r="B1533" t="n">
        <v>1</v>
      </c>
    </row>
    <row r="1534">
      <c r="A1534" t="inlineStr">
        <is>
          <t>urban</t>
        </is>
      </c>
      <c r="B1534" t="n">
        <v>11</v>
      </c>
    </row>
    <row r="1535">
      <c r="A1535" t="inlineStr">
        <is>
          <t>elementary school</t>
        </is>
      </c>
      <c r="B1535" t="n">
        <v>1</v>
      </c>
    </row>
    <row r="1536">
      <c r="A1536" t="inlineStr">
        <is>
          <t>building energy consumption</t>
        </is>
      </c>
      <c r="B1536" t="n">
        <v>1</v>
      </c>
    </row>
    <row r="1537">
      <c r="A1537" t="inlineStr">
        <is>
          <t>moderating effect</t>
        </is>
      </c>
      <c r="B1537" t="n">
        <v>3</v>
      </c>
    </row>
    <row r="1538">
      <c r="A1538" t="inlineStr">
        <is>
          <t>social ecological model</t>
        </is>
      </c>
      <c r="B1538" t="n">
        <v>1</v>
      </c>
    </row>
    <row r="1539">
      <c r="A1539" t="inlineStr">
        <is>
          <t>social exclusion</t>
        </is>
      </c>
      <c r="B1539" t="n">
        <v>3</v>
      </c>
    </row>
    <row r="1540">
      <c r="A1540" t="inlineStr">
        <is>
          <t>social inclusion</t>
        </is>
      </c>
      <c r="B1540" t="n">
        <v>2</v>
      </c>
    </row>
    <row r="1541">
      <c r="A1541" t="inlineStr">
        <is>
          <t>economic benefit</t>
        </is>
      </c>
      <c r="B1541" t="n">
        <v>1</v>
      </c>
    </row>
    <row r="1542">
      <c r="A1542" t="inlineStr">
        <is>
          <t>aerosols</t>
        </is>
      </c>
      <c r="B1542" t="n">
        <v>3</v>
      </c>
    </row>
    <row r="1543">
      <c r="A1543" t="inlineStr">
        <is>
          <t>inhalation</t>
        </is>
      </c>
      <c r="B1543" t="n">
        <v>3</v>
      </c>
    </row>
    <row r="1544">
      <c r="A1544" t="inlineStr">
        <is>
          <t>nanomaterials</t>
        </is>
      </c>
      <c r="B1544" t="n">
        <v>1</v>
      </c>
    </row>
    <row r="1545">
      <c r="A1545" t="inlineStr">
        <is>
          <t>ultrafine aerosols</t>
        </is>
      </c>
      <c r="B1545" t="n">
        <v>1</v>
      </c>
    </row>
    <row r="1546">
      <c r="A1546" t="inlineStr">
        <is>
          <t>building simulation</t>
        </is>
      </c>
      <c r="B1546" t="n">
        <v>3</v>
      </c>
    </row>
    <row r="1547">
      <c r="A1547" t="inlineStr">
        <is>
          <t>health and well-being</t>
        </is>
      </c>
      <c r="B1547" t="n">
        <v>2</v>
      </c>
    </row>
    <row r="1548">
      <c r="A1548" t="inlineStr">
        <is>
          <t>holistic and digital design</t>
        </is>
      </c>
      <c r="B1548" t="n">
        <v>1</v>
      </c>
    </row>
    <row r="1549">
      <c r="A1549" t="inlineStr">
        <is>
          <t>mass balance equation</t>
        </is>
      </c>
      <c r="B1549" t="n">
        <v>1</v>
      </c>
    </row>
    <row r="1550">
      <c r="A1550" t="inlineStr">
        <is>
          <t>toolbox</t>
        </is>
      </c>
      <c r="B1550" t="n">
        <v>1</v>
      </c>
    </row>
    <row r="1551">
      <c r="A1551" t="inlineStr">
        <is>
          <t>passive building</t>
        </is>
      </c>
      <c r="B1551" t="n">
        <v>1</v>
      </c>
    </row>
    <row r="1552">
      <c r="A1552" t="inlineStr">
        <is>
          <t>closed environment</t>
        </is>
      </c>
      <c r="B1552" t="n">
        <v>1</v>
      </c>
    </row>
    <row r="1553">
      <c r="A1553" t="inlineStr">
        <is>
          <t>computing fluid dynamics simulation</t>
        </is>
      </c>
      <c r="B1553" t="n">
        <v>1</v>
      </c>
    </row>
    <row r="1554">
      <c r="A1554" t="inlineStr">
        <is>
          <t>natural ventilation</t>
        </is>
      </c>
      <c r="B1554" t="n">
        <v>10</v>
      </c>
    </row>
    <row r="1555">
      <c r="A1555" t="inlineStr">
        <is>
          <t>perceived safety</t>
        </is>
      </c>
      <c r="B1555" t="n">
        <v>2</v>
      </c>
    </row>
    <row r="1556">
      <c r="A1556" t="inlineStr">
        <is>
          <t>passenger satisfaction</t>
        </is>
      </c>
      <c r="B1556" t="n">
        <v>1</v>
      </c>
    </row>
    <row r="1557">
      <c r="A1557" t="inlineStr">
        <is>
          <t>travel intention</t>
        </is>
      </c>
      <c r="B1557" t="n">
        <v>1</v>
      </c>
    </row>
    <row r="1558">
      <c r="A1558" t="inlineStr">
        <is>
          <t>management</t>
        </is>
      </c>
      <c r="B1558" t="n">
        <v>1</v>
      </c>
    </row>
    <row r="1559">
      <c r="A1559" t="inlineStr">
        <is>
          <t>offices</t>
        </is>
      </c>
      <c r="B1559" t="n">
        <v>2</v>
      </c>
    </row>
    <row r="1560">
      <c r="A1560" t="inlineStr">
        <is>
          <t>sickness</t>
        </is>
      </c>
      <c r="B1560" t="n">
        <v>1</v>
      </c>
    </row>
    <row r="1561">
      <c r="A1561" t="inlineStr">
        <is>
          <t>symptoms</t>
        </is>
      </c>
      <c r="B1561" t="n">
        <v>1</v>
      </c>
    </row>
    <row r="1562">
      <c r="A1562" t="inlineStr">
        <is>
          <t>dea</t>
        </is>
      </c>
      <c r="B1562" t="n">
        <v>1</v>
      </c>
    </row>
    <row r="1563">
      <c r="A1563" t="inlineStr">
        <is>
          <t>decision-making factors</t>
        </is>
      </c>
      <c r="B1563" t="n">
        <v>1</v>
      </c>
    </row>
    <row r="1564">
      <c r="A1564" t="inlineStr">
        <is>
          <t>school building renovation</t>
        </is>
      </c>
      <c r="B1564" t="n">
        <v>1</v>
      </c>
    </row>
    <row r="1565">
      <c r="A1565" t="inlineStr">
        <is>
          <t>arp</t>
        </is>
      </c>
      <c r="B1565" t="n">
        <v>1</v>
      </c>
    </row>
    <row r="1566">
      <c r="A1566" t="inlineStr">
        <is>
          <t>thermal environment</t>
        </is>
      </c>
      <c r="B1566" t="n">
        <v>6</v>
      </c>
    </row>
    <row r="1567">
      <c r="A1567" t="inlineStr">
        <is>
          <t>window-to-wall ratio</t>
        </is>
      </c>
      <c r="B1567" t="n">
        <v>1</v>
      </c>
    </row>
    <row r="1568">
      <c r="A1568" t="inlineStr">
        <is>
          <t>i/o ratio</t>
        </is>
      </c>
      <c r="B1568" t="n">
        <v>4</v>
      </c>
    </row>
    <row r="1569">
      <c r="A1569" t="inlineStr">
        <is>
          <t>ultrafine particles (ufps)</t>
        </is>
      </c>
      <c r="B1569" t="n">
        <v>1</v>
      </c>
    </row>
    <row r="1570">
      <c r="A1570" t="inlineStr">
        <is>
          <t>ppd</t>
        </is>
      </c>
      <c r="B1570" t="n">
        <v>1</v>
      </c>
    </row>
    <row r="1571">
      <c r="A1571" t="inlineStr">
        <is>
          <t>subway</t>
        </is>
      </c>
      <c r="B1571" t="n">
        <v>1</v>
      </c>
    </row>
    <row r="1572">
      <c r="A1572" t="inlineStr">
        <is>
          <t>athens metro</t>
        </is>
      </c>
      <c r="B1572" t="n">
        <v>1</v>
      </c>
    </row>
    <row r="1573">
      <c r="A1573" t="inlineStr">
        <is>
          <t>passengers' thermal comfort</t>
        </is>
      </c>
      <c r="B1573" t="n">
        <v>1</v>
      </c>
    </row>
    <row r="1574">
      <c r="A1574" t="inlineStr">
        <is>
          <t>environmental technology</t>
        </is>
      </c>
      <c r="B1574" t="n">
        <v>1</v>
      </c>
    </row>
    <row r="1575">
      <c r="A1575" t="inlineStr">
        <is>
          <t>biofiltration</t>
        </is>
      </c>
      <c r="B1575" t="n">
        <v>4</v>
      </c>
    </row>
    <row r="1576">
      <c r="A1576" t="inlineStr">
        <is>
          <t>phytoremediation</t>
        </is>
      </c>
      <c r="B1576" t="n">
        <v>4</v>
      </c>
    </row>
    <row r="1577">
      <c r="A1577" t="inlineStr">
        <is>
          <t>indoor environmental impact assessment</t>
        </is>
      </c>
      <c r="B1577" t="n">
        <v>1</v>
      </c>
    </row>
    <row r="1578">
      <c r="A1578" t="inlineStr">
        <is>
          <t>intelligent forecasting</t>
        </is>
      </c>
      <c r="B1578" t="n">
        <v>1</v>
      </c>
    </row>
    <row r="1579">
      <c r="A1579" t="inlineStr">
        <is>
          <t>decision-making</t>
        </is>
      </c>
      <c r="B1579" t="n">
        <v>3</v>
      </c>
    </row>
    <row r="1580">
      <c r="A1580" t="inlineStr">
        <is>
          <t>innovative applications</t>
        </is>
      </c>
      <c r="B1580" t="n">
        <v>1</v>
      </c>
    </row>
    <row r="1581">
      <c r="A1581" t="inlineStr">
        <is>
          <t>biological contamination</t>
        </is>
      </c>
      <c r="B1581" t="n">
        <v>1</v>
      </c>
    </row>
    <row r="1582">
      <c r="A1582" t="inlineStr">
        <is>
          <t>microclimate monitoring</t>
        </is>
      </c>
      <c r="B1582" t="n">
        <v>1</v>
      </c>
    </row>
    <row r="1583">
      <c r="A1583" t="inlineStr">
        <is>
          <t>damp indoor spaces</t>
        </is>
      </c>
      <c r="B1583" t="n">
        <v>1</v>
      </c>
    </row>
    <row r="1584">
      <c r="A1584" t="inlineStr">
        <is>
          <t>human behavior simulation</t>
        </is>
      </c>
      <c r="B1584" t="n">
        <v>1</v>
      </c>
    </row>
    <row r="1585">
      <c r="A1585" t="inlineStr">
        <is>
          <t>virtual users</t>
        </is>
      </c>
      <c r="B1585" t="n">
        <v>1</v>
      </c>
    </row>
    <row r="1586">
      <c r="A1586" t="inlineStr">
        <is>
          <t>performance analysis</t>
        </is>
      </c>
      <c r="B1586" t="n">
        <v>1</v>
      </c>
    </row>
    <row r="1587">
      <c r="A1587" t="inlineStr">
        <is>
          <t>evaluation method</t>
        </is>
      </c>
      <c r="B1587" t="n">
        <v>1</v>
      </c>
    </row>
    <row r="1588">
      <c r="A1588" t="inlineStr">
        <is>
          <t>architectural design education</t>
        </is>
      </c>
      <c r="B1588" t="n">
        <v>1</v>
      </c>
    </row>
    <row r="1589">
      <c r="A1589" t="inlineStr">
        <is>
          <t>perceived food environment</t>
        </is>
      </c>
      <c r="B1589" t="n">
        <v>1</v>
      </c>
    </row>
    <row r="1590">
      <c r="A1590" t="inlineStr">
        <is>
          <t>older citizens</t>
        </is>
      </c>
      <c r="B1590" t="n">
        <v>1</v>
      </c>
    </row>
    <row r="1591">
      <c r="A1591" t="inlineStr">
        <is>
          <t>rural mountainous area</t>
        </is>
      </c>
      <c r="B1591" t="n">
        <v>1</v>
      </c>
    </row>
    <row r="1592">
      <c r="A1592" t="inlineStr">
        <is>
          <t>asian</t>
        </is>
      </c>
      <c r="B1592" t="n">
        <v>1</v>
      </c>
    </row>
    <row r="1593">
      <c r="A1593" t="inlineStr">
        <is>
          <t>human-building interaction</t>
        </is>
      </c>
      <c r="B1593" t="n">
        <v>1</v>
      </c>
    </row>
    <row r="1594">
      <c r="A1594" t="inlineStr">
        <is>
          <t>energy-related behaviors</t>
        </is>
      </c>
      <c r="B1594" t="n">
        <v>1</v>
      </c>
    </row>
    <row r="1595">
      <c r="A1595" t="inlineStr">
        <is>
          <t>energy saving</t>
        </is>
      </c>
      <c r="B1595" t="n">
        <v>5</v>
      </c>
    </row>
    <row r="1596">
      <c r="A1596" t="inlineStr">
        <is>
          <t>urban built-up</t>
        </is>
      </c>
      <c r="B1596" t="n">
        <v>1</v>
      </c>
    </row>
    <row r="1597">
      <c r="A1597" t="inlineStr">
        <is>
          <t>meteorological parameters</t>
        </is>
      </c>
      <c r="B1597" t="n">
        <v>2</v>
      </c>
    </row>
    <row r="1598">
      <c r="A1598" t="inlineStr">
        <is>
          <t>indoor-outdoor ratio</t>
        </is>
      </c>
      <c r="B1598" t="n">
        <v>2</v>
      </c>
    </row>
    <row r="1599">
      <c r="A1599" t="inlineStr">
        <is>
          <t>building services engineering</t>
        </is>
      </c>
      <c r="B1599" t="n">
        <v>1</v>
      </c>
    </row>
    <row r="1600">
      <c r="A1600" t="inlineStr">
        <is>
          <t>eye-level</t>
        </is>
      </c>
      <c r="B1600" t="n">
        <v>1</v>
      </c>
    </row>
    <row r="1601">
      <c r="A1601" t="inlineStr">
        <is>
          <t>age-friendly cities</t>
        </is>
      </c>
      <c r="B1601" t="n">
        <v>3</v>
      </c>
    </row>
    <row r="1602">
      <c r="A1602" t="inlineStr">
        <is>
          <t>participation</t>
        </is>
      </c>
      <c r="B1602" t="n">
        <v>4</v>
      </c>
    </row>
    <row r="1603">
      <c r="A1603" t="inlineStr">
        <is>
          <t>amine</t>
        </is>
      </c>
      <c r="B1603" t="n">
        <v>1</v>
      </c>
    </row>
    <row r="1604">
      <c r="A1604" t="inlineStr">
        <is>
          <t>wet impregnation</t>
        </is>
      </c>
      <c r="B1604" t="n">
        <v>1</v>
      </c>
    </row>
    <row r="1605">
      <c r="A1605" t="inlineStr">
        <is>
          <t>adsorption capacity</t>
        </is>
      </c>
      <c r="B1605" t="n">
        <v>1</v>
      </c>
    </row>
    <row r="1606">
      <c r="A1606" t="inlineStr">
        <is>
          <t>thermal swing adsorption</t>
        </is>
      </c>
      <c r="B1606" t="n">
        <v>1</v>
      </c>
    </row>
    <row r="1607">
      <c r="A1607" t="inlineStr">
        <is>
          <t>ventilation system</t>
        </is>
      </c>
      <c r="B1607" t="n">
        <v>2</v>
      </c>
    </row>
    <row r="1608">
      <c r="A1608" t="inlineStr">
        <is>
          <t>aging in the right place</t>
        </is>
      </c>
      <c r="B1608" t="n">
        <v>1</v>
      </c>
    </row>
    <row r="1609">
      <c r="A1609" t="inlineStr">
        <is>
          <t>housing insecurity</t>
        </is>
      </c>
      <c r="B1609" t="n">
        <v>1</v>
      </c>
    </row>
    <row r="1610">
      <c r="A1610" t="inlineStr">
        <is>
          <t>homelessness</t>
        </is>
      </c>
      <c r="B1610" t="n">
        <v>2</v>
      </c>
    </row>
    <row r="1611">
      <c r="A1611" t="inlineStr">
        <is>
          <t>weight-related behaviours</t>
        </is>
      </c>
      <c r="B1611" t="n">
        <v>1</v>
      </c>
    </row>
    <row r="1612">
      <c r="A1612" t="inlineStr">
        <is>
          <t>cluster analyses</t>
        </is>
      </c>
      <c r="B1612" t="n">
        <v>1</v>
      </c>
    </row>
    <row r="1613">
      <c r="A1613" t="inlineStr">
        <is>
          <t>type 2 diabetes</t>
        </is>
      </c>
      <c r="B1613" t="n">
        <v>1</v>
      </c>
    </row>
    <row r="1614">
      <c r="A1614" t="inlineStr">
        <is>
          <t>land use environment</t>
        </is>
      </c>
      <c r="B1614" t="n">
        <v>1</v>
      </c>
    </row>
    <row r="1615">
      <c r="A1615" t="inlineStr">
        <is>
          <t>veterans</t>
        </is>
      </c>
      <c r="B1615" t="n">
        <v>1</v>
      </c>
    </row>
    <row r="1616">
      <c r="A1616" t="inlineStr">
        <is>
          <t>indoor modelling</t>
        </is>
      </c>
      <c r="B1616" t="n">
        <v>1</v>
      </c>
    </row>
    <row r="1617">
      <c r="A1617" t="inlineStr">
        <is>
          <t>point cloud</t>
        </is>
      </c>
      <c r="B1617" t="n">
        <v>2</v>
      </c>
    </row>
    <row r="1618">
      <c r="A1618" t="inlineStr">
        <is>
          <t>shape grammar</t>
        </is>
      </c>
      <c r="B1618" t="n">
        <v>1</v>
      </c>
    </row>
    <row r="1619">
      <c r="A1619" t="inlineStr">
        <is>
          <t>reversible jump markov chain monte carlor (rjmcmc)</t>
        </is>
      </c>
      <c r="B1619" t="n">
        <v>1</v>
      </c>
    </row>
    <row r="1620">
      <c r="A1620" t="inlineStr">
        <is>
          <t>metropolis-hastings (mh)</t>
        </is>
      </c>
      <c r="B1620" t="n">
        <v>1</v>
      </c>
    </row>
    <row r="1621">
      <c r="A1621" t="inlineStr">
        <is>
          <t>japanese</t>
        </is>
      </c>
      <c r="B1621" t="n">
        <v>1</v>
      </c>
    </row>
    <row r="1622">
      <c r="A1622" t="inlineStr">
        <is>
          <t>uhi index</t>
        </is>
      </c>
      <c r="B1622" t="n">
        <v>1</v>
      </c>
    </row>
    <row r="1623">
      <c r="A1623" t="inlineStr">
        <is>
          <t>corridor environment</t>
        </is>
      </c>
      <c r="B1623" t="n">
        <v>1</v>
      </c>
    </row>
    <row r="1624">
      <c r="A1624" t="inlineStr">
        <is>
          <t>arid cities</t>
        </is>
      </c>
      <c r="B1624" t="n">
        <v>1</v>
      </c>
    </row>
    <row r="1625">
      <c r="A1625" t="inlineStr">
        <is>
          <t>qatar</t>
        </is>
      </c>
      <c r="B1625" t="n">
        <v>1</v>
      </c>
    </row>
    <row r="1626">
      <c r="A1626" t="inlineStr">
        <is>
          <t>adult children</t>
        </is>
      </c>
      <c r="B1626" t="n">
        <v>1</v>
      </c>
    </row>
    <row r="1627">
      <c r="A1627" t="inlineStr">
        <is>
          <t>care</t>
        </is>
      </c>
      <c r="B1627" t="n">
        <v>1</v>
      </c>
    </row>
    <row r="1628">
      <c r="A1628" t="inlineStr">
        <is>
          <t>klosa</t>
        </is>
      </c>
      <c r="B1628" t="n">
        <v>1</v>
      </c>
    </row>
    <row r="1629">
      <c r="A1629" t="inlineStr">
        <is>
          <t>transdisciplinarity</t>
        </is>
      </c>
      <c r="B1629" t="n">
        <v>1</v>
      </c>
    </row>
    <row r="1630">
      <c r="A1630" t="inlineStr">
        <is>
          <t>intradisciplinary</t>
        </is>
      </c>
      <c r="B1630" t="n">
        <v>1</v>
      </c>
    </row>
    <row r="1631">
      <c r="A1631" t="inlineStr">
        <is>
          <t>collective intelligence</t>
        </is>
      </c>
      <c r="B1631" t="n">
        <v>1</v>
      </c>
    </row>
    <row r="1632">
      <c r="A1632" t="inlineStr">
        <is>
          <t>collective leadership</t>
        </is>
      </c>
      <c r="B1632" t="n">
        <v>1</v>
      </c>
    </row>
    <row r="1633">
      <c r="A1633" t="inlineStr">
        <is>
          <t>collective learning</t>
        </is>
      </c>
      <c r="B1633" t="n">
        <v>1</v>
      </c>
    </row>
    <row r="1634">
      <c r="A1634" t="inlineStr">
        <is>
          <t>health inequalities</t>
        </is>
      </c>
      <c r="B1634" t="n">
        <v>2</v>
      </c>
    </row>
    <row r="1635">
      <c r="A1635" t="inlineStr">
        <is>
          <t>lowess model</t>
        </is>
      </c>
      <c r="B1635" t="n">
        <v>1</v>
      </c>
    </row>
    <row r="1636">
      <c r="A1636" t="inlineStr">
        <is>
          <t>kindergartens</t>
        </is>
      </c>
      <c r="B1636" t="n">
        <v>1</v>
      </c>
    </row>
    <row r="1637">
      <c r="A1637" t="inlineStr">
        <is>
          <t>bulgaria</t>
        </is>
      </c>
      <c r="B1637" t="n">
        <v>1</v>
      </c>
    </row>
    <row r="1638">
      <c r="A1638" t="inlineStr">
        <is>
          <t>urban physical environment</t>
        </is>
      </c>
      <c r="B1638" t="n">
        <v>1</v>
      </c>
    </row>
    <row r="1639">
      <c r="A1639" t="inlineStr">
        <is>
          <t>circumplex model</t>
        </is>
      </c>
      <c r="B1639" t="n">
        <v>1</v>
      </c>
    </row>
    <row r="1640">
      <c r="A1640" t="inlineStr">
        <is>
          <t>gray</t>
        </is>
      </c>
      <c r="B1640" t="n">
        <v>1</v>
      </c>
    </row>
    <row r="1641">
      <c r="A1641" t="inlineStr">
        <is>
          <t>green</t>
        </is>
      </c>
      <c r="B1641" t="n">
        <v>1</v>
      </c>
    </row>
    <row r="1642">
      <c r="A1642" t="inlineStr">
        <is>
          <t>blue</t>
        </is>
      </c>
      <c r="B1642" t="n">
        <v>1</v>
      </c>
    </row>
    <row r="1643">
      <c r="A1643" t="inlineStr">
        <is>
          <t>white areas</t>
        </is>
      </c>
      <c r="B1643" t="n">
        <v>1</v>
      </c>
    </row>
    <row r="1644">
      <c r="A1644" t="inlineStr">
        <is>
          <t>weather and temporalities</t>
        </is>
      </c>
      <c r="B1644" t="n">
        <v>1</v>
      </c>
    </row>
    <row r="1645">
      <c r="A1645" t="inlineStr">
        <is>
          <t>person factors</t>
        </is>
      </c>
      <c r="B1645" t="n">
        <v>1</v>
      </c>
    </row>
    <row r="1646">
      <c r="A1646" t="inlineStr">
        <is>
          <t>accelerometry</t>
        </is>
      </c>
      <c r="B1646" t="n">
        <v>2</v>
      </c>
    </row>
    <row r="1647">
      <c r="A1647" t="inlineStr">
        <is>
          <t>bangladesh</t>
        </is>
      </c>
      <c r="B1647" t="n">
        <v>2</v>
      </c>
    </row>
    <row r="1648">
      <c r="A1648" t="inlineStr">
        <is>
          <t>household equipment</t>
        </is>
      </c>
      <c r="B1648" t="n">
        <v>1</v>
      </c>
    </row>
    <row r="1649">
      <c r="A1649" t="inlineStr">
        <is>
          <t>health care facilities</t>
        </is>
      </c>
      <c r="B1649" t="n">
        <v>1</v>
      </c>
    </row>
    <row r="1650">
      <c r="A1650" t="inlineStr">
        <is>
          <t>infection control</t>
        </is>
      </c>
      <c r="B1650" t="n">
        <v>1</v>
      </c>
    </row>
    <row r="1651">
      <c r="A1651" t="inlineStr">
        <is>
          <t>liveability</t>
        </is>
      </c>
      <c r="B1651" t="n">
        <v>3</v>
      </c>
    </row>
    <row r="1652">
      <c r="A1652" t="inlineStr">
        <is>
          <t>small villages</t>
        </is>
      </c>
      <c r="B1652" t="n">
        <v>1</v>
      </c>
    </row>
    <row r="1653">
      <c r="A1653" t="inlineStr">
        <is>
          <t>living environment</t>
        </is>
      </c>
      <c r="B1653" t="n">
        <v>2</v>
      </c>
    </row>
    <row r="1654">
      <c r="A1654" t="inlineStr">
        <is>
          <t>agricultural</t>
        </is>
      </c>
      <c r="B1654" t="n">
        <v>1</v>
      </c>
    </row>
    <row r="1655">
      <c r="A1655" t="inlineStr">
        <is>
          <t>constructions</t>
        </is>
      </c>
      <c r="B1655" t="n">
        <v>1</v>
      </c>
    </row>
    <row r="1656">
      <c r="A1656" t="inlineStr">
        <is>
          <t>welfare</t>
        </is>
      </c>
      <c r="B1656" t="n">
        <v>1</v>
      </c>
    </row>
    <row r="1657">
      <c r="A1657" t="inlineStr">
        <is>
          <t>trees -grass area ratio</t>
        </is>
      </c>
      <c r="B1657" t="n">
        <v>1</v>
      </c>
    </row>
    <row r="1658">
      <c r="A1658" t="inlineStr">
        <is>
          <t>microclimate environment</t>
        </is>
      </c>
      <c r="B1658" t="n">
        <v>1</v>
      </c>
    </row>
    <row r="1659">
      <c r="A1659" t="inlineStr">
        <is>
          <t>carbon emission and sequestration</t>
        </is>
      </c>
      <c r="B1659" t="n">
        <v>1</v>
      </c>
    </row>
    <row r="1660">
      <c r="A1660" t="inlineStr">
        <is>
          <t>building height diversity</t>
        </is>
      </c>
      <c r="B1660" t="n">
        <v>1</v>
      </c>
    </row>
    <row r="1661">
      <c r="A1661" t="inlineStr">
        <is>
          <t>urban ecological environment</t>
        </is>
      </c>
      <c r="B1661" t="n">
        <v>1</v>
      </c>
    </row>
    <row r="1662">
      <c r="A1662" t="inlineStr">
        <is>
          <t>psychological distress</t>
        </is>
      </c>
      <c r="B1662" t="n">
        <v>1</v>
      </c>
    </row>
    <row r="1663">
      <c r="A1663" t="inlineStr">
        <is>
          <t>malnutrition</t>
        </is>
      </c>
      <c r="B1663" t="n">
        <v>3</v>
      </c>
    </row>
    <row r="1664">
      <c r="A1664" t="inlineStr">
        <is>
          <t>solid fuels</t>
        </is>
      </c>
      <c r="B1664" t="n">
        <v>1</v>
      </c>
    </row>
    <row r="1665">
      <c r="A1665" t="inlineStr">
        <is>
          <t>renal function</t>
        </is>
      </c>
      <c r="B1665" t="n">
        <v>1</v>
      </c>
    </row>
    <row r="1666">
      <c r="A1666" t="inlineStr">
        <is>
          <t>rural china</t>
        </is>
      </c>
      <c r="B1666" t="n">
        <v>3</v>
      </c>
    </row>
    <row r="1667">
      <c r="A1667" t="inlineStr">
        <is>
          <t>perceived home</t>
        </is>
      </c>
      <c r="B1667" t="n">
        <v>1</v>
      </c>
    </row>
    <row r="1668">
      <c r="A1668" t="inlineStr">
        <is>
          <t>perceived air quality</t>
        </is>
      </c>
      <c r="B1668" t="n">
        <v>1</v>
      </c>
    </row>
    <row r="1669">
      <c r="A1669" t="inlineStr">
        <is>
          <t>sports building</t>
        </is>
      </c>
      <c r="B1669" t="n">
        <v>1</v>
      </c>
    </row>
    <row r="1670">
      <c r="A1670" t="inlineStr">
        <is>
          <t>pollution</t>
        </is>
      </c>
      <c r="B1670" t="n">
        <v>1</v>
      </c>
    </row>
    <row r="1671">
      <c r="A1671" t="inlineStr">
        <is>
          <t>volatile organic compound</t>
        </is>
      </c>
      <c r="B1671" t="n">
        <v>5</v>
      </c>
    </row>
    <row r="1672">
      <c r="A1672" t="inlineStr">
        <is>
          <t>people with dementia</t>
        </is>
      </c>
      <c r="B1672" t="n">
        <v>1</v>
      </c>
    </row>
    <row r="1673">
      <c r="A1673" t="inlineStr">
        <is>
          <t>care facility</t>
        </is>
      </c>
      <c r="B1673" t="n">
        <v>1</v>
      </c>
    </row>
    <row r="1674">
      <c r="A1674" t="inlineStr">
        <is>
          <t>habitual activity</t>
        </is>
      </c>
      <c r="B1674" t="n">
        <v>1</v>
      </c>
    </row>
    <row r="1675">
      <c r="A1675" t="inlineStr">
        <is>
          <t>acoustic comfort</t>
        </is>
      </c>
      <c r="B1675" t="n">
        <v>5</v>
      </c>
    </row>
    <row r="1676">
      <c r="A1676" t="inlineStr">
        <is>
          <t>seasonal changes</t>
        </is>
      </c>
      <c r="B1676" t="n">
        <v>1</v>
      </c>
    </row>
    <row r="1677">
      <c r="A1677" t="inlineStr">
        <is>
          <t>airtightness</t>
        </is>
      </c>
      <c r="B1677" t="n">
        <v>1</v>
      </c>
    </row>
    <row r="1678">
      <c r="A1678" t="inlineStr">
        <is>
          <t>outdoor temperature</t>
        </is>
      </c>
      <c r="B1678" t="n">
        <v>5</v>
      </c>
    </row>
    <row r="1679">
      <c r="A1679" t="inlineStr">
        <is>
          <t>university building</t>
        </is>
      </c>
      <c r="B1679" t="n">
        <v>1</v>
      </c>
    </row>
    <row r="1680">
      <c r="A1680" t="inlineStr">
        <is>
          <t>outdoor physical activity</t>
        </is>
      </c>
      <c r="B1680" t="n">
        <v>2</v>
      </c>
    </row>
    <row r="1681">
      <c r="A1681" t="inlineStr">
        <is>
          <t>indoor physical activity</t>
        </is>
      </c>
      <c r="B1681" t="n">
        <v>1</v>
      </c>
    </row>
    <row r="1682">
      <c r="A1682" t="inlineStr">
        <is>
          <t>physical inactivity</t>
        </is>
      </c>
      <c r="B1682" t="n">
        <v>3</v>
      </c>
    </row>
    <row r="1683">
      <c r="A1683" t="inlineStr">
        <is>
          <t>general mood</t>
        </is>
      </c>
      <c r="B1683" t="n">
        <v>1</v>
      </c>
    </row>
    <row r="1684">
      <c r="A1684" t="inlineStr">
        <is>
          <t>memory health</t>
        </is>
      </c>
      <c r="B1684" t="n">
        <v>1</v>
      </c>
    </row>
    <row r="1685">
      <c r="A1685" t="inlineStr">
        <is>
          <t>causal modeling</t>
        </is>
      </c>
      <c r="B1685" t="n">
        <v>1</v>
      </c>
    </row>
    <row r="1686">
      <c r="A1686" t="inlineStr">
        <is>
          <t>robotic tectonics</t>
        </is>
      </c>
      <c r="B1686" t="n">
        <v>1</v>
      </c>
    </row>
    <row r="1687">
      <c r="A1687" t="inlineStr">
        <is>
          <t>architectural education</t>
        </is>
      </c>
      <c r="B1687" t="n">
        <v>1</v>
      </c>
    </row>
    <row r="1688">
      <c r="A1688" t="inlineStr">
        <is>
          <t>automated construction</t>
        </is>
      </c>
      <c r="B1688" t="n">
        <v>1</v>
      </c>
    </row>
    <row r="1689">
      <c r="A1689" t="inlineStr">
        <is>
          <t>workshops</t>
        </is>
      </c>
      <c r="B1689" t="n">
        <v>1</v>
      </c>
    </row>
    <row r="1690">
      <c r="A1690" t="inlineStr">
        <is>
          <t>malaysia</t>
        </is>
      </c>
      <c r="B1690" t="n">
        <v>3</v>
      </c>
    </row>
    <row r="1691">
      <c r="A1691" t="inlineStr">
        <is>
          <t>light shelves</t>
        </is>
      </c>
      <c r="B1691" t="n">
        <v>1</v>
      </c>
    </row>
    <row r="1692">
      <c r="A1692" t="inlineStr">
        <is>
          <t>dynamic simulations</t>
        </is>
      </c>
      <c r="B1692" t="n">
        <v>1</v>
      </c>
    </row>
    <row r="1693">
      <c r="A1693" t="inlineStr">
        <is>
          <t>energyplus</t>
        </is>
      </c>
      <c r="B1693" t="n">
        <v>2</v>
      </c>
    </row>
    <row r="1694">
      <c r="A1694" t="inlineStr">
        <is>
          <t>parametric modelling</t>
        </is>
      </c>
      <c r="B1694" t="n">
        <v>1</v>
      </c>
    </row>
    <row r="1695">
      <c r="A1695" t="inlineStr">
        <is>
          <t>anylogic7</t>
        </is>
      </c>
      <c r="B1695" t="n">
        <v>1</v>
      </c>
    </row>
    <row r="1696">
      <c r="A1696" t="inlineStr">
        <is>
          <t>hospital building ventilation</t>
        </is>
      </c>
      <c r="B1696" t="n">
        <v>1</v>
      </c>
    </row>
    <row r="1697">
      <c r="A1697" t="inlineStr">
        <is>
          <t>hvac system</t>
        </is>
      </c>
      <c r="B1697" t="n">
        <v>2</v>
      </c>
    </row>
    <row r="1698">
      <c r="A1698" t="inlineStr">
        <is>
          <t>retrofitting</t>
        </is>
      </c>
      <c r="B1698" t="n">
        <v>2</v>
      </c>
    </row>
    <row r="1699">
      <c r="A1699" t="inlineStr">
        <is>
          <t>alaska native</t>
        </is>
      </c>
      <c r="B1699" t="n">
        <v>1</v>
      </c>
    </row>
    <row r="1700">
      <c r="A1700" t="inlineStr">
        <is>
          <t>american indian</t>
        </is>
      </c>
      <c r="B1700" t="n">
        <v>1</v>
      </c>
    </row>
    <row r="1701">
      <c r="A1701" t="inlineStr">
        <is>
          <t>cvd</t>
        </is>
      </c>
      <c r="B1701" t="n">
        <v>2</v>
      </c>
    </row>
    <row r="1702">
      <c r="A1702" t="inlineStr">
        <is>
          <t>grey space</t>
        </is>
      </c>
      <c r="B1702" t="n">
        <v>1</v>
      </c>
    </row>
    <row r="1703">
      <c r="A1703" t="inlineStr">
        <is>
          <t>traffic noise</t>
        </is>
      </c>
      <c r="B1703" t="n">
        <v>1</v>
      </c>
    </row>
    <row r="1704">
      <c r="A1704" t="inlineStr">
        <is>
          <t>environmental inequalities</t>
        </is>
      </c>
      <c r="B1704" t="n">
        <v>1</v>
      </c>
    </row>
    <row r="1705">
      <c r="A1705" t="inlineStr">
        <is>
          <t>environmental health inequalities</t>
        </is>
      </c>
      <c r="B1705" t="n">
        <v>1</v>
      </c>
    </row>
    <row r="1706">
      <c r="A1706" t="inlineStr">
        <is>
          <t>mixed-use building</t>
        </is>
      </c>
      <c r="B1706" t="n">
        <v>1</v>
      </c>
    </row>
    <row r="1707">
      <c r="A1707" t="inlineStr">
        <is>
          <t>surrounding built environment</t>
        </is>
      </c>
      <c r="B1707" t="n">
        <v>1</v>
      </c>
    </row>
    <row r="1708">
      <c r="A1708" t="inlineStr">
        <is>
          <t>urban green spaces</t>
        </is>
      </c>
      <c r="B1708" t="n">
        <v>1</v>
      </c>
    </row>
    <row r="1709">
      <c r="A1709" t="inlineStr">
        <is>
          <t>bayesian spatial multilevel model</t>
        </is>
      </c>
      <c r="B1709" t="n">
        <v>1</v>
      </c>
    </row>
    <row r="1710">
      <c r="A1710" t="inlineStr">
        <is>
          <t>essential trace element</t>
        </is>
      </c>
      <c r="B1710" t="n">
        <v>2</v>
      </c>
    </row>
    <row r="1711">
      <c r="A1711" t="inlineStr">
        <is>
          <t>bkmr</t>
        </is>
      </c>
      <c r="B1711" t="n">
        <v>1</v>
      </c>
    </row>
    <row r="1712">
      <c r="A1712" t="inlineStr">
        <is>
          <t>urban microclimate</t>
        </is>
      </c>
      <c r="B1712" t="n">
        <v>2</v>
      </c>
    </row>
    <row r="1713">
      <c r="A1713" t="inlineStr">
        <is>
          <t>weather data</t>
        </is>
      </c>
      <c r="B1713" t="n">
        <v>1</v>
      </c>
    </row>
    <row r="1714">
      <c r="A1714" t="inlineStr">
        <is>
          <t>household air pollution</t>
        </is>
      </c>
      <c r="B1714" t="n">
        <v>2</v>
      </c>
    </row>
    <row r="1715">
      <c r="A1715" t="inlineStr">
        <is>
          <t>socio-economic status</t>
        </is>
      </c>
      <c r="B1715" t="n">
        <v>2</v>
      </c>
    </row>
    <row r="1716">
      <c r="A1716" t="inlineStr">
        <is>
          <t>environmental justice</t>
        </is>
      </c>
      <c r="B1716" t="n">
        <v>2</v>
      </c>
    </row>
    <row r="1717">
      <c r="A1717" t="inlineStr">
        <is>
          <t>indoor environment modelling</t>
        </is>
      </c>
      <c r="B1717" t="n">
        <v>1</v>
      </c>
    </row>
    <row r="1718">
      <c r="A1718" t="inlineStr">
        <is>
          <t>preferred reporting items for systematic reviews meta-analyses (prisma)</t>
        </is>
      </c>
      <c r="B1718" t="n">
        <v>1</v>
      </c>
    </row>
    <row r="1719">
      <c r="A1719" t="inlineStr">
        <is>
          <t>low carbon cities</t>
        </is>
      </c>
      <c r="B1719" t="n">
        <v>1</v>
      </c>
    </row>
    <row r="1720">
      <c r="A1720" t="inlineStr">
        <is>
          <t>low energy buildings</t>
        </is>
      </c>
      <c r="B1720" t="n">
        <v>1</v>
      </c>
    </row>
    <row r="1721">
      <c r="A1721" t="inlineStr">
        <is>
          <t>shelter</t>
        </is>
      </c>
      <c r="B1721" t="n">
        <v>2</v>
      </c>
    </row>
    <row r="1722">
      <c r="A1722" t="inlineStr">
        <is>
          <t>building stock</t>
        </is>
      </c>
      <c r="B1722" t="n">
        <v>3</v>
      </c>
    </row>
    <row r="1723">
      <c r="A1723" t="inlineStr">
        <is>
          <t>building lifetime</t>
        </is>
      </c>
      <c r="B1723" t="n">
        <v>1</v>
      </c>
    </row>
    <row r="1724">
      <c r="A1724" t="inlineStr">
        <is>
          <t>carbon flux</t>
        </is>
      </c>
      <c r="B1724" t="n">
        <v>1</v>
      </c>
    </row>
    <row r="1725">
      <c r="A1725" t="inlineStr">
        <is>
          <t>multi-pollution</t>
        </is>
      </c>
      <c r="B1725" t="n">
        <v>1</v>
      </c>
    </row>
    <row r="1726">
      <c r="A1726" t="inlineStr">
        <is>
          <t>thermal parameters</t>
        </is>
      </c>
      <c r="B1726" t="n">
        <v>1</v>
      </c>
    </row>
    <row r="1727">
      <c r="A1727" t="inlineStr">
        <is>
          <t>personal thermal comfort</t>
        </is>
      </c>
      <c r="B1727" t="n">
        <v>1</v>
      </c>
    </row>
    <row r="1728">
      <c r="A1728" t="inlineStr">
        <is>
          <t>energy efficient design</t>
        </is>
      </c>
      <c r="B1728" t="n">
        <v>1</v>
      </c>
    </row>
    <row r="1729">
      <c r="A1729" t="inlineStr">
        <is>
          <t>policy</t>
        </is>
      </c>
      <c r="B1729" t="n">
        <v>8</v>
      </c>
    </row>
    <row r="1730">
      <c r="A1730" t="inlineStr">
        <is>
          <t>comprehensive plan</t>
        </is>
      </c>
      <c r="B1730" t="n">
        <v>1</v>
      </c>
    </row>
    <row r="1731">
      <c r="A1731" t="inlineStr">
        <is>
          <t>state statute</t>
        </is>
      </c>
      <c r="B1731" t="n">
        <v>1</v>
      </c>
    </row>
    <row r="1732">
      <c r="A1732" t="inlineStr">
        <is>
          <t>legal epidemiology</t>
        </is>
      </c>
      <c r="B1732" t="n">
        <v>1</v>
      </c>
    </row>
    <row r="1733">
      <c r="A1733" t="inlineStr">
        <is>
          <t>social determinants of health</t>
        </is>
      </c>
      <c r="B1733" t="n">
        <v>1</v>
      </c>
    </row>
    <row r="1734">
      <c r="A1734" t="inlineStr">
        <is>
          <t>geographic variation</t>
        </is>
      </c>
      <c r="B1734" t="n">
        <v>2</v>
      </c>
    </row>
    <row r="1735">
      <c r="A1735" t="inlineStr">
        <is>
          <t>ice stadium</t>
        </is>
      </c>
      <c r="B1735" t="n">
        <v>1</v>
      </c>
    </row>
    <row r="1736">
      <c r="A1736" t="inlineStr">
        <is>
          <t>building renovation</t>
        </is>
      </c>
      <c r="B1736" t="n">
        <v>1</v>
      </c>
    </row>
    <row r="1737">
      <c r="A1737" t="inlineStr">
        <is>
          <t>ceiling enclosure structure</t>
        </is>
      </c>
      <c r="B1737" t="n">
        <v>1</v>
      </c>
    </row>
    <row r="1738">
      <c r="A1738" t="inlineStr">
        <is>
          <t>indoor environmental condition</t>
        </is>
      </c>
      <c r="B1738" t="n">
        <v>1</v>
      </c>
    </row>
    <row r="1739">
      <c r="A1739" t="inlineStr">
        <is>
          <t>health condition</t>
        </is>
      </c>
      <c r="B1739" t="n">
        <v>1</v>
      </c>
    </row>
    <row r="1740">
      <c r="A1740" t="inlineStr">
        <is>
          <t>emirati adolescents</t>
        </is>
      </c>
      <c r="B1740" t="n">
        <v>1</v>
      </c>
    </row>
    <row r="1741">
      <c r="A1741" t="inlineStr">
        <is>
          <t>parent perception</t>
        </is>
      </c>
      <c r="B1741" t="n">
        <v>1</v>
      </c>
    </row>
    <row r="1742">
      <c r="A1742" t="inlineStr">
        <is>
          <t>united arab emirates</t>
        </is>
      </c>
      <c r="B1742" t="n">
        <v>2</v>
      </c>
    </row>
    <row r="1743">
      <c r="A1743" t="inlineStr">
        <is>
          <t>bioaerosol size distribution</t>
        </is>
      </c>
      <c r="B1743" t="n">
        <v>1</v>
      </c>
    </row>
    <row r="1744">
      <c r="A1744" t="inlineStr">
        <is>
          <t>six-stage impactor</t>
        </is>
      </c>
      <c r="B1744" t="n">
        <v>1</v>
      </c>
    </row>
    <row r="1745">
      <c r="A1745" t="inlineStr">
        <is>
          <t>digital technology</t>
        </is>
      </c>
      <c r="B1745" t="n">
        <v>4</v>
      </c>
    </row>
    <row r="1746">
      <c r="A1746" t="inlineStr">
        <is>
          <t>digitalisation</t>
        </is>
      </c>
      <c r="B1746" t="n">
        <v>1</v>
      </c>
    </row>
    <row r="1747">
      <c r="A1747" t="inlineStr">
        <is>
          <t>construction</t>
        </is>
      </c>
      <c r="B1747" t="n">
        <v>4</v>
      </c>
    </row>
    <row r="1748">
      <c r="A1748" t="inlineStr">
        <is>
          <t>framework</t>
        </is>
      </c>
      <c r="B1748" t="n">
        <v>3</v>
      </c>
    </row>
    <row r="1749">
      <c r="A1749" t="inlineStr">
        <is>
          <t>circular strategies</t>
        </is>
      </c>
      <c r="B1749" t="n">
        <v>1</v>
      </c>
    </row>
    <row r="1750">
      <c r="A1750" t="inlineStr">
        <is>
          <t>circular business models</t>
        </is>
      </c>
      <c r="B1750" t="n">
        <v>1</v>
      </c>
    </row>
    <row r="1751">
      <c r="A1751" t="inlineStr">
        <is>
          <t>circular design</t>
        </is>
      </c>
      <c r="B1751" t="n">
        <v>1</v>
      </c>
    </row>
    <row r="1752">
      <c r="A1752" t="inlineStr">
        <is>
          <t>partially observable markov decision process (pomdp)</t>
        </is>
      </c>
      <c r="B1752" t="n">
        <v>1</v>
      </c>
    </row>
    <row r="1753">
      <c r="A1753" t="inlineStr">
        <is>
          <t>search and rescue (sar)</t>
        </is>
      </c>
      <c r="B1753" t="n">
        <v>1</v>
      </c>
    </row>
    <row r="1754">
      <c r="A1754" t="inlineStr">
        <is>
          <t>probabilistic decision-making</t>
        </is>
      </c>
      <c r="B1754" t="n">
        <v>1</v>
      </c>
    </row>
    <row r="1755">
      <c r="A1755" t="inlineStr">
        <is>
          <t>embedded systems</t>
        </is>
      </c>
      <c r="B1755" t="n">
        <v>1</v>
      </c>
    </row>
    <row r="1756">
      <c r="A1756" t="inlineStr">
        <is>
          <t>autonomous system</t>
        </is>
      </c>
      <c r="B1756" t="n">
        <v>1</v>
      </c>
    </row>
    <row r="1757">
      <c r="A1757" t="inlineStr">
        <is>
          <t>unmanned aerial system (uas)</t>
        </is>
      </c>
      <c r="B1757" t="n">
        <v>1</v>
      </c>
    </row>
    <row r="1758">
      <c r="A1758" t="inlineStr">
        <is>
          <t>path planning</t>
        </is>
      </c>
      <c r="B1758" t="n">
        <v>1</v>
      </c>
    </row>
    <row r="1759">
      <c r="A1759" t="inlineStr">
        <is>
          <t>urban greenery</t>
        </is>
      </c>
      <c r="B1759" t="n">
        <v>1</v>
      </c>
    </row>
    <row r="1760">
      <c r="A1760" t="inlineStr">
        <is>
          <t>perceived security</t>
        </is>
      </c>
      <c r="B1760" t="n">
        <v>1</v>
      </c>
    </row>
    <row r="1761">
      <c r="A1761" t="inlineStr">
        <is>
          <t>fear factors</t>
        </is>
      </c>
      <c r="B1761" t="n">
        <v>1</v>
      </c>
    </row>
    <row r="1762">
      <c r="A1762" t="inlineStr">
        <is>
          <t>age-friendly parks</t>
        </is>
      </c>
      <c r="B1762" t="n">
        <v>1</v>
      </c>
    </row>
    <row r="1763">
      <c r="A1763" t="inlineStr">
        <is>
          <t>active-friendly parks</t>
        </is>
      </c>
      <c r="B1763" t="n">
        <v>1</v>
      </c>
    </row>
    <row r="1764">
      <c r="A1764" t="inlineStr">
        <is>
          <t>inclusiveness</t>
        </is>
      </c>
      <c r="B1764" t="n">
        <v>1</v>
      </c>
    </row>
    <row r="1765">
      <c r="A1765" t="inlineStr">
        <is>
          <t>poland</t>
        </is>
      </c>
      <c r="B1765" t="n">
        <v>2</v>
      </c>
    </row>
    <row r="1766">
      <c r="A1766" t="inlineStr">
        <is>
          <t>physical literacy</t>
        </is>
      </c>
      <c r="B1766" t="n">
        <v>2</v>
      </c>
    </row>
    <row r="1767">
      <c r="A1767" t="inlineStr">
        <is>
          <t>technology</t>
        </is>
      </c>
      <c r="B1767" t="n">
        <v>6</v>
      </c>
    </row>
    <row r="1768">
      <c r="A1768" t="inlineStr">
        <is>
          <t>active videogame</t>
        </is>
      </c>
      <c r="B1768" t="n">
        <v>1</v>
      </c>
    </row>
    <row r="1769">
      <c r="A1769" t="inlineStr">
        <is>
          <t>focus groups</t>
        </is>
      </c>
      <c r="B1769" t="n">
        <v>2</v>
      </c>
    </row>
    <row r="1770">
      <c r="A1770" t="inlineStr">
        <is>
          <t>person with disabilities</t>
        </is>
      </c>
      <c r="B1770" t="n">
        <v>1</v>
      </c>
    </row>
    <row r="1771">
      <c r="A1771" t="inlineStr">
        <is>
          <t>cultural heritage</t>
        </is>
      </c>
      <c r="B1771" t="n">
        <v>3</v>
      </c>
    </row>
    <row r="1772">
      <c r="A1772" t="inlineStr">
        <is>
          <t>universal design</t>
        </is>
      </c>
      <c r="B1772" t="n">
        <v>2</v>
      </c>
    </row>
    <row r="1773">
      <c r="A1773" t="inlineStr">
        <is>
          <t>sustainable construction</t>
        </is>
      </c>
      <c r="B1773" t="n">
        <v>4</v>
      </c>
    </row>
    <row r="1774">
      <c r="A1774" t="inlineStr">
        <is>
          <t>hospital staff</t>
        </is>
      </c>
      <c r="B1774" t="n">
        <v>1</v>
      </c>
    </row>
    <row r="1775">
      <c r="A1775" t="inlineStr">
        <is>
          <t>micro indoor environments</t>
        </is>
      </c>
      <c r="B1775" t="n">
        <v>1</v>
      </c>
    </row>
    <row r="1776">
      <c r="A1776" t="inlineStr">
        <is>
          <t>contaminants of emerging concern</t>
        </is>
      </c>
      <c r="B1776" t="n">
        <v>1</v>
      </c>
    </row>
    <row r="1777">
      <c r="A1777" t="inlineStr">
        <is>
          <t>atr-ftir</t>
        </is>
      </c>
      <c r="B1777" t="n">
        <v>1</v>
      </c>
    </row>
    <row r="1778">
      <c r="A1778" t="inlineStr">
        <is>
          <t>lc-q-tof-ms</t>
        </is>
      </c>
      <c r="B1778" t="n">
        <v>1</v>
      </c>
    </row>
    <row r="1779">
      <c r="A1779" t="inlineStr">
        <is>
          <t>resource efficiency</t>
        </is>
      </c>
      <c r="B1779" t="n">
        <v>1</v>
      </c>
    </row>
    <row r="1780">
      <c r="A1780" t="inlineStr">
        <is>
          <t>reuse design project</t>
        </is>
      </c>
      <c r="B1780" t="n">
        <v>1</v>
      </c>
    </row>
    <row r="1781">
      <c r="A1781" t="inlineStr">
        <is>
          <t>building sector</t>
        </is>
      </c>
      <c r="B1781" t="n">
        <v>1</v>
      </c>
    </row>
    <row r="1782">
      <c r="A1782" t="inlineStr">
        <is>
          <t>on-site mining</t>
        </is>
      </c>
      <c r="B1782" t="n">
        <v>1</v>
      </c>
    </row>
    <row r="1783">
      <c r="A1783" t="inlineStr">
        <is>
          <t>urban mining</t>
        </is>
      </c>
      <c r="B1783" t="n">
        <v>2</v>
      </c>
    </row>
    <row r="1784">
      <c r="A1784" t="inlineStr">
        <is>
          <t>indoor air purification</t>
        </is>
      </c>
      <c r="B1784" t="n">
        <v>1</v>
      </c>
    </row>
    <row r="1785">
      <c r="A1785" t="inlineStr">
        <is>
          <t>building dampness</t>
        </is>
      </c>
      <c r="B1785" t="n">
        <v>1</v>
      </c>
    </row>
    <row r="1786">
      <c r="A1786" t="inlineStr">
        <is>
          <t>school environment</t>
        </is>
      </c>
      <c r="B1786" t="n">
        <v>3</v>
      </c>
    </row>
    <row r="1787">
      <c r="A1787" t="inlineStr">
        <is>
          <t>building indoor pipes</t>
        </is>
      </c>
      <c r="B1787" t="n">
        <v>1</v>
      </c>
    </row>
    <row r="1788">
      <c r="A1788" t="inlineStr">
        <is>
          <t>indoor heating</t>
        </is>
      </c>
      <c r="B1788" t="n">
        <v>1</v>
      </c>
    </row>
    <row r="1789">
      <c r="A1789" t="inlineStr">
        <is>
          <t>flow cytometry</t>
        </is>
      </c>
      <c r="B1789" t="n">
        <v>1</v>
      </c>
    </row>
    <row r="1790">
      <c r="A1790" t="inlineStr">
        <is>
          <t>biolog</t>
        </is>
      </c>
      <c r="B1790" t="n">
        <v>1</v>
      </c>
    </row>
    <row r="1791">
      <c r="A1791" t="inlineStr">
        <is>
          <t>pedestrian accidents</t>
        </is>
      </c>
      <c r="B1791" t="n">
        <v>1</v>
      </c>
    </row>
    <row r="1792">
      <c r="A1792" t="inlineStr">
        <is>
          <t>road accidents</t>
        </is>
      </c>
      <c r="B1792" t="n">
        <v>1</v>
      </c>
    </row>
    <row r="1793">
      <c r="A1793" t="inlineStr">
        <is>
          <t>italy</t>
        </is>
      </c>
      <c r="B1793" t="n">
        <v>3</v>
      </c>
    </row>
    <row r="1794">
      <c r="A1794" t="inlineStr">
        <is>
          <t>ventilation systems</t>
        </is>
      </c>
      <c r="B1794" t="n">
        <v>1</v>
      </c>
    </row>
    <row r="1795">
      <c r="A1795" t="inlineStr">
        <is>
          <t>mitigation</t>
        </is>
      </c>
      <c r="B1795" t="n">
        <v>4</v>
      </c>
    </row>
    <row r="1796">
      <c r="A1796" t="inlineStr">
        <is>
          <t>gcc countries</t>
        </is>
      </c>
      <c r="B1796" t="n">
        <v>2</v>
      </c>
    </row>
    <row r="1797">
      <c r="A1797" t="inlineStr">
        <is>
          <t>early childhood</t>
        </is>
      </c>
      <c r="B1797" t="n">
        <v>1</v>
      </c>
    </row>
    <row r="1798">
      <c r="A1798" t="inlineStr">
        <is>
          <t>preschool</t>
        </is>
      </c>
      <c r="B1798" t="n">
        <v>1</v>
      </c>
    </row>
    <row r="1799">
      <c r="A1799" t="inlineStr">
        <is>
          <t>outdoor environment</t>
        </is>
      </c>
      <c r="B1799" t="n">
        <v>1</v>
      </c>
    </row>
    <row r="1800">
      <c r="A1800" t="inlineStr">
        <is>
          <t>airborne infection</t>
        </is>
      </c>
      <c r="B1800" t="n">
        <v>1</v>
      </c>
    </row>
    <row r="1801">
      <c r="A1801" t="inlineStr">
        <is>
          <t>covid-19 control</t>
        </is>
      </c>
      <c r="B1801" t="n">
        <v>1</v>
      </c>
    </row>
    <row r="1802">
      <c r="A1802" t="inlineStr">
        <is>
          <t>ventilation effectiveness</t>
        </is>
      </c>
      <c r="B1802" t="n">
        <v>1</v>
      </c>
    </row>
    <row r="1803">
      <c r="A1803" t="inlineStr">
        <is>
          <t>indoor airflow</t>
        </is>
      </c>
      <c r="B1803" t="n">
        <v>1</v>
      </c>
    </row>
    <row r="1804">
      <c r="A1804" t="inlineStr">
        <is>
          <t>internet environment</t>
        </is>
      </c>
      <c r="B1804" t="n">
        <v>1</v>
      </c>
    </row>
    <row r="1805">
      <c r="A1805" t="inlineStr">
        <is>
          <t>ecological sports</t>
        </is>
      </c>
      <c r="B1805" t="n">
        <v>1</v>
      </c>
    </row>
    <row r="1806">
      <c r="A1806" t="inlineStr">
        <is>
          <t>colleges and universifies</t>
        </is>
      </c>
      <c r="B1806" t="n">
        <v>1</v>
      </c>
    </row>
    <row r="1807">
      <c r="A1807" t="inlineStr">
        <is>
          <t>teaching mode</t>
        </is>
      </c>
      <c r="B1807" t="n">
        <v>1</v>
      </c>
    </row>
    <row r="1808">
      <c r="A1808" t="inlineStr">
        <is>
          <t>healthy life</t>
        </is>
      </c>
      <c r="B1808" t="n">
        <v>1</v>
      </c>
    </row>
    <row r="1809">
      <c r="A1809" t="inlineStr">
        <is>
          <t>indoor lighting environment</t>
        </is>
      </c>
      <c r="B1809" t="n">
        <v>1</v>
      </c>
    </row>
    <row r="1810">
      <c r="A1810" t="inlineStr">
        <is>
          <t>fatigue</t>
        </is>
      </c>
      <c r="B1810" t="n">
        <v>3</v>
      </c>
    </row>
    <row r="1811">
      <c r="A1811" t="inlineStr">
        <is>
          <t>eeg</t>
        </is>
      </c>
      <c r="B1811" t="n">
        <v>1</v>
      </c>
    </row>
    <row r="1812">
      <c r="A1812" t="inlineStr">
        <is>
          <t>ecg</t>
        </is>
      </c>
      <c r="B1812" t="n">
        <v>1</v>
      </c>
    </row>
    <row r="1813">
      <c r="A1813" t="inlineStr">
        <is>
          <t>hrv</t>
        </is>
      </c>
      <c r="B1813" t="n">
        <v>1</v>
      </c>
    </row>
    <row r="1814">
      <c r="A1814" t="inlineStr">
        <is>
          <t>evidence synthesis</t>
        </is>
      </c>
      <c r="B1814" t="n">
        <v>1</v>
      </c>
    </row>
    <row r="1815">
      <c r="A1815" t="inlineStr">
        <is>
          <t>methodology</t>
        </is>
      </c>
      <c r="B1815" t="n">
        <v>2</v>
      </c>
    </row>
    <row r="1816">
      <c r="A1816" t="inlineStr">
        <is>
          <t>heart disease</t>
        </is>
      </c>
      <c r="B1816" t="n">
        <v>1</v>
      </c>
    </row>
    <row r="1817">
      <c r="A1817" t="inlineStr">
        <is>
          <t>upgrading strategies</t>
        </is>
      </c>
      <c r="B1817" t="n">
        <v>1</v>
      </c>
    </row>
    <row r="1818">
      <c r="A1818" t="inlineStr">
        <is>
          <t>post-disaster shelters</t>
        </is>
      </c>
      <c r="B1818" t="n">
        <v>1</v>
      </c>
    </row>
    <row r="1819">
      <c r="A1819" t="inlineStr">
        <is>
          <t>sustainable prototypes</t>
        </is>
      </c>
      <c r="B1819" t="n">
        <v>1</v>
      </c>
    </row>
    <row r="1820">
      <c r="A1820" t="inlineStr">
        <is>
          <t>low-impact constructions</t>
        </is>
      </c>
      <c r="B1820" t="n">
        <v>1</v>
      </c>
    </row>
    <row r="1821">
      <c r="A1821" t="inlineStr">
        <is>
          <t>membrane bioreactor</t>
        </is>
      </c>
      <c r="B1821" t="n">
        <v>1</v>
      </c>
    </row>
    <row r="1822">
      <c r="A1822" t="inlineStr">
        <is>
          <t>capillary bioreactor</t>
        </is>
      </c>
      <c r="B1822" t="n">
        <v>1</v>
      </c>
    </row>
    <row r="1823">
      <c r="A1823" t="inlineStr">
        <is>
          <t>photobioreactor</t>
        </is>
      </c>
      <c r="B1823" t="n">
        <v>1</v>
      </c>
    </row>
    <row r="1824">
      <c r="A1824" t="inlineStr">
        <is>
          <t>essential oils</t>
        </is>
      </c>
      <c r="B1824" t="n">
        <v>1</v>
      </c>
    </row>
    <row r="1825">
      <c r="A1825" t="inlineStr">
        <is>
          <t>psychophysiological status</t>
        </is>
      </c>
      <c r="B1825" t="n">
        <v>1</v>
      </c>
    </row>
    <row r="1826">
      <c r="A1826" t="inlineStr">
        <is>
          <t>remote education</t>
        </is>
      </c>
      <c r="B1826" t="n">
        <v>1</v>
      </c>
    </row>
    <row r="1827">
      <c r="A1827" t="inlineStr">
        <is>
          <t>student satisfaction</t>
        </is>
      </c>
      <c r="B1827" t="n">
        <v>1</v>
      </c>
    </row>
    <row r="1828">
      <c r="A1828" t="inlineStr">
        <is>
          <t>pls-sem</t>
        </is>
      </c>
      <c r="B1828" t="n">
        <v>2</v>
      </c>
    </row>
    <row r="1829">
      <c r="A1829" t="inlineStr">
        <is>
          <t>air pollution transmission</t>
        </is>
      </c>
      <c r="B1829" t="n">
        <v>2</v>
      </c>
    </row>
    <row r="1830">
      <c r="A1830" t="inlineStr">
        <is>
          <t>indoor-outdoor relation</t>
        </is>
      </c>
      <c r="B1830" t="n">
        <v>2</v>
      </c>
    </row>
    <row r="1831">
      <c r="A1831" t="inlineStr">
        <is>
          <t>urban canyon</t>
        </is>
      </c>
      <c r="B1831" t="n">
        <v>1</v>
      </c>
    </row>
    <row r="1832">
      <c r="A1832" t="inlineStr">
        <is>
          <t>factors of transmission</t>
        </is>
      </c>
      <c r="B1832" t="n">
        <v>2</v>
      </c>
    </row>
    <row r="1833">
      <c r="A1833" t="inlineStr">
        <is>
          <t>russia</t>
        </is>
      </c>
      <c r="B1833" t="n">
        <v>1</v>
      </c>
    </row>
    <row r="1834">
      <c r="A1834" t="inlineStr">
        <is>
          <t>self-isolation</t>
        </is>
      </c>
      <c r="B1834" t="n">
        <v>1</v>
      </c>
    </row>
    <row r="1835">
      <c r="A1835" t="inlineStr">
        <is>
          <t>sewage</t>
        </is>
      </c>
      <c r="B1835" t="n">
        <v>1</v>
      </c>
    </row>
    <row r="1836">
      <c r="A1836" t="inlineStr">
        <is>
          <t>disinfection</t>
        </is>
      </c>
      <c r="B1836" t="n">
        <v>1</v>
      </c>
    </row>
    <row r="1837">
      <c r="A1837" t="inlineStr">
        <is>
          <t>lifestyle</t>
        </is>
      </c>
      <c r="B1837" t="n">
        <v>3</v>
      </c>
    </row>
    <row r="1838">
      <c r="A1838" t="inlineStr">
        <is>
          <t>age-spatial separation</t>
        </is>
      </c>
      <c r="B1838" t="n">
        <v>1</v>
      </c>
    </row>
    <row r="1839">
      <c r="A1839" t="inlineStr">
        <is>
          <t>everyday life</t>
        </is>
      </c>
      <c r="B1839" t="n">
        <v>1</v>
      </c>
    </row>
    <row r="1840">
      <c r="A1840" t="inlineStr">
        <is>
          <t>smaller chinese cities</t>
        </is>
      </c>
      <c r="B1840" t="n">
        <v>1</v>
      </c>
    </row>
    <row r="1841">
      <c r="A1841" t="inlineStr">
        <is>
          <t>accidental leakage</t>
        </is>
      </c>
      <c r="B1841" t="n">
        <v>1</v>
      </c>
    </row>
    <row r="1842">
      <c r="A1842" t="inlineStr">
        <is>
          <t>multiroom building</t>
        </is>
      </c>
      <c r="B1842" t="n">
        <v>1</v>
      </c>
    </row>
    <row r="1843">
      <c r="A1843" t="inlineStr">
        <is>
          <t>concentration distribution</t>
        </is>
      </c>
      <c r="B1843" t="n">
        <v>1</v>
      </c>
    </row>
    <row r="1844">
      <c r="A1844" t="inlineStr">
        <is>
          <t>optimum installation</t>
        </is>
      </c>
      <c r="B1844" t="n">
        <v>1</v>
      </c>
    </row>
    <row r="1845">
      <c r="A1845" t="inlineStr">
        <is>
          <t>sorptive building materials</t>
        </is>
      </c>
      <c r="B1845" t="n">
        <v>1</v>
      </c>
    </row>
    <row r="1846">
      <c r="A1846" t="inlineStr">
        <is>
          <t>contribution ratio of pollution source</t>
        </is>
      </c>
      <c r="B1846" t="n">
        <v>1</v>
      </c>
    </row>
    <row r="1847">
      <c r="A1847" t="inlineStr">
        <is>
          <t>engagement</t>
        </is>
      </c>
      <c r="B1847" t="n">
        <v>4</v>
      </c>
    </row>
    <row r="1848">
      <c r="A1848" t="inlineStr">
        <is>
          <t>empirical studies</t>
        </is>
      </c>
      <c r="B1848" t="n">
        <v>1</v>
      </c>
    </row>
    <row r="1849">
      <c r="A1849" t="inlineStr">
        <is>
          <t>adamo</t>
        </is>
      </c>
      <c r="B1849" t="n">
        <v>1</v>
      </c>
    </row>
    <row r="1850">
      <c r="A1850" t="inlineStr">
        <is>
          <t>physical frailty</t>
        </is>
      </c>
      <c r="B1850" t="n">
        <v>6</v>
      </c>
    </row>
    <row r="1851">
      <c r="A1851" t="inlineStr">
        <is>
          <t>adl</t>
        </is>
      </c>
      <c r="B1851" t="n">
        <v>3</v>
      </c>
    </row>
    <row r="1852">
      <c r="A1852" t="inlineStr">
        <is>
          <t>aged population</t>
        </is>
      </c>
      <c r="B1852" t="n">
        <v>1</v>
      </c>
    </row>
    <row r="1853">
      <c r="A1853" t="inlineStr">
        <is>
          <t>pyrethroid</t>
        </is>
      </c>
      <c r="B1853" t="n">
        <v>1</v>
      </c>
    </row>
    <row r="1854">
      <c r="A1854" t="inlineStr">
        <is>
          <t>pesticide</t>
        </is>
      </c>
      <c r="B1854" t="n">
        <v>1</v>
      </c>
    </row>
    <row r="1855">
      <c r="A1855" t="inlineStr">
        <is>
          <t>nhanes</t>
        </is>
      </c>
      <c r="B1855" t="n">
        <v>2</v>
      </c>
    </row>
    <row r="1856">
      <c r="A1856" t="inlineStr">
        <is>
          <t>seasonal</t>
        </is>
      </c>
      <c r="B1856" t="n">
        <v>1</v>
      </c>
    </row>
    <row r="1857">
      <c r="A1857" t="inlineStr">
        <is>
          <t>spatial knowledge</t>
        </is>
      </c>
      <c r="B1857" t="n">
        <v>1</v>
      </c>
    </row>
    <row r="1858">
      <c r="A1858" t="inlineStr">
        <is>
          <t>school travel mode</t>
        </is>
      </c>
      <c r="B1858" t="n">
        <v>1</v>
      </c>
    </row>
    <row r="1859">
      <c r="A1859" t="inlineStr">
        <is>
          <t>bibliometric</t>
        </is>
      </c>
      <c r="B1859" t="n">
        <v>1</v>
      </c>
    </row>
    <row r="1860">
      <c r="A1860" t="inlineStr">
        <is>
          <t>sports</t>
        </is>
      </c>
      <c r="B1860" t="n">
        <v>1</v>
      </c>
    </row>
    <row r="1861">
      <c r="A1861" t="inlineStr">
        <is>
          <t>social network</t>
        </is>
      </c>
      <c r="B1861" t="n">
        <v>3</v>
      </c>
    </row>
    <row r="1862">
      <c r="A1862" t="inlineStr">
        <is>
          <t>bayesian belief network (bbn)</t>
        </is>
      </c>
      <c r="B1862" t="n">
        <v>1</v>
      </c>
    </row>
    <row r="1863">
      <c r="A1863" t="inlineStr">
        <is>
          <t>hyperspectral image</t>
        </is>
      </c>
      <c r="B1863" t="n">
        <v>1</v>
      </c>
    </row>
    <row r="1864">
      <c r="A1864" t="inlineStr">
        <is>
          <t>spectral and spatial feature</t>
        </is>
      </c>
      <c r="B1864" t="n">
        <v>1</v>
      </c>
    </row>
    <row r="1865">
      <c r="A1865" t="inlineStr">
        <is>
          <t>convolutional neural network (cnn)</t>
        </is>
      </c>
      <c r="B1865" t="n">
        <v>2</v>
      </c>
    </row>
    <row r="1866">
      <c r="A1866" t="inlineStr">
        <is>
          <t>interior-edge-adjacency features</t>
        </is>
      </c>
      <c r="B1866" t="n">
        <v>1</v>
      </c>
    </row>
    <row r="1867">
      <c r="A1867" t="inlineStr">
        <is>
          <t>building roof</t>
        </is>
      </c>
      <c r="B1867" t="n">
        <v>1</v>
      </c>
    </row>
    <row r="1868">
      <c r="A1868" t="inlineStr">
        <is>
          <t>indoor-outdoor</t>
        </is>
      </c>
      <c r="B1868" t="n">
        <v>1</v>
      </c>
    </row>
    <row r="1869">
      <c r="A1869" t="inlineStr">
        <is>
          <t>elements</t>
        </is>
      </c>
      <c r="B1869" t="n">
        <v>1</v>
      </c>
    </row>
    <row r="1870">
      <c r="A1870" t="inlineStr">
        <is>
          <t>ions</t>
        </is>
      </c>
      <c r="B1870" t="n">
        <v>2</v>
      </c>
    </row>
    <row r="1871">
      <c r="A1871" t="inlineStr">
        <is>
          <t>suspended particulate matter</t>
        </is>
      </c>
      <c r="B1871" t="n">
        <v>1</v>
      </c>
    </row>
    <row r="1872">
      <c r="A1872" t="inlineStr">
        <is>
          <t>emission</t>
        </is>
      </c>
      <c r="B1872" t="n">
        <v>2</v>
      </c>
    </row>
    <row r="1873">
      <c r="A1873" t="inlineStr">
        <is>
          <t>ambient</t>
        </is>
      </c>
      <c r="B1873" t="n">
        <v>1</v>
      </c>
    </row>
    <row r="1874">
      <c r="A1874" t="inlineStr">
        <is>
          <t>multiple pollutants complex system</t>
        </is>
      </c>
      <c r="B1874" t="n">
        <v>1</v>
      </c>
    </row>
    <row r="1875">
      <c r="A1875" t="inlineStr">
        <is>
          <t>btx</t>
        </is>
      </c>
      <c r="B1875" t="n">
        <v>1</v>
      </c>
    </row>
    <row r="1876">
      <c r="A1876" t="inlineStr">
        <is>
          <t>iaq standard</t>
        </is>
      </c>
      <c r="B1876" t="n">
        <v>1</v>
      </c>
    </row>
    <row r="1877">
      <c r="A1877" t="inlineStr">
        <is>
          <t>cellular biology effect</t>
        </is>
      </c>
      <c r="B1877" t="n">
        <v>1</v>
      </c>
    </row>
    <row r="1878">
      <c r="A1878" t="inlineStr">
        <is>
          <t>facilities management</t>
        </is>
      </c>
      <c r="B1878" t="n">
        <v>2</v>
      </c>
    </row>
    <row r="1879">
      <c r="A1879" t="inlineStr">
        <is>
          <t>sound insulation</t>
        </is>
      </c>
      <c r="B1879" t="n">
        <v>1</v>
      </c>
    </row>
    <row r="1880">
      <c r="A1880" t="inlineStr">
        <is>
          <t>acoustic performance</t>
        </is>
      </c>
      <c r="B1880" t="n">
        <v>1</v>
      </c>
    </row>
    <row r="1881">
      <c r="A1881" t="inlineStr">
        <is>
          <t>preconstructed module</t>
        </is>
      </c>
      <c r="B1881" t="n">
        <v>1</v>
      </c>
    </row>
    <row r="1882">
      <c r="A1882" t="inlineStr">
        <is>
          <t>ozonolysis</t>
        </is>
      </c>
      <c r="B1882" t="n">
        <v>1</v>
      </c>
    </row>
    <row r="1883">
      <c r="A1883" t="inlineStr">
        <is>
          <t>particle formation</t>
        </is>
      </c>
      <c r="B1883" t="n">
        <v>2</v>
      </c>
    </row>
    <row r="1884">
      <c r="A1884" t="inlineStr">
        <is>
          <t>particle growth</t>
        </is>
      </c>
      <c r="B1884" t="n">
        <v>1</v>
      </c>
    </row>
    <row r="1885">
      <c r="A1885" t="inlineStr">
        <is>
          <t>building atrium</t>
        </is>
      </c>
      <c r="B1885" t="n">
        <v>1</v>
      </c>
    </row>
    <row r="1886">
      <c r="A1886" t="inlineStr">
        <is>
          <t>multi-objective optimization</t>
        </is>
      </c>
      <c r="B1886" t="n">
        <v>1</v>
      </c>
    </row>
    <row r="1887">
      <c r="A1887" t="inlineStr">
        <is>
          <t>optimization framework</t>
        </is>
      </c>
      <c r="B1887" t="n">
        <v>1</v>
      </c>
    </row>
    <row r="1888">
      <c r="A1888" t="inlineStr">
        <is>
          <t>health impact</t>
        </is>
      </c>
      <c r="B1888" t="n">
        <v>3</v>
      </c>
    </row>
    <row r="1889">
      <c r="A1889" t="inlineStr">
        <is>
          <t>subjective indoor air quality</t>
        </is>
      </c>
      <c r="B1889" t="n">
        <v>1</v>
      </c>
    </row>
    <row r="1890">
      <c r="A1890" t="inlineStr">
        <is>
          <t>draught</t>
        </is>
      </c>
      <c r="B1890" t="n">
        <v>1</v>
      </c>
    </row>
    <row r="1891">
      <c r="A1891" t="inlineStr">
        <is>
          <t>measured indoor environment</t>
        </is>
      </c>
      <c r="B1891" t="n">
        <v>1</v>
      </c>
    </row>
    <row r="1892">
      <c r="A1892" t="inlineStr">
        <is>
          <t>moisture load</t>
        </is>
      </c>
      <c r="B1892" t="n">
        <v>1</v>
      </c>
    </row>
    <row r="1893">
      <c r="A1893" t="inlineStr">
        <is>
          <t>airborne microbiota</t>
        </is>
      </c>
      <c r="B1893" t="n">
        <v>1</v>
      </c>
    </row>
    <row r="1894">
      <c r="A1894" t="inlineStr">
        <is>
          <t>amplicon sequence variants</t>
        </is>
      </c>
      <c r="B1894" t="n">
        <v>1</v>
      </c>
    </row>
    <row r="1895">
      <c r="A1895" t="inlineStr">
        <is>
          <t>building type</t>
        </is>
      </c>
      <c r="B1895" t="n">
        <v>4</v>
      </c>
    </row>
    <row r="1896">
      <c r="A1896" t="inlineStr">
        <is>
          <t>operational taxonomic units</t>
        </is>
      </c>
      <c r="B1896" t="n">
        <v>1</v>
      </c>
    </row>
    <row r="1897">
      <c r="A1897" t="inlineStr">
        <is>
          <t>building material</t>
        </is>
      </c>
      <c r="B1897" t="n">
        <v>5</v>
      </c>
    </row>
    <row r="1898">
      <c r="A1898" t="inlineStr">
        <is>
          <t>nvoc</t>
        </is>
      </c>
      <c r="B1898" t="n">
        <v>1</v>
      </c>
    </row>
    <row r="1899">
      <c r="A1899" t="inlineStr">
        <is>
          <t>alpha-pinene</t>
        </is>
      </c>
      <c r="B1899" t="n">
        <v>1</v>
      </c>
    </row>
    <row r="1900">
      <c r="A1900" t="inlineStr">
        <is>
          <t>data driven</t>
        </is>
      </c>
      <c r="B1900" t="n">
        <v>1</v>
      </c>
    </row>
    <row r="1901">
      <c r="A1901" t="inlineStr">
        <is>
          <t>electroencephalogram</t>
        </is>
      </c>
      <c r="B1901" t="n">
        <v>1</v>
      </c>
    </row>
    <row r="1902">
      <c r="A1902" t="inlineStr">
        <is>
          <t>geosimulation</t>
        </is>
      </c>
      <c r="B1902" t="n">
        <v>1</v>
      </c>
    </row>
    <row r="1903">
      <c r="A1903" t="inlineStr">
        <is>
          <t>modeling and simulation</t>
        </is>
      </c>
      <c r="B1903" t="n">
        <v>1</v>
      </c>
    </row>
    <row r="1904">
      <c r="A1904" t="inlineStr">
        <is>
          <t>earthquakes</t>
        </is>
      </c>
      <c r="B1904" t="n">
        <v>1</v>
      </c>
    </row>
    <row r="1905">
      <c r="A1905" t="inlineStr">
        <is>
          <t>evacuation</t>
        </is>
      </c>
      <c r="B1905" t="n">
        <v>1</v>
      </c>
    </row>
    <row r="1906">
      <c r="A1906" t="inlineStr">
        <is>
          <t>diagnostic methods</t>
        </is>
      </c>
      <c r="B1906" t="n">
        <v>1</v>
      </c>
    </row>
    <row r="1907">
      <c r="A1907" t="inlineStr">
        <is>
          <t>livability environment</t>
        </is>
      </c>
      <c r="B1907" t="n">
        <v>1</v>
      </c>
    </row>
    <row r="1908">
      <c r="A1908" t="inlineStr">
        <is>
          <t>floating population</t>
        </is>
      </c>
      <c r="B1908" t="n">
        <v>1</v>
      </c>
    </row>
    <row r="1909">
      <c r="A1909" t="inlineStr">
        <is>
          <t>spatial regression model</t>
        </is>
      </c>
      <c r="B1909" t="n">
        <v>1</v>
      </c>
    </row>
    <row r="1910">
      <c r="A1910" t="inlineStr">
        <is>
          <t>guangzhou's urban district</t>
        </is>
      </c>
      <c r="B1910" t="n">
        <v>1</v>
      </c>
    </row>
    <row r="1911">
      <c r="A1911" t="inlineStr">
        <is>
          <t>cfd simulation</t>
        </is>
      </c>
      <c r="B1911" t="n">
        <v>2</v>
      </c>
    </row>
    <row r="1912">
      <c r="A1912" t="inlineStr">
        <is>
          <t>pollutant dispersion</t>
        </is>
      </c>
      <c r="B1912" t="n">
        <v>2</v>
      </c>
    </row>
    <row r="1913">
      <c r="A1913" t="inlineStr">
        <is>
          <t>delphi technique</t>
        </is>
      </c>
      <c r="B1913" t="n">
        <v>1</v>
      </c>
    </row>
    <row r="1914">
      <c r="A1914" t="inlineStr">
        <is>
          <t>key performance indicators</t>
        </is>
      </c>
      <c r="B1914" t="n">
        <v>1</v>
      </c>
    </row>
    <row r="1915">
      <c r="A1915" t="inlineStr">
        <is>
          <t>social and ecological boundaries</t>
        </is>
      </c>
      <c r="B1915" t="n">
        <v>1</v>
      </c>
    </row>
    <row r="1916">
      <c r="A1916" t="inlineStr">
        <is>
          <t>regenerative design and development</t>
        </is>
      </c>
      <c r="B1916" t="n">
        <v>1</v>
      </c>
    </row>
    <row r="1917">
      <c r="A1917" t="inlineStr">
        <is>
          <t>sustainability framework</t>
        </is>
      </c>
      <c r="B1917" t="n">
        <v>1</v>
      </c>
    </row>
    <row r="1918">
      <c r="A1918" t="inlineStr">
        <is>
          <t>sustainable urban planning</t>
        </is>
      </c>
      <c r="B1918" t="n">
        <v>1</v>
      </c>
    </row>
    <row r="1919">
      <c r="A1919" t="inlineStr">
        <is>
          <t>urban regeneration</t>
        </is>
      </c>
      <c r="B1919" t="n">
        <v>4</v>
      </c>
    </row>
    <row r="1920">
      <c r="A1920" t="inlineStr">
        <is>
          <t>urban transition</t>
        </is>
      </c>
      <c r="B1920" t="n">
        <v>1</v>
      </c>
    </row>
    <row r="1921">
      <c r="A1921" t="inlineStr">
        <is>
          <t>gamma radiation</t>
        </is>
      </c>
      <c r="B1921" t="n">
        <v>1</v>
      </c>
    </row>
    <row r="1922">
      <c r="A1922" t="inlineStr">
        <is>
          <t>indoor radiation</t>
        </is>
      </c>
      <c r="B1922" t="n">
        <v>1</v>
      </c>
    </row>
    <row r="1923">
      <c r="A1923" t="inlineStr">
        <is>
          <t>geochemistry of radioactive elements</t>
        </is>
      </c>
      <c r="B1923" t="n">
        <v>1</v>
      </c>
    </row>
    <row r="1924">
      <c r="A1924" t="inlineStr">
        <is>
          <t>radiological hazards assessment</t>
        </is>
      </c>
      <c r="B1924" t="n">
        <v>1</v>
      </c>
    </row>
    <row r="1925">
      <c r="A1925" t="inlineStr">
        <is>
          <t>geologic materials</t>
        </is>
      </c>
      <c r="B1925" t="n">
        <v>1</v>
      </c>
    </row>
    <row r="1926">
      <c r="A1926" t="inlineStr">
        <is>
          <t>building stone</t>
        </is>
      </c>
      <c r="B1926" t="n">
        <v>1</v>
      </c>
    </row>
    <row r="1927">
      <c r="A1927" t="inlineStr">
        <is>
          <t>building regulations</t>
        </is>
      </c>
      <c r="B1927" t="n">
        <v>1</v>
      </c>
    </row>
    <row r="1928">
      <c r="A1928" t="inlineStr">
        <is>
          <t>hazard assessment models</t>
        </is>
      </c>
      <c r="B1928" t="n">
        <v>1</v>
      </c>
    </row>
    <row r="1929">
      <c r="A1929" t="inlineStr">
        <is>
          <t>natural gamma radiation</t>
        </is>
      </c>
      <c r="B1929" t="n">
        <v>1</v>
      </c>
    </row>
    <row r="1930">
      <c r="A1930" t="inlineStr">
        <is>
          <t>vertical greenery system</t>
        </is>
      </c>
      <c r="B1930" t="n">
        <v>1</v>
      </c>
    </row>
    <row r="1931">
      <c r="A1931" t="inlineStr">
        <is>
          <t>indoor living wall system</t>
        </is>
      </c>
      <c r="B1931" t="n">
        <v>1</v>
      </c>
    </row>
    <row r="1932">
      <c r="A1932" t="inlineStr">
        <is>
          <t>source strength</t>
        </is>
      </c>
      <c r="B1932" t="n">
        <v>1</v>
      </c>
    </row>
    <row r="1933">
      <c r="A1933" t="inlineStr">
        <is>
          <t>soa yield</t>
        </is>
      </c>
      <c r="B1933" t="n">
        <v>1</v>
      </c>
    </row>
    <row r="1934">
      <c r="A1934" t="inlineStr">
        <is>
          <t>aerosol mass fraction</t>
        </is>
      </c>
      <c r="B1934" t="n">
        <v>1</v>
      </c>
    </row>
    <row r="1935">
      <c r="A1935" t="inlineStr">
        <is>
          <t>indoor chemistry</t>
        </is>
      </c>
      <c r="B1935" t="n">
        <v>3</v>
      </c>
    </row>
    <row r="1936">
      <c r="A1936" t="inlineStr">
        <is>
          <t>terpenes</t>
        </is>
      </c>
      <c r="B1936" t="n">
        <v>1</v>
      </c>
    </row>
    <row r="1937">
      <c r="A1937" t="inlineStr">
        <is>
          <t>vocs</t>
        </is>
      </c>
      <c r="B1937" t="n">
        <v>3</v>
      </c>
    </row>
    <row r="1938">
      <c r="A1938" t="inlineStr">
        <is>
          <t>indoor fuel use</t>
        </is>
      </c>
      <c r="B1938" t="n">
        <v>1</v>
      </c>
    </row>
    <row r="1939">
      <c r="A1939" t="inlineStr">
        <is>
          <t>cognitive performance</t>
        </is>
      </c>
      <c r="B1939" t="n">
        <v>1</v>
      </c>
    </row>
    <row r="1940">
      <c r="A1940" t="inlineStr">
        <is>
          <t>immersive virtual environment</t>
        </is>
      </c>
      <c r="B1940" t="n">
        <v>1</v>
      </c>
    </row>
    <row r="1941">
      <c r="A1941" t="inlineStr">
        <is>
          <t>vr</t>
        </is>
      </c>
      <c r="B1941" t="n">
        <v>2</v>
      </c>
    </row>
    <row r="1942">
      <c r="A1942" t="inlineStr">
        <is>
          <t>walking simulator</t>
        </is>
      </c>
      <c r="B1942" t="n">
        <v>1</v>
      </c>
    </row>
    <row r="1943">
      <c r="A1943" t="inlineStr">
        <is>
          <t>eye tracking</t>
        </is>
      </c>
      <c r="B1943" t="n">
        <v>1</v>
      </c>
    </row>
    <row r="1944">
      <c r="A1944" t="inlineStr">
        <is>
          <t>gait analysis</t>
        </is>
      </c>
      <c r="B1944" t="n">
        <v>2</v>
      </c>
    </row>
    <row r="1945">
      <c r="A1945" t="inlineStr">
        <is>
          <t>electrodermal activity</t>
        </is>
      </c>
      <c r="B1945" t="n">
        <v>1</v>
      </c>
    </row>
    <row r="1946">
      <c r="A1946" t="inlineStr">
        <is>
          <t>heart rate</t>
        </is>
      </c>
      <c r="B1946" t="n">
        <v>2</v>
      </c>
    </row>
    <row r="1947">
      <c r="A1947" t="inlineStr">
        <is>
          <t>personalized ventilation (pv)</t>
        </is>
      </c>
      <c r="B1947" t="n">
        <v>1</v>
      </c>
    </row>
    <row r="1948">
      <c r="A1948" t="inlineStr">
        <is>
          <t>computational thermal manikin (ctm)</t>
        </is>
      </c>
      <c r="B1948" t="n">
        <v>1</v>
      </c>
    </row>
    <row r="1949">
      <c r="A1949" t="inlineStr">
        <is>
          <t>inhaled air quality</t>
        </is>
      </c>
      <c r="B1949" t="n">
        <v>1</v>
      </c>
    </row>
    <row r="1950">
      <c r="A1950" t="inlineStr">
        <is>
          <t>pedestrian safety</t>
        </is>
      </c>
      <c r="B1950" t="n">
        <v>1</v>
      </c>
    </row>
    <row r="1951">
      <c r="A1951" t="inlineStr">
        <is>
          <t>pedestrian-vehicle crash</t>
        </is>
      </c>
      <c r="B1951" t="n">
        <v>1</v>
      </c>
    </row>
    <row r="1952">
      <c r="A1952" t="inlineStr">
        <is>
          <t>compact development</t>
        </is>
      </c>
      <c r="B1952" t="n">
        <v>2</v>
      </c>
    </row>
    <row r="1953">
      <c r="A1953" t="inlineStr">
        <is>
          <t>land-use mix</t>
        </is>
      </c>
      <c r="B1953" t="n">
        <v>1</v>
      </c>
    </row>
    <row r="1954">
      <c r="A1954" t="inlineStr">
        <is>
          <t>wui</t>
        </is>
      </c>
      <c r="B1954" t="n">
        <v>1</v>
      </c>
    </row>
    <row r="1955">
      <c r="A1955" t="inlineStr">
        <is>
          <t>clearing</t>
        </is>
      </c>
      <c r="B1955" t="n">
        <v>1</v>
      </c>
    </row>
    <row r="1956">
      <c r="A1956" t="inlineStr">
        <is>
          <t>radiant flux</t>
        </is>
      </c>
      <c r="B1956" t="n">
        <v>1</v>
      </c>
    </row>
    <row r="1957">
      <c r="A1957" t="inlineStr">
        <is>
          <t>gas temperature</t>
        </is>
      </c>
      <c r="B1957" t="n">
        <v>1</v>
      </c>
    </row>
    <row r="1958">
      <c r="A1958" t="inlineStr">
        <is>
          <t>firetec</t>
        </is>
      </c>
      <c r="B1958" t="n">
        <v>1</v>
      </c>
    </row>
    <row r="1959">
      <c r="A1959" t="inlineStr">
        <is>
          <t>masticatory function</t>
        </is>
      </c>
      <c r="B1959" t="n">
        <v>1</v>
      </c>
    </row>
    <row r="1960">
      <c r="A1960" t="inlineStr">
        <is>
          <t>xerostomia</t>
        </is>
      </c>
      <c r="B1960" t="n">
        <v>1</v>
      </c>
    </row>
    <row r="1961">
      <c r="A1961" t="inlineStr">
        <is>
          <t>medical conditions</t>
        </is>
      </c>
      <c r="B1961" t="n">
        <v>1</v>
      </c>
    </row>
    <row r="1962">
      <c r="A1962" t="inlineStr">
        <is>
          <t>replacement of missing teeth</t>
        </is>
      </c>
      <c r="B1962" t="n">
        <v>1</v>
      </c>
    </row>
    <row r="1963">
      <c r="A1963" t="inlineStr">
        <is>
          <t>silver diamine fluoride</t>
        </is>
      </c>
      <c r="B1963" t="n">
        <v>2</v>
      </c>
    </row>
    <row r="1964">
      <c r="A1964" t="inlineStr">
        <is>
          <t>traffic safety</t>
        </is>
      </c>
      <c r="B1964" t="n">
        <v>4</v>
      </c>
    </row>
    <row r="1965">
      <c r="A1965" t="inlineStr">
        <is>
          <t>household</t>
        </is>
      </c>
      <c r="B1965" t="n">
        <v>2</v>
      </c>
    </row>
    <row r="1966">
      <c r="A1966" t="inlineStr">
        <is>
          <t>sedentary equipment</t>
        </is>
      </c>
      <c r="B1966" t="n">
        <v>1</v>
      </c>
    </row>
    <row r="1967">
      <c r="A1967" t="inlineStr">
        <is>
          <t>rn-222</t>
        </is>
      </c>
      <c r="B1967" t="n">
        <v>2</v>
      </c>
    </row>
    <row r="1968">
      <c r="A1968" t="inlineStr">
        <is>
          <t>alpha track detector</t>
        </is>
      </c>
      <c r="B1968" t="n">
        <v>1</v>
      </c>
    </row>
    <row r="1969">
      <c r="A1969" t="inlineStr">
        <is>
          <t>ancova</t>
        </is>
      </c>
      <c r="B1969" t="n">
        <v>1</v>
      </c>
    </row>
    <row r="1970">
      <c r="A1970" t="inlineStr">
        <is>
          <t>effective environmental factors</t>
        </is>
      </c>
      <c r="B1970" t="n">
        <v>1</v>
      </c>
    </row>
    <row r="1971">
      <c r="A1971" t="inlineStr">
        <is>
          <t>epidemiological methods</t>
        </is>
      </c>
      <c r="B1971" t="n">
        <v>1</v>
      </c>
    </row>
    <row r="1972">
      <c r="A1972" t="inlineStr">
        <is>
          <t>causality</t>
        </is>
      </c>
      <c r="B1972" t="n">
        <v>2</v>
      </c>
    </row>
    <row r="1973">
      <c r="A1973" t="inlineStr">
        <is>
          <t>reverse causation</t>
        </is>
      </c>
      <c r="B1973" t="n">
        <v>1</v>
      </c>
    </row>
    <row r="1974">
      <c r="A1974" t="inlineStr">
        <is>
          <t>self-selection</t>
        </is>
      </c>
      <c r="B1974" t="n">
        <v>1</v>
      </c>
    </row>
    <row r="1975">
      <c r="A1975" t="inlineStr">
        <is>
          <t>bias</t>
        </is>
      </c>
      <c r="B1975" t="n">
        <v>1</v>
      </c>
    </row>
    <row r="1976">
      <c r="A1976" t="inlineStr">
        <is>
          <t>brain health</t>
        </is>
      </c>
      <c r="B1976" t="n">
        <v>1</v>
      </c>
    </row>
    <row r="1977">
      <c r="A1977" t="inlineStr">
        <is>
          <t>smart energy monitors</t>
        </is>
      </c>
      <c r="B1977" t="n">
        <v>1</v>
      </c>
    </row>
    <row r="1978">
      <c r="A1978" t="inlineStr">
        <is>
          <t>awareness</t>
        </is>
      </c>
      <c r="B1978" t="n">
        <v>1</v>
      </c>
    </row>
    <row r="1979">
      <c r="A1979" t="inlineStr">
        <is>
          <t>behaviour</t>
        </is>
      </c>
      <c r="B1979" t="n">
        <v>1</v>
      </c>
    </row>
    <row r="1980">
      <c r="A1980" t="inlineStr">
        <is>
          <t>post occupancy evaluation</t>
        </is>
      </c>
      <c r="B1980" t="n">
        <v>1</v>
      </c>
    </row>
    <row r="1981">
      <c r="A1981" t="inlineStr">
        <is>
          <t>questionnaire survey</t>
        </is>
      </c>
      <c r="B1981" t="n">
        <v>2</v>
      </c>
    </row>
    <row r="1982">
      <c r="A1982" t="inlineStr">
        <is>
          <t>instrumentation</t>
        </is>
      </c>
      <c r="B1982" t="n">
        <v>1</v>
      </c>
    </row>
    <row r="1983">
      <c r="A1983" t="inlineStr">
        <is>
          <t>sustainable energy</t>
        </is>
      </c>
      <c r="B1983" t="n">
        <v>1</v>
      </c>
    </row>
    <row r="1984">
      <c r="A1984" t="inlineStr">
        <is>
          <t>life cycle assessment</t>
        </is>
      </c>
      <c r="B1984" t="n">
        <v>4</v>
      </c>
    </row>
    <row r="1985">
      <c r="A1985" t="inlineStr">
        <is>
          <t>energy systems</t>
        </is>
      </c>
      <c r="B1985" t="n">
        <v>1</v>
      </c>
    </row>
    <row r="1986">
      <c r="A1986" t="inlineStr">
        <is>
          <t>whole building energy analysis</t>
        </is>
      </c>
      <c r="B1986" t="n">
        <v>1</v>
      </c>
    </row>
    <row r="1987">
      <c r="A1987" t="inlineStr">
        <is>
          <t>residential outdoor environment</t>
        </is>
      </c>
      <c r="B1987" t="n">
        <v>1</v>
      </c>
    </row>
    <row r="1988">
      <c r="A1988" t="inlineStr">
        <is>
          <t>outdoor air pollution</t>
        </is>
      </c>
      <c r="B1988" t="n">
        <v>2</v>
      </c>
    </row>
    <row r="1989">
      <c r="A1989" t="inlineStr">
        <is>
          <t>benzo[ a ]pyrene</t>
        </is>
      </c>
      <c r="B1989" t="n">
        <v>1</v>
      </c>
    </row>
    <row r="1990">
      <c r="A1990" t="inlineStr">
        <is>
          <t>explainable artificial intelligence</t>
        </is>
      </c>
      <c r="B1990" t="n">
        <v>2</v>
      </c>
    </row>
    <row r="1991">
      <c r="A1991" t="inlineStr">
        <is>
          <t>cognitive vulnerability</t>
        </is>
      </c>
      <c r="B1991" t="n">
        <v>1</v>
      </c>
    </row>
    <row r="1992">
      <c r="A1992" t="inlineStr">
        <is>
          <t>lifespan</t>
        </is>
      </c>
      <c r="B1992" t="n">
        <v>2</v>
      </c>
    </row>
    <row r="1993">
      <c r="A1993" t="inlineStr">
        <is>
          <t>urbanity</t>
        </is>
      </c>
      <c r="B1993" t="n">
        <v>1</v>
      </c>
    </row>
    <row r="1994">
      <c r="A1994" t="inlineStr">
        <is>
          <t>local pollutant exposure</t>
        </is>
      </c>
      <c r="B1994" t="n">
        <v>1</v>
      </c>
    </row>
    <row r="1995">
      <c r="A1995" t="inlineStr">
        <is>
          <t>street canyons</t>
        </is>
      </c>
      <c r="B1995" t="n">
        <v>1</v>
      </c>
    </row>
    <row r="1996">
      <c r="A1996" t="inlineStr">
        <is>
          <t>open roads</t>
        </is>
      </c>
      <c r="B1996" t="n">
        <v>1</v>
      </c>
    </row>
    <row r="1997">
      <c r="A1997" t="inlineStr">
        <is>
          <t>urban trees and hedges</t>
        </is>
      </c>
      <c r="B1997" t="n">
        <v>1</v>
      </c>
    </row>
    <row r="1998">
      <c r="A1998" t="inlineStr">
        <is>
          <t>green wall</t>
        </is>
      </c>
      <c r="B1998" t="n">
        <v>2</v>
      </c>
    </row>
    <row r="1999">
      <c r="A1999" t="inlineStr">
        <is>
          <t>green roof</t>
        </is>
      </c>
      <c r="B1999" t="n">
        <v>2</v>
      </c>
    </row>
    <row r="2000">
      <c r="A2000" t="inlineStr">
        <is>
          <t>outdoor play</t>
        </is>
      </c>
      <c r="B2000" t="n">
        <v>2</v>
      </c>
    </row>
    <row r="2001">
      <c r="A2001" t="inlineStr">
        <is>
          <t>young children</t>
        </is>
      </c>
      <c r="B2001" t="n">
        <v>1</v>
      </c>
    </row>
    <row r="2002">
      <c r="A2002" t="inlineStr">
        <is>
          <t>upward reflective film</t>
        </is>
      </c>
      <c r="B2002" t="n">
        <v>1</v>
      </c>
    </row>
    <row r="2003">
      <c r="A2003" t="inlineStr">
        <is>
          <t>window</t>
        </is>
      </c>
      <c r="B2003" t="n">
        <v>1</v>
      </c>
    </row>
    <row r="2004">
      <c r="A2004" t="inlineStr">
        <is>
          <t>photovoltaic application</t>
        </is>
      </c>
      <c r="B2004" t="n">
        <v>1</v>
      </c>
    </row>
    <row r="2005">
      <c r="A2005" t="inlineStr">
        <is>
          <t>low-energy building</t>
        </is>
      </c>
      <c r="B2005" t="n">
        <v>1</v>
      </c>
    </row>
    <row r="2006">
      <c r="A2006" t="inlineStr">
        <is>
          <t>sensitivity analysis</t>
        </is>
      </c>
      <c r="B2006" t="n">
        <v>2</v>
      </c>
    </row>
    <row r="2007">
      <c r="A2007" t="inlineStr">
        <is>
          <t>particle swarm optimization</t>
        </is>
      </c>
      <c r="B2007" t="n">
        <v>1</v>
      </c>
    </row>
    <row r="2008">
      <c r="A2008" t="inlineStr">
        <is>
          <t>ecological building</t>
        </is>
      </c>
      <c r="B2008" t="n">
        <v>1</v>
      </c>
    </row>
    <row r="2009">
      <c r="A2009" t="inlineStr">
        <is>
          <t>energy-saving</t>
        </is>
      </c>
      <c r="B2009" t="n">
        <v>3</v>
      </c>
    </row>
    <row r="2010">
      <c r="A2010" t="inlineStr">
        <is>
          <t>preventive health</t>
        </is>
      </c>
      <c r="B2010" t="n">
        <v>1</v>
      </c>
    </row>
    <row r="2011">
      <c r="A2011" t="inlineStr">
        <is>
          <t>transportation services</t>
        </is>
      </c>
      <c r="B2011" t="n">
        <v>1</v>
      </c>
    </row>
    <row r="2012">
      <c r="A2012" t="inlineStr">
        <is>
          <t>active school travel</t>
        </is>
      </c>
      <c r="B2012" t="n">
        <v>2</v>
      </c>
    </row>
    <row r="2013">
      <c r="A2013" t="inlineStr">
        <is>
          <t>neighborhood safety</t>
        </is>
      </c>
      <c r="B2013" t="n">
        <v>1</v>
      </c>
    </row>
    <row r="2014">
      <c r="A2014" t="inlineStr">
        <is>
          <t>distance</t>
        </is>
      </c>
      <c r="B2014" t="n">
        <v>3</v>
      </c>
    </row>
    <row r="2015">
      <c r="A2015" t="inlineStr">
        <is>
          <t>chinese older adults</t>
        </is>
      </c>
      <c r="B2015" t="n">
        <v>2</v>
      </c>
    </row>
    <row r="2016">
      <c r="A2016" t="inlineStr">
        <is>
          <t>phthalate metabolites</t>
        </is>
      </c>
      <c r="B2016" t="n">
        <v>1</v>
      </c>
    </row>
    <row r="2017">
      <c r="A2017" t="inlineStr">
        <is>
          <t>cumulative risk assessment</t>
        </is>
      </c>
      <c r="B2017" t="n">
        <v>1</v>
      </c>
    </row>
    <row r="2018">
      <c r="A2018" t="inlineStr">
        <is>
          <t>determinants</t>
        </is>
      </c>
      <c r="B2018" t="n">
        <v>3</v>
      </c>
    </row>
    <row r="2019">
      <c r="A2019" t="inlineStr">
        <is>
          <t>urban development</t>
        </is>
      </c>
      <c r="B2019" t="n">
        <v>2</v>
      </c>
    </row>
    <row r="2020">
      <c r="A2020" t="inlineStr">
        <is>
          <t>cradle to cradle</t>
        </is>
      </c>
      <c r="B2020" t="n">
        <v>1</v>
      </c>
    </row>
    <row r="2021">
      <c r="A2021" t="inlineStr">
        <is>
          <t>waste hierarchy</t>
        </is>
      </c>
      <c r="B2021" t="n">
        <v>1</v>
      </c>
    </row>
    <row r="2022">
      <c r="A2022" t="inlineStr">
        <is>
          <t>transtheoretical model</t>
        </is>
      </c>
      <c r="B2022" t="n">
        <v>2</v>
      </c>
    </row>
    <row r="2023">
      <c r="A2023" t="inlineStr">
        <is>
          <t>positive pressure</t>
        </is>
      </c>
      <c r="B2023" t="n">
        <v>1</v>
      </c>
    </row>
    <row r="2024">
      <c r="A2024" t="inlineStr">
        <is>
          <t>moisture damage</t>
        </is>
      </c>
      <c r="B2024" t="n">
        <v>1</v>
      </c>
    </row>
    <row r="2025">
      <c r="A2025" t="inlineStr">
        <is>
          <t>school buildings</t>
        </is>
      </c>
      <c r="B2025" t="n">
        <v>1</v>
      </c>
    </row>
    <row r="2026">
      <c r="A2026" t="inlineStr">
        <is>
          <t>building material emissions</t>
        </is>
      </c>
      <c r="B2026" t="n">
        <v>1</v>
      </c>
    </row>
    <row r="2027">
      <c r="A2027" t="inlineStr">
        <is>
          <t>source</t>
        </is>
      </c>
      <c r="B2027" t="n">
        <v>1</v>
      </c>
    </row>
    <row r="2028">
      <c r="A2028" t="inlineStr">
        <is>
          <t>rn-220</t>
        </is>
      </c>
      <c r="B2028" t="n">
        <v>1</v>
      </c>
    </row>
    <row r="2029">
      <c r="A2029" t="inlineStr">
        <is>
          <t>progeny</t>
        </is>
      </c>
      <c r="B2029" t="n">
        <v>1</v>
      </c>
    </row>
    <row r="2030">
      <c r="A2030" t="inlineStr">
        <is>
          <t>numerical modeling</t>
        </is>
      </c>
      <c r="B2030" t="n">
        <v>1</v>
      </c>
    </row>
    <row r="2031">
      <c r="A2031" t="inlineStr">
        <is>
          <t>sick building syndrome (sbs)</t>
        </is>
      </c>
      <c r="B2031" t="n">
        <v>2</v>
      </c>
    </row>
    <row r="2032">
      <c r="A2032" t="inlineStr">
        <is>
          <t>redecoration</t>
        </is>
      </c>
      <c r="B2032" t="n">
        <v>3</v>
      </c>
    </row>
    <row r="2033">
      <c r="A2033" t="inlineStr">
        <is>
          <t>incense burning</t>
        </is>
      </c>
      <c r="B2033" t="n">
        <v>2</v>
      </c>
    </row>
    <row r="2034">
      <c r="A2034" t="inlineStr">
        <is>
          <t>cockroaches</t>
        </is>
      </c>
      <c r="B2034" t="n">
        <v>2</v>
      </c>
    </row>
    <row r="2035">
      <c r="A2035" t="inlineStr">
        <is>
          <t>social isolation</t>
        </is>
      </c>
      <c r="B2035" t="n">
        <v>3</v>
      </c>
    </row>
    <row r="2036">
      <c r="A2036" t="inlineStr">
        <is>
          <t>census</t>
        </is>
      </c>
      <c r="B2036" t="n">
        <v>1</v>
      </c>
    </row>
    <row r="2037">
      <c r="A2037" t="inlineStr">
        <is>
          <t>architectural programming</t>
        </is>
      </c>
      <c r="B2037" t="n">
        <v>1</v>
      </c>
    </row>
    <row r="2038">
      <c r="A2038" t="inlineStr">
        <is>
          <t>modernist architecture</t>
        </is>
      </c>
      <c r="B2038" t="n">
        <v>1</v>
      </c>
    </row>
    <row r="2039">
      <c r="A2039" t="inlineStr">
        <is>
          <t>value-based matrix</t>
        </is>
      </c>
      <c r="B2039" t="n">
        <v>1</v>
      </c>
    </row>
    <row r="2040">
      <c r="A2040" t="inlineStr">
        <is>
          <t>architectural design studio</t>
        </is>
      </c>
      <c r="B2040" t="n">
        <v>1</v>
      </c>
    </row>
    <row r="2041">
      <c r="A2041" t="inlineStr">
        <is>
          <t>environment-behavior relations</t>
        </is>
      </c>
      <c r="B2041" t="n">
        <v>1</v>
      </c>
    </row>
    <row r="2042">
      <c r="A2042" t="inlineStr">
        <is>
          <t>genex tower</t>
        </is>
      </c>
      <c r="B2042" t="n">
        <v>1</v>
      </c>
    </row>
    <row r="2043">
      <c r="A2043" t="inlineStr">
        <is>
          <t>new belgrade</t>
        </is>
      </c>
      <c r="B2043" t="n">
        <v>1</v>
      </c>
    </row>
    <row r="2044">
      <c r="A2044" t="inlineStr">
        <is>
          <t>geographic information system</t>
        </is>
      </c>
      <c r="B2044" t="n">
        <v>3</v>
      </c>
    </row>
    <row r="2045">
      <c r="A2045" t="inlineStr">
        <is>
          <t>leisure-time physical activity</t>
        </is>
      </c>
      <c r="B2045" t="n">
        <v>1</v>
      </c>
    </row>
    <row r="2046">
      <c r="A2046" t="inlineStr">
        <is>
          <t>school neighbourhoods</t>
        </is>
      </c>
      <c r="B2046" t="n">
        <v>1</v>
      </c>
    </row>
    <row r="2047">
      <c r="A2047" t="inlineStr">
        <is>
          <t>physical ecological education</t>
        </is>
      </c>
      <c r="B2047" t="n">
        <v>1</v>
      </c>
    </row>
    <row r="2048">
      <c r="A2048" t="inlineStr">
        <is>
          <t>reform</t>
        </is>
      </c>
      <c r="B2048" t="n">
        <v>1</v>
      </c>
    </row>
    <row r="2049">
      <c r="A2049" t="inlineStr">
        <is>
          <t>multiple chemical sensitivity</t>
        </is>
      </c>
      <c r="B2049" t="n">
        <v>1</v>
      </c>
    </row>
    <row r="2050">
      <c r="A2050" t="inlineStr">
        <is>
          <t>qeesi</t>
        </is>
      </c>
      <c r="B2050" t="n">
        <v>1</v>
      </c>
    </row>
    <row r="2051">
      <c r="A2051" t="inlineStr">
        <is>
          <t>high-rise apartment</t>
        </is>
      </c>
      <c r="B2051" t="n">
        <v>1</v>
      </c>
    </row>
    <row r="2052">
      <c r="A2052" t="inlineStr">
        <is>
          <t>residence</t>
        </is>
      </c>
      <c r="B2052" t="n">
        <v>1</v>
      </c>
    </row>
    <row r="2053">
      <c r="A2053" t="inlineStr">
        <is>
          <t>developing countries</t>
        </is>
      </c>
      <c r="B2053" t="n">
        <v>2</v>
      </c>
    </row>
    <row r="2054">
      <c r="A2054" t="inlineStr">
        <is>
          <t>domestic environment</t>
        </is>
      </c>
      <c r="B2054" t="n">
        <v>1</v>
      </c>
    </row>
    <row r="2055">
      <c r="A2055" t="inlineStr">
        <is>
          <t>spatial factors</t>
        </is>
      </c>
      <c r="B2055" t="n">
        <v>1</v>
      </c>
    </row>
    <row r="2056">
      <c r="A2056" t="inlineStr">
        <is>
          <t>occupants’ experiences</t>
        </is>
      </c>
      <c r="B2056" t="n">
        <v>1</v>
      </c>
    </row>
    <row r="2057">
      <c r="A2057" t="inlineStr">
        <is>
          <t>theoretical relationship</t>
        </is>
      </c>
      <c r="B2057" t="n">
        <v>1</v>
      </c>
    </row>
    <row r="2058">
      <c r="A2058" t="inlineStr">
        <is>
          <t>passive methods</t>
        </is>
      </c>
      <c r="B2058" t="n">
        <v>1</v>
      </c>
    </row>
    <row r="2059">
      <c r="A2059" t="inlineStr">
        <is>
          <t>three-dimensional delayed detached-eddy simulation</t>
        </is>
      </c>
      <c r="B2059" t="n">
        <v>1</v>
      </c>
    </row>
    <row r="2060">
      <c r="A2060" t="inlineStr">
        <is>
          <t>discrete phase model</t>
        </is>
      </c>
      <c r="B2060" t="n">
        <v>1</v>
      </c>
    </row>
    <row r="2061">
      <c r="A2061" t="inlineStr">
        <is>
          <t>wind flow</t>
        </is>
      </c>
      <c r="B2061" t="n">
        <v>1</v>
      </c>
    </row>
    <row r="2062">
      <c r="A2062" t="inlineStr">
        <is>
          <t>particle dispersion</t>
        </is>
      </c>
      <c r="B2062" t="n">
        <v>1</v>
      </c>
    </row>
    <row r="2063">
      <c r="A2063" t="inlineStr">
        <is>
          <t>interdisciplinary research</t>
        </is>
      </c>
      <c r="B2063" t="n">
        <v>1</v>
      </c>
    </row>
    <row r="2064">
      <c r="A2064" t="inlineStr">
        <is>
          <t>engagement in occupation</t>
        </is>
      </c>
      <c r="B2064" t="n">
        <v>1</v>
      </c>
    </row>
    <row r="2065">
      <c r="A2065" t="inlineStr">
        <is>
          <t>gender differences</t>
        </is>
      </c>
      <c r="B2065" t="n">
        <v>3</v>
      </c>
    </row>
    <row r="2066">
      <c r="A2066" t="inlineStr">
        <is>
          <t>objective environment</t>
        </is>
      </c>
      <c r="B2066" t="n">
        <v>1</v>
      </c>
    </row>
    <row r="2067">
      <c r="A2067" t="inlineStr">
        <is>
          <t>senior citizens</t>
        </is>
      </c>
      <c r="B2067" t="n">
        <v>3</v>
      </c>
    </row>
    <row r="2068">
      <c r="A2068" t="inlineStr">
        <is>
          <t>unmet healthcare needs</t>
        </is>
      </c>
      <c r="B2068" t="n">
        <v>1</v>
      </c>
    </row>
    <row r="2069">
      <c r="A2069" t="inlineStr">
        <is>
          <t>share</t>
        </is>
      </c>
      <c r="B2069" t="n">
        <v>1</v>
      </c>
    </row>
    <row r="2070">
      <c r="A2070" t="inlineStr">
        <is>
          <t>dinsar</t>
        </is>
      </c>
      <c r="B2070" t="n">
        <v>1</v>
      </c>
    </row>
    <row r="2071">
      <c r="A2071" t="inlineStr">
        <is>
          <t>deformation time series</t>
        </is>
      </c>
      <c r="B2071" t="n">
        <v>1</v>
      </c>
    </row>
    <row r="2072">
      <c r="A2072" t="inlineStr">
        <is>
          <t>dbscan</t>
        </is>
      </c>
      <c r="B2072" t="n">
        <v>1</v>
      </c>
    </row>
    <row r="2073">
      <c r="A2073" t="inlineStr">
        <is>
          <t>structural monitoring</t>
        </is>
      </c>
      <c r="B2073" t="n">
        <v>1</v>
      </c>
    </row>
    <row r="2074">
      <c r="A2074" t="inlineStr">
        <is>
          <t>built-up environment</t>
        </is>
      </c>
      <c r="B2074" t="n">
        <v>4</v>
      </c>
    </row>
    <row r="2075">
      <c r="A2075" t="inlineStr">
        <is>
          <t>natural radioactivity</t>
        </is>
      </c>
      <c r="B2075" t="n">
        <v>2</v>
      </c>
    </row>
    <row r="2076">
      <c r="A2076" t="inlineStr">
        <is>
          <t>resrad-build</t>
        </is>
      </c>
      <c r="B2076" t="n">
        <v>1</v>
      </c>
    </row>
    <row r="2077">
      <c r="A2077" t="inlineStr">
        <is>
          <t>inhalation dose</t>
        </is>
      </c>
      <c r="B2077" t="n">
        <v>1</v>
      </c>
    </row>
    <row r="2078">
      <c r="A2078" t="inlineStr">
        <is>
          <t>risk indicators</t>
        </is>
      </c>
      <c r="B2078" t="n">
        <v>1</v>
      </c>
    </row>
    <row r="2079">
      <c r="A2079" t="inlineStr">
        <is>
          <t>indoor formaldehyde exposure</t>
        </is>
      </c>
      <c r="B2079" t="n">
        <v>1</v>
      </c>
    </row>
    <row r="2080">
      <c r="A2080" t="inlineStr">
        <is>
          <t>water reuse</t>
        </is>
      </c>
      <c r="B2080" t="n">
        <v>1</v>
      </c>
    </row>
    <row r="2081">
      <c r="A2081" t="inlineStr">
        <is>
          <t>water management</t>
        </is>
      </c>
      <c r="B2081" t="n">
        <v>1</v>
      </c>
    </row>
    <row r="2082">
      <c r="A2082" t="inlineStr">
        <is>
          <t>water cycle</t>
        </is>
      </c>
      <c r="B2082" t="n">
        <v>1</v>
      </c>
    </row>
    <row r="2083">
      <c r="A2083" t="inlineStr">
        <is>
          <t>green roofs</t>
        </is>
      </c>
      <c r="B2083" t="n">
        <v>2</v>
      </c>
    </row>
    <row r="2084">
      <c r="A2084" t="inlineStr">
        <is>
          <t>vertical greening systems</t>
        </is>
      </c>
      <c r="B2084" t="n">
        <v>1</v>
      </c>
    </row>
    <row r="2085">
      <c r="A2085" t="inlineStr">
        <is>
          <t>life-cycle assessment</t>
        </is>
      </c>
      <c r="B2085" t="n">
        <v>1</v>
      </c>
    </row>
    <row r="2086">
      <c r="A2086" t="inlineStr">
        <is>
          <t>circular cities</t>
        </is>
      </c>
      <c r="B2086" t="n">
        <v>2</v>
      </c>
    </row>
    <row r="2087">
      <c r="A2087" t="inlineStr">
        <is>
          <t>building greening</t>
        </is>
      </c>
      <c r="B2087" t="n">
        <v>1</v>
      </c>
    </row>
    <row r="2088">
      <c r="A2088" t="inlineStr">
        <is>
          <t>ambient environment</t>
        </is>
      </c>
      <c r="B2088" t="n">
        <v>1</v>
      </c>
    </row>
    <row r="2089">
      <c r="A2089" t="inlineStr">
        <is>
          <t>thermoregulation</t>
        </is>
      </c>
      <c r="B2089" t="n">
        <v>1</v>
      </c>
    </row>
    <row r="2090">
      <c r="A2090" t="inlineStr">
        <is>
          <t>fitness intervention</t>
        </is>
      </c>
      <c r="B2090" t="n">
        <v>1</v>
      </c>
    </row>
    <row r="2091">
      <c r="A2091" t="inlineStr">
        <is>
          <t>strength</t>
        </is>
      </c>
      <c r="B2091" t="n">
        <v>2</v>
      </c>
    </row>
    <row r="2092">
      <c r="A2092" t="inlineStr">
        <is>
          <t>construction industry</t>
        </is>
      </c>
      <c r="B2092" t="n">
        <v>4</v>
      </c>
    </row>
    <row r="2093">
      <c r="A2093" t="inlineStr">
        <is>
          <t>guidelines</t>
        </is>
      </c>
      <c r="B2093" t="n">
        <v>3</v>
      </c>
    </row>
    <row r="2094">
      <c r="A2094" t="inlineStr">
        <is>
          <t>resource management</t>
        </is>
      </c>
      <c r="B2094" t="n">
        <v>1</v>
      </c>
    </row>
    <row r="2095">
      <c r="A2095" t="inlineStr">
        <is>
          <t>products with recycled content</t>
        </is>
      </c>
      <c r="B2095" t="n">
        <v>1</v>
      </c>
    </row>
    <row r="2096">
      <c r="A2096" t="inlineStr">
        <is>
          <t>design for zero waste</t>
        </is>
      </c>
      <c r="B2096" t="n">
        <v>1</v>
      </c>
    </row>
    <row r="2097">
      <c r="A2097" t="inlineStr">
        <is>
          <t>design for recycling</t>
        </is>
      </c>
      <c r="B2097" t="n">
        <v>1</v>
      </c>
    </row>
    <row r="2098">
      <c r="A2098" t="inlineStr">
        <is>
          <t>diabetes mellitus</t>
        </is>
      </c>
      <c r="B2098" t="n">
        <v>3</v>
      </c>
    </row>
    <row r="2099">
      <c r="A2099" t="inlineStr">
        <is>
          <t>empowerment</t>
        </is>
      </c>
      <c r="B2099" t="n">
        <v>1</v>
      </c>
    </row>
    <row r="2100">
      <c r="A2100" t="inlineStr">
        <is>
          <t>self-care</t>
        </is>
      </c>
      <c r="B2100" t="n">
        <v>1</v>
      </c>
    </row>
    <row r="2101">
      <c r="A2101" t="inlineStr">
        <is>
          <t>outpatient visits</t>
        </is>
      </c>
      <c r="B2101" t="n">
        <v>1</v>
      </c>
    </row>
    <row r="2102">
      <c r="A2102" t="inlineStr">
        <is>
          <t>older adults living alone</t>
        </is>
      </c>
      <c r="B2102" t="n">
        <v>2</v>
      </c>
    </row>
    <row r="2103">
      <c r="A2103" t="inlineStr">
        <is>
          <t>health insurance</t>
        </is>
      </c>
      <c r="B2103" t="n">
        <v>1</v>
      </c>
    </row>
    <row r="2104">
      <c r="A2104" t="inlineStr">
        <is>
          <t>cities of residence</t>
        </is>
      </c>
      <c r="B2104" t="n">
        <v>1</v>
      </c>
    </row>
    <row r="2105">
      <c r="A2105" t="inlineStr">
        <is>
          <t>point clouds</t>
        </is>
      </c>
      <c r="B2105" t="n">
        <v>1</v>
      </c>
    </row>
    <row r="2106">
      <c r="A2106" t="inlineStr">
        <is>
          <t>indoor change detection</t>
        </is>
      </c>
      <c r="B2106" t="n">
        <v>1</v>
      </c>
    </row>
    <row r="2107">
      <c r="A2107" t="inlineStr">
        <is>
          <t>laser scanning</t>
        </is>
      </c>
      <c r="B2107" t="n">
        <v>1</v>
      </c>
    </row>
    <row r="2108">
      <c r="A2108" t="inlineStr">
        <is>
          <t>3d indoor modelling</t>
        </is>
      </c>
      <c r="B2108" t="n">
        <v>1</v>
      </c>
    </row>
    <row r="2109">
      <c r="A2109" t="inlineStr">
        <is>
          <t>cadastre</t>
        </is>
      </c>
      <c r="B2109" t="n">
        <v>1</v>
      </c>
    </row>
    <row r="2110">
      <c r="A2110" t="inlineStr">
        <is>
          <t>dose</t>
        </is>
      </c>
      <c r="B2110" t="n">
        <v>1</v>
      </c>
    </row>
    <row r="2111">
      <c r="A2111" t="inlineStr">
        <is>
          <t>fitness centers</t>
        </is>
      </c>
      <c r="B2111" t="n">
        <v>1</v>
      </c>
    </row>
    <row r="2112">
      <c r="A2112" t="inlineStr">
        <is>
          <t>flexible canopy</t>
        </is>
      </c>
      <c r="B2112" t="n">
        <v>1</v>
      </c>
    </row>
    <row r="2113">
      <c r="A2113" t="inlineStr">
        <is>
          <t>outdoor thermal comfort</t>
        </is>
      </c>
      <c r="B2113" t="n">
        <v>2</v>
      </c>
    </row>
    <row r="2114">
      <c r="A2114" t="inlineStr">
        <is>
          <t>heating energy demand</t>
        </is>
      </c>
      <c r="B2114" t="n">
        <v>1</v>
      </c>
    </row>
    <row r="2115">
      <c r="A2115" t="inlineStr">
        <is>
          <t>balancing energy</t>
        </is>
      </c>
      <c r="B2115" t="n">
        <v>1</v>
      </c>
    </row>
    <row r="2116">
      <c r="A2116" t="inlineStr">
        <is>
          <t>coupling method</t>
        </is>
      </c>
      <c r="B2116" t="n">
        <v>1</v>
      </c>
    </row>
    <row r="2117">
      <c r="A2117" t="inlineStr">
        <is>
          <t>office workers</t>
        </is>
      </c>
      <c r="B2117" t="n">
        <v>1</v>
      </c>
    </row>
    <row r="2118">
      <c r="A2118" t="inlineStr">
        <is>
          <t>indoor unit</t>
        </is>
      </c>
      <c r="B2118" t="n">
        <v>1</v>
      </c>
    </row>
    <row r="2119">
      <c r="A2119" t="inlineStr">
        <is>
          <t>temperature stratification</t>
        </is>
      </c>
      <c r="B2119" t="n">
        <v>1</v>
      </c>
    </row>
    <row r="2120">
      <c r="A2120" t="inlineStr">
        <is>
          <t>predicted mean vote</t>
        </is>
      </c>
      <c r="B2120" t="n">
        <v>1</v>
      </c>
    </row>
    <row r="2121">
      <c r="A2121" t="inlineStr">
        <is>
          <t>heating and computational fluid dynamics</t>
        </is>
      </c>
      <c r="B2121" t="n">
        <v>1</v>
      </c>
    </row>
    <row r="2122">
      <c r="A2122" t="inlineStr">
        <is>
          <t>room segmentation</t>
        </is>
      </c>
      <c r="B2122" t="n">
        <v>1</v>
      </c>
    </row>
    <row r="2123">
      <c r="A2123" t="inlineStr">
        <is>
          <t>3d indoor modeling</t>
        </is>
      </c>
      <c r="B2123" t="n">
        <v>1</v>
      </c>
    </row>
    <row r="2124">
      <c r="A2124" t="inlineStr">
        <is>
          <t>reconstruction of multistory building</t>
        </is>
      </c>
      <c r="B2124" t="n">
        <v>1</v>
      </c>
    </row>
    <row r="2125">
      <c r="A2125" t="inlineStr">
        <is>
          <t>urban planning policy</t>
        </is>
      </c>
      <c r="B2125" t="n">
        <v>1</v>
      </c>
    </row>
    <row r="2126">
      <c r="A2126" t="inlineStr">
        <is>
          <t>bioaerosol</t>
        </is>
      </c>
      <c r="B2126" t="n">
        <v>2</v>
      </c>
    </row>
    <row r="2127">
      <c r="A2127" t="inlineStr">
        <is>
          <t>human activity</t>
        </is>
      </c>
      <c r="B2127" t="n">
        <v>3</v>
      </c>
    </row>
    <row r="2128">
      <c r="A2128" t="inlineStr">
        <is>
          <t>green retrofitting</t>
        </is>
      </c>
      <c r="B2128" t="n">
        <v>1</v>
      </c>
    </row>
    <row r="2129">
      <c r="A2129" t="inlineStr">
        <is>
          <t>energy demand</t>
        </is>
      </c>
      <c r="B2129" t="n">
        <v>3</v>
      </c>
    </row>
    <row r="2130">
      <c r="A2130" t="inlineStr">
        <is>
          <t>healthcare buildings</t>
        </is>
      </c>
      <c r="B2130" t="n">
        <v>1</v>
      </c>
    </row>
    <row r="2131">
      <c r="A2131" t="inlineStr">
        <is>
          <t>hospital ventilation</t>
        </is>
      </c>
      <c r="B2131" t="n">
        <v>1</v>
      </c>
    </row>
    <row r="2132">
      <c r="A2132" t="inlineStr">
        <is>
          <t>retrofit strategies</t>
        </is>
      </c>
      <c r="B2132" t="n">
        <v>1</v>
      </c>
    </row>
    <row r="2133">
      <c r="A2133" t="inlineStr">
        <is>
          <t>hospital indoor environment</t>
        </is>
      </c>
      <c r="B2133" t="n">
        <v>1</v>
      </c>
    </row>
    <row r="2134">
      <c r="A2134" t="inlineStr">
        <is>
          <t>organic carbon</t>
        </is>
      </c>
      <c r="B2134" t="n">
        <v>1</v>
      </c>
    </row>
    <row r="2135">
      <c r="A2135" t="inlineStr">
        <is>
          <t>endotoxin</t>
        </is>
      </c>
      <c r="B2135" t="n">
        <v>1</v>
      </c>
    </row>
    <row r="2136">
      <c r="A2136" t="inlineStr">
        <is>
          <t>fine particulates</t>
        </is>
      </c>
      <c r="B2136" t="n">
        <v>1</v>
      </c>
    </row>
    <row r="2137">
      <c r="A2137" t="inlineStr">
        <is>
          <t>residential</t>
        </is>
      </c>
      <c r="B2137" t="n">
        <v>2</v>
      </c>
    </row>
    <row r="2138">
      <c r="A2138" t="inlineStr">
        <is>
          <t>proximal social factors</t>
        </is>
      </c>
      <c r="B2138" t="n">
        <v>1</v>
      </c>
    </row>
    <row r="2139">
      <c r="A2139" t="inlineStr">
        <is>
          <t>physical activity facilities</t>
        </is>
      </c>
      <c r="B2139" t="n">
        <v>1</v>
      </c>
    </row>
    <row r="2140">
      <c r="A2140" t="inlineStr">
        <is>
          <t>performance</t>
        </is>
      </c>
      <c r="B2140" t="n">
        <v>3</v>
      </c>
    </row>
    <row r="2141">
      <c r="A2141" t="inlineStr">
        <is>
          <t>planning process</t>
        </is>
      </c>
      <c r="B2141" t="n">
        <v>1</v>
      </c>
    </row>
    <row r="2142">
      <c r="A2142" t="inlineStr">
        <is>
          <t>urban evaluation</t>
        </is>
      </c>
      <c r="B2142" t="n">
        <v>1</v>
      </c>
    </row>
    <row r="2143">
      <c r="A2143" t="inlineStr">
        <is>
          <t>building assessment</t>
        </is>
      </c>
      <c r="B2143" t="n">
        <v>1</v>
      </c>
    </row>
    <row r="2144">
      <c r="A2144" t="inlineStr">
        <is>
          <t>prolonged sitting</t>
        </is>
      </c>
      <c r="B2144" t="n">
        <v>1</v>
      </c>
    </row>
    <row r="2145">
      <c r="A2145" t="inlineStr">
        <is>
          <t>unhealthy diet</t>
        </is>
      </c>
      <c r="B2145" t="n">
        <v>1</v>
      </c>
    </row>
    <row r="2146">
      <c r="A2146" t="inlineStr">
        <is>
          <t>characteristics</t>
        </is>
      </c>
      <c r="B2146" t="n">
        <v>1</v>
      </c>
    </row>
    <row r="2147">
      <c r="A2147" t="inlineStr">
        <is>
          <t>dependence</t>
        </is>
      </c>
      <c r="B2147" t="n">
        <v>2</v>
      </c>
    </row>
    <row r="2148">
      <c r="A2148" t="inlineStr">
        <is>
          <t>neighborhood open space (nos)</t>
        </is>
      </c>
      <c r="B2148" t="n">
        <v>1</v>
      </c>
    </row>
    <row r="2149">
      <c r="A2149" t="inlineStr">
        <is>
          <t>viewing behavior</t>
        </is>
      </c>
      <c r="B2149" t="n">
        <v>1</v>
      </c>
    </row>
    <row r="2150">
      <c r="A2150" t="inlineStr">
        <is>
          <t>spatio-temporal analysis</t>
        </is>
      </c>
      <c r="B2150" t="n">
        <v>1</v>
      </c>
    </row>
    <row r="2151">
      <c r="A2151" t="inlineStr">
        <is>
          <t>workplace health</t>
        </is>
      </c>
      <c r="B2151" t="n">
        <v>1</v>
      </c>
    </row>
    <row r="2152">
      <c r="A2152" t="inlineStr">
        <is>
          <t>direct service workers</t>
        </is>
      </c>
      <c r="B2152" t="n">
        <v>1</v>
      </c>
    </row>
    <row r="2153">
      <c r="A2153" t="inlineStr">
        <is>
          <t>long-term services and supports</t>
        </is>
      </c>
      <c r="B2153" t="n">
        <v>1</v>
      </c>
    </row>
    <row r="2154">
      <c r="A2154" t="inlineStr">
        <is>
          <t>apartment-type building</t>
        </is>
      </c>
      <c r="B2154" t="n">
        <v>1</v>
      </c>
    </row>
    <row r="2155">
      <c r="A2155" t="inlineStr">
        <is>
          <t>mold</t>
        </is>
      </c>
      <c r="B2155" t="n">
        <v>1</v>
      </c>
    </row>
    <row r="2156">
      <c r="A2156" t="inlineStr">
        <is>
          <t>residential characteristics</t>
        </is>
      </c>
      <c r="B2156" t="n">
        <v>1</v>
      </c>
    </row>
    <row r="2157">
      <c r="A2157" t="inlineStr">
        <is>
          <t>regenerative sustainability</t>
        </is>
      </c>
      <c r="B2157" t="n">
        <v>1</v>
      </c>
    </row>
    <row r="2158">
      <c r="A2158" t="inlineStr">
        <is>
          <t>humane design</t>
        </is>
      </c>
      <c r="B2158" t="n">
        <v>1</v>
      </c>
    </row>
    <row r="2159">
      <c r="A2159" t="inlineStr">
        <is>
          <t>international sustainability certification systems</t>
        </is>
      </c>
      <c r="B2159" t="n">
        <v>1</v>
      </c>
    </row>
    <row r="2160">
      <c r="A2160" t="inlineStr">
        <is>
          <t>wearable</t>
        </is>
      </c>
      <c r="B2160" t="n">
        <v>1</v>
      </c>
    </row>
    <row r="2161">
      <c r="A2161" t="inlineStr">
        <is>
          <t>physical therapy</t>
        </is>
      </c>
      <c r="B2161" t="n">
        <v>2</v>
      </c>
    </row>
    <row r="2162">
      <c r="A2162" t="inlineStr">
        <is>
          <t>mobile payment</t>
        </is>
      </c>
      <c r="B2162" t="n">
        <v>1</v>
      </c>
    </row>
    <row r="2163">
      <c r="A2163" t="inlineStr">
        <is>
          <t>behavioral intention</t>
        </is>
      </c>
      <c r="B2163" t="n">
        <v>2</v>
      </c>
    </row>
    <row r="2164">
      <c r="A2164" t="inlineStr">
        <is>
          <t>influence factor</t>
        </is>
      </c>
      <c r="B2164" t="n">
        <v>1</v>
      </c>
    </row>
    <row r="2165">
      <c r="A2165" t="inlineStr">
        <is>
          <t>digital</t>
        </is>
      </c>
      <c r="B2165" t="n">
        <v>1</v>
      </c>
    </row>
    <row r="2166">
      <c r="A2166" t="inlineStr">
        <is>
          <t>storytelling</t>
        </is>
      </c>
      <c r="B2166" t="n">
        <v>1</v>
      </c>
    </row>
    <row r="2167">
      <c r="A2167" t="inlineStr">
        <is>
          <t>intergeneration</t>
        </is>
      </c>
      <c r="B2167" t="n">
        <v>1</v>
      </c>
    </row>
    <row r="2168">
      <c r="A2168" t="inlineStr">
        <is>
          <t>indoor health</t>
        </is>
      </c>
      <c r="B2168" t="n">
        <v>1</v>
      </c>
    </row>
    <row r="2169">
      <c r="A2169" t="inlineStr">
        <is>
          <t>social determinants</t>
        </is>
      </c>
      <c r="B2169" t="n">
        <v>2</v>
      </c>
    </row>
    <row r="2170">
      <c r="A2170" t="inlineStr">
        <is>
          <t>multidisciplinary approach</t>
        </is>
      </c>
      <c r="B2170" t="n">
        <v>1</v>
      </c>
    </row>
    <row r="2171">
      <c r="A2171" t="inlineStr">
        <is>
          <t>regeneration strategies</t>
        </is>
      </c>
      <c r="B2171" t="n">
        <v>1</v>
      </c>
    </row>
    <row r="2172">
      <c r="A2172" t="inlineStr">
        <is>
          <t>spatial segregation</t>
        </is>
      </c>
      <c r="B2172" t="n">
        <v>1</v>
      </c>
    </row>
    <row r="2173">
      <c r="A2173" t="inlineStr">
        <is>
          <t>early warning system</t>
        </is>
      </c>
      <c r="B2173" t="n">
        <v>1</v>
      </c>
    </row>
    <row r="2174">
      <c r="A2174" t="inlineStr">
        <is>
          <t>energy system model</t>
        </is>
      </c>
      <c r="B2174" t="n">
        <v>1</v>
      </c>
    </row>
    <row r="2175">
      <c r="A2175" t="inlineStr">
        <is>
          <t>stock model</t>
        </is>
      </c>
      <c r="B2175" t="n">
        <v>1</v>
      </c>
    </row>
    <row r="2176">
      <c r="A2176" t="inlineStr">
        <is>
          <t>dynamic building model</t>
        </is>
      </c>
      <c r="B2176" t="n">
        <v>1</v>
      </c>
    </row>
    <row r="2177">
      <c r="A2177" t="inlineStr">
        <is>
          <t>energy policy</t>
        </is>
      </c>
      <c r="B2177" t="n">
        <v>1</v>
      </c>
    </row>
    <row r="2178">
      <c r="A2178" t="inlineStr">
        <is>
          <t>household behaviour</t>
        </is>
      </c>
      <c r="B2178" t="n">
        <v>1</v>
      </c>
    </row>
    <row r="2179">
      <c r="A2179" t="inlineStr">
        <is>
          <t>trees</t>
        </is>
      </c>
      <c r="B2179" t="n">
        <v>1</v>
      </c>
    </row>
    <row r="2180">
      <c r="A2180" t="inlineStr">
        <is>
          <t>grasslands</t>
        </is>
      </c>
      <c r="B2180" t="n">
        <v>1</v>
      </c>
    </row>
    <row r="2181">
      <c r="A2181" t="inlineStr">
        <is>
          <t>fields</t>
        </is>
      </c>
      <c r="B2181" t="n">
        <v>1</v>
      </c>
    </row>
    <row r="2182">
      <c r="A2182" t="inlineStr">
        <is>
          <t>self-perceived health</t>
        </is>
      </c>
      <c r="B2182" t="n">
        <v>1</v>
      </c>
    </row>
    <row r="2183">
      <c r="A2183" t="inlineStr">
        <is>
          <t>satisfaction of urban residents</t>
        </is>
      </c>
      <c r="B2183" t="n">
        <v>1</v>
      </c>
    </row>
    <row r="2184">
      <c r="A2184" t="inlineStr">
        <is>
          <t>gender and age</t>
        </is>
      </c>
      <c r="B2184" t="n">
        <v>1</v>
      </c>
    </row>
    <row r="2185">
      <c r="A2185" t="inlineStr">
        <is>
          <t>neighborhood type</t>
        </is>
      </c>
      <c r="B2185" t="n">
        <v>2</v>
      </c>
    </row>
    <row r="2186">
      <c r="A2186" t="inlineStr">
        <is>
          <t>chengdu</t>
        </is>
      </c>
      <c r="B2186" t="n">
        <v>2</v>
      </c>
    </row>
    <row r="2187">
      <c r="A2187" t="inlineStr">
        <is>
          <t>impurity sources</t>
        </is>
      </c>
      <c r="B2187" t="n">
        <v>1</v>
      </c>
    </row>
    <row r="2188">
      <c r="A2188" t="inlineStr">
        <is>
          <t>categorisation</t>
        </is>
      </c>
      <c r="B2188" t="n">
        <v>1</v>
      </c>
    </row>
    <row r="2189">
      <c r="A2189" t="inlineStr">
        <is>
          <t>building investigation</t>
        </is>
      </c>
      <c r="B2189" t="n">
        <v>1</v>
      </c>
    </row>
    <row r="2190">
      <c r="A2190" t="inlineStr">
        <is>
          <t>repair urgency</t>
        </is>
      </c>
      <c r="B2190" t="n">
        <v>1</v>
      </c>
    </row>
    <row r="2191">
      <c r="A2191" t="inlineStr">
        <is>
          <t>minority</t>
        </is>
      </c>
      <c r="B2191" t="n">
        <v>1</v>
      </c>
    </row>
    <row r="2192">
      <c r="A2192" t="inlineStr">
        <is>
          <t>disaster preparedness</t>
        </is>
      </c>
      <c r="B2192" t="n">
        <v>1</v>
      </c>
    </row>
    <row r="2193">
      <c r="A2193" t="inlineStr">
        <is>
          <t>psychological sense of community</t>
        </is>
      </c>
      <c r="B2193" t="n">
        <v>1</v>
      </c>
    </row>
    <row r="2194">
      <c r="A2194" t="inlineStr">
        <is>
          <t>ecological theory of aging</t>
        </is>
      </c>
      <c r="B2194" t="n">
        <v>1</v>
      </c>
    </row>
    <row r="2195">
      <c r="A2195" t="inlineStr">
        <is>
          <t>neighborhoods</t>
        </is>
      </c>
      <c r="B2195" t="n">
        <v>8</v>
      </c>
    </row>
    <row r="2196">
      <c r="A2196" t="inlineStr">
        <is>
          <t>urban infrastructure</t>
        </is>
      </c>
      <c r="B2196" t="n">
        <v>1</v>
      </c>
    </row>
    <row r="2197">
      <c r="A2197" t="inlineStr">
        <is>
          <t>living wall</t>
        </is>
      </c>
      <c r="B2197" t="n">
        <v>1</v>
      </c>
    </row>
    <row r="2198">
      <c r="A2198" t="inlineStr">
        <is>
          <t>water wall</t>
        </is>
      </c>
      <c r="B2198" t="n">
        <v>1</v>
      </c>
    </row>
    <row r="2199">
      <c r="A2199" t="inlineStr">
        <is>
          <t>water consumption</t>
        </is>
      </c>
      <c r="B2199" t="n">
        <v>2</v>
      </c>
    </row>
    <row r="2200">
      <c r="A2200" t="inlineStr">
        <is>
          <t>experimental measurement</t>
        </is>
      </c>
      <c r="B2200" t="n">
        <v>1</v>
      </c>
    </row>
    <row r="2201">
      <c r="A2201" t="inlineStr">
        <is>
          <t>heating season</t>
        </is>
      </c>
      <c r="B2201" t="n">
        <v>1</v>
      </c>
    </row>
    <row r="2202">
      <c r="A2202" t="inlineStr">
        <is>
          <t>relative humidity</t>
        </is>
      </c>
      <c r="B2202" t="n">
        <v>2</v>
      </c>
    </row>
    <row r="2203">
      <c r="A2203" t="inlineStr">
        <is>
          <t>sink effect</t>
        </is>
      </c>
      <c r="B2203" t="n">
        <v>1</v>
      </c>
    </row>
    <row r="2204">
      <c r="A2204" t="inlineStr">
        <is>
          <t>optical sensing</t>
        </is>
      </c>
      <c r="B2204" t="n">
        <v>1</v>
      </c>
    </row>
    <row r="2205">
      <c r="A2205" t="inlineStr">
        <is>
          <t>sustainable indoor environment</t>
        </is>
      </c>
      <c r="B2205" t="n">
        <v>1</v>
      </c>
    </row>
    <row r="2206">
      <c r="A2206" t="inlineStr">
        <is>
          <t>contaminant control</t>
        </is>
      </c>
      <c r="B2206" t="n">
        <v>1</v>
      </c>
    </row>
    <row r="2207">
      <c r="A2207" t="inlineStr">
        <is>
          <t>salt marshes</t>
        </is>
      </c>
      <c r="B2207" t="n">
        <v>1</v>
      </c>
    </row>
    <row r="2208">
      <c r="A2208" t="inlineStr">
        <is>
          <t>mud flats</t>
        </is>
      </c>
      <c r="B2208" t="n">
        <v>1</v>
      </c>
    </row>
    <row r="2209">
      <c r="A2209" t="inlineStr">
        <is>
          <t>intertidal environments</t>
        </is>
      </c>
      <c r="B2209" t="n">
        <v>1</v>
      </c>
    </row>
    <row r="2210">
      <c r="A2210" t="inlineStr">
        <is>
          <t>storms</t>
        </is>
      </c>
      <c r="B2210" t="n">
        <v>1</v>
      </c>
    </row>
    <row r="2211">
      <c r="A2211" t="inlineStr">
        <is>
          <t>luminescence</t>
        </is>
      </c>
      <c r="B2211" t="n">
        <v>1</v>
      </c>
    </row>
    <row r="2212">
      <c r="A2212" t="inlineStr">
        <is>
          <t>participatory action research</t>
        </is>
      </c>
      <c r="B2212" t="n">
        <v>1</v>
      </c>
    </row>
    <row r="2213">
      <c r="A2213" t="inlineStr">
        <is>
          <t>integrative model</t>
        </is>
      </c>
      <c r="B2213" t="n">
        <v>1</v>
      </c>
    </row>
    <row r="2214">
      <c r="A2214" t="inlineStr">
        <is>
          <t>meaning in life</t>
        </is>
      </c>
      <c r="B2214" t="n">
        <v>1</v>
      </c>
    </row>
    <row r="2215">
      <c r="A2215" t="inlineStr">
        <is>
          <t>personality characteristics</t>
        </is>
      </c>
      <c r="B2215" t="n">
        <v>1</v>
      </c>
    </row>
    <row r="2216">
      <c r="A2216" t="inlineStr">
        <is>
          <t>psycho-social factors</t>
        </is>
      </c>
      <c r="B2216" t="n">
        <v>1</v>
      </c>
    </row>
    <row r="2217">
      <c r="A2217" t="inlineStr">
        <is>
          <t>natural materials</t>
        </is>
      </c>
      <c r="B2217" t="n">
        <v>1</v>
      </c>
    </row>
    <row r="2218">
      <c r="A2218" t="inlineStr">
        <is>
          <t>natural light</t>
        </is>
      </c>
      <c r="B2218" t="n">
        <v>1</v>
      </c>
    </row>
    <row r="2219">
      <c r="A2219" t="inlineStr">
        <is>
          <t>sense of belonging</t>
        </is>
      </c>
      <c r="B2219" t="n">
        <v>1</v>
      </c>
    </row>
    <row r="2220">
      <c r="A2220" t="inlineStr">
        <is>
          <t>self-efficacy</t>
        </is>
      </c>
      <c r="B2220" t="n">
        <v>3</v>
      </c>
    </row>
    <row r="2221">
      <c r="A2221" t="inlineStr">
        <is>
          <t>environmental efficacy</t>
        </is>
      </c>
      <c r="B2221" t="n">
        <v>1</v>
      </c>
    </row>
    <row r="2222">
      <c r="A2222" t="inlineStr">
        <is>
          <t>design interventions</t>
        </is>
      </c>
      <c r="B2222" t="n">
        <v>1</v>
      </c>
    </row>
    <row r="2223">
      <c r="A2223" t="inlineStr">
        <is>
          <t>building sustainability assessment systems (bsas)</t>
        </is>
      </c>
      <c r="B2223" t="n">
        <v>1</v>
      </c>
    </row>
    <row r="2224">
      <c r="A2224" t="inlineStr">
        <is>
          <t>green buildings</t>
        </is>
      </c>
      <c r="B2224" t="n">
        <v>4</v>
      </c>
    </row>
    <row r="2225">
      <c r="A2225" t="inlineStr">
        <is>
          <t>rating tools</t>
        </is>
      </c>
      <c r="B2225" t="n">
        <v>2</v>
      </c>
    </row>
    <row r="2226">
      <c r="A2226" t="inlineStr">
        <is>
          <t>life cycle assessment (lca)</t>
        </is>
      </c>
      <c r="B2226" t="n">
        <v>1</v>
      </c>
    </row>
    <row r="2227">
      <c r="A2227" t="inlineStr">
        <is>
          <t>multi-criteria decision making (mcdm)</t>
        </is>
      </c>
      <c r="B2227" t="n">
        <v>1</v>
      </c>
    </row>
    <row r="2228">
      <c r="A2228" t="inlineStr">
        <is>
          <t>life cycle cost (lcc)</t>
        </is>
      </c>
      <c r="B2228" t="n">
        <v>1</v>
      </c>
    </row>
    <row r="2229">
      <c r="A2229" t="inlineStr">
        <is>
          <t>dampness</t>
        </is>
      </c>
      <c r="B2229" t="n">
        <v>1</v>
      </c>
    </row>
    <row r="2230">
      <c r="A2230" t="inlineStr">
        <is>
          <t>hygienic-sanitary comfort</t>
        </is>
      </c>
      <c r="B2230" t="n">
        <v>1</v>
      </c>
    </row>
    <row r="2231">
      <c r="A2231" t="inlineStr">
        <is>
          <t>energy performance certificate</t>
        </is>
      </c>
      <c r="B2231" t="n">
        <v>1</v>
      </c>
    </row>
    <row r="2232">
      <c r="A2232" t="inlineStr">
        <is>
          <t>design-attention</t>
        </is>
      </c>
      <c r="B2232" t="n">
        <v>1</v>
      </c>
    </row>
    <row r="2233">
      <c r="A2233" t="inlineStr">
        <is>
          <t>disengagement</t>
        </is>
      </c>
      <c r="B2233" t="n">
        <v>1</v>
      </c>
    </row>
    <row r="2234">
      <c r="A2234" t="inlineStr">
        <is>
          <t>eye-tracking</t>
        </is>
      </c>
      <c r="B2234" t="n">
        <v>3</v>
      </c>
    </row>
    <row r="2235">
      <c r="A2235" t="inlineStr">
        <is>
          <t>facades</t>
        </is>
      </c>
      <c r="B2235" t="n">
        <v>1</v>
      </c>
    </row>
    <row r="2236">
      <c r="A2236" t="inlineStr">
        <is>
          <t>fractals</t>
        </is>
      </c>
      <c r="B2236" t="n">
        <v>1</v>
      </c>
    </row>
    <row r="2237">
      <c r="A2237" t="inlineStr">
        <is>
          <t>interaction-design</t>
        </is>
      </c>
      <c r="B2237" t="n">
        <v>1</v>
      </c>
    </row>
    <row r="2238">
      <c r="A2238" t="inlineStr">
        <is>
          <t>neuroscience</t>
        </is>
      </c>
      <c r="B2238" t="n">
        <v>1</v>
      </c>
    </row>
    <row r="2239">
      <c r="A2239" t="inlineStr">
        <is>
          <t>public-space</t>
        </is>
      </c>
      <c r="B2239" t="n">
        <v>1</v>
      </c>
    </row>
    <row r="2240">
      <c r="A2240" t="inlineStr">
        <is>
          <t>traditional styles</t>
        </is>
      </c>
      <c r="B2240" t="n">
        <v>1</v>
      </c>
    </row>
    <row r="2241">
      <c r="A2241" t="inlineStr">
        <is>
          <t>visual attention software</t>
        </is>
      </c>
      <c r="B2241" t="n">
        <v>1</v>
      </c>
    </row>
    <row r="2242">
      <c r="A2242" t="inlineStr">
        <is>
          <t>ageism</t>
        </is>
      </c>
      <c r="B2242" t="n">
        <v>3</v>
      </c>
    </row>
    <row r="2243">
      <c r="A2243" t="inlineStr">
        <is>
          <t>ethics</t>
        </is>
      </c>
      <c r="B2243" t="n">
        <v>1</v>
      </c>
    </row>
    <row r="2244">
      <c r="A2244" t="inlineStr">
        <is>
          <t>icf</t>
        </is>
      </c>
      <c r="B2244" t="n">
        <v>2</v>
      </c>
    </row>
    <row r="2245">
      <c r="A2245" t="inlineStr">
        <is>
          <t>multi-zone building</t>
        </is>
      </c>
      <c r="B2245" t="n">
        <v>1</v>
      </c>
    </row>
    <row r="2246">
      <c r="A2246" t="inlineStr">
        <is>
          <t>printer emissions.</t>
        </is>
      </c>
      <c r="B2246" t="n">
        <v>1</v>
      </c>
    </row>
    <row r="2247">
      <c r="A2247" t="inlineStr">
        <is>
          <t>particulatematter</t>
        </is>
      </c>
      <c r="B2247" t="n">
        <v>1</v>
      </c>
    </row>
    <row r="2248">
      <c r="A2248" t="inlineStr">
        <is>
          <t>housing environment</t>
        </is>
      </c>
      <c r="B2248" t="n">
        <v>1</v>
      </c>
    </row>
    <row r="2249">
      <c r="A2249" t="inlineStr">
        <is>
          <t>housing satisfaction</t>
        </is>
      </c>
      <c r="B2249" t="n">
        <v>1</v>
      </c>
    </row>
    <row r="2250">
      <c r="A2250" t="inlineStr">
        <is>
          <t>housing needs</t>
        </is>
      </c>
      <c r="B2250" t="n">
        <v>1</v>
      </c>
    </row>
    <row r="2251">
      <c r="A2251" t="inlineStr">
        <is>
          <t>planning and design</t>
        </is>
      </c>
      <c r="B2251" t="n">
        <v>1</v>
      </c>
    </row>
    <row r="2252">
      <c r="A2252" t="inlineStr">
        <is>
          <t>hong kong</t>
        </is>
      </c>
      <c r="B2252" t="n">
        <v>6</v>
      </c>
    </row>
    <row r="2253">
      <c r="A2253" t="inlineStr">
        <is>
          <t>three-dimensional architectural landscape</t>
        </is>
      </c>
      <c r="B2253" t="n">
        <v>1</v>
      </c>
    </row>
    <row r="2254">
      <c r="A2254" t="inlineStr">
        <is>
          <t>variation</t>
        </is>
      </c>
      <c r="B2254" t="n">
        <v>1</v>
      </c>
    </row>
    <row r="2255">
      <c r="A2255" t="inlineStr">
        <is>
          <t>building height types</t>
        </is>
      </c>
      <c r="B2255" t="n">
        <v>1</v>
      </c>
    </row>
    <row r="2256">
      <c r="A2256" t="inlineStr">
        <is>
          <t>terrain</t>
        </is>
      </c>
      <c r="B2256" t="n">
        <v>1</v>
      </c>
    </row>
    <row r="2257">
      <c r="A2257" t="inlineStr">
        <is>
          <t>gonabad</t>
        </is>
      </c>
      <c r="B2257" t="n">
        <v>1</v>
      </c>
    </row>
    <row r="2258">
      <c r="A2258" t="inlineStr">
        <is>
          <t>urban growth management</t>
        </is>
      </c>
      <c r="B2258" t="n">
        <v>1</v>
      </c>
    </row>
    <row r="2259">
      <c r="A2259" t="inlineStr">
        <is>
          <t>quality of life (qol)</t>
        </is>
      </c>
      <c r="B2259" t="n">
        <v>1</v>
      </c>
    </row>
    <row r="2260">
      <c r="A2260" t="inlineStr">
        <is>
          <t>smart city &amp; big data</t>
        </is>
      </c>
      <c r="B2260" t="n">
        <v>1</v>
      </c>
    </row>
    <row r="2261">
      <c r="A2261" t="inlineStr">
        <is>
          <t>forecasting</t>
        </is>
      </c>
      <c r="B2261" t="n">
        <v>1</v>
      </c>
    </row>
    <row r="2262">
      <c r="A2262" t="inlineStr">
        <is>
          <t>electronic device-based activities</t>
        </is>
      </c>
      <c r="B2262" t="n">
        <v>1</v>
      </c>
    </row>
    <row r="2263">
      <c r="A2263" t="inlineStr">
        <is>
          <t>iadl</t>
        </is>
      </c>
      <c r="B2263" t="n">
        <v>2</v>
      </c>
    </row>
    <row r="2264">
      <c r="A2264" t="inlineStr">
        <is>
          <t>courtyard</t>
        </is>
      </c>
      <c r="B2264" t="n">
        <v>1</v>
      </c>
    </row>
    <row r="2265">
      <c r="A2265" t="inlineStr">
        <is>
          <t>city</t>
        </is>
      </c>
      <c r="B2265" t="n">
        <v>2</v>
      </c>
    </row>
    <row r="2266">
      <c r="A2266" t="inlineStr">
        <is>
          <t>yekaterinburg</t>
        </is>
      </c>
      <c r="B2266" t="n">
        <v>1</v>
      </c>
    </row>
    <row r="2267">
      <c r="A2267" t="inlineStr">
        <is>
          <t>psychology</t>
        </is>
      </c>
      <c r="B2267" t="n">
        <v>1</v>
      </c>
    </row>
    <row r="2268">
      <c r="A2268" t="inlineStr">
        <is>
          <t>social networking sites</t>
        </is>
      </c>
      <c r="B2268" t="n">
        <v>1</v>
      </c>
    </row>
    <row r="2269">
      <c r="A2269" t="inlineStr">
        <is>
          <t>decision trees</t>
        </is>
      </c>
      <c r="B2269" t="n">
        <v>1</v>
      </c>
    </row>
    <row r="2270">
      <c r="A2270" t="inlineStr">
        <is>
          <t>segmentation</t>
        </is>
      </c>
      <c r="B2270" t="n">
        <v>1</v>
      </c>
    </row>
    <row r="2271">
      <c r="A2271" t="inlineStr">
        <is>
          <t>chile</t>
        </is>
      </c>
      <c r="B2271" t="n">
        <v>2</v>
      </c>
    </row>
    <row r="2272">
      <c r="A2272" t="inlineStr">
        <is>
          <t>life cycle costing</t>
        </is>
      </c>
      <c r="B2272" t="n">
        <v>1</v>
      </c>
    </row>
    <row r="2273">
      <c r="A2273" t="inlineStr">
        <is>
          <t>light at night</t>
        </is>
      </c>
      <c r="B2273" t="n">
        <v>1</v>
      </c>
    </row>
    <row r="2274">
      <c r="A2274" t="inlineStr">
        <is>
          <t>bedroom light pollution</t>
        </is>
      </c>
      <c r="B2274" t="n">
        <v>1</v>
      </c>
    </row>
    <row r="2275">
      <c r="A2275" t="inlineStr">
        <is>
          <t>blood pressure</t>
        </is>
      </c>
      <c r="B2275" t="n">
        <v>2</v>
      </c>
    </row>
    <row r="2276">
      <c r="A2276" t="inlineStr">
        <is>
          <t>health risk</t>
        </is>
      </c>
      <c r="B2276" t="n">
        <v>6</v>
      </c>
    </row>
    <row r="2277">
      <c r="A2277" t="inlineStr">
        <is>
          <t>pm10</t>
        </is>
      </c>
      <c r="B2277" t="n">
        <v>2</v>
      </c>
    </row>
    <row r="2278">
      <c r="A2278" t="inlineStr">
        <is>
          <t>trace metals</t>
        </is>
      </c>
      <c r="B2278" t="n">
        <v>3</v>
      </c>
    </row>
    <row r="2279">
      <c r="A2279" t="inlineStr">
        <is>
          <t>climate</t>
        </is>
      </c>
      <c r="B2279" t="n">
        <v>4</v>
      </c>
    </row>
    <row r="2280">
      <c r="A2280" t="inlineStr">
        <is>
          <t>thematic coding</t>
        </is>
      </c>
      <c r="B2280" t="n">
        <v>1</v>
      </c>
    </row>
    <row r="2281">
      <c r="A2281" t="inlineStr">
        <is>
          <t>personality trait</t>
        </is>
      </c>
      <c r="B2281" t="n">
        <v>1</v>
      </c>
    </row>
    <row r="2282">
      <c r="A2282" t="inlineStr">
        <is>
          <t>stress</t>
        </is>
      </c>
      <c r="B2282" t="n">
        <v>6</v>
      </c>
    </row>
    <row r="2283">
      <c r="A2283" t="inlineStr">
        <is>
          <t>work capability</t>
        </is>
      </c>
      <c r="B2283" t="n">
        <v>1</v>
      </c>
    </row>
    <row r="2284">
      <c r="A2284" t="inlineStr">
        <is>
          <t>sustainability assessment</t>
        </is>
      </c>
      <c r="B2284" t="n">
        <v>1</v>
      </c>
    </row>
    <row r="2285">
      <c r="A2285" t="inlineStr">
        <is>
          <t>challenges</t>
        </is>
      </c>
      <c r="B2285" t="n">
        <v>1</v>
      </c>
    </row>
    <row r="2286">
      <c r="A2286" t="inlineStr">
        <is>
          <t>methods</t>
        </is>
      </c>
      <c r="B2286" t="n">
        <v>1</v>
      </c>
    </row>
    <row r="2287">
      <c r="A2287" t="inlineStr">
        <is>
          <t>policy making</t>
        </is>
      </c>
      <c r="B2287" t="n">
        <v>1</v>
      </c>
    </row>
    <row r="2288">
      <c r="A2288" t="inlineStr">
        <is>
          <t>residential urban agriculture</t>
        </is>
      </c>
      <c r="B2288" t="n">
        <v>1</v>
      </c>
    </row>
    <row r="2289">
      <c r="A2289" t="inlineStr">
        <is>
          <t>interior architecture</t>
        </is>
      </c>
      <c r="B2289" t="n">
        <v>1</v>
      </c>
    </row>
    <row r="2290">
      <c r="A2290" t="inlineStr">
        <is>
          <t>design studio pedagogy</t>
        </is>
      </c>
      <c r="B2290" t="n">
        <v>1</v>
      </c>
    </row>
    <row r="2291">
      <c r="A2291" t="inlineStr">
        <is>
          <t>heatwave hazard</t>
        </is>
      </c>
      <c r="B2291" t="n">
        <v>1</v>
      </c>
    </row>
    <row r="2292">
      <c r="A2292" t="inlineStr">
        <is>
          <t>long-term dependence</t>
        </is>
      </c>
      <c r="B2292" t="n">
        <v>1</v>
      </c>
    </row>
    <row r="2293">
      <c r="A2293" t="inlineStr">
        <is>
          <t>currently built apartment</t>
        </is>
      </c>
      <c r="B2293" t="n">
        <v>1</v>
      </c>
    </row>
    <row r="2294">
      <c r="A2294" t="inlineStr">
        <is>
          <t>household product</t>
        </is>
      </c>
      <c r="B2294" t="n">
        <v>1</v>
      </c>
    </row>
    <row r="2295">
      <c r="A2295" t="inlineStr">
        <is>
          <t>indoor source</t>
        </is>
      </c>
      <c r="B2295" t="n">
        <v>1</v>
      </c>
    </row>
    <row r="2296">
      <c r="A2296" t="inlineStr">
        <is>
          <t>severe cold area</t>
        </is>
      </c>
      <c r="B2296" t="n">
        <v>1</v>
      </c>
    </row>
    <row r="2297">
      <c r="A2297" t="inlineStr">
        <is>
          <t>existing buildings</t>
        </is>
      </c>
      <c r="B2297" t="n">
        <v>1</v>
      </c>
    </row>
    <row r="2298">
      <c r="A2298" t="inlineStr">
        <is>
          <t>emission reduction</t>
        </is>
      </c>
      <c r="B2298" t="n">
        <v>1</v>
      </c>
    </row>
    <row r="2299">
      <c r="A2299" t="inlineStr">
        <is>
          <t>low-income population</t>
        </is>
      </c>
      <c r="B2299" t="n">
        <v>1</v>
      </c>
    </row>
    <row r="2300">
      <c r="A2300" t="inlineStr">
        <is>
          <t>driving cessation</t>
        </is>
      </c>
      <c r="B2300" t="n">
        <v>2</v>
      </c>
    </row>
    <row r="2301">
      <c r="A2301" t="inlineStr">
        <is>
          <t>meaningful activities</t>
        </is>
      </c>
      <c r="B2301" t="n">
        <v>1</v>
      </c>
    </row>
    <row r="2302">
      <c r="A2302" t="inlineStr">
        <is>
          <t>psychosomatic functions</t>
        </is>
      </c>
      <c r="B2302" t="n">
        <v>1</v>
      </c>
    </row>
    <row r="2303">
      <c r="A2303" t="inlineStr">
        <is>
          <t>co2 capture</t>
        </is>
      </c>
      <c r="B2303" t="n">
        <v>1</v>
      </c>
    </row>
    <row r="2304">
      <c r="A2304" t="inlineStr">
        <is>
          <t>renewable energy</t>
        </is>
      </c>
      <c r="B2304" t="n">
        <v>2</v>
      </c>
    </row>
    <row r="2305">
      <c r="A2305" t="inlineStr">
        <is>
          <t>biofuels</t>
        </is>
      </c>
      <c r="B2305" t="n">
        <v>1</v>
      </c>
    </row>
    <row r="2306">
      <c r="A2306" t="inlineStr">
        <is>
          <t>microbial electrochemical technologies</t>
        </is>
      </c>
      <c r="B2306" t="n">
        <v>1</v>
      </c>
    </row>
    <row r="2307">
      <c r="A2307" t="inlineStr">
        <is>
          <t>response scales</t>
        </is>
      </c>
      <c r="B2307" t="n">
        <v>1</v>
      </c>
    </row>
    <row r="2308">
      <c r="A2308" t="inlineStr">
        <is>
          <t>visual analogue scale</t>
        </is>
      </c>
      <c r="B2308" t="n">
        <v>1</v>
      </c>
    </row>
    <row r="2309">
      <c r="A2309" t="inlineStr">
        <is>
          <t>seven-point scale</t>
        </is>
      </c>
      <c r="B2309" t="n">
        <v>1</v>
      </c>
    </row>
    <row r="2310">
      <c r="A2310" t="inlineStr">
        <is>
          <t>11-point scale</t>
        </is>
      </c>
      <c r="B2310" t="n">
        <v>1</v>
      </c>
    </row>
    <row r="2311">
      <c r="A2311" t="inlineStr">
        <is>
          <t>respondent preference</t>
        </is>
      </c>
      <c r="B2311" t="n">
        <v>1</v>
      </c>
    </row>
    <row r="2312">
      <c r="A2312" t="inlineStr">
        <is>
          <t>industry foundation classes</t>
        </is>
      </c>
      <c r="B2312" t="n">
        <v>1</v>
      </c>
    </row>
    <row r="2313">
      <c r="A2313" t="inlineStr">
        <is>
          <t>sustainable design</t>
        </is>
      </c>
      <c r="B2313" t="n">
        <v>3</v>
      </c>
    </row>
    <row r="2314">
      <c r="A2314" t="inlineStr">
        <is>
          <t>energy efficient buildings</t>
        </is>
      </c>
      <c r="B2314" t="n">
        <v>2</v>
      </c>
    </row>
    <row r="2315">
      <c r="A2315" t="inlineStr">
        <is>
          <t>integrated project delivery</t>
        </is>
      </c>
      <c r="B2315" t="n">
        <v>1</v>
      </c>
    </row>
    <row r="2316">
      <c r="A2316" t="inlineStr">
        <is>
          <t>interoperability</t>
        </is>
      </c>
      <c r="B2316" t="n">
        <v>1</v>
      </c>
    </row>
    <row r="2317">
      <c r="A2317" t="inlineStr">
        <is>
          <t>radon indoor</t>
        </is>
      </c>
      <c r="B2317" t="n">
        <v>1</v>
      </c>
    </row>
    <row r="2318">
      <c r="A2318" t="inlineStr">
        <is>
          <t>radon transport equation</t>
        </is>
      </c>
      <c r="B2318" t="n">
        <v>1</v>
      </c>
    </row>
    <row r="2319">
      <c r="A2319" t="inlineStr">
        <is>
          <t>finite difference method</t>
        </is>
      </c>
      <c r="B2319" t="n">
        <v>1</v>
      </c>
    </row>
    <row r="2320">
      <c r="A2320" t="inlineStr">
        <is>
          <t>radon in soils</t>
        </is>
      </c>
      <c r="B2320" t="n">
        <v>1</v>
      </c>
    </row>
    <row r="2321">
      <c r="A2321" t="inlineStr">
        <is>
          <t>tacit knowledge</t>
        </is>
      </c>
      <c r="B2321" t="n">
        <v>1</v>
      </c>
    </row>
    <row r="2322">
      <c r="A2322" t="inlineStr">
        <is>
          <t>pipelines</t>
        </is>
      </c>
      <c r="B2322" t="n">
        <v>1</v>
      </c>
    </row>
    <row r="2323">
      <c r="A2323" t="inlineStr">
        <is>
          <t>digital built environment</t>
        </is>
      </c>
      <c r="B2323" t="n">
        <v>1</v>
      </c>
    </row>
    <row r="2324">
      <c r="A2324" t="inlineStr">
        <is>
          <t>techno-politics</t>
        </is>
      </c>
      <c r="B2324" t="n">
        <v>1</v>
      </c>
    </row>
    <row r="2325">
      <c r="A2325" t="inlineStr">
        <is>
          <t>actor network theory</t>
        </is>
      </c>
      <c r="B2325" t="n">
        <v>1</v>
      </c>
    </row>
    <row r="2326">
      <c r="A2326" t="inlineStr">
        <is>
          <t>science and technology studies</t>
        </is>
      </c>
      <c r="B2326" t="n">
        <v>1</v>
      </c>
    </row>
    <row r="2327">
      <c r="A2327" t="inlineStr">
        <is>
          <t>organisational theory</t>
        </is>
      </c>
      <c r="B2327" t="n">
        <v>1</v>
      </c>
    </row>
    <row r="2328">
      <c r="A2328" t="inlineStr">
        <is>
          <t>pahs</t>
        </is>
      </c>
      <c r="B2328" t="n">
        <v>3</v>
      </c>
    </row>
    <row r="2329">
      <c r="A2329" t="inlineStr">
        <is>
          <t>cascade impactor</t>
        </is>
      </c>
      <c r="B2329" t="n">
        <v>1</v>
      </c>
    </row>
    <row r="2330">
      <c r="A2330" t="inlineStr">
        <is>
          <t>hplc-fluorescence</t>
        </is>
      </c>
      <c r="B2330" t="n">
        <v>1</v>
      </c>
    </row>
    <row r="2331">
      <c r="A2331" t="inlineStr">
        <is>
          <t>new dwellings in southern anhui province</t>
        </is>
      </c>
      <c r="B2331" t="n">
        <v>1</v>
      </c>
    </row>
    <row r="2332">
      <c r="A2332" t="inlineStr">
        <is>
          <t>plane and space</t>
        </is>
      </c>
      <c r="B2332" t="n">
        <v>1</v>
      </c>
    </row>
    <row r="2333">
      <c r="A2333" t="inlineStr">
        <is>
          <t>optimal design</t>
        </is>
      </c>
      <c r="B2333" t="n">
        <v>1</v>
      </c>
    </row>
    <row r="2334">
      <c r="A2334" t="inlineStr">
        <is>
          <t>influenza</t>
        </is>
      </c>
      <c r="B2334" t="n">
        <v>2</v>
      </c>
    </row>
    <row r="2335">
      <c r="A2335" t="inlineStr">
        <is>
          <t>pneumonia</t>
        </is>
      </c>
      <c r="B2335" t="n">
        <v>1</v>
      </c>
    </row>
    <row r="2336">
      <c r="A2336" t="inlineStr">
        <is>
          <t>acoustic environment quality evaluation</t>
        </is>
      </c>
      <c r="B2336" t="n">
        <v>1</v>
      </c>
    </row>
    <row r="2337">
      <c r="A2337" t="inlineStr">
        <is>
          <t>urban open space</t>
        </is>
      </c>
      <c r="B2337" t="n">
        <v>1</v>
      </c>
    </row>
    <row r="2338">
      <c r="A2338" t="inlineStr">
        <is>
          <t>subjective satisfaction</t>
        </is>
      </c>
      <c r="B2338" t="n">
        <v>1</v>
      </c>
    </row>
    <row r="2339">
      <c r="A2339" t="inlineStr">
        <is>
          <t>the satisfaction evaluation model of acoustic environment</t>
        </is>
      </c>
      <c r="B2339" t="n">
        <v>1</v>
      </c>
    </row>
    <row r="2340">
      <c r="A2340" t="inlineStr">
        <is>
          <t>effective characteristics</t>
        </is>
      </c>
      <c r="B2340" t="n">
        <v>1</v>
      </c>
    </row>
    <row r="2341">
      <c r="A2341" t="inlineStr">
        <is>
          <t>multivariable linear regression algorithm</t>
        </is>
      </c>
      <c r="B2341" t="n">
        <v>1</v>
      </c>
    </row>
    <row r="2342">
      <c r="A2342" t="inlineStr">
        <is>
          <t>sedentary</t>
        </is>
      </c>
      <c r="B2342" t="n">
        <v>4</v>
      </c>
    </row>
    <row r="2343">
      <c r="A2343" t="inlineStr">
        <is>
          <t>television</t>
        </is>
      </c>
      <c r="B2343" t="n">
        <v>1</v>
      </c>
    </row>
    <row r="2344">
      <c r="A2344" t="inlineStr">
        <is>
          <t>psychosocial stress</t>
        </is>
      </c>
      <c r="B2344" t="n">
        <v>1</v>
      </c>
    </row>
    <row r="2345">
      <c r="A2345" t="inlineStr">
        <is>
          <t>work environment</t>
        </is>
      </c>
      <c r="B2345" t="n">
        <v>2</v>
      </c>
    </row>
    <row r="2346">
      <c r="A2346" t="inlineStr">
        <is>
          <t>covid-19 pandemic</t>
        </is>
      </c>
      <c r="B2346" t="n">
        <v>1</v>
      </c>
    </row>
    <row r="2347">
      <c r="A2347" t="inlineStr">
        <is>
          <t>humid subtropical climate</t>
        </is>
      </c>
      <c r="B2347" t="n">
        <v>1</v>
      </c>
    </row>
    <row r="2348">
      <c r="A2348" t="inlineStr">
        <is>
          <t>brick-timber structure</t>
        </is>
      </c>
      <c r="B2348" t="n">
        <v>1</v>
      </c>
    </row>
    <row r="2349">
      <c r="A2349" t="inlineStr">
        <is>
          <t>sdg</t>
        </is>
      </c>
      <c r="B2349" t="n">
        <v>1</v>
      </c>
    </row>
    <row r="2350">
      <c r="A2350" t="inlineStr">
        <is>
          <t>multi criteria decision making</t>
        </is>
      </c>
      <c r="B2350" t="n">
        <v>1</v>
      </c>
    </row>
    <row r="2351">
      <c r="A2351" t="inlineStr">
        <is>
          <t>hybrid method</t>
        </is>
      </c>
      <c r="B2351" t="n">
        <v>1</v>
      </c>
    </row>
    <row r="2352">
      <c r="A2352" t="inlineStr">
        <is>
          <t>pareidolia</t>
        </is>
      </c>
      <c r="B2352" t="n">
        <v>1</v>
      </c>
    </row>
    <row r="2353">
      <c r="A2353" t="inlineStr">
        <is>
          <t>illusion</t>
        </is>
      </c>
      <c r="B2353" t="n">
        <v>1</v>
      </c>
    </row>
    <row r="2354">
      <c r="A2354" t="inlineStr">
        <is>
          <t>misperception</t>
        </is>
      </c>
      <c r="B2354" t="n">
        <v>1</v>
      </c>
    </row>
    <row r="2355">
      <c r="A2355" t="inlineStr">
        <is>
          <t>ambiguous stimuli</t>
        </is>
      </c>
      <c r="B2355" t="n">
        <v>1</v>
      </c>
    </row>
    <row r="2356">
      <c r="A2356" t="inlineStr">
        <is>
          <t>circular built environment</t>
        </is>
      </c>
      <c r="B2356" t="n">
        <v>1</v>
      </c>
    </row>
    <row r="2357">
      <c r="A2357" t="inlineStr">
        <is>
          <t>policy instruments</t>
        </is>
      </c>
      <c r="B2357" t="n">
        <v>1</v>
      </c>
    </row>
    <row r="2358">
      <c r="A2358" t="inlineStr">
        <is>
          <t>systematic literature search</t>
        </is>
      </c>
      <c r="B2358" t="n">
        <v>1</v>
      </c>
    </row>
    <row r="2359">
      <c r="A2359" t="inlineStr">
        <is>
          <t>urban governance</t>
        </is>
      </c>
      <c r="B2359" t="n">
        <v>1</v>
      </c>
    </row>
    <row r="2360">
      <c r="A2360" t="inlineStr">
        <is>
          <t>airborne toxicity</t>
        </is>
      </c>
      <c r="B2360" t="n">
        <v>1</v>
      </c>
    </row>
    <row r="2361">
      <c r="A2361" t="inlineStr">
        <is>
          <t>sperm motility</t>
        </is>
      </c>
      <c r="B2361" t="n">
        <v>1</v>
      </c>
    </row>
    <row r="2362">
      <c r="A2362" t="inlineStr">
        <is>
          <t>indoor toxicity</t>
        </is>
      </c>
      <c r="B2362" t="n">
        <v>1</v>
      </c>
    </row>
    <row r="2363">
      <c r="A2363" t="inlineStr">
        <is>
          <t>neighborhood walkability</t>
        </is>
      </c>
      <c r="B2363" t="n">
        <v>1</v>
      </c>
    </row>
    <row r="2364">
      <c r="A2364" t="inlineStr">
        <is>
          <t>musculoskeletal pain</t>
        </is>
      </c>
      <c r="B2364" t="n">
        <v>1</v>
      </c>
    </row>
    <row r="2365">
      <c r="A2365" t="inlineStr">
        <is>
          <t>knee pain</t>
        </is>
      </c>
      <c r="B2365" t="n">
        <v>1</v>
      </c>
    </row>
    <row r="2366">
      <c r="A2366" t="inlineStr">
        <is>
          <t>low back pain</t>
        </is>
      </c>
      <c r="B2366" t="n">
        <v>1</v>
      </c>
    </row>
    <row r="2367">
      <c r="A2367" t="inlineStr">
        <is>
          <t>home monitoring system</t>
        </is>
      </c>
      <c r="B2367" t="n">
        <v>1</v>
      </c>
    </row>
    <row r="2368">
      <c r="A2368" t="inlineStr">
        <is>
          <t>visiting nursing</t>
        </is>
      </c>
      <c r="B2368" t="n">
        <v>1</v>
      </c>
    </row>
    <row r="2369">
      <c r="A2369" t="inlineStr">
        <is>
          <t>respiratory diseases</t>
        </is>
      </c>
      <c r="B2369" t="n">
        <v>1</v>
      </c>
    </row>
    <row r="2370">
      <c r="A2370" t="inlineStr">
        <is>
          <t>cumulative degree hour</t>
        </is>
      </c>
      <c r="B2370" t="n">
        <v>2</v>
      </c>
    </row>
    <row r="2371">
      <c r="A2371" t="inlineStr">
        <is>
          <t>landscape environment</t>
        </is>
      </c>
      <c r="B2371" t="n">
        <v>1</v>
      </c>
    </row>
    <row r="2372">
      <c r="A2372" t="inlineStr">
        <is>
          <t>enhancement technology</t>
        </is>
      </c>
      <c r="B2372" t="n">
        <v>1</v>
      </c>
    </row>
    <row r="2373">
      <c r="A2373" t="inlineStr">
        <is>
          <t>public space</t>
        </is>
      </c>
      <c r="B2373" t="n">
        <v>4</v>
      </c>
    </row>
    <row r="2374">
      <c r="A2374" t="inlineStr">
        <is>
          <t>model</t>
        </is>
      </c>
      <c r="B2374" t="n">
        <v>2</v>
      </c>
    </row>
    <row r="2375">
      <c r="A2375" t="inlineStr">
        <is>
          <t>symbol</t>
        </is>
      </c>
      <c r="B2375" t="n">
        <v>1</v>
      </c>
    </row>
    <row r="2376">
      <c r="A2376" t="inlineStr">
        <is>
          <t>visual technology</t>
        </is>
      </c>
      <c r="B2376" t="n">
        <v>1</v>
      </c>
    </row>
    <row r="2377">
      <c r="A2377" t="inlineStr">
        <is>
          <t>deep ensemble machine learning</t>
        </is>
      </c>
      <c r="B2377" t="n">
        <v>1</v>
      </c>
    </row>
    <row r="2378">
      <c r="A2378" t="inlineStr">
        <is>
          <t>low-cost air quality sensors</t>
        </is>
      </c>
      <c r="B2378" t="n">
        <v>1</v>
      </c>
    </row>
    <row r="2379">
      <c r="A2379" t="inlineStr">
        <is>
          <t>australia</t>
        </is>
      </c>
      <c r="B2379" t="n">
        <v>3</v>
      </c>
    </row>
    <row r="2380">
      <c r="A2380" t="inlineStr">
        <is>
          <t>exergame</t>
        </is>
      </c>
      <c r="B2380" t="n">
        <v>2</v>
      </c>
    </row>
    <row r="2381">
      <c r="A2381" t="inlineStr">
        <is>
          <t>executive function</t>
        </is>
      </c>
      <c r="B2381" t="n">
        <v>2</v>
      </c>
    </row>
    <row r="2382">
      <c r="A2382" t="inlineStr">
        <is>
          <t>walkability index</t>
        </is>
      </c>
      <c r="B2382" t="n">
        <v>1</v>
      </c>
    </row>
    <row r="2383">
      <c r="A2383" t="inlineStr">
        <is>
          <t>older adults' health</t>
        </is>
      </c>
      <c r="B2383" t="n">
        <v>1</v>
      </c>
    </row>
    <row r="2384">
      <c r="A2384" t="inlineStr">
        <is>
          <t>older persons</t>
        </is>
      </c>
      <c r="B2384" t="n">
        <v>3</v>
      </c>
    </row>
    <row r="2385">
      <c r="A2385" t="inlineStr">
        <is>
          <t>wieh</t>
        </is>
      </c>
      <c r="B2385" t="n">
        <v>1</v>
      </c>
    </row>
    <row r="2386">
      <c r="A2386" t="inlineStr">
        <is>
          <t>vitoria</t>
        </is>
      </c>
      <c r="B2386" t="n">
        <v>1</v>
      </c>
    </row>
    <row r="2387">
      <c r="A2387" t="inlineStr">
        <is>
          <t>bicycle commuting</t>
        </is>
      </c>
      <c r="B2387" t="n">
        <v>1</v>
      </c>
    </row>
    <row r="2388">
      <c r="A2388" t="inlineStr">
        <is>
          <t>bikeability</t>
        </is>
      </c>
      <c r="B2388" t="n">
        <v>1</v>
      </c>
    </row>
    <row r="2389">
      <c r="A2389" t="inlineStr">
        <is>
          <t>route environment</t>
        </is>
      </c>
      <c r="B2389" t="n">
        <v>1</v>
      </c>
    </row>
    <row r="2390">
      <c r="A2390" t="inlineStr">
        <is>
          <t>suburban area</t>
        </is>
      </c>
      <c r="B2390" t="n">
        <v>1</v>
      </c>
    </row>
    <row r="2391">
      <c r="A2391" t="inlineStr">
        <is>
          <t>body composition</t>
        </is>
      </c>
      <c r="B2391" t="n">
        <v>2</v>
      </c>
    </row>
    <row r="2392">
      <c r="A2392" t="inlineStr">
        <is>
          <t>fat free mass</t>
        </is>
      </c>
      <c r="B2392" t="n">
        <v>1</v>
      </c>
    </row>
    <row r="2393">
      <c r="A2393" t="inlineStr">
        <is>
          <t>age-friendly community environment</t>
        </is>
      </c>
      <c r="B2393" t="n">
        <v>1</v>
      </c>
    </row>
    <row r="2394">
      <c r="A2394" t="inlineStr">
        <is>
          <t>residential demand</t>
        </is>
      </c>
      <c r="B2394" t="n">
        <v>1</v>
      </c>
    </row>
    <row r="2395">
      <c r="A2395" t="inlineStr">
        <is>
          <t>differences</t>
        </is>
      </c>
      <c r="B2395" t="n">
        <v>1</v>
      </c>
    </row>
    <row r="2396">
      <c r="A2396" t="inlineStr">
        <is>
          <t>nonparametric test</t>
        </is>
      </c>
      <c r="B2396" t="n">
        <v>1</v>
      </c>
    </row>
    <row r="2397">
      <c r="A2397" t="inlineStr">
        <is>
          <t>death anxiety</t>
        </is>
      </c>
      <c r="B2397" t="n">
        <v>1</v>
      </c>
    </row>
    <row r="2398">
      <c r="A2398" t="inlineStr">
        <is>
          <t>parental self-efficacy</t>
        </is>
      </c>
      <c r="B2398" t="n">
        <v>1</v>
      </c>
    </row>
    <row r="2399">
      <c r="A2399" t="inlineStr">
        <is>
          <t>coping</t>
        </is>
      </c>
      <c r="B2399" t="n">
        <v>2</v>
      </c>
    </row>
    <row r="2400">
      <c r="A2400" t="inlineStr">
        <is>
          <t>burden</t>
        </is>
      </c>
      <c r="B2400" t="n">
        <v>1</v>
      </c>
    </row>
    <row r="2401">
      <c r="A2401" t="inlineStr">
        <is>
          <t>life-course perspective</t>
        </is>
      </c>
      <c r="B2401" t="n">
        <v>1</v>
      </c>
    </row>
    <row r="2402">
      <c r="A2402" t="inlineStr">
        <is>
          <t>older adults' lifestyle</t>
        </is>
      </c>
      <c r="B2402" t="n">
        <v>1</v>
      </c>
    </row>
    <row r="2403">
      <c r="A2403" t="inlineStr">
        <is>
          <t>adult population</t>
        </is>
      </c>
      <c r="B2403" t="n">
        <v>1</v>
      </c>
    </row>
    <row r="2404">
      <c r="A2404" t="inlineStr">
        <is>
          <t>healthy behavior</t>
        </is>
      </c>
      <c r="B2404" t="n">
        <v>2</v>
      </c>
    </row>
    <row r="2405">
      <c r="A2405" t="inlineStr">
        <is>
          <t>socio-relational behavior</t>
        </is>
      </c>
      <c r="B2405" t="n">
        <v>1</v>
      </c>
    </row>
    <row r="2406">
      <c r="A2406" t="inlineStr">
        <is>
          <t>building in urban environment</t>
        </is>
      </c>
      <c r="B2406" t="n">
        <v>1</v>
      </c>
    </row>
    <row r="2407">
      <c r="A2407" t="inlineStr">
        <is>
          <t>vertical indoor pollution variation</t>
        </is>
      </c>
      <c r="B2407" t="n">
        <v>1</v>
      </c>
    </row>
    <row r="2408">
      <c r="A2408" t="inlineStr">
        <is>
          <t>ventilation through open windows</t>
        </is>
      </c>
      <c r="B2408" t="n">
        <v>1</v>
      </c>
    </row>
    <row r="2409">
      <c r="A2409" t="inlineStr">
        <is>
          <t>outdoor concentration ratio</t>
        </is>
      </c>
      <c r="B2409" t="n">
        <v>1</v>
      </c>
    </row>
    <row r="2410">
      <c r="A2410" t="inlineStr">
        <is>
          <t>traffic-related pollutants</t>
        </is>
      </c>
      <c r="B2410" t="n">
        <v>1</v>
      </c>
    </row>
    <row r="2411">
      <c r="A2411" t="inlineStr">
        <is>
          <t>aging and housing</t>
        </is>
      </c>
      <c r="B2411" t="n">
        <v>1</v>
      </c>
    </row>
    <row r="2412">
      <c r="A2412" t="inlineStr">
        <is>
          <t>domestic design and technology</t>
        </is>
      </c>
      <c r="B2412" t="n">
        <v>1</v>
      </c>
    </row>
    <row r="2413">
      <c r="A2413" t="inlineStr">
        <is>
          <t>co-design</t>
        </is>
      </c>
      <c r="B2413" t="n">
        <v>2</v>
      </c>
    </row>
    <row r="2414">
      <c r="A2414" t="inlineStr">
        <is>
          <t>participatory design</t>
        </is>
      </c>
      <c r="B2414" t="n">
        <v>1</v>
      </c>
    </row>
    <row r="2415">
      <c r="A2415" t="inlineStr">
        <is>
          <t>vulnerable older adults</t>
        </is>
      </c>
      <c r="B2415" t="n">
        <v>1</v>
      </c>
    </row>
    <row r="2416">
      <c r="A2416" t="inlineStr">
        <is>
          <t>geographic distribution</t>
        </is>
      </c>
      <c r="B2416" t="n">
        <v>1</v>
      </c>
    </row>
    <row r="2417">
      <c r="A2417" t="inlineStr">
        <is>
          <t>policy implications</t>
        </is>
      </c>
      <c r="B2417" t="n">
        <v>1</v>
      </c>
    </row>
    <row r="2418">
      <c r="A2418" t="inlineStr">
        <is>
          <t>community health survey</t>
        </is>
      </c>
      <c r="B2418" t="n">
        <v>1</v>
      </c>
    </row>
    <row r="2419">
      <c r="A2419" t="inlineStr">
        <is>
          <t>occupational therapy</t>
        </is>
      </c>
      <c r="B2419" t="n">
        <v>2</v>
      </c>
    </row>
    <row r="2420">
      <c r="A2420" t="inlineStr">
        <is>
          <t>hot and humid climate</t>
        </is>
      </c>
      <c r="B2420" t="n">
        <v>1</v>
      </c>
    </row>
    <row r="2421">
      <c r="A2421" t="inlineStr">
        <is>
          <t>energy demand for cooling</t>
        </is>
      </c>
      <c r="B2421" t="n">
        <v>1</v>
      </c>
    </row>
    <row r="2422">
      <c r="A2422" t="inlineStr">
        <is>
          <t>insulation</t>
        </is>
      </c>
      <c r="B2422" t="n">
        <v>1</v>
      </c>
    </row>
    <row r="2423">
      <c r="A2423" t="inlineStr">
        <is>
          <t>thermal mass</t>
        </is>
      </c>
      <c r="B2423" t="n">
        <v>1</v>
      </c>
    </row>
    <row r="2424">
      <c r="A2424" t="inlineStr">
        <is>
          <t>passive exterior window</t>
        </is>
      </c>
      <c r="B2424" t="n">
        <v>1</v>
      </c>
    </row>
    <row r="2425">
      <c r="A2425" t="inlineStr">
        <is>
          <t>apparent temperature</t>
        </is>
      </c>
      <c r="B2425" t="n">
        <v>1</v>
      </c>
    </row>
    <row r="2426">
      <c r="A2426" t="inlineStr">
        <is>
          <t>non-linear fitting regression analysis</t>
        </is>
      </c>
      <c r="B2426" t="n">
        <v>1</v>
      </c>
    </row>
    <row r="2427">
      <c r="A2427" t="inlineStr">
        <is>
          <t>self-sufficiency</t>
        </is>
      </c>
      <c r="B2427" t="n">
        <v>1</v>
      </c>
    </row>
    <row r="2428">
      <c r="A2428" t="inlineStr">
        <is>
          <t>motor skills</t>
        </is>
      </c>
      <c r="B2428" t="n">
        <v>1</v>
      </c>
    </row>
    <row r="2429">
      <c r="A2429" t="inlineStr">
        <is>
          <t>social environments</t>
        </is>
      </c>
      <c r="B2429" t="n">
        <v>2</v>
      </c>
    </row>
    <row r="2430">
      <c r="A2430" t="inlineStr">
        <is>
          <t>workplace</t>
        </is>
      </c>
      <c r="B2430" t="n">
        <v>1</v>
      </c>
    </row>
    <row r="2431">
      <c r="A2431" t="inlineStr">
        <is>
          <t>diagnostic</t>
        </is>
      </c>
      <c r="B2431" t="n">
        <v>1</v>
      </c>
    </row>
    <row r="2432">
      <c r="A2432" t="inlineStr">
        <is>
          <t>primary school</t>
        </is>
      </c>
      <c r="B2432" t="n">
        <v>2</v>
      </c>
    </row>
    <row r="2433">
      <c r="A2433" t="inlineStr">
        <is>
          <t>school activity environment</t>
        </is>
      </c>
      <c r="B2433" t="n">
        <v>1</v>
      </c>
    </row>
    <row r="2434">
      <c r="A2434" t="inlineStr">
        <is>
          <t>school physical activity environment</t>
        </is>
      </c>
      <c r="B2434" t="n">
        <v>1</v>
      </c>
    </row>
    <row r="2435">
      <c r="A2435" t="inlineStr">
        <is>
          <t>green building material</t>
        </is>
      </c>
      <c r="B2435" t="n">
        <v>1</v>
      </c>
    </row>
    <row r="2436">
      <c r="A2436" t="inlineStr">
        <is>
          <t>occupational exposure</t>
        </is>
      </c>
      <c r="B2436" t="n">
        <v>1</v>
      </c>
    </row>
    <row r="2437">
      <c r="A2437" t="inlineStr">
        <is>
          <t>source control</t>
        </is>
      </c>
      <c r="B2437" t="n">
        <v>1</v>
      </c>
    </row>
    <row r="2438">
      <c r="A2438" t="inlineStr">
        <is>
          <t>descriptive study</t>
        </is>
      </c>
      <c r="B2438" t="n">
        <v>1</v>
      </c>
    </row>
    <row r="2439">
      <c r="A2439" t="inlineStr">
        <is>
          <t>qualitative study</t>
        </is>
      </c>
      <c r="B2439" t="n">
        <v>1</v>
      </c>
    </row>
    <row r="2440">
      <c r="A2440" t="inlineStr">
        <is>
          <t>mitigation measures</t>
        </is>
      </c>
      <c r="B2440" t="n">
        <v>1</v>
      </c>
    </row>
    <row r="2441">
      <c r="A2441" t="inlineStr">
        <is>
          <t>livestock building</t>
        </is>
      </c>
      <c r="B2441" t="n">
        <v>1</v>
      </c>
    </row>
    <row r="2442">
      <c r="A2442" t="inlineStr">
        <is>
          <t>open source device technology</t>
        </is>
      </c>
      <c r="B2442" t="n">
        <v>1</v>
      </c>
    </row>
    <row r="2443">
      <c r="A2443" t="inlineStr">
        <is>
          <t>healthy architecture</t>
        </is>
      </c>
      <c r="B2443" t="n">
        <v>1</v>
      </c>
    </row>
    <row r="2444">
      <c r="A2444" t="inlineStr">
        <is>
          <t>construction materials</t>
        </is>
      </c>
      <c r="B2444" t="n">
        <v>2</v>
      </c>
    </row>
    <row r="2445">
      <c r="A2445" t="inlineStr">
        <is>
          <t>underground building</t>
        </is>
      </c>
      <c r="B2445" t="n">
        <v>1</v>
      </c>
    </row>
    <row r="2446">
      <c r="A2446" t="inlineStr">
        <is>
          <t>heritage building</t>
        </is>
      </c>
      <c r="B2446" t="n">
        <v>1</v>
      </c>
    </row>
    <row r="2447">
      <c r="A2447" t="inlineStr">
        <is>
          <t>environmental assessment method</t>
        </is>
      </c>
      <c r="B2447" t="n">
        <v>1</v>
      </c>
    </row>
    <row r="2448">
      <c r="A2448" t="inlineStr">
        <is>
          <t>seam</t>
        </is>
      </c>
      <c r="B2448" t="n">
        <v>1</v>
      </c>
    </row>
    <row r="2449">
      <c r="A2449" t="inlineStr">
        <is>
          <t>source emission strength</t>
        </is>
      </c>
      <c r="B2449" t="n">
        <v>1</v>
      </c>
    </row>
    <row r="2450">
      <c r="A2450" t="inlineStr">
        <is>
          <t>energy-efficient</t>
        </is>
      </c>
      <c r="B2450" t="n">
        <v>1</v>
      </c>
    </row>
    <row r="2451">
      <c r="A2451" t="inlineStr">
        <is>
          <t>play</t>
        </is>
      </c>
      <c r="B2451" t="n">
        <v>1</v>
      </c>
    </row>
    <row r="2452">
      <c r="A2452" t="inlineStr">
        <is>
          <t>health geography</t>
        </is>
      </c>
      <c r="B2452" t="n">
        <v>1</v>
      </c>
    </row>
    <row r="2453">
      <c r="A2453" t="inlineStr">
        <is>
          <t>children's geographies</t>
        </is>
      </c>
      <c r="B2453" t="n">
        <v>1</v>
      </c>
    </row>
    <row r="2454">
      <c r="A2454" t="inlineStr">
        <is>
          <t>american housing survey</t>
        </is>
      </c>
      <c r="B2454" t="n">
        <v>1</v>
      </c>
    </row>
    <row r="2455">
      <c r="A2455" t="inlineStr">
        <is>
          <t>functional independence</t>
        </is>
      </c>
      <c r="B2455" t="n">
        <v>1</v>
      </c>
    </row>
    <row r="2456">
      <c r="A2456" t="inlineStr">
        <is>
          <t>home safety</t>
        </is>
      </c>
      <c r="B2456" t="n">
        <v>2</v>
      </c>
    </row>
    <row r="2457">
      <c r="A2457" t="inlineStr">
        <is>
          <t>physical activity (pa) physical fitness</t>
        </is>
      </c>
      <c r="B2457" t="n">
        <v>1</v>
      </c>
    </row>
    <row r="2458">
      <c r="A2458" t="inlineStr">
        <is>
          <t>outdoor and indoor physical education (pe) lessons</t>
        </is>
      </c>
      <c r="B2458" t="n">
        <v>1</v>
      </c>
    </row>
    <row r="2459">
      <c r="A2459" t="inlineStr">
        <is>
          <t>servicescape</t>
        </is>
      </c>
      <c r="B2459" t="n">
        <v>1</v>
      </c>
    </row>
    <row r="2460">
      <c r="A2460" t="inlineStr">
        <is>
          <t>healthscape</t>
        </is>
      </c>
      <c r="B2460" t="n">
        <v>1</v>
      </c>
    </row>
    <row r="2461">
      <c r="A2461" t="inlineStr">
        <is>
          <t>healthcare service</t>
        </is>
      </c>
      <c r="B2461" t="n">
        <v>1</v>
      </c>
    </row>
    <row r="2462">
      <c r="A2462" t="inlineStr">
        <is>
          <t>service evaluation</t>
        </is>
      </c>
      <c r="B2462" t="n">
        <v>1</v>
      </c>
    </row>
    <row r="2463">
      <c r="A2463" t="inlineStr">
        <is>
          <t>systematic literature review</t>
        </is>
      </c>
      <c r="B2463" t="n">
        <v>3</v>
      </c>
    </row>
    <row r="2464">
      <c r="A2464" t="inlineStr">
        <is>
          <t>residential care</t>
        </is>
      </c>
      <c r="B2464" t="n">
        <v>2</v>
      </c>
    </row>
    <row r="2465">
      <c r="A2465" t="inlineStr">
        <is>
          <t>thematic analysis</t>
        </is>
      </c>
      <c r="B2465" t="n">
        <v>1</v>
      </c>
    </row>
    <row r="2466">
      <c r="A2466" t="inlineStr">
        <is>
          <t>thermal comfort indoor</t>
        </is>
      </c>
      <c r="B2466" t="n">
        <v>1</v>
      </c>
    </row>
    <row r="2467">
      <c r="A2467" t="inlineStr">
        <is>
          <t>dynamic simulation</t>
        </is>
      </c>
      <c r="B2467" t="n">
        <v>2</v>
      </c>
    </row>
    <row r="2468">
      <c r="A2468" t="inlineStr">
        <is>
          <t>sensors system network</t>
        </is>
      </c>
      <c r="B2468" t="n">
        <v>1</v>
      </c>
    </row>
    <row r="2469">
      <c r="A2469" t="inlineStr">
        <is>
          <t>elementary school students</t>
        </is>
      </c>
      <c r="B2469" t="n">
        <v>1</v>
      </c>
    </row>
    <row r="2470">
      <c r="A2470" t="inlineStr">
        <is>
          <t>schoolchildren behavior</t>
        </is>
      </c>
      <c r="B2470" t="n">
        <v>1</v>
      </c>
    </row>
    <row r="2471">
      <c r="A2471" t="inlineStr">
        <is>
          <t>pedestrian route choice</t>
        </is>
      </c>
      <c r="B2471" t="n">
        <v>1</v>
      </c>
    </row>
    <row r="2472">
      <c r="A2472" t="inlineStr">
        <is>
          <t>aerobic capacity</t>
        </is>
      </c>
      <c r="B2472" t="n">
        <v>2</v>
      </c>
    </row>
    <row r="2473">
      <c r="A2473" t="inlineStr">
        <is>
          <t>older women</t>
        </is>
      </c>
      <c r="B2473" t="n">
        <v>1</v>
      </c>
    </row>
    <row r="2474">
      <c r="A2474" t="inlineStr">
        <is>
          <t>indoor versus outdoor</t>
        </is>
      </c>
      <c r="B2474" t="n">
        <v>1</v>
      </c>
    </row>
    <row r="2475">
      <c r="A2475" t="inlineStr">
        <is>
          <t>thermal neutrality</t>
        </is>
      </c>
      <c r="B2475" t="n">
        <v>1</v>
      </c>
    </row>
    <row r="2476">
      <c r="A2476" t="inlineStr">
        <is>
          <t>thermal comfort databases</t>
        </is>
      </c>
      <c r="B2476" t="n">
        <v>1</v>
      </c>
    </row>
    <row r="2477">
      <c r="A2477" t="inlineStr">
        <is>
          <t>objective economic status</t>
        </is>
      </c>
      <c r="B2477" t="n">
        <v>1</v>
      </c>
    </row>
    <row r="2478">
      <c r="A2478" t="inlineStr">
        <is>
          <t>subjective economic status</t>
        </is>
      </c>
      <c r="B2478" t="n">
        <v>1</v>
      </c>
    </row>
    <row r="2479">
      <c r="A2479" t="inlineStr">
        <is>
          <t>myanmar</t>
        </is>
      </c>
      <c r="B2479" t="n">
        <v>2</v>
      </c>
    </row>
    <row r="2480">
      <c r="A2480" t="inlineStr">
        <is>
          <t>air quality environment</t>
        </is>
      </c>
      <c r="B2480" t="n">
        <v>1</v>
      </c>
    </row>
    <row r="2481">
      <c r="A2481" t="inlineStr">
        <is>
          <t>learning performance</t>
        </is>
      </c>
      <c r="B2481" t="n">
        <v>1</v>
      </c>
    </row>
    <row r="2482">
      <c r="A2482" t="inlineStr">
        <is>
          <t>oral health</t>
        </is>
      </c>
      <c r="B2482" t="n">
        <v>5</v>
      </c>
    </row>
    <row r="2483">
      <c r="A2483" t="inlineStr">
        <is>
          <t>caries</t>
        </is>
      </c>
      <c r="B2483" t="n">
        <v>1</v>
      </c>
    </row>
    <row r="2484">
      <c r="A2484" t="inlineStr">
        <is>
          <t>indoor air pollutant</t>
        </is>
      </c>
      <c r="B2484" t="n">
        <v>1</v>
      </c>
    </row>
    <row r="2485">
      <c r="A2485" t="inlineStr">
        <is>
          <t>national building code</t>
        </is>
      </c>
      <c r="B2485" t="n">
        <v>1</v>
      </c>
    </row>
    <row r="2486">
      <c r="A2486" t="inlineStr">
        <is>
          <t>fungal genera</t>
        </is>
      </c>
      <c r="B2486" t="n">
        <v>1</v>
      </c>
    </row>
    <row r="2487">
      <c r="A2487" t="inlineStr">
        <is>
          <t>dose rate</t>
        </is>
      </c>
      <c r="B2487" t="n">
        <v>2</v>
      </c>
    </row>
    <row r="2488">
      <c r="A2488" t="inlineStr">
        <is>
          <t>maurice merleau-ponty</t>
        </is>
      </c>
      <c r="B2488" t="n">
        <v>1</v>
      </c>
    </row>
    <row r="2489">
      <c r="A2489" t="inlineStr">
        <is>
          <t>sanaa</t>
        </is>
      </c>
      <c r="B2489" t="n">
        <v>1</v>
      </c>
    </row>
    <row r="2490">
      <c r="A2490" t="inlineStr">
        <is>
          <t>depth</t>
        </is>
      </c>
      <c r="B2490" t="n">
        <v>1</v>
      </c>
    </row>
    <row r="2491">
      <c r="A2491" t="inlineStr">
        <is>
          <t>phenomenology</t>
        </is>
      </c>
      <c r="B2491" t="n">
        <v>2</v>
      </c>
    </row>
    <row r="2492">
      <c r="A2492" t="inlineStr">
        <is>
          <t>sustainable model for architectural transparency</t>
        </is>
      </c>
      <c r="B2492" t="n">
        <v>1</v>
      </c>
    </row>
    <row r="2493">
      <c r="A2493" t="inlineStr">
        <is>
          <t>ufps monitoring</t>
        </is>
      </c>
      <c r="B2493" t="n">
        <v>1</v>
      </c>
    </row>
    <row r="2494">
      <c r="A2494" t="inlineStr">
        <is>
          <t>particle number concentration</t>
        </is>
      </c>
      <c r="B2494" t="n">
        <v>2</v>
      </c>
    </row>
    <row r="2495">
      <c r="A2495" t="inlineStr">
        <is>
          <t>particle modal size</t>
        </is>
      </c>
      <c r="B2495" t="n">
        <v>1</v>
      </c>
    </row>
    <row r="2496">
      <c r="A2496" t="inlineStr">
        <is>
          <t>ehealth</t>
        </is>
      </c>
      <c r="B2496" t="n">
        <v>2</v>
      </c>
    </row>
    <row r="2497">
      <c r="A2497" t="inlineStr">
        <is>
          <t>nested regression analysis</t>
        </is>
      </c>
      <c r="B2497" t="n">
        <v>1</v>
      </c>
    </row>
    <row r="2498">
      <c r="A2498" t="inlineStr">
        <is>
          <t>utaut model</t>
        </is>
      </c>
      <c r="B2498" t="n">
        <v>1</v>
      </c>
    </row>
    <row r="2499">
      <c r="A2499" t="inlineStr">
        <is>
          <t>nuts</t>
        </is>
      </c>
      <c r="B2499" t="n">
        <v>1</v>
      </c>
    </row>
    <row r="2500">
      <c r="A2500" t="inlineStr">
        <is>
          <t>telomere</t>
        </is>
      </c>
      <c r="B2500" t="n">
        <v>1</v>
      </c>
    </row>
    <row r="2501">
      <c r="A2501" t="inlineStr">
        <is>
          <t>diet quality</t>
        </is>
      </c>
      <c r="B2501" t="n">
        <v>1</v>
      </c>
    </row>
    <row r="2502">
      <c r="A2502" t="inlineStr">
        <is>
          <t>sustainable architectural education</t>
        </is>
      </c>
      <c r="B2502" t="n">
        <v>1</v>
      </c>
    </row>
    <row r="2503">
      <c r="A2503" t="inlineStr">
        <is>
          <t>architectural design teaching</t>
        </is>
      </c>
      <c r="B2503" t="n">
        <v>1</v>
      </c>
    </row>
    <row r="2504">
      <c r="A2504" t="inlineStr">
        <is>
          <t>architectural education among lower levels</t>
        </is>
      </c>
      <c r="B2504" t="n">
        <v>1</v>
      </c>
    </row>
    <row r="2505">
      <c r="A2505" t="inlineStr">
        <is>
          <t>learning by doing</t>
        </is>
      </c>
      <c r="B2505" t="n">
        <v>1</v>
      </c>
    </row>
    <row r="2506">
      <c r="A2506" t="inlineStr">
        <is>
          <t>educational centre</t>
        </is>
      </c>
      <c r="B2506" t="n">
        <v>1</v>
      </c>
    </row>
    <row r="2507">
      <c r="A2507" t="inlineStr">
        <is>
          <t>neighbourhood evaluation</t>
        </is>
      </c>
      <c r="B2507" t="n">
        <v>1</v>
      </c>
    </row>
    <row r="2508">
      <c r="A2508" t="inlineStr">
        <is>
          <t>data acquisition</t>
        </is>
      </c>
      <c r="B2508" t="n">
        <v>1</v>
      </c>
    </row>
    <row r="2509">
      <c r="A2509" t="inlineStr">
        <is>
          <t>deployment strategy</t>
        </is>
      </c>
      <c r="B2509" t="n">
        <v>1</v>
      </c>
    </row>
    <row r="2510">
      <c r="A2510" t="inlineStr">
        <is>
          <t>time interval</t>
        </is>
      </c>
      <c r="B2510" t="n">
        <v>1</v>
      </c>
    </row>
    <row r="2511">
      <c r="A2511" t="inlineStr">
        <is>
          <t>organophosphate esters (opes)</t>
        </is>
      </c>
      <c r="B2511" t="n">
        <v>1</v>
      </c>
    </row>
    <row r="2512">
      <c r="A2512" t="inlineStr">
        <is>
          <t>air concentration</t>
        </is>
      </c>
      <c r="B2512" t="n">
        <v>1</v>
      </c>
    </row>
    <row r="2513">
      <c r="A2513" t="inlineStr">
        <is>
          <t>window film</t>
        </is>
      </c>
      <c r="B2513" t="n">
        <v>2</v>
      </c>
    </row>
    <row r="2514">
      <c r="A2514" t="inlineStr">
        <is>
          <t>tire crumb rubber</t>
        </is>
      </c>
      <c r="B2514" t="n">
        <v>1</v>
      </c>
    </row>
    <row r="2515">
      <c r="A2515" t="inlineStr">
        <is>
          <t>rubber-cement mortars</t>
        </is>
      </c>
      <c r="B2515" t="n">
        <v>1</v>
      </c>
    </row>
    <row r="2516">
      <c r="A2516" t="inlineStr">
        <is>
          <t>additive manufacturing</t>
        </is>
      </c>
      <c r="B2516" t="n">
        <v>1</v>
      </c>
    </row>
    <row r="2517">
      <c r="A2517" t="inlineStr">
        <is>
          <t>fem-based mechanical analysis</t>
        </is>
      </c>
      <c r="B2517" t="n">
        <v>1</v>
      </c>
    </row>
    <row r="2518">
      <c r="A2518" t="inlineStr">
        <is>
          <t>structural optimization</t>
        </is>
      </c>
      <c r="B2518" t="n">
        <v>1</v>
      </c>
    </row>
    <row r="2519">
      <c r="A2519" t="inlineStr">
        <is>
          <t>design</t>
        </is>
      </c>
      <c r="B2519" t="n">
        <v>3</v>
      </c>
    </row>
    <row r="2520">
      <c r="A2520" t="inlineStr">
        <is>
          <t>thermal perception</t>
        </is>
      </c>
      <c r="B2520" t="n">
        <v>1</v>
      </c>
    </row>
    <row r="2521">
      <c r="A2521" t="inlineStr">
        <is>
          <t>visual-thermal interaction</t>
        </is>
      </c>
      <c r="B2521" t="n">
        <v>1</v>
      </c>
    </row>
    <row r="2522">
      <c r="A2522" t="inlineStr">
        <is>
          <t>environmental psychology</t>
        </is>
      </c>
      <c r="B2522" t="n">
        <v>2</v>
      </c>
    </row>
    <row r="2523">
      <c r="A2523" t="inlineStr">
        <is>
          <t>pro-environment behaviors</t>
        </is>
      </c>
      <c r="B2523" t="n">
        <v>1</v>
      </c>
    </row>
    <row r="2524">
      <c r="A2524" t="inlineStr">
        <is>
          <t>willingness to pay</t>
        </is>
      </c>
      <c r="B2524" t="n">
        <v>1</v>
      </c>
    </row>
    <row r="2525">
      <c r="A2525" t="inlineStr">
        <is>
          <t>environmental belief</t>
        </is>
      </c>
      <c r="B2525" t="n">
        <v>1</v>
      </c>
    </row>
    <row r="2526">
      <c r="A2526" t="inlineStr">
        <is>
          <t>vitamin d</t>
        </is>
      </c>
      <c r="B2526" t="n">
        <v>1</v>
      </c>
    </row>
    <row r="2527">
      <c r="A2527" t="inlineStr">
        <is>
          <t>sunlight exposure</t>
        </is>
      </c>
      <c r="B2527" t="n">
        <v>1</v>
      </c>
    </row>
    <row r="2528">
      <c r="A2528" t="inlineStr">
        <is>
          <t>pickleball</t>
        </is>
      </c>
      <c r="B2528" t="n">
        <v>1</v>
      </c>
    </row>
    <row r="2529">
      <c r="A2529" t="inlineStr">
        <is>
          <t>mid-life adults</t>
        </is>
      </c>
      <c r="B2529" t="n">
        <v>1</v>
      </c>
    </row>
    <row r="2530">
      <c r="A2530" t="inlineStr">
        <is>
          <t>exercise adherence</t>
        </is>
      </c>
      <c r="B2530" t="n">
        <v>1</v>
      </c>
    </row>
    <row r="2531">
      <c r="A2531" t="inlineStr">
        <is>
          <t>outlook</t>
        </is>
      </c>
      <c r="B2531" t="n">
        <v>1</v>
      </c>
    </row>
    <row r="2532">
      <c r="A2532" t="inlineStr">
        <is>
          <t>augmented reality</t>
        </is>
      </c>
      <c r="B2532" t="n">
        <v>2</v>
      </c>
    </row>
    <row r="2533">
      <c r="A2533" t="inlineStr">
        <is>
          <t>localization</t>
        </is>
      </c>
      <c r="B2533" t="n">
        <v>1</v>
      </c>
    </row>
    <row r="2534">
      <c r="A2534" t="inlineStr">
        <is>
          <t>registration</t>
        </is>
      </c>
      <c r="B2534" t="n">
        <v>1</v>
      </c>
    </row>
    <row r="2535">
      <c r="A2535" t="inlineStr">
        <is>
          <t>indoor point cloud</t>
        </is>
      </c>
      <c r="B2535" t="n">
        <v>1</v>
      </c>
    </row>
    <row r="2536">
      <c r="A2536" t="inlineStr">
        <is>
          <t>unmet need</t>
        </is>
      </c>
      <c r="B2536" t="n">
        <v>1</v>
      </c>
    </row>
    <row r="2537">
      <c r="A2537" t="inlineStr">
        <is>
          <t>ageing population</t>
        </is>
      </c>
      <c r="B2537" t="n">
        <v>2</v>
      </c>
    </row>
    <row r="2538">
      <c r="A2538" t="inlineStr">
        <is>
          <t>age-friendly housing</t>
        </is>
      </c>
      <c r="B2538" t="n">
        <v>1</v>
      </c>
    </row>
    <row r="2539">
      <c r="A2539" t="inlineStr">
        <is>
          <t>housing preferences</t>
        </is>
      </c>
      <c r="B2539" t="n">
        <v>1</v>
      </c>
    </row>
    <row r="2540">
      <c r="A2540" t="inlineStr">
        <is>
          <t>healthy housing</t>
        </is>
      </c>
      <c r="B2540" t="n">
        <v>1</v>
      </c>
    </row>
    <row r="2541">
      <c r="A2541" t="inlineStr">
        <is>
          <t>near-field</t>
        </is>
      </c>
      <c r="B2541" t="n">
        <v>1</v>
      </c>
    </row>
    <row r="2542">
      <c r="A2542" t="inlineStr">
        <is>
          <t>far-field</t>
        </is>
      </c>
      <c r="B2542" t="n">
        <v>1</v>
      </c>
    </row>
    <row r="2543">
      <c r="A2543" t="inlineStr">
        <is>
          <t>subjective cognitive impairment</t>
        </is>
      </c>
      <c r="B2543" t="n">
        <v>1</v>
      </c>
    </row>
    <row r="2544">
      <c r="A2544" t="inlineStr">
        <is>
          <t>depressive symptoms</t>
        </is>
      </c>
      <c r="B2544" t="n">
        <v>8</v>
      </c>
    </row>
    <row r="2545">
      <c r="A2545" t="inlineStr">
        <is>
          <t>middle-aged</t>
        </is>
      </c>
      <c r="B2545" t="n">
        <v>3</v>
      </c>
    </row>
    <row r="2546">
      <c r="A2546" t="inlineStr">
        <is>
          <t>health and comfort</t>
        </is>
      </c>
      <c r="B2546" t="n">
        <v>1</v>
      </c>
    </row>
    <row r="2547">
      <c r="A2547" t="inlineStr">
        <is>
          <t>evaluation indicators</t>
        </is>
      </c>
      <c r="B2547" t="n">
        <v>1</v>
      </c>
    </row>
    <row r="2548">
      <c r="A2548" t="inlineStr">
        <is>
          <t>work environments</t>
        </is>
      </c>
      <c r="B2548" t="n">
        <v>1</v>
      </c>
    </row>
    <row r="2549">
      <c r="A2549" t="inlineStr">
        <is>
          <t>urban and rural areas</t>
        </is>
      </c>
      <c r="B2549" t="n">
        <v>1</v>
      </c>
    </row>
    <row r="2550">
      <c r="A2550" t="inlineStr">
        <is>
          <t>associated factors</t>
        </is>
      </c>
      <c r="B2550" t="n">
        <v>1</v>
      </c>
    </row>
    <row r="2551">
      <c r="A2551" t="inlineStr">
        <is>
          <t>transportation behavior</t>
        </is>
      </c>
      <c r="B2551" t="n">
        <v>1</v>
      </c>
    </row>
    <row r="2552">
      <c r="A2552" t="inlineStr">
        <is>
          <t>drivability</t>
        </is>
      </c>
      <c r="B2552" t="n">
        <v>1</v>
      </c>
    </row>
    <row r="2553">
      <c r="A2553" t="inlineStr">
        <is>
          <t>household travel survey</t>
        </is>
      </c>
      <c r="B2553" t="n">
        <v>1</v>
      </c>
    </row>
    <row r="2554">
      <c r="A2554" t="inlineStr">
        <is>
          <t>photogrammetry</t>
        </is>
      </c>
      <c r="B2554" t="n">
        <v>1</v>
      </c>
    </row>
    <row r="2555">
      <c r="A2555" t="inlineStr">
        <is>
          <t>orthophotography</t>
        </is>
      </c>
      <c r="B2555" t="n">
        <v>1</v>
      </c>
    </row>
    <row r="2556">
      <c r="A2556" t="inlineStr">
        <is>
          <t>construction planning</t>
        </is>
      </c>
      <c r="B2556" t="n">
        <v>1</v>
      </c>
    </row>
    <row r="2557">
      <c r="A2557" t="inlineStr">
        <is>
          <t>urbanism</t>
        </is>
      </c>
      <c r="B2557" t="n">
        <v>1</v>
      </c>
    </row>
    <row r="2558">
      <c r="A2558" t="inlineStr">
        <is>
          <t>building maintenance</t>
        </is>
      </c>
      <c r="B2558" t="n">
        <v>1</v>
      </c>
    </row>
    <row r="2559">
      <c r="A2559" t="inlineStr">
        <is>
          <t>uav</t>
        </is>
      </c>
      <c r="B2559" t="n">
        <v>1</v>
      </c>
    </row>
    <row r="2560">
      <c r="A2560" t="inlineStr">
        <is>
          <t>unmanned aerial vehicle</t>
        </is>
      </c>
      <c r="B2560" t="n">
        <v>1</v>
      </c>
    </row>
    <row r="2561">
      <c r="A2561" t="inlineStr">
        <is>
          <t>fall</t>
        </is>
      </c>
      <c r="B2561" t="n">
        <v>4</v>
      </c>
    </row>
    <row r="2562">
      <c r="A2562" t="inlineStr">
        <is>
          <t>readability</t>
        </is>
      </c>
      <c r="B2562" t="n">
        <v>1</v>
      </c>
    </row>
    <row r="2563">
      <c r="A2563" t="inlineStr">
        <is>
          <t>internet of things</t>
        </is>
      </c>
      <c r="B2563" t="n">
        <v>5</v>
      </c>
    </row>
    <row r="2564">
      <c r="A2564" t="inlineStr">
        <is>
          <t>smart cities</t>
        </is>
      </c>
      <c r="B2564" t="n">
        <v>2</v>
      </c>
    </row>
    <row r="2565">
      <c r="A2565" t="inlineStr">
        <is>
          <t>robotics</t>
        </is>
      </c>
      <c r="B2565" t="n">
        <v>1</v>
      </c>
    </row>
    <row r="2566">
      <c r="A2566" t="inlineStr">
        <is>
          <t>gerontology</t>
        </is>
      </c>
      <c r="B2566" t="n">
        <v>1</v>
      </c>
    </row>
    <row r="2567">
      <c r="A2567" t="inlineStr">
        <is>
          <t>health care</t>
        </is>
      </c>
      <c r="B2567" t="n">
        <v>1</v>
      </c>
    </row>
    <row r="2568">
      <c r="A2568" t="inlineStr">
        <is>
          <t>elementary school proximity</t>
        </is>
      </c>
      <c r="B2568" t="n">
        <v>1</v>
      </c>
    </row>
    <row r="2569">
      <c r="A2569" t="inlineStr">
        <is>
          <t>intergenerational exchange</t>
        </is>
      </c>
      <c r="B2569" t="n">
        <v>2</v>
      </c>
    </row>
    <row r="2570">
      <c r="A2570" t="inlineStr">
        <is>
          <t>urban green infrastructure</t>
        </is>
      </c>
      <c r="B2570" t="n">
        <v>1</v>
      </c>
    </row>
    <row r="2571">
      <c r="A2571" t="inlineStr">
        <is>
          <t>urban retrofitting</t>
        </is>
      </c>
      <c r="B2571" t="n">
        <v>1</v>
      </c>
    </row>
    <row r="2572">
      <c r="A2572" t="inlineStr">
        <is>
          <t>design optimisation</t>
        </is>
      </c>
      <c r="B2572" t="n">
        <v>1</v>
      </c>
    </row>
    <row r="2573">
      <c r="A2573" t="inlineStr">
        <is>
          <t>ecosystem services</t>
        </is>
      </c>
      <c r="B2573" t="n">
        <v>3</v>
      </c>
    </row>
    <row r="2574">
      <c r="A2574" t="inlineStr">
        <is>
          <t>disease status</t>
        </is>
      </c>
      <c r="B2574" t="n">
        <v>1</v>
      </c>
    </row>
    <row r="2575">
      <c r="A2575" t="inlineStr">
        <is>
          <t>weight status</t>
        </is>
      </c>
      <c r="B2575" t="n">
        <v>1</v>
      </c>
    </row>
    <row r="2576">
      <c r="A2576" t="inlineStr">
        <is>
          <t>mediterranean climate</t>
        </is>
      </c>
      <c r="B2576" t="n">
        <v>1</v>
      </c>
    </row>
    <row r="2577">
      <c r="A2577" t="inlineStr">
        <is>
          <t>economic crisis</t>
        </is>
      </c>
      <c r="B2577" t="n">
        <v>1</v>
      </c>
    </row>
    <row r="2578">
      <c r="A2578" t="inlineStr">
        <is>
          <t>greece</t>
        </is>
      </c>
      <c r="B2578" t="n">
        <v>2</v>
      </c>
    </row>
    <row r="2579">
      <c r="A2579" t="inlineStr">
        <is>
          <t>supermarket</t>
        </is>
      </c>
      <c r="B2579" t="n">
        <v>1</v>
      </c>
    </row>
    <row r="2580">
      <c r="A2580" t="inlineStr">
        <is>
          <t>shopping behavior</t>
        </is>
      </c>
      <c r="B2580" t="n">
        <v>1</v>
      </c>
    </row>
    <row r="2581">
      <c r="A2581" t="inlineStr">
        <is>
          <t>geographic information systems (gis)</t>
        </is>
      </c>
      <c r="B2581" t="n">
        <v>1</v>
      </c>
    </row>
    <row r="2582">
      <c r="A2582" t="inlineStr">
        <is>
          <t>indoor aerosol behavior</t>
        </is>
      </c>
      <c r="B2582" t="n">
        <v>1</v>
      </c>
    </row>
    <row r="2583">
      <c r="A2583" t="inlineStr">
        <is>
          <t>deposition</t>
        </is>
      </c>
      <c r="B2583" t="n">
        <v>4</v>
      </c>
    </row>
    <row r="2584">
      <c r="A2584" t="inlineStr">
        <is>
          <t>filtration</t>
        </is>
      </c>
      <c r="B2584" t="n">
        <v>2</v>
      </c>
    </row>
    <row r="2585">
      <c r="A2585" t="inlineStr">
        <is>
          <t>single-box model</t>
        </is>
      </c>
      <c r="B2585" t="n">
        <v>1</v>
      </c>
    </row>
    <row r="2586">
      <c r="A2586" t="inlineStr">
        <is>
          <t>building protection</t>
        </is>
      </c>
      <c r="B2586" t="n">
        <v>1</v>
      </c>
    </row>
    <row r="2587">
      <c r="A2587" t="inlineStr">
        <is>
          <t>outdoor air</t>
        </is>
      </c>
      <c r="B2587" t="n">
        <v>1</v>
      </c>
    </row>
    <row r="2588">
      <c r="A2588" t="inlineStr">
        <is>
          <t>particulate matters</t>
        </is>
      </c>
      <c r="B2588" t="n">
        <v>1</v>
      </c>
    </row>
    <row r="2589">
      <c r="A2589" t="inlineStr">
        <is>
          <t>regression model</t>
        </is>
      </c>
      <c r="B2589" t="n">
        <v>1</v>
      </c>
    </row>
    <row r="2590">
      <c r="A2590" t="inlineStr">
        <is>
          <t>ventilation mode</t>
        </is>
      </c>
      <c r="B2590" t="n">
        <v>1</v>
      </c>
    </row>
    <row r="2591">
      <c r="A2591" t="inlineStr">
        <is>
          <t>school children</t>
        </is>
      </c>
      <c r="B2591" t="n">
        <v>1</v>
      </c>
    </row>
    <row r="2592">
      <c r="A2592" t="inlineStr">
        <is>
          <t>chemical composition</t>
        </is>
      </c>
      <c r="B2592" t="n">
        <v>1</v>
      </c>
    </row>
    <row r="2593">
      <c r="A2593" t="inlineStr">
        <is>
          <t>outdoor</t>
        </is>
      </c>
      <c r="B2593" t="n">
        <v>6</v>
      </c>
    </row>
    <row r="2594">
      <c r="A2594" t="inlineStr">
        <is>
          <t>long-term care</t>
        </is>
      </c>
      <c r="B2594" t="n">
        <v>3</v>
      </c>
    </row>
    <row r="2595">
      <c r="A2595" t="inlineStr">
        <is>
          <t>icts</t>
        </is>
      </c>
      <c r="B2595" t="n">
        <v>2</v>
      </c>
    </row>
    <row r="2596">
      <c r="A2596" t="inlineStr">
        <is>
          <t>major roadway</t>
        </is>
      </c>
      <c r="B2596" t="n">
        <v>1</v>
      </c>
    </row>
    <row r="2597">
      <c r="A2597" t="inlineStr">
        <is>
          <t>traffic exposure</t>
        </is>
      </c>
      <c r="B2597" t="n">
        <v>1</v>
      </c>
    </row>
    <row r="2598">
      <c r="A2598" t="inlineStr">
        <is>
          <t>clhls</t>
        </is>
      </c>
      <c r="B2598" t="n">
        <v>4</v>
      </c>
    </row>
    <row r="2599">
      <c r="A2599" t="inlineStr">
        <is>
          <t>consumer product</t>
        </is>
      </c>
      <c r="B2599" t="n">
        <v>1</v>
      </c>
    </row>
    <row r="2600">
      <c r="A2600" t="inlineStr">
        <is>
          <t>halogenated flame retardant</t>
        </is>
      </c>
      <c r="B2600" t="n">
        <v>1</v>
      </c>
    </row>
    <row r="2601">
      <c r="A2601" t="inlineStr">
        <is>
          <t>recycled plastic</t>
        </is>
      </c>
      <c r="B2601" t="n">
        <v>1</v>
      </c>
    </row>
    <row r="2602">
      <c r="A2602" t="inlineStr">
        <is>
          <t>e-waste</t>
        </is>
      </c>
      <c r="B2602" t="n">
        <v>1</v>
      </c>
    </row>
    <row r="2603">
      <c r="A2603" t="inlineStr">
        <is>
          <t>telehealth</t>
        </is>
      </c>
      <c r="B2603" t="n">
        <v>6</v>
      </c>
    </row>
    <row r="2604">
      <c r="A2604" t="inlineStr">
        <is>
          <t>telewellness</t>
        </is>
      </c>
      <c r="B2604" t="n">
        <v>1</v>
      </c>
    </row>
    <row r="2605">
      <c r="A2605" t="inlineStr">
        <is>
          <t>mobility disability</t>
        </is>
      </c>
      <c r="B2605" t="n">
        <v>1</v>
      </c>
    </row>
    <row r="2606">
      <c r="A2606" t="inlineStr">
        <is>
          <t>green stormwater infrastructure</t>
        </is>
      </c>
      <c r="B2606" t="n">
        <v>1</v>
      </c>
    </row>
    <row r="2607">
      <c r="A2607" t="inlineStr">
        <is>
          <t>gsi planning</t>
        </is>
      </c>
      <c r="B2607" t="n">
        <v>1</v>
      </c>
    </row>
    <row r="2608">
      <c r="A2608" t="inlineStr">
        <is>
          <t>gsi maintenance</t>
        </is>
      </c>
      <c r="B2608" t="n">
        <v>1</v>
      </c>
    </row>
    <row r="2609">
      <c r="A2609" t="inlineStr">
        <is>
          <t>philadelphia</t>
        </is>
      </c>
      <c r="B2609" t="n">
        <v>1</v>
      </c>
    </row>
    <row r="2610">
      <c r="A2610" t="inlineStr">
        <is>
          <t>human intake</t>
        </is>
      </c>
      <c r="B2610" t="n">
        <v>1</v>
      </c>
    </row>
    <row r="2611">
      <c r="A2611" t="inlineStr">
        <is>
          <t>flame retardants</t>
        </is>
      </c>
      <c r="B2611" t="n">
        <v>3</v>
      </c>
    </row>
    <row r="2612">
      <c r="A2612" t="inlineStr">
        <is>
          <t>legacy pops</t>
        </is>
      </c>
      <c r="B2612" t="n">
        <v>1</v>
      </c>
    </row>
    <row r="2613">
      <c r="A2613" t="inlineStr">
        <is>
          <t>risk prioritization</t>
        </is>
      </c>
      <c r="B2613" t="n">
        <v>1</v>
      </c>
    </row>
    <row r="2614">
      <c r="A2614" t="inlineStr">
        <is>
          <t>information and communication technologies</t>
        </is>
      </c>
      <c r="B2614" t="n">
        <v>1</v>
      </c>
    </row>
    <row r="2615">
      <c r="A2615" t="inlineStr">
        <is>
          <t>bibliometric study</t>
        </is>
      </c>
      <c r="B2615" t="n">
        <v>2</v>
      </c>
    </row>
    <row r="2616">
      <c r="A2616" t="inlineStr">
        <is>
          <t>wos</t>
        </is>
      </c>
      <c r="B2616" t="n">
        <v>1</v>
      </c>
    </row>
    <row r="2617">
      <c r="A2617" t="inlineStr">
        <is>
          <t>scopus</t>
        </is>
      </c>
      <c r="B2617" t="n">
        <v>1</v>
      </c>
    </row>
    <row r="2618">
      <c r="A2618" t="inlineStr">
        <is>
          <t>scientific coverage</t>
        </is>
      </c>
      <c r="B2618" t="n">
        <v>1</v>
      </c>
    </row>
    <row r="2619">
      <c r="A2619" t="inlineStr">
        <is>
          <t>nutrition risk</t>
        </is>
      </c>
      <c r="B2619" t="n">
        <v>1</v>
      </c>
    </row>
    <row r="2620">
      <c r="A2620" t="inlineStr">
        <is>
          <t>fall prevention</t>
        </is>
      </c>
      <c r="B2620" t="n">
        <v>3</v>
      </c>
    </row>
    <row r="2621">
      <c r="A2621" t="inlineStr">
        <is>
          <t>mild cognitive impairment</t>
        </is>
      </c>
      <c r="B2621" t="n">
        <v>4</v>
      </c>
    </row>
    <row r="2622">
      <c r="A2622" t="inlineStr">
        <is>
          <t>cognitive training</t>
        </is>
      </c>
      <c r="B2622" t="n">
        <v>2</v>
      </c>
    </row>
    <row r="2623">
      <c r="A2623" t="inlineStr">
        <is>
          <t>efficacy</t>
        </is>
      </c>
      <c r="B2623" t="n">
        <v>1</v>
      </c>
    </row>
    <row r="2624">
      <c r="A2624" t="inlineStr">
        <is>
          <t>metabolic syndrome</t>
        </is>
      </c>
      <c r="B2624" t="n">
        <v>2</v>
      </c>
    </row>
    <row r="2625">
      <c r="A2625" t="inlineStr">
        <is>
          <t>leisure-time</t>
        </is>
      </c>
      <c r="B2625" t="n">
        <v>1</v>
      </c>
    </row>
    <row r="2626">
      <c r="A2626" t="inlineStr">
        <is>
          <t>elder abuse</t>
        </is>
      </c>
      <c r="B2626" t="n">
        <v>4</v>
      </c>
    </row>
    <row r="2627">
      <c r="A2627" t="inlineStr">
        <is>
          <t>mistreatment</t>
        </is>
      </c>
      <c r="B2627" t="n">
        <v>1</v>
      </c>
    </row>
    <row r="2628">
      <c r="A2628" t="inlineStr">
        <is>
          <t>ptsd</t>
        </is>
      </c>
      <c r="B2628" t="n">
        <v>1</v>
      </c>
    </row>
    <row r="2629">
      <c r="A2629" t="inlineStr">
        <is>
          <t>social factors</t>
        </is>
      </c>
      <c r="B2629" t="n">
        <v>2</v>
      </c>
    </row>
    <row r="2630">
      <c r="A2630" t="inlineStr">
        <is>
          <t>colour scheme</t>
        </is>
      </c>
      <c r="B2630" t="n">
        <v>1</v>
      </c>
    </row>
    <row r="2631">
      <c r="A2631" t="inlineStr">
        <is>
          <t>workspaces</t>
        </is>
      </c>
      <c r="B2631" t="n">
        <v>2</v>
      </c>
    </row>
    <row r="2632">
      <c r="A2632" t="inlineStr">
        <is>
          <t>residential interiors</t>
        </is>
      </c>
      <c r="B2632" t="n">
        <v>1</v>
      </c>
    </row>
    <row r="2633">
      <c r="A2633" t="inlineStr">
        <is>
          <t>new normal</t>
        </is>
      </c>
      <c r="B2633" t="n">
        <v>1</v>
      </c>
    </row>
    <row r="2634">
      <c r="A2634" t="inlineStr">
        <is>
          <t>environment and public health</t>
        </is>
      </c>
      <c r="B2634" t="n">
        <v>3</v>
      </c>
    </row>
    <row r="2635">
      <c r="A2635" t="inlineStr">
        <is>
          <t>suicidality</t>
        </is>
      </c>
      <c r="B2635" t="n">
        <v>1</v>
      </c>
    </row>
    <row r="2636">
      <c r="A2636" t="inlineStr">
        <is>
          <t>asian older adults</t>
        </is>
      </c>
      <c r="B2636" t="n">
        <v>1</v>
      </c>
    </row>
    <row r="2637">
      <c r="A2637" t="inlineStr">
        <is>
          <t>smartphone applications</t>
        </is>
      </c>
      <c r="B2637" t="n">
        <v>1</v>
      </c>
    </row>
    <row r="2638">
      <c r="A2638" t="inlineStr">
        <is>
          <t>mindfulness</t>
        </is>
      </c>
      <c r="B2638" t="n">
        <v>3</v>
      </c>
    </row>
    <row r="2639">
      <c r="A2639" t="inlineStr">
        <is>
          <t>environmental audits</t>
        </is>
      </c>
      <c r="B2639" t="n">
        <v>1</v>
      </c>
    </row>
    <row r="2640">
      <c r="A2640" t="inlineStr">
        <is>
          <t>living arrangements</t>
        </is>
      </c>
      <c r="B2640" t="n">
        <v>1</v>
      </c>
    </row>
    <row r="2641">
      <c r="A2641" t="inlineStr">
        <is>
          <t>mega-city</t>
        </is>
      </c>
      <c r="B2641" t="n">
        <v>1</v>
      </c>
    </row>
    <row r="2642">
      <c r="A2642" t="inlineStr">
        <is>
          <t>lifestyle change</t>
        </is>
      </c>
      <c r="B2642" t="n">
        <v>2</v>
      </c>
    </row>
    <row r="2643">
      <c r="A2643" t="inlineStr">
        <is>
          <t>daycare center</t>
        </is>
      </c>
      <c r="B2643" t="n">
        <v>3</v>
      </c>
    </row>
    <row r="2644">
      <c r="A2644" t="inlineStr">
        <is>
          <t>occupant behavior</t>
        </is>
      </c>
      <c r="B2644" t="n">
        <v>2</v>
      </c>
    </row>
    <row r="2645">
      <c r="A2645" t="inlineStr">
        <is>
          <t>particle resuspension</t>
        </is>
      </c>
      <c r="B2645" t="n">
        <v>1</v>
      </c>
    </row>
    <row r="2646">
      <c r="A2646" t="inlineStr">
        <is>
          <t>children exposure</t>
        </is>
      </c>
      <c r="B2646" t="n">
        <v>1</v>
      </c>
    </row>
    <row r="2647">
      <c r="A2647" t="inlineStr">
        <is>
          <t>employment</t>
        </is>
      </c>
      <c r="B2647" t="n">
        <v>2</v>
      </c>
    </row>
    <row r="2648">
      <c r="A2648" t="inlineStr">
        <is>
          <t>longitudinal analysis</t>
        </is>
      </c>
      <c r="B2648" t="n">
        <v>1</v>
      </c>
    </row>
    <row r="2649">
      <c r="A2649" t="inlineStr">
        <is>
          <t>cultural ecosystem services</t>
        </is>
      </c>
      <c r="B2649" t="n">
        <v>1</v>
      </c>
    </row>
    <row r="2650">
      <c r="A2650" t="inlineStr">
        <is>
          <t>urban green/blue infrastructure</t>
        </is>
      </c>
      <c r="B2650" t="n">
        <v>1</v>
      </c>
    </row>
    <row r="2651">
      <c r="A2651" t="inlineStr">
        <is>
          <t>subjective age</t>
        </is>
      </c>
      <c r="B2651" t="n">
        <v>2</v>
      </c>
    </row>
    <row r="2652">
      <c r="A2652" t="inlineStr">
        <is>
          <t>multiple linear regression (mlr)</t>
        </is>
      </c>
      <c r="B2652" t="n">
        <v>1</v>
      </c>
    </row>
    <row r="2653">
      <c r="A2653" t="inlineStr">
        <is>
          <t>heavy metals</t>
        </is>
      </c>
      <c r="B2653" t="n">
        <v>1</v>
      </c>
    </row>
    <row r="2654">
      <c r="A2654" t="inlineStr">
        <is>
          <t>chemometrics</t>
        </is>
      </c>
      <c r="B2654" t="n">
        <v>1</v>
      </c>
    </row>
    <row r="2655">
      <c r="A2655" t="inlineStr">
        <is>
          <t>principle component analysis (pca)</t>
        </is>
      </c>
      <c r="B2655" t="n">
        <v>1</v>
      </c>
    </row>
    <row r="2656">
      <c r="A2656" t="inlineStr">
        <is>
          <t>particulate matter (pm10)</t>
        </is>
      </c>
      <c r="B2656" t="n">
        <v>1</v>
      </c>
    </row>
    <row r="2657">
      <c r="A2657" t="inlineStr">
        <is>
          <t>urbanisation</t>
        </is>
      </c>
      <c r="B2657" t="n">
        <v>1</v>
      </c>
    </row>
    <row r="2658">
      <c r="A2658" t="inlineStr">
        <is>
          <t>sentiment analysis</t>
        </is>
      </c>
      <c r="B2658" t="n">
        <v>1</v>
      </c>
    </row>
    <row r="2659">
      <c r="A2659" t="inlineStr">
        <is>
          <t>bhopal</t>
        </is>
      </c>
      <c r="B2659" t="n">
        <v>1</v>
      </c>
    </row>
    <row r="2660">
      <c r="A2660" t="inlineStr">
        <is>
          <t>social media</t>
        </is>
      </c>
      <c r="B2660" t="n">
        <v>1</v>
      </c>
    </row>
    <row r="2661">
      <c r="A2661" t="inlineStr">
        <is>
          <t>rayman software package</t>
        </is>
      </c>
      <c r="B2661" t="n">
        <v>1</v>
      </c>
    </row>
    <row r="2662">
      <c r="A2662" t="inlineStr">
        <is>
          <t>validations</t>
        </is>
      </c>
      <c r="B2662" t="n">
        <v>1</v>
      </c>
    </row>
    <row r="2663">
      <c r="A2663" t="inlineStr">
        <is>
          <t>t-mrt</t>
        </is>
      </c>
      <c r="B2663" t="n">
        <v>1</v>
      </c>
    </row>
    <row r="2664">
      <c r="A2664" t="inlineStr">
        <is>
          <t>lecture classrooms</t>
        </is>
      </c>
      <c r="B2664" t="n">
        <v>1</v>
      </c>
    </row>
    <row r="2665">
      <c r="A2665" t="inlineStr">
        <is>
          <t>hvac systems</t>
        </is>
      </c>
      <c r="B2665" t="n">
        <v>2</v>
      </c>
    </row>
    <row r="2666">
      <c r="A2666" t="inlineStr">
        <is>
          <t>correlation</t>
        </is>
      </c>
      <c r="B2666" t="n">
        <v>1</v>
      </c>
    </row>
    <row r="2667">
      <c r="A2667" t="inlineStr">
        <is>
          <t>occupancy detection</t>
        </is>
      </c>
      <c r="B2667" t="n">
        <v>1</v>
      </c>
    </row>
    <row r="2668">
      <c r="A2668" t="inlineStr">
        <is>
          <t>cnn-xgboost</t>
        </is>
      </c>
      <c r="B2668" t="n">
        <v>1</v>
      </c>
    </row>
    <row r="2669">
      <c r="A2669" t="inlineStr">
        <is>
          <t>residential buildings</t>
        </is>
      </c>
      <c r="B2669" t="n">
        <v>5</v>
      </c>
    </row>
    <row r="2670">
      <c r="A2670" t="inlineStr">
        <is>
          <t>mechanical ventilation</t>
        </is>
      </c>
      <c r="B2670" t="n">
        <v>3</v>
      </c>
    </row>
    <row r="2671">
      <c r="A2671" t="inlineStr">
        <is>
          <t>indoor climate data</t>
        </is>
      </c>
      <c r="B2671" t="n">
        <v>1</v>
      </c>
    </row>
    <row r="2672">
      <c r="A2672" t="inlineStr">
        <is>
          <t>respirable particles</t>
        </is>
      </c>
      <c r="B2672" t="n">
        <v>1</v>
      </c>
    </row>
    <row r="2673">
      <c r="A2673" t="inlineStr">
        <is>
          <t>working places</t>
        </is>
      </c>
      <c r="B2673" t="n">
        <v>1</v>
      </c>
    </row>
    <row r="2674">
      <c r="A2674" t="inlineStr">
        <is>
          <t>ventilation rate</t>
        </is>
      </c>
      <c r="B2674" t="n">
        <v>4</v>
      </c>
    </row>
    <row r="2675">
      <c r="A2675" t="inlineStr">
        <is>
          <t>medication regimen complexity</t>
        </is>
      </c>
      <c r="B2675" t="n">
        <v>1</v>
      </c>
    </row>
    <row r="2676">
      <c r="A2676" t="inlineStr">
        <is>
          <t>pharmacist</t>
        </is>
      </c>
      <c r="B2676" t="n">
        <v>1</v>
      </c>
    </row>
    <row r="2677">
      <c r="A2677" t="inlineStr">
        <is>
          <t>functional disability</t>
        </is>
      </c>
      <c r="B2677" t="n">
        <v>1</v>
      </c>
    </row>
    <row r="2678">
      <c r="A2678" t="inlineStr">
        <is>
          <t>perceived neighborhood social cohesion</t>
        </is>
      </c>
      <c r="B2678" t="n">
        <v>1</v>
      </c>
    </row>
    <row r="2679">
      <c r="A2679" t="inlineStr">
        <is>
          <t>soil radon</t>
        </is>
      </c>
      <c r="B2679" t="n">
        <v>1</v>
      </c>
    </row>
    <row r="2680">
      <c r="A2680" t="inlineStr">
        <is>
          <t>soil permeability</t>
        </is>
      </c>
      <c r="B2680" t="n">
        <v>1</v>
      </c>
    </row>
    <row r="2681">
      <c r="A2681" t="inlineStr">
        <is>
          <t>radon potential</t>
        </is>
      </c>
      <c r="B2681" t="n">
        <v>1</v>
      </c>
    </row>
    <row r="2682">
      <c r="A2682" t="inlineStr">
        <is>
          <t>radon risk</t>
        </is>
      </c>
      <c r="B2682" t="n">
        <v>1</v>
      </c>
    </row>
    <row r="2683">
      <c r="A2683" t="inlineStr">
        <is>
          <t>bfrs</t>
        </is>
      </c>
      <c r="B2683" t="n">
        <v>1</v>
      </c>
    </row>
    <row r="2684">
      <c r="A2684" t="inlineStr">
        <is>
          <t>opfrs</t>
        </is>
      </c>
      <c r="B2684" t="n">
        <v>1</v>
      </c>
    </row>
    <row r="2685">
      <c r="A2685" t="inlineStr">
        <is>
          <t>indoor fate</t>
        </is>
      </c>
      <c r="B2685" t="n">
        <v>1</v>
      </c>
    </row>
    <row r="2686">
      <c r="A2686" t="inlineStr">
        <is>
          <t>physical-chemical properties</t>
        </is>
      </c>
      <c r="B2686" t="n">
        <v>1</v>
      </c>
    </row>
    <row r="2687">
      <c r="A2687" t="inlineStr">
        <is>
          <t>dementia</t>
        </is>
      </c>
      <c r="B2687" t="n">
        <v>9</v>
      </c>
    </row>
    <row r="2688">
      <c r="A2688" t="inlineStr">
        <is>
          <t>neuropsychological test battery</t>
        </is>
      </c>
      <c r="B2688" t="n">
        <v>1</v>
      </c>
    </row>
    <row r="2689">
      <c r="A2689" t="inlineStr">
        <is>
          <t>normative data</t>
        </is>
      </c>
      <c r="B2689" t="n">
        <v>2</v>
      </c>
    </row>
    <row r="2690">
      <c r="A2690" t="inlineStr">
        <is>
          <t>kazakhstan</t>
        </is>
      </c>
      <c r="B2690" t="n">
        <v>1</v>
      </c>
    </row>
    <row r="2691">
      <c r="A2691" t="inlineStr">
        <is>
          <t>residential relocation</t>
        </is>
      </c>
      <c r="B2691" t="n">
        <v>1</v>
      </c>
    </row>
    <row r="2692">
      <c r="A2692" t="inlineStr">
        <is>
          <t>interventions</t>
        </is>
      </c>
      <c r="B2692" t="n">
        <v>2</v>
      </c>
    </row>
    <row r="2693">
      <c r="A2693" t="inlineStr">
        <is>
          <t>playstreets</t>
        </is>
      </c>
      <c r="B2693" t="n">
        <v>1</v>
      </c>
    </row>
    <row r="2694">
      <c r="A2694" t="inlineStr">
        <is>
          <t>play streets</t>
        </is>
      </c>
      <c r="B2694" t="n">
        <v>1</v>
      </c>
    </row>
    <row r="2695">
      <c r="A2695" t="inlineStr">
        <is>
          <t>leisure participation</t>
        </is>
      </c>
      <c r="B2695" t="n">
        <v>1</v>
      </c>
    </row>
    <row r="2696">
      <c r="A2696" t="inlineStr">
        <is>
          <t>life satisfaction</t>
        </is>
      </c>
      <c r="B2696" t="n">
        <v>6</v>
      </c>
    </row>
    <row r="2697">
      <c r="A2697" t="inlineStr">
        <is>
          <t>panel analysis</t>
        </is>
      </c>
      <c r="B2697" t="n">
        <v>1</v>
      </c>
    </row>
    <row r="2698">
      <c r="A2698" t="inlineStr">
        <is>
          <t>frailty syndrome</t>
        </is>
      </c>
      <c r="B2698" t="n">
        <v>1</v>
      </c>
    </row>
    <row r="2699">
      <c r="A2699" t="inlineStr">
        <is>
          <t>unmet needs</t>
        </is>
      </c>
      <c r="B2699" t="n">
        <v>1</v>
      </c>
    </row>
    <row r="2700">
      <c r="A2700" t="inlineStr">
        <is>
          <t>field study</t>
        </is>
      </c>
      <c r="B2700" t="n">
        <v>1</v>
      </c>
    </row>
    <row r="2701">
      <c r="A2701" t="inlineStr">
        <is>
          <t>frail</t>
        </is>
      </c>
      <c r="B2701" t="n">
        <v>1</v>
      </c>
    </row>
    <row r="2702">
      <c r="A2702" t="inlineStr">
        <is>
          <t>physical strength examination</t>
        </is>
      </c>
      <c r="B2702" t="n">
        <v>1</v>
      </c>
    </row>
    <row r="2703">
      <c r="A2703" t="inlineStr">
        <is>
          <t>crime</t>
        </is>
      </c>
      <c r="B2703" t="n">
        <v>1</v>
      </c>
    </row>
    <row r="2704">
      <c r="A2704" t="inlineStr">
        <is>
          <t>community participation</t>
        </is>
      </c>
      <c r="B2704" t="n">
        <v>2</v>
      </c>
    </row>
    <row r="2705">
      <c r="A2705" t="inlineStr">
        <is>
          <t>subjective well-being</t>
        </is>
      </c>
      <c r="B2705" t="n">
        <v>4</v>
      </c>
    </row>
    <row r="2706">
      <c r="A2706" t="inlineStr">
        <is>
          <t>neuroticism</t>
        </is>
      </c>
      <c r="B2706" t="n">
        <v>2</v>
      </c>
    </row>
    <row r="2707">
      <c r="A2707" t="inlineStr">
        <is>
          <t>simulation</t>
        </is>
      </c>
      <c r="B2707" t="n">
        <v>1</v>
      </c>
    </row>
    <row r="2708">
      <c r="A2708" t="inlineStr">
        <is>
          <t>halls</t>
        </is>
      </c>
      <c r="B2708" t="n">
        <v>1</v>
      </c>
    </row>
    <row r="2709">
      <c r="A2709" t="inlineStr">
        <is>
          <t>pedestrianization</t>
        </is>
      </c>
      <c r="B2709" t="n">
        <v>1</v>
      </c>
    </row>
    <row r="2710">
      <c r="A2710" t="inlineStr">
        <is>
          <t>air-quality perception</t>
        </is>
      </c>
      <c r="B2710" t="n">
        <v>1</v>
      </c>
    </row>
    <row r="2711">
      <c r="A2711" t="inlineStr">
        <is>
          <t>satisfaction</t>
        </is>
      </c>
      <c r="B2711" t="n">
        <v>2</v>
      </c>
    </row>
    <row r="2712">
      <c r="A2712" t="inlineStr">
        <is>
          <t>greenway</t>
        </is>
      </c>
      <c r="B2712" t="n">
        <v>1</v>
      </c>
    </row>
    <row r="2713">
      <c r="A2713" t="inlineStr">
        <is>
          <t>virus-containing particles</t>
        </is>
      </c>
      <c r="B2713" t="n">
        <v>1</v>
      </c>
    </row>
    <row r="2714">
      <c r="A2714" t="inlineStr">
        <is>
          <t>larynx</t>
        </is>
      </c>
      <c r="B2714" t="n">
        <v>1</v>
      </c>
    </row>
    <row r="2715">
      <c r="A2715" t="inlineStr">
        <is>
          <t>droplet</t>
        </is>
      </c>
      <c r="B2715" t="n">
        <v>1</v>
      </c>
    </row>
    <row r="2716">
      <c r="A2716" t="inlineStr">
        <is>
          <t>exposure dose</t>
        </is>
      </c>
      <c r="B2716" t="n">
        <v>1</v>
      </c>
    </row>
    <row r="2717">
      <c r="A2717" t="inlineStr">
        <is>
          <t>homebound</t>
        </is>
      </c>
      <c r="B2717" t="n">
        <v>1</v>
      </c>
    </row>
    <row r="2718">
      <c r="A2718" t="inlineStr">
        <is>
          <t>social contact</t>
        </is>
      </c>
      <c r="B2718" t="n">
        <v>1</v>
      </c>
    </row>
    <row r="2719">
      <c r="A2719" t="inlineStr">
        <is>
          <t>green refurbishment</t>
        </is>
      </c>
      <c r="B2719" t="n">
        <v>1</v>
      </c>
    </row>
    <row r="2720">
      <c r="A2720" t="inlineStr">
        <is>
          <t>green retrofit</t>
        </is>
      </c>
      <c r="B2720" t="n">
        <v>1</v>
      </c>
    </row>
    <row r="2721">
      <c r="A2721" t="inlineStr">
        <is>
          <t>monitoring experiment</t>
        </is>
      </c>
      <c r="B2721" t="n">
        <v>1</v>
      </c>
    </row>
    <row r="2722">
      <c r="A2722" t="inlineStr">
        <is>
          <t>workplace environment</t>
        </is>
      </c>
      <c r="B2722" t="n">
        <v>1</v>
      </c>
    </row>
    <row r="2723">
      <c r="A2723" t="inlineStr">
        <is>
          <t>irregular terrain</t>
        </is>
      </c>
      <c r="B2723" t="n">
        <v>1</v>
      </c>
    </row>
    <row r="2724">
      <c r="A2724" t="inlineStr">
        <is>
          <t>environment intervention</t>
        </is>
      </c>
      <c r="B2724" t="n">
        <v>1</v>
      </c>
    </row>
    <row r="2725">
      <c r="A2725" t="inlineStr">
        <is>
          <t>walking ability</t>
        </is>
      </c>
      <c r="B2725" t="n">
        <v>1</v>
      </c>
    </row>
    <row r="2726">
      <c r="A2726" t="inlineStr">
        <is>
          <t>balance ability</t>
        </is>
      </c>
      <c r="B2726" t="n">
        <v>1</v>
      </c>
    </row>
    <row r="2727">
      <c r="A2727" t="inlineStr">
        <is>
          <t>canakkale</t>
        </is>
      </c>
      <c r="B2727" t="n">
        <v>1</v>
      </c>
    </row>
    <row r="2728">
      <c r="A2728" t="inlineStr">
        <is>
          <t>respiratory function</t>
        </is>
      </c>
      <c r="B2728" t="n">
        <v>1</v>
      </c>
    </row>
    <row r="2729">
      <c r="A2729" t="inlineStr">
        <is>
          <t>indoor partition</t>
        </is>
      </c>
      <c r="B2729" t="n">
        <v>2</v>
      </c>
    </row>
    <row r="2730">
      <c r="A2730" t="inlineStr">
        <is>
          <t>solar analysis</t>
        </is>
      </c>
      <c r="B2730" t="n">
        <v>2</v>
      </c>
    </row>
    <row r="2731">
      <c r="A2731" t="inlineStr">
        <is>
          <t>organophosphate flame retardants (opfrs)</t>
        </is>
      </c>
      <c r="B2731" t="n">
        <v>1</v>
      </c>
    </row>
    <row r="2732">
      <c r="A2732" t="inlineStr">
        <is>
          <t>seasonal trends</t>
        </is>
      </c>
      <c r="B2732" t="n">
        <v>2</v>
      </c>
    </row>
    <row r="2733">
      <c r="A2733" t="inlineStr">
        <is>
          <t>interior decorating materials</t>
        </is>
      </c>
      <c r="B2733" t="n">
        <v>1</v>
      </c>
    </row>
    <row r="2734">
      <c r="A2734" t="inlineStr">
        <is>
          <t>generalized linear</t>
        </is>
      </c>
      <c r="B2734" t="n">
        <v>1</v>
      </c>
    </row>
    <row r="2735">
      <c r="A2735" t="inlineStr">
        <is>
          <t>non-linear model</t>
        </is>
      </c>
      <c r="B2735" t="n">
        <v>1</v>
      </c>
    </row>
    <row r="2736">
      <c r="A2736" t="inlineStr">
        <is>
          <t>safe route</t>
        </is>
      </c>
      <c r="B2736" t="n">
        <v>1</v>
      </c>
    </row>
    <row r="2737">
      <c r="A2737" t="inlineStr">
        <is>
          <t>living alone</t>
        </is>
      </c>
      <c r="B2737" t="n">
        <v>2</v>
      </c>
    </row>
    <row r="2738">
      <c r="A2738" t="inlineStr">
        <is>
          <t>outcome</t>
        </is>
      </c>
      <c r="B2738" t="n">
        <v>1</v>
      </c>
    </row>
    <row r="2739">
      <c r="A2739" t="inlineStr">
        <is>
          <t>cemetery's soils</t>
        </is>
      </c>
      <c r="B2739" t="n">
        <v>1</v>
      </c>
    </row>
    <row r="2740">
      <c r="A2740" t="inlineStr">
        <is>
          <t>metallic contaminants</t>
        </is>
      </c>
      <c r="B2740" t="n">
        <v>1</v>
      </c>
    </row>
    <row r="2741">
      <c r="A2741" t="inlineStr">
        <is>
          <t>non-metallic elements</t>
        </is>
      </c>
      <c r="B2741" t="n">
        <v>1</v>
      </c>
    </row>
    <row r="2742">
      <c r="A2742" t="inlineStr">
        <is>
          <t>technical solutions</t>
        </is>
      </c>
      <c r="B2742" t="n">
        <v>1</v>
      </c>
    </row>
    <row r="2743">
      <c r="A2743" t="inlineStr">
        <is>
          <t>vertical cemetery</t>
        </is>
      </c>
      <c r="B2743" t="n">
        <v>1</v>
      </c>
    </row>
    <row r="2744">
      <c r="A2744" t="inlineStr">
        <is>
          <t>multiple dry building materials</t>
        </is>
      </c>
      <c r="B2744" t="n">
        <v>1</v>
      </c>
    </row>
    <row r="2745">
      <c r="A2745" t="inlineStr">
        <is>
          <t>dynamic model</t>
        </is>
      </c>
      <c r="B2745" t="n">
        <v>1</v>
      </c>
    </row>
    <row r="2746">
      <c r="A2746" t="inlineStr">
        <is>
          <t>initial concentration</t>
        </is>
      </c>
      <c r="B2746" t="n">
        <v>1</v>
      </c>
    </row>
    <row r="2747">
      <c r="A2747" t="inlineStr">
        <is>
          <t>diffusion coefficient</t>
        </is>
      </c>
      <c r="B2747" t="n">
        <v>1</v>
      </c>
    </row>
    <row r="2748">
      <c r="A2748" t="inlineStr">
        <is>
          <t>partition coefficient</t>
        </is>
      </c>
      <c r="B2748" t="n">
        <v>1</v>
      </c>
    </row>
    <row r="2749">
      <c r="A2749" t="inlineStr">
        <is>
          <t>cbpr</t>
        </is>
      </c>
      <c r="B2749" t="n">
        <v>1</v>
      </c>
    </row>
    <row r="2750">
      <c r="A2750" t="inlineStr">
        <is>
          <t>nursing staff</t>
        </is>
      </c>
      <c r="B2750" t="n">
        <v>1</v>
      </c>
    </row>
    <row r="2751">
      <c r="A2751" t="inlineStr">
        <is>
          <t>long-term exposure</t>
        </is>
      </c>
      <c r="B2751" t="n">
        <v>1</v>
      </c>
    </row>
    <row r="2752">
      <c r="A2752" t="inlineStr">
        <is>
          <t>religious culture</t>
        </is>
      </c>
      <c r="B2752" t="n">
        <v>1</v>
      </c>
    </row>
    <row r="2753">
      <c r="A2753" t="inlineStr">
        <is>
          <t>leisure satisfaction</t>
        </is>
      </c>
      <c r="B2753" t="n">
        <v>1</v>
      </c>
    </row>
    <row r="2754">
      <c r="A2754" t="inlineStr">
        <is>
          <t>development balance</t>
        </is>
      </c>
      <c r="B2754" t="n">
        <v>1</v>
      </c>
    </row>
    <row r="2755">
      <c r="A2755" t="inlineStr">
        <is>
          <t>indoor air chemistry</t>
        </is>
      </c>
      <c r="B2755" t="n">
        <v>2</v>
      </c>
    </row>
    <row r="2756">
      <c r="A2756" t="inlineStr">
        <is>
          <t>indair-chem</t>
        </is>
      </c>
      <c r="B2756" t="n">
        <v>1</v>
      </c>
    </row>
    <row r="2757">
      <c r="A2757" t="inlineStr">
        <is>
          <t>cleaning</t>
        </is>
      </c>
      <c r="B2757" t="n">
        <v>2</v>
      </c>
    </row>
    <row r="2758">
      <c r="A2758" t="inlineStr">
        <is>
          <t>heat-wave</t>
        </is>
      </c>
      <c r="B2758" t="n">
        <v>1</v>
      </c>
    </row>
    <row r="2759">
      <c r="A2759" t="inlineStr">
        <is>
          <t>digital literacy</t>
        </is>
      </c>
      <c r="B2759" t="n">
        <v>2</v>
      </c>
    </row>
    <row r="2760">
      <c r="A2760" t="inlineStr">
        <is>
          <t>digital skills training</t>
        </is>
      </c>
      <c r="B2760" t="n">
        <v>1</v>
      </c>
    </row>
    <row r="2761">
      <c r="A2761" t="inlineStr">
        <is>
          <t>multilevel model</t>
        </is>
      </c>
      <c r="B2761" t="n">
        <v>2</v>
      </c>
    </row>
    <row r="2762">
      <c r="A2762" t="inlineStr">
        <is>
          <t>farmhouse</t>
        </is>
      </c>
      <c r="B2762" t="n">
        <v>1</v>
      </c>
    </row>
    <row r="2763">
      <c r="A2763" t="inlineStr">
        <is>
          <t>indoor and outdoor space</t>
        </is>
      </c>
      <c r="B2763" t="n">
        <v>1</v>
      </c>
    </row>
    <row r="2764">
      <c r="A2764" t="inlineStr">
        <is>
          <t>space occupation</t>
        </is>
      </c>
      <c r="B2764" t="n">
        <v>1</v>
      </c>
    </row>
    <row r="2765">
      <c r="A2765" t="inlineStr">
        <is>
          <t>sustainable interior landscape design</t>
        </is>
      </c>
      <c r="B2765" t="n">
        <v>1</v>
      </c>
    </row>
    <row r="2766">
      <c r="A2766" t="inlineStr">
        <is>
          <t>multistakeholder</t>
        </is>
      </c>
      <c r="B2766" t="n">
        <v>1</v>
      </c>
    </row>
    <row r="2767">
      <c r="A2767" t="inlineStr">
        <is>
          <t>value cognition</t>
        </is>
      </c>
      <c r="B2767" t="n">
        <v>1</v>
      </c>
    </row>
    <row r="2768">
      <c r="A2768" t="inlineStr">
        <is>
          <t>risk attitude</t>
        </is>
      </c>
      <c r="B2768" t="n">
        <v>1</v>
      </c>
    </row>
    <row r="2769">
      <c r="A2769" t="inlineStr">
        <is>
          <t>decision process</t>
        </is>
      </c>
      <c r="B2769" t="n">
        <v>1</v>
      </c>
    </row>
    <row r="2770">
      <c r="A2770" t="inlineStr">
        <is>
          <t>old age</t>
        </is>
      </c>
      <c r="B2770" t="n">
        <v>1</v>
      </c>
    </row>
    <row r="2771">
      <c r="A2771" t="inlineStr">
        <is>
          <t>winter season</t>
        </is>
      </c>
      <c r="B2771" t="n">
        <v>1</v>
      </c>
    </row>
    <row r="2772">
      <c r="A2772" t="inlineStr">
        <is>
          <t>economic satisfaction</t>
        </is>
      </c>
      <c r="B2772" t="n">
        <v>1</v>
      </c>
    </row>
    <row r="2773">
      <c r="A2773" t="inlineStr">
        <is>
          <t>fall risk</t>
        </is>
      </c>
      <c r="B2773" t="n">
        <v>3</v>
      </c>
    </row>
    <row r="2774">
      <c r="A2774" t="inlineStr">
        <is>
          <t>gamma-ray spectrometry</t>
        </is>
      </c>
      <c r="B2774" t="n">
        <v>1</v>
      </c>
    </row>
    <row r="2775">
      <c r="A2775" t="inlineStr">
        <is>
          <t>indoor radiation level</t>
        </is>
      </c>
      <c r="B2775" t="n">
        <v>1</v>
      </c>
    </row>
    <row r="2776">
      <c r="A2776" t="inlineStr">
        <is>
          <t>outdoor radiation level</t>
        </is>
      </c>
      <c r="B2776" t="n">
        <v>1</v>
      </c>
    </row>
    <row r="2777">
      <c r="A2777" t="inlineStr">
        <is>
          <t>radiological hazard</t>
        </is>
      </c>
      <c r="B2777" t="n">
        <v>1</v>
      </c>
    </row>
    <row r="2778">
      <c r="A2778" t="inlineStr">
        <is>
          <t>policy efforts</t>
        </is>
      </c>
      <c r="B2778" t="n">
        <v>1</v>
      </c>
    </row>
    <row r="2779">
      <c r="A2779" t="inlineStr">
        <is>
          <t>dematel</t>
        </is>
      </c>
      <c r="B2779" t="n">
        <v>1</v>
      </c>
    </row>
    <row r="2780">
      <c r="A2780" t="inlineStr">
        <is>
          <t>sdg 15</t>
        </is>
      </c>
      <c r="B2780" t="n">
        <v>1</v>
      </c>
    </row>
    <row r="2781">
      <c r="A2781" t="inlineStr">
        <is>
          <t>multimodality</t>
        </is>
      </c>
      <c r="B2781" t="n">
        <v>1</v>
      </c>
    </row>
    <row r="2782">
      <c r="A2782" t="inlineStr">
        <is>
          <t>planning</t>
        </is>
      </c>
      <c r="B2782" t="n">
        <v>2</v>
      </c>
    </row>
    <row r="2783">
      <c r="A2783" t="inlineStr">
        <is>
          <t>u</t>
        </is>
      </c>
      <c r="B2783" t="n">
        <v>1</v>
      </c>
    </row>
    <row r="2784">
      <c r="A2784" t="inlineStr">
        <is>
          <t>s</t>
        </is>
      </c>
      <c r="B2784" t="n">
        <v>1</v>
      </c>
    </row>
    <row r="2785">
      <c r="A2785" t="inlineStr">
        <is>
          <t>nationwide analysis</t>
        </is>
      </c>
      <c r="B2785" t="n">
        <v>1</v>
      </c>
    </row>
    <row r="2786">
      <c r="A2786" t="inlineStr">
        <is>
          <t>repurposing</t>
        </is>
      </c>
      <c r="B2786" t="n">
        <v>1</v>
      </c>
    </row>
    <row r="2787">
      <c r="A2787" t="inlineStr">
        <is>
          <t>values</t>
        </is>
      </c>
      <c r="B2787" t="n">
        <v>1</v>
      </c>
    </row>
    <row r="2788">
      <c r="A2788" t="inlineStr">
        <is>
          <t>resources</t>
        </is>
      </c>
      <c r="B2788" t="n">
        <v>1</v>
      </c>
    </row>
    <row r="2789">
      <c r="A2789" t="inlineStr">
        <is>
          <t>effectiveness</t>
        </is>
      </c>
      <c r="B2789" t="n">
        <v>1</v>
      </c>
    </row>
    <row r="2790">
      <c r="A2790" t="inlineStr">
        <is>
          <t>crime safety</t>
        </is>
      </c>
      <c r="B2790" t="n">
        <v>1</v>
      </c>
    </row>
    <row r="2791">
      <c r="A2791" t="inlineStr">
        <is>
          <t>physical activity recommendations</t>
        </is>
      </c>
      <c r="B2791" t="n">
        <v>2</v>
      </c>
    </row>
    <row r="2792">
      <c r="A2792" t="inlineStr">
        <is>
          <t>housing characteristics</t>
        </is>
      </c>
      <c r="B2792" t="n">
        <v>1</v>
      </c>
    </row>
    <row r="2793">
      <c r="A2793" t="inlineStr">
        <is>
          <t>productive roles</t>
        </is>
      </c>
      <c r="B2793" t="n">
        <v>1</v>
      </c>
    </row>
    <row r="2794">
      <c r="A2794" t="inlineStr">
        <is>
          <t>work</t>
        </is>
      </c>
      <c r="B2794" t="n">
        <v>2</v>
      </c>
    </row>
    <row r="2795">
      <c r="A2795" t="inlineStr">
        <is>
          <t>connectedness</t>
        </is>
      </c>
      <c r="B2795" t="n">
        <v>1</v>
      </c>
    </row>
    <row r="2796">
      <c r="A2796" t="inlineStr">
        <is>
          <t>self-perception</t>
        </is>
      </c>
      <c r="B2796" t="n">
        <v>1</v>
      </c>
    </row>
    <row r="2797">
      <c r="A2797" t="inlineStr">
        <is>
          <t>building sustainability assessment systems</t>
        </is>
      </c>
      <c r="B2797" t="n">
        <v>1</v>
      </c>
    </row>
    <row r="2798">
      <c r="A2798" t="inlineStr">
        <is>
          <t>weighted ieq assessment scales</t>
        </is>
      </c>
      <c r="B2798" t="n">
        <v>1</v>
      </c>
    </row>
    <row r="2799">
      <c r="A2799" t="inlineStr">
        <is>
          <t>multi-physics</t>
        </is>
      </c>
      <c r="B2799" t="n">
        <v>1</v>
      </c>
    </row>
    <row r="2800">
      <c r="A2800" t="inlineStr">
        <is>
          <t>virtual buildings and modelling</t>
        </is>
      </c>
      <c r="B2800" t="n">
        <v>1</v>
      </c>
    </row>
    <row r="2801">
      <c r="A2801" t="inlineStr">
        <is>
          <t>field measurement</t>
        </is>
      </c>
      <c r="B2801" t="n">
        <v>1</v>
      </c>
    </row>
    <row r="2802">
      <c r="A2802" t="inlineStr">
        <is>
          <t>indoor exposure monitoring</t>
        </is>
      </c>
      <c r="B2802" t="n">
        <v>1</v>
      </c>
    </row>
    <row r="2803">
      <c r="A2803" t="inlineStr">
        <is>
          <t>low-cost monitor</t>
        </is>
      </c>
      <c r="B2803" t="n">
        <v>1</v>
      </c>
    </row>
    <row r="2804">
      <c r="A2804" t="inlineStr">
        <is>
          <t>centers</t>
        </is>
      </c>
      <c r="B2804" t="n">
        <v>1</v>
      </c>
    </row>
    <row r="2805">
      <c r="A2805" t="inlineStr">
        <is>
          <t>nighttime lights</t>
        </is>
      </c>
      <c r="B2805" t="n">
        <v>1</v>
      </c>
    </row>
    <row r="2806">
      <c r="A2806" t="inlineStr">
        <is>
          <t>glas</t>
        </is>
      </c>
      <c r="B2806" t="n">
        <v>1</v>
      </c>
    </row>
    <row r="2807">
      <c r="A2807" t="inlineStr">
        <is>
          <t>lidar</t>
        </is>
      </c>
      <c r="B2807" t="n">
        <v>1</v>
      </c>
    </row>
    <row r="2808">
      <c r="A2808" t="inlineStr">
        <is>
          <t>land cover</t>
        </is>
      </c>
      <c r="B2808" t="n">
        <v>1</v>
      </c>
    </row>
    <row r="2809">
      <c r="A2809" t="inlineStr">
        <is>
          <t>school architectural features</t>
        </is>
      </c>
      <c r="B2809" t="n">
        <v>1</v>
      </c>
    </row>
    <row r="2810">
      <c r="A2810" t="inlineStr">
        <is>
          <t>psychological responses</t>
        </is>
      </c>
      <c r="B2810" t="n">
        <v>1</v>
      </c>
    </row>
    <row r="2811">
      <c r="A2811" t="inlineStr">
        <is>
          <t>students' performance</t>
        </is>
      </c>
      <c r="B2811" t="n">
        <v>1</v>
      </c>
    </row>
    <row r="2812">
      <c r="A2812" t="inlineStr">
        <is>
          <t>users' wellbeing</t>
        </is>
      </c>
      <c r="B2812" t="n">
        <v>1</v>
      </c>
    </row>
    <row r="2813">
      <c r="A2813" t="inlineStr">
        <is>
          <t>building-integrated photovoltaics (bipv)</t>
        </is>
      </c>
      <c r="B2813" t="n">
        <v>1</v>
      </c>
    </row>
    <row r="2814">
      <c r="A2814" t="inlineStr">
        <is>
          <t>design guidelines</t>
        </is>
      </c>
      <c r="B2814" t="n">
        <v>2</v>
      </c>
    </row>
    <row r="2815">
      <c r="A2815" t="inlineStr">
        <is>
          <t>facade integration</t>
        </is>
      </c>
      <c r="B2815" t="n">
        <v>1</v>
      </c>
    </row>
    <row r="2816">
      <c r="A2816" t="inlineStr">
        <is>
          <t>holistic strategy</t>
        </is>
      </c>
      <c r="B2816" t="n">
        <v>1</v>
      </c>
    </row>
    <row r="2817">
      <c r="A2817" t="inlineStr">
        <is>
          <t>low-carbon city</t>
        </is>
      </c>
      <c r="B2817" t="n">
        <v>1</v>
      </c>
    </row>
    <row r="2818">
      <c r="A2818" t="inlineStr">
        <is>
          <t>photovoltaics (pv)</t>
        </is>
      </c>
      <c r="B2818" t="n">
        <v>1</v>
      </c>
    </row>
    <row r="2819">
      <c r="A2819" t="inlineStr">
        <is>
          <t>photovoltaic (pv) integration</t>
        </is>
      </c>
      <c r="B2819" t="n">
        <v>1</v>
      </c>
    </row>
    <row r="2820">
      <c r="A2820" t="inlineStr">
        <is>
          <t>biological contaminants</t>
        </is>
      </c>
      <c r="B2820" t="n">
        <v>1</v>
      </c>
    </row>
    <row r="2821">
      <c r="A2821" t="inlineStr">
        <is>
          <t>educational institutions</t>
        </is>
      </c>
      <c r="B2821" t="n">
        <v>1</v>
      </c>
    </row>
    <row r="2822">
      <c r="A2822" t="inlineStr">
        <is>
          <t>fall management</t>
        </is>
      </c>
      <c r="B2822" t="n">
        <v>1</v>
      </c>
    </row>
    <row r="2823">
      <c r="A2823" t="inlineStr">
        <is>
          <t>fear of falls</t>
        </is>
      </c>
      <c r="B2823" t="n">
        <v>1</v>
      </c>
    </row>
    <row r="2824">
      <c r="A2824" t="inlineStr">
        <is>
          <t>confidence</t>
        </is>
      </c>
      <c r="B2824" t="n">
        <v>1</v>
      </c>
    </row>
    <row r="2825">
      <c r="A2825" t="inlineStr">
        <is>
          <t>predictors</t>
        </is>
      </c>
      <c r="B2825" t="n">
        <v>3</v>
      </c>
    </row>
    <row r="2826">
      <c r="A2826" t="inlineStr">
        <is>
          <t>park</t>
        </is>
      </c>
      <c r="B2826" t="n">
        <v>4</v>
      </c>
    </row>
    <row r="2827">
      <c r="A2827" t="inlineStr">
        <is>
          <t>hazardous drinking</t>
        </is>
      </c>
      <c r="B2827" t="n">
        <v>1</v>
      </c>
    </row>
    <row r="2828">
      <c r="A2828" t="inlineStr">
        <is>
          <t>audit</t>
        </is>
      </c>
      <c r="B2828" t="n">
        <v>1</v>
      </c>
    </row>
    <row r="2829">
      <c r="A2829" t="inlineStr">
        <is>
          <t>audit-c</t>
        </is>
      </c>
      <c r="B2829" t="n">
        <v>1</v>
      </c>
    </row>
    <row r="2830">
      <c r="A2830" t="inlineStr">
        <is>
          <t>validity</t>
        </is>
      </c>
      <c r="B2830" t="n">
        <v>2</v>
      </c>
    </row>
    <row r="2831">
      <c r="A2831" t="inlineStr">
        <is>
          <t>emergency department utilization</t>
        </is>
      </c>
      <c r="B2831" t="n">
        <v>1</v>
      </c>
    </row>
    <row r="2832">
      <c r="A2832" t="inlineStr">
        <is>
          <t>african americans</t>
        </is>
      </c>
      <c r="B2832" t="n">
        <v>4</v>
      </c>
    </row>
    <row r="2833">
      <c r="A2833" t="inlineStr">
        <is>
          <t>sunshine duration</t>
        </is>
      </c>
      <c r="B2833" t="n">
        <v>1</v>
      </c>
    </row>
    <row r="2834">
      <c r="A2834" t="inlineStr">
        <is>
          <t>edna</t>
        </is>
      </c>
      <c r="B2834" t="n">
        <v>2</v>
      </c>
    </row>
    <row r="2835">
      <c r="A2835" t="inlineStr">
        <is>
          <t>fisheries</t>
        </is>
      </c>
      <c r="B2835" t="n">
        <v>2</v>
      </c>
    </row>
    <row r="2836">
      <c r="A2836" t="inlineStr">
        <is>
          <t>experimental design</t>
        </is>
      </c>
      <c r="B2836" t="n">
        <v>1</v>
      </c>
    </row>
    <row r="2837">
      <c r="A2837" t="inlineStr">
        <is>
          <t>metabarcoding</t>
        </is>
      </c>
      <c r="B2837" t="n">
        <v>1</v>
      </c>
    </row>
    <row r="2838">
      <c r="A2838" t="inlineStr">
        <is>
          <t>standardization</t>
        </is>
      </c>
      <c r="B2838" t="n">
        <v>1</v>
      </c>
    </row>
    <row r="2839">
      <c r="A2839" t="inlineStr">
        <is>
          <t>cardiovascular</t>
        </is>
      </c>
      <c r="B2839" t="n">
        <v>3</v>
      </c>
    </row>
    <row r="2840">
      <c r="A2840" t="inlineStr">
        <is>
          <t>emergency department visit</t>
        </is>
      </c>
      <c r="B2840" t="n">
        <v>1</v>
      </c>
    </row>
    <row r="2841">
      <c r="A2841" t="inlineStr">
        <is>
          <t>cognitive functioning</t>
        </is>
      </c>
      <c r="B2841" t="n">
        <v>3</v>
      </c>
    </row>
    <row r="2842">
      <c r="A2842" t="inlineStr">
        <is>
          <t>intersectionality</t>
        </is>
      </c>
      <c r="B2842" t="n">
        <v>1</v>
      </c>
    </row>
    <row r="2843">
      <c r="A2843" t="inlineStr">
        <is>
          <t>flooring type</t>
        </is>
      </c>
      <c r="B2843" t="n">
        <v>1</v>
      </c>
    </row>
    <row r="2844">
      <c r="A2844" t="inlineStr">
        <is>
          <t>thermal retrofit</t>
        </is>
      </c>
      <c r="B2844" t="n">
        <v>1</v>
      </c>
    </row>
    <row r="2845">
      <c r="A2845" t="inlineStr">
        <is>
          <t>workroom</t>
        </is>
      </c>
      <c r="B2845" t="n">
        <v>1</v>
      </c>
    </row>
    <row r="2846">
      <c r="A2846" t="inlineStr">
        <is>
          <t>heat transfer</t>
        </is>
      </c>
      <c r="B2846" t="n">
        <v>2</v>
      </c>
    </row>
    <row r="2847">
      <c r="A2847" t="inlineStr">
        <is>
          <t>thermal insulation</t>
        </is>
      </c>
      <c r="B2847" t="n">
        <v>1</v>
      </c>
    </row>
    <row r="2848">
      <c r="A2848" t="inlineStr">
        <is>
          <t>heat-flow density</t>
        </is>
      </c>
      <c r="B2848" t="n">
        <v>1</v>
      </c>
    </row>
    <row r="2849">
      <c r="A2849" t="inlineStr">
        <is>
          <t>environmental simulation chamber</t>
        </is>
      </c>
      <c r="B2849" t="n">
        <v>1</v>
      </c>
    </row>
    <row r="2850">
      <c r="A2850" t="inlineStr">
        <is>
          <t>factory roof slab</t>
        </is>
      </c>
      <c r="B2850" t="n">
        <v>1</v>
      </c>
    </row>
    <row r="2851">
      <c r="A2851" t="inlineStr">
        <is>
          <t>temperature rise</t>
        </is>
      </c>
      <c r="B2851" t="n">
        <v>1</v>
      </c>
    </row>
    <row r="2852">
      <c r="A2852" t="inlineStr">
        <is>
          <t>heat-flow sensor</t>
        </is>
      </c>
      <c r="B2852" t="n">
        <v>1</v>
      </c>
    </row>
    <row r="2853">
      <c r="A2853" t="inlineStr">
        <is>
          <t>privacy</t>
        </is>
      </c>
      <c r="B2853" t="n">
        <v>1</v>
      </c>
    </row>
    <row r="2854">
      <c r="A2854" t="inlineStr">
        <is>
          <t>aged care facilities</t>
        </is>
      </c>
      <c r="B2854" t="n">
        <v>1</v>
      </c>
    </row>
    <row r="2855">
      <c r="A2855" t="inlineStr">
        <is>
          <t>compact living</t>
        </is>
      </c>
      <c r="B2855" t="n">
        <v>1</v>
      </c>
    </row>
    <row r="2856">
      <c r="A2856" t="inlineStr">
        <is>
          <t>sick-building syndrome</t>
        </is>
      </c>
      <c r="B2856" t="n">
        <v>1</v>
      </c>
    </row>
    <row r="2857">
      <c r="A2857" t="inlineStr">
        <is>
          <t>physical competence</t>
        </is>
      </c>
      <c r="B2857" t="n">
        <v>2</v>
      </c>
    </row>
    <row r="2858">
      <c r="A2858" t="inlineStr">
        <is>
          <t>measurements</t>
        </is>
      </c>
      <c r="B2858" t="n">
        <v>1</v>
      </c>
    </row>
    <row r="2859">
      <c r="A2859" t="inlineStr">
        <is>
          <t>ultrafine particles (ufp)</t>
        </is>
      </c>
      <c r="B2859" t="n">
        <v>1</v>
      </c>
    </row>
    <row r="2860">
      <c r="A2860" t="inlineStr">
        <is>
          <t>health-related quality of life</t>
        </is>
      </c>
      <c r="B2860" t="n">
        <v>4</v>
      </c>
    </row>
    <row r="2861">
      <c r="A2861" t="inlineStr">
        <is>
          <t>environmental attributes</t>
        </is>
      </c>
      <c r="B2861" t="n">
        <v>1</v>
      </c>
    </row>
    <row r="2862">
      <c r="A2862" t="inlineStr">
        <is>
          <t>aeromycota</t>
        </is>
      </c>
      <c r="B2862" t="n">
        <v>1</v>
      </c>
    </row>
    <row r="2863">
      <c r="A2863" t="inlineStr">
        <is>
          <t>airborne fungi</t>
        </is>
      </c>
      <c r="B2863" t="n">
        <v>2</v>
      </c>
    </row>
    <row r="2864">
      <c r="A2864" t="inlineStr">
        <is>
          <t>car dependence</t>
        </is>
      </c>
      <c r="B2864" t="n">
        <v>1</v>
      </c>
    </row>
    <row r="2865">
      <c r="A2865" t="inlineStr">
        <is>
          <t>institutionalised</t>
        </is>
      </c>
      <c r="B2865" t="n">
        <v>1</v>
      </c>
    </row>
    <row r="2866">
      <c r="A2866" t="inlineStr">
        <is>
          <t>functionality</t>
        </is>
      </c>
      <c r="B2866" t="n">
        <v>1</v>
      </c>
    </row>
    <row r="2867">
      <c r="A2867" t="inlineStr">
        <is>
          <t>clinical</t>
        </is>
      </c>
      <c r="B2867" t="n">
        <v>1</v>
      </c>
    </row>
    <row r="2868">
      <c r="A2868" t="inlineStr">
        <is>
          <t>chinese</t>
        </is>
      </c>
      <c r="B2868" t="n">
        <v>3</v>
      </c>
    </row>
    <row r="2869">
      <c r="A2869" t="inlineStr">
        <is>
          <t>cognitive decline</t>
        </is>
      </c>
      <c r="B2869" t="n">
        <v>2</v>
      </c>
    </row>
    <row r="2870">
      <c r="A2870" t="inlineStr">
        <is>
          <t>playing cards or mahjong</t>
        </is>
      </c>
      <c r="B2870" t="n">
        <v>1</v>
      </c>
    </row>
    <row r="2871">
      <c r="A2871" t="inlineStr">
        <is>
          <t>social entertainment</t>
        </is>
      </c>
      <c r="B2871" t="n">
        <v>1</v>
      </c>
    </row>
    <row r="2872">
      <c r="A2872" t="inlineStr">
        <is>
          <t>health service use</t>
        </is>
      </c>
      <c r="B2872" t="n">
        <v>1</v>
      </c>
    </row>
    <row r="2873">
      <c r="A2873" t="inlineStr">
        <is>
          <t>migrant older adults</t>
        </is>
      </c>
      <c r="B2873" t="n">
        <v>1</v>
      </c>
    </row>
    <row r="2874">
      <c r="A2874" t="inlineStr">
        <is>
          <t>physical examinations</t>
        </is>
      </c>
      <c r="B2874" t="n">
        <v>1</v>
      </c>
    </row>
    <row r="2875">
      <c r="A2875" t="inlineStr">
        <is>
          <t>mps</t>
        </is>
      </c>
      <c r="B2875" t="n">
        <v>1</v>
      </c>
    </row>
    <row r="2876">
      <c r="A2876" t="inlineStr">
        <is>
          <t>indoor ambient</t>
        </is>
      </c>
      <c r="B2876" t="n">
        <v>1</v>
      </c>
    </row>
    <row r="2877">
      <c r="A2877" t="inlineStr">
        <is>
          <t>indoor fallout</t>
        </is>
      </c>
      <c r="B2877" t="n">
        <v>1</v>
      </c>
    </row>
    <row r="2878">
      <c r="A2878" t="inlineStr">
        <is>
          <t>planetary health</t>
        </is>
      </c>
      <c r="B2878" t="n">
        <v>1</v>
      </c>
    </row>
    <row r="2879">
      <c r="A2879" t="inlineStr">
        <is>
          <t>indoor particles</t>
        </is>
      </c>
      <c r="B2879" t="n">
        <v>1</v>
      </c>
    </row>
    <row r="2880">
      <c r="A2880" t="inlineStr">
        <is>
          <t>portable air cleaners</t>
        </is>
      </c>
      <c r="B2880" t="n">
        <v>1</v>
      </c>
    </row>
    <row r="2881">
      <c r="A2881" t="inlineStr">
        <is>
          <t>socioeconomic</t>
        </is>
      </c>
      <c r="B2881" t="n">
        <v>1</v>
      </c>
    </row>
    <row r="2882">
      <c r="A2882" t="inlineStr">
        <is>
          <t>hierarchical analysis</t>
        </is>
      </c>
      <c r="B2882" t="n">
        <v>1</v>
      </c>
    </row>
    <row r="2883">
      <c r="A2883" t="inlineStr">
        <is>
          <t>indonesia</t>
        </is>
      </c>
      <c r="B2883" t="n">
        <v>3</v>
      </c>
    </row>
    <row r="2884">
      <c r="A2884" t="inlineStr">
        <is>
          <t>light pollution</t>
        </is>
      </c>
      <c r="B2884" t="n">
        <v>1</v>
      </c>
    </row>
    <row r="2885">
      <c r="A2885" t="inlineStr">
        <is>
          <t>road proximity</t>
        </is>
      </c>
      <c r="B2885" t="n">
        <v>1</v>
      </c>
    </row>
    <row r="2886">
      <c r="A2886" t="inlineStr">
        <is>
          <t>surface energy balance</t>
        </is>
      </c>
      <c r="B2886" t="n">
        <v>1</v>
      </c>
    </row>
    <row r="2887">
      <c r="A2887" t="inlineStr">
        <is>
          <t>urban canopy model</t>
        </is>
      </c>
      <c r="B2887" t="n">
        <v>1</v>
      </c>
    </row>
    <row r="2888">
      <c r="A2888" t="inlineStr">
        <is>
          <t>urban trees</t>
        </is>
      </c>
      <c r="B2888" t="n">
        <v>1</v>
      </c>
    </row>
    <row r="2889">
      <c r="A2889" t="inlineStr">
        <is>
          <t>age-friendly neighbourhood</t>
        </is>
      </c>
      <c r="B2889" t="n">
        <v>1</v>
      </c>
    </row>
    <row r="2890">
      <c r="A2890" t="inlineStr">
        <is>
          <t>multi-sensory experience</t>
        </is>
      </c>
      <c r="B2890" t="n">
        <v>1</v>
      </c>
    </row>
    <row r="2891">
      <c r="A2891" t="inlineStr">
        <is>
          <t>high-density environment</t>
        </is>
      </c>
      <c r="B2891" t="n">
        <v>1</v>
      </c>
    </row>
    <row r="2892">
      <c r="A2892" t="inlineStr">
        <is>
          <t>environmental impact assessment</t>
        </is>
      </c>
      <c r="B2892" t="n">
        <v>2</v>
      </c>
    </row>
    <row r="2893">
      <c r="A2893" t="inlineStr">
        <is>
          <t>green interior design</t>
        </is>
      </c>
      <c r="B2893" t="n">
        <v>1</v>
      </c>
    </row>
    <row r="2894">
      <c r="A2894" t="inlineStr">
        <is>
          <t>socio-technical systems</t>
        </is>
      </c>
      <c r="B2894" t="n">
        <v>1</v>
      </c>
    </row>
    <row r="2895">
      <c r="A2895" t="inlineStr">
        <is>
          <t>embeddedness</t>
        </is>
      </c>
      <c r="B2895" t="n">
        <v>1</v>
      </c>
    </row>
    <row r="2896">
      <c r="A2896" t="inlineStr">
        <is>
          <t>young-old adults versus old-old adults</t>
        </is>
      </c>
      <c r="B2896" t="n">
        <v>1</v>
      </c>
    </row>
    <row r="2897">
      <c r="A2897" t="inlineStr">
        <is>
          <t>activity participation</t>
        </is>
      </c>
      <c r="B2897" t="n">
        <v>1</v>
      </c>
    </row>
    <row r="2898">
      <c r="A2898" t="inlineStr">
        <is>
          <t>biodeterioration</t>
        </is>
      </c>
      <c r="B2898" t="n">
        <v>1</v>
      </c>
    </row>
    <row r="2899">
      <c r="A2899" t="inlineStr">
        <is>
          <t>cultural heritage conservation</t>
        </is>
      </c>
      <c r="B2899" t="n">
        <v>1</v>
      </c>
    </row>
    <row r="2900">
      <c r="A2900" t="inlineStr">
        <is>
          <t>stone colonization</t>
        </is>
      </c>
      <c r="B2900" t="n">
        <v>1</v>
      </c>
    </row>
    <row r="2901">
      <c r="A2901" t="inlineStr">
        <is>
          <t>biofilm</t>
        </is>
      </c>
      <c r="B2901" t="n">
        <v>1</v>
      </c>
    </row>
    <row r="2902">
      <c r="A2902" t="inlineStr">
        <is>
          <t>cyanobacteria</t>
        </is>
      </c>
      <c r="B2902" t="n">
        <v>1</v>
      </c>
    </row>
    <row r="2903">
      <c r="A2903" t="inlineStr">
        <is>
          <t>green algae</t>
        </is>
      </c>
      <c r="B2903" t="n">
        <v>1</v>
      </c>
    </row>
    <row r="2904">
      <c r="A2904" t="inlineStr">
        <is>
          <t>vascular plants</t>
        </is>
      </c>
      <c r="B2904" t="n">
        <v>1</v>
      </c>
    </row>
    <row r="2905">
      <c r="A2905" t="inlineStr">
        <is>
          <t>social network scale</t>
        </is>
      </c>
      <c r="B2905" t="n">
        <v>1</v>
      </c>
    </row>
    <row r="2906">
      <c r="A2906" t="inlineStr">
        <is>
          <t>social relationships</t>
        </is>
      </c>
      <c r="B2906" t="n">
        <v>1</v>
      </c>
    </row>
    <row r="2907">
      <c r="A2907" t="inlineStr">
        <is>
          <t>healthy environment</t>
        </is>
      </c>
      <c r="B2907" t="n">
        <v>2</v>
      </c>
    </row>
    <row r="2908">
      <c r="A2908" t="inlineStr">
        <is>
          <t>cancer risk</t>
        </is>
      </c>
      <c r="B2908" t="n">
        <v>2</v>
      </c>
    </row>
    <row r="2909">
      <c r="A2909" t="inlineStr">
        <is>
          <t>plasma</t>
        </is>
      </c>
      <c r="B2909" t="n">
        <v>2</v>
      </c>
    </row>
    <row r="2910">
      <c r="A2910" t="inlineStr">
        <is>
          <t>disparities</t>
        </is>
      </c>
      <c r="B2910" t="n">
        <v>1</v>
      </c>
    </row>
    <row r="2911">
      <c r="A2911" t="inlineStr">
        <is>
          <t>epidemiological study</t>
        </is>
      </c>
      <c r="B2911" t="n">
        <v>2</v>
      </c>
    </row>
    <row r="2912">
      <c r="A2912" t="inlineStr">
        <is>
          <t>nighttime light</t>
        </is>
      </c>
      <c r="B2912" t="n">
        <v>2</v>
      </c>
    </row>
    <row r="2913">
      <c r="A2913" t="inlineStr">
        <is>
          <t>convolution neural network</t>
        </is>
      </c>
      <c r="B2913" t="n">
        <v>1</v>
      </c>
    </row>
    <row r="2914">
      <c r="A2914" t="inlineStr">
        <is>
          <t>regression-based model</t>
        </is>
      </c>
      <c r="B2914" t="n">
        <v>1</v>
      </c>
    </row>
    <row r="2915">
      <c r="A2915" t="inlineStr">
        <is>
          <t>multi-sensory intelligent architecture</t>
        </is>
      </c>
      <c r="B2915" t="n">
        <v>1</v>
      </c>
    </row>
    <row r="2916">
      <c r="A2916" t="inlineStr">
        <is>
          <t>sensory stimulus</t>
        </is>
      </c>
      <c r="B2916" t="n">
        <v>1</v>
      </c>
    </row>
    <row r="2917">
      <c r="A2917" t="inlineStr">
        <is>
          <t>perception enhancement</t>
        </is>
      </c>
      <c r="B2917" t="n">
        <v>1</v>
      </c>
    </row>
    <row r="2918">
      <c r="A2918" t="inlineStr">
        <is>
          <t>sensitivity</t>
        </is>
      </c>
      <c r="B2918" t="n">
        <v>2</v>
      </c>
    </row>
    <row r="2919">
      <c r="A2919" t="inlineStr">
        <is>
          <t>multimorbidity</t>
        </is>
      </c>
      <c r="B2919" t="n">
        <v>5</v>
      </c>
    </row>
    <row r="2920">
      <c r="A2920" t="inlineStr">
        <is>
          <t>active and healthy ageing</t>
        </is>
      </c>
      <c r="B2920" t="n">
        <v>1</v>
      </c>
    </row>
    <row r="2921">
      <c r="A2921" t="inlineStr">
        <is>
          <t>frailty prevention</t>
        </is>
      </c>
      <c r="B2921" t="n">
        <v>1</v>
      </c>
    </row>
    <row r="2922">
      <c r="A2922" t="inlineStr">
        <is>
          <t>screening tools</t>
        </is>
      </c>
      <c r="B2922" t="n">
        <v>1</v>
      </c>
    </row>
    <row r="2923">
      <c r="A2923" t="inlineStr">
        <is>
          <t>integrated care</t>
        </is>
      </c>
      <c r="B2923" t="n">
        <v>2</v>
      </c>
    </row>
    <row r="2924">
      <c r="A2924" t="inlineStr">
        <is>
          <t>frailty risk factors</t>
        </is>
      </c>
      <c r="B2924" t="n">
        <v>1</v>
      </c>
    </row>
    <row r="2925">
      <c r="A2925" t="inlineStr">
        <is>
          <t>housing built environment</t>
        </is>
      </c>
      <c r="B2925" t="n">
        <v>1</v>
      </c>
    </row>
    <row r="2926">
      <c r="A2926" t="inlineStr">
        <is>
          <t>evidence-based design</t>
        </is>
      </c>
      <c r="B2926" t="n">
        <v>1</v>
      </c>
    </row>
    <row r="2927">
      <c r="A2927" t="inlineStr">
        <is>
          <t>building certification schemes</t>
        </is>
      </c>
      <c r="B2927" t="n">
        <v>1</v>
      </c>
    </row>
    <row r="2928">
      <c r="A2928" t="inlineStr">
        <is>
          <t>dynamic circular economy</t>
        </is>
      </c>
      <c r="B2928" t="n">
        <v>1</v>
      </c>
    </row>
    <row r="2929">
      <c r="A2929" t="inlineStr">
        <is>
          <t>replace</t>
        </is>
      </c>
      <c r="B2929" t="n">
        <v>1</v>
      </c>
    </row>
    <row r="2930">
      <c r="A2930" t="inlineStr">
        <is>
          <t>deposition velocity</t>
        </is>
      </c>
      <c r="B2930" t="n">
        <v>1</v>
      </c>
    </row>
    <row r="2931">
      <c r="A2931" t="inlineStr">
        <is>
          <t>surface area</t>
        </is>
      </c>
      <c r="B2931" t="n">
        <v>1</v>
      </c>
    </row>
    <row r="2932">
      <c r="A2932" t="inlineStr">
        <is>
          <t>pore volume</t>
        </is>
      </c>
      <c r="B2932" t="n">
        <v>1</v>
      </c>
    </row>
    <row r="2933">
      <c r="A2933" t="inlineStr">
        <is>
          <t>building evaluation</t>
        </is>
      </c>
      <c r="B2933" t="n">
        <v>1</v>
      </c>
    </row>
    <row r="2934">
      <c r="A2934" t="inlineStr">
        <is>
          <t>functional adequacy</t>
        </is>
      </c>
      <c r="B2934" t="n">
        <v>1</v>
      </c>
    </row>
    <row r="2935">
      <c r="A2935" t="inlineStr">
        <is>
          <t>human-centered</t>
        </is>
      </c>
      <c r="B2935" t="n">
        <v>1</v>
      </c>
    </row>
    <row r="2936">
      <c r="A2936" t="inlineStr">
        <is>
          <t>place attachment</t>
        </is>
      </c>
      <c r="B2936" t="n">
        <v>1</v>
      </c>
    </row>
    <row r="2937">
      <c r="A2937" t="inlineStr">
        <is>
          <t>social interaction</t>
        </is>
      </c>
      <c r="B2937" t="n">
        <v>5</v>
      </c>
    </row>
    <row r="2938">
      <c r="A2938" t="inlineStr">
        <is>
          <t>air pollutant</t>
        </is>
      </c>
      <c r="B2938" t="n">
        <v>1</v>
      </c>
    </row>
    <row r="2939">
      <c r="A2939" t="inlineStr">
        <is>
          <t>biotechnology</t>
        </is>
      </c>
      <c r="B2939" t="n">
        <v>1</v>
      </c>
    </row>
    <row r="2940">
      <c r="A2940" t="inlineStr">
        <is>
          <t>prevention strategy</t>
        </is>
      </c>
      <c r="B2940" t="n">
        <v>1</v>
      </c>
    </row>
    <row r="2941">
      <c r="A2941" t="inlineStr">
        <is>
          <t>physical-chemical technology</t>
        </is>
      </c>
      <c r="B2941" t="n">
        <v>1</v>
      </c>
    </row>
    <row r="2942">
      <c r="A2942" t="inlineStr">
        <is>
          <t>urban sprawl</t>
        </is>
      </c>
      <c r="B2942" t="n">
        <v>1</v>
      </c>
    </row>
    <row r="2943">
      <c r="A2943" t="inlineStr">
        <is>
          <t>anthropogenic heat</t>
        </is>
      </c>
      <c r="B2943" t="n">
        <v>1</v>
      </c>
    </row>
    <row r="2944">
      <c r="A2944" t="inlineStr">
        <is>
          <t>meteorological observation environment</t>
        </is>
      </c>
      <c r="B2944" t="n">
        <v>1</v>
      </c>
    </row>
    <row r="2945">
      <c r="A2945" t="inlineStr">
        <is>
          <t>gis technology</t>
        </is>
      </c>
      <c r="B2945" t="n">
        <v>1</v>
      </c>
    </row>
    <row r="2946">
      <c r="A2946" t="inlineStr">
        <is>
          <t>active built environment</t>
        </is>
      </c>
      <c r="B2946" t="n">
        <v>1</v>
      </c>
    </row>
    <row r="2947">
      <c r="A2947" t="inlineStr">
        <is>
          <t>geospatial dimension</t>
        </is>
      </c>
      <c r="B2947" t="n">
        <v>1</v>
      </c>
    </row>
    <row r="2948">
      <c r="A2948" t="inlineStr">
        <is>
          <t>anorexia</t>
        </is>
      </c>
      <c r="B2948" t="n">
        <v>1</v>
      </c>
    </row>
    <row r="2949">
      <c r="A2949" t="inlineStr">
        <is>
          <t>functional constipation</t>
        </is>
      </c>
      <c r="B2949" t="n">
        <v>1</v>
      </c>
    </row>
    <row r="2950">
      <c r="A2950" t="inlineStr">
        <is>
          <t>energy savings</t>
        </is>
      </c>
      <c r="B2950" t="n">
        <v>2</v>
      </c>
    </row>
    <row r="2951">
      <c r="A2951" t="inlineStr">
        <is>
          <t>feasibility</t>
        </is>
      </c>
      <c r="B2951" t="n">
        <v>1</v>
      </c>
    </row>
    <row r="2952">
      <c r="A2952" t="inlineStr">
        <is>
          <t>bim technology</t>
        </is>
      </c>
      <c r="B2952" t="n">
        <v>1</v>
      </c>
    </row>
    <row r="2953">
      <c r="A2953" t="inlineStr">
        <is>
          <t>structural systems</t>
        </is>
      </c>
      <c r="B2953" t="n">
        <v>1</v>
      </c>
    </row>
    <row r="2954">
      <c r="A2954" t="inlineStr">
        <is>
          <t>design codes</t>
        </is>
      </c>
      <c r="B2954" t="n">
        <v>1</v>
      </c>
    </row>
    <row r="2955">
      <c r="A2955" t="inlineStr">
        <is>
          <t>technological innovations</t>
        </is>
      </c>
      <c r="B2955" t="n">
        <v>1</v>
      </c>
    </row>
    <row r="2956">
      <c r="A2956" t="inlineStr">
        <is>
          <t>interdisciplinary collaboration</t>
        </is>
      </c>
      <c r="B2956" t="n">
        <v>1</v>
      </c>
    </row>
    <row r="2957">
      <c r="A2957" t="inlineStr">
        <is>
          <t>case studies</t>
        </is>
      </c>
      <c r="B2957" t="n">
        <v>1</v>
      </c>
    </row>
    <row r="2958">
      <c r="A2958" t="inlineStr">
        <is>
          <t>ethnic minority older adults</t>
        </is>
      </c>
      <c r="B2958" t="n">
        <v>1</v>
      </c>
    </row>
    <row r="2959">
      <c r="A2959" t="inlineStr">
        <is>
          <t>care relations</t>
        </is>
      </c>
      <c r="B2959" t="n">
        <v>1</v>
      </c>
    </row>
    <row r="2960">
      <c r="A2960" t="inlineStr">
        <is>
          <t>active commuting to school</t>
        </is>
      </c>
      <c r="B2960" t="n">
        <v>1</v>
      </c>
    </row>
    <row r="2961">
      <c r="A2961" t="inlineStr">
        <is>
          <t>child-centred approach</t>
        </is>
      </c>
      <c r="B2961" t="n">
        <v>1</v>
      </c>
    </row>
    <row r="2962">
      <c r="A2962" t="inlineStr">
        <is>
          <t>children's attitudes</t>
        </is>
      </c>
      <c r="B2962" t="n">
        <v>1</v>
      </c>
    </row>
    <row r="2963">
      <c r="A2963" t="inlineStr">
        <is>
          <t>behaviour change</t>
        </is>
      </c>
      <c r="B2963" t="n">
        <v>2</v>
      </c>
    </row>
    <row r="2964">
      <c r="A2964" t="inlineStr">
        <is>
          <t>technological challenges</t>
        </is>
      </c>
      <c r="B2964" t="n">
        <v>1</v>
      </c>
    </row>
    <row r="2965">
      <c r="A2965" t="inlineStr">
        <is>
          <t>abu dhabi</t>
        </is>
      </c>
      <c r="B2965" t="n">
        <v>3</v>
      </c>
    </row>
    <row r="2966">
      <c r="A2966" t="inlineStr">
        <is>
          <t>food classes</t>
        </is>
      </c>
      <c r="B2966" t="n">
        <v>1</v>
      </c>
    </row>
    <row r="2967">
      <c r="A2967" t="inlineStr">
        <is>
          <t>food safety</t>
        </is>
      </c>
      <c r="B2967" t="n">
        <v>1</v>
      </c>
    </row>
    <row r="2968">
      <c r="A2968" t="inlineStr">
        <is>
          <t>food safety trust</t>
        </is>
      </c>
      <c r="B2968" t="n">
        <v>1</v>
      </c>
    </row>
    <row r="2969">
      <c r="A2969" t="inlineStr">
        <is>
          <t>organized networking</t>
        </is>
      </c>
      <c r="B2969" t="n">
        <v>1</v>
      </c>
    </row>
    <row r="2970">
      <c r="A2970" t="inlineStr">
        <is>
          <t>sustainable commensality</t>
        </is>
      </c>
      <c r="B2970" t="n">
        <v>1</v>
      </c>
    </row>
    <row r="2971">
      <c r="A2971" t="inlineStr">
        <is>
          <t>pattern</t>
        </is>
      </c>
      <c r="B2971" t="n">
        <v>1</v>
      </c>
    </row>
    <row r="2972">
      <c r="A2972" t="inlineStr">
        <is>
          <t>health-ecological model</t>
        </is>
      </c>
      <c r="B2972" t="n">
        <v>1</v>
      </c>
    </row>
    <row r="2973">
      <c r="A2973" t="inlineStr">
        <is>
          <t>health management</t>
        </is>
      </c>
      <c r="B2973" t="n">
        <v>2</v>
      </c>
    </row>
    <row r="2974">
      <c r="A2974" t="inlineStr">
        <is>
          <t>building design improvement</t>
        </is>
      </c>
      <c r="B2974" t="n">
        <v>1</v>
      </c>
    </row>
    <row r="2975">
      <c r="A2975" t="inlineStr">
        <is>
          <t>economy</t>
        </is>
      </c>
      <c r="B2975" t="n">
        <v>1</v>
      </c>
    </row>
    <row r="2976">
      <c r="A2976" t="inlineStr">
        <is>
          <t>multi-objective life cycle analysis</t>
        </is>
      </c>
      <c r="B2976" t="n">
        <v>1</v>
      </c>
    </row>
    <row r="2977">
      <c r="A2977" t="inlineStr">
        <is>
          <t>bedroom design</t>
        </is>
      </c>
      <c r="B2977" t="n">
        <v>1</v>
      </c>
    </row>
    <row r="2978">
      <c r="A2978" t="inlineStr">
        <is>
          <t>healthy homes</t>
        </is>
      </c>
      <c r="B2978" t="n">
        <v>2</v>
      </c>
    </row>
    <row r="2979">
      <c r="A2979" t="inlineStr">
        <is>
          <t>heat impacts</t>
        </is>
      </c>
      <c r="B2979" t="n">
        <v>1</v>
      </c>
    </row>
    <row r="2980">
      <c r="A2980" t="inlineStr">
        <is>
          <t>social health</t>
        </is>
      </c>
      <c r="B2980" t="n">
        <v>2</v>
      </c>
    </row>
    <row r="2981">
      <c r="A2981" t="inlineStr">
        <is>
          <t>mortality risk</t>
        </is>
      </c>
      <c r="B2981" t="n">
        <v>1</v>
      </c>
    </row>
    <row r="2982">
      <c r="A2982" t="inlineStr">
        <is>
          <t>cox proportional hazard model</t>
        </is>
      </c>
      <c r="B2982" t="n">
        <v>1</v>
      </c>
    </row>
    <row r="2983">
      <c r="A2983" t="inlineStr">
        <is>
          <t>korean longitudinal study of aging (klosa)</t>
        </is>
      </c>
      <c r="B2983" t="n">
        <v>1</v>
      </c>
    </row>
    <row r="2984">
      <c r="A2984" t="inlineStr">
        <is>
          <t>south korea</t>
        </is>
      </c>
      <c r="B2984" t="n">
        <v>1</v>
      </c>
    </row>
    <row r="2985">
      <c r="A2985" t="inlineStr">
        <is>
          <t>indoor humidity</t>
        </is>
      </c>
      <c r="B2985" t="n">
        <v>1</v>
      </c>
    </row>
    <row r="2986">
      <c r="A2986" t="inlineStr">
        <is>
          <t>design criteria</t>
        </is>
      </c>
      <c r="B2986" t="n">
        <v>1</v>
      </c>
    </row>
    <row r="2987">
      <c r="A2987" t="inlineStr">
        <is>
          <t>modeling</t>
        </is>
      </c>
      <c r="B2987" t="n">
        <v>3</v>
      </c>
    </row>
    <row r="2988">
      <c r="A2988" t="inlineStr">
        <is>
          <t>estimation</t>
        </is>
      </c>
      <c r="B2988" t="n">
        <v>1</v>
      </c>
    </row>
    <row r="2989">
      <c r="A2989" t="inlineStr">
        <is>
          <t>elder mistreatment</t>
        </is>
      </c>
      <c r="B2989" t="n">
        <v>3</v>
      </c>
    </row>
    <row r="2990">
      <c r="A2990" t="inlineStr">
        <is>
          <t>psychological well-being</t>
        </is>
      </c>
      <c r="B2990" t="n">
        <v>2</v>
      </c>
    </row>
    <row r="2991">
      <c r="A2991" t="inlineStr">
        <is>
          <t>eudaimonic well-being</t>
        </is>
      </c>
      <c r="B2991" t="n">
        <v>1</v>
      </c>
    </row>
    <row r="2992">
      <c r="A2992" t="inlineStr">
        <is>
          <t>walkable cities</t>
        </is>
      </c>
      <c r="B2992" t="n">
        <v>1</v>
      </c>
    </row>
    <row r="2993">
      <c r="A2993" t="inlineStr">
        <is>
          <t>active transportation choices</t>
        </is>
      </c>
      <c r="B2993" t="n">
        <v>1</v>
      </c>
    </row>
    <row r="2994">
      <c r="A2994" t="inlineStr">
        <is>
          <t>urban accidents</t>
        </is>
      </c>
      <c r="B2994" t="n">
        <v>1</v>
      </c>
    </row>
    <row r="2995">
      <c r="A2995" t="inlineStr">
        <is>
          <t>safety and security</t>
        </is>
      </c>
      <c r="B2995" t="n">
        <v>1</v>
      </c>
    </row>
    <row r="2996">
      <c r="A2996" t="inlineStr">
        <is>
          <t>assessment framework</t>
        </is>
      </c>
      <c r="B2996" t="n">
        <v>1</v>
      </c>
    </row>
    <row r="2997">
      <c r="A2997" t="inlineStr">
        <is>
          <t>community-based land use strategies</t>
        </is>
      </c>
      <c r="B2997" t="n">
        <v>1</v>
      </c>
    </row>
    <row r="2998">
      <c r="A2998" t="inlineStr">
        <is>
          <t>evidence-based public health (ebph)</t>
        </is>
      </c>
      <c r="B2998" t="n">
        <v>1</v>
      </c>
    </row>
    <row r="2999">
      <c r="A2999" t="inlineStr">
        <is>
          <t>turkiye</t>
        </is>
      </c>
      <c r="B2999" t="n">
        <v>1</v>
      </c>
    </row>
    <row r="3000">
      <c r="A3000" t="inlineStr">
        <is>
          <t>chemicals</t>
        </is>
      </c>
      <c r="B3000" t="n">
        <v>1</v>
      </c>
    </row>
    <row r="3001">
      <c r="A3001" t="inlineStr">
        <is>
          <t>pah</t>
        </is>
      </c>
      <c r="B3001" t="n">
        <v>2</v>
      </c>
    </row>
    <row r="3002">
      <c r="A3002" t="inlineStr">
        <is>
          <t>toluene</t>
        </is>
      </c>
      <c r="B3002" t="n">
        <v>2</v>
      </c>
    </row>
    <row r="3003">
      <c r="A3003" t="inlineStr">
        <is>
          <t>naphthalene</t>
        </is>
      </c>
      <c r="B3003" t="n">
        <v>1</v>
      </c>
    </row>
    <row r="3004">
      <c r="A3004" t="inlineStr">
        <is>
          <t>residential exposure</t>
        </is>
      </c>
      <c r="B3004" t="n">
        <v>1</v>
      </c>
    </row>
    <row r="3005">
      <c r="A3005" t="inlineStr">
        <is>
          <t>dwelling characteristics</t>
        </is>
      </c>
      <c r="B3005" t="n">
        <v>1</v>
      </c>
    </row>
    <row r="3006">
      <c r="A3006" t="inlineStr">
        <is>
          <t>inorganic gaseous pollutants</t>
        </is>
      </c>
      <c r="B3006" t="n">
        <v>1</v>
      </c>
    </row>
    <row r="3007">
      <c r="A3007" t="inlineStr">
        <is>
          <t>ecological system</t>
        </is>
      </c>
      <c r="B3007" t="n">
        <v>1</v>
      </c>
    </row>
    <row r="3008">
      <c r="A3008" t="inlineStr">
        <is>
          <t>incidence</t>
        </is>
      </c>
      <c r="B3008" t="n">
        <v>2</v>
      </c>
    </row>
    <row r="3009">
      <c r="A3009" t="inlineStr">
        <is>
          <t>printing press</t>
        </is>
      </c>
      <c r="B3009" t="n">
        <v>1</v>
      </c>
    </row>
    <row r="3010">
      <c r="A3010" t="inlineStr">
        <is>
          <t>co2</t>
        </is>
      </c>
      <c r="B3010" t="n">
        <v>3</v>
      </c>
    </row>
    <row r="3011">
      <c r="A3011" t="inlineStr">
        <is>
          <t>long-term care insurance</t>
        </is>
      </c>
      <c r="B3011" t="n">
        <v>1</v>
      </c>
    </row>
    <row r="3012">
      <c r="A3012" t="inlineStr">
        <is>
          <t>survival analysis</t>
        </is>
      </c>
      <c r="B3012" t="n">
        <v>1</v>
      </c>
    </row>
    <row r="3013">
      <c r="A3013" t="inlineStr">
        <is>
          <t>low-carbon cognition</t>
        </is>
      </c>
      <c r="B3013" t="n">
        <v>1</v>
      </c>
    </row>
    <row r="3014">
      <c r="A3014" t="inlineStr">
        <is>
          <t>distributed cognition</t>
        </is>
      </c>
      <c r="B3014" t="n">
        <v>1</v>
      </c>
    </row>
    <row r="3015">
      <c r="A3015" t="inlineStr">
        <is>
          <t>order logistic regression</t>
        </is>
      </c>
      <c r="B3015" t="n">
        <v>1</v>
      </c>
    </row>
    <row r="3016">
      <c r="A3016" t="inlineStr">
        <is>
          <t>zhengzhou</t>
        </is>
      </c>
      <c r="B3016" t="n">
        <v>1</v>
      </c>
    </row>
    <row r="3017">
      <c r="A3017" t="inlineStr">
        <is>
          <t>therapeutic design</t>
        </is>
      </c>
      <c r="B3017" t="n">
        <v>1</v>
      </c>
    </row>
    <row r="3018">
      <c r="A3018" t="inlineStr">
        <is>
          <t>art therapy</t>
        </is>
      </c>
      <c r="B3018" t="n">
        <v>1</v>
      </c>
    </row>
    <row r="3019">
      <c r="A3019" t="inlineStr">
        <is>
          <t>building information modeling (bim)</t>
        </is>
      </c>
      <c r="B3019" t="n">
        <v>2</v>
      </c>
    </row>
    <row r="3020">
      <c r="A3020" t="inlineStr">
        <is>
          <t>social innovation</t>
        </is>
      </c>
      <c r="B3020" t="n">
        <v>1</v>
      </c>
    </row>
    <row r="3021">
      <c r="A3021" t="inlineStr">
        <is>
          <t>spatial inequality</t>
        </is>
      </c>
      <c r="B3021" t="n">
        <v>1</v>
      </c>
    </row>
    <row r="3022">
      <c r="A3022" t="inlineStr">
        <is>
          <t>activity</t>
        </is>
      </c>
      <c r="B3022" t="n">
        <v>2</v>
      </c>
    </row>
    <row r="3023">
      <c r="A3023" t="inlineStr">
        <is>
          <t>socio-ecological</t>
        </is>
      </c>
      <c r="B3023" t="n">
        <v>1</v>
      </c>
    </row>
    <row r="3024">
      <c r="A3024" t="inlineStr">
        <is>
          <t>meta-utaut</t>
        </is>
      </c>
      <c r="B3024" t="n">
        <v>1</v>
      </c>
    </row>
    <row r="3025">
      <c r="A3025" t="inlineStr">
        <is>
          <t>smartphone</t>
        </is>
      </c>
      <c r="B3025" t="n">
        <v>2</v>
      </c>
    </row>
    <row r="3026">
      <c r="A3026" t="inlineStr">
        <is>
          <t>alcohol</t>
        </is>
      </c>
      <c r="B3026" t="n">
        <v>1</v>
      </c>
    </row>
    <row r="3027">
      <c r="A3027" t="inlineStr">
        <is>
          <t>effective elements</t>
        </is>
      </c>
      <c r="B3027" t="n">
        <v>1</v>
      </c>
    </row>
    <row r="3028">
      <c r="A3028" t="inlineStr">
        <is>
          <t>realist evaluation</t>
        </is>
      </c>
      <c r="B3028" t="n">
        <v>2</v>
      </c>
    </row>
    <row r="3029">
      <c r="A3029" t="inlineStr">
        <is>
          <t>urban-rural difference</t>
        </is>
      </c>
      <c r="B3029" t="n">
        <v>1</v>
      </c>
    </row>
    <row r="3030">
      <c r="A3030" t="inlineStr">
        <is>
          <t>amenity building</t>
        </is>
      </c>
      <c r="B3030" t="n">
        <v>1</v>
      </c>
    </row>
    <row r="3031">
      <c r="A3031" t="inlineStr">
        <is>
          <t>elderly-oriented</t>
        </is>
      </c>
      <c r="B3031" t="n">
        <v>1</v>
      </c>
    </row>
    <row r="3032">
      <c r="A3032" t="inlineStr">
        <is>
          <t>landscape</t>
        </is>
      </c>
      <c r="B3032" t="n">
        <v>2</v>
      </c>
    </row>
    <row r="3033">
      <c r="A3033" t="inlineStr">
        <is>
          <t>behavioral pattern</t>
        </is>
      </c>
      <c r="B3033" t="n">
        <v>1</v>
      </c>
    </row>
    <row r="3034">
      <c r="A3034" t="inlineStr">
        <is>
          <t>flood resilience</t>
        </is>
      </c>
      <c r="B3034" t="n">
        <v>1</v>
      </c>
    </row>
    <row r="3035">
      <c r="A3035" t="inlineStr">
        <is>
          <t>influencing factors</t>
        </is>
      </c>
      <c r="B3035" t="n">
        <v>3</v>
      </c>
    </row>
    <row r="3036">
      <c r="A3036" t="inlineStr">
        <is>
          <t>nanjing</t>
        </is>
      </c>
      <c r="B3036" t="n">
        <v>1</v>
      </c>
    </row>
    <row r="3037">
      <c r="A3037" t="inlineStr">
        <is>
          <t>autism spectrum disorder</t>
        </is>
      </c>
      <c r="B3037" t="n">
        <v>1</v>
      </c>
    </row>
    <row r="3038">
      <c r="A3038" t="inlineStr">
        <is>
          <t>spatial requirements</t>
        </is>
      </c>
      <c r="B3038" t="n">
        <v>1</v>
      </c>
    </row>
    <row r="3039">
      <c r="A3039" t="inlineStr">
        <is>
          <t>outdoor walking</t>
        </is>
      </c>
      <c r="B3039" t="n">
        <v>1</v>
      </c>
    </row>
    <row r="3040">
      <c r="A3040" t="inlineStr">
        <is>
          <t>nature-based intervention</t>
        </is>
      </c>
      <c r="B3040" t="n">
        <v>1</v>
      </c>
    </row>
    <row r="3041">
      <c r="A3041" t="inlineStr">
        <is>
          <t>social wellbeing</t>
        </is>
      </c>
      <c r="B3041" t="n">
        <v>1</v>
      </c>
    </row>
    <row r="3042">
      <c r="A3042" t="inlineStr">
        <is>
          <t>group cohesion</t>
        </is>
      </c>
      <c r="B3042" t="n">
        <v>1</v>
      </c>
    </row>
    <row r="3043">
      <c r="A3043" t="inlineStr">
        <is>
          <t>institutional healthcare</t>
        </is>
      </c>
      <c r="B3043" t="n">
        <v>1</v>
      </c>
    </row>
    <row r="3044">
      <c r="A3044" t="inlineStr">
        <is>
          <t>activity limitation</t>
        </is>
      </c>
      <c r="B3044" t="n">
        <v>1</v>
      </c>
    </row>
    <row r="3045">
      <c r="A3045" t="inlineStr">
        <is>
          <t>contemplative practices</t>
        </is>
      </c>
      <c r="B3045" t="n">
        <v>1</v>
      </c>
    </row>
    <row r="3046">
      <c r="A3046" t="inlineStr">
        <is>
          <t>healthy living environment</t>
        </is>
      </c>
      <c r="B3046" t="n">
        <v>1</v>
      </c>
    </row>
    <row r="3047">
      <c r="A3047" t="inlineStr">
        <is>
          <t>activity duration</t>
        </is>
      </c>
      <c r="B3047" t="n">
        <v>1</v>
      </c>
    </row>
    <row r="3048">
      <c r="A3048" t="inlineStr">
        <is>
          <t>multitasking behaviour</t>
        </is>
      </c>
      <c r="B3048" t="n">
        <v>1</v>
      </c>
    </row>
    <row r="3049">
      <c r="A3049" t="inlineStr">
        <is>
          <t>day experience</t>
        </is>
      </c>
      <c r="B3049" t="n">
        <v>1</v>
      </c>
    </row>
    <row r="3050">
      <c r="A3050" t="inlineStr">
        <is>
          <t>means restriction</t>
        </is>
      </c>
      <c r="B3050" t="n">
        <v>1</v>
      </c>
    </row>
    <row r="3051">
      <c r="A3051" t="inlineStr">
        <is>
          <t>place</t>
        </is>
      </c>
      <c r="B3051" t="n">
        <v>1</v>
      </c>
    </row>
    <row r="3052">
      <c r="A3052" t="inlineStr">
        <is>
          <t>telecare</t>
        </is>
      </c>
      <c r="B3052" t="n">
        <v>2</v>
      </c>
    </row>
    <row r="3053">
      <c r="A3053" t="inlineStr">
        <is>
          <t>telemedicine</t>
        </is>
      </c>
      <c r="B3053" t="n">
        <v>2</v>
      </c>
    </row>
    <row r="3054">
      <c r="A3054" t="inlineStr">
        <is>
          <t>e-cigarette advertising</t>
        </is>
      </c>
      <c r="B3054" t="n">
        <v>1</v>
      </c>
    </row>
    <row r="3055">
      <c r="A3055" t="inlineStr">
        <is>
          <t>displacement</t>
        </is>
      </c>
      <c r="B3055" t="n">
        <v>1</v>
      </c>
    </row>
    <row r="3056">
      <c r="A3056" t="inlineStr">
        <is>
          <t>rebuilding</t>
        </is>
      </c>
      <c r="B3056" t="n">
        <v>1</v>
      </c>
    </row>
    <row r="3057">
      <c r="A3057" t="inlineStr">
        <is>
          <t>built</t>
        </is>
      </c>
      <c r="B3057" t="n">
        <v>1</v>
      </c>
    </row>
    <row r="3058">
      <c r="A3058" t="inlineStr">
        <is>
          <t>competencies</t>
        </is>
      </c>
      <c r="B3058" t="n">
        <v>1</v>
      </c>
    </row>
    <row r="3059">
      <c r="A3059" t="inlineStr">
        <is>
          <t>skills</t>
        </is>
      </c>
      <c r="B3059" t="n">
        <v>1</v>
      </c>
    </row>
    <row r="3060">
      <c r="A3060" t="inlineStr">
        <is>
          <t>professional</t>
        </is>
      </c>
      <c r="B3060" t="n">
        <v>1</v>
      </c>
    </row>
    <row r="3061">
      <c r="A3061" t="inlineStr">
        <is>
          <t>capacities</t>
        </is>
      </c>
      <c r="B3061" t="n">
        <v>1</v>
      </c>
    </row>
    <row r="3062">
      <c r="A3062" t="inlineStr">
        <is>
          <t>documentation</t>
        </is>
      </c>
      <c r="B3062" t="n">
        <v>1</v>
      </c>
    </row>
    <row r="3063">
      <c r="A3063" t="inlineStr">
        <is>
          <t>nature</t>
        </is>
      </c>
      <c r="B3063" t="n">
        <v>2</v>
      </c>
    </row>
    <row r="3064">
      <c r="A3064" t="inlineStr">
        <is>
          <t>statistical models</t>
        </is>
      </c>
      <c r="B3064" t="n">
        <v>1</v>
      </c>
    </row>
    <row r="3065">
      <c r="A3065" t="inlineStr">
        <is>
          <t>modelling</t>
        </is>
      </c>
      <c r="B3065" t="n">
        <v>2</v>
      </c>
    </row>
    <row r="3066">
      <c r="A3066" t="inlineStr">
        <is>
          <t>heat-health warning system</t>
        </is>
      </c>
      <c r="B3066" t="n">
        <v>1</v>
      </c>
    </row>
    <row r="3067">
      <c r="A3067" t="inlineStr">
        <is>
          <t>generic models</t>
        </is>
      </c>
      <c r="B3067" t="n">
        <v>1</v>
      </c>
    </row>
    <row r="3068">
      <c r="A3068" t="inlineStr">
        <is>
          <t>monitoring campaigns</t>
        </is>
      </c>
      <c r="B3068" t="n">
        <v>1</v>
      </c>
    </row>
    <row r="3069">
      <c r="A3069" t="inlineStr">
        <is>
          <t>statistical methods</t>
        </is>
      </c>
      <c r="B3069" t="n">
        <v>1</v>
      </c>
    </row>
    <row r="3070">
      <c r="A3070" t="inlineStr">
        <is>
          <t>indoor heat stress</t>
        </is>
      </c>
      <c r="B3070" t="n">
        <v>1</v>
      </c>
    </row>
    <row r="3071">
      <c r="A3071" t="inlineStr">
        <is>
          <t>portugal</t>
        </is>
      </c>
      <c r="B3071" t="n">
        <v>1</v>
      </c>
    </row>
    <row r="3072">
      <c r="A3072" t="inlineStr">
        <is>
          <t>ambient particulate matter pollution</t>
        </is>
      </c>
      <c r="B3072" t="n">
        <v>1</v>
      </c>
    </row>
    <row r="3073">
      <c r="A3073" t="inlineStr">
        <is>
          <t>kidney function</t>
        </is>
      </c>
      <c r="B3073" t="n">
        <v>1</v>
      </c>
    </row>
    <row r="3074">
      <c r="A3074" t="inlineStr">
        <is>
          <t>estimated glomerular filtration rate</t>
        </is>
      </c>
      <c r="B3074" t="n">
        <v>1</v>
      </c>
    </row>
    <row r="3075">
      <c r="A3075" t="inlineStr">
        <is>
          <t>chronic kidney disease</t>
        </is>
      </c>
      <c r="B3075" t="n">
        <v>2</v>
      </c>
    </row>
    <row r="3076">
      <c r="A3076" t="inlineStr">
        <is>
          <t>proteinuria</t>
        </is>
      </c>
      <c r="B3076" t="n">
        <v>1</v>
      </c>
    </row>
    <row r="3077">
      <c r="A3077" t="inlineStr">
        <is>
          <t>island residential buildings</t>
        </is>
      </c>
      <c r="B3077" t="n">
        <v>1</v>
      </c>
    </row>
    <row r="3078">
      <c r="A3078" t="inlineStr">
        <is>
          <t>dominant fungi</t>
        </is>
      </c>
      <c r="B3078" t="n">
        <v>1</v>
      </c>
    </row>
    <row r="3079">
      <c r="A3079" t="inlineStr">
        <is>
          <t>design parameters of air conditioner</t>
        </is>
      </c>
      <c r="B3079" t="n">
        <v>1</v>
      </c>
    </row>
    <row r="3080">
      <c r="A3080" t="inlineStr">
        <is>
          <t>mold-prevention and antibacterial</t>
        </is>
      </c>
      <c r="B3080" t="n">
        <v>1</v>
      </c>
    </row>
    <row r="3081">
      <c r="A3081" t="inlineStr">
        <is>
          <t>healthy homes standards 2019</t>
        </is>
      </c>
      <c r="B3081" t="n">
        <v>1</v>
      </c>
    </row>
    <row r="3082">
      <c r="A3082" t="inlineStr">
        <is>
          <t>american society of heating</t>
        </is>
      </c>
      <c r="B3082" t="n">
        <v>1</v>
      </c>
    </row>
    <row r="3083">
      <c r="A3083" t="inlineStr">
        <is>
          <t>refrigeration and airconditioning engineers (ashrae) 55-2017</t>
        </is>
      </c>
      <c r="B3083" t="n">
        <v>1</v>
      </c>
    </row>
    <row r="3084">
      <c r="A3084" t="inlineStr">
        <is>
          <t>new zealand housing</t>
        </is>
      </c>
      <c r="B3084" t="n">
        <v>1</v>
      </c>
    </row>
    <row r="3085">
      <c r="A3085" t="inlineStr">
        <is>
          <t>feelings of crowding</t>
        </is>
      </c>
      <c r="B3085" t="n">
        <v>1</v>
      </c>
    </row>
    <row r="3086">
      <c r="A3086" t="inlineStr">
        <is>
          <t>working from home</t>
        </is>
      </c>
      <c r="B3086" t="n">
        <v>1</v>
      </c>
    </row>
    <row r="3087">
      <c r="A3087" t="inlineStr">
        <is>
          <t>productivity</t>
        </is>
      </c>
      <c r="B3087" t="n">
        <v>1</v>
      </c>
    </row>
    <row r="3088">
      <c r="A3088" t="inlineStr">
        <is>
          <t>museums</t>
        </is>
      </c>
      <c r="B3088" t="n">
        <v>1</v>
      </c>
    </row>
    <row r="3089">
      <c r="A3089" t="inlineStr">
        <is>
          <t>tourism</t>
        </is>
      </c>
      <c r="B3089" t="n">
        <v>1</v>
      </c>
    </row>
    <row r="3090">
      <c r="A3090" t="inlineStr">
        <is>
          <t>microclimate change</t>
        </is>
      </c>
      <c r="B3090" t="n">
        <v>1</v>
      </c>
    </row>
    <row r="3091">
      <c r="A3091" t="inlineStr">
        <is>
          <t>airport</t>
        </is>
      </c>
      <c r="B3091" t="n">
        <v>1</v>
      </c>
    </row>
    <row r="3092">
      <c r="A3092" t="inlineStr">
        <is>
          <t>terminal building</t>
        </is>
      </c>
      <c r="B3092" t="n">
        <v>1</v>
      </c>
    </row>
    <row r="3093">
      <c r="A3093" t="inlineStr">
        <is>
          <t>i</t>
        </is>
      </c>
      <c r="B3093" t="n">
        <v>2</v>
      </c>
    </row>
    <row r="3094">
      <c r="A3094" t="inlineStr">
        <is>
          <t>o ratio</t>
        </is>
      </c>
      <c r="B3094" t="n">
        <v>2</v>
      </c>
    </row>
    <row r="3095">
      <c r="A3095" t="inlineStr">
        <is>
          <t>respiratory deposition dose</t>
        </is>
      </c>
      <c r="B3095" t="n">
        <v>1</v>
      </c>
    </row>
    <row r="3096">
      <c r="A3096" t="inlineStr">
        <is>
          <t>coronavirus</t>
        </is>
      </c>
      <c r="B3096" t="n">
        <v>2</v>
      </c>
    </row>
    <row r="3097">
      <c r="A3097" t="inlineStr">
        <is>
          <t>international</t>
        </is>
      </c>
      <c r="B3097" t="n">
        <v>1</v>
      </c>
    </row>
    <row r="3098">
      <c r="A3098" t="inlineStr">
        <is>
          <t>purification</t>
        </is>
      </c>
      <c r="B3098" t="n">
        <v>1</v>
      </c>
    </row>
    <row r="3099">
      <c r="A3099" t="inlineStr">
        <is>
          <t>classrooms</t>
        </is>
      </c>
      <c r="B3099" t="n">
        <v>2</v>
      </c>
    </row>
    <row r="3100">
      <c r="A3100" t="inlineStr">
        <is>
          <t>manual airing strategies</t>
        </is>
      </c>
      <c r="B3100" t="n">
        <v>1</v>
      </c>
    </row>
    <row r="3101">
      <c r="A3101" t="inlineStr">
        <is>
          <t>influential factors</t>
        </is>
      </c>
      <c r="B3101" t="n">
        <v>2</v>
      </c>
    </row>
    <row r="3102">
      <c r="A3102" t="inlineStr">
        <is>
          <t>oral mucosal disease</t>
        </is>
      </c>
      <c r="B3102" t="n">
        <v>1</v>
      </c>
    </row>
    <row r="3103">
      <c r="A3103" t="inlineStr">
        <is>
          <t>particle</t>
        </is>
      </c>
      <c r="B3103" t="n">
        <v>2</v>
      </c>
    </row>
    <row r="3104">
      <c r="A3104" t="inlineStr">
        <is>
          <t>planktonic bacteria</t>
        </is>
      </c>
      <c r="B3104" t="n">
        <v>1</v>
      </c>
    </row>
    <row r="3105">
      <c r="A3105" t="inlineStr">
        <is>
          <t>compound flooding</t>
        </is>
      </c>
      <c r="B3105" t="n">
        <v>1</v>
      </c>
    </row>
    <row r="3106">
      <c r="A3106" t="inlineStr">
        <is>
          <t>inundation</t>
        </is>
      </c>
      <c r="B3106" t="n">
        <v>1</v>
      </c>
    </row>
    <row r="3107">
      <c r="A3107" t="inlineStr">
        <is>
          <t>spills and leaks</t>
        </is>
      </c>
      <c r="B3107" t="n">
        <v>1</v>
      </c>
    </row>
    <row r="3108">
      <c r="A3108" t="inlineStr">
        <is>
          <t>adcirc</t>
        </is>
      </c>
      <c r="B3108" t="n">
        <v>1</v>
      </c>
    </row>
    <row r="3109">
      <c r="A3109" t="inlineStr">
        <is>
          <t>efdc</t>
        </is>
      </c>
      <c r="B3109" t="n">
        <v>1</v>
      </c>
    </row>
    <row r="3110">
      <c r="A3110" t="inlineStr">
        <is>
          <t>residential high-rise building</t>
        </is>
      </c>
      <c r="B3110" t="n">
        <v>1</v>
      </c>
    </row>
    <row r="3111">
      <c r="A3111" t="inlineStr">
        <is>
          <t>leed</t>
        </is>
      </c>
      <c r="B3111" t="n">
        <v>1</v>
      </c>
    </row>
    <row r="3112">
      <c r="A3112" t="inlineStr">
        <is>
          <t>outdoor recreation</t>
        </is>
      </c>
      <c r="B3112" t="n">
        <v>1</v>
      </c>
    </row>
    <row r="3113">
      <c r="A3113" t="inlineStr">
        <is>
          <t>spousal death</t>
        </is>
      </c>
      <c r="B3113" t="n">
        <v>1</v>
      </c>
    </row>
    <row r="3114">
      <c r="A3114" t="inlineStr">
        <is>
          <t>low-level exposure</t>
        </is>
      </c>
      <c r="B3114" t="n">
        <v>1</v>
      </c>
    </row>
    <row r="3115">
      <c r="A3115" t="inlineStr">
        <is>
          <t>physiological change</t>
        </is>
      </c>
      <c r="B3115" t="n">
        <v>1</v>
      </c>
    </row>
    <row r="3116">
      <c r="A3116" t="inlineStr">
        <is>
          <t>psychomotor performance</t>
        </is>
      </c>
      <c r="B3116" t="n">
        <v>1</v>
      </c>
    </row>
    <row r="3117">
      <c r="A3117" t="inlineStr">
        <is>
          <t>non-specific building-related symptoms</t>
        </is>
      </c>
      <c r="B3117" t="n">
        <v>1</v>
      </c>
    </row>
    <row r="3118">
      <c r="A3118" t="inlineStr">
        <is>
          <t>office worker</t>
        </is>
      </c>
      <c r="B3118" t="n">
        <v>1</v>
      </c>
    </row>
    <row r="3119">
      <c r="A3119" t="inlineStr">
        <is>
          <t>indoor work environment</t>
        </is>
      </c>
      <c r="B3119" t="n">
        <v>1</v>
      </c>
    </row>
    <row r="3120">
      <c r="A3120" t="inlineStr">
        <is>
          <t>occupational medicine</t>
        </is>
      </c>
      <c r="B3120" t="n">
        <v>1</v>
      </c>
    </row>
    <row r="3121">
      <c r="A3121" t="inlineStr">
        <is>
          <t>activity in later life</t>
        </is>
      </c>
      <c r="B3121" t="n">
        <v>1</v>
      </c>
    </row>
    <row r="3122">
      <c r="A3122" t="inlineStr">
        <is>
          <t>ktus</t>
        </is>
      </c>
      <c r="B3122" t="n">
        <v>1</v>
      </c>
    </row>
    <row r="3123">
      <c r="A3123" t="inlineStr">
        <is>
          <t>lca</t>
        </is>
      </c>
      <c r="B3123" t="n">
        <v>2</v>
      </c>
    </row>
    <row r="3124">
      <c r="A3124" t="inlineStr">
        <is>
          <t>time use</t>
        </is>
      </c>
      <c r="B3124" t="n">
        <v>2</v>
      </c>
    </row>
    <row r="3125">
      <c r="A3125" t="inlineStr">
        <is>
          <t>airways</t>
        </is>
      </c>
      <c r="B3125" t="n">
        <v>1</v>
      </c>
    </row>
    <row r="3126">
      <c r="A3126" t="inlineStr">
        <is>
          <t>dry air</t>
        </is>
      </c>
      <c r="B3126" t="n">
        <v>1</v>
      </c>
    </row>
    <row r="3127">
      <c r="A3127" t="inlineStr">
        <is>
          <t>respiratory symptoms</t>
        </is>
      </c>
      <c r="B3127" t="n">
        <v>1</v>
      </c>
    </row>
    <row r="3128">
      <c r="A3128" t="inlineStr">
        <is>
          <t>stimuli-organism-response framework</t>
        </is>
      </c>
      <c r="B3128" t="n">
        <v>1</v>
      </c>
    </row>
    <row r="3129">
      <c r="A3129" t="inlineStr">
        <is>
          <t>mental responses</t>
        </is>
      </c>
      <c r="B3129" t="n">
        <v>1</v>
      </c>
    </row>
    <row r="3130">
      <c r="A3130" t="inlineStr">
        <is>
          <t>emotional perception</t>
        </is>
      </c>
      <c r="B3130" t="n">
        <v>1</v>
      </c>
    </row>
    <row r="3131">
      <c r="A3131" t="inlineStr">
        <is>
          <t>hlm</t>
        </is>
      </c>
      <c r="B3131" t="n">
        <v>1</v>
      </c>
    </row>
    <row r="3132">
      <c r="A3132" t="inlineStr">
        <is>
          <t>inclusive design</t>
        </is>
      </c>
      <c r="B3132" t="n">
        <v>1</v>
      </c>
    </row>
    <row r="3133">
      <c r="A3133" t="inlineStr">
        <is>
          <t>neurodiversity</t>
        </is>
      </c>
      <c r="B3133" t="n">
        <v>1</v>
      </c>
    </row>
    <row r="3134">
      <c r="A3134" t="inlineStr">
        <is>
          <t>car ownership and use</t>
        </is>
      </c>
      <c r="B3134" t="n">
        <v>1</v>
      </c>
    </row>
    <row r="3135">
      <c r="A3135" t="inlineStr">
        <is>
          <t>parking availability</t>
        </is>
      </c>
      <c r="B3135" t="n">
        <v>1</v>
      </c>
    </row>
    <row r="3136">
      <c r="A3136" t="inlineStr">
        <is>
          <t>binary logistic model</t>
        </is>
      </c>
      <c r="B3136" t="n">
        <v>1</v>
      </c>
    </row>
    <row r="3137">
      <c r="A3137" t="inlineStr">
        <is>
          <t>pcbs</t>
        </is>
      </c>
      <c r="B3137" t="n">
        <v>1</v>
      </c>
    </row>
    <row r="3138">
      <c r="A3138" t="inlineStr">
        <is>
          <t>contingent valuation</t>
        </is>
      </c>
      <c r="B3138" t="n">
        <v>1</v>
      </c>
    </row>
    <row r="3139">
      <c r="A3139" t="inlineStr">
        <is>
          <t>mountains</t>
        </is>
      </c>
      <c r="B3139" t="n">
        <v>1</v>
      </c>
    </row>
    <row r="3140">
      <c r="A3140" t="inlineStr">
        <is>
          <t>cultural goods</t>
        </is>
      </c>
      <c r="B3140" t="n">
        <v>1</v>
      </c>
    </row>
    <row r="3141">
      <c r="A3141" t="inlineStr">
        <is>
          <t>circular consumption</t>
        </is>
      </c>
      <c r="B3141" t="n">
        <v>1</v>
      </c>
    </row>
    <row r="3142">
      <c r="A3142" t="inlineStr">
        <is>
          <t>obsolescence</t>
        </is>
      </c>
      <c r="B3142" t="n">
        <v>1</v>
      </c>
    </row>
    <row r="3143">
      <c r="A3143" t="inlineStr">
        <is>
          <t>stakeholders</t>
        </is>
      </c>
      <c r="B3143" t="n">
        <v>1</v>
      </c>
    </row>
    <row r="3144">
      <c r="A3144" t="inlineStr">
        <is>
          <t>service learning</t>
        </is>
      </c>
      <c r="B3144" t="n">
        <v>1</v>
      </c>
    </row>
    <row r="3145">
      <c r="A3145" t="inlineStr">
        <is>
          <t>physical education teacher education</t>
        </is>
      </c>
      <c r="B3145" t="n">
        <v>1</v>
      </c>
    </row>
    <row r="3146">
      <c r="A3146" t="inlineStr">
        <is>
          <t>initial teacher training</t>
        </is>
      </c>
      <c r="B3146" t="n">
        <v>1</v>
      </c>
    </row>
    <row r="3147">
      <c r="A3147" t="inlineStr">
        <is>
          <t>health-care</t>
        </is>
      </c>
      <c r="B3147" t="n">
        <v>1</v>
      </c>
    </row>
    <row r="3148">
      <c r="A3148" t="inlineStr">
        <is>
          <t>depressive symptom</t>
        </is>
      </c>
      <c r="B3148" t="n">
        <v>1</v>
      </c>
    </row>
    <row r="3149">
      <c r="A3149" t="inlineStr">
        <is>
          <t>urban and rural area</t>
        </is>
      </c>
      <c r="B3149" t="n">
        <v>1</v>
      </c>
    </row>
    <row r="3150">
      <c r="A3150" t="inlineStr">
        <is>
          <t>dysautonomia</t>
        </is>
      </c>
      <c r="B3150" t="n">
        <v>1</v>
      </c>
    </row>
    <row r="3151">
      <c r="A3151" t="inlineStr">
        <is>
          <t>cardiovascular dysfunction</t>
        </is>
      </c>
      <c r="B3151" t="n">
        <v>1</v>
      </c>
    </row>
    <row r="3152">
      <c r="A3152" t="inlineStr">
        <is>
          <t>postural transition</t>
        </is>
      </c>
      <c r="B3152" t="n">
        <v>1</v>
      </c>
    </row>
    <row r="3153">
      <c r="A3153" t="inlineStr">
        <is>
          <t>feelings of loneliness</t>
        </is>
      </c>
      <c r="B3153" t="n">
        <v>1</v>
      </c>
    </row>
    <row r="3154">
      <c r="A3154" t="inlineStr">
        <is>
          <t>solar heat gain</t>
        </is>
      </c>
      <c r="B3154" t="n">
        <v>1</v>
      </c>
    </row>
    <row r="3155">
      <c r="A3155" t="inlineStr">
        <is>
          <t>building applied photovoltaic</t>
        </is>
      </c>
      <c r="B3155" t="n">
        <v>1</v>
      </c>
    </row>
    <row r="3156">
      <c r="A3156" t="inlineStr">
        <is>
          <t>radiant time series method</t>
        </is>
      </c>
      <c r="B3156" t="n">
        <v>1</v>
      </c>
    </row>
    <row r="3157">
      <c r="A3157" t="inlineStr">
        <is>
          <t>permanent supportive housing</t>
        </is>
      </c>
      <c r="B3157" t="n">
        <v>1</v>
      </c>
    </row>
    <row r="3158">
      <c r="A3158" t="inlineStr">
        <is>
          <t>housing first</t>
        </is>
      </c>
      <c r="B3158" t="n">
        <v>1</v>
      </c>
    </row>
    <row r="3159">
      <c r="A3159" t="inlineStr">
        <is>
          <t>treatment first</t>
        </is>
      </c>
      <c r="B3159" t="n">
        <v>1</v>
      </c>
    </row>
    <row r="3160">
      <c r="A3160" t="inlineStr">
        <is>
          <t>behavioral health</t>
        </is>
      </c>
      <c r="B3160" t="n">
        <v>1</v>
      </c>
    </row>
    <row r="3161">
      <c r="A3161" t="inlineStr">
        <is>
          <t>integrative review</t>
        </is>
      </c>
      <c r="B3161" t="n">
        <v>1</v>
      </c>
    </row>
    <row r="3162">
      <c r="A3162" t="inlineStr">
        <is>
          <t>fitness</t>
        </is>
      </c>
      <c r="B3162" t="n">
        <v>1</v>
      </c>
    </row>
    <row r="3163">
      <c r="A3163" t="inlineStr">
        <is>
          <t>blood indicators</t>
        </is>
      </c>
      <c r="B3163" t="n">
        <v>1</v>
      </c>
    </row>
    <row r="3164">
      <c r="A3164" t="inlineStr">
        <is>
          <t>impact</t>
        </is>
      </c>
      <c r="B3164" t="n">
        <v>1</v>
      </c>
    </row>
    <row r="3165">
      <c r="A3165" t="inlineStr">
        <is>
          <t>organochlorine pesticides</t>
        </is>
      </c>
      <c r="B3165" t="n">
        <v>1</v>
      </c>
    </row>
    <row r="3166">
      <c r="A3166" t="inlineStr">
        <is>
          <t>ddt</t>
        </is>
      </c>
      <c r="B3166" t="n">
        <v>1</v>
      </c>
    </row>
    <row r="3167">
      <c r="A3167" t="inlineStr">
        <is>
          <t>hcb</t>
        </is>
      </c>
      <c r="B3167" t="n">
        <v>1</v>
      </c>
    </row>
    <row r="3168">
      <c r="A3168" t="inlineStr">
        <is>
          <t>hch</t>
        </is>
      </c>
      <c r="B3168" t="n">
        <v>1</v>
      </c>
    </row>
    <row r="3169">
      <c r="A3169" t="inlineStr">
        <is>
          <t>country differences</t>
        </is>
      </c>
      <c r="B3169" t="n">
        <v>1</v>
      </c>
    </row>
    <row r="3170">
      <c r="A3170" t="inlineStr">
        <is>
          <t>shrinkage</t>
        </is>
      </c>
      <c r="B3170" t="n">
        <v>1</v>
      </c>
    </row>
    <row r="3171">
      <c r="A3171" t="inlineStr">
        <is>
          <t>dissociation</t>
        </is>
      </c>
      <c r="B3171" t="n">
        <v>1</v>
      </c>
    </row>
    <row r="3172">
      <c r="A3172" t="inlineStr">
        <is>
          <t>ammonium nitrate</t>
        </is>
      </c>
      <c r="B3172" t="n">
        <v>1</v>
      </c>
    </row>
    <row r="3173">
      <c r="A3173" t="inlineStr">
        <is>
          <t>commuting duration</t>
        </is>
      </c>
      <c r="B3173" t="n">
        <v>1</v>
      </c>
    </row>
    <row r="3174">
      <c r="A3174" t="inlineStr">
        <is>
          <t>built environment type</t>
        </is>
      </c>
      <c r="B3174" t="n">
        <v>1</v>
      </c>
    </row>
    <row r="3175">
      <c r="A3175" t="inlineStr">
        <is>
          <t>d variables</t>
        </is>
      </c>
      <c r="B3175" t="n">
        <v>1</v>
      </c>
    </row>
    <row r="3176">
      <c r="A3176" t="inlineStr">
        <is>
          <t>spatial panel data models</t>
        </is>
      </c>
      <c r="B3176" t="n">
        <v>1</v>
      </c>
    </row>
    <row r="3177">
      <c r="A3177" t="inlineStr">
        <is>
          <t>selection bias</t>
        </is>
      </c>
      <c r="B3177" t="n">
        <v>1</v>
      </c>
    </row>
    <row r="3178">
      <c r="A3178" t="inlineStr">
        <is>
          <t>urban mobility</t>
        </is>
      </c>
      <c r="B3178" t="n">
        <v>1</v>
      </c>
    </row>
    <row r="3179">
      <c r="A3179" t="inlineStr">
        <is>
          <t>disinfection by-products</t>
        </is>
      </c>
      <c r="B3179" t="n">
        <v>1</v>
      </c>
    </row>
    <row r="3180">
      <c r="A3180" t="inlineStr">
        <is>
          <t>indoor swimming pool</t>
        </is>
      </c>
      <c r="B3180" t="n">
        <v>1</v>
      </c>
    </row>
    <row r="3181">
      <c r="A3181" t="inlineStr">
        <is>
          <t>ultrafine particles</t>
        </is>
      </c>
      <c r="B3181" t="n">
        <v>8</v>
      </c>
    </row>
    <row r="3182">
      <c r="A3182" t="inlineStr">
        <is>
          <t>environmental behaviors</t>
        </is>
      </c>
      <c r="B3182" t="n">
        <v>1</v>
      </c>
    </row>
    <row r="3183">
      <c r="A3183" t="inlineStr">
        <is>
          <t>physical outdoor activity</t>
        </is>
      </c>
      <c r="B3183" t="n">
        <v>1</v>
      </c>
    </row>
    <row r="3184">
      <c r="A3184" t="inlineStr">
        <is>
          <t>primary school children</t>
        </is>
      </c>
      <c r="B3184" t="n">
        <v>1</v>
      </c>
    </row>
    <row r="3185">
      <c r="A3185" t="inlineStr">
        <is>
          <t>social norms</t>
        </is>
      </c>
      <c r="B3185" t="n">
        <v>1</v>
      </c>
    </row>
    <row r="3186">
      <c r="A3186" t="inlineStr">
        <is>
          <t>place of residence</t>
        </is>
      </c>
      <c r="B3186" t="n">
        <v>1</v>
      </c>
    </row>
    <row r="3187">
      <c r="A3187" t="inlineStr">
        <is>
          <t>built and natural environment</t>
        </is>
      </c>
      <c r="B3187" t="n">
        <v>2</v>
      </c>
    </row>
    <row r="3188">
      <c r="A3188" t="inlineStr">
        <is>
          <t>high-resolution satellite images</t>
        </is>
      </c>
      <c r="B3188" t="n">
        <v>1</v>
      </c>
    </row>
    <row r="3189">
      <c r="A3189" t="inlineStr">
        <is>
          <t>sub-saharan africa</t>
        </is>
      </c>
      <c r="B3189" t="n">
        <v>2</v>
      </c>
    </row>
    <row r="3190">
      <c r="A3190" t="inlineStr">
        <is>
          <t>human nature connectedness</t>
        </is>
      </c>
      <c r="B3190" t="n">
        <v>1</v>
      </c>
    </row>
    <row r="3191">
      <c r="A3191" t="inlineStr">
        <is>
          <t>hybridization</t>
        </is>
      </c>
      <c r="B3191" t="n">
        <v>1</v>
      </c>
    </row>
    <row r="3192">
      <c r="A3192" t="inlineStr">
        <is>
          <t>hybrid framework</t>
        </is>
      </c>
      <c r="B3192" t="n">
        <v>1</v>
      </c>
    </row>
    <row r="3193">
      <c r="A3193" t="inlineStr">
        <is>
          <t>community building</t>
        </is>
      </c>
      <c r="B3193" t="n">
        <v>1</v>
      </c>
    </row>
    <row r="3194">
      <c r="A3194" t="inlineStr">
        <is>
          <t>built form typology</t>
        </is>
      </c>
      <c r="B3194" t="n">
        <v>1</v>
      </c>
    </row>
    <row r="3195">
      <c r="A3195" t="inlineStr">
        <is>
          <t>front yard</t>
        </is>
      </c>
      <c r="B3195" t="n">
        <v>1</v>
      </c>
    </row>
    <row r="3196">
      <c r="A3196" t="inlineStr">
        <is>
          <t>street</t>
        </is>
      </c>
      <c r="B3196" t="n">
        <v>1</v>
      </c>
    </row>
    <row r="3197">
      <c r="A3197" t="inlineStr">
        <is>
          <t>communication</t>
        </is>
      </c>
      <c r="B3197" t="n">
        <v>1</v>
      </c>
    </row>
    <row r="3198">
      <c r="A3198" t="inlineStr">
        <is>
          <t>closeness</t>
        </is>
      </c>
      <c r="B3198" t="n">
        <v>1</v>
      </c>
    </row>
    <row r="3199">
      <c r="A3199" t="inlineStr">
        <is>
          <t>social bonding</t>
        </is>
      </c>
      <c r="B3199" t="n">
        <v>1</v>
      </c>
    </row>
    <row r="3200">
      <c r="A3200" t="inlineStr">
        <is>
          <t>suicidal ideation</t>
        </is>
      </c>
      <c r="B3200" t="n">
        <v>2</v>
      </c>
    </row>
    <row r="3201">
      <c r="A3201" t="inlineStr">
        <is>
          <t>suicide attempt</t>
        </is>
      </c>
      <c r="B3201" t="n">
        <v>1</v>
      </c>
    </row>
    <row r="3202">
      <c r="A3202" t="inlineStr">
        <is>
          <t>age discrimination</t>
        </is>
      </c>
      <c r="B3202" t="n">
        <v>1</v>
      </c>
    </row>
    <row r="3203">
      <c r="A3203" t="inlineStr">
        <is>
          <t>neglect</t>
        </is>
      </c>
      <c r="B3203" t="n">
        <v>1</v>
      </c>
    </row>
    <row r="3204">
      <c r="A3204" t="inlineStr">
        <is>
          <t>ecological environment</t>
        </is>
      </c>
      <c r="B3204" t="n">
        <v>5</v>
      </c>
    </row>
    <row r="3205">
      <c r="A3205" t="inlineStr">
        <is>
          <t>functional impact</t>
        </is>
      </c>
      <c r="B3205" t="n">
        <v>1</v>
      </c>
    </row>
    <row r="3206">
      <c r="A3206" t="inlineStr">
        <is>
          <t>anews</t>
        </is>
      </c>
      <c r="B3206" t="n">
        <v>1</v>
      </c>
    </row>
    <row r="3207">
      <c r="A3207" t="inlineStr">
        <is>
          <t>ipaq</t>
        </is>
      </c>
      <c r="B3207" t="n">
        <v>1</v>
      </c>
    </row>
    <row r="3208">
      <c r="A3208" t="inlineStr">
        <is>
          <t>walking recommendations</t>
        </is>
      </c>
      <c r="B3208" t="n">
        <v>1</v>
      </c>
    </row>
    <row r="3209">
      <c r="A3209" t="inlineStr">
        <is>
          <t>hearing impairment</t>
        </is>
      </c>
      <c r="B3209" t="n">
        <v>2</v>
      </c>
    </row>
    <row r="3210">
      <c r="A3210" t="inlineStr">
        <is>
          <t>vision impairment</t>
        </is>
      </c>
      <c r="B3210" t="n">
        <v>1</v>
      </c>
    </row>
    <row r="3211">
      <c r="A3211" t="inlineStr">
        <is>
          <t>adl disability</t>
        </is>
      </c>
      <c r="B3211" t="n">
        <v>1</v>
      </c>
    </row>
    <row r="3212">
      <c r="A3212" t="inlineStr">
        <is>
          <t>unstructured play</t>
        </is>
      </c>
      <c r="B3212" t="n">
        <v>1</v>
      </c>
    </row>
    <row r="3213">
      <c r="A3213" t="inlineStr">
        <is>
          <t>playability</t>
        </is>
      </c>
      <c r="B3213" t="n">
        <v>1</v>
      </c>
    </row>
    <row r="3214">
      <c r="A3214" t="inlineStr">
        <is>
          <t>neighbourhood design</t>
        </is>
      </c>
      <c r="B3214" t="n">
        <v>1</v>
      </c>
    </row>
    <row r="3215">
      <c r="A3215" t="inlineStr">
        <is>
          <t>indoor radon gas</t>
        </is>
      </c>
      <c r="B3215" t="n">
        <v>1</v>
      </c>
    </row>
    <row r="3216">
      <c r="A3216" t="inlineStr">
        <is>
          <t>multiple sclerosis (ms)</t>
        </is>
      </c>
      <c r="B3216" t="n">
        <v>1</v>
      </c>
    </row>
    <row r="3217">
      <c r="A3217" t="inlineStr">
        <is>
          <t>case-control study</t>
        </is>
      </c>
      <c r="B3217" t="n">
        <v>2</v>
      </c>
    </row>
    <row r="3218">
      <c r="A3218" t="inlineStr">
        <is>
          <t>asbestos</t>
        </is>
      </c>
      <c r="B3218" t="n">
        <v>1</v>
      </c>
    </row>
    <row r="3219">
      <c r="A3219" t="inlineStr">
        <is>
          <t>asbestos-containing materials (acms)</t>
        </is>
      </c>
      <c r="B3219" t="n">
        <v>1</v>
      </c>
    </row>
    <row r="3220">
      <c r="A3220" t="inlineStr">
        <is>
          <t>asbestos exposure risk</t>
        </is>
      </c>
      <c r="B3220" t="n">
        <v>1</v>
      </c>
    </row>
    <row r="3221">
      <c r="A3221" t="inlineStr">
        <is>
          <t>vertical greening system (vgs)</t>
        </is>
      </c>
      <c r="B3221" t="n">
        <v>1</v>
      </c>
    </row>
    <row r="3222">
      <c r="A3222" t="inlineStr">
        <is>
          <t>building green performance</t>
        </is>
      </c>
      <c r="B3222" t="n">
        <v>1</v>
      </c>
    </row>
    <row r="3223">
      <c r="A3223" t="inlineStr">
        <is>
          <t>real-time monitoring</t>
        </is>
      </c>
      <c r="B3223" t="n">
        <v>1</v>
      </c>
    </row>
    <row r="3224">
      <c r="A3224" t="inlineStr">
        <is>
          <t>energy conservation</t>
        </is>
      </c>
      <c r="B3224" t="n">
        <v>1</v>
      </c>
    </row>
    <row r="3225">
      <c r="A3225" t="inlineStr">
        <is>
          <t>blacks</t>
        </is>
      </c>
      <c r="B3225" t="n">
        <v>2</v>
      </c>
    </row>
    <row r="3226">
      <c r="A3226" t="inlineStr">
        <is>
          <t>drinking</t>
        </is>
      </c>
      <c r="B3226" t="n">
        <v>2</v>
      </c>
    </row>
    <row r="3227">
      <c r="A3227" t="inlineStr">
        <is>
          <t>positive affect</t>
        </is>
      </c>
      <c r="B3227" t="n">
        <v>1</v>
      </c>
    </row>
    <row r="3228">
      <c r="A3228" t="inlineStr">
        <is>
          <t>negative affect</t>
        </is>
      </c>
      <c r="B3228" t="n">
        <v>1</v>
      </c>
    </row>
    <row r="3229">
      <c r="A3229" t="inlineStr">
        <is>
          <t>restorative environment</t>
        </is>
      </c>
      <c r="B3229" t="n">
        <v>1</v>
      </c>
    </row>
    <row r="3230">
      <c r="A3230" t="inlineStr">
        <is>
          <t>gait speed</t>
        </is>
      </c>
      <c r="B3230" t="n">
        <v>1</v>
      </c>
    </row>
    <row r="3231">
      <c r="A3231" t="inlineStr">
        <is>
          <t>biomarker</t>
        </is>
      </c>
      <c r="B3231" t="n">
        <v>2</v>
      </c>
    </row>
    <row r="3232">
      <c r="A3232" t="inlineStr">
        <is>
          <t>existing building</t>
        </is>
      </c>
      <c r="B3232" t="n">
        <v>1</v>
      </c>
    </row>
    <row r="3233">
      <c r="A3233" t="inlineStr">
        <is>
          <t>operation strategy</t>
        </is>
      </c>
      <c r="B3233" t="n">
        <v>1</v>
      </c>
    </row>
    <row r="3234">
      <c r="A3234" t="inlineStr">
        <is>
          <t>financial strain</t>
        </is>
      </c>
      <c r="B3234" t="n">
        <v>1</v>
      </c>
    </row>
    <row r="3235">
      <c r="A3235" t="inlineStr">
        <is>
          <t>income</t>
        </is>
      </c>
      <c r="B3235" t="n">
        <v>1</v>
      </c>
    </row>
    <row r="3236">
      <c r="A3236" t="inlineStr">
        <is>
          <t>hazard mapping</t>
        </is>
      </c>
      <c r="B3236" t="n">
        <v>1</v>
      </c>
    </row>
    <row r="3237">
      <c r="A3237" t="inlineStr">
        <is>
          <t>geogenic radon</t>
        </is>
      </c>
      <c r="B3237" t="n">
        <v>1</v>
      </c>
    </row>
    <row r="3238">
      <c r="A3238" t="inlineStr">
        <is>
          <t>radon priority areas</t>
        </is>
      </c>
      <c r="B3238" t="n">
        <v>1</v>
      </c>
    </row>
    <row r="3239">
      <c r="A3239" t="inlineStr">
        <is>
          <t>predictive modelling</t>
        </is>
      </c>
      <c r="B3239" t="n">
        <v>1</v>
      </c>
    </row>
    <row r="3240">
      <c r="A3240" t="inlineStr">
        <is>
          <t>environment of autonomy support</t>
        </is>
      </c>
      <c r="B3240" t="n">
        <v>1</v>
      </c>
    </row>
    <row r="3241">
      <c r="A3241" t="inlineStr">
        <is>
          <t>physical education</t>
        </is>
      </c>
      <c r="B3241" t="n">
        <v>2</v>
      </c>
    </row>
    <row r="3242">
      <c r="A3242" t="inlineStr">
        <is>
          <t>learning motivation</t>
        </is>
      </c>
      <c r="B3242" t="n">
        <v>1</v>
      </c>
    </row>
    <row r="3243">
      <c r="A3243" t="inlineStr">
        <is>
          <t>learning environment satisfaction</t>
        </is>
      </c>
      <c r="B3243" t="n">
        <v>1</v>
      </c>
    </row>
    <row r="3244">
      <c r="A3244" t="inlineStr">
        <is>
          <t>african immigrants</t>
        </is>
      </c>
      <c r="B3244" t="n">
        <v>1</v>
      </c>
    </row>
    <row r="3245">
      <c r="A3245" t="inlineStr">
        <is>
          <t>age-friendliness</t>
        </is>
      </c>
      <c r="B3245" t="n">
        <v>1</v>
      </c>
    </row>
    <row r="3246">
      <c r="A3246" t="inlineStr">
        <is>
          <t>sentiment</t>
        </is>
      </c>
      <c r="B3246" t="n">
        <v>1</v>
      </c>
    </row>
    <row r="3247">
      <c r="A3247" t="inlineStr">
        <is>
          <t>weibo comments</t>
        </is>
      </c>
      <c r="B3247" t="n">
        <v>1</v>
      </c>
    </row>
    <row r="3248">
      <c r="A3248" t="inlineStr">
        <is>
          <t>landscape elements</t>
        </is>
      </c>
      <c r="B3248" t="n">
        <v>1</v>
      </c>
    </row>
    <row r="3249">
      <c r="A3249" t="inlineStr">
        <is>
          <t>local landscape</t>
        </is>
      </c>
      <c r="B3249" t="n">
        <v>1</v>
      </c>
    </row>
    <row r="3250">
      <c r="A3250" t="inlineStr">
        <is>
          <t>new environments</t>
        </is>
      </c>
      <c r="B3250" t="n">
        <v>1</v>
      </c>
    </row>
    <row r="3251">
      <c r="A3251" t="inlineStr">
        <is>
          <t>place identity</t>
        </is>
      </c>
      <c r="B3251" t="n">
        <v>1</v>
      </c>
    </row>
    <row r="3252">
      <c r="A3252" t="inlineStr">
        <is>
          <t>thermal conditions</t>
        </is>
      </c>
      <c r="B3252" t="n">
        <v>1</v>
      </c>
    </row>
    <row r="3253">
      <c r="A3253" t="inlineStr">
        <is>
          <t>school building microenvironment</t>
        </is>
      </c>
      <c r="B3253" t="n">
        <v>1</v>
      </c>
    </row>
    <row r="3254">
      <c r="A3254" t="inlineStr">
        <is>
          <t>multifamily housing</t>
        </is>
      </c>
      <c r="B3254" t="n">
        <v>1</v>
      </c>
    </row>
    <row r="3255">
      <c r="A3255" t="inlineStr">
        <is>
          <t>lifestyle intervention</t>
        </is>
      </c>
      <c r="B3255" t="n">
        <v>1</v>
      </c>
    </row>
    <row r="3256">
      <c r="A3256" t="inlineStr">
        <is>
          <t>evidence-based programs</t>
        </is>
      </c>
      <c r="B3256" t="n">
        <v>1</v>
      </c>
    </row>
    <row r="3257">
      <c r="A3257" t="inlineStr">
        <is>
          <t>program evaluation</t>
        </is>
      </c>
      <c r="B3257" t="n">
        <v>1</v>
      </c>
    </row>
    <row r="3258">
      <c r="A3258" t="inlineStr">
        <is>
          <t>outreach</t>
        </is>
      </c>
      <c r="B3258" t="n">
        <v>1</v>
      </c>
    </row>
    <row r="3259">
      <c r="A3259" t="inlineStr">
        <is>
          <t>instagram</t>
        </is>
      </c>
      <c r="B3259" t="n">
        <v>2</v>
      </c>
    </row>
    <row r="3260">
      <c r="A3260" t="inlineStr">
        <is>
          <t>social media network</t>
        </is>
      </c>
      <c r="B3260" t="n">
        <v>1</v>
      </c>
    </row>
    <row r="3261">
      <c r="A3261" t="inlineStr">
        <is>
          <t>expression of dining</t>
        </is>
      </c>
      <c r="B3261" t="n">
        <v>1</v>
      </c>
    </row>
    <row r="3262">
      <c r="A3262" t="inlineStr">
        <is>
          <t>hvac environ</t>
        </is>
      </c>
      <c r="B3262" t="n">
        <v>1</v>
      </c>
    </row>
    <row r="3263">
      <c r="A3263" t="inlineStr">
        <is>
          <t>material emissions</t>
        </is>
      </c>
      <c r="B3263" t="n">
        <v>1</v>
      </c>
    </row>
    <row r="3264">
      <c r="A3264" t="inlineStr">
        <is>
          <t>traffic carbon emissions</t>
        </is>
      </c>
      <c r="B3264" t="n">
        <v>1</v>
      </c>
    </row>
    <row r="3265">
      <c r="A3265" t="inlineStr">
        <is>
          <t>knowledge map</t>
        </is>
      </c>
      <c r="B3265" t="n">
        <v>1</v>
      </c>
    </row>
    <row r="3266">
      <c r="A3266" t="inlineStr">
        <is>
          <t>back pain</t>
        </is>
      </c>
      <c r="B3266" t="n">
        <v>1</v>
      </c>
    </row>
    <row r="3267">
      <c r="A3267" t="inlineStr">
        <is>
          <t>chronic</t>
        </is>
      </c>
      <c r="B3267" t="n">
        <v>1</v>
      </c>
    </row>
    <row r="3268">
      <c r="A3268" t="inlineStr">
        <is>
          <t>underserved</t>
        </is>
      </c>
      <c r="B3268" t="n">
        <v>1</v>
      </c>
    </row>
    <row r="3269">
      <c r="A3269" t="inlineStr">
        <is>
          <t>african american</t>
        </is>
      </c>
      <c r="B3269" t="n">
        <v>3</v>
      </c>
    </row>
    <row r="3270">
      <c r="A3270" t="inlineStr">
        <is>
          <t>saudi</t>
        </is>
      </c>
      <c r="B3270" t="n">
        <v>1</v>
      </c>
    </row>
    <row r="3271">
      <c r="A3271" t="inlineStr">
        <is>
          <t>prefrailty</t>
        </is>
      </c>
      <c r="B3271" t="n">
        <v>1</v>
      </c>
    </row>
    <row r="3272">
      <c r="A3272" t="inlineStr">
        <is>
          <t>nutritional status</t>
        </is>
      </c>
      <c r="B3272" t="n">
        <v>3</v>
      </c>
    </row>
    <row r="3273">
      <c r="A3273" t="inlineStr">
        <is>
          <t>food insecurity</t>
        </is>
      </c>
      <c r="B3273" t="n">
        <v>2</v>
      </c>
    </row>
    <row r="3274">
      <c r="A3274" t="inlineStr">
        <is>
          <t>multivariate data analysis</t>
        </is>
      </c>
      <c r="B3274" t="n">
        <v>1</v>
      </c>
    </row>
    <row r="3275">
      <c r="A3275" t="inlineStr">
        <is>
          <t>principle component analysis</t>
        </is>
      </c>
      <c r="B3275" t="n">
        <v>1</v>
      </c>
    </row>
    <row r="3276">
      <c r="A3276" t="inlineStr">
        <is>
          <t>partial least squares</t>
        </is>
      </c>
      <c r="B3276" t="n">
        <v>1</v>
      </c>
    </row>
    <row r="3277">
      <c r="A3277" t="inlineStr">
        <is>
          <t>perceived accessibility</t>
        </is>
      </c>
      <c r="B3277" t="n">
        <v>1</v>
      </c>
    </row>
    <row r="3278">
      <c r="A3278" t="inlineStr">
        <is>
          <t>participation in activities</t>
        </is>
      </c>
      <c r="B3278" t="n">
        <v>1</v>
      </c>
    </row>
    <row r="3279">
      <c r="A3279" t="inlineStr">
        <is>
          <t>israel</t>
        </is>
      </c>
      <c r="B3279" t="n">
        <v>1</v>
      </c>
    </row>
    <row r="3280">
      <c r="A3280" t="inlineStr">
        <is>
          <t>pbde</t>
        </is>
      </c>
      <c r="B3280" t="n">
        <v>1</v>
      </c>
    </row>
    <row r="3281">
      <c r="A3281" t="inlineStr">
        <is>
          <t>dust</t>
        </is>
      </c>
      <c r="B3281" t="n">
        <v>3</v>
      </c>
    </row>
    <row r="3282">
      <c r="A3282" t="inlineStr">
        <is>
          <t>body burden</t>
        </is>
      </c>
      <c r="B3282" t="n">
        <v>1</v>
      </c>
    </row>
    <row r="3283">
      <c r="A3283" t="inlineStr">
        <is>
          <t>square dance</t>
        </is>
      </c>
      <c r="B3283" t="n">
        <v>1</v>
      </c>
    </row>
    <row r="3284">
      <c r="A3284" t="inlineStr">
        <is>
          <t>urban fringe</t>
        </is>
      </c>
      <c r="B3284" t="n">
        <v>1</v>
      </c>
    </row>
    <row r="3285">
      <c r="A3285" t="inlineStr">
        <is>
          <t>structural elements</t>
        </is>
      </c>
      <c r="B3285" t="n">
        <v>1</v>
      </c>
    </row>
    <row r="3286">
      <c r="A3286" t="inlineStr">
        <is>
          <t>bioclimatic architecture</t>
        </is>
      </c>
      <c r="B3286" t="n">
        <v>1</v>
      </c>
    </row>
    <row r="3287">
      <c r="A3287" t="inlineStr">
        <is>
          <t>healthcare environments</t>
        </is>
      </c>
      <c r="B3287" t="n">
        <v>1</v>
      </c>
    </row>
    <row r="3288">
      <c r="A3288" t="inlineStr">
        <is>
          <t>alexandroupolis</t>
        </is>
      </c>
      <c r="B3288" t="n">
        <v>1</v>
      </c>
    </row>
    <row r="3289">
      <c r="A3289" t="inlineStr">
        <is>
          <t>occupational stress</t>
        </is>
      </c>
      <c r="B3289" t="n">
        <v>1</v>
      </c>
    </row>
    <row r="3290">
      <c r="A3290" t="inlineStr">
        <is>
          <t>archaeology</t>
        </is>
      </c>
      <c r="B3290" t="n">
        <v>1</v>
      </c>
    </row>
    <row r="3291">
      <c r="A3291" t="inlineStr">
        <is>
          <t>fire</t>
        </is>
      </c>
      <c r="B3291" t="n">
        <v>1</v>
      </c>
    </row>
    <row r="3292">
      <c r="A3292" t="inlineStr">
        <is>
          <t>neolithic</t>
        </is>
      </c>
      <c r="B3292" t="n">
        <v>1</v>
      </c>
    </row>
    <row r="3293">
      <c r="A3293" t="inlineStr">
        <is>
          <t>synthetic musk compounds</t>
        </is>
      </c>
      <c r="B3293" t="n">
        <v>1</v>
      </c>
    </row>
    <row r="3294">
      <c r="A3294" t="inlineStr">
        <is>
          <t>polycyclic musks</t>
        </is>
      </c>
      <c r="B3294" t="n">
        <v>1</v>
      </c>
    </row>
    <row r="3295">
      <c r="A3295" t="inlineStr">
        <is>
          <t>nitro musks</t>
        </is>
      </c>
      <c r="B3295" t="n">
        <v>1</v>
      </c>
    </row>
    <row r="3296">
      <c r="A3296" t="inlineStr">
        <is>
          <t>vacuum dust</t>
        </is>
      </c>
      <c r="B3296" t="n">
        <v>1</v>
      </c>
    </row>
    <row r="3297">
      <c r="A3297" t="inlineStr">
        <is>
          <t>bacterial assemblage</t>
        </is>
      </c>
      <c r="B3297" t="n">
        <v>1</v>
      </c>
    </row>
    <row r="3298">
      <c r="A3298" t="inlineStr">
        <is>
          <t>16s</t>
        </is>
      </c>
      <c r="B3298" t="n">
        <v>1</v>
      </c>
    </row>
    <row r="3299">
      <c r="A3299" t="inlineStr">
        <is>
          <t>outbreaks</t>
        </is>
      </c>
      <c r="B3299" t="n">
        <v>1</v>
      </c>
    </row>
    <row r="3300">
      <c r="A3300" t="inlineStr">
        <is>
          <t>building air tightness</t>
        </is>
      </c>
      <c r="B3300" t="n">
        <v>1</v>
      </c>
    </row>
    <row r="3301">
      <c r="A3301" t="inlineStr">
        <is>
          <t>internal activities</t>
        </is>
      </c>
      <c r="B3301" t="n">
        <v>1</v>
      </c>
    </row>
    <row r="3302">
      <c r="A3302" t="inlineStr">
        <is>
          <t>urban traffic</t>
        </is>
      </c>
      <c r="B3302" t="n">
        <v>4</v>
      </c>
    </row>
    <row r="3303">
      <c r="A3303" t="inlineStr">
        <is>
          <t>gradient boosting decision tree</t>
        </is>
      </c>
      <c r="B3303" t="n">
        <v>3</v>
      </c>
    </row>
    <row r="3304">
      <c r="A3304" t="inlineStr">
        <is>
          <t>car ownership</t>
        </is>
      </c>
      <c r="B3304" t="n">
        <v>2</v>
      </c>
    </row>
    <row r="3305">
      <c r="A3305" t="inlineStr">
        <is>
          <t>nonlinear effects</t>
        </is>
      </c>
      <c r="B3305" t="n">
        <v>1</v>
      </c>
    </row>
    <row r="3306">
      <c r="A3306" t="inlineStr">
        <is>
          <t>humidifier</t>
        </is>
      </c>
      <c r="B3306" t="n">
        <v>1</v>
      </c>
    </row>
    <row r="3307">
      <c r="A3307" t="inlineStr">
        <is>
          <t>respiratory infection</t>
        </is>
      </c>
      <c r="B3307" t="n">
        <v>1</v>
      </c>
    </row>
    <row r="3308">
      <c r="A3308" t="inlineStr">
        <is>
          <t>ongoing participation</t>
        </is>
      </c>
      <c r="B3308" t="n">
        <v>1</v>
      </c>
    </row>
    <row r="3309">
      <c r="A3309" t="inlineStr">
        <is>
          <t>experience values</t>
        </is>
      </c>
      <c r="B3309" t="n">
        <v>1</v>
      </c>
    </row>
    <row r="3310">
      <c r="A3310" t="inlineStr">
        <is>
          <t>aerosol dynamic model</t>
        </is>
      </c>
      <c r="B3310" t="n">
        <v>1</v>
      </c>
    </row>
    <row r="3311">
      <c r="A3311" t="inlineStr">
        <is>
          <t>particle size distribution</t>
        </is>
      </c>
      <c r="B3311" t="n">
        <v>1</v>
      </c>
    </row>
    <row r="3312">
      <c r="A3312" t="inlineStr">
        <is>
          <t>indoor activities</t>
        </is>
      </c>
      <c r="B3312" t="n">
        <v>2</v>
      </c>
    </row>
    <row r="3313">
      <c r="A3313" t="inlineStr">
        <is>
          <t>adaptive opportunities</t>
        </is>
      </c>
      <c r="B3313" t="n">
        <v>1</v>
      </c>
    </row>
    <row r="3314">
      <c r="A3314" t="inlineStr">
        <is>
          <t>lighting</t>
        </is>
      </c>
      <c r="B3314" t="n">
        <v>1</v>
      </c>
    </row>
    <row r="3315">
      <c r="A3315" t="inlineStr">
        <is>
          <t>health recovery</t>
        </is>
      </c>
      <c r="B3315" t="n">
        <v>1</v>
      </c>
    </row>
    <row r="3316">
      <c r="A3316" t="inlineStr">
        <is>
          <t>health satisfaction</t>
        </is>
      </c>
      <c r="B3316" t="n">
        <v>1</v>
      </c>
    </row>
    <row r="3317">
      <c r="A3317" t="inlineStr">
        <is>
          <t>hospital ward</t>
        </is>
      </c>
      <c r="B3317" t="n">
        <v>2</v>
      </c>
    </row>
    <row r="3318">
      <c r="A3318" t="inlineStr">
        <is>
          <t>internet use</t>
        </is>
      </c>
      <c r="B3318" t="n">
        <v>4</v>
      </c>
    </row>
    <row r="3319">
      <c r="A3319" t="inlineStr">
        <is>
          <t>indoor positioning system</t>
        </is>
      </c>
      <c r="B3319" t="n">
        <v>1</v>
      </c>
    </row>
    <row r="3320">
      <c r="A3320" t="inlineStr">
        <is>
          <t>acoustic ranging</t>
        </is>
      </c>
      <c r="B3320" t="n">
        <v>1</v>
      </c>
    </row>
    <row r="3321">
      <c r="A3321" t="inlineStr">
        <is>
          <t>wi-fi fingerprinting</t>
        </is>
      </c>
      <c r="B3321" t="n">
        <v>1</v>
      </c>
    </row>
    <row r="3322">
      <c r="A3322" t="inlineStr">
        <is>
          <t>data and model dual-driven</t>
        </is>
      </c>
      <c r="B3322" t="n">
        <v>1</v>
      </c>
    </row>
    <row r="3323">
      <c r="A3323" t="inlineStr">
        <is>
          <t>adaptive unscented kalman filter</t>
        </is>
      </c>
      <c r="B3323" t="n">
        <v>1</v>
      </c>
    </row>
    <row r="3324">
      <c r="A3324" t="inlineStr">
        <is>
          <t>spatial differences</t>
        </is>
      </c>
      <c r="B3324" t="n">
        <v>1</v>
      </c>
    </row>
    <row r="3325">
      <c r="A3325" t="inlineStr">
        <is>
          <t>human diseases</t>
        </is>
      </c>
      <c r="B3325" t="n">
        <v>1</v>
      </c>
    </row>
    <row r="3326">
      <c r="A3326" t="inlineStr">
        <is>
          <t>new solution</t>
        </is>
      </c>
      <c r="B3326" t="n">
        <v>1</v>
      </c>
    </row>
    <row r="3327">
      <c r="A3327" t="inlineStr">
        <is>
          <t>aquariums</t>
        </is>
      </c>
      <c r="B3327" t="n">
        <v>1</v>
      </c>
    </row>
    <row r="3328">
      <c r="A3328" t="inlineStr">
        <is>
          <t>fluorescent fish</t>
        </is>
      </c>
      <c r="B3328" t="n">
        <v>1</v>
      </c>
    </row>
    <row r="3329">
      <c r="A3329" t="inlineStr">
        <is>
          <t>furniture</t>
        </is>
      </c>
      <c r="B3329" t="n">
        <v>1</v>
      </c>
    </row>
    <row r="3330">
      <c r="A3330" t="inlineStr">
        <is>
          <t>skyscraper</t>
        </is>
      </c>
      <c r="B3330" t="n">
        <v>1</v>
      </c>
    </row>
    <row r="3331">
      <c r="A3331" t="inlineStr">
        <is>
          <t>kun min</t>
        </is>
      </c>
      <c r="B3331" t="n">
        <v>1</v>
      </c>
    </row>
    <row r="3332">
      <c r="A3332" t="inlineStr">
        <is>
          <t>interior</t>
        </is>
      </c>
      <c r="B3332" t="n">
        <v>1</v>
      </c>
    </row>
    <row r="3333">
      <c r="A3333" t="inlineStr">
        <is>
          <t>self-reported health status</t>
        </is>
      </c>
      <c r="B3333" t="n">
        <v>1</v>
      </c>
    </row>
    <row r="3334">
      <c r="A3334" t="inlineStr">
        <is>
          <t>health-promoting lifestyles</t>
        </is>
      </c>
      <c r="B3334" t="n">
        <v>1</v>
      </c>
    </row>
    <row r="3335">
      <c r="A3335" t="inlineStr">
        <is>
          <t>ehealth literacy</t>
        </is>
      </c>
      <c r="B3335" t="n">
        <v>1</v>
      </c>
    </row>
    <row r="3336">
      <c r="A3336" t="inlineStr">
        <is>
          <t>cognitive health</t>
        </is>
      </c>
      <c r="B3336" t="n">
        <v>1</v>
      </c>
    </row>
    <row r="3337">
      <c r="A3337" t="inlineStr">
        <is>
          <t>sports development</t>
        </is>
      </c>
      <c r="B3337" t="n">
        <v>1</v>
      </c>
    </row>
    <row r="3338">
      <c r="A3338" t="inlineStr">
        <is>
          <t>country parks</t>
        </is>
      </c>
      <c r="B3338" t="n">
        <v>1</v>
      </c>
    </row>
    <row r="3339">
      <c r="A3339" t="inlineStr">
        <is>
          <t>ultrafine</t>
        </is>
      </c>
      <c r="B3339" t="n">
        <v>1</v>
      </c>
    </row>
    <row r="3340">
      <c r="A3340" t="inlineStr">
        <is>
          <t>depleted uranium</t>
        </is>
      </c>
      <c r="B3340" t="n">
        <v>1</v>
      </c>
    </row>
    <row r="3341">
      <c r="A3341" t="inlineStr">
        <is>
          <t>corrosion</t>
        </is>
      </c>
      <c r="B3341" t="n">
        <v>2</v>
      </c>
    </row>
    <row r="3342">
      <c r="A3342" t="inlineStr">
        <is>
          <t>soil</t>
        </is>
      </c>
      <c r="B3342" t="n">
        <v>1</v>
      </c>
    </row>
    <row r="3343">
      <c r="A3343" t="inlineStr">
        <is>
          <t>seawater</t>
        </is>
      </c>
      <c r="B3343" t="n">
        <v>1</v>
      </c>
    </row>
    <row r="3344">
      <c r="A3344" t="inlineStr">
        <is>
          <t>eskmeals</t>
        </is>
      </c>
      <c r="B3344" t="n">
        <v>1</v>
      </c>
    </row>
    <row r="3345">
      <c r="A3345" t="inlineStr">
        <is>
          <t>kirkcudbright</t>
        </is>
      </c>
      <c r="B3345" t="n">
        <v>1</v>
      </c>
    </row>
    <row r="3346">
      <c r="A3346" t="inlineStr">
        <is>
          <t>self-organizing maps (som)</t>
        </is>
      </c>
      <c r="B3346" t="n">
        <v>1</v>
      </c>
    </row>
    <row r="3347">
      <c r="A3347" t="inlineStr">
        <is>
          <t>artificial neural network analysis</t>
        </is>
      </c>
      <c r="B3347" t="n">
        <v>1</v>
      </c>
    </row>
    <row r="3348">
      <c r="A3348" t="inlineStr">
        <is>
          <t>body composition and physical performance tests</t>
        </is>
      </c>
      <c r="B3348" t="n">
        <v>1</v>
      </c>
    </row>
    <row r="3349">
      <c r="A3349" t="inlineStr">
        <is>
          <t>decarbonization</t>
        </is>
      </c>
      <c r="B3349" t="n">
        <v>1</v>
      </c>
    </row>
    <row r="3350">
      <c r="A3350" t="inlineStr">
        <is>
          <t>cop26</t>
        </is>
      </c>
      <c r="B3350" t="n">
        <v>1</v>
      </c>
    </row>
    <row r="3351">
      <c r="A3351" t="inlineStr">
        <is>
          <t>cop27</t>
        </is>
      </c>
      <c r="B3351" t="n">
        <v>1</v>
      </c>
    </row>
    <row r="3352">
      <c r="A3352" t="inlineStr">
        <is>
          <t>uae climate change plan</t>
        </is>
      </c>
      <c r="B3352" t="n">
        <v>1</v>
      </c>
    </row>
    <row r="3353">
      <c r="A3353" t="inlineStr">
        <is>
          <t>embodied</t>
        </is>
      </c>
      <c r="B3353" t="n">
        <v>1</v>
      </c>
    </row>
    <row r="3354">
      <c r="A3354" t="inlineStr">
        <is>
          <t>operational carbon</t>
        </is>
      </c>
      <c r="B3354" t="n">
        <v>1</v>
      </c>
    </row>
    <row r="3355">
      <c r="A3355" t="inlineStr">
        <is>
          <t>vitruvius</t>
        </is>
      </c>
      <c r="B3355" t="n">
        <v>1</v>
      </c>
    </row>
    <row r="3356">
      <c r="A3356" t="inlineStr">
        <is>
          <t>de architectura</t>
        </is>
      </c>
      <c r="B3356" t="n">
        <v>1</v>
      </c>
    </row>
    <row r="3357">
      <c r="A3357" t="inlineStr">
        <is>
          <t>civil engineering</t>
        </is>
      </c>
      <c r="B3357" t="n">
        <v>1</v>
      </c>
    </row>
    <row r="3358">
      <c r="A3358" t="inlineStr">
        <is>
          <t>structural engineering</t>
        </is>
      </c>
      <c r="B3358" t="n">
        <v>1</v>
      </c>
    </row>
    <row r="3359">
      <c r="A3359" t="inlineStr">
        <is>
          <t>building science</t>
        </is>
      </c>
      <c r="B3359" t="n">
        <v>1</v>
      </c>
    </row>
    <row r="3360">
      <c r="A3360" t="inlineStr">
        <is>
          <t>roman architecture</t>
        </is>
      </c>
      <c r="B3360" t="n">
        <v>1</v>
      </c>
    </row>
    <row r="3361">
      <c r="A3361" t="inlineStr">
        <is>
          <t>roman antiquity</t>
        </is>
      </c>
      <c r="B3361" t="n">
        <v>1</v>
      </c>
    </row>
    <row r="3362">
      <c r="A3362" t="inlineStr">
        <is>
          <t>inflammatory reaction</t>
        </is>
      </c>
      <c r="B3362" t="n">
        <v>1</v>
      </c>
    </row>
    <row r="3363">
      <c r="A3363" t="inlineStr">
        <is>
          <t>dietary salt intake</t>
        </is>
      </c>
      <c r="B3363" t="n">
        <v>1</v>
      </c>
    </row>
    <row r="3364">
      <c r="A3364" t="inlineStr">
        <is>
          <t>multivariable logistic regression</t>
        </is>
      </c>
      <c r="B3364" t="n">
        <v>1</v>
      </c>
    </row>
    <row r="3365">
      <c r="A3365" t="inlineStr">
        <is>
          <t>occupation</t>
        </is>
      </c>
      <c r="B3365" t="n">
        <v>2</v>
      </c>
    </row>
    <row r="3366">
      <c r="A3366" t="inlineStr">
        <is>
          <t>polypharmacy</t>
        </is>
      </c>
      <c r="B3366" t="n">
        <v>4</v>
      </c>
    </row>
    <row r="3367">
      <c r="A3367" t="inlineStr">
        <is>
          <t>deprescribing</t>
        </is>
      </c>
      <c r="B3367" t="n">
        <v>1</v>
      </c>
    </row>
    <row r="3368">
      <c r="A3368" t="inlineStr">
        <is>
          <t>radon transport</t>
        </is>
      </c>
      <c r="B3368" t="n">
        <v>1</v>
      </c>
    </row>
    <row r="3369">
      <c r="A3369" t="inlineStr">
        <is>
          <t>radon exhalation</t>
        </is>
      </c>
      <c r="B3369" t="n">
        <v>1</v>
      </c>
    </row>
    <row r="3370">
      <c r="A3370" t="inlineStr">
        <is>
          <t>architectural design process</t>
        </is>
      </c>
      <c r="B3370" t="n">
        <v>1</v>
      </c>
    </row>
    <row r="3371">
      <c r="A3371" t="inlineStr">
        <is>
          <t>optimization</t>
        </is>
      </c>
      <c r="B3371" t="n">
        <v>2</v>
      </c>
    </row>
    <row r="3372">
      <c r="A3372" t="inlineStr">
        <is>
          <t>simplified lca</t>
        </is>
      </c>
      <c r="B3372" t="n">
        <v>1</v>
      </c>
    </row>
    <row r="3373">
      <c r="A3373" t="inlineStr">
        <is>
          <t>cardiometabolic risk</t>
        </is>
      </c>
      <c r="B3373" t="n">
        <v>1</v>
      </c>
    </row>
    <row r="3374">
      <c r="A3374" t="inlineStr">
        <is>
          <t>concept mapping</t>
        </is>
      </c>
      <c r="B3374" t="n">
        <v>1</v>
      </c>
    </row>
    <row r="3375">
      <c r="A3375" t="inlineStr">
        <is>
          <t>researcher perspectives</t>
        </is>
      </c>
      <c r="B3375" t="n">
        <v>1</v>
      </c>
    </row>
    <row r="3376">
      <c r="A3376" t="inlineStr">
        <is>
          <t>functioning</t>
        </is>
      </c>
      <c r="B3376" t="n">
        <v>1</v>
      </c>
    </row>
    <row r="3377">
      <c r="A3377" t="inlineStr">
        <is>
          <t>day center</t>
        </is>
      </c>
      <c r="B3377" t="n">
        <v>1</v>
      </c>
    </row>
    <row r="3378">
      <c r="A3378" t="inlineStr">
        <is>
          <t>european working group on sarcopenia in older people 2 (ewgsop2)</t>
        </is>
      </c>
      <c r="B3378" t="n">
        <v>1</v>
      </c>
    </row>
    <row r="3379">
      <c r="A3379" t="inlineStr">
        <is>
          <t>muscle strength</t>
        </is>
      </c>
      <c r="B3379" t="n">
        <v>4</v>
      </c>
    </row>
    <row r="3380">
      <c r="A3380" t="inlineStr">
        <is>
          <t>urban center</t>
        </is>
      </c>
      <c r="B3380" t="n">
        <v>1</v>
      </c>
    </row>
    <row r="3381">
      <c r="A3381" t="inlineStr">
        <is>
          <t>public transportation</t>
        </is>
      </c>
      <c r="B3381" t="n">
        <v>1</v>
      </c>
    </row>
    <row r="3382">
      <c r="A3382" t="inlineStr">
        <is>
          <t>theory of suicide</t>
        </is>
      </c>
      <c r="B3382" t="n">
        <v>1</v>
      </c>
    </row>
    <row r="3383">
      <c r="A3383" t="inlineStr">
        <is>
          <t>high-altitude areas</t>
        </is>
      </c>
      <c r="B3383" t="n">
        <v>1</v>
      </c>
    </row>
    <row r="3384">
      <c r="A3384" t="inlineStr">
        <is>
          <t>network analysis</t>
        </is>
      </c>
      <c r="B3384" t="n">
        <v>1</v>
      </c>
    </row>
    <row r="3385">
      <c r="A3385" t="inlineStr">
        <is>
          <t>qinghai-tibet plateau</t>
        </is>
      </c>
      <c r="B3385" t="n">
        <v>1</v>
      </c>
    </row>
    <row r="3386">
      <c r="A3386" t="inlineStr">
        <is>
          <t>free-floating bicycle</t>
        </is>
      </c>
      <c r="B3386" t="n">
        <v>1</v>
      </c>
    </row>
    <row r="3387">
      <c r="A3387" t="inlineStr">
        <is>
          <t>bike sharing usage</t>
        </is>
      </c>
      <c r="B3387" t="n">
        <v>1</v>
      </c>
    </row>
    <row r="3388">
      <c r="A3388" t="inlineStr">
        <is>
          <t>communication tools</t>
        </is>
      </c>
      <c r="B3388" t="n">
        <v>1</v>
      </c>
    </row>
    <row r="3389">
      <c r="A3389" t="inlineStr">
        <is>
          <t>hearing loss</t>
        </is>
      </c>
      <c r="B3389" t="n">
        <v>1</v>
      </c>
    </row>
    <row r="3390">
      <c r="A3390" t="inlineStr">
        <is>
          <t>floor space</t>
        </is>
      </c>
      <c r="B3390" t="n">
        <v>1</v>
      </c>
    </row>
    <row r="3391">
      <c r="A3391" t="inlineStr">
        <is>
          <t>north america</t>
        </is>
      </c>
      <c r="B3391" t="n">
        <v>1</v>
      </c>
    </row>
    <row r="3392">
      <c r="A3392" t="inlineStr">
        <is>
          <t>synthetic ester hydrolysis</t>
        </is>
      </c>
      <c r="B3392" t="n">
        <v>1</v>
      </c>
    </row>
    <row r="3393">
      <c r="A3393" t="inlineStr">
        <is>
          <t>gamma-cie</t>
        </is>
      </c>
      <c r="B3393" t="n">
        <v>1</v>
      </c>
    </row>
    <row r="3394">
      <c r="A3394" t="inlineStr">
        <is>
          <t>sickbuilding syndrome</t>
        </is>
      </c>
      <c r="B3394" t="n">
        <v>1</v>
      </c>
    </row>
    <row r="3395">
      <c r="A3395" t="inlineStr">
        <is>
          <t>physical geography</t>
        </is>
      </c>
      <c r="B3395" t="n">
        <v>1</v>
      </c>
    </row>
    <row r="3396">
      <c r="A3396" t="inlineStr">
        <is>
          <t>spatial</t>
        </is>
      </c>
      <c r="B3396" t="n">
        <v>1</v>
      </c>
    </row>
    <row r="3397">
      <c r="A3397" t="inlineStr">
        <is>
          <t>systems</t>
        </is>
      </c>
      <c r="B3397" t="n">
        <v>1</v>
      </c>
    </row>
    <row r="3398">
      <c r="A3398" t="inlineStr">
        <is>
          <t>science</t>
        </is>
      </c>
      <c r="B3398" t="n">
        <v>1</v>
      </c>
    </row>
    <row r="3399">
      <c r="A3399" t="inlineStr">
        <is>
          <t>anthropogenic</t>
        </is>
      </c>
      <c r="B3399" t="n">
        <v>1</v>
      </c>
    </row>
    <row r="3400">
      <c r="A3400" t="inlineStr">
        <is>
          <t>natural hazards</t>
        </is>
      </c>
      <c r="B3400" t="n">
        <v>1</v>
      </c>
    </row>
    <row r="3401">
      <c r="A3401" t="inlineStr">
        <is>
          <t>water resources</t>
        </is>
      </c>
      <c r="B3401" t="n">
        <v>1</v>
      </c>
    </row>
    <row r="3402">
      <c r="A3402" t="inlineStr">
        <is>
          <t>urban/built environment</t>
        </is>
      </c>
      <c r="B3402" t="n">
        <v>1</v>
      </c>
    </row>
    <row r="3403">
      <c r="A3403" t="inlineStr">
        <is>
          <t>urban metabolism</t>
        </is>
      </c>
      <c r="B3403" t="n">
        <v>1</v>
      </c>
    </row>
    <row r="3404">
      <c r="A3404" t="inlineStr">
        <is>
          <t>social value creation</t>
        </is>
      </c>
      <c r="B3404" t="n">
        <v>1</v>
      </c>
    </row>
    <row r="3405">
      <c r="A3405" t="inlineStr">
        <is>
          <t>s-lca</t>
        </is>
      </c>
      <c r="B3405" t="n">
        <v>1</v>
      </c>
    </row>
    <row r="3406">
      <c r="A3406" t="inlineStr">
        <is>
          <t>social housing</t>
        </is>
      </c>
      <c r="B3406" t="n">
        <v>1</v>
      </c>
    </row>
    <row r="3407">
      <c r="A3407" t="inlineStr">
        <is>
          <t>architectural profession</t>
        </is>
      </c>
      <c r="B3407" t="n">
        <v>1</v>
      </c>
    </row>
    <row r="3408">
      <c r="A3408" t="inlineStr">
        <is>
          <t>denmark</t>
        </is>
      </c>
      <c r="B3408" t="n">
        <v>1</v>
      </c>
    </row>
    <row r="3409">
      <c r="A3409" t="inlineStr">
        <is>
          <t>inactivity</t>
        </is>
      </c>
      <c r="B3409" t="n">
        <v>2</v>
      </c>
    </row>
    <row r="3410">
      <c r="A3410" t="inlineStr">
        <is>
          <t>sociodemographic determinants</t>
        </is>
      </c>
      <c r="B3410" t="n">
        <v>1</v>
      </c>
    </row>
    <row r="3411">
      <c r="A3411" t="inlineStr">
        <is>
          <t>south africa</t>
        </is>
      </c>
      <c r="B3411" t="n">
        <v>2</v>
      </c>
    </row>
    <row r="3412">
      <c r="A3412" t="inlineStr">
        <is>
          <t>older hiv-positive adults</t>
        </is>
      </c>
      <c r="B3412" t="n">
        <v>1</v>
      </c>
    </row>
    <row r="3413">
      <c r="A3413" t="inlineStr">
        <is>
          <t>disclosure</t>
        </is>
      </c>
      <c r="B3413" t="n">
        <v>1</v>
      </c>
    </row>
    <row r="3414">
      <c r="A3414" t="inlineStr">
        <is>
          <t>navigating health care</t>
        </is>
      </c>
      <c r="B3414" t="n">
        <v>1</v>
      </c>
    </row>
    <row r="3415">
      <c r="A3415" t="inlineStr">
        <is>
          <t>enablers</t>
        </is>
      </c>
      <c r="B3415" t="n">
        <v>1</v>
      </c>
    </row>
    <row r="3416">
      <c r="A3416" t="inlineStr">
        <is>
          <t>south-east asia</t>
        </is>
      </c>
      <c r="B3416" t="n">
        <v>1</v>
      </c>
    </row>
    <row r="3417">
      <c r="A3417" t="inlineStr">
        <is>
          <t>social withdrawal</t>
        </is>
      </c>
      <c r="B3417" t="n">
        <v>1</v>
      </c>
    </row>
    <row r="3418">
      <c r="A3418" t="inlineStr">
        <is>
          <t>oral hypofunction</t>
        </is>
      </c>
      <c r="B3418" t="n">
        <v>2</v>
      </c>
    </row>
    <row r="3419">
      <c r="A3419" t="inlineStr">
        <is>
          <t>oral frailty</t>
        </is>
      </c>
      <c r="B3419" t="n">
        <v>2</v>
      </c>
    </row>
    <row r="3420">
      <c r="A3420" t="inlineStr">
        <is>
          <t>heating</t>
        </is>
      </c>
      <c r="B3420" t="n">
        <v>1</v>
      </c>
    </row>
    <row r="3421">
      <c r="A3421" t="inlineStr">
        <is>
          <t>church</t>
        </is>
      </c>
      <c r="B3421" t="n">
        <v>1</v>
      </c>
    </row>
    <row r="3422">
      <c r="A3422" t="inlineStr">
        <is>
          <t>non-domestic</t>
        </is>
      </c>
      <c r="B3422" t="n">
        <v>1</v>
      </c>
    </row>
    <row r="3423">
      <c r="A3423" t="inlineStr">
        <is>
          <t>historic</t>
        </is>
      </c>
      <c r="B3423" t="n">
        <v>1</v>
      </c>
    </row>
    <row r="3424">
      <c r="A3424" t="inlineStr">
        <is>
          <t>pm</t>
        </is>
      </c>
      <c r="B3424" t="n">
        <v>4</v>
      </c>
    </row>
    <row r="3425">
      <c r="A3425" t="inlineStr">
        <is>
          <t>dust storms</t>
        </is>
      </c>
      <c r="B3425" t="n">
        <v>1</v>
      </c>
    </row>
    <row r="3426">
      <c r="A3426" t="inlineStr">
        <is>
          <t>spatial distribution</t>
        </is>
      </c>
      <c r="B3426" t="n">
        <v>1</v>
      </c>
    </row>
    <row r="3427">
      <c r="A3427" t="inlineStr">
        <is>
          <t>arid areas</t>
        </is>
      </c>
      <c r="B3427" t="n">
        <v>1</v>
      </c>
    </row>
    <row r="3428">
      <c r="A3428" t="inlineStr">
        <is>
          <t>social media check-in data</t>
        </is>
      </c>
      <c r="B3428" t="n">
        <v>1</v>
      </c>
    </row>
    <row r="3429">
      <c r="A3429" t="inlineStr">
        <is>
          <t>urban vitality</t>
        </is>
      </c>
      <c r="B3429" t="n">
        <v>2</v>
      </c>
    </row>
    <row r="3430">
      <c r="A3430" t="inlineStr">
        <is>
          <t>heterogeneous patterns</t>
        </is>
      </c>
      <c r="B3430" t="n">
        <v>1</v>
      </c>
    </row>
    <row r="3431">
      <c r="A3431" t="inlineStr">
        <is>
          <t>regression analyses</t>
        </is>
      </c>
      <c r="B3431" t="n">
        <v>1</v>
      </c>
    </row>
    <row r="3432">
      <c r="A3432" t="inlineStr">
        <is>
          <t>professionals</t>
        </is>
      </c>
      <c r="B3432" t="n">
        <v>1</v>
      </c>
    </row>
    <row r="3433">
      <c r="A3433" t="inlineStr">
        <is>
          <t>preparedness</t>
        </is>
      </c>
      <c r="B3433" t="n">
        <v>1</v>
      </c>
    </row>
    <row r="3434">
      <c r="A3434" t="inlineStr">
        <is>
          <t>facilitators</t>
        </is>
      </c>
      <c r="B3434" t="n">
        <v>1</v>
      </c>
    </row>
    <row r="3435">
      <c r="A3435" t="inlineStr">
        <is>
          <t>contam</t>
        </is>
      </c>
      <c r="B3435" t="n">
        <v>4</v>
      </c>
    </row>
    <row r="3436">
      <c r="A3436" t="inlineStr">
        <is>
          <t>background ventilation</t>
        </is>
      </c>
      <c r="B3436" t="n">
        <v>1</v>
      </c>
    </row>
    <row r="3437">
      <c r="A3437" t="inlineStr">
        <is>
          <t>indoor contaminants</t>
        </is>
      </c>
      <c r="B3437" t="n">
        <v>2</v>
      </c>
    </row>
    <row r="3438">
      <c r="A3438" t="inlineStr">
        <is>
          <t>hepa filter</t>
        </is>
      </c>
      <c r="B3438" t="n">
        <v>1</v>
      </c>
    </row>
    <row r="3439">
      <c r="A3439" t="inlineStr">
        <is>
          <t>household characteristics</t>
        </is>
      </c>
      <c r="B3439" t="n">
        <v>1</v>
      </c>
    </row>
    <row r="3440">
      <c r="A3440" t="inlineStr">
        <is>
          <t>birth cohort</t>
        </is>
      </c>
      <c r="B3440" t="n">
        <v>1</v>
      </c>
    </row>
    <row r="3441">
      <c r="A3441" t="inlineStr">
        <is>
          <t>age difference</t>
        </is>
      </c>
      <c r="B3441" t="n">
        <v>1</v>
      </c>
    </row>
    <row r="3442">
      <c r="A3442" t="inlineStr">
        <is>
          <t>indoor external radiation</t>
        </is>
      </c>
      <c r="B3442" t="n">
        <v>1</v>
      </c>
    </row>
    <row r="3443">
      <c r="A3443" t="inlineStr">
        <is>
          <t>annual effective dose</t>
        </is>
      </c>
      <c r="B3443" t="n">
        <v>1</v>
      </c>
    </row>
    <row r="3444">
      <c r="A3444" t="inlineStr">
        <is>
          <t>excess lifetime cancer risk</t>
        </is>
      </c>
      <c r="B3444" t="n">
        <v>1</v>
      </c>
    </row>
    <row r="3445">
      <c r="A3445" t="inlineStr">
        <is>
          <t>atopy</t>
        </is>
      </c>
      <c r="B3445" t="n">
        <v>1</v>
      </c>
    </row>
    <row r="3446">
      <c r="A3446" t="inlineStr">
        <is>
          <t>mold and dampness</t>
        </is>
      </c>
      <c r="B3446" t="n">
        <v>1</v>
      </c>
    </row>
    <row r="3447">
      <c r="A3447" t="inlineStr">
        <is>
          <t>particulate matter (pm)</t>
        </is>
      </c>
      <c r="B3447" t="n">
        <v>2</v>
      </c>
    </row>
    <row r="3448">
      <c r="A3448" t="inlineStr">
        <is>
          <t>negative air ions (nai)</t>
        </is>
      </c>
      <c r="B3448" t="n">
        <v>1</v>
      </c>
    </row>
    <row r="3449">
      <c r="A3449" t="inlineStr">
        <is>
          <t>chronic periodontitis</t>
        </is>
      </c>
      <c r="B3449" t="n">
        <v>1</v>
      </c>
    </row>
    <row r="3450">
      <c r="A3450" t="inlineStr">
        <is>
          <t>targetes lucida cav</t>
        </is>
      </c>
      <c r="B3450" t="n">
        <v>1</v>
      </c>
    </row>
    <row r="3451">
      <c r="A3451" t="inlineStr">
        <is>
          <t>oxidative stress</t>
        </is>
      </c>
      <c r="B3451" t="n">
        <v>1</v>
      </c>
    </row>
    <row r="3452">
      <c r="A3452" t="inlineStr">
        <is>
          <t>inflammation</t>
        </is>
      </c>
      <c r="B3452" t="n">
        <v>1</v>
      </c>
    </row>
    <row r="3453">
      <c r="A3453" t="inlineStr">
        <is>
          <t>silver nanoparticles (agnps)</t>
        </is>
      </c>
      <c r="B3453" t="n">
        <v>1</v>
      </c>
    </row>
    <row r="3454">
      <c r="A3454" t="inlineStr">
        <is>
          <t>antifungal activity</t>
        </is>
      </c>
      <c r="B3454" t="n">
        <v>1</v>
      </c>
    </row>
    <row r="3455">
      <c r="A3455" t="inlineStr">
        <is>
          <t>indoor moulds</t>
        </is>
      </c>
      <c r="B3455" t="n">
        <v>1</v>
      </c>
    </row>
    <row r="3456">
      <c r="A3456" t="inlineStr">
        <is>
          <t>gypsum drywalls</t>
        </is>
      </c>
      <c r="B3456" t="n">
        <v>1</v>
      </c>
    </row>
    <row r="3457">
      <c r="A3457" t="inlineStr">
        <is>
          <t>health risk factors</t>
        </is>
      </c>
      <c r="B3457" t="n">
        <v>1</v>
      </c>
    </row>
    <row r="3458">
      <c r="A3458" t="inlineStr">
        <is>
          <t>parameters</t>
        </is>
      </c>
      <c r="B3458" t="n">
        <v>1</v>
      </c>
    </row>
    <row r="3459">
      <c r="A3459" t="inlineStr">
        <is>
          <t>integral strategy</t>
        </is>
      </c>
      <c r="B3459" t="n">
        <v>1</v>
      </c>
    </row>
    <row r="3460">
      <c r="A3460" t="inlineStr">
        <is>
          <t>environmental health activities</t>
        </is>
      </c>
      <c r="B3460" t="n">
        <v>1</v>
      </c>
    </row>
    <row r="3461">
      <c r="A3461" t="inlineStr">
        <is>
          <t>attitudes</t>
        </is>
      </c>
      <c r="B3461" t="n">
        <v>2</v>
      </c>
    </row>
    <row r="3462">
      <c r="A3462" t="inlineStr">
        <is>
          <t>knowledge</t>
        </is>
      </c>
      <c r="B3462" t="n">
        <v>2</v>
      </c>
    </row>
    <row r="3463">
      <c r="A3463" t="inlineStr">
        <is>
          <t>willingness</t>
        </is>
      </c>
      <c r="B3463" t="n">
        <v>1</v>
      </c>
    </row>
    <row r="3464">
      <c r="A3464" t="inlineStr">
        <is>
          <t>nursing students</t>
        </is>
      </c>
      <c r="B3464" t="n">
        <v>1</v>
      </c>
    </row>
    <row r="3465">
      <c r="A3465" t="inlineStr">
        <is>
          <t>older-adult care</t>
        </is>
      </c>
      <c r="B3465" t="n">
        <v>1</v>
      </c>
    </row>
    <row r="3466">
      <c r="A3466" t="inlineStr">
        <is>
          <t>nursing education</t>
        </is>
      </c>
      <c r="B3466" t="n">
        <v>1</v>
      </c>
    </row>
    <row r="3467">
      <c r="A3467" t="inlineStr">
        <is>
          <t>fine particulate matter</t>
        </is>
      </c>
      <c r="B3467" t="n">
        <v>2</v>
      </c>
    </row>
    <row r="3468">
      <c r="A3468" t="inlineStr">
        <is>
          <t>residential area</t>
        </is>
      </c>
      <c r="B3468" t="n">
        <v>1</v>
      </c>
    </row>
    <row r="3469">
      <c r="A3469" t="inlineStr">
        <is>
          <t>brain imaging</t>
        </is>
      </c>
      <c r="B3469" t="n">
        <v>1</v>
      </c>
    </row>
    <row r="3470">
      <c r="A3470" t="inlineStr">
        <is>
          <t>beauty</t>
        </is>
      </c>
      <c r="B3470" t="n">
        <v>1</v>
      </c>
    </row>
    <row r="3471">
      <c r="A3471" t="inlineStr">
        <is>
          <t>aesthetics</t>
        </is>
      </c>
      <c r="B3471" t="n">
        <v>1</v>
      </c>
    </row>
    <row r="3472">
      <c r="A3472" t="inlineStr">
        <is>
          <t>sns</t>
        </is>
      </c>
      <c r="B3472" t="n">
        <v>1</v>
      </c>
    </row>
    <row r="3473">
      <c r="A3473" t="inlineStr">
        <is>
          <t>hedonic information systems</t>
        </is>
      </c>
      <c r="B3473" t="n">
        <v>1</v>
      </c>
    </row>
    <row r="3474">
      <c r="A3474" t="inlineStr">
        <is>
          <t>activities of daily living</t>
        </is>
      </c>
      <c r="B3474" t="n">
        <v>2</v>
      </c>
    </row>
    <row r="3475">
      <c r="A3475" t="inlineStr">
        <is>
          <t>heart rate variability (hrv)</t>
        </is>
      </c>
      <c r="B3475" t="n">
        <v>1</v>
      </c>
    </row>
    <row r="3476">
      <c r="A3476" t="inlineStr">
        <is>
          <t>adaptive and immediate changes</t>
        </is>
      </c>
      <c r="B3476" t="n">
        <v>1</v>
      </c>
    </row>
    <row r="3477">
      <c r="A3477" t="inlineStr">
        <is>
          <t>autonomic nervous system (ans)</t>
        </is>
      </c>
      <c r="B3477" t="n">
        <v>1</v>
      </c>
    </row>
    <row r="3478">
      <c r="A3478" t="inlineStr">
        <is>
          <t>urban environments</t>
        </is>
      </c>
      <c r="B3478" t="n">
        <v>1</v>
      </c>
    </row>
    <row r="3479">
      <c r="A3479" t="inlineStr">
        <is>
          <t>service utilization</t>
        </is>
      </c>
      <c r="B3479" t="n">
        <v>1</v>
      </c>
    </row>
    <row r="3480">
      <c r="A3480" t="inlineStr">
        <is>
          <t>atrial fibrillation</t>
        </is>
      </c>
      <c r="B3480" t="n">
        <v>2</v>
      </c>
    </row>
    <row r="3481">
      <c r="A3481" t="inlineStr">
        <is>
          <t>population distribution</t>
        </is>
      </c>
      <c r="B3481" t="n">
        <v>1</v>
      </c>
    </row>
    <row r="3482">
      <c r="A3482" t="inlineStr">
        <is>
          <t>spatial heterogeneous</t>
        </is>
      </c>
      <c r="B3482" t="n">
        <v>1</v>
      </c>
    </row>
    <row r="3483">
      <c r="A3483" t="inlineStr">
        <is>
          <t>time-budget survey</t>
        </is>
      </c>
      <c r="B3483" t="n">
        <v>1</v>
      </c>
    </row>
    <row r="3484">
      <c r="A3484" t="inlineStr">
        <is>
          <t>chemical pollutants</t>
        </is>
      </c>
      <c r="B3484" t="n">
        <v>2</v>
      </c>
    </row>
    <row r="3485">
      <c r="A3485" t="inlineStr">
        <is>
          <t>chronic illnesses</t>
        </is>
      </c>
      <c r="B3485" t="n">
        <v>1</v>
      </c>
    </row>
    <row r="3486">
      <c r="A3486" t="inlineStr">
        <is>
          <t>subjective wellbeing</t>
        </is>
      </c>
      <c r="B3486" t="n">
        <v>1</v>
      </c>
    </row>
    <row r="3487">
      <c r="A3487" t="inlineStr">
        <is>
          <t>health service availability</t>
        </is>
      </c>
      <c r="B3487" t="n">
        <v>1</v>
      </c>
    </row>
    <row r="3488">
      <c r="A3488" t="inlineStr">
        <is>
          <t>sports venues</t>
        </is>
      </c>
      <c r="B3488" t="n">
        <v>1</v>
      </c>
    </row>
    <row r="3489">
      <c r="A3489" t="inlineStr">
        <is>
          <t>balanced development</t>
        </is>
      </c>
      <c r="B3489" t="n">
        <v>1</v>
      </c>
    </row>
    <row r="3490">
      <c r="A3490" t="inlineStr">
        <is>
          <t>enthusiasm</t>
        </is>
      </c>
      <c r="B3490" t="n">
        <v>1</v>
      </c>
    </row>
    <row r="3491">
      <c r="A3491" t="inlineStr">
        <is>
          <t>smart technology</t>
        </is>
      </c>
      <c r="B3491" t="n">
        <v>1</v>
      </c>
    </row>
    <row r="3492">
      <c r="A3492" t="inlineStr">
        <is>
          <t>pillar integration process</t>
        </is>
      </c>
      <c r="B3492" t="n">
        <v>1</v>
      </c>
    </row>
    <row r="3493">
      <c r="A3493" t="inlineStr">
        <is>
          <t>goliveclip</t>
        </is>
      </c>
      <c r="B3493" t="n">
        <v>1</v>
      </c>
    </row>
    <row r="3494">
      <c r="A3494" t="inlineStr">
        <is>
          <t>solution-focused brief therapy</t>
        </is>
      </c>
      <c r="B3494" t="n">
        <v>1</v>
      </c>
    </row>
    <row r="3495">
      <c r="A3495" t="inlineStr">
        <is>
          <t>urban redevelopment</t>
        </is>
      </c>
      <c r="B3495" t="n">
        <v>1</v>
      </c>
    </row>
    <row r="3496">
      <c r="A3496" t="inlineStr">
        <is>
          <t>human-centered design</t>
        </is>
      </c>
      <c r="B3496" t="n">
        <v>2</v>
      </c>
    </row>
    <row r="3497">
      <c r="A3497" t="inlineStr">
        <is>
          <t>streetscape</t>
        </is>
      </c>
      <c r="B3497" t="n">
        <v>2</v>
      </c>
    </row>
    <row r="3498">
      <c r="A3498" t="inlineStr">
        <is>
          <t>neurocognitive disorders</t>
        </is>
      </c>
      <c r="B3498" t="n">
        <v>1</v>
      </c>
    </row>
    <row r="3499">
      <c r="A3499" t="inlineStr">
        <is>
          <t>sociodemographic</t>
        </is>
      </c>
      <c r="B3499" t="n">
        <v>1</v>
      </c>
    </row>
    <row r="3500">
      <c r="A3500" t="inlineStr">
        <is>
          <t>carbon dioxide (co2)</t>
        </is>
      </c>
      <c r="B3500" t="n">
        <v>2</v>
      </c>
    </row>
    <row r="3501">
      <c r="A3501" t="inlineStr">
        <is>
          <t>formaldehyde and carbonyl compounds</t>
        </is>
      </c>
      <c r="B3501" t="n">
        <v>1</v>
      </c>
    </row>
    <row r="3502">
      <c r="A3502" t="inlineStr">
        <is>
          <t>inorganic gases</t>
        </is>
      </c>
      <c r="B3502" t="n">
        <v>1</v>
      </c>
    </row>
    <row r="3503">
      <c r="A3503" t="inlineStr">
        <is>
          <t>monitoring strategies</t>
        </is>
      </c>
      <c r="B3503" t="n">
        <v>1</v>
      </c>
    </row>
    <row r="3504">
      <c r="A3504" t="inlineStr">
        <is>
          <t>ozone (o-3)</t>
        </is>
      </c>
      <c r="B3504" t="n">
        <v>1</v>
      </c>
    </row>
    <row r="3505">
      <c r="A3505" t="inlineStr">
        <is>
          <t>school environments sources</t>
        </is>
      </c>
      <c r="B3505" t="n">
        <v>1</v>
      </c>
    </row>
    <row r="3506">
      <c r="A3506" t="inlineStr">
        <is>
          <t>travel choice</t>
        </is>
      </c>
      <c r="B3506" t="n">
        <v>1</v>
      </c>
    </row>
    <row r="3507">
      <c r="A3507" t="inlineStr">
        <is>
          <t>commuting trips</t>
        </is>
      </c>
      <c r="B3507" t="n">
        <v>1</v>
      </c>
    </row>
    <row r="3508">
      <c r="A3508" t="inlineStr">
        <is>
          <t>high density</t>
        </is>
      </c>
      <c r="B3508" t="n">
        <v>1</v>
      </c>
    </row>
    <row r="3509">
      <c r="A3509" t="inlineStr">
        <is>
          <t>land use policy</t>
        </is>
      </c>
      <c r="B3509" t="n">
        <v>1</v>
      </c>
    </row>
    <row r="3510">
      <c r="A3510" t="inlineStr">
        <is>
          <t>severe haze</t>
        </is>
      </c>
      <c r="B3510" t="n">
        <v>1</v>
      </c>
    </row>
    <row r="3511">
      <c r="A3511" t="inlineStr">
        <is>
          <t>outdoor basketball</t>
        </is>
      </c>
      <c r="B3511" t="n">
        <v>1</v>
      </c>
    </row>
    <row r="3512">
      <c r="A3512" t="inlineStr">
        <is>
          <t>athletes' physical health</t>
        </is>
      </c>
      <c r="B3512" t="n">
        <v>1</v>
      </c>
    </row>
    <row r="3513">
      <c r="A3513" t="inlineStr">
        <is>
          <t>race/ethnicity</t>
        </is>
      </c>
      <c r="B3513" t="n">
        <v>1</v>
      </c>
    </row>
    <row r="3514">
      <c r="A3514" t="inlineStr">
        <is>
          <t>glycemic control</t>
        </is>
      </c>
      <c r="B3514" t="n">
        <v>1</v>
      </c>
    </row>
    <row r="3515">
      <c r="A3515" t="inlineStr">
        <is>
          <t>(ce)</t>
        </is>
      </c>
      <c r="B3515" t="n">
        <v>1</v>
      </c>
    </row>
    <row r="3516">
      <c r="A3516" t="inlineStr">
        <is>
          <t>(lca)</t>
        </is>
      </c>
      <c r="B3516" t="n">
        <v>1</v>
      </c>
    </row>
    <row r="3517">
      <c r="A3517" t="inlineStr">
        <is>
          <t>(mfa)</t>
        </is>
      </c>
      <c r="B3517" t="n">
        <v>1</v>
      </c>
    </row>
    <row r="3518">
      <c r="A3518" t="inlineStr">
        <is>
          <t>building components</t>
        </is>
      </c>
      <c r="B3518" t="n">
        <v>1</v>
      </c>
    </row>
    <row r="3519">
      <c r="A3519" t="inlineStr">
        <is>
          <t>multi-cycle</t>
        </is>
      </c>
      <c r="B3519" t="n">
        <v>1</v>
      </c>
    </row>
    <row r="3520">
      <c r="A3520" t="inlineStr">
        <is>
          <t>iaq (indoor air quality)</t>
        </is>
      </c>
      <c r="B3520" t="n">
        <v>1</v>
      </c>
    </row>
    <row r="3521">
      <c r="A3521" t="inlineStr">
        <is>
          <t>sbs (sick building syndrome)</t>
        </is>
      </c>
      <c r="B3521" t="n">
        <v>1</v>
      </c>
    </row>
    <row r="3522">
      <c r="A3522" t="inlineStr">
        <is>
          <t>sbs symptom perception</t>
        </is>
      </c>
      <c r="B3522" t="n">
        <v>1</v>
      </c>
    </row>
    <row r="3523">
      <c r="A3523" t="inlineStr">
        <is>
          <t>distributed system</t>
        </is>
      </c>
      <c r="B3523" t="n">
        <v>1</v>
      </c>
    </row>
    <row r="3524">
      <c r="A3524" t="inlineStr">
        <is>
          <t>power density</t>
        </is>
      </c>
      <c r="B3524" t="n">
        <v>1</v>
      </c>
    </row>
    <row r="3525">
      <c r="A3525" t="inlineStr">
        <is>
          <t>utility scale</t>
        </is>
      </c>
      <c r="B3525" t="n">
        <v>1</v>
      </c>
    </row>
    <row r="3526">
      <c r="A3526" t="inlineStr">
        <is>
          <t>wind resource</t>
        </is>
      </c>
      <c r="B3526" t="n">
        <v>1</v>
      </c>
    </row>
    <row r="3527">
      <c r="A3527" t="inlineStr">
        <is>
          <t>mild cognitive impairment (mci)</t>
        </is>
      </c>
      <c r="B3527" t="n">
        <v>1</v>
      </c>
    </row>
    <row r="3528">
      <c r="A3528" t="inlineStr">
        <is>
          <t>vulnerable populations</t>
        </is>
      </c>
      <c r="B3528" t="n">
        <v>1</v>
      </c>
    </row>
    <row r="3529">
      <c r="A3529" t="inlineStr">
        <is>
          <t>leisure tourism</t>
        </is>
      </c>
      <c r="B3529" t="n">
        <v>1</v>
      </c>
    </row>
    <row r="3530">
      <c r="A3530" t="inlineStr">
        <is>
          <t>coupling and coordination</t>
        </is>
      </c>
      <c r="B3530" t="n">
        <v>1</v>
      </c>
    </row>
    <row r="3531">
      <c r="A3531" t="inlineStr">
        <is>
          <t>ili region</t>
        </is>
      </c>
      <c r="B3531" t="n">
        <v>1</v>
      </c>
    </row>
    <row r="3532">
      <c r="A3532" t="inlineStr">
        <is>
          <t>indoor origins</t>
        </is>
      </c>
      <c r="B3532" t="n">
        <v>1</v>
      </c>
    </row>
    <row r="3533">
      <c r="A3533" t="inlineStr">
        <is>
          <t>outdoor infiltration</t>
        </is>
      </c>
      <c r="B3533" t="n">
        <v>1</v>
      </c>
    </row>
    <row r="3534">
      <c r="A3534" t="inlineStr">
        <is>
          <t>toxicological study</t>
        </is>
      </c>
      <c r="B3534" t="n">
        <v>1</v>
      </c>
    </row>
    <row r="3535">
      <c r="A3535" t="inlineStr">
        <is>
          <t>pm2.5 mitigation</t>
        </is>
      </c>
      <c r="B3535" t="n">
        <v>1</v>
      </c>
    </row>
    <row r="3536">
      <c r="A3536" t="inlineStr">
        <is>
          <t>support</t>
        </is>
      </c>
      <c r="B3536" t="n">
        <v>1</v>
      </c>
    </row>
    <row r="3537">
      <c r="A3537" t="inlineStr">
        <is>
          <t>spending</t>
        </is>
      </c>
      <c r="B3537" t="n">
        <v>1</v>
      </c>
    </row>
    <row r="3538">
      <c r="A3538" t="inlineStr">
        <is>
          <t>health-related fitness test</t>
        </is>
      </c>
      <c r="B3538" t="n">
        <v>1</v>
      </c>
    </row>
    <row r="3539">
      <c r="A3539" t="inlineStr">
        <is>
          <t>evaluation norms</t>
        </is>
      </c>
      <c r="B3539" t="n">
        <v>1</v>
      </c>
    </row>
    <row r="3540">
      <c r="A3540" t="inlineStr">
        <is>
          <t>awards norms</t>
        </is>
      </c>
      <c r="B3540" t="n">
        <v>1</v>
      </c>
    </row>
    <row r="3541">
      <c r="A3541" t="inlineStr">
        <is>
          <t>nepal</t>
        </is>
      </c>
      <c r="B3541" t="n">
        <v>1</v>
      </c>
    </row>
    <row r="3542">
      <c r="A3542" t="inlineStr">
        <is>
          <t>hypoxia exposure</t>
        </is>
      </c>
      <c r="B3542" t="n">
        <v>1</v>
      </c>
    </row>
    <row r="3543">
      <c r="A3543" t="inlineStr">
        <is>
          <t>inflammatory biomarkers</t>
        </is>
      </c>
      <c r="B3543" t="n">
        <v>1</v>
      </c>
    </row>
    <row r="3544">
      <c r="A3544" t="inlineStr">
        <is>
          <t>bone</t>
        </is>
      </c>
      <c r="B3544" t="n">
        <v>1</v>
      </c>
    </row>
    <row r="3545">
      <c r="A3545" t="inlineStr">
        <is>
          <t>indoor concentration</t>
        </is>
      </c>
      <c r="B3545" t="n">
        <v>1</v>
      </c>
    </row>
    <row r="3546">
      <c r="A3546" t="inlineStr">
        <is>
          <t>ambient concentration</t>
        </is>
      </c>
      <c r="B3546" t="n">
        <v>1</v>
      </c>
    </row>
    <row r="3547">
      <c r="A3547" t="inlineStr">
        <is>
          <t>high-rise building</t>
        </is>
      </c>
      <c r="B3547" t="n">
        <v>1</v>
      </c>
    </row>
    <row r="3548">
      <c r="A3548" t="inlineStr">
        <is>
          <t>trace metal</t>
        </is>
      </c>
      <c r="B3548" t="n">
        <v>1</v>
      </c>
    </row>
    <row r="3549">
      <c r="A3549" t="inlineStr">
        <is>
          <t>class</t>
        </is>
      </c>
      <c r="B3549" t="n">
        <v>1</v>
      </c>
    </row>
    <row r="3550">
      <c r="A3550" t="inlineStr">
        <is>
          <t>intergenerational support</t>
        </is>
      </c>
      <c r="B3550" t="n">
        <v>1</v>
      </c>
    </row>
    <row r="3551">
      <c r="A3551" t="inlineStr">
        <is>
          <t>pensions</t>
        </is>
      </c>
      <c r="B3551" t="n">
        <v>1</v>
      </c>
    </row>
    <row r="3552">
      <c r="A3552" t="inlineStr">
        <is>
          <t>increasing temperature</t>
        </is>
      </c>
      <c r="B3552" t="n">
        <v>1</v>
      </c>
    </row>
    <row r="3553">
      <c r="A3553" t="inlineStr">
        <is>
          <t>heatwaves</t>
        </is>
      </c>
      <c r="B3553" t="n">
        <v>2</v>
      </c>
    </row>
    <row r="3554">
      <c r="A3554" t="inlineStr">
        <is>
          <t>pedestrians’ health</t>
        </is>
      </c>
      <c r="B3554" t="n">
        <v>1</v>
      </c>
    </row>
    <row r="3555">
      <c r="A3555" t="inlineStr">
        <is>
          <t>heat pump energy consumption prediction</t>
        </is>
      </c>
      <c r="B3555" t="n">
        <v>1</v>
      </c>
    </row>
    <row r="3556">
      <c r="A3556" t="inlineStr">
        <is>
          <t>physical modeling</t>
        </is>
      </c>
      <c r="B3556" t="n">
        <v>1</v>
      </c>
    </row>
    <row r="3557">
      <c r="A3557" t="inlineStr">
        <is>
          <t>data-driven model</t>
        </is>
      </c>
      <c r="B3557" t="n">
        <v>1</v>
      </c>
    </row>
    <row r="3558">
      <c r="A3558" t="inlineStr">
        <is>
          <t>data scarcity</t>
        </is>
      </c>
      <c r="B3558" t="n">
        <v>1</v>
      </c>
    </row>
    <row r="3559">
      <c r="A3559" t="inlineStr">
        <is>
          <t>in-building disinfection</t>
        </is>
      </c>
      <c r="B3559" t="n">
        <v>1</v>
      </c>
    </row>
    <row r="3560">
      <c r="A3560" t="inlineStr">
        <is>
          <t>thermal disinfection</t>
        </is>
      </c>
      <c r="B3560" t="n">
        <v>1</v>
      </c>
    </row>
    <row r="3561">
      <c r="A3561" t="inlineStr">
        <is>
          <t>pipe scaling</t>
        </is>
      </c>
      <c r="B3561" t="n">
        <v>1</v>
      </c>
    </row>
    <row r="3562">
      <c r="A3562" t="inlineStr">
        <is>
          <t>ashrae 188</t>
        </is>
      </c>
      <c r="B3562" t="n">
        <v>1</v>
      </c>
    </row>
    <row r="3563">
      <c r="A3563" t="inlineStr">
        <is>
          <t>legionella</t>
        </is>
      </c>
      <c r="B3563" t="n">
        <v>1</v>
      </c>
    </row>
    <row r="3564">
      <c r="A3564" t="inlineStr">
        <is>
          <t>green exercise</t>
        </is>
      </c>
      <c r="B3564" t="n">
        <v>1</v>
      </c>
    </row>
    <row r="3565">
      <c r="A3565" t="inlineStr">
        <is>
          <t>directed attention</t>
        </is>
      </c>
      <c r="B3565" t="n">
        <v>1</v>
      </c>
    </row>
    <row r="3566">
      <c r="A3566" t="inlineStr">
        <is>
          <t>exercise environments</t>
        </is>
      </c>
      <c r="B3566" t="n">
        <v>1</v>
      </c>
    </row>
    <row r="3567">
      <c r="A3567" t="inlineStr">
        <is>
          <t>perceived exertion</t>
        </is>
      </c>
      <c r="B3567" t="n">
        <v>1</v>
      </c>
    </row>
    <row r="3568">
      <c r="A3568" t="inlineStr">
        <is>
          <t>united nations 25 x 25 strategy</t>
        </is>
      </c>
      <c r="B3568" t="n">
        <v>1</v>
      </c>
    </row>
    <row r="3569">
      <c r="A3569" t="inlineStr">
        <is>
          <t>non-communicable diseases (ncds)</t>
        </is>
      </c>
      <c r="B3569" t="n">
        <v>1</v>
      </c>
    </row>
    <row r="3570">
      <c r="A3570" t="inlineStr">
        <is>
          <t>hazardous building materials</t>
        </is>
      </c>
      <c r="B3570" t="n">
        <v>1</v>
      </c>
    </row>
    <row r="3571">
      <c r="A3571" t="inlineStr">
        <is>
          <t>involuntary causes</t>
        </is>
      </c>
      <c r="B3571" t="n">
        <v>1</v>
      </c>
    </row>
    <row r="3572">
      <c r="A3572" t="inlineStr">
        <is>
          <t>global ncd burden</t>
        </is>
      </c>
      <c r="B3572" t="n">
        <v>1</v>
      </c>
    </row>
    <row r="3573">
      <c r="A3573" t="inlineStr">
        <is>
          <t>missing ncds</t>
        </is>
      </c>
      <c r="B3573" t="n">
        <v>1</v>
      </c>
    </row>
    <row r="3574">
      <c r="A3574" t="inlineStr">
        <is>
          <t>missing causes</t>
        </is>
      </c>
      <c r="B3574" t="n">
        <v>1</v>
      </c>
    </row>
    <row r="3575">
      <c r="A3575" t="inlineStr">
        <is>
          <t>community-dwelling</t>
        </is>
      </c>
      <c r="B3575" t="n">
        <v>4</v>
      </c>
    </row>
    <row r="3576">
      <c r="A3576" t="inlineStr">
        <is>
          <t>injury</t>
        </is>
      </c>
      <c r="B3576" t="n">
        <v>1</v>
      </c>
    </row>
    <row r="3577">
      <c r="A3577" t="inlineStr">
        <is>
          <t>pooled analysis</t>
        </is>
      </c>
      <c r="B3577" t="n">
        <v>1</v>
      </c>
    </row>
    <row r="3578">
      <c r="A3578" t="inlineStr">
        <is>
          <t>philippines</t>
        </is>
      </c>
      <c r="B3578" t="n">
        <v>2</v>
      </c>
    </row>
    <row r="3579">
      <c r="A3579" t="inlineStr">
        <is>
          <t>ces-d</t>
        </is>
      </c>
      <c r="B3579" t="n">
        <v>1</v>
      </c>
    </row>
    <row r="3580">
      <c r="A3580" t="inlineStr">
        <is>
          <t>community health</t>
        </is>
      </c>
      <c r="B3580" t="n">
        <v>2</v>
      </c>
    </row>
    <row r="3581">
      <c r="A3581" t="inlineStr">
        <is>
          <t>rural-urban divide</t>
        </is>
      </c>
      <c r="B3581" t="n">
        <v>1</v>
      </c>
    </row>
    <row r="3582">
      <c r="A3582" t="inlineStr">
        <is>
          <t>age-friendly planning</t>
        </is>
      </c>
      <c r="B3582" t="n">
        <v>1</v>
      </c>
    </row>
    <row r="3583">
      <c r="A3583" t="inlineStr">
        <is>
          <t>social and built environment</t>
        </is>
      </c>
      <c r="B3583" t="n">
        <v>1</v>
      </c>
    </row>
    <row r="3584">
      <c r="A3584" t="inlineStr">
        <is>
          <t>older adults with diabetes</t>
        </is>
      </c>
      <c r="B3584" t="n">
        <v>1</v>
      </c>
    </row>
    <row r="3585">
      <c r="A3585" t="inlineStr">
        <is>
          <t>dynamic biopsychosocial model</t>
        </is>
      </c>
      <c r="B3585" t="n">
        <v>1</v>
      </c>
    </row>
    <row r="3586">
      <c r="A3586" t="inlineStr">
        <is>
          <t>digital divide</t>
        </is>
      </c>
      <c r="B3586" t="n">
        <v>2</v>
      </c>
    </row>
    <row r="3587">
      <c r="A3587" t="inlineStr">
        <is>
          <t>training</t>
        </is>
      </c>
      <c r="B3587" t="n">
        <v>2</v>
      </c>
    </row>
    <row r="3588">
      <c r="A3588" t="inlineStr">
        <is>
          <t>technology acceptance</t>
        </is>
      </c>
      <c r="B3588" t="n">
        <v>3</v>
      </c>
    </row>
    <row r="3589">
      <c r="A3589" t="inlineStr">
        <is>
          <t>model identity</t>
        </is>
      </c>
      <c r="B3589" t="n">
        <v>1</v>
      </c>
    </row>
    <row r="3590">
      <c r="A3590" t="inlineStr">
        <is>
          <t>generation</t>
        </is>
      </c>
      <c r="B3590" t="n">
        <v>1</v>
      </c>
    </row>
    <row r="3591">
      <c r="A3591" t="inlineStr">
        <is>
          <t>movement</t>
        </is>
      </c>
      <c r="B3591" t="n">
        <v>1</v>
      </c>
    </row>
    <row r="3592">
      <c r="A3592" t="inlineStr">
        <is>
          <t>active assisted living</t>
        </is>
      </c>
      <c r="B3592" t="n">
        <v>1</v>
      </c>
    </row>
    <row r="3593">
      <c r="A3593" t="inlineStr">
        <is>
          <t>assistive technologies</t>
        </is>
      </c>
      <c r="B3593" t="n">
        <v>1</v>
      </c>
    </row>
    <row r="3594">
      <c r="A3594" t="inlineStr">
        <is>
          <t>particulate matter, building simulation modeling</t>
        </is>
      </c>
      <c r="B3594" t="n">
        <v>1</v>
      </c>
    </row>
    <row r="3595">
      <c r="A3595" t="inlineStr">
        <is>
          <t>energy-plus</t>
        </is>
      </c>
      <c r="B3595" t="n">
        <v>1</v>
      </c>
    </row>
    <row r="3596">
      <c r="A3596" t="inlineStr">
        <is>
          <t>public datasets</t>
        </is>
      </c>
      <c r="B3596" t="n">
        <v>1</v>
      </c>
    </row>
    <row r="3597">
      <c r="A3597" t="inlineStr">
        <is>
          <t>gwr</t>
        </is>
      </c>
      <c r="B3597" t="n">
        <v>3</v>
      </c>
    </row>
    <row r="3598">
      <c r="A3598" t="inlineStr">
        <is>
          <t>hierarchical regression</t>
        </is>
      </c>
      <c r="B3598" t="n">
        <v>1</v>
      </c>
    </row>
    <row r="3599">
      <c r="A3599" t="inlineStr">
        <is>
          <t>respiratory muscle weakness</t>
        </is>
      </c>
      <c r="B3599" t="n">
        <v>1</v>
      </c>
    </row>
    <row r="3600">
      <c r="A3600" t="inlineStr">
        <is>
          <t>insomnia</t>
        </is>
      </c>
      <c r="B3600" t="n">
        <v>2</v>
      </c>
    </row>
    <row r="3601">
      <c r="A3601" t="inlineStr">
        <is>
          <t>arid area</t>
        </is>
      </c>
      <c r="B3601" t="n">
        <v>1</v>
      </c>
    </row>
    <row r="3602">
      <c r="A3602" t="inlineStr">
        <is>
          <t>ecological water conveyance</t>
        </is>
      </c>
      <c r="B3602" t="n">
        <v>1</v>
      </c>
    </row>
    <row r="3603">
      <c r="A3603" t="inlineStr">
        <is>
          <t>ecological environment quality</t>
        </is>
      </c>
      <c r="B3603" t="n">
        <v>2</v>
      </c>
    </row>
    <row r="3604">
      <c r="A3604" t="inlineStr">
        <is>
          <t>remote sensing ecological index model</t>
        </is>
      </c>
      <c r="B3604" t="n">
        <v>1</v>
      </c>
    </row>
    <row r="3605">
      <c r="A3605" t="inlineStr">
        <is>
          <t>lake taitema</t>
        </is>
      </c>
      <c r="B3605" t="n">
        <v>1</v>
      </c>
    </row>
    <row r="3606">
      <c r="A3606" t="inlineStr">
        <is>
          <t>perceived housing</t>
        </is>
      </c>
      <c r="B3606" t="n">
        <v>1</v>
      </c>
    </row>
    <row r="3607">
      <c r="A3607" t="inlineStr">
        <is>
          <t>life course transitions</t>
        </is>
      </c>
      <c r="B3607" t="n">
        <v>1</v>
      </c>
    </row>
    <row r="3608">
      <c r="A3608" t="inlineStr">
        <is>
          <t>assessment tool</t>
        </is>
      </c>
      <c r="B3608" t="n">
        <v>1</v>
      </c>
    </row>
    <row r="3609">
      <c r="A3609" t="inlineStr">
        <is>
          <t>community-based adult services</t>
        </is>
      </c>
      <c r="B3609" t="n">
        <v>1</v>
      </c>
    </row>
    <row r="3610">
      <c r="A3610" t="inlineStr">
        <is>
          <t>needs</t>
        </is>
      </c>
      <c r="B3610" t="n">
        <v>1</v>
      </c>
    </row>
    <row r="3611">
      <c r="A3611" t="inlineStr">
        <is>
          <t>community-dwelling older adult</t>
        </is>
      </c>
      <c r="B3611" t="n">
        <v>1</v>
      </c>
    </row>
    <row r="3612">
      <c r="A3612" t="inlineStr">
        <is>
          <t>micromobility</t>
        </is>
      </c>
      <c r="B3612" t="n">
        <v>1</v>
      </c>
    </row>
    <row r="3613">
      <c r="A3613" t="inlineStr">
        <is>
          <t>pedestrian accident</t>
        </is>
      </c>
      <c r="B3613" t="n">
        <v>1</v>
      </c>
    </row>
    <row r="3614">
      <c r="A3614" t="inlineStr">
        <is>
          <t>spatial zero-inflated negative binomial</t>
        </is>
      </c>
      <c r="B3614" t="n">
        <v>1</v>
      </c>
    </row>
    <row r="3615">
      <c r="A3615" t="inlineStr">
        <is>
          <t>visualization</t>
        </is>
      </c>
      <c r="B3615" t="n">
        <v>1</v>
      </c>
    </row>
    <row r="3616">
      <c r="A3616" t="inlineStr">
        <is>
          <t>digital health information</t>
        </is>
      </c>
      <c r="B3616" t="n">
        <v>1</v>
      </c>
    </row>
    <row r="3617">
      <c r="A3617" t="inlineStr">
        <is>
          <t>comprehension</t>
        </is>
      </c>
      <c r="B3617" t="n">
        <v>1</v>
      </c>
    </row>
    <row r="3618">
      <c r="A3618" t="inlineStr">
        <is>
          <t>energy performance</t>
        </is>
      </c>
      <c r="B3618" t="n">
        <v>3</v>
      </c>
    </row>
    <row r="3619">
      <c r="A3619" t="inlineStr">
        <is>
          <t>building thermal</t>
        </is>
      </c>
      <c r="B3619" t="n">
        <v>1</v>
      </c>
    </row>
    <row r="3620">
      <c r="A3620" t="inlineStr">
        <is>
          <t>indoor overheating hours</t>
        </is>
      </c>
      <c r="B3620" t="n">
        <v>1</v>
      </c>
    </row>
    <row r="3621">
      <c r="A3621" t="inlineStr">
        <is>
          <t>cooling load</t>
        </is>
      </c>
      <c r="B3621" t="n">
        <v>1</v>
      </c>
    </row>
    <row r="3622">
      <c r="A3622" t="inlineStr">
        <is>
          <t>social activity</t>
        </is>
      </c>
      <c r="B3622" t="n">
        <v>1</v>
      </c>
    </row>
    <row r="3623">
      <c r="A3623" t="inlineStr">
        <is>
          <t>energy efficiency policies</t>
        </is>
      </c>
      <c r="B3623" t="n">
        <v>1</v>
      </c>
    </row>
    <row r="3624">
      <c r="A3624" t="inlineStr">
        <is>
          <t>spain</t>
        </is>
      </c>
      <c r="B3624" t="n">
        <v>2</v>
      </c>
    </row>
    <row r="3625">
      <c r="A3625" t="inlineStr">
        <is>
          <t>air temperature</t>
        </is>
      </c>
      <c r="B3625" t="n">
        <v>2</v>
      </c>
    </row>
    <row r="3626">
      <c r="A3626" t="inlineStr">
        <is>
          <t>three-dimensional built environment</t>
        </is>
      </c>
      <c r="B3626" t="n">
        <v>2</v>
      </c>
    </row>
    <row r="3627">
      <c r="A3627" t="inlineStr">
        <is>
          <t>sky view factor</t>
        </is>
      </c>
      <c r="B3627" t="n">
        <v>1</v>
      </c>
    </row>
    <row r="3628">
      <c r="A3628" t="inlineStr">
        <is>
          <t>surface roughness</t>
        </is>
      </c>
      <c r="B3628" t="n">
        <v>1</v>
      </c>
    </row>
    <row r="3629">
      <c r="A3629" t="inlineStr">
        <is>
          <t>porosity</t>
        </is>
      </c>
      <c r="B3629" t="n">
        <v>1</v>
      </c>
    </row>
    <row r="3630">
      <c r="A3630" t="inlineStr">
        <is>
          <t>puerto rico</t>
        </is>
      </c>
      <c r="B3630" t="n">
        <v>1</v>
      </c>
    </row>
    <row r="3631">
      <c r="A3631" t="inlineStr">
        <is>
          <t>demography</t>
        </is>
      </c>
      <c r="B3631" t="n">
        <v>1</v>
      </c>
    </row>
    <row r="3632">
      <c r="A3632" t="inlineStr">
        <is>
          <t>climate adaptation</t>
        </is>
      </c>
      <c r="B3632" t="n">
        <v>1</v>
      </c>
    </row>
    <row r="3633">
      <c r="A3633" t="inlineStr">
        <is>
          <t>recovery</t>
        </is>
      </c>
      <c r="B3633" t="n">
        <v>1</v>
      </c>
    </row>
    <row r="3634">
      <c r="A3634" t="inlineStr">
        <is>
          <t>urban living environment</t>
        </is>
      </c>
      <c r="B3634" t="n">
        <v>1</v>
      </c>
    </row>
    <row r="3635">
      <c r="A3635" t="inlineStr">
        <is>
          <t>outdoor activity</t>
        </is>
      </c>
      <c r="B3635" t="n">
        <v>1</v>
      </c>
    </row>
    <row r="3636">
      <c r="A3636" t="inlineStr">
        <is>
          <t>emotional wellbeing</t>
        </is>
      </c>
      <c r="B3636" t="n">
        <v>1</v>
      </c>
    </row>
    <row r="3637">
      <c r="A3637" t="inlineStr">
        <is>
          <t>removal efficiency</t>
        </is>
      </c>
      <c r="B3637" t="n">
        <v>1</v>
      </c>
    </row>
    <row r="3638">
      <c r="A3638" t="inlineStr">
        <is>
          <t>air remediation</t>
        </is>
      </c>
      <c r="B3638" t="n">
        <v>1</v>
      </c>
    </row>
    <row r="3639">
      <c r="A3639" t="inlineStr">
        <is>
          <t>stages of change (soc)</t>
        </is>
      </c>
      <c r="B3639" t="n">
        <v>1</v>
      </c>
    </row>
    <row r="3640">
      <c r="A3640" t="inlineStr">
        <is>
          <t>dairy product intake</t>
        </is>
      </c>
      <c r="B3640" t="n">
        <v>1</v>
      </c>
    </row>
    <row r="3641">
      <c r="A3641" t="inlineStr">
        <is>
          <t>pollutant</t>
        </is>
      </c>
      <c r="B3641" t="n">
        <v>1</v>
      </c>
    </row>
    <row r="3642">
      <c r="A3642" t="inlineStr">
        <is>
          <t>health literacy</t>
        </is>
      </c>
      <c r="B3642" t="n">
        <v>5</v>
      </c>
    </row>
    <row r="3643">
      <c r="A3643" t="inlineStr">
        <is>
          <t>national survey</t>
        </is>
      </c>
      <c r="B3643" t="n">
        <v>2</v>
      </c>
    </row>
    <row r="3644">
      <c r="A3644" t="inlineStr">
        <is>
          <t>asthma symptoms</t>
        </is>
      </c>
      <c r="B3644" t="n">
        <v>1</v>
      </c>
    </row>
    <row r="3645">
      <c r="A3645" t="inlineStr">
        <is>
          <t>university dormitory</t>
        </is>
      </c>
      <c r="B3645" t="n">
        <v>1</v>
      </c>
    </row>
    <row r="3646">
      <c r="A3646" t="inlineStr">
        <is>
          <t>clostridia</t>
        </is>
      </c>
      <c r="B3646" t="n">
        <v>1</v>
      </c>
    </row>
    <row r="3647">
      <c r="A3647" t="inlineStr">
        <is>
          <t>feno</t>
        </is>
      </c>
      <c r="B3647" t="n">
        <v>1</v>
      </c>
    </row>
    <row r="3648">
      <c r="A3648" t="inlineStr">
        <is>
          <t>correlation study</t>
        </is>
      </c>
      <c r="B3648" t="n">
        <v>1</v>
      </c>
    </row>
    <row r="3649">
      <c r="A3649" t="inlineStr">
        <is>
          <t>digital solution</t>
        </is>
      </c>
      <c r="B3649" t="n">
        <v>1</v>
      </c>
    </row>
    <row r="3650">
      <c r="A3650" t="inlineStr">
        <is>
          <t>oral function</t>
        </is>
      </c>
      <c r="B3650" t="n">
        <v>1</v>
      </c>
    </row>
    <row r="3651">
      <c r="A3651" t="inlineStr">
        <is>
          <t>building microenvironment</t>
        </is>
      </c>
      <c r="B3651" t="n">
        <v>1</v>
      </c>
    </row>
    <row r="3652">
      <c r="A3652" t="inlineStr">
        <is>
          <t>environmental comfort parameters</t>
        </is>
      </c>
      <c r="B3652" t="n">
        <v>1</v>
      </c>
    </row>
    <row r="3653">
      <c r="A3653" t="inlineStr">
        <is>
          <t>occupancy</t>
        </is>
      </c>
      <c r="B3653" t="n">
        <v>1</v>
      </c>
    </row>
    <row r="3654">
      <c r="A3654" t="inlineStr">
        <is>
          <t>i/o relationship</t>
        </is>
      </c>
      <c r="B3654" t="n">
        <v>1</v>
      </c>
    </row>
    <row r="3655">
      <c r="A3655" t="inlineStr">
        <is>
          <t>megacity delhi</t>
        </is>
      </c>
      <c r="B3655" t="n">
        <v>1</v>
      </c>
    </row>
    <row r="3656">
      <c r="A3656" t="inlineStr">
        <is>
          <t>bike-sharing</t>
        </is>
      </c>
      <c r="B3656" t="n">
        <v>1</v>
      </c>
    </row>
    <row r="3657">
      <c r="A3657" t="inlineStr">
        <is>
          <t>metro</t>
        </is>
      </c>
      <c r="B3657" t="n">
        <v>1</v>
      </c>
    </row>
    <row r="3658">
      <c r="A3658" t="inlineStr">
        <is>
          <t>multiscale</t>
        </is>
      </c>
      <c r="B3658" t="n">
        <v>2</v>
      </c>
    </row>
    <row r="3659">
      <c r="A3659" t="inlineStr">
        <is>
          <t>black</t>
        </is>
      </c>
      <c r="B3659" t="n">
        <v>2</v>
      </c>
    </row>
    <row r="3660">
      <c r="A3660" t="inlineStr">
        <is>
          <t>ict risks</t>
        </is>
      </c>
      <c r="B3660" t="n">
        <v>1</v>
      </c>
    </row>
    <row r="3661">
      <c r="A3661" t="inlineStr">
        <is>
          <t>scenario personarrative method</t>
        </is>
      </c>
      <c r="B3661" t="n">
        <v>1</v>
      </c>
    </row>
    <row r="3662">
      <c r="A3662" t="inlineStr">
        <is>
          <t>street trees</t>
        </is>
      </c>
      <c r="B3662" t="n">
        <v>1</v>
      </c>
    </row>
    <row r="3663">
      <c r="A3663" t="inlineStr">
        <is>
          <t>moderate-vigorous physical activity</t>
        </is>
      </c>
      <c r="B3663" t="n">
        <v>1</v>
      </c>
    </row>
    <row r="3664">
      <c r="A3664" t="inlineStr">
        <is>
          <t>network buffer</t>
        </is>
      </c>
      <c r="B3664" t="n">
        <v>1</v>
      </c>
    </row>
    <row r="3665">
      <c r="A3665" t="inlineStr">
        <is>
          <t>prospective cohort</t>
        </is>
      </c>
      <c r="B3665" t="n">
        <v>1</v>
      </c>
    </row>
    <row r="3666">
      <c r="A3666" t="inlineStr">
        <is>
          <t>physical mobility</t>
        </is>
      </c>
      <c r="B3666" t="n">
        <v>1</v>
      </c>
    </row>
    <row r="3667">
      <c r="A3667" t="inlineStr">
        <is>
          <t>life-space mobility</t>
        </is>
      </c>
      <c r="B3667" t="n">
        <v>1</v>
      </c>
    </row>
    <row r="3668">
      <c r="A3668" t="inlineStr">
        <is>
          <t>global positioning system (gps)</t>
        </is>
      </c>
      <c r="B3668" t="n">
        <v>2</v>
      </c>
    </row>
    <row r="3669">
      <c r="A3669" t="inlineStr">
        <is>
          <t>psychological functioning</t>
        </is>
      </c>
      <c r="B3669" t="n">
        <v>1</v>
      </c>
    </row>
    <row r="3670">
      <c r="A3670" t="inlineStr">
        <is>
          <t>chair-based exercise</t>
        </is>
      </c>
      <c r="B3670" t="n">
        <v>1</v>
      </c>
    </row>
    <row r="3671">
      <c r="A3671" t="inlineStr">
        <is>
          <t>vertical urban planning</t>
        </is>
      </c>
      <c r="B3671" t="n">
        <v>1</v>
      </c>
    </row>
    <row r="3672">
      <c r="A3672" t="inlineStr">
        <is>
          <t>home-based environment</t>
        </is>
      </c>
      <c r="B3672" t="n">
        <v>1</v>
      </c>
    </row>
    <row r="3673">
      <c r="A3673" t="inlineStr">
        <is>
          <t>physical behaviors</t>
        </is>
      </c>
      <c r="B3673" t="n">
        <v>1</v>
      </c>
    </row>
    <row r="3674">
      <c r="A3674" t="inlineStr">
        <is>
          <t>grandparenting</t>
        </is>
      </c>
      <c r="B3674" t="n">
        <v>1</v>
      </c>
    </row>
    <row r="3675">
      <c r="A3675" t="inlineStr">
        <is>
          <t>organizational environment</t>
        </is>
      </c>
      <c r="B3675" t="n">
        <v>1</v>
      </c>
    </row>
    <row r="3676">
      <c r="A3676" t="inlineStr">
        <is>
          <t>spectroradiometer</t>
        </is>
      </c>
      <c r="B3676" t="n">
        <v>1</v>
      </c>
    </row>
    <row r="3677">
      <c r="A3677" t="inlineStr">
        <is>
          <t>infrared</t>
        </is>
      </c>
      <c r="B3677" t="n">
        <v>1</v>
      </c>
    </row>
    <row r="3678">
      <c r="A3678" t="inlineStr">
        <is>
          <t>inverse estimation</t>
        </is>
      </c>
      <c r="B3678" t="n">
        <v>1</v>
      </c>
    </row>
    <row r="3679">
      <c r="A3679" t="inlineStr">
        <is>
          <t>maximum a posteriori</t>
        </is>
      </c>
      <c r="B3679" t="n">
        <v>1</v>
      </c>
    </row>
    <row r="3680">
      <c r="A3680" t="inlineStr">
        <is>
          <t>radiative transfer equation</t>
        </is>
      </c>
      <c r="B3680" t="n">
        <v>1</v>
      </c>
    </row>
    <row r="3681">
      <c r="A3681" t="inlineStr">
        <is>
          <t>indirect health effects</t>
        </is>
      </c>
      <c r="B3681" t="n">
        <v>1</v>
      </c>
    </row>
    <row r="3682">
      <c r="A3682" t="inlineStr">
        <is>
          <t>indoor allergen</t>
        </is>
      </c>
      <c r="B3682" t="n">
        <v>1</v>
      </c>
    </row>
    <row r="3683">
      <c r="A3683" t="inlineStr">
        <is>
          <t>indoor microclimate</t>
        </is>
      </c>
      <c r="B3683" t="n">
        <v>1</v>
      </c>
    </row>
    <row r="3684">
      <c r="A3684" t="inlineStr">
        <is>
          <t>insulation and thermal mass</t>
        </is>
      </c>
      <c r="B3684" t="n">
        <v>1</v>
      </c>
    </row>
    <row r="3685">
      <c r="A3685" t="inlineStr">
        <is>
          <t>thermal performance</t>
        </is>
      </c>
      <c r="B3685" t="n">
        <v>1</v>
      </c>
    </row>
    <row r="3686">
      <c r="A3686" t="inlineStr">
        <is>
          <t>multi-type mistreatment</t>
        </is>
      </c>
      <c r="B3686" t="n">
        <v>1</v>
      </c>
    </row>
    <row r="3687">
      <c r="A3687" t="inlineStr">
        <is>
          <t>carbonyl compounds</t>
        </is>
      </c>
      <c r="B3687" t="n">
        <v>1</v>
      </c>
    </row>
    <row r="3688">
      <c r="A3688" t="inlineStr">
        <is>
          <t>energy refurbishment</t>
        </is>
      </c>
      <c r="B3688" t="n">
        <v>2</v>
      </c>
    </row>
    <row r="3689">
      <c r="A3689" t="inlineStr">
        <is>
          <t>global and local comfort indexes</t>
        </is>
      </c>
      <c r="B3689" t="n">
        <v>1</v>
      </c>
    </row>
    <row r="3690">
      <c r="A3690" t="inlineStr">
        <is>
          <t>walking time</t>
        </is>
      </c>
      <c r="B3690" t="n">
        <v>1</v>
      </c>
    </row>
    <row r="3691">
      <c r="A3691" t="inlineStr">
        <is>
          <t>density</t>
        </is>
      </c>
      <c r="B3691" t="n">
        <v>3</v>
      </c>
    </row>
    <row r="3692">
      <c r="A3692" t="inlineStr">
        <is>
          <t>destination</t>
        </is>
      </c>
      <c r="B3692" t="n">
        <v>1</v>
      </c>
    </row>
    <row r="3693">
      <c r="A3693" t="inlineStr">
        <is>
          <t>goal-oriented care</t>
        </is>
      </c>
      <c r="B3693" t="n">
        <v>1</v>
      </c>
    </row>
    <row r="3694">
      <c r="A3694" t="inlineStr">
        <is>
          <t>connected health</t>
        </is>
      </c>
      <c r="B3694" t="n">
        <v>1</v>
      </c>
    </row>
    <row r="3695">
      <c r="A3695" t="inlineStr">
        <is>
          <t>mobile application</t>
        </is>
      </c>
      <c r="B3695" t="n">
        <v>1</v>
      </c>
    </row>
    <row r="3696">
      <c r="A3696" t="inlineStr">
        <is>
          <t>space</t>
        </is>
      </c>
      <c r="B3696" t="n">
        <v>1</v>
      </c>
    </row>
    <row r="3697">
      <c r="A3697" t="inlineStr">
        <is>
          <t>circularity</t>
        </is>
      </c>
      <c r="B3697" t="n">
        <v>1</v>
      </c>
    </row>
    <row r="3698">
      <c r="A3698" t="inlineStr">
        <is>
          <t>historical building</t>
        </is>
      </c>
      <c r="B3698" t="n">
        <v>1</v>
      </c>
    </row>
    <row r="3699">
      <c r="A3699" t="inlineStr">
        <is>
          <t>sbs symptoms</t>
        </is>
      </c>
      <c r="B3699" t="n">
        <v>1</v>
      </c>
    </row>
    <row r="3700">
      <c r="A3700" t="inlineStr">
        <is>
          <t>domain-specific sedentary time</t>
        </is>
      </c>
      <c r="B3700" t="n">
        <v>1</v>
      </c>
    </row>
    <row r="3701">
      <c r="A3701" t="inlineStr">
        <is>
          <t>tv viewing</t>
        </is>
      </c>
      <c r="B3701" t="n">
        <v>1</v>
      </c>
    </row>
    <row r="3702">
      <c r="A3702" t="inlineStr">
        <is>
          <t>post-pandemic urbanism</t>
        </is>
      </c>
      <c r="B3702" t="n">
        <v>1</v>
      </c>
    </row>
    <row r="3703">
      <c r="A3703" t="inlineStr">
        <is>
          <t>transformation to anti-virus built environment</t>
        </is>
      </c>
      <c r="B3703" t="n">
        <v>1</v>
      </c>
    </row>
    <row r="3704">
      <c r="A3704" t="inlineStr">
        <is>
          <t>outdoor open spaces</t>
        </is>
      </c>
      <c r="B3704" t="n">
        <v>1</v>
      </c>
    </row>
    <row r="3705">
      <c r="A3705" t="inlineStr">
        <is>
          <t>health and wellbeing</t>
        </is>
      </c>
      <c r="B3705" t="n">
        <v>1</v>
      </c>
    </row>
    <row r="3706">
      <c r="A3706" t="inlineStr">
        <is>
          <t>space syntax</t>
        </is>
      </c>
      <c r="B3706" t="n">
        <v>4</v>
      </c>
    </row>
    <row r="3707">
      <c r="A3707" t="inlineStr">
        <is>
          <t>observation</t>
        </is>
      </c>
      <c r="B3707" t="n">
        <v>1</v>
      </c>
    </row>
    <row r="3708">
      <c r="A3708" t="inlineStr">
        <is>
          <t>data-driven methods</t>
        </is>
      </c>
      <c r="B3708" t="n">
        <v>1</v>
      </c>
    </row>
    <row r="3709">
      <c r="A3709" t="inlineStr">
        <is>
          <t>data-driven energy modelling</t>
        </is>
      </c>
      <c r="B3709" t="n">
        <v>1</v>
      </c>
    </row>
    <row r="3710">
      <c r="A3710" t="inlineStr">
        <is>
          <t>regression-based approaches</t>
        </is>
      </c>
      <c r="B3710" t="n">
        <v>1</v>
      </c>
    </row>
    <row r="3711">
      <c r="A3711" t="inlineStr">
        <is>
          <t>interpretable machine-learning</t>
        </is>
      </c>
      <c r="B3711" t="n">
        <v>1</v>
      </c>
    </row>
    <row r="3712">
      <c r="A3712" t="inlineStr">
        <is>
          <t>energy analytics</t>
        </is>
      </c>
      <c r="B3712" t="n">
        <v>1</v>
      </c>
    </row>
    <row r="3713">
      <c r="A3713" t="inlineStr">
        <is>
          <t>techno-economic analysis</t>
        </is>
      </c>
      <c r="B3713" t="n">
        <v>1</v>
      </c>
    </row>
    <row r="3714">
      <c r="A3714" t="inlineStr">
        <is>
          <t>measurement and verification</t>
        </is>
      </c>
      <c r="B3714" t="n">
        <v>1</v>
      </c>
    </row>
    <row r="3715">
      <c r="A3715" t="inlineStr">
        <is>
          <t>outdoor environmental characteristics</t>
        </is>
      </c>
      <c r="B3715" t="n">
        <v>1</v>
      </c>
    </row>
    <row r="3716">
      <c r="A3716" t="inlineStr">
        <is>
          <t>second-hand smoke</t>
        </is>
      </c>
      <c r="B3716" t="n">
        <v>1</v>
      </c>
    </row>
    <row r="3717">
      <c r="A3717" t="inlineStr">
        <is>
          <t>socio-economic</t>
        </is>
      </c>
      <c r="B3717" t="n">
        <v>1</v>
      </c>
    </row>
    <row r="3718">
      <c r="A3718" t="inlineStr">
        <is>
          <t>botanical biofilter</t>
        </is>
      </c>
      <c r="B3718" t="n">
        <v>1</v>
      </c>
    </row>
    <row r="3719">
      <c r="A3719" t="inlineStr">
        <is>
          <t>living architecture</t>
        </is>
      </c>
      <c r="B3719" t="n">
        <v>1</v>
      </c>
    </row>
    <row r="3720">
      <c r="A3720" t="inlineStr">
        <is>
          <t>potted plant</t>
        </is>
      </c>
      <c r="B3720" t="n">
        <v>1</v>
      </c>
    </row>
    <row r="3721">
      <c r="A3721" t="inlineStr">
        <is>
          <t>consumer perception</t>
        </is>
      </c>
      <c r="B3721" t="n">
        <v>1</v>
      </c>
    </row>
    <row r="3722">
      <c r="A3722" t="inlineStr">
        <is>
          <t>perception of art</t>
        </is>
      </c>
      <c r="B3722" t="n">
        <v>1</v>
      </c>
    </row>
    <row r="3723">
      <c r="A3723" t="inlineStr">
        <is>
          <t>perception of sustainability</t>
        </is>
      </c>
      <c r="B3723" t="n">
        <v>1</v>
      </c>
    </row>
    <row r="3724">
      <c r="A3724" t="inlineStr">
        <is>
          <t>sustainable store management</t>
        </is>
      </c>
      <c r="B3724" t="n">
        <v>1</v>
      </c>
    </row>
    <row r="3725">
      <c r="A3725" t="inlineStr">
        <is>
          <t>end-of-life care</t>
        </is>
      </c>
      <c r="B3725" t="n">
        <v>2</v>
      </c>
    </row>
    <row r="3726">
      <c r="A3726" t="inlineStr">
        <is>
          <t>postural control</t>
        </is>
      </c>
      <c r="B3726" t="n">
        <v>2</v>
      </c>
    </row>
    <row r="3727">
      <c r="A3727" t="inlineStr">
        <is>
          <t>ankle function</t>
        </is>
      </c>
      <c r="B3727" t="n">
        <v>1</v>
      </c>
    </row>
    <row r="3728">
      <c r="A3728" t="inlineStr">
        <is>
          <t>tap dance</t>
        </is>
      </c>
      <c r="B3728" t="n">
        <v>1</v>
      </c>
    </row>
    <row r="3729">
      <c r="A3729" t="inlineStr">
        <is>
          <t>urban thermal environment</t>
        </is>
      </c>
      <c r="B3729" t="n">
        <v>1</v>
      </c>
    </row>
    <row r="3730">
      <c r="A3730" t="inlineStr">
        <is>
          <t>blue-green space</t>
        </is>
      </c>
      <c r="B3730" t="n">
        <v>1</v>
      </c>
    </row>
    <row r="3731">
      <c r="A3731" t="inlineStr">
        <is>
          <t>land use pattern</t>
        </is>
      </c>
      <c r="B3731" t="n">
        <v>1</v>
      </c>
    </row>
    <row r="3732">
      <c r="A3732" t="inlineStr">
        <is>
          <t>population density</t>
        </is>
      </c>
      <c r="B3732" t="n">
        <v>1</v>
      </c>
    </row>
    <row r="3733">
      <c r="A3733" t="inlineStr">
        <is>
          <t>fixed-effect model</t>
        </is>
      </c>
      <c r="B3733" t="n">
        <v>1</v>
      </c>
    </row>
    <row r="3734">
      <c r="A3734" t="inlineStr">
        <is>
          <t>post-covid-19 era</t>
        </is>
      </c>
      <c r="B3734" t="n">
        <v>1</v>
      </c>
    </row>
    <row r="3735">
      <c r="A3735" t="inlineStr">
        <is>
          <t>preventive practices</t>
        </is>
      </c>
      <c r="B3735" t="n">
        <v>1</v>
      </c>
    </row>
    <row r="3736">
      <c r="A3736" t="inlineStr">
        <is>
          <t>foot deformities</t>
        </is>
      </c>
      <c r="B3736" t="n">
        <v>1</v>
      </c>
    </row>
    <row r="3737">
      <c r="A3737" t="inlineStr">
        <is>
          <t>foot diseases</t>
        </is>
      </c>
      <c r="B3737" t="n">
        <v>1</v>
      </c>
    </row>
    <row r="3738">
      <c r="A3738" t="inlineStr">
        <is>
          <t>foot pain</t>
        </is>
      </c>
      <c r="B3738" t="n">
        <v>1</v>
      </c>
    </row>
    <row r="3739">
      <c r="A3739" t="inlineStr">
        <is>
          <t>archive building</t>
        </is>
      </c>
      <c r="B3739" t="n">
        <v>1</v>
      </c>
    </row>
    <row r="3740">
      <c r="A3740" t="inlineStr">
        <is>
          <t>magnetic field</t>
        </is>
      </c>
      <c r="B3740" t="n">
        <v>1</v>
      </c>
    </row>
    <row r="3741">
      <c r="A3741" t="inlineStr">
        <is>
          <t>microbiological quality of indoor air</t>
        </is>
      </c>
      <c r="B3741" t="n">
        <v>1</v>
      </c>
    </row>
    <row r="3742">
      <c r="A3742" t="inlineStr">
        <is>
          <t>pathogenic fungi</t>
        </is>
      </c>
      <c r="B3742" t="n">
        <v>1</v>
      </c>
    </row>
    <row r="3743">
      <c r="A3743" t="inlineStr">
        <is>
          <t>mental distress</t>
        </is>
      </c>
      <c r="B3743" t="n">
        <v>1</v>
      </c>
    </row>
    <row r="3744">
      <c r="A3744" t="inlineStr">
        <is>
          <t>floor-by-floor analysis</t>
        </is>
      </c>
      <c r="B3744" t="n">
        <v>1</v>
      </c>
    </row>
    <row r="3745">
      <c r="A3745" t="inlineStr">
        <is>
          <t>era of sustainability</t>
        </is>
      </c>
      <c r="B3745" t="n">
        <v>1</v>
      </c>
    </row>
    <row r="3746">
      <c r="A3746" t="inlineStr">
        <is>
          <t>greening process</t>
        </is>
      </c>
      <c r="B3746" t="n">
        <v>1</v>
      </c>
    </row>
    <row r="3747">
      <c r="A3747" t="inlineStr">
        <is>
          <t>older korean</t>
        </is>
      </c>
      <c r="B3747" t="n">
        <v>1</v>
      </c>
    </row>
    <row r="3748">
      <c r="A3748" t="inlineStr">
        <is>
          <t>perceived changes in severity of abuse</t>
        </is>
      </c>
      <c r="B3748" t="n">
        <v>1</v>
      </c>
    </row>
    <row r="3749">
      <c r="A3749" t="inlineStr">
        <is>
          <t>remote sensing ecological index</t>
        </is>
      </c>
      <c r="B3749" t="n">
        <v>2</v>
      </c>
    </row>
    <row r="3750">
      <c r="A3750" t="inlineStr">
        <is>
          <t>ecological environment of mines</t>
        </is>
      </c>
      <c r="B3750" t="n">
        <v>1</v>
      </c>
    </row>
    <row r="3751">
      <c r="A3751" t="inlineStr">
        <is>
          <t>ili valley</t>
        </is>
      </c>
      <c r="B3751" t="n">
        <v>1</v>
      </c>
    </row>
    <row r="3752">
      <c r="A3752" t="inlineStr">
        <is>
          <t>spatial and temporal changes</t>
        </is>
      </c>
      <c r="B3752" t="n">
        <v>1</v>
      </c>
    </row>
    <row r="3753">
      <c r="A3753" t="inlineStr">
        <is>
          <t>program development</t>
        </is>
      </c>
      <c r="B3753" t="n">
        <v>1</v>
      </c>
    </row>
    <row r="3754">
      <c r="A3754" t="inlineStr">
        <is>
          <t>senior center</t>
        </is>
      </c>
      <c r="B3754" t="n">
        <v>1</v>
      </c>
    </row>
    <row r="3755">
      <c r="A3755" t="inlineStr">
        <is>
          <t>intergenerational relations</t>
        </is>
      </c>
      <c r="B3755" t="n">
        <v>1</v>
      </c>
    </row>
    <row r="3756">
      <c r="A3756" t="inlineStr">
        <is>
          <t>community services</t>
        </is>
      </c>
      <c r="B3756" t="n">
        <v>1</v>
      </c>
    </row>
    <row r="3757">
      <c r="A3757" t="inlineStr">
        <is>
          <t>home-visit services</t>
        </is>
      </c>
      <c r="B3757" t="n">
        <v>1</v>
      </c>
    </row>
    <row r="3758">
      <c r="A3758" t="inlineStr">
        <is>
          <t>outpatient services</t>
        </is>
      </c>
      <c r="B3758" t="n">
        <v>1</v>
      </c>
    </row>
    <row r="3759">
      <c r="A3759" t="inlineStr">
        <is>
          <t>recess</t>
        </is>
      </c>
      <c r="B3759" t="n">
        <v>1</v>
      </c>
    </row>
    <row r="3760">
      <c r="A3760" t="inlineStr">
        <is>
          <t>dietary pattern</t>
        </is>
      </c>
      <c r="B3760" t="n">
        <v>1</v>
      </c>
    </row>
    <row r="3761">
      <c r="A3761" t="inlineStr">
        <is>
          <t>kihon checklist</t>
        </is>
      </c>
      <c r="B3761" t="n">
        <v>1</v>
      </c>
    </row>
    <row r="3762">
      <c r="A3762" t="inlineStr">
        <is>
          <t>health risk behavior</t>
        </is>
      </c>
      <c r="B3762" t="n">
        <v>1</v>
      </c>
    </row>
    <row r="3763">
      <c r="A3763" t="inlineStr">
        <is>
          <t>health policy</t>
        </is>
      </c>
      <c r="B3763" t="n">
        <v>2</v>
      </c>
    </row>
    <row r="3764">
      <c r="A3764" t="inlineStr">
        <is>
          <t>public health surveillance</t>
        </is>
      </c>
      <c r="B3764" t="n">
        <v>1</v>
      </c>
    </row>
    <row r="3765">
      <c r="A3765" t="inlineStr">
        <is>
          <t>walking football</t>
        </is>
      </c>
      <c r="B3765" t="n">
        <v>2</v>
      </c>
    </row>
    <row r="3766">
      <c r="A3766" t="inlineStr">
        <is>
          <t>motor skill</t>
        </is>
      </c>
      <c r="B3766" t="n">
        <v>2</v>
      </c>
    </row>
    <row r="3767">
      <c r="A3767" t="inlineStr">
        <is>
          <t>functional fitness</t>
        </is>
      </c>
      <c r="B3767" t="n">
        <v>1</v>
      </c>
    </row>
    <row r="3768">
      <c r="A3768" t="inlineStr">
        <is>
          <t>familiar technology</t>
        </is>
      </c>
      <c r="B3768" t="n">
        <v>1</v>
      </c>
    </row>
    <row r="3769">
      <c r="A3769" t="inlineStr">
        <is>
          <t>al-nazlah</t>
        </is>
      </c>
      <c r="B3769" t="n">
        <v>1</v>
      </c>
    </row>
    <row r="3770">
      <c r="A3770" t="inlineStr">
        <is>
          <t>hbim</t>
        </is>
      </c>
      <c r="B3770" t="n">
        <v>1</v>
      </c>
    </row>
    <row r="3771">
      <c r="A3771" t="inlineStr">
        <is>
          <t>urban villages</t>
        </is>
      </c>
      <c r="B3771" t="n">
        <v>1</v>
      </c>
    </row>
    <row r="3772">
      <c r="A3772" t="inlineStr">
        <is>
          <t>transport planning</t>
        </is>
      </c>
      <c r="B3772" t="n">
        <v>1</v>
      </c>
    </row>
    <row r="3773">
      <c r="A3773" t="inlineStr">
        <is>
          <t>building occupancy</t>
        </is>
      </c>
      <c r="B3773" t="n">
        <v>1</v>
      </c>
    </row>
    <row r="3774">
      <c r="A3774" t="inlineStr">
        <is>
          <t>cellular adenosine triphosphate (catp)</t>
        </is>
      </c>
      <c r="B3774" t="n">
        <v>1</v>
      </c>
    </row>
    <row r="3775">
      <c r="A3775" t="inlineStr">
        <is>
          <t>chlorine</t>
        </is>
      </c>
      <c r="B3775" t="n">
        <v>1</v>
      </c>
    </row>
    <row r="3776">
      <c r="A3776" t="inlineStr">
        <is>
          <t>copper</t>
        </is>
      </c>
      <c r="B3776" t="n">
        <v>1</v>
      </c>
    </row>
    <row r="3777">
      <c r="A3777" t="inlineStr">
        <is>
          <t>premise plumbing</t>
        </is>
      </c>
      <c r="B3777" t="n">
        <v>1</v>
      </c>
    </row>
    <row r="3778">
      <c r="A3778" t="inlineStr">
        <is>
          <t>trihalomethanes</t>
        </is>
      </c>
      <c r="B3778" t="n">
        <v>3</v>
      </c>
    </row>
    <row r="3779">
      <c r="A3779" t="inlineStr">
        <is>
          <t>noncommunicable diseases</t>
        </is>
      </c>
      <c r="B3779" t="n">
        <v>1</v>
      </c>
    </row>
    <row r="3780">
      <c r="A3780" t="inlineStr">
        <is>
          <t>mercury</t>
        </is>
      </c>
      <c r="B3780" t="n">
        <v>1</v>
      </c>
    </row>
    <row r="3781">
      <c r="A3781" t="inlineStr">
        <is>
          <t>site rehabilitation</t>
        </is>
      </c>
      <c r="B3781" t="n">
        <v>1</v>
      </c>
    </row>
    <row r="3782">
      <c r="A3782" t="inlineStr">
        <is>
          <t>racial segregation</t>
        </is>
      </c>
      <c r="B3782" t="n">
        <v>1</v>
      </c>
    </row>
    <row r="3783">
      <c r="A3783" t="inlineStr">
        <is>
          <t>sustainable streetscapes</t>
        </is>
      </c>
      <c r="B3783" t="n">
        <v>1</v>
      </c>
    </row>
    <row r="3784">
      <c r="A3784" t="inlineStr">
        <is>
          <t>healthy urban design</t>
        </is>
      </c>
      <c r="B3784" t="n">
        <v>1</v>
      </c>
    </row>
    <row r="3785">
      <c r="A3785" t="inlineStr">
        <is>
          <t>walkable neighborhoods</t>
        </is>
      </c>
      <c r="B3785" t="n">
        <v>1</v>
      </c>
    </row>
    <row r="3786">
      <c r="A3786" t="inlineStr">
        <is>
          <t>sustainable transit-oriented development</t>
        </is>
      </c>
      <c r="B3786" t="n">
        <v>1</v>
      </c>
    </row>
    <row r="3787">
      <c r="A3787" t="inlineStr">
        <is>
          <t>indoor pollen</t>
        </is>
      </c>
      <c r="B3787" t="n">
        <v>1</v>
      </c>
    </row>
    <row r="3788">
      <c r="A3788" t="inlineStr">
        <is>
          <t>indoor spores</t>
        </is>
      </c>
      <c r="B3788" t="n">
        <v>1</v>
      </c>
    </row>
    <row r="3789">
      <c r="A3789" t="inlineStr">
        <is>
          <t>standards</t>
        </is>
      </c>
      <c r="B3789" t="n">
        <v>1</v>
      </c>
    </row>
    <row r="3790">
      <c r="A3790" t="inlineStr">
        <is>
          <t>nursing home</t>
        </is>
      </c>
      <c r="B3790" t="n">
        <v>1</v>
      </c>
    </row>
    <row r="3791">
      <c r="A3791" t="inlineStr">
        <is>
          <t>biocontaminant</t>
        </is>
      </c>
      <c r="B3791" t="n">
        <v>1</v>
      </c>
    </row>
    <row r="3792">
      <c r="A3792" t="inlineStr">
        <is>
          <t>outdoor ratio</t>
        </is>
      </c>
      <c r="B3792" t="n">
        <v>2</v>
      </c>
    </row>
    <row r="3793">
      <c r="A3793" t="inlineStr">
        <is>
          <t>carbon oxides</t>
        </is>
      </c>
      <c r="B3793" t="n">
        <v>1</v>
      </c>
    </row>
    <row r="3794">
      <c r="A3794" t="inlineStr">
        <is>
          <t>shannon– wiener index</t>
        </is>
      </c>
      <c r="B3794" t="n">
        <v>1</v>
      </c>
    </row>
    <row r="3795">
      <c r="A3795" t="inlineStr">
        <is>
          <t>construal level theory</t>
        </is>
      </c>
      <c r="B3795" t="n">
        <v>1</v>
      </c>
    </row>
    <row r="3796">
      <c r="A3796" t="inlineStr">
        <is>
          <t>rural elderly</t>
        </is>
      </c>
      <c r="B3796" t="n">
        <v>1</v>
      </c>
    </row>
    <row r="3797">
      <c r="A3797" t="inlineStr">
        <is>
          <t>cycling activity</t>
        </is>
      </c>
      <c r="B3797" t="n">
        <v>1</v>
      </c>
    </row>
    <row r="3798">
      <c r="A3798" t="inlineStr">
        <is>
          <t>negative binomial regression</t>
        </is>
      </c>
      <c r="B3798" t="n">
        <v>2</v>
      </c>
    </row>
    <row r="3799">
      <c r="A3799" t="inlineStr">
        <is>
          <t>parking space utilization rate</t>
        </is>
      </c>
      <c r="B3799" t="n">
        <v>1</v>
      </c>
    </row>
    <row r="3800">
      <c r="A3800" t="inlineStr">
        <is>
          <t>nonlinear relationship</t>
        </is>
      </c>
      <c r="B3800" t="n">
        <v>2</v>
      </c>
    </row>
    <row r="3801">
      <c r="A3801" t="inlineStr">
        <is>
          <t>arthritis</t>
        </is>
      </c>
      <c r="B3801" t="n">
        <v>2</v>
      </c>
    </row>
    <row r="3802">
      <c r="A3802" t="inlineStr">
        <is>
          <t>rural-urban</t>
        </is>
      </c>
      <c r="B3802" t="n">
        <v>1</v>
      </c>
    </row>
    <row r="3803">
      <c r="A3803" t="inlineStr">
        <is>
          <t>weight loss recommendation</t>
        </is>
      </c>
      <c r="B3803" t="n">
        <v>1</v>
      </c>
    </row>
    <row r="3804">
      <c r="A3804" t="inlineStr">
        <is>
          <t>urban climate</t>
        </is>
      </c>
      <c r="B3804" t="n">
        <v>2</v>
      </c>
    </row>
    <row r="3805">
      <c r="A3805" t="inlineStr">
        <is>
          <t>ice crystallization</t>
        </is>
      </c>
      <c r="B3805" t="n">
        <v>1</v>
      </c>
    </row>
    <row r="3806">
      <c r="A3806" t="inlineStr">
        <is>
          <t>heat air moisture (ham) transport</t>
        </is>
      </c>
      <c r="B3806" t="n">
        <v>1</v>
      </c>
    </row>
    <row r="3807">
      <c r="A3807" t="inlineStr">
        <is>
          <t>zero curtain effect</t>
        </is>
      </c>
      <c r="B3807" t="n">
        <v>1</v>
      </c>
    </row>
    <row r="3808">
      <c r="A3808" t="inlineStr">
        <is>
          <t>tdcs</t>
        </is>
      </c>
      <c r="B3808" t="n">
        <v>1</v>
      </c>
    </row>
    <row r="3809">
      <c r="A3809" t="inlineStr">
        <is>
          <t>healthy older adults</t>
        </is>
      </c>
      <c r="B3809" t="n">
        <v>2</v>
      </c>
    </row>
    <row r="3810">
      <c r="A3810" t="inlineStr">
        <is>
          <t>immediate memory</t>
        </is>
      </c>
      <c r="B3810" t="n">
        <v>1</v>
      </c>
    </row>
    <row r="3811">
      <c r="A3811" t="inlineStr">
        <is>
          <t>learning potential</t>
        </is>
      </c>
      <c r="B3811" t="n">
        <v>1</v>
      </c>
    </row>
    <row r="3812">
      <c r="A3812" t="inlineStr">
        <is>
          <t>residential neighborhood</t>
        </is>
      </c>
      <c r="B3812" t="n">
        <v>2</v>
      </c>
    </row>
    <row r="3813">
      <c r="A3813" t="inlineStr">
        <is>
          <t>dental anxiety</t>
        </is>
      </c>
      <c r="B3813" t="n">
        <v>1</v>
      </c>
    </row>
    <row r="3814">
      <c r="A3814" t="inlineStr">
        <is>
          <t>dental care</t>
        </is>
      </c>
      <c r="B3814" t="n">
        <v>1</v>
      </c>
    </row>
    <row r="3815">
      <c r="A3815" t="inlineStr">
        <is>
          <t>yellowtail kingfish</t>
        </is>
      </c>
      <c r="B3815" t="n">
        <v>1</v>
      </c>
    </row>
    <row r="3816">
      <c r="A3816" t="inlineStr">
        <is>
          <t>seriola lalandi</t>
        </is>
      </c>
      <c r="B3816" t="n">
        <v>1</v>
      </c>
    </row>
    <row r="3817">
      <c r="A3817" t="inlineStr">
        <is>
          <t>aquaculture</t>
        </is>
      </c>
      <c r="B3817" t="n">
        <v>1</v>
      </c>
    </row>
    <row r="3818">
      <c r="A3818" t="inlineStr">
        <is>
          <t>ontogeny</t>
        </is>
      </c>
      <c r="B3818" t="n">
        <v>1</v>
      </c>
    </row>
    <row r="3819">
      <c r="A3819" t="inlineStr">
        <is>
          <t>mariculture</t>
        </is>
      </c>
      <c r="B3819" t="n">
        <v>1</v>
      </c>
    </row>
    <row r="3820">
      <c r="A3820" t="inlineStr">
        <is>
          <t>eating</t>
        </is>
      </c>
      <c r="B3820" t="n">
        <v>1</v>
      </c>
    </row>
    <row r="3821">
      <c r="A3821" t="inlineStr">
        <is>
          <t>swallowing</t>
        </is>
      </c>
      <c r="B3821" t="n">
        <v>1</v>
      </c>
    </row>
    <row r="3822">
      <c r="A3822" t="inlineStr">
        <is>
          <t>access-based consumption</t>
        </is>
      </c>
      <c r="B3822" t="n">
        <v>1</v>
      </c>
    </row>
    <row r="3823">
      <c r="A3823" t="inlineStr">
        <is>
          <t>collaborative consumption</t>
        </is>
      </c>
      <c r="B3823" t="n">
        <v>1</v>
      </c>
    </row>
    <row r="3824">
      <c r="A3824" t="inlineStr">
        <is>
          <t>collaborative spaces</t>
        </is>
      </c>
      <c r="B3824" t="n">
        <v>1</v>
      </c>
    </row>
    <row r="3825">
      <c r="A3825" t="inlineStr">
        <is>
          <t>co-location</t>
        </is>
      </c>
      <c r="B3825" t="n">
        <v>1</v>
      </c>
    </row>
    <row r="3826">
      <c r="A3826" t="inlineStr">
        <is>
          <t>co-working</t>
        </is>
      </c>
      <c r="B3826" t="n">
        <v>1</v>
      </c>
    </row>
    <row r="3827">
      <c r="A3827" t="inlineStr">
        <is>
          <t>hybrid spaces</t>
        </is>
      </c>
      <c r="B3827" t="n">
        <v>1</v>
      </c>
    </row>
    <row r="3828">
      <c r="A3828" t="inlineStr">
        <is>
          <t>serviced spaces</t>
        </is>
      </c>
      <c r="B3828" t="n">
        <v>1</v>
      </c>
    </row>
    <row r="3829">
      <c r="A3829" t="inlineStr">
        <is>
          <t>shared spaces</t>
        </is>
      </c>
      <c r="B3829" t="n">
        <v>1</v>
      </c>
    </row>
    <row r="3830">
      <c r="A3830" t="inlineStr">
        <is>
          <t>sharing economy</t>
        </is>
      </c>
      <c r="B3830" t="n">
        <v>1</v>
      </c>
    </row>
    <row r="3831">
      <c r="A3831" t="inlineStr">
        <is>
          <t>personal characteristics</t>
        </is>
      </c>
      <c r="B3831" t="n">
        <v>1</v>
      </c>
    </row>
    <row r="3832">
      <c r="A3832" t="inlineStr">
        <is>
          <t>health promotion activities</t>
        </is>
      </c>
      <c r="B3832" t="n">
        <v>1</v>
      </c>
    </row>
    <row r="3833">
      <c r="A3833" t="inlineStr">
        <is>
          <t>nature relatedness</t>
        </is>
      </c>
      <c r="B3833" t="n">
        <v>1</v>
      </c>
    </row>
    <row r="3834">
      <c r="A3834" t="inlineStr">
        <is>
          <t>physical activity with parents</t>
        </is>
      </c>
      <c r="B3834" t="n">
        <v>1</v>
      </c>
    </row>
    <row r="3835">
      <c r="A3835" t="inlineStr">
        <is>
          <t>heat wave</t>
        </is>
      </c>
      <c r="B3835" t="n">
        <v>1</v>
      </c>
    </row>
    <row r="3836">
      <c r="A3836" t="inlineStr">
        <is>
          <t>adaptive behaviors</t>
        </is>
      </c>
      <c r="B3836" t="n">
        <v>1</v>
      </c>
    </row>
    <row r="3837">
      <c r="A3837" t="inlineStr">
        <is>
          <t>structural equation models</t>
        </is>
      </c>
      <c r="B3837" t="n">
        <v>1</v>
      </c>
    </row>
    <row r="3838">
      <c r="A3838" t="inlineStr">
        <is>
          <t>living walls</t>
        </is>
      </c>
      <c r="B3838" t="n">
        <v>1</v>
      </c>
    </row>
    <row r="3839">
      <c r="A3839" t="inlineStr">
        <is>
          <t>evaporative cooling</t>
        </is>
      </c>
      <c r="B3839" t="n">
        <v>1</v>
      </c>
    </row>
    <row r="3840">
      <c r="A3840" t="inlineStr">
        <is>
          <t>vertical gardena</t>
        </is>
      </c>
      <c r="B3840" t="n">
        <v>1</v>
      </c>
    </row>
    <row r="3841">
      <c r="A3841" t="inlineStr">
        <is>
          <t>functional food</t>
        </is>
      </c>
      <c r="B3841" t="n">
        <v>1</v>
      </c>
    </row>
    <row r="3842">
      <c r="A3842" t="inlineStr">
        <is>
          <t>consumer survey</t>
        </is>
      </c>
      <c r="B3842" t="n">
        <v>1</v>
      </c>
    </row>
    <row r="3843">
      <c r="A3843" t="inlineStr">
        <is>
          <t>nutrition claims</t>
        </is>
      </c>
      <c r="B3843" t="n">
        <v>1</v>
      </c>
    </row>
    <row r="3844">
      <c r="A3844" t="inlineStr">
        <is>
          <t>health claims</t>
        </is>
      </c>
      <c r="B3844" t="n">
        <v>1</v>
      </c>
    </row>
    <row r="3845">
      <c r="A3845" t="inlineStr">
        <is>
          <t>healthy diet</t>
        </is>
      </c>
      <c r="B3845" t="n">
        <v>2</v>
      </c>
    </row>
    <row r="3846">
      <c r="A3846" t="inlineStr">
        <is>
          <t>response</t>
        </is>
      </c>
      <c r="B3846" t="n">
        <v>1</v>
      </c>
    </row>
    <row r="3847">
      <c r="A3847" t="inlineStr">
        <is>
          <t>dropout</t>
        </is>
      </c>
      <c r="B3847" t="n">
        <v>1</v>
      </c>
    </row>
    <row r="3848">
      <c r="A3848" t="inlineStr">
        <is>
          <t>physical activity interventions</t>
        </is>
      </c>
      <c r="B3848" t="n">
        <v>1</v>
      </c>
    </row>
    <row r="3849">
      <c r="A3849" t="inlineStr">
        <is>
          <t>osm</t>
        </is>
      </c>
      <c r="B3849" t="n">
        <v>1</v>
      </c>
    </row>
    <row r="3850">
      <c r="A3850" t="inlineStr">
        <is>
          <t>structural and engineered timber</t>
        </is>
      </c>
      <c r="B3850" t="n">
        <v>1</v>
      </c>
    </row>
    <row r="3851">
      <c r="A3851" t="inlineStr">
        <is>
          <t>harvested wood products</t>
        </is>
      </c>
      <c r="B3851" t="n">
        <v>1</v>
      </c>
    </row>
    <row r="3852">
      <c r="A3852" t="inlineStr">
        <is>
          <t>carbon storage</t>
        </is>
      </c>
      <c r="B3852" t="n">
        <v>1</v>
      </c>
    </row>
    <row r="3853">
      <c r="A3853" t="inlineStr">
        <is>
          <t>climate change mitigation</t>
        </is>
      </c>
      <c r="B3853" t="n">
        <v>1</v>
      </c>
    </row>
    <row r="3854">
      <c r="A3854" t="inlineStr">
        <is>
          <t>positivism</t>
        </is>
      </c>
      <c r="B3854" t="n">
        <v>1</v>
      </c>
    </row>
    <row r="3855">
      <c r="A3855" t="inlineStr">
        <is>
          <t>embodied carbon reduction</t>
        </is>
      </c>
      <c r="B3855" t="n">
        <v>1</v>
      </c>
    </row>
    <row r="3856">
      <c r="A3856" t="inlineStr">
        <is>
          <t>embodied carbon mitigation</t>
        </is>
      </c>
      <c r="B3856" t="n">
        <v>1</v>
      </c>
    </row>
    <row r="3857">
      <c r="A3857" t="inlineStr">
        <is>
          <t>low carbon built environment</t>
        </is>
      </c>
      <c r="B3857" t="n">
        <v>1</v>
      </c>
    </row>
    <row r="3858">
      <c r="A3858" t="inlineStr">
        <is>
          <t>lca buildings</t>
        </is>
      </c>
      <c r="B3858" t="n">
        <v>1</v>
      </c>
    </row>
    <row r="3859">
      <c r="A3859" t="inlineStr">
        <is>
          <t>urban ecological infrastructure</t>
        </is>
      </c>
      <c r="B3859" t="n">
        <v>1</v>
      </c>
    </row>
    <row r="3860">
      <c r="A3860" t="inlineStr">
        <is>
          <t>hybrid infrastructure</t>
        </is>
      </c>
      <c r="B3860" t="n">
        <v>1</v>
      </c>
    </row>
    <row r="3861">
      <c r="A3861" t="inlineStr">
        <is>
          <t>context</t>
        </is>
      </c>
      <c r="B3861" t="n">
        <v>1</v>
      </c>
    </row>
    <row r="3862">
      <c r="A3862" t="inlineStr">
        <is>
          <t>urban public space</t>
        </is>
      </c>
      <c r="B3862" t="n">
        <v>1</v>
      </c>
    </row>
    <row r="3863">
      <c r="A3863" t="inlineStr">
        <is>
          <t>environmental perception</t>
        </is>
      </c>
      <c r="B3863" t="n">
        <v>1</v>
      </c>
    </row>
    <row r="3864">
      <c r="A3864" t="inlineStr">
        <is>
          <t>historic buildings</t>
        </is>
      </c>
      <c r="B3864" t="n">
        <v>1</v>
      </c>
    </row>
    <row r="3865">
      <c r="A3865" t="inlineStr">
        <is>
          <t>indoor climate</t>
        </is>
      </c>
      <c r="B3865" t="n">
        <v>2</v>
      </c>
    </row>
    <row r="3866">
      <c r="A3866" t="inlineStr">
        <is>
          <t>induced climate risks</t>
        </is>
      </c>
      <c r="B3866" t="n">
        <v>1</v>
      </c>
    </row>
    <row r="3867">
      <c r="A3867" t="inlineStr">
        <is>
          <t>visitor impact</t>
        </is>
      </c>
      <c r="B3867" t="n">
        <v>1</v>
      </c>
    </row>
    <row r="3868">
      <c r="A3868" t="inlineStr">
        <is>
          <t>sustainable success</t>
        </is>
      </c>
      <c r="B3868" t="n">
        <v>1</v>
      </c>
    </row>
    <row r="3869">
      <c r="A3869" t="inlineStr">
        <is>
          <t>restorative care</t>
        </is>
      </c>
      <c r="B3869" t="n">
        <v>1</v>
      </c>
    </row>
    <row r="3870">
      <c r="A3870" t="inlineStr">
        <is>
          <t>reablement</t>
        </is>
      </c>
      <c r="B3870" t="n">
        <v>1</v>
      </c>
    </row>
    <row r="3871">
      <c r="A3871" t="inlineStr">
        <is>
          <t>function</t>
        </is>
      </c>
      <c r="B3871" t="n">
        <v>1</v>
      </c>
    </row>
    <row r="3872">
      <c r="A3872" t="inlineStr">
        <is>
          <t>pedestrian volume</t>
        </is>
      </c>
      <c r="B3872" t="n">
        <v>2</v>
      </c>
    </row>
    <row r="3873">
      <c r="A3873" t="inlineStr">
        <is>
          <t>sustainable vehicle ownership</t>
        </is>
      </c>
      <c r="B3873" t="n">
        <v>1</v>
      </c>
    </row>
    <row r="3874">
      <c r="A3874" t="inlineStr">
        <is>
          <t>nonlinear relationships</t>
        </is>
      </c>
      <c r="B3874" t="n">
        <v>1</v>
      </c>
    </row>
    <row r="3875">
      <c r="A3875" t="inlineStr">
        <is>
          <t>xgbt</t>
        </is>
      </c>
      <c r="B3875" t="n">
        <v>1</v>
      </c>
    </row>
    <row r="3876">
      <c r="A3876" t="inlineStr">
        <is>
          <t>health related quality of life</t>
        </is>
      </c>
      <c r="B3876" t="n">
        <v>2</v>
      </c>
    </row>
    <row r="3877">
      <c r="A3877" t="inlineStr">
        <is>
          <t>rural population</t>
        </is>
      </c>
      <c r="B3877" t="n">
        <v>1</v>
      </c>
    </row>
    <row r="3878">
      <c r="A3878" t="inlineStr">
        <is>
          <t>indoor soundscape</t>
        </is>
      </c>
      <c r="B3878" t="n">
        <v>1</v>
      </c>
    </row>
    <row r="3879">
      <c r="A3879" t="inlineStr">
        <is>
          <t>acoustic design</t>
        </is>
      </c>
      <c r="B3879" t="n">
        <v>1</v>
      </c>
    </row>
    <row r="3880">
      <c r="A3880" t="inlineStr">
        <is>
          <t>experience</t>
        </is>
      </c>
      <c r="B3880" t="n">
        <v>1</v>
      </c>
    </row>
    <row r="3881">
      <c r="A3881" t="inlineStr">
        <is>
          <t>people</t>
        </is>
      </c>
      <c r="B3881" t="n">
        <v>1</v>
      </c>
    </row>
    <row r="3882">
      <c r="A3882" t="inlineStr">
        <is>
          <t>older drivers</t>
        </is>
      </c>
      <c r="B3882" t="n">
        <v>1</v>
      </c>
    </row>
    <row r="3883">
      <c r="A3883" t="inlineStr">
        <is>
          <t>traffic accident</t>
        </is>
      </c>
      <c r="B3883" t="n">
        <v>1</v>
      </c>
    </row>
    <row r="3884">
      <c r="A3884" t="inlineStr">
        <is>
          <t>functional mobility</t>
        </is>
      </c>
      <c r="B3884" t="n">
        <v>1</v>
      </c>
    </row>
    <row r="3885">
      <c r="A3885" t="inlineStr">
        <is>
          <t>physical activity level</t>
        </is>
      </c>
      <c r="B3885" t="n">
        <v>1</v>
      </c>
    </row>
    <row r="3886">
      <c r="A3886" t="inlineStr">
        <is>
          <t>sustainable cellular concrete</t>
        </is>
      </c>
      <c r="B3886" t="n">
        <v>1</v>
      </c>
    </row>
    <row r="3887">
      <c r="A3887" t="inlineStr">
        <is>
          <t>environment-friendly capsule aggregates</t>
        </is>
      </c>
      <c r="B3887" t="n">
        <v>1</v>
      </c>
    </row>
    <row r="3888">
      <c r="A3888" t="inlineStr">
        <is>
          <t>fly ash shell-alginate core</t>
        </is>
      </c>
      <c r="B3888" t="n">
        <v>1</v>
      </c>
    </row>
    <row r="3889">
      <c r="A3889" t="inlineStr">
        <is>
          <t>physical and mechanical properties</t>
        </is>
      </c>
      <c r="B3889" t="n">
        <v>1</v>
      </c>
    </row>
    <row r="3890">
      <c r="A3890" t="inlineStr">
        <is>
          <t>microstructure and evolution mechanism</t>
        </is>
      </c>
      <c r="B3890" t="n">
        <v>1</v>
      </c>
    </row>
    <row r="3891">
      <c r="A3891" t="inlineStr">
        <is>
          <t>children's independent activity</t>
        </is>
      </c>
      <c r="B3891" t="n">
        <v>1</v>
      </c>
    </row>
    <row r="3892">
      <c r="A3892" t="inlineStr">
        <is>
          <t>outdoor space</t>
        </is>
      </c>
      <c r="B3892" t="n">
        <v>1</v>
      </c>
    </row>
    <row r="3893">
      <c r="A3893" t="inlineStr">
        <is>
          <t>aerosol</t>
        </is>
      </c>
      <c r="B3893" t="n">
        <v>2</v>
      </c>
    </row>
    <row r="3894">
      <c r="A3894" t="inlineStr">
        <is>
          <t>trichoderma</t>
        </is>
      </c>
      <c r="B3894" t="n">
        <v>1</v>
      </c>
    </row>
    <row r="3895">
      <c r="A3895" t="inlineStr">
        <is>
          <t>microbes</t>
        </is>
      </c>
      <c r="B3895" t="n">
        <v>1</v>
      </c>
    </row>
    <row r="3896">
      <c r="A3896" t="inlineStr">
        <is>
          <t>online questionnaire</t>
        </is>
      </c>
      <c r="B3896" t="n">
        <v>1</v>
      </c>
    </row>
    <row r="3897">
      <c r="A3897" t="inlineStr">
        <is>
          <t>airborne particles</t>
        </is>
      </c>
      <c r="B3897" t="n">
        <v>1</v>
      </c>
    </row>
    <row r="3898">
      <c r="A3898" t="inlineStr">
        <is>
          <t>combined exposures</t>
        </is>
      </c>
      <c r="B3898" t="n">
        <v>1</v>
      </c>
    </row>
    <row r="3899">
      <c r="A3899" t="inlineStr">
        <is>
          <t>temperature and humidity</t>
        </is>
      </c>
      <c r="B3899" t="n">
        <v>1</v>
      </c>
    </row>
    <row r="3900">
      <c r="A3900" t="inlineStr">
        <is>
          <t>healthcare professionals</t>
        </is>
      </c>
      <c r="B3900" t="n">
        <v>1</v>
      </c>
    </row>
    <row r="3901">
      <c r="A3901" t="inlineStr">
        <is>
          <t>theoretical domains framework</t>
        </is>
      </c>
      <c r="B3901" t="n">
        <v>1</v>
      </c>
    </row>
    <row r="3902">
      <c r="A3902" t="inlineStr">
        <is>
          <t>land slope</t>
        </is>
      </c>
      <c r="B3902" t="n">
        <v>1</v>
      </c>
    </row>
    <row r="3903">
      <c r="A3903" t="inlineStr">
        <is>
          <t>building properties</t>
        </is>
      </c>
      <c r="B3903" t="n">
        <v>1</v>
      </c>
    </row>
    <row r="3904">
      <c r="A3904" t="inlineStr">
        <is>
          <t>flash floods</t>
        </is>
      </c>
      <c r="B3904" t="n">
        <v>1</v>
      </c>
    </row>
    <row r="3905">
      <c r="A3905" t="inlineStr">
        <is>
          <t>flow parameters</t>
        </is>
      </c>
      <c r="B3905" t="n">
        <v>1</v>
      </c>
    </row>
    <row r="3906">
      <c r="A3906" t="inlineStr">
        <is>
          <t>indicator-based methodology</t>
        </is>
      </c>
      <c r="B3906" t="n">
        <v>1</v>
      </c>
    </row>
    <row r="3907">
      <c r="A3907" t="inlineStr">
        <is>
          <t>physical vulnerability</t>
        </is>
      </c>
      <c r="B3907" t="n">
        <v>1</v>
      </c>
    </row>
    <row r="3908">
      <c r="A3908" t="inlineStr">
        <is>
          <t>smart and innovative management</t>
        </is>
      </c>
      <c r="B3908" t="n">
        <v>1</v>
      </c>
    </row>
    <row r="3909">
      <c r="A3909" t="inlineStr">
        <is>
          <t>energy management</t>
        </is>
      </c>
      <c r="B3909" t="n">
        <v>1</v>
      </c>
    </row>
    <row r="3910">
      <c r="A3910" t="inlineStr">
        <is>
          <t>environmental and corporate management</t>
        </is>
      </c>
      <c r="B3910" t="n">
        <v>1</v>
      </c>
    </row>
    <row r="3911">
      <c r="A3911" t="inlineStr">
        <is>
          <t>environmental input-output analysis</t>
        </is>
      </c>
      <c r="B3911" t="n">
        <v>1</v>
      </c>
    </row>
    <row r="3912">
      <c r="A3912" t="inlineStr">
        <is>
          <t>material flow analysis (mfa)</t>
        </is>
      </c>
      <c r="B3912" t="n">
        <v>1</v>
      </c>
    </row>
    <row r="3913">
      <c r="A3913" t="inlineStr">
        <is>
          <t>physical input-output tables (piot)</t>
        </is>
      </c>
      <c r="B3913" t="n">
        <v>1</v>
      </c>
    </row>
    <row r="3914">
      <c r="A3914" t="inlineStr">
        <is>
          <t>steel</t>
        </is>
      </c>
      <c r="B3914" t="n">
        <v>1</v>
      </c>
    </row>
    <row r="3915">
      <c r="A3915" t="inlineStr">
        <is>
          <t>virtual laboratories</t>
        </is>
      </c>
      <c r="B3915" t="n">
        <v>1</v>
      </c>
    </row>
    <row r="3916">
      <c r="A3916" t="inlineStr">
        <is>
          <t>population aging</t>
        </is>
      </c>
      <c r="B3916" t="n">
        <v>1</v>
      </c>
    </row>
    <row r="3917">
      <c r="A3917" t="inlineStr">
        <is>
          <t>telerehabilitation</t>
        </is>
      </c>
      <c r="B3917" t="n">
        <v>1</v>
      </c>
    </row>
    <row r="3918">
      <c r="A3918" t="inlineStr">
        <is>
          <t>mid cognitive impairment</t>
        </is>
      </c>
      <c r="B3918" t="n">
        <v>1</v>
      </c>
    </row>
    <row r="3919">
      <c r="A3919" t="inlineStr">
        <is>
          <t>cognitive frailty</t>
        </is>
      </c>
      <c r="B3919" t="n">
        <v>2</v>
      </c>
    </row>
    <row r="3920">
      <c r="A3920" t="inlineStr">
        <is>
          <t>educational attainment</t>
        </is>
      </c>
      <c r="B3920" t="n">
        <v>1</v>
      </c>
    </row>
    <row r="3921">
      <c r="A3921" t="inlineStr">
        <is>
          <t>financial difficulty</t>
        </is>
      </c>
      <c r="B3921" t="n">
        <v>1</v>
      </c>
    </row>
    <row r="3922">
      <c r="A3922" t="inlineStr">
        <is>
          <t>age-friendly city (afc)</t>
        </is>
      </c>
      <c r="B3922" t="n">
        <v>1</v>
      </c>
    </row>
    <row r="3923">
      <c r="A3923" t="inlineStr">
        <is>
          <t>taitung county</t>
        </is>
      </c>
      <c r="B3923" t="n">
        <v>1</v>
      </c>
    </row>
    <row r="3924">
      <c r="A3924" t="inlineStr">
        <is>
          <t>older adults (demanders)</t>
        </is>
      </c>
      <c r="B3924" t="n">
        <v>1</v>
      </c>
    </row>
    <row r="3925">
      <c r="A3925" t="inlineStr">
        <is>
          <t>service providers</t>
        </is>
      </c>
      <c r="B3925" t="n">
        <v>1</v>
      </c>
    </row>
    <row r="3926">
      <c r="A3926" t="inlineStr">
        <is>
          <t>pmv index</t>
        </is>
      </c>
      <c r="B3926" t="n">
        <v>1</v>
      </c>
    </row>
    <row r="3927">
      <c r="A3927" t="inlineStr">
        <is>
          <t>feedforward neural network</t>
        </is>
      </c>
      <c r="B3927" t="n">
        <v>1</v>
      </c>
    </row>
    <row r="3928">
      <c r="A3928" t="inlineStr">
        <is>
          <t>intelligent construction</t>
        </is>
      </c>
      <c r="B3928" t="n">
        <v>1</v>
      </c>
    </row>
    <row r="3929">
      <c r="A3929" t="inlineStr">
        <is>
          <t>intelligent building</t>
        </is>
      </c>
      <c r="B3929" t="n">
        <v>1</v>
      </c>
    </row>
    <row r="3930">
      <c r="A3930" t="inlineStr">
        <is>
          <t>thermal comfort modelling</t>
        </is>
      </c>
      <c r="B3930" t="n">
        <v>1</v>
      </c>
    </row>
    <row r="3931">
      <c r="A3931" t="inlineStr">
        <is>
          <t>public park</t>
        </is>
      </c>
      <c r="B3931" t="n">
        <v>1</v>
      </c>
    </row>
    <row r="3932">
      <c r="A3932" t="inlineStr">
        <is>
          <t>urban landscape</t>
        </is>
      </c>
      <c r="B3932" t="n">
        <v>1</v>
      </c>
    </row>
    <row r="3933">
      <c r="A3933" t="inlineStr">
        <is>
          <t>behaviour change theory</t>
        </is>
      </c>
      <c r="B3933" t="n">
        <v>1</v>
      </c>
    </row>
    <row r="3934">
      <c r="A3934" t="inlineStr">
        <is>
          <t>sexual abuse</t>
        </is>
      </c>
      <c r="B3934" t="n">
        <v>1</v>
      </c>
    </row>
    <row r="3935">
      <c r="A3935" t="inlineStr">
        <is>
          <t>sexual assault</t>
        </is>
      </c>
      <c r="B3935" t="n">
        <v>1</v>
      </c>
    </row>
    <row r="3936">
      <c r="A3936" t="inlineStr">
        <is>
          <t>elder abuse and neglect</t>
        </is>
      </c>
      <c r="B3936" t="n">
        <v>1</v>
      </c>
    </row>
    <row r="3937">
      <c r="A3937" t="inlineStr">
        <is>
          <t>emergy</t>
        </is>
      </c>
      <c r="B3937" t="n">
        <v>1</v>
      </c>
    </row>
    <row r="3938">
      <c r="A3938" t="inlineStr">
        <is>
          <t>building information model</t>
        </is>
      </c>
      <c r="B3938" t="n">
        <v>1</v>
      </c>
    </row>
    <row r="3939">
      <c r="A3939" t="inlineStr">
        <is>
          <t>momentary experience</t>
        </is>
      </c>
      <c r="B3939" t="n">
        <v>1</v>
      </c>
    </row>
    <row r="3940">
      <c r="A3940" t="inlineStr">
        <is>
          <t>stated preference experiment</t>
        </is>
      </c>
      <c r="B3940" t="n">
        <v>1</v>
      </c>
    </row>
    <row r="3941">
      <c r="A3941" t="inlineStr">
        <is>
          <t>aspect ratio</t>
        </is>
      </c>
      <c r="B3941" t="n">
        <v>1</v>
      </c>
    </row>
    <row r="3942">
      <c r="A3942" t="inlineStr">
        <is>
          <t>turbulence</t>
        </is>
      </c>
      <c r="B3942" t="n">
        <v>1</v>
      </c>
    </row>
    <row r="3943">
      <c r="A3943" t="inlineStr">
        <is>
          <t>pedestrian exposure</t>
        </is>
      </c>
      <c r="B3943" t="n">
        <v>1</v>
      </c>
    </row>
    <row r="3944">
      <c r="A3944" t="inlineStr">
        <is>
          <t>coupling coordination degree</t>
        </is>
      </c>
      <c r="B3944" t="n">
        <v>1</v>
      </c>
    </row>
    <row r="3945">
      <c r="A3945" t="inlineStr">
        <is>
          <t>spatial autocorrelation</t>
        </is>
      </c>
      <c r="B3945" t="n">
        <v>2</v>
      </c>
    </row>
    <row r="3946">
      <c r="A3946" t="inlineStr">
        <is>
          <t>chemical reaction</t>
        </is>
      </c>
      <c r="B3946" t="n">
        <v>1</v>
      </c>
    </row>
    <row r="3947">
      <c r="A3947" t="inlineStr">
        <is>
          <t>physical transport</t>
        </is>
      </c>
      <c r="B3947" t="n">
        <v>1</v>
      </c>
    </row>
    <row r="3948">
      <c r="A3948" t="inlineStr">
        <is>
          <t>indoor surface</t>
        </is>
      </c>
      <c r="B3948" t="n">
        <v>1</v>
      </c>
    </row>
    <row r="3949">
      <c r="A3949" t="inlineStr">
        <is>
          <t>squalene</t>
        </is>
      </c>
      <c r="B3949" t="n">
        <v>1</v>
      </c>
    </row>
    <row r="3950">
      <c r="A3950" t="inlineStr">
        <is>
          <t>thermal model</t>
        </is>
      </c>
      <c r="B3950" t="n">
        <v>1</v>
      </c>
    </row>
    <row r="3951">
      <c r="A3951" t="inlineStr">
        <is>
          <t>numerical simulations</t>
        </is>
      </c>
      <c r="B3951" t="n">
        <v>1</v>
      </c>
    </row>
    <row r="3952">
      <c r="A3952" t="inlineStr">
        <is>
          <t>co-simulation</t>
        </is>
      </c>
      <c r="B3952" t="n">
        <v>1</v>
      </c>
    </row>
    <row r="3953">
      <c r="A3953" t="inlineStr">
        <is>
          <t>validation</t>
        </is>
      </c>
      <c r="B3953" t="n">
        <v>1</v>
      </c>
    </row>
    <row r="3954">
      <c r="A3954" t="inlineStr">
        <is>
          <t>calibration</t>
        </is>
      </c>
      <c r="B3954" t="n">
        <v>1</v>
      </c>
    </row>
    <row r="3955">
      <c r="A3955" t="inlineStr">
        <is>
          <t>airflow</t>
        </is>
      </c>
      <c r="B3955" t="n">
        <v>2</v>
      </c>
    </row>
    <row r="3956">
      <c r="A3956" t="inlineStr">
        <is>
          <t>single-family house</t>
        </is>
      </c>
      <c r="B3956" t="n">
        <v>1</v>
      </c>
    </row>
    <row r="3957">
      <c r="A3957" t="inlineStr">
        <is>
          <t>mobile application design</t>
        </is>
      </c>
      <c r="B3957" t="n">
        <v>1</v>
      </c>
    </row>
    <row r="3958">
      <c r="A3958" t="inlineStr">
        <is>
          <t>indoor pm25</t>
        </is>
      </c>
      <c r="B3958" t="n">
        <v>1</v>
      </c>
    </row>
    <row r="3959">
      <c r="A3959" t="inlineStr">
        <is>
          <t>korean older adults</t>
        </is>
      </c>
      <c r="B3959" t="n">
        <v>1</v>
      </c>
    </row>
    <row r="3960">
      <c r="A3960" t="inlineStr">
        <is>
          <t>wall texture</t>
        </is>
      </c>
      <c r="B3960" t="n">
        <v>1</v>
      </c>
    </row>
    <row r="3961">
      <c r="A3961" t="inlineStr">
        <is>
          <t>perceptual spaciousness</t>
        </is>
      </c>
      <c r="B3961" t="n">
        <v>1</v>
      </c>
    </row>
    <row r="3962">
      <c r="A3962" t="inlineStr">
        <is>
          <t>indoor space</t>
        </is>
      </c>
      <c r="B3962" t="n">
        <v>1</v>
      </c>
    </row>
    <row r="3963">
      <c r="A3963" t="inlineStr">
        <is>
          <t>vr technology</t>
        </is>
      </c>
      <c r="B3963" t="n">
        <v>1</v>
      </c>
    </row>
    <row r="3964">
      <c r="A3964" t="inlineStr">
        <is>
          <t>me (magnitude estimation) method</t>
        </is>
      </c>
      <c r="B3964" t="n">
        <v>1</v>
      </c>
    </row>
    <row r="3965">
      <c r="A3965" t="inlineStr">
        <is>
          <t>value chain</t>
        </is>
      </c>
      <c r="B3965" t="n">
        <v>1</v>
      </c>
    </row>
    <row r="3966">
      <c r="A3966" t="inlineStr">
        <is>
          <t>value proposition</t>
        </is>
      </c>
      <c r="B3966" t="n">
        <v>1</v>
      </c>
    </row>
    <row r="3967">
      <c r="A3967" t="inlineStr">
        <is>
          <t>kitchen design</t>
        </is>
      </c>
      <c r="B3967" t="n">
        <v>1</v>
      </c>
    </row>
    <row r="3968">
      <c r="A3968" t="inlineStr">
        <is>
          <t>pm2.5 aerosols</t>
        </is>
      </c>
      <c r="B3968" t="n">
        <v>1</v>
      </c>
    </row>
    <row r="3969">
      <c r="A3969" t="inlineStr">
        <is>
          <t>water-soluble ionic species</t>
        </is>
      </c>
      <c r="B3969" t="n">
        <v>1</v>
      </c>
    </row>
    <row r="3970">
      <c r="A3970" t="inlineStr">
        <is>
          <t>vietnam</t>
        </is>
      </c>
      <c r="B3970" t="n">
        <v>1</v>
      </c>
    </row>
    <row r="3971">
      <c r="A3971" t="inlineStr">
        <is>
          <t>long-term care settings</t>
        </is>
      </c>
      <c r="B3971" t="n">
        <v>1</v>
      </c>
    </row>
    <row r="3972">
      <c r="A3972" t="inlineStr">
        <is>
          <t>residential assessment</t>
        </is>
      </c>
      <c r="B3972" t="n">
        <v>1</v>
      </c>
    </row>
    <row r="3973">
      <c r="A3973" t="inlineStr">
        <is>
          <t>madrid region</t>
        </is>
      </c>
      <c r="B3973" t="n">
        <v>1</v>
      </c>
    </row>
    <row r="3974">
      <c r="A3974" t="inlineStr">
        <is>
          <t>built heritage</t>
        </is>
      </c>
      <c r="B3974" t="n">
        <v>3</v>
      </c>
    </row>
    <row r="3975">
      <c r="A3975" t="inlineStr">
        <is>
          <t>spherical photogrammetry</t>
        </is>
      </c>
      <c r="B3975" t="n">
        <v>1</v>
      </c>
    </row>
    <row r="3976">
      <c r="A3976" t="inlineStr">
        <is>
          <t>360 degrees cameras</t>
        </is>
      </c>
      <c r="B3976" t="n">
        <v>1</v>
      </c>
    </row>
    <row r="3977">
      <c r="A3977" t="inlineStr">
        <is>
          <t>sfm</t>
        </is>
      </c>
      <c r="B3977" t="n">
        <v>1</v>
      </c>
    </row>
    <row r="3978">
      <c r="A3978" t="inlineStr">
        <is>
          <t>slam</t>
        </is>
      </c>
      <c r="B3978" t="n">
        <v>1</v>
      </c>
    </row>
    <row r="3979">
      <c r="A3979" t="inlineStr">
        <is>
          <t>health services</t>
        </is>
      </c>
      <c r="B3979" t="n">
        <v>1</v>
      </c>
    </row>
    <row r="3980">
      <c r="A3980" t="inlineStr">
        <is>
          <t>indoor visual positioning</t>
        </is>
      </c>
      <c r="B3980" t="n">
        <v>1</v>
      </c>
    </row>
    <row r="3981">
      <c r="A3981" t="inlineStr">
        <is>
          <t>feature matching</t>
        </is>
      </c>
      <c r="B3981" t="n">
        <v>1</v>
      </c>
    </row>
    <row r="3982">
      <c r="A3982" t="inlineStr">
        <is>
          <t>surf</t>
        </is>
      </c>
      <c r="B3982" t="n">
        <v>1</v>
      </c>
    </row>
    <row r="3983">
      <c r="A3983" t="inlineStr">
        <is>
          <t>camera pose</t>
        </is>
      </c>
      <c r="B3983" t="n">
        <v>1</v>
      </c>
    </row>
    <row r="3984">
      <c r="A3984" t="inlineStr">
        <is>
          <t>longevity</t>
        </is>
      </c>
      <c r="B3984" t="n">
        <v>1</v>
      </c>
    </row>
    <row r="3985">
      <c r="A3985" t="inlineStr">
        <is>
          <t>long-lived individuals</t>
        </is>
      </c>
      <c r="B3985" t="n">
        <v>1</v>
      </c>
    </row>
    <row r="3986">
      <c r="A3986" t="inlineStr">
        <is>
          <t>geriatric syndromes</t>
        </is>
      </c>
      <c r="B3986" t="n">
        <v>1</v>
      </c>
    </row>
    <row r="3987">
      <c r="A3987" t="inlineStr">
        <is>
          <t>gfi</t>
        </is>
      </c>
      <c r="B3987" t="n">
        <v>1</v>
      </c>
    </row>
    <row r="3988">
      <c r="A3988" t="inlineStr">
        <is>
          <t>ohip</t>
        </is>
      </c>
      <c r="B3988" t="n">
        <v>1</v>
      </c>
    </row>
    <row r="3989">
      <c r="A3989" t="inlineStr">
        <is>
          <t>leisure benefits</t>
        </is>
      </c>
      <c r="B3989" t="n">
        <v>1</v>
      </c>
    </row>
    <row r="3990">
      <c r="A3990" t="inlineStr">
        <is>
          <t>leisure constraints and negotiation</t>
        </is>
      </c>
      <c r="B3990" t="n">
        <v>1</v>
      </c>
    </row>
    <row r="3991">
      <c r="A3991" t="inlineStr">
        <is>
          <t>water</t>
        </is>
      </c>
      <c r="B3991" t="n">
        <v>1</v>
      </c>
    </row>
    <row r="3992">
      <c r="A3992" t="inlineStr">
        <is>
          <t>electromyography</t>
        </is>
      </c>
      <c r="B3992" t="n">
        <v>1</v>
      </c>
    </row>
    <row r="3993">
      <c r="A3993" t="inlineStr">
        <is>
          <t>posture</t>
        </is>
      </c>
      <c r="B3993" t="n">
        <v>1</v>
      </c>
    </row>
    <row r="3994">
      <c r="A3994" t="inlineStr">
        <is>
          <t>sustainable procurement</t>
        </is>
      </c>
      <c r="B3994" t="n">
        <v>1</v>
      </c>
    </row>
    <row r="3995">
      <c r="A3995" t="inlineStr">
        <is>
          <t>supply chain</t>
        </is>
      </c>
      <c r="B3995" t="n">
        <v>1</v>
      </c>
    </row>
    <row r="3996">
      <c r="A3996" t="inlineStr">
        <is>
          <t>covid-19 impacts</t>
        </is>
      </c>
      <c r="B3996" t="n">
        <v>1</v>
      </c>
    </row>
    <row r="3997">
      <c r="A3997" t="inlineStr">
        <is>
          <t>after-school physical activity</t>
        </is>
      </c>
      <c r="B3997" t="n">
        <v>1</v>
      </c>
    </row>
    <row r="3998">
      <c r="A3998" t="inlineStr">
        <is>
          <t>health-related physical fitness</t>
        </is>
      </c>
      <c r="B3998" t="n">
        <v>1</v>
      </c>
    </row>
    <row r="3999">
      <c r="A3999" t="inlineStr">
        <is>
          <t>cognitive failure</t>
        </is>
      </c>
      <c r="B3999" t="n">
        <v>1</v>
      </c>
    </row>
    <row r="4000">
      <c r="A4000" t="inlineStr">
        <is>
          <t>conscientiousness</t>
        </is>
      </c>
      <c r="B4000" t="n">
        <v>1</v>
      </c>
    </row>
    <row r="4001">
      <c r="A4001" t="inlineStr">
        <is>
          <t>personality</t>
        </is>
      </c>
      <c r="B4001" t="n">
        <v>1</v>
      </c>
    </row>
    <row r="4002">
      <c r="A4002" t="inlineStr">
        <is>
          <t>parking demand</t>
        </is>
      </c>
      <c r="B4002" t="n">
        <v>1</v>
      </c>
    </row>
    <row r="4003">
      <c r="A4003" t="inlineStr">
        <is>
          <t>urban characteristics</t>
        </is>
      </c>
      <c r="B4003" t="n">
        <v>1</v>
      </c>
    </row>
    <row r="4004">
      <c r="A4004" t="inlineStr">
        <is>
          <t>age-specific</t>
        </is>
      </c>
      <c r="B4004" t="n">
        <v>1</v>
      </c>
    </row>
    <row r="4005">
      <c r="A4005" t="inlineStr">
        <is>
          <t>no2</t>
        </is>
      </c>
      <c r="B4005" t="n">
        <v>1</v>
      </c>
    </row>
    <row r="4006">
      <c r="A4006" t="inlineStr">
        <is>
          <t>health impact assessment</t>
        </is>
      </c>
      <c r="B4006" t="n">
        <v>1</v>
      </c>
    </row>
    <row r="4007">
      <c r="A4007" t="inlineStr">
        <is>
          <t>illuminance</t>
        </is>
      </c>
      <c r="B4007" t="n">
        <v>1</v>
      </c>
    </row>
    <row r="4008">
      <c r="A4008" t="inlineStr">
        <is>
          <t>illuminance uniformity</t>
        </is>
      </c>
      <c r="B4008" t="n">
        <v>1</v>
      </c>
    </row>
    <row r="4009">
      <c r="A4009" t="inlineStr">
        <is>
          <t>natural lighting</t>
        </is>
      </c>
      <c r="B4009" t="n">
        <v>1</v>
      </c>
    </row>
    <row r="4010">
      <c r="A4010" t="inlineStr">
        <is>
          <t>geographical variation</t>
        </is>
      </c>
      <c r="B4010" t="n">
        <v>1</v>
      </c>
    </row>
    <row r="4011">
      <c r="A4011" t="inlineStr">
        <is>
          <t>cooking</t>
        </is>
      </c>
      <c r="B4011" t="n">
        <v>1</v>
      </c>
    </row>
    <row r="4012">
      <c r="A4012" t="inlineStr">
        <is>
          <t>fumes</t>
        </is>
      </c>
      <c r="B4012" t="n">
        <v>1</v>
      </c>
    </row>
    <row r="4013">
      <c r="A4013" t="inlineStr">
        <is>
          <t>respirable suspended particulate matter</t>
        </is>
      </c>
      <c r="B4013" t="n">
        <v>1</v>
      </c>
    </row>
    <row r="4014">
      <c r="A4014" t="inlineStr">
        <is>
          <t>nanoparticles</t>
        </is>
      </c>
      <c r="B4014" t="n">
        <v>2</v>
      </c>
    </row>
    <row r="4015">
      <c r="A4015" t="inlineStr">
        <is>
          <t>home work</t>
        </is>
      </c>
      <c r="B4015" t="n">
        <v>1</v>
      </c>
    </row>
    <row r="4016">
      <c r="A4016" t="inlineStr">
        <is>
          <t>climate simulations</t>
        </is>
      </c>
      <c r="B4016" t="n">
        <v>1</v>
      </c>
    </row>
    <row r="4017">
      <c r="A4017" t="inlineStr">
        <is>
          <t>austria</t>
        </is>
      </c>
      <c r="B4017" t="n">
        <v>2</v>
      </c>
    </row>
    <row r="4018">
      <c r="A4018" t="inlineStr">
        <is>
          <t>urban heat island effect</t>
        </is>
      </c>
      <c r="B4018" t="n">
        <v>1</v>
      </c>
    </row>
    <row r="4019">
      <c r="A4019" t="inlineStr">
        <is>
          <t>interpersonal social networks</t>
        </is>
      </c>
      <c r="B4019" t="n">
        <v>1</v>
      </c>
    </row>
    <row r="4020">
      <c r="A4020" t="inlineStr">
        <is>
          <t>volunteer-managed exercises</t>
        </is>
      </c>
      <c r="B4020" t="n">
        <v>1</v>
      </c>
    </row>
    <row r="4021">
      <c r="A4021" t="inlineStr">
        <is>
          <t>tencent location service data</t>
        </is>
      </c>
      <c r="B4021" t="n">
        <v>1</v>
      </c>
    </row>
    <row r="4022">
      <c r="A4022" t="inlineStr">
        <is>
          <t>jacobs</t>
        </is>
      </c>
      <c r="B4022" t="n">
        <v>1</v>
      </c>
    </row>
    <row r="4023">
      <c r="A4023" t="inlineStr">
        <is>
          <t>health assessment</t>
        </is>
      </c>
      <c r="B4023" t="n">
        <v>1</v>
      </c>
    </row>
    <row r="4024">
      <c r="A4024" t="inlineStr">
        <is>
          <t>respiratory symptons</t>
        </is>
      </c>
      <c r="B4024" t="n">
        <v>1</v>
      </c>
    </row>
    <row r="4025">
      <c r="A4025" t="inlineStr">
        <is>
          <t>morbidity</t>
        </is>
      </c>
      <c r="B4025" t="n">
        <v>2</v>
      </c>
    </row>
    <row r="4026">
      <c r="A4026" t="inlineStr">
        <is>
          <t>metal mixtures</t>
        </is>
      </c>
      <c r="B4026" t="n">
        <v>1</v>
      </c>
    </row>
    <row r="4027">
      <c r="A4027" t="inlineStr">
        <is>
          <t>bayesian kernel machine regression (bkmr)</t>
        </is>
      </c>
      <c r="B4027" t="n">
        <v>1</v>
      </c>
    </row>
    <row r="4028">
      <c r="A4028" t="inlineStr">
        <is>
          <t>handgrip strength</t>
        </is>
      </c>
      <c r="B4028" t="n">
        <v>2</v>
      </c>
    </row>
    <row r="4029">
      <c r="A4029" t="inlineStr">
        <is>
          <t>calf circumference</t>
        </is>
      </c>
      <c r="B4029" t="n">
        <v>1</v>
      </c>
    </row>
    <row r="4030">
      <c r="A4030" t="inlineStr">
        <is>
          <t>sewer repair</t>
        </is>
      </c>
      <c r="B4030" t="n">
        <v>1</v>
      </c>
    </row>
    <row r="4031">
      <c r="A4031" t="inlineStr">
        <is>
          <t>plumbing</t>
        </is>
      </c>
      <c r="B4031" t="n">
        <v>1</v>
      </c>
    </row>
    <row r="4032">
      <c r="A4032" t="inlineStr">
        <is>
          <t>vapor intrusion</t>
        </is>
      </c>
      <c r="B4032" t="n">
        <v>2</v>
      </c>
    </row>
    <row r="4033">
      <c r="A4033" t="inlineStr">
        <is>
          <t>styrene</t>
        </is>
      </c>
      <c r="B4033" t="n">
        <v>1</v>
      </c>
    </row>
    <row r="4034">
      <c r="A4034" t="inlineStr">
        <is>
          <t>volatile chemical products</t>
        </is>
      </c>
      <c r="B4034" t="n">
        <v>1</v>
      </c>
    </row>
    <row r="4035">
      <c r="A4035" t="inlineStr">
        <is>
          <t>mppd model</t>
        </is>
      </c>
      <c r="B4035" t="n">
        <v>1</v>
      </c>
    </row>
    <row r="4036">
      <c r="A4036" t="inlineStr">
        <is>
          <t>particle deposition</t>
        </is>
      </c>
      <c r="B4036" t="n">
        <v>1</v>
      </c>
    </row>
    <row r="4037">
      <c r="A4037" t="inlineStr">
        <is>
          <t>respiratory tract</t>
        </is>
      </c>
      <c r="B4037" t="n">
        <v>1</v>
      </c>
    </row>
    <row r="4038">
      <c r="A4038" t="inlineStr">
        <is>
          <t>arid-urban environment</t>
        </is>
      </c>
      <c r="B4038" t="n">
        <v>1</v>
      </c>
    </row>
    <row r="4039">
      <c r="A4039" t="inlineStr">
        <is>
          <t>urban china</t>
        </is>
      </c>
      <c r="B4039" t="n">
        <v>3</v>
      </c>
    </row>
    <row r="4040">
      <c r="A4040" t="inlineStr">
        <is>
          <t>chronological age</t>
        </is>
      </c>
      <c r="B4040" t="n">
        <v>1</v>
      </c>
    </row>
    <row r="4041">
      <c r="A4041" t="inlineStr">
        <is>
          <t>competence</t>
        </is>
      </c>
      <c r="B4041" t="n">
        <v>1</v>
      </c>
    </row>
    <row r="4042">
      <c r="A4042" t="inlineStr">
        <is>
          <t>autonomy</t>
        </is>
      </c>
      <c r="B4042" t="n">
        <v>1</v>
      </c>
    </row>
    <row r="4043">
      <c r="A4043" t="inlineStr">
        <is>
          <t>relatedness</t>
        </is>
      </c>
      <c r="B4043" t="n">
        <v>1</v>
      </c>
    </row>
    <row r="4044">
      <c r="A4044" t="inlineStr">
        <is>
          <t>travel</t>
        </is>
      </c>
      <c r="B4044" t="n">
        <v>1</v>
      </c>
    </row>
    <row r="4045">
      <c r="A4045" t="inlineStr">
        <is>
          <t>older age</t>
        </is>
      </c>
      <c r="B4045" t="n">
        <v>1</v>
      </c>
    </row>
    <row r="4046">
      <c r="A4046" t="inlineStr">
        <is>
          <t>meteorological variables</t>
        </is>
      </c>
      <c r="B4046" t="n">
        <v>1</v>
      </c>
    </row>
    <row r="4047">
      <c r="A4047" t="inlineStr">
        <is>
          <t>mixed effects model</t>
        </is>
      </c>
      <c r="B4047" t="n">
        <v>1</v>
      </c>
    </row>
    <row r="4048">
      <c r="A4048" t="inlineStr">
        <is>
          <t>indoor particulate matter generation</t>
        </is>
      </c>
      <c r="B4048" t="n">
        <v>1</v>
      </c>
    </row>
    <row r="4049">
      <c r="A4049" t="inlineStr">
        <is>
          <t>removal effect</t>
        </is>
      </c>
      <c r="B4049" t="n">
        <v>1</v>
      </c>
    </row>
    <row r="4050">
      <c r="A4050" t="inlineStr">
        <is>
          <t>outdoor school violence distribution (osvd)</t>
        </is>
      </c>
      <c r="B4050" t="n">
        <v>1</v>
      </c>
    </row>
    <row r="4051">
      <c r="A4051" t="inlineStr">
        <is>
          <t>outdoor campus environment (oce)</t>
        </is>
      </c>
      <c r="B4051" t="n">
        <v>1</v>
      </c>
    </row>
    <row r="4052">
      <c r="A4052" t="inlineStr">
        <is>
          <t>spatial syntax theory</t>
        </is>
      </c>
      <c r="B4052" t="n">
        <v>1</v>
      </c>
    </row>
    <row r="4053">
      <c r="A4053" t="inlineStr">
        <is>
          <t>violence type</t>
        </is>
      </c>
      <c r="B4053" t="n">
        <v>1</v>
      </c>
    </row>
    <row r="4054">
      <c r="A4054" t="inlineStr">
        <is>
          <t>spatial attribute</t>
        </is>
      </c>
      <c r="B4054" t="n">
        <v>1</v>
      </c>
    </row>
    <row r="4055">
      <c r="A4055" t="inlineStr">
        <is>
          <t>sense walk</t>
        </is>
      </c>
      <c r="B4055" t="n">
        <v>1</v>
      </c>
    </row>
    <row r="4056">
      <c r="A4056" t="inlineStr">
        <is>
          <t>multisensory assessment</t>
        </is>
      </c>
      <c r="B4056" t="n">
        <v>1</v>
      </c>
    </row>
    <row r="4057">
      <c r="A4057" t="inlineStr">
        <is>
          <t>thermo-visual sound walk approach</t>
        </is>
      </c>
      <c r="B4057" t="n">
        <v>1</v>
      </c>
    </row>
    <row r="4058">
      <c r="A4058" t="inlineStr">
        <is>
          <t>physical dimensions</t>
        </is>
      </c>
      <c r="B4058" t="n">
        <v>1</v>
      </c>
    </row>
    <row r="4059">
      <c r="A4059" t="inlineStr">
        <is>
          <t>perceptual dimensions</t>
        </is>
      </c>
      <c r="B4059" t="n">
        <v>1</v>
      </c>
    </row>
    <row r="4060">
      <c r="A4060" t="inlineStr">
        <is>
          <t>university campus promenades</t>
        </is>
      </c>
      <c r="B4060" t="n">
        <v>1</v>
      </c>
    </row>
    <row r="4061">
      <c r="A4061" t="inlineStr">
        <is>
          <t>oasis settlement</t>
        </is>
      </c>
      <c r="B4061" t="n">
        <v>1</v>
      </c>
    </row>
    <row r="4062">
      <c r="A4062" t="inlineStr">
        <is>
          <t>precautionary behavior</t>
        </is>
      </c>
      <c r="B4062" t="n">
        <v>1</v>
      </c>
    </row>
    <row r="4063">
      <c r="A4063" t="inlineStr">
        <is>
          <t>online survey</t>
        </is>
      </c>
      <c r="B4063" t="n">
        <v>3</v>
      </c>
    </row>
    <row r="4064">
      <c r="A4064" t="inlineStr">
        <is>
          <t>contact isolation</t>
        </is>
      </c>
      <c r="B4064" t="n">
        <v>1</v>
      </c>
    </row>
    <row r="4065">
      <c r="A4065" t="inlineStr">
        <is>
          <t>coping strategy</t>
        </is>
      </c>
      <c r="B4065" t="n">
        <v>1</v>
      </c>
    </row>
    <row r="4066">
      <c r="A4066" t="inlineStr">
        <is>
          <t>hospital setting</t>
        </is>
      </c>
      <c r="B4066" t="n">
        <v>1</v>
      </c>
    </row>
    <row r="4067">
      <c r="A4067" t="inlineStr">
        <is>
          <t>isolation</t>
        </is>
      </c>
      <c r="B4067" t="n">
        <v>1</v>
      </c>
    </row>
    <row r="4068">
      <c r="A4068" t="inlineStr">
        <is>
          <t>living arrangement</t>
        </is>
      </c>
      <c r="B4068" t="n">
        <v>1</v>
      </c>
    </row>
    <row r="4069">
      <c r="A4069" t="inlineStr">
        <is>
          <t>green facade</t>
        </is>
      </c>
      <c r="B4069" t="n">
        <v>1</v>
      </c>
    </row>
    <row r="4070">
      <c r="A4070" t="inlineStr">
        <is>
          <t>azolla</t>
        </is>
      </c>
      <c r="B4070" t="n">
        <v>1</v>
      </c>
    </row>
    <row r="4071">
      <c r="A4071" t="inlineStr">
        <is>
          <t>fitness zone</t>
        </is>
      </c>
      <c r="B4071" t="n">
        <v>1</v>
      </c>
    </row>
    <row r="4072">
      <c r="A4072" t="inlineStr">
        <is>
          <t>outdoor gym</t>
        </is>
      </c>
      <c r="B4072" t="n">
        <v>1</v>
      </c>
    </row>
    <row r="4073">
      <c r="A4073" t="inlineStr">
        <is>
          <t>sports injury</t>
        </is>
      </c>
      <c r="B4073" t="n">
        <v>1</v>
      </c>
    </row>
    <row r="4074">
      <c r="A4074" t="inlineStr">
        <is>
          <t>electrostatic precipitator (esp)</t>
        </is>
      </c>
      <c r="B4074" t="n">
        <v>1</v>
      </c>
    </row>
    <row r="4075">
      <c r="A4075" t="inlineStr">
        <is>
          <t>filter</t>
        </is>
      </c>
      <c r="B4075" t="n">
        <v>1</v>
      </c>
    </row>
    <row r="4076">
      <c r="A4076" t="inlineStr">
        <is>
          <t>air pollutions</t>
        </is>
      </c>
      <c r="B4076" t="n">
        <v>1</v>
      </c>
    </row>
    <row r="4077">
      <c r="A4077" t="inlineStr">
        <is>
          <t>content analysis</t>
        </is>
      </c>
      <c r="B4077" t="n">
        <v>1</v>
      </c>
    </row>
    <row r="4078">
      <c r="A4078" t="inlineStr">
        <is>
          <t>architectural atmosphere</t>
        </is>
      </c>
      <c r="B4078" t="n">
        <v>1</v>
      </c>
    </row>
    <row r="4079">
      <c r="A4079" t="inlineStr">
        <is>
          <t>self-perception of constipation</t>
        </is>
      </c>
      <c r="B4079" t="n">
        <v>1</v>
      </c>
    </row>
    <row r="4080">
      <c r="A4080" t="inlineStr">
        <is>
          <t>value-focused thinking (vft)</t>
        </is>
      </c>
      <c r="B4080" t="n">
        <v>1</v>
      </c>
    </row>
    <row r="4081">
      <c r="A4081" t="inlineStr">
        <is>
          <t>skylight design</t>
        </is>
      </c>
      <c r="B4081" t="n">
        <v>1</v>
      </c>
    </row>
    <row r="4082">
      <c r="A4082" t="inlineStr">
        <is>
          <t>solar energy</t>
        </is>
      </c>
      <c r="B4082" t="n">
        <v>2</v>
      </c>
    </row>
    <row r="4083">
      <c r="A4083" t="inlineStr">
        <is>
          <t>uniform illumination</t>
        </is>
      </c>
      <c r="B4083" t="n">
        <v>1</v>
      </c>
    </row>
    <row r="4084">
      <c r="A4084" t="inlineStr">
        <is>
          <t>non-linear programming</t>
        </is>
      </c>
      <c r="B4084" t="n">
        <v>1</v>
      </c>
    </row>
    <row r="4085">
      <c r="A4085" t="inlineStr">
        <is>
          <t>genetic algorithm</t>
        </is>
      </c>
      <c r="B4085" t="n">
        <v>1</v>
      </c>
    </row>
    <row r="4086">
      <c r="A4086" t="inlineStr">
        <is>
          <t>family environment</t>
        </is>
      </c>
      <c r="B4086" t="n">
        <v>1</v>
      </c>
    </row>
    <row r="4087">
      <c r="A4087" t="inlineStr">
        <is>
          <t>parenting practices</t>
        </is>
      </c>
      <c r="B4087" t="n">
        <v>1</v>
      </c>
    </row>
    <row r="4088">
      <c r="A4088" t="inlineStr">
        <is>
          <t>moderators</t>
        </is>
      </c>
      <c r="B4088" t="n">
        <v>1</v>
      </c>
    </row>
    <row r="4089">
      <c r="A4089" t="inlineStr">
        <is>
          <t>technology-based intervention</t>
        </is>
      </c>
      <c r="B4089" t="n">
        <v>1</v>
      </c>
    </row>
    <row r="4090">
      <c r="A4090" t="inlineStr">
        <is>
          <t>protocol</t>
        </is>
      </c>
      <c r="B4090" t="n">
        <v>1</v>
      </c>
    </row>
    <row r="4091">
      <c r="A4091" t="inlineStr">
        <is>
          <t>dermatitis</t>
        </is>
      </c>
      <c r="B4091" t="n">
        <v>1</v>
      </c>
    </row>
    <row r="4092">
      <c r="A4092" t="inlineStr">
        <is>
          <t>atopic</t>
        </is>
      </c>
      <c r="B4092" t="n">
        <v>1</v>
      </c>
    </row>
    <row r="4093">
      <c r="A4093" t="inlineStr">
        <is>
          <t>monitoring systems</t>
        </is>
      </c>
      <c r="B4093" t="n">
        <v>1</v>
      </c>
    </row>
    <row r="4094">
      <c r="A4094" t="inlineStr">
        <is>
          <t>inhabitant occupancy</t>
        </is>
      </c>
      <c r="B4094" t="n">
        <v>1</v>
      </c>
    </row>
    <row r="4095">
      <c r="A4095" t="inlineStr">
        <is>
          <t>newly built apartment</t>
        </is>
      </c>
      <c r="B4095" t="n">
        <v>1</v>
      </c>
    </row>
    <row r="4096">
      <c r="A4096" t="inlineStr">
        <is>
          <t>qilou</t>
        </is>
      </c>
      <c r="B4096" t="n">
        <v>1</v>
      </c>
    </row>
    <row r="4097">
      <c r="A4097" t="inlineStr">
        <is>
          <t>colonnade space</t>
        </is>
      </c>
      <c r="B4097" t="n">
        <v>1</v>
      </c>
    </row>
    <row r="4098">
      <c r="A4098" t="inlineStr">
        <is>
          <t>relative warmth index</t>
        </is>
      </c>
      <c r="B4098" t="n">
        <v>1</v>
      </c>
    </row>
    <row r="4099">
      <c r="A4099" t="inlineStr">
        <is>
          <t>urban and architectural design measures</t>
        </is>
      </c>
      <c r="B4099" t="n">
        <v>1</v>
      </c>
    </row>
    <row r="4100">
      <c r="A4100" t="inlineStr">
        <is>
          <t>applications</t>
        </is>
      </c>
      <c r="B4100" t="n">
        <v>1</v>
      </c>
    </row>
    <row r="4101">
      <c r="A4101" t="inlineStr">
        <is>
          <t>otpf-4</t>
        </is>
      </c>
      <c r="B4101" t="n">
        <v>1</v>
      </c>
    </row>
    <row r="4102">
      <c r="A4102" t="inlineStr">
        <is>
          <t>combined physical and cognition interventions</t>
        </is>
      </c>
      <c r="B4102" t="n">
        <v>1</v>
      </c>
    </row>
    <row r="4103">
      <c r="A4103" t="inlineStr">
        <is>
          <t>executive functions</t>
        </is>
      </c>
      <c r="B4103" t="n">
        <v>1</v>
      </c>
    </row>
    <row r="4104">
      <c r="A4104" t="inlineStr">
        <is>
          <t>antimicrobial</t>
        </is>
      </c>
      <c r="B4104" t="n">
        <v>1</v>
      </c>
    </row>
    <row r="4105">
      <c r="A4105" t="inlineStr">
        <is>
          <t>coating</t>
        </is>
      </c>
      <c r="B4105" t="n">
        <v>1</v>
      </c>
    </row>
    <row r="4106">
      <c r="A4106" t="inlineStr">
        <is>
          <t>surface</t>
        </is>
      </c>
      <c r="B4106" t="n">
        <v>1</v>
      </c>
    </row>
    <row r="4107">
      <c r="A4107" t="inlineStr">
        <is>
          <t>research hotspot</t>
        </is>
      </c>
      <c r="B4107" t="n">
        <v>1</v>
      </c>
    </row>
    <row r="4108">
      <c r="A4108" t="inlineStr">
        <is>
          <t>knowledge domain visualization</t>
        </is>
      </c>
      <c r="B4108" t="n">
        <v>1</v>
      </c>
    </row>
    <row r="4109">
      <c r="A4109" t="inlineStr">
        <is>
          <t>spatial-temporally non-stationary</t>
        </is>
      </c>
      <c r="B4109" t="n">
        <v>1</v>
      </c>
    </row>
    <row r="4110">
      <c r="A4110" t="inlineStr">
        <is>
          <t>urban vibrancy</t>
        </is>
      </c>
      <c r="B4110" t="n">
        <v>3</v>
      </c>
    </row>
    <row r="4111">
      <c r="A4111" t="inlineStr">
        <is>
          <t>tod</t>
        </is>
      </c>
      <c r="B4111" t="n">
        <v>1</v>
      </c>
    </row>
    <row r="4112">
      <c r="A4112" t="inlineStr">
        <is>
          <t>gtwr</t>
        </is>
      </c>
      <c r="B4112" t="n">
        <v>1</v>
      </c>
    </row>
    <row r="4113">
      <c r="A4113" t="inlineStr">
        <is>
          <t>mobile phone signaling data</t>
        </is>
      </c>
      <c r="B4113" t="n">
        <v>1</v>
      </c>
    </row>
    <row r="4114">
      <c r="A4114" t="inlineStr">
        <is>
          <t>online car-hailing</t>
        </is>
      </c>
      <c r="B4114" t="n">
        <v>1</v>
      </c>
    </row>
    <row r="4115">
      <c r="A4115" t="inlineStr">
        <is>
          <t>spatial nonstationary</t>
        </is>
      </c>
      <c r="B4115" t="n">
        <v>2</v>
      </c>
    </row>
    <row r="4116">
      <c r="A4116" t="inlineStr">
        <is>
          <t>technology probe</t>
        </is>
      </c>
      <c r="B4116" t="n">
        <v>1</v>
      </c>
    </row>
    <row r="4117">
      <c r="A4117" t="inlineStr">
        <is>
          <t>participatory methods</t>
        </is>
      </c>
      <c r="B4117" t="n">
        <v>1</v>
      </c>
    </row>
    <row r="4118">
      <c r="A4118" t="inlineStr">
        <is>
          <t>human-computer interaction</t>
        </is>
      </c>
      <c r="B4118" t="n">
        <v>1</v>
      </c>
    </row>
    <row r="4119">
      <c r="A4119" t="inlineStr">
        <is>
          <t>gerontechnology</t>
        </is>
      </c>
      <c r="B4119" t="n">
        <v>1</v>
      </c>
    </row>
    <row r="4120">
      <c r="A4120" t="inlineStr">
        <is>
          <t>agetech</t>
        </is>
      </c>
      <c r="B4120" t="n">
        <v>1</v>
      </c>
    </row>
    <row r="4121">
      <c r="A4121" t="inlineStr">
        <is>
          <t>small public urban green spaces (spugs)</t>
        </is>
      </c>
      <c r="B4121" t="n">
        <v>1</v>
      </c>
    </row>
    <row r="4122">
      <c r="A4122" t="inlineStr">
        <is>
          <t>mental restoration</t>
        </is>
      </c>
      <c r="B4122" t="n">
        <v>1</v>
      </c>
    </row>
    <row r="4123">
      <c r="A4123" t="inlineStr">
        <is>
          <t>environmental features</t>
        </is>
      </c>
      <c r="B4123" t="n">
        <v>1</v>
      </c>
    </row>
    <row r="4124">
      <c r="A4124" t="inlineStr">
        <is>
          <t>set-point temperature</t>
        </is>
      </c>
      <c r="B4124" t="n">
        <v>1</v>
      </c>
    </row>
    <row r="4125">
      <c r="A4125" t="inlineStr">
        <is>
          <t>mean radiant temperature</t>
        </is>
      </c>
      <c r="B4125" t="n">
        <v>1</v>
      </c>
    </row>
    <row r="4126">
      <c r="A4126" t="inlineStr">
        <is>
          <t>compositional data analysis</t>
        </is>
      </c>
      <c r="B4126" t="n">
        <v>1</v>
      </c>
    </row>
    <row r="4127">
      <c r="A4127" t="inlineStr">
        <is>
          <t>smart building design</t>
        </is>
      </c>
      <c r="B4127" t="n">
        <v>1</v>
      </c>
    </row>
    <row r="4128">
      <c r="A4128" t="inlineStr">
        <is>
          <t>ai simulations models</t>
        </is>
      </c>
      <c r="B4128" t="n">
        <v>1</v>
      </c>
    </row>
    <row r="4129">
      <c r="A4129" t="inlineStr">
        <is>
          <t>digital twins</t>
        </is>
      </c>
      <c r="B4129" t="n">
        <v>2</v>
      </c>
    </row>
    <row r="4130">
      <c r="A4130" t="inlineStr">
        <is>
          <t>physical neighborhood environment</t>
        </is>
      </c>
      <c r="B4130" t="n">
        <v>1</v>
      </c>
    </row>
    <row r="4131">
      <c r="A4131" t="inlineStr">
        <is>
          <t>social neighborhood environment</t>
        </is>
      </c>
      <c r="B4131" t="n">
        <v>1</v>
      </c>
    </row>
    <row r="4132">
      <c r="A4132" t="inlineStr">
        <is>
          <t>health-related behaviors</t>
        </is>
      </c>
      <c r="B4132" t="n">
        <v>1</v>
      </c>
    </row>
    <row r="4133">
      <c r="A4133" t="inlineStr">
        <is>
          <t>subjective cognitive complaints</t>
        </is>
      </c>
      <c r="B4133" t="n">
        <v>1</v>
      </c>
    </row>
    <row r="4134">
      <c r="A4134" t="inlineStr">
        <is>
          <t>vegetable</t>
        </is>
      </c>
      <c r="B4134" t="n">
        <v>1</v>
      </c>
    </row>
    <row r="4135">
      <c r="A4135" t="inlineStr">
        <is>
          <t>fruit</t>
        </is>
      </c>
      <c r="B4135" t="n">
        <v>1</v>
      </c>
    </row>
    <row r="4136">
      <c r="A4136" t="inlineStr">
        <is>
          <t>eating behavior</t>
        </is>
      </c>
      <c r="B4136" t="n">
        <v>1</v>
      </c>
    </row>
    <row r="4137">
      <c r="A4137" t="inlineStr">
        <is>
          <t>standing balance</t>
        </is>
      </c>
      <c r="B4137" t="n">
        <v>1</v>
      </c>
    </row>
    <row r="4138">
      <c r="A4138" t="inlineStr">
        <is>
          <t>ptr-ms</t>
        </is>
      </c>
      <c r="B4138" t="n">
        <v>1</v>
      </c>
    </row>
    <row r="4139">
      <c r="A4139" t="inlineStr">
        <is>
          <t>activated carbon</t>
        </is>
      </c>
      <c r="B4139" t="n">
        <v>1</v>
      </c>
    </row>
    <row r="4140">
      <c r="A4140" t="inlineStr">
        <is>
          <t>indoor source strength</t>
        </is>
      </c>
      <c r="B4140" t="n">
        <v>1</v>
      </c>
    </row>
    <row r="4141">
      <c r="A4141" t="inlineStr">
        <is>
          <t>indoor vocs</t>
        </is>
      </c>
      <c r="B4141" t="n">
        <v>1</v>
      </c>
    </row>
    <row r="4142">
      <c r="A4142" t="inlineStr">
        <is>
          <t>urban air quality</t>
        </is>
      </c>
      <c r="B4142" t="n">
        <v>1</v>
      </c>
    </row>
    <row r="4143">
      <c r="A4143" t="inlineStr">
        <is>
          <t>radon activity</t>
        </is>
      </c>
      <c r="B4143" t="n">
        <v>1</v>
      </c>
    </row>
    <row r="4144">
      <c r="A4144" t="inlineStr">
        <is>
          <t>norm and tenorm</t>
        </is>
      </c>
      <c r="B4144" t="n">
        <v>1</v>
      </c>
    </row>
    <row r="4145">
      <c r="A4145" t="inlineStr">
        <is>
          <t>phosphorites</t>
        </is>
      </c>
      <c r="B4145" t="n">
        <v>1</v>
      </c>
    </row>
    <row r="4146">
      <c r="A4146" t="inlineStr">
        <is>
          <t>crotone</t>
        </is>
      </c>
      <c r="B4146" t="n">
        <v>1</v>
      </c>
    </row>
    <row r="4147">
      <c r="A4147" t="inlineStr">
        <is>
          <t>volunteered geographic information (vgi)</t>
        </is>
      </c>
      <c r="B4147" t="n">
        <v>1</v>
      </c>
    </row>
    <row r="4148">
      <c r="A4148" t="inlineStr">
        <is>
          <t>public participatory geographic information system (ppgis)</t>
        </is>
      </c>
      <c r="B4148" t="n">
        <v>1</v>
      </c>
    </row>
    <row r="4149">
      <c r="A4149" t="inlineStr">
        <is>
          <t>spatial affordances for creativity</t>
        </is>
      </c>
      <c r="B4149" t="n">
        <v>1</v>
      </c>
    </row>
    <row r="4150">
      <c r="A4150" t="inlineStr">
        <is>
          <t>science park</t>
        </is>
      </c>
      <c r="B4150" t="n">
        <v>1</v>
      </c>
    </row>
    <row r="4151">
      <c r="A4151" t="inlineStr">
        <is>
          <t>advance directives</t>
        </is>
      </c>
      <c r="B4151" t="n">
        <v>1</v>
      </c>
    </row>
    <row r="4152">
      <c r="A4152" t="inlineStr">
        <is>
          <t>advance care planning</t>
        </is>
      </c>
      <c r="B4152" t="n">
        <v>1</v>
      </c>
    </row>
    <row r="4153">
      <c r="A4153" t="inlineStr">
        <is>
          <t>life-sustaining treatment</t>
        </is>
      </c>
      <c r="B4153" t="n">
        <v>1</v>
      </c>
    </row>
    <row r="4154">
      <c r="A4154" t="inlineStr">
        <is>
          <t>korean</t>
        </is>
      </c>
      <c r="B4154" t="n">
        <v>2</v>
      </c>
    </row>
    <row r="4155">
      <c r="A4155" t="inlineStr">
        <is>
          <t>technology adoption</t>
        </is>
      </c>
      <c r="B4155" t="n">
        <v>1</v>
      </c>
    </row>
    <row r="4156">
      <c r="A4156" t="inlineStr">
        <is>
          <t>family</t>
        </is>
      </c>
      <c r="B4156" t="n">
        <v>1</v>
      </c>
    </row>
    <row r="4157">
      <c r="A4157" t="inlineStr">
        <is>
          <t>skygardens</t>
        </is>
      </c>
      <c r="B4157" t="n">
        <v>1</v>
      </c>
    </row>
    <row r="4158">
      <c r="A4158" t="inlineStr">
        <is>
          <t>skycourts</t>
        </is>
      </c>
      <c r="B4158" t="n">
        <v>1</v>
      </c>
    </row>
    <row r="4159">
      <c r="A4159" t="inlineStr">
        <is>
          <t>high-rise buildings</t>
        </is>
      </c>
      <c r="B4159" t="n">
        <v>2</v>
      </c>
    </row>
    <row r="4160">
      <c r="A4160" t="inlineStr">
        <is>
          <t>vegetation</t>
        </is>
      </c>
      <c r="B4160" t="n">
        <v>2</v>
      </c>
    </row>
    <row r="4161">
      <c r="A4161" t="inlineStr">
        <is>
          <t>air conditioning</t>
        </is>
      </c>
      <c r="B4161" t="n">
        <v>1</v>
      </c>
    </row>
    <row r="4162">
      <c r="A4162" t="inlineStr">
        <is>
          <t>heat exposure</t>
        </is>
      </c>
      <c r="B4162" t="n">
        <v>1</v>
      </c>
    </row>
    <row r="4163">
      <c r="A4163" t="inlineStr">
        <is>
          <t>urban heat</t>
        </is>
      </c>
      <c r="B4163" t="n">
        <v>1</v>
      </c>
    </row>
    <row r="4164">
      <c r="A4164" t="inlineStr">
        <is>
          <t>green infrastructure</t>
        </is>
      </c>
      <c r="B4164" t="n">
        <v>1</v>
      </c>
    </row>
    <row r="4165">
      <c r="A4165" t="inlineStr">
        <is>
          <t>high-intensity interval training approach</t>
        </is>
      </c>
      <c r="B4165" t="n">
        <v>1</v>
      </c>
    </row>
    <row r="4166">
      <c r="A4166" t="inlineStr">
        <is>
          <t>hiit</t>
        </is>
      </c>
      <c r="B4166" t="n">
        <v>1</v>
      </c>
    </row>
    <row r="4167">
      <c r="A4167" t="inlineStr">
        <is>
          <t>falls risk</t>
        </is>
      </c>
      <c r="B4167" t="n">
        <v>1</v>
      </c>
    </row>
    <row r="4168">
      <c r="A4168" t="inlineStr">
        <is>
          <t>balance</t>
        </is>
      </c>
      <c r="B4168" t="n">
        <v>2</v>
      </c>
    </row>
    <row r="4169">
      <c r="A4169" t="inlineStr">
        <is>
          <t>exercise program</t>
        </is>
      </c>
      <c r="B4169" t="n">
        <v>1</v>
      </c>
    </row>
    <row r="4170">
      <c r="A4170" t="inlineStr">
        <is>
          <t>road running</t>
        </is>
      </c>
      <c r="B4170" t="n">
        <v>1</v>
      </c>
    </row>
    <row r="4171">
      <c r="A4171" t="inlineStr">
        <is>
          <t>built urban environment</t>
        </is>
      </c>
      <c r="B4171" t="n">
        <v>1</v>
      </c>
    </row>
    <row r="4172">
      <c r="A4172" t="inlineStr">
        <is>
          <t>environmental preferences</t>
        </is>
      </c>
      <c r="B4172" t="n">
        <v>2</v>
      </c>
    </row>
    <row r="4173">
      <c r="A4173" t="inlineStr">
        <is>
          <t>runnability</t>
        </is>
      </c>
      <c r="B4173" t="n">
        <v>1</v>
      </c>
    </row>
    <row r="4174">
      <c r="A4174" t="inlineStr">
        <is>
          <t>damage index</t>
        </is>
      </c>
      <c r="B4174" t="n">
        <v>1</v>
      </c>
    </row>
    <row r="4175">
      <c r="A4175" t="inlineStr">
        <is>
          <t>indoor air quality diagnosis</t>
        </is>
      </c>
      <c r="B4175" t="n">
        <v>1</v>
      </c>
    </row>
    <row r="4176">
      <c r="A4176" t="inlineStr">
        <is>
          <t>receptor</t>
        </is>
      </c>
      <c r="B4176" t="n">
        <v>1</v>
      </c>
    </row>
    <row r="4177">
      <c r="A4177" t="inlineStr">
        <is>
          <t>source contribution</t>
        </is>
      </c>
      <c r="B4177" t="n">
        <v>1</v>
      </c>
    </row>
    <row r="4178">
      <c r="A4178" t="inlineStr">
        <is>
          <t>crowdsourced data</t>
        </is>
      </c>
      <c r="B4178" t="n">
        <v>1</v>
      </c>
    </row>
    <row r="4179">
      <c r="A4179" t="inlineStr">
        <is>
          <t>patient activation</t>
        </is>
      </c>
      <c r="B4179" t="n">
        <v>1</v>
      </c>
    </row>
    <row r="4180">
      <c r="A4180" t="inlineStr">
        <is>
          <t>patients expectations</t>
        </is>
      </c>
      <c r="B4180" t="n">
        <v>1</v>
      </c>
    </row>
    <row r="4181">
      <c r="A4181" t="inlineStr">
        <is>
          <t>proactivity profile</t>
        </is>
      </c>
      <c r="B4181" t="n">
        <v>1</v>
      </c>
    </row>
    <row r="4182">
      <c r="A4182" t="inlineStr">
        <is>
          <t>blood arsenic</t>
        </is>
      </c>
      <c r="B4182" t="n">
        <v>1</v>
      </c>
    </row>
    <row r="4183">
      <c r="A4183" t="inlineStr">
        <is>
          <t>malondialdehyde</t>
        </is>
      </c>
      <c r="B4183" t="n">
        <v>1</v>
      </c>
    </row>
    <row r="4184">
      <c r="A4184" t="inlineStr">
        <is>
          <t>restricted cubic spline</t>
        </is>
      </c>
      <c r="B4184" t="n">
        <v>2</v>
      </c>
    </row>
    <row r="4185">
      <c r="A4185" t="inlineStr">
        <is>
          <t>motor cognitive interference</t>
        </is>
      </c>
      <c r="B4185" t="n">
        <v>1</v>
      </c>
    </row>
    <row r="4186">
      <c r="A4186" t="inlineStr">
        <is>
          <t>aspiration pneumonia</t>
        </is>
      </c>
      <c r="B4186" t="n">
        <v>1</v>
      </c>
    </row>
    <row r="4187">
      <c r="A4187" t="inlineStr">
        <is>
          <t>cough test</t>
        </is>
      </c>
      <c r="B4187" t="n">
        <v>1</v>
      </c>
    </row>
    <row r="4188">
      <c r="A4188" t="inlineStr">
        <is>
          <t>screening test</t>
        </is>
      </c>
      <c r="B4188" t="n">
        <v>1</v>
      </c>
    </row>
    <row r="4189">
      <c r="A4189" t="inlineStr">
        <is>
          <t>silent cerebral infarct</t>
        </is>
      </c>
      <c r="B4189" t="n">
        <v>1</v>
      </c>
    </row>
    <row r="4190">
      <c r="A4190" t="inlineStr">
        <is>
          <t>dnph-derivatisation</t>
        </is>
      </c>
      <c r="B4190" t="n">
        <v>1</v>
      </c>
    </row>
    <row r="4191">
      <c r="A4191" t="inlineStr">
        <is>
          <t>aldehydes</t>
        </is>
      </c>
      <c r="B4191" t="n">
        <v>1</v>
      </c>
    </row>
    <row r="4192">
      <c r="A4192" t="inlineStr">
        <is>
          <t>ketones</t>
        </is>
      </c>
      <c r="B4192" t="n">
        <v>1</v>
      </c>
    </row>
    <row r="4193">
      <c r="A4193" t="inlineStr">
        <is>
          <t>hplc</t>
        </is>
      </c>
      <c r="B4193" t="n">
        <v>1</v>
      </c>
    </row>
    <row r="4194">
      <c r="A4194" t="inlineStr">
        <is>
          <t>mold growth</t>
        </is>
      </c>
      <c r="B4194" t="n">
        <v>1</v>
      </c>
    </row>
    <row r="4195">
      <c r="A4195" t="inlineStr">
        <is>
          <t>co2 concentration</t>
        </is>
      </c>
      <c r="B4195" t="n">
        <v>1</v>
      </c>
    </row>
    <row r="4196">
      <c r="A4196" t="inlineStr">
        <is>
          <t>mechanically ventilated</t>
        </is>
      </c>
      <c r="B4196" t="n">
        <v>1</v>
      </c>
    </row>
    <row r="4197">
      <c r="A4197" t="inlineStr">
        <is>
          <t>land subsidence</t>
        </is>
      </c>
      <c r="B4197" t="n">
        <v>2</v>
      </c>
    </row>
    <row r="4198">
      <c r="A4198" t="inlineStr">
        <is>
          <t>terrasar-x</t>
        </is>
      </c>
      <c r="B4198" t="n">
        <v>1</v>
      </c>
    </row>
    <row r="4199">
      <c r="A4199" t="inlineStr">
        <is>
          <t>sar interferometry</t>
        </is>
      </c>
      <c r="B4199" t="n">
        <v>1</v>
      </c>
    </row>
    <row r="4200">
      <c r="A4200" t="inlineStr">
        <is>
          <t>coastal environments</t>
        </is>
      </c>
      <c r="B4200" t="n">
        <v>2</v>
      </c>
    </row>
    <row r="4201">
      <c r="A4201" t="inlineStr">
        <is>
          <t>venice lagoon</t>
        </is>
      </c>
      <c r="B4201" t="n">
        <v>2</v>
      </c>
    </row>
    <row r="4202">
      <c r="A4202" t="inlineStr">
        <is>
          <t>aetiology</t>
        </is>
      </c>
      <c r="B4202" t="n">
        <v>1</v>
      </c>
    </row>
    <row r="4203">
      <c r="A4203" t="inlineStr">
        <is>
          <t>chronic disease</t>
        </is>
      </c>
      <c r="B4203" t="n">
        <v>1</v>
      </c>
    </row>
    <row r="4204">
      <c r="A4204" t="inlineStr">
        <is>
          <t>environmental chemicals</t>
        </is>
      </c>
      <c r="B4204" t="n">
        <v>1</v>
      </c>
    </row>
    <row r="4205">
      <c r="A4205" t="inlineStr">
        <is>
          <t>infiltration factor</t>
        </is>
      </c>
      <c r="B4205" t="n">
        <v>1</v>
      </c>
    </row>
    <row r="4206">
      <c r="A4206" t="inlineStr">
        <is>
          <t>cortisol</t>
        </is>
      </c>
      <c r="B4206" t="n">
        <v>1</v>
      </c>
    </row>
    <row r="4207">
      <c r="A4207" t="inlineStr">
        <is>
          <t>amylase</t>
        </is>
      </c>
      <c r="B4207" t="n">
        <v>1</v>
      </c>
    </row>
    <row r="4208">
      <c r="A4208" t="inlineStr">
        <is>
          <t>psychological restoration</t>
        </is>
      </c>
      <c r="B4208" t="n">
        <v>1</v>
      </c>
    </row>
    <row r="4209">
      <c r="A4209" t="inlineStr">
        <is>
          <t>jiulong river basin</t>
        </is>
      </c>
      <c r="B4209" t="n">
        <v>1</v>
      </c>
    </row>
    <row r="4210">
      <c r="A4210" t="inlineStr">
        <is>
          <t>coupling coordination degree model</t>
        </is>
      </c>
      <c r="B4210" t="n">
        <v>1</v>
      </c>
    </row>
    <row r="4211">
      <c r="A4211" t="inlineStr">
        <is>
          <t>low carbon travel</t>
        </is>
      </c>
      <c r="B4211" t="n">
        <v>1</v>
      </c>
    </row>
    <row r="4212">
      <c r="A4212" t="inlineStr">
        <is>
          <t>correlation analysis model</t>
        </is>
      </c>
      <c r="B4212" t="n">
        <v>1</v>
      </c>
    </row>
    <row r="4213">
      <c r="A4213" t="inlineStr">
        <is>
          <t>multivariate logit regression model</t>
        </is>
      </c>
      <c r="B4213" t="n">
        <v>1</v>
      </c>
    </row>
    <row r="4214">
      <c r="A4214" t="inlineStr">
        <is>
          <t>unary linear regression model</t>
        </is>
      </c>
      <c r="B4214" t="n">
        <v>1</v>
      </c>
    </row>
    <row r="4215">
      <c r="A4215" t="inlineStr">
        <is>
          <t>ischemic stroke</t>
        </is>
      </c>
      <c r="B4215" t="n">
        <v>1</v>
      </c>
    </row>
    <row r="4216">
      <c r="A4216" t="inlineStr">
        <is>
          <t>meteorological factor</t>
        </is>
      </c>
      <c r="B4216" t="n">
        <v>1</v>
      </c>
    </row>
    <row r="4217">
      <c r="A4217" t="inlineStr">
        <is>
          <t>distributed lag non-linear model</t>
        </is>
      </c>
      <c r="B4217" t="n">
        <v>1</v>
      </c>
    </row>
    <row r="4218">
      <c r="A4218" t="inlineStr">
        <is>
          <t>passivhaus</t>
        </is>
      </c>
      <c r="B4218" t="n">
        <v>2</v>
      </c>
    </row>
    <row r="4219">
      <c r="A4219" t="inlineStr">
        <is>
          <t>sb method</t>
        </is>
      </c>
      <c r="B4219" t="n">
        <v>1</v>
      </c>
    </row>
    <row r="4220">
      <c r="A4220" t="inlineStr">
        <is>
          <t>multi criteria analysis</t>
        </is>
      </c>
      <c r="B4220" t="n">
        <v>1</v>
      </c>
    </row>
    <row r="4221">
      <c r="A4221" t="inlineStr">
        <is>
          <t>monitoring and measurement</t>
        </is>
      </c>
      <c r="B4221" t="n">
        <v>1</v>
      </c>
    </row>
    <row r="4222">
      <c r="A4222" t="inlineStr">
        <is>
          <t>real working conditions</t>
        </is>
      </c>
      <c r="B4222" t="n">
        <v>1</v>
      </c>
    </row>
    <row r="4223">
      <c r="A4223" t="inlineStr">
        <is>
          <t>shared bicycle</t>
        </is>
      </c>
      <c r="B4223" t="n">
        <v>1</v>
      </c>
    </row>
    <row r="4224">
      <c r="A4224" t="inlineStr">
        <is>
          <t>support vector regression</t>
        </is>
      </c>
      <c r="B4224" t="n">
        <v>1</v>
      </c>
    </row>
    <row r="4225">
      <c r="A4225" t="inlineStr">
        <is>
          <t>age-friendly communities</t>
        </is>
      </c>
      <c r="B4225" t="n">
        <v>1</v>
      </c>
    </row>
    <row r="4226">
      <c r="A4226" t="inlineStr">
        <is>
          <t>rural community</t>
        </is>
      </c>
      <c r="B4226" t="n">
        <v>1</v>
      </c>
    </row>
    <row r="4227">
      <c r="A4227" t="inlineStr">
        <is>
          <t>immigrants</t>
        </is>
      </c>
      <c r="B4227" t="n">
        <v>4</v>
      </c>
    </row>
    <row r="4228">
      <c r="A4228" t="inlineStr">
        <is>
          <t>socializing</t>
        </is>
      </c>
      <c r="B4228" t="n">
        <v>1</v>
      </c>
    </row>
    <row r="4229">
      <c r="A4229" t="inlineStr">
        <is>
          <t>triple bottom line</t>
        </is>
      </c>
      <c r="B4229" t="n">
        <v>1</v>
      </c>
    </row>
    <row r="4230">
      <c r="A4230" t="inlineStr">
        <is>
          <t>sustainability consequences</t>
        </is>
      </c>
      <c r="B4230" t="n">
        <v>1</v>
      </c>
    </row>
    <row r="4231">
      <c r="A4231" t="inlineStr">
        <is>
          <t>proactive research</t>
        </is>
      </c>
      <c r="B4231" t="n">
        <v>1</v>
      </c>
    </row>
    <row r="4232">
      <c r="A4232" t="inlineStr">
        <is>
          <t>all-cause mortality</t>
        </is>
      </c>
      <c r="B4232" t="n">
        <v>1</v>
      </c>
    </row>
    <row r="4233">
      <c r="A4233" t="inlineStr">
        <is>
          <t>big five personality</t>
        </is>
      </c>
      <c r="B4233" t="n">
        <v>1</v>
      </c>
    </row>
    <row r="4234">
      <c r="A4234" t="inlineStr">
        <is>
          <t>neo five-factor inventory</t>
        </is>
      </c>
      <c r="B4234" t="n">
        <v>1</v>
      </c>
    </row>
    <row r="4235">
      <c r="A4235" t="inlineStr">
        <is>
          <t>innovation productivity</t>
        </is>
      </c>
      <c r="B4235" t="n">
        <v>1</v>
      </c>
    </row>
    <row r="4236">
      <c r="A4236" t="inlineStr">
        <is>
          <t>patent</t>
        </is>
      </c>
      <c r="B4236" t="n">
        <v>1</v>
      </c>
    </row>
    <row r="4237">
      <c r="A4237" t="inlineStr">
        <is>
          <t>viable fungi</t>
        </is>
      </c>
      <c r="B4237" t="n">
        <v>1</v>
      </c>
    </row>
    <row r="4238">
      <c r="A4238" t="inlineStr">
        <is>
          <t>climate areas</t>
        </is>
      </c>
      <c r="B4238" t="n">
        <v>1</v>
      </c>
    </row>
    <row r="4239">
      <c r="A4239" t="inlineStr">
        <is>
          <t>concentrations</t>
        </is>
      </c>
      <c r="B4239" t="n">
        <v>1</v>
      </c>
    </row>
    <row r="4240">
      <c r="A4240" t="inlineStr">
        <is>
          <t>flora</t>
        </is>
      </c>
      <c r="B4240" t="n">
        <v>1</v>
      </c>
    </row>
    <row r="4241">
      <c r="A4241" t="inlineStr">
        <is>
          <t>behavioural theory</t>
        </is>
      </c>
      <c r="B4241" t="n">
        <v>1</v>
      </c>
    </row>
    <row r="4242">
      <c r="A4242" t="inlineStr">
        <is>
          <t>occupant actions</t>
        </is>
      </c>
      <c r="B4242" t="n">
        <v>1</v>
      </c>
    </row>
    <row r="4243">
      <c r="A4243" t="inlineStr">
        <is>
          <t>computational models</t>
        </is>
      </c>
      <c r="B4243" t="n">
        <v>1</v>
      </c>
    </row>
    <row r="4244">
      <c r="A4244" t="inlineStr">
        <is>
          <t>ontology</t>
        </is>
      </c>
      <c r="B4244" t="n">
        <v>1</v>
      </c>
    </row>
    <row r="4245">
      <c r="A4245" t="inlineStr">
        <is>
          <t>neighborhood disorder</t>
        </is>
      </c>
      <c r="B4245" t="n">
        <v>1</v>
      </c>
    </row>
    <row r="4246">
      <c r="A4246" t="inlineStr">
        <is>
          <t>beijing</t>
        </is>
      </c>
      <c r="B4246" t="n">
        <v>1</v>
      </c>
    </row>
    <row r="4247">
      <c r="A4247" t="inlineStr">
        <is>
          <t>trajectory</t>
        </is>
      </c>
      <c r="B4247" t="n">
        <v>1</v>
      </c>
    </row>
    <row r="4248">
      <c r="A4248" t="inlineStr">
        <is>
          <t>subjective memory decline</t>
        </is>
      </c>
      <c r="B4248" t="n">
        <v>1</v>
      </c>
    </row>
    <row r="4249">
      <c r="A4249" t="inlineStr">
        <is>
          <t>latent growth curve model</t>
        </is>
      </c>
      <c r="B4249" t="n">
        <v>1</v>
      </c>
    </row>
    <row r="4250">
      <c r="A4250" t="inlineStr">
        <is>
          <t>open innovation</t>
        </is>
      </c>
      <c r="B4250" t="n">
        <v>1</v>
      </c>
    </row>
    <row r="4251">
      <c r="A4251" t="inlineStr">
        <is>
          <t>innovation district</t>
        </is>
      </c>
      <c r="B4251" t="n">
        <v>1</v>
      </c>
    </row>
    <row r="4252">
      <c r="A4252" t="inlineStr">
        <is>
          <t>cluster</t>
        </is>
      </c>
      <c r="B4252" t="n">
        <v>1</v>
      </c>
    </row>
    <row r="4253">
      <c r="A4253" t="inlineStr">
        <is>
          <t>research campus</t>
        </is>
      </c>
      <c r="B4253" t="n">
        <v>1</v>
      </c>
    </row>
    <row r="4254">
      <c r="A4254" t="inlineStr">
        <is>
          <t>manufacturing system</t>
        </is>
      </c>
      <c r="B4254" t="n">
        <v>1</v>
      </c>
    </row>
    <row r="4255">
      <c r="A4255" t="inlineStr">
        <is>
          <t>cardiovascular responses</t>
        </is>
      </c>
      <c r="B4255" t="n">
        <v>1</v>
      </c>
    </row>
    <row r="4256">
      <c r="A4256" t="inlineStr">
        <is>
          <t>cardiac autonomic function</t>
        </is>
      </c>
      <c r="B4256" t="n">
        <v>1</v>
      </c>
    </row>
    <row r="4257">
      <c r="A4257" t="inlineStr">
        <is>
          <t>brisk walking</t>
        </is>
      </c>
      <c r="B4257" t="n">
        <v>1</v>
      </c>
    </row>
    <row r="4258">
      <c r="A4258" t="inlineStr">
        <is>
          <t>senior playground</t>
        </is>
      </c>
      <c r="B4258" t="n">
        <v>1</v>
      </c>
    </row>
    <row r="4259">
      <c r="A4259" t="inlineStr">
        <is>
          <t>family caregivers</t>
        </is>
      </c>
      <c r="B4259" t="n">
        <v>1</v>
      </c>
    </row>
    <row r="4260">
      <c r="A4260" t="inlineStr">
        <is>
          <t>frail older adults</t>
        </is>
      </c>
      <c r="B4260" t="n">
        <v>1</v>
      </c>
    </row>
    <row r="4261">
      <c r="A4261" t="inlineStr">
        <is>
          <t>mindfulness-based intervention</t>
        </is>
      </c>
      <c r="B4261" t="n">
        <v>1</v>
      </c>
    </row>
    <row r="4262">
      <c r="A4262" t="inlineStr">
        <is>
          <t>randomized controlled trial</t>
        </is>
      </c>
      <c r="B4262" t="n">
        <v>2</v>
      </c>
    </row>
    <row r="4263">
      <c r="A4263" t="inlineStr">
        <is>
          <t>chinese intergenerational caregiving</t>
        </is>
      </c>
      <c r="B4263" t="n">
        <v>1</v>
      </c>
    </row>
    <row r="4264">
      <c r="A4264" t="inlineStr">
        <is>
          <t>exercise intervention</t>
        </is>
      </c>
      <c r="B4264" t="n">
        <v>1</v>
      </c>
    </row>
    <row r="4265">
      <c r="A4265" t="inlineStr">
        <is>
          <t>ambient air pollution</t>
        </is>
      </c>
      <c r="B4265" t="n">
        <v>1</v>
      </c>
    </row>
    <row r="4266">
      <c r="A4266" t="inlineStr">
        <is>
          <t>canadian longitudinal study on aging (clsa)</t>
        </is>
      </c>
      <c r="B4266" t="n">
        <v>1</v>
      </c>
    </row>
    <row r="4267">
      <c r="A4267" t="inlineStr">
        <is>
          <t>immigration</t>
        </is>
      </c>
      <c r="B4267" t="n">
        <v>1</v>
      </c>
    </row>
    <row r="4268">
      <c r="A4268" t="inlineStr">
        <is>
          <t>complex network</t>
        </is>
      </c>
      <c r="B4268" t="n">
        <v>1</v>
      </c>
    </row>
    <row r="4269">
      <c r="A4269" t="inlineStr">
        <is>
          <t>convergent cross mapping</t>
        </is>
      </c>
      <c r="B4269" t="n">
        <v>1</v>
      </c>
    </row>
    <row r="4270">
      <c r="A4270" t="inlineStr">
        <is>
          <t>system dynamics</t>
        </is>
      </c>
      <c r="B4270" t="n">
        <v>1</v>
      </c>
    </row>
    <row r="4271">
      <c r="A4271" t="inlineStr">
        <is>
          <t>cost-effectiveness</t>
        </is>
      </c>
      <c r="B4271" t="n">
        <v>1</v>
      </c>
    </row>
    <row r="4272">
      <c r="A4272" t="inlineStr">
        <is>
          <t>program dissemination</t>
        </is>
      </c>
      <c r="B4272" t="n">
        <v>1</v>
      </c>
    </row>
    <row r="4273">
      <c r="A4273" t="inlineStr">
        <is>
          <t>timed up-and-go</t>
        </is>
      </c>
      <c r="B4273" t="n">
        <v>1</v>
      </c>
    </row>
    <row r="4274">
      <c r="A4274" t="inlineStr">
        <is>
          <t>healthy days</t>
        </is>
      </c>
      <c r="B4274" t="n">
        <v>1</v>
      </c>
    </row>
    <row r="4275">
      <c r="A4275" t="inlineStr">
        <is>
          <t>euroqol</t>
        </is>
      </c>
      <c r="B4275" t="n">
        <v>1</v>
      </c>
    </row>
    <row r="4276">
      <c r="A4276" t="inlineStr">
        <is>
          <t>critical health literacy</t>
        </is>
      </c>
      <c r="B4276" t="n">
        <v>1</v>
      </c>
    </row>
    <row r="4277">
      <c r="A4277" t="inlineStr">
        <is>
          <t>lay perspectives</t>
        </is>
      </c>
      <c r="B4277" t="n">
        <v>1</v>
      </c>
    </row>
    <row r="4278">
      <c r="A4278" t="inlineStr">
        <is>
          <t>health care professionals</t>
        </is>
      </c>
      <c r="B4278" t="n">
        <v>1</v>
      </c>
    </row>
    <row r="4279">
      <c r="A4279" t="inlineStr">
        <is>
          <t>health care system</t>
        </is>
      </c>
      <c r="B4279" t="n">
        <v>1</v>
      </c>
    </row>
    <row r="4280">
      <c r="A4280" t="inlineStr">
        <is>
          <t>social networks</t>
        </is>
      </c>
      <c r="B4280" t="n">
        <v>2</v>
      </c>
    </row>
    <row r="4281">
      <c r="A4281" t="inlineStr">
        <is>
          <t>instrumental activities of daily living</t>
        </is>
      </c>
      <c r="B4281" t="n">
        <v>1</v>
      </c>
    </row>
    <row r="4282">
      <c r="A4282" t="inlineStr">
        <is>
          <t>unmet medical needs</t>
        </is>
      </c>
      <c r="B4282" t="n">
        <v>1</v>
      </c>
    </row>
    <row r="4283">
      <c r="A4283" t="inlineStr">
        <is>
          <t>spatial multi-criteria analysis</t>
        </is>
      </c>
      <c r="B4283" t="n">
        <v>1</v>
      </c>
    </row>
    <row r="4284">
      <c r="A4284" t="inlineStr">
        <is>
          <t>knowledge co-production</t>
        </is>
      </c>
      <c r="B4284" t="n">
        <v>1</v>
      </c>
    </row>
    <row r="4285">
      <c r="A4285" t="inlineStr">
        <is>
          <t>indigenous health</t>
        </is>
      </c>
      <c r="B4285" t="n">
        <v>1</v>
      </c>
    </row>
    <row r="4286">
      <c r="A4286" t="inlineStr">
        <is>
          <t>remote</t>
        </is>
      </c>
      <c r="B4286" t="n">
        <v>1</v>
      </c>
    </row>
    <row r="4287">
      <c r="A4287" t="inlineStr">
        <is>
          <t>urban environment quality</t>
        </is>
      </c>
      <c r="B4287" t="n">
        <v>1</v>
      </c>
    </row>
    <row r="4288">
      <c r="A4288" t="inlineStr">
        <is>
          <t>exploratory spatial data analysis</t>
        </is>
      </c>
      <c r="B4288" t="n">
        <v>1</v>
      </c>
    </row>
    <row r="4289">
      <c r="A4289" t="inlineStr">
        <is>
          <t>lisa</t>
        </is>
      </c>
      <c r="B4289" t="n">
        <v>1</v>
      </c>
    </row>
    <row r="4290">
      <c r="A4290" t="inlineStr">
        <is>
          <t>neutrophil-to-lymphocyte ratio</t>
        </is>
      </c>
      <c r="B4290" t="n">
        <v>1</v>
      </c>
    </row>
    <row r="4291">
      <c r="A4291" t="inlineStr">
        <is>
          <t>heart rate variability</t>
        </is>
      </c>
      <c r="B4291" t="n">
        <v>1</v>
      </c>
    </row>
    <row r="4292">
      <c r="A4292" t="inlineStr">
        <is>
          <t>cardiac autonomic system</t>
        </is>
      </c>
      <c r="B4292" t="n">
        <v>1</v>
      </c>
    </row>
    <row r="4293">
      <c r="A4293" t="inlineStr">
        <is>
          <t>cognitive social capital</t>
        </is>
      </c>
      <c r="B4293" t="n">
        <v>1</v>
      </c>
    </row>
    <row r="4294">
      <c r="A4294" t="inlineStr">
        <is>
          <t>structural social capital</t>
        </is>
      </c>
      <c r="B4294" t="n">
        <v>1</v>
      </c>
    </row>
    <row r="4295">
      <c r="A4295" t="inlineStr">
        <is>
          <t>chlorinatedparaffin</t>
        </is>
      </c>
      <c r="B4295" t="n">
        <v>1</v>
      </c>
    </row>
    <row r="4296">
      <c r="A4296" t="inlineStr">
        <is>
          <t>vertical distribution</t>
        </is>
      </c>
      <c r="B4296" t="n">
        <v>1</v>
      </c>
    </row>
    <row r="4297">
      <c r="A4297" t="inlineStr">
        <is>
          <t>health risks</t>
        </is>
      </c>
      <c r="B4297" t="n">
        <v>1</v>
      </c>
    </row>
    <row r="4298">
      <c r="A4298" t="inlineStr">
        <is>
          <t>constructal law</t>
        </is>
      </c>
      <c r="B4298" t="n">
        <v>1</v>
      </c>
    </row>
    <row r="4299">
      <c r="A4299" t="inlineStr">
        <is>
          <t>urban agriculture</t>
        </is>
      </c>
      <c r="B4299" t="n">
        <v>1</v>
      </c>
    </row>
    <row r="4300">
      <c r="A4300" t="inlineStr">
        <is>
          <t>thermodynamic optimization</t>
        </is>
      </c>
      <c r="B4300" t="n">
        <v>1</v>
      </c>
    </row>
    <row r="4301">
      <c r="A4301" t="inlineStr">
        <is>
          <t>building physics</t>
        </is>
      </c>
      <c r="B4301" t="n">
        <v>1</v>
      </c>
    </row>
    <row r="4302">
      <c r="A4302" t="inlineStr">
        <is>
          <t>applied thermal engineering</t>
        </is>
      </c>
      <c r="B4302" t="n">
        <v>1</v>
      </c>
    </row>
    <row r="4303">
      <c r="A4303" t="inlineStr">
        <is>
          <t>bioclimatic design</t>
        </is>
      </c>
      <c r="B4303" t="n">
        <v>1</v>
      </c>
    </row>
    <row r="4304">
      <c r="A4304" t="inlineStr">
        <is>
          <t>architectural eco-conception</t>
        </is>
      </c>
      <c r="B4304" t="n">
        <v>1</v>
      </c>
    </row>
    <row r="4305">
      <c r="A4305" t="inlineStr">
        <is>
          <t>co</t>
        </is>
      </c>
      <c r="B4305" t="n">
        <v>1</v>
      </c>
    </row>
    <row r="4306">
      <c r="A4306" t="inlineStr">
        <is>
          <t>clean development mechanism</t>
        </is>
      </c>
      <c r="B4306" t="n">
        <v>1</v>
      </c>
    </row>
    <row r="4307">
      <c r="A4307" t="inlineStr">
        <is>
          <t>construction and built environment</t>
        </is>
      </c>
      <c r="B4307" t="n">
        <v>1</v>
      </c>
    </row>
    <row r="4308">
      <c r="A4308" t="inlineStr">
        <is>
          <t>sport facilities</t>
        </is>
      </c>
      <c r="B4308" t="n">
        <v>1</v>
      </c>
    </row>
    <row r="4309">
      <c r="A4309" t="inlineStr">
        <is>
          <t>social network types</t>
        </is>
      </c>
      <c r="B4309" t="n">
        <v>1</v>
      </c>
    </row>
    <row r="4310">
      <c r="A4310" t="inlineStr">
        <is>
          <t>rural older adults</t>
        </is>
      </c>
      <c r="B4310" t="n">
        <v>1</v>
      </c>
    </row>
    <row r="4311">
      <c r="A4311" t="inlineStr">
        <is>
          <t>cross-sectional study</t>
        </is>
      </c>
      <c r="B4311" t="n">
        <v>3</v>
      </c>
    </row>
    <row r="4312">
      <c r="A4312" t="inlineStr">
        <is>
          <t>purpose in life</t>
        </is>
      </c>
      <c r="B4312" t="n">
        <v>1</v>
      </c>
    </row>
    <row r="4313">
      <c r="A4313" t="inlineStr">
        <is>
          <t>conceptualization</t>
        </is>
      </c>
      <c r="B4313" t="n">
        <v>1</v>
      </c>
    </row>
    <row r="4314">
      <c r="A4314" t="inlineStr">
        <is>
          <t>measures</t>
        </is>
      </c>
      <c r="B4314" t="n">
        <v>1</v>
      </c>
    </row>
    <row r="4315">
      <c r="A4315" t="inlineStr">
        <is>
          <t>growth differentiation factor-15</t>
        </is>
      </c>
      <c r="B4315" t="n">
        <v>1</v>
      </c>
    </row>
    <row r="4316">
      <c r="A4316" t="inlineStr">
        <is>
          <t>henry?s law constant</t>
        </is>
      </c>
      <c r="B4316" t="n">
        <v>1</v>
      </c>
    </row>
    <row r="4317">
      <c r="A4317" t="inlineStr">
        <is>
          <t>equilibrium partitioning</t>
        </is>
      </c>
      <c r="B4317" t="n">
        <v>1</v>
      </c>
    </row>
    <row r="4318">
      <c r="A4318" t="inlineStr">
        <is>
          <t>microbial volatile organic compounds</t>
        </is>
      </c>
      <c r="B4318" t="n">
        <v>1</v>
      </c>
    </row>
    <row r="4319">
      <c r="A4319" t="inlineStr">
        <is>
          <t>chemical partitioning</t>
        </is>
      </c>
      <c r="B4319" t="n">
        <v>1</v>
      </c>
    </row>
    <row r="4320">
      <c r="A4320" t="inlineStr">
        <is>
          <t>children with asd</t>
        </is>
      </c>
      <c r="B4320" t="n">
        <v>1</v>
      </c>
    </row>
    <row r="4321">
      <c r="A4321" t="inlineStr">
        <is>
          <t>social anxiety</t>
        </is>
      </c>
      <c r="B4321" t="n">
        <v>1</v>
      </c>
    </row>
    <row r="4322">
      <c r="A4322" t="inlineStr">
        <is>
          <t>play behavior</t>
        </is>
      </c>
      <c r="B4322" t="n">
        <v>1</v>
      </c>
    </row>
    <row r="4323">
      <c r="A4323" t="inlineStr">
        <is>
          <t>asymmetries</t>
        </is>
      </c>
      <c r="B4323" t="n">
        <v>1</v>
      </c>
    </row>
    <row r="4324">
      <c r="A4324" t="inlineStr">
        <is>
          <t>functional autonomy</t>
        </is>
      </c>
      <c r="B4324" t="n">
        <v>1</v>
      </c>
    </row>
    <row r="4325">
      <c r="A4325" t="inlineStr">
        <is>
          <t>latin american group for maturity protocol</t>
        </is>
      </c>
      <c r="B4325" t="n">
        <v>1</v>
      </c>
    </row>
    <row r="4326">
      <c r="A4326" t="inlineStr">
        <is>
          <t>inhibitory control</t>
        </is>
      </c>
      <c r="B4326" t="n">
        <v>1</v>
      </c>
    </row>
    <row r="4327">
      <c r="A4327" t="inlineStr">
        <is>
          <t>cognitive flexibility</t>
        </is>
      </c>
      <c r="B4327" t="n">
        <v>1</v>
      </c>
    </row>
    <row r="4328">
      <c r="A4328" t="inlineStr">
        <is>
          <t>sport</t>
        </is>
      </c>
      <c r="B4328" t="n">
        <v>1</v>
      </c>
    </row>
    <row r="4329">
      <c r="A4329" t="inlineStr">
        <is>
          <t>blood flow restriction training</t>
        </is>
      </c>
      <c r="B4329" t="n">
        <v>1</v>
      </c>
    </row>
    <row r="4330">
      <c r="A4330" t="inlineStr">
        <is>
          <t>arterial stiffness</t>
        </is>
      </c>
      <c r="B4330" t="n">
        <v>3</v>
      </c>
    </row>
    <row r="4331">
      <c r="A4331" t="inlineStr">
        <is>
          <t>univariate analysis</t>
        </is>
      </c>
      <c r="B4331" t="n">
        <v>1</v>
      </c>
    </row>
    <row r="4332">
      <c r="A4332" t="inlineStr">
        <is>
          <t>lithology</t>
        </is>
      </c>
      <c r="B4332" t="n">
        <v>1</v>
      </c>
    </row>
    <row r="4333">
      <c r="A4333" t="inlineStr">
        <is>
          <t>trait mindfulness</t>
        </is>
      </c>
      <c r="B4333" t="n">
        <v>1</v>
      </c>
    </row>
    <row r="4334">
      <c r="A4334" t="inlineStr">
        <is>
          <t>physical health status</t>
        </is>
      </c>
      <c r="B4334" t="n">
        <v>1</v>
      </c>
    </row>
    <row r="4335">
      <c r="A4335" t="inlineStr">
        <is>
          <t>middle-older adults</t>
        </is>
      </c>
      <c r="B4335" t="n">
        <v>1</v>
      </c>
    </row>
    <row r="4336">
      <c r="A4336" t="inlineStr">
        <is>
          <t>volunteering</t>
        </is>
      </c>
      <c r="B4336" t="n">
        <v>1</v>
      </c>
    </row>
    <row r="4337">
      <c r="A4337" t="inlineStr">
        <is>
          <t>predictive factors</t>
        </is>
      </c>
      <c r="B4337" t="n">
        <v>1</v>
      </c>
    </row>
    <row r="4338">
      <c r="A4338" t="inlineStr">
        <is>
          <t>mixed methodology</t>
        </is>
      </c>
      <c r="B4338" t="n">
        <v>1</v>
      </c>
    </row>
    <row r="4339">
      <c r="A4339" t="inlineStr">
        <is>
          <t>core set</t>
        </is>
      </c>
      <c r="B4339" t="n">
        <v>1</v>
      </c>
    </row>
    <row r="4340">
      <c r="A4340" t="inlineStr">
        <is>
          <t>polluting cooking fuel</t>
        </is>
      </c>
      <c r="B4340" t="n">
        <v>1</v>
      </c>
    </row>
    <row r="4341">
      <c r="A4341" t="inlineStr">
        <is>
          <t>solid fuel</t>
        </is>
      </c>
      <c r="B4341" t="n">
        <v>2</v>
      </c>
    </row>
    <row r="4342">
      <c r="A4342" t="inlineStr">
        <is>
          <t>low-and middle-income countries</t>
        </is>
      </c>
      <c r="B4342" t="n">
        <v>1</v>
      </c>
    </row>
    <row r="4343">
      <c r="A4343" t="inlineStr">
        <is>
          <t>mechanism-based model</t>
        </is>
      </c>
      <c r="B4343" t="n">
        <v>1</v>
      </c>
    </row>
    <row r="4344">
      <c r="A4344" t="inlineStr">
        <is>
          <t>long-term emission</t>
        </is>
      </c>
      <c r="B4344" t="n">
        <v>1</v>
      </c>
    </row>
    <row r="4345">
      <c r="A4345" t="inlineStr">
        <is>
          <t>cochlear implant</t>
        </is>
      </c>
      <c r="B4345" t="n">
        <v>1</v>
      </c>
    </row>
    <row r="4346">
      <c r="A4346" t="inlineStr">
        <is>
          <t>neurocognition</t>
        </is>
      </c>
      <c r="B4346" t="n">
        <v>1</v>
      </c>
    </row>
    <row r="4347">
      <c r="A4347" t="inlineStr">
        <is>
          <t>speech recognition</t>
        </is>
      </c>
      <c r="B4347" t="n">
        <v>1</v>
      </c>
    </row>
    <row r="4348">
      <c r="A4348" t="inlineStr">
        <is>
          <t>self -reported physical health</t>
        </is>
      </c>
      <c r="B4348" t="n">
        <v>1</v>
      </c>
    </row>
    <row r="4349">
      <c r="A4349" t="inlineStr">
        <is>
          <t>geographically weighted random forest</t>
        </is>
      </c>
      <c r="B4349" t="n">
        <v>1</v>
      </c>
    </row>
    <row r="4350">
      <c r="A4350" t="inlineStr">
        <is>
          <t>friend network</t>
        </is>
      </c>
      <c r="B4350" t="n">
        <v>1</v>
      </c>
    </row>
    <row r="4351">
      <c r="A4351" t="inlineStr">
        <is>
          <t>social network analysis</t>
        </is>
      </c>
      <c r="B4351" t="n">
        <v>1</v>
      </c>
    </row>
    <row r="4352">
      <c r="A4352" t="inlineStr">
        <is>
          <t>plant stand design</t>
        </is>
      </c>
      <c r="B4352" t="n">
        <v>1</v>
      </c>
    </row>
    <row r="4353">
      <c r="A4353" t="inlineStr">
        <is>
          <t>psychosomatic symptoms</t>
        </is>
      </c>
      <c r="B4353" t="n">
        <v>1</v>
      </c>
    </row>
    <row r="4354">
      <c r="A4354" t="inlineStr">
        <is>
          <t>pupils</t>
        </is>
      </c>
      <c r="B4354" t="n">
        <v>1</v>
      </c>
    </row>
    <row r="4355">
      <c r="A4355" t="inlineStr">
        <is>
          <t>school stress</t>
        </is>
      </c>
      <c r="B4355" t="n">
        <v>1</v>
      </c>
    </row>
    <row r="4356">
      <c r="A4356" t="inlineStr">
        <is>
          <t>truancy</t>
        </is>
      </c>
      <c r="B4356" t="n">
        <v>1</v>
      </c>
    </row>
    <row r="4357">
      <c r="A4357" t="inlineStr">
        <is>
          <t>worry</t>
        </is>
      </c>
      <c r="B4357" t="n">
        <v>2</v>
      </c>
    </row>
    <row r="4358">
      <c r="A4358" t="inlineStr">
        <is>
          <t>particulate matter (pm2.5)</t>
        </is>
      </c>
      <c r="B4358" t="n">
        <v>1</v>
      </c>
    </row>
    <row r="4359">
      <c r="A4359" t="inlineStr">
        <is>
          <t>total volatile organic compounds (tvoc)</t>
        </is>
      </c>
      <c r="B4359" t="n">
        <v>1</v>
      </c>
    </row>
    <row r="4360">
      <c r="A4360" t="inlineStr">
        <is>
          <t>staff</t>
        </is>
      </c>
      <c r="B4360" t="n">
        <v>1</v>
      </c>
    </row>
    <row r="4361">
      <c r="A4361" t="inlineStr">
        <is>
          <t>geriatric health services facility</t>
        </is>
      </c>
      <c r="B4361" t="n">
        <v>1</v>
      </c>
    </row>
    <row r="4362">
      <c r="A4362" t="inlineStr">
        <is>
          <t>radon flux</t>
        </is>
      </c>
      <c r="B4362" t="n">
        <v>1</v>
      </c>
    </row>
    <row r="4363">
      <c r="A4363" t="inlineStr">
        <is>
          <t>radon monitoring</t>
        </is>
      </c>
      <c r="B4363" t="n">
        <v>1</v>
      </c>
    </row>
    <row r="4364">
      <c r="A4364" t="inlineStr">
        <is>
          <t>digitalization</t>
        </is>
      </c>
      <c r="B4364" t="n">
        <v>1</v>
      </c>
    </row>
    <row r="4365">
      <c r="A4365" t="inlineStr">
        <is>
          <t>industry 4.0</t>
        </is>
      </c>
      <c r="B4365" t="n">
        <v>1</v>
      </c>
    </row>
    <row r="4366">
      <c r="A4366" t="inlineStr">
        <is>
          <t>blockchain</t>
        </is>
      </c>
      <c r="B4366" t="n">
        <v>1</v>
      </c>
    </row>
    <row r="4367">
      <c r="A4367" t="inlineStr">
        <is>
          <t>construction supply chain</t>
        </is>
      </c>
      <c r="B4367" t="n">
        <v>1</v>
      </c>
    </row>
    <row r="4368">
      <c r="A4368" t="inlineStr">
        <is>
          <t>smart environment monitoring (sem)</t>
        </is>
      </c>
      <c r="B4368" t="n">
        <v>1</v>
      </c>
    </row>
    <row r="4369">
      <c r="A4369" t="inlineStr">
        <is>
          <t>raspberry pi</t>
        </is>
      </c>
      <c r="B4369" t="n">
        <v>1</v>
      </c>
    </row>
    <row r="4370">
      <c r="A4370" t="inlineStr">
        <is>
          <t>neighborhood effects</t>
        </is>
      </c>
      <c r="B4370" t="n">
        <v>1</v>
      </c>
    </row>
    <row r="4371">
      <c r="A4371" t="inlineStr">
        <is>
          <t>help-seeking</t>
        </is>
      </c>
      <c r="B4371" t="n">
        <v>1</v>
      </c>
    </row>
    <row r="4372">
      <c r="A4372" t="inlineStr">
        <is>
          <t>future time perspective</t>
        </is>
      </c>
      <c r="B4372" t="n">
        <v>1</v>
      </c>
    </row>
    <row r="4373">
      <c r="A4373" t="inlineStr">
        <is>
          <t>resignation to future</t>
        </is>
      </c>
      <c r="B4373" t="n">
        <v>1</v>
      </c>
    </row>
    <row r="4374">
      <c r="A4374" t="inlineStr">
        <is>
          <t>building checklist</t>
        </is>
      </c>
      <c r="B4374" t="n">
        <v>1</v>
      </c>
    </row>
    <row r="4375">
      <c r="A4375" t="inlineStr">
        <is>
          <t>early-life exposures</t>
        </is>
      </c>
      <c r="B4375" t="n">
        <v>1</v>
      </c>
    </row>
    <row r="4376">
      <c r="A4376" t="inlineStr">
        <is>
          <t>exposome</t>
        </is>
      </c>
      <c r="B4376" t="n">
        <v>1</v>
      </c>
    </row>
    <row r="4377">
      <c r="A4377" t="inlineStr">
        <is>
          <t>household air pollution sources</t>
        </is>
      </c>
      <c r="B4377" t="n">
        <v>1</v>
      </c>
    </row>
    <row r="4378">
      <c r="A4378" t="inlineStr">
        <is>
          <t>indoor air quality assessment</t>
        </is>
      </c>
      <c r="B4378" t="n">
        <v>1</v>
      </c>
    </row>
    <row r="4379">
      <c r="A4379" t="inlineStr">
        <is>
          <t>road traffic</t>
        </is>
      </c>
      <c r="B4379" t="n">
        <v>1</v>
      </c>
    </row>
    <row r="4380">
      <c r="A4380" t="inlineStr">
        <is>
          <t>prescription drugs</t>
        </is>
      </c>
      <c r="B4380" t="n">
        <v>1</v>
      </c>
    </row>
    <row r="4381">
      <c r="A4381" t="inlineStr">
        <is>
          <t>potentially inappropriate medication</t>
        </is>
      </c>
      <c r="B4381" t="n">
        <v>2</v>
      </c>
    </row>
    <row r="4382">
      <c r="A4382" t="inlineStr">
        <is>
          <t>outdoor spaces</t>
        </is>
      </c>
      <c r="B4382" t="n">
        <v>1</v>
      </c>
    </row>
    <row r="4383">
      <c r="A4383" t="inlineStr">
        <is>
          <t>sensory sensitivity</t>
        </is>
      </c>
      <c r="B4383" t="n">
        <v>1</v>
      </c>
    </row>
    <row r="4384">
      <c r="A4384" t="inlineStr">
        <is>
          <t>cognitive failures</t>
        </is>
      </c>
      <c r="B4384" t="n">
        <v>1</v>
      </c>
    </row>
    <row r="4385">
      <c r="A4385" t="inlineStr">
        <is>
          <t>underfloor air distribution (ufad)</t>
        </is>
      </c>
      <c r="B4385" t="n">
        <v>1</v>
      </c>
    </row>
    <row r="4386">
      <c r="A4386" t="inlineStr">
        <is>
          <t>environmental health</t>
        </is>
      </c>
      <c r="B4386" t="n">
        <v>3</v>
      </c>
    </row>
    <row r="4387">
      <c r="A4387" t="inlineStr">
        <is>
          <t>tropics</t>
        </is>
      </c>
      <c r="B4387" t="n">
        <v>1</v>
      </c>
    </row>
    <row r="4388">
      <c r="A4388" t="inlineStr">
        <is>
          <t>academic performance</t>
        </is>
      </c>
      <c r="B4388" t="n">
        <v>1</v>
      </c>
    </row>
    <row r="4389">
      <c r="A4389" t="inlineStr">
        <is>
          <t>student demographics</t>
        </is>
      </c>
      <c r="B4389" t="n">
        <v>1</v>
      </c>
    </row>
    <row r="4390">
      <c r="A4390" t="inlineStr">
        <is>
          <t>health-impacts</t>
        </is>
      </c>
      <c r="B4390" t="n">
        <v>1</v>
      </c>
    </row>
    <row r="4391">
      <c r="A4391" t="inlineStr">
        <is>
          <t>adiposity</t>
        </is>
      </c>
      <c r="B4391" t="n">
        <v>1</v>
      </c>
    </row>
    <row r="4392">
      <c r="A4392" t="inlineStr">
        <is>
          <t>medication use</t>
        </is>
      </c>
      <c r="B4392" t="n">
        <v>1</v>
      </c>
    </row>
    <row r="4393">
      <c r="A4393" t="inlineStr">
        <is>
          <t>whole-body vibration</t>
        </is>
      </c>
      <c r="B4393" t="n">
        <v>1</v>
      </c>
    </row>
    <row r="4394">
      <c r="A4394" t="inlineStr">
        <is>
          <t>skin blood flow</t>
        </is>
      </c>
      <c r="B4394" t="n">
        <v>1</v>
      </c>
    </row>
    <row r="4395">
      <c r="A4395" t="inlineStr">
        <is>
          <t>vibrotactile perception</t>
        </is>
      </c>
      <c r="B4395" t="n">
        <v>1</v>
      </c>
    </row>
    <row r="4396">
      <c r="A4396" t="inlineStr">
        <is>
          <t>self-harm</t>
        </is>
      </c>
      <c r="B4396" t="n">
        <v>1</v>
      </c>
    </row>
    <row r="4397">
      <c r="A4397" t="inlineStr">
        <is>
          <t>physical disease</t>
        </is>
      </c>
      <c r="B4397" t="n">
        <v>1</v>
      </c>
    </row>
    <row r="4398">
      <c r="A4398" t="inlineStr">
        <is>
          <t>mental disorder</t>
        </is>
      </c>
      <c r="B4398" t="n">
        <v>1</v>
      </c>
    </row>
    <row r="4399">
      <c r="A4399" t="inlineStr">
        <is>
          <t>cook</t>
        </is>
      </c>
      <c r="B4399" t="n">
        <v>1</v>
      </c>
    </row>
    <row r="4400">
      <c r="A4400" t="inlineStr">
        <is>
          <t>biomass fuel</t>
        </is>
      </c>
      <c r="B4400" t="n">
        <v>1</v>
      </c>
    </row>
    <row r="4401">
      <c r="A4401" t="inlineStr">
        <is>
          <t>anxiety symptoms</t>
        </is>
      </c>
      <c r="B4401" t="n">
        <v>1</v>
      </c>
    </row>
    <row r="4402">
      <c r="A4402" t="inlineStr">
        <is>
          <t>visual impairment</t>
        </is>
      </c>
      <c r="B4402" t="n">
        <v>1</v>
      </c>
    </row>
    <row r="4403">
      <c r="A4403" t="inlineStr">
        <is>
          <t>sight loss</t>
        </is>
      </c>
      <c r="B4403" t="n">
        <v>1</v>
      </c>
    </row>
    <row r="4404">
      <c r="A4404" t="inlineStr">
        <is>
          <t>navigation</t>
        </is>
      </c>
      <c r="B4404" t="n">
        <v>1</v>
      </c>
    </row>
    <row r="4405">
      <c r="A4405" t="inlineStr">
        <is>
          <t>towns and cities</t>
        </is>
      </c>
      <c r="B4405" t="n">
        <v>1</v>
      </c>
    </row>
    <row r="4406">
      <c r="A4406" t="inlineStr">
        <is>
          <t>older person</t>
        </is>
      </c>
      <c r="B4406" t="n">
        <v>1</v>
      </c>
    </row>
    <row r="4407">
      <c r="A4407" t="inlineStr">
        <is>
          <t>wireless sensor network</t>
        </is>
      </c>
      <c r="B4407" t="n">
        <v>1</v>
      </c>
    </row>
    <row r="4408">
      <c r="A4408" t="inlineStr">
        <is>
          <t>zigbee</t>
        </is>
      </c>
      <c r="B4408" t="n">
        <v>1</v>
      </c>
    </row>
    <row r="4409">
      <c r="A4409" t="inlineStr">
        <is>
          <t>gas sensors</t>
        </is>
      </c>
      <c r="B4409" t="n">
        <v>1</v>
      </c>
    </row>
    <row r="4410">
      <c r="A4410" t="inlineStr">
        <is>
          <t>bake-out</t>
        </is>
      </c>
      <c r="B4410" t="n">
        <v>1</v>
      </c>
    </row>
    <row r="4411">
      <c r="A4411" t="inlineStr">
        <is>
          <t>floor heating system</t>
        </is>
      </c>
      <c r="B4411" t="n">
        <v>1</v>
      </c>
    </row>
    <row r="4412">
      <c r="A4412" t="inlineStr">
        <is>
          <t>access to care</t>
        </is>
      </c>
      <c r="B4412" t="n">
        <v>1</v>
      </c>
    </row>
    <row r="4413">
      <c r="A4413" t="inlineStr">
        <is>
          <t>outpatient health services</t>
        </is>
      </c>
      <c r="B4413" t="n">
        <v>1</v>
      </c>
    </row>
    <row r="4414">
      <c r="A4414" t="inlineStr">
        <is>
          <t>primary health care</t>
        </is>
      </c>
      <c r="B4414" t="n">
        <v>1</v>
      </c>
    </row>
    <row r="4415">
      <c r="A4415" t="inlineStr">
        <is>
          <t>validation study</t>
        </is>
      </c>
      <c r="B4415" t="n">
        <v>1</v>
      </c>
    </row>
    <row r="4416">
      <c r="A4416" t="inlineStr">
        <is>
          <t>security</t>
        </is>
      </c>
      <c r="B4416" t="n">
        <v>1</v>
      </c>
    </row>
    <row r="4417">
      <c r="A4417" t="inlineStr">
        <is>
          <t>behavioural change</t>
        </is>
      </c>
      <c r="B4417" t="n">
        <v>1</v>
      </c>
    </row>
    <row r="4418">
      <c r="A4418" t="inlineStr">
        <is>
          <t>user survey</t>
        </is>
      </c>
      <c r="B4418" t="n">
        <v>1</v>
      </c>
    </row>
    <row r="4419">
      <c r="A4419" t="inlineStr">
        <is>
          <t>pro-environmental behaviours</t>
        </is>
      </c>
      <c r="B4419" t="n">
        <v>1</v>
      </c>
    </row>
    <row r="4420">
      <c r="A4420" t="inlineStr">
        <is>
          <t>value– belief– norm</t>
        </is>
      </c>
      <c r="B4420" t="n">
        <v>1</v>
      </c>
    </row>
    <row r="4421">
      <c r="A4421" t="inlineStr">
        <is>
          <t>long-term health</t>
        </is>
      </c>
      <c r="B4421" t="n">
        <v>1</v>
      </c>
    </row>
    <row r="4422">
      <c r="A4422" t="inlineStr">
        <is>
          <t>functional tooth units</t>
        </is>
      </c>
      <c r="B4422" t="n">
        <v>1</v>
      </c>
    </row>
    <row r="4423">
      <c r="A4423" t="inlineStr">
        <is>
          <t>masticatory performance</t>
        </is>
      </c>
      <c r="B4423" t="n">
        <v>1</v>
      </c>
    </row>
    <row r="4424">
      <c r="A4424" t="inlineStr">
        <is>
          <t>mixing ability index</t>
        </is>
      </c>
      <c r="B4424" t="n">
        <v>1</v>
      </c>
    </row>
    <row r="4425">
      <c r="A4425" t="inlineStr">
        <is>
          <t>skeletal muscle mass index</t>
        </is>
      </c>
      <c r="B4425" t="n">
        <v>2</v>
      </c>
    </row>
    <row r="4426">
      <c r="A4426" t="inlineStr">
        <is>
          <t>sea level rise</t>
        </is>
      </c>
      <c r="B4426" t="n">
        <v>1</v>
      </c>
    </row>
    <row r="4427">
      <c r="A4427" t="inlineStr">
        <is>
          <t>honolulu</t>
        </is>
      </c>
      <c r="B4427" t="n">
        <v>1</v>
      </c>
    </row>
    <row r="4428">
      <c r="A4428" t="inlineStr">
        <is>
          <t>hawaii</t>
        </is>
      </c>
      <c r="B4428" t="n">
        <v>1</v>
      </c>
    </row>
    <row r="4429">
      <c r="A4429" t="inlineStr">
        <is>
          <t>thermal retrofitting</t>
        </is>
      </c>
      <c r="B4429" t="n">
        <v>1</v>
      </c>
    </row>
    <row r="4430">
      <c r="A4430" t="inlineStr">
        <is>
          <t>bike-sharing ridership</t>
        </is>
      </c>
      <c r="B4430" t="n">
        <v>1</v>
      </c>
    </row>
    <row r="4431">
      <c r="A4431" t="inlineStr">
        <is>
          <t>station flow</t>
        </is>
      </c>
      <c r="B4431" t="n">
        <v>1</v>
      </c>
    </row>
    <row r="4432">
      <c r="A4432" t="inlineStr">
        <is>
          <t>docked bike sharing</t>
        </is>
      </c>
      <c r="B4432" t="n">
        <v>1</v>
      </c>
    </row>
    <row r="4433">
      <c r="A4433" t="inlineStr">
        <is>
          <t>dockless bike sharing</t>
        </is>
      </c>
      <c r="B4433" t="n">
        <v>1</v>
      </c>
    </row>
    <row r="4434">
      <c r="A4434" t="inlineStr">
        <is>
          <t>built environment attributes</t>
        </is>
      </c>
      <c r="B4434" t="n">
        <v>1</v>
      </c>
    </row>
    <row r="4435">
      <c r="A4435" t="inlineStr">
        <is>
          <t>taxi ridership</t>
        </is>
      </c>
      <c r="B4435" t="n">
        <v>1</v>
      </c>
    </row>
    <row r="4436">
      <c r="A4436" t="inlineStr">
        <is>
          <t>spatiotemporal heterogeneity</t>
        </is>
      </c>
      <c r="B4436" t="n">
        <v>1</v>
      </c>
    </row>
    <row r="4437">
      <c r="A4437" t="inlineStr">
        <is>
          <t>geographically and temporally weighted regression (gtwr)</t>
        </is>
      </c>
      <c r="B4437" t="n">
        <v>1</v>
      </c>
    </row>
    <row r="4438">
      <c r="A4438" t="inlineStr">
        <is>
          <t>infectious disease</t>
        </is>
      </c>
      <c r="B4438" t="n">
        <v>1</v>
      </c>
    </row>
    <row r="4439">
      <c r="A4439" t="inlineStr">
        <is>
          <t>transmission risk</t>
        </is>
      </c>
      <c r="B4439" t="n">
        <v>1</v>
      </c>
    </row>
    <row r="4440">
      <c r="A4440" t="inlineStr">
        <is>
          <t>mild cognitive questionnaire</t>
        </is>
      </c>
      <c r="B4440" t="n">
        <v>1</v>
      </c>
    </row>
    <row r="4441">
      <c r="A4441" t="inlineStr">
        <is>
          <t>psychometric test</t>
        </is>
      </c>
      <c r="B4441" t="n">
        <v>1</v>
      </c>
    </row>
    <row r="4442">
      <c r="A4442" t="inlineStr">
        <is>
          <t>young and emerging adults</t>
        </is>
      </c>
      <c r="B4442" t="n">
        <v>1</v>
      </c>
    </row>
    <row r="4443">
      <c r="A4443" t="inlineStr">
        <is>
          <t>ghana</t>
        </is>
      </c>
      <c r="B4443" t="n">
        <v>1</v>
      </c>
    </row>
    <row r="4444">
      <c r="A4444" t="inlineStr">
        <is>
          <t>environmental sustainability</t>
        </is>
      </c>
      <c r="B4444" t="n">
        <v>2</v>
      </c>
    </row>
    <row r="4445">
      <c r="A4445" t="inlineStr">
        <is>
          <t>smart environment</t>
        </is>
      </c>
      <c r="B4445" t="n">
        <v>1</v>
      </c>
    </row>
    <row r="4446">
      <c r="A4446" t="inlineStr">
        <is>
          <t>bim (building information modeling)</t>
        </is>
      </c>
      <c r="B4446" t="n">
        <v>1</v>
      </c>
    </row>
    <row r="4447">
      <c r="A4447" t="inlineStr">
        <is>
          <t>iot</t>
        </is>
      </c>
      <c r="B4447" t="n">
        <v>1</v>
      </c>
    </row>
    <row r="4448">
      <c r="A4448" t="inlineStr">
        <is>
          <t>historic areas</t>
        </is>
      </c>
      <c r="B4448" t="n">
        <v>1</v>
      </c>
    </row>
    <row r="4449">
      <c r="A4449" t="inlineStr">
        <is>
          <t>street built environment</t>
        </is>
      </c>
      <c r="B4449" t="n">
        <v>1</v>
      </c>
    </row>
    <row r="4450">
      <c r="A4450" t="inlineStr">
        <is>
          <t>quantitative analysis</t>
        </is>
      </c>
      <c r="B4450" t="n">
        <v>1</v>
      </c>
    </row>
    <row r="4451">
      <c r="A4451" t="inlineStr">
        <is>
          <t>spatial analysis and statistical analysis</t>
        </is>
      </c>
      <c r="B4451" t="n">
        <v>1</v>
      </c>
    </row>
    <row r="4452">
      <c r="A4452" t="inlineStr">
        <is>
          <t>ecologic model of obesity</t>
        </is>
      </c>
      <c r="B4452" t="n">
        <v>1</v>
      </c>
    </row>
    <row r="4453">
      <c r="A4453" t="inlineStr">
        <is>
          <t>mobility impairment</t>
        </is>
      </c>
      <c r="B4453" t="n">
        <v>1</v>
      </c>
    </row>
    <row r="4454">
      <c r="A4454" t="inlineStr">
        <is>
          <t>access</t>
        </is>
      </c>
      <c r="B4454" t="n">
        <v>1</v>
      </c>
    </row>
    <row r="4455">
      <c r="A4455" t="inlineStr">
        <is>
          <t>indoor and outdoor</t>
        </is>
      </c>
      <c r="B4455" t="n">
        <v>1</v>
      </c>
    </row>
    <row r="4456">
      <c r="A4456" t="inlineStr">
        <is>
          <t>an ice rink</t>
        </is>
      </c>
      <c r="B4456" t="n">
        <v>1</v>
      </c>
    </row>
    <row r="4457">
      <c r="A4457" t="inlineStr">
        <is>
          <t>sustainable habitat</t>
        </is>
      </c>
      <c r="B4457" t="n">
        <v>1</v>
      </c>
    </row>
    <row r="4458">
      <c r="A4458" t="inlineStr">
        <is>
          <t>cfd simulations</t>
        </is>
      </c>
      <c r="B4458" t="n">
        <v>1</v>
      </c>
    </row>
    <row r="4459">
      <c r="A4459" t="inlineStr">
        <is>
          <t>densely residential area</t>
        </is>
      </c>
      <c r="B4459" t="n">
        <v>1</v>
      </c>
    </row>
    <row r="4460">
      <c r="A4460" t="inlineStr">
        <is>
          <t>housing development</t>
        </is>
      </c>
      <c r="B4460" t="n">
        <v>1</v>
      </c>
    </row>
    <row r="4461">
      <c r="A4461" t="inlineStr">
        <is>
          <t>central business district (cbd)</t>
        </is>
      </c>
      <c r="B4461" t="n">
        <v>1</v>
      </c>
    </row>
    <row r="4462">
      <c r="A4462" t="inlineStr">
        <is>
          <t>semantic segmentation process</t>
        </is>
      </c>
      <c r="B4462" t="n">
        <v>1</v>
      </c>
    </row>
    <row r="4463">
      <c r="A4463" t="inlineStr">
        <is>
          <t>cinematic mediation</t>
        </is>
      </c>
      <c r="B4463" t="n">
        <v>1</v>
      </c>
    </row>
    <row r="4464">
      <c r="A4464" t="inlineStr">
        <is>
          <t>psychophysiological responses</t>
        </is>
      </c>
      <c r="B4464" t="n">
        <v>1</v>
      </c>
    </row>
    <row r="4465">
      <c r="A4465" t="inlineStr">
        <is>
          <t>spatial perception</t>
        </is>
      </c>
      <c r="B4465" t="n">
        <v>1</v>
      </c>
    </row>
    <row r="4466">
      <c r="A4466" t="inlineStr">
        <is>
          <t>space configuration</t>
        </is>
      </c>
      <c r="B4466" t="n">
        <v>1</v>
      </c>
    </row>
    <row r="4467">
      <c r="A4467" t="inlineStr">
        <is>
          <t>sustainable design criteria</t>
        </is>
      </c>
      <c r="B4467" t="n">
        <v>1</v>
      </c>
    </row>
    <row r="4468">
      <c r="A4468" t="inlineStr">
        <is>
          <t>terrestrial gamma radiation</t>
        </is>
      </c>
      <c r="B4468" t="n">
        <v>1</v>
      </c>
    </row>
    <row r="4469">
      <c r="A4469" t="inlineStr">
        <is>
          <t>environmental radioactivity</t>
        </is>
      </c>
      <c r="B4469" t="n">
        <v>1</v>
      </c>
    </row>
    <row r="4470">
      <c r="A4470" t="inlineStr">
        <is>
          <t>alcohol use</t>
        </is>
      </c>
      <c r="B4470" t="n">
        <v>1</v>
      </c>
    </row>
    <row r="4471">
      <c r="A4471" t="inlineStr">
        <is>
          <t>indoor-outdoor air</t>
        </is>
      </c>
      <c r="B4471" t="n">
        <v>1</v>
      </c>
    </row>
    <row r="4472">
      <c r="A4472" t="inlineStr">
        <is>
          <t>coupled sensor-spectrophotometric device</t>
        </is>
      </c>
      <c r="B4472" t="n">
        <v>1</v>
      </c>
    </row>
    <row r="4473">
      <c r="A4473" t="inlineStr">
        <is>
          <t>manufactured housing</t>
        </is>
      </c>
      <c r="B4473" t="n">
        <v>1</v>
      </c>
    </row>
    <row r="4474">
      <c r="A4474" t="inlineStr">
        <is>
          <t>energy technologies</t>
        </is>
      </c>
      <c r="B4474" t="n">
        <v>1</v>
      </c>
    </row>
    <row r="4475">
      <c r="A4475" t="inlineStr">
        <is>
          <t>system of innovation</t>
        </is>
      </c>
      <c r="B4475" t="n">
        <v>1</v>
      </c>
    </row>
    <row r="4476">
      <c r="A4476" t="inlineStr">
        <is>
          <t>urban hotel</t>
        </is>
      </c>
      <c r="B4476" t="n">
        <v>1</v>
      </c>
    </row>
    <row r="4477">
      <c r="A4477" t="inlineStr">
        <is>
          <t>hospitality</t>
        </is>
      </c>
      <c r="B4477" t="n">
        <v>1</v>
      </c>
    </row>
    <row r="4478">
      <c r="A4478" t="inlineStr">
        <is>
          <t>green customers</t>
        </is>
      </c>
      <c r="B4478" t="n">
        <v>1</v>
      </c>
    </row>
    <row r="4479">
      <c r="A4479" t="inlineStr">
        <is>
          <t>artwork</t>
        </is>
      </c>
      <c r="B4479" t="n">
        <v>1</v>
      </c>
    </row>
    <row r="4480">
      <c r="A4480" t="inlineStr">
        <is>
          <t>loyalty</t>
        </is>
      </c>
      <c r="B4480" t="n">
        <v>1</v>
      </c>
    </row>
    <row r="4481">
      <c r="A4481" t="inlineStr">
        <is>
          <t>environmental marketing strategies</t>
        </is>
      </c>
      <c r="B4481" t="n">
        <v>1</v>
      </c>
    </row>
    <row r="4482">
      <c r="A4482" t="inlineStr">
        <is>
          <t>social and physical environment</t>
        </is>
      </c>
      <c r="B4482" t="n">
        <v>1</v>
      </c>
    </row>
    <row r="4483">
      <c r="A4483" t="inlineStr">
        <is>
          <t>srh</t>
        </is>
      </c>
      <c r="B4483" t="n">
        <v>1</v>
      </c>
    </row>
    <row r="4484">
      <c r="A4484" t="inlineStr">
        <is>
          <t>fungicidal</t>
        </is>
      </c>
      <c r="B4484" t="n">
        <v>1</v>
      </c>
    </row>
    <row r="4485">
      <c r="A4485" t="inlineStr">
        <is>
          <t>natural</t>
        </is>
      </c>
      <c r="B4485" t="n">
        <v>1</v>
      </c>
    </row>
    <row r="4486">
      <c r="A4486" t="inlineStr">
        <is>
          <t>plant-derived compound</t>
        </is>
      </c>
      <c r="B4486" t="n">
        <v>1</v>
      </c>
    </row>
    <row r="4487">
      <c r="A4487" t="inlineStr">
        <is>
          <t>plant extract</t>
        </is>
      </c>
      <c r="B4487" t="n">
        <v>1</v>
      </c>
    </row>
    <row r="4488">
      <c r="A4488" t="inlineStr">
        <is>
          <t>indoor environmental quality index</t>
        </is>
      </c>
      <c r="B4488" t="n">
        <v>1</v>
      </c>
    </row>
    <row r="4489">
      <c r="A4489" t="inlineStr">
        <is>
          <t>low-cost monitoring platform</t>
        </is>
      </c>
      <c r="B4489" t="n">
        <v>1</v>
      </c>
    </row>
    <row r="4490">
      <c r="A4490" t="inlineStr">
        <is>
          <t>iot sensing</t>
        </is>
      </c>
      <c r="B4490" t="n">
        <v>1</v>
      </c>
    </row>
    <row r="4491">
      <c r="A4491" t="inlineStr">
        <is>
          <t>rural communities</t>
        </is>
      </c>
      <c r="B4491" t="n">
        <v>1</v>
      </c>
    </row>
    <row r="4492">
      <c r="A4492" t="inlineStr">
        <is>
          <t>taxis' emissions</t>
        </is>
      </c>
      <c r="B4492" t="n">
        <v>1</v>
      </c>
    </row>
    <row r="4493">
      <c r="A4493" t="inlineStr">
        <is>
          <t>marginal effect</t>
        </is>
      </c>
      <c r="B4493" t="n">
        <v>1</v>
      </c>
    </row>
    <row r="4494">
      <c r="A4494" t="inlineStr">
        <is>
          <t>spatiotemporal</t>
        </is>
      </c>
      <c r="B4494" t="n">
        <v>1</v>
      </c>
    </row>
    <row r="4495">
      <c r="A4495" t="inlineStr">
        <is>
          <t>shopping malls</t>
        </is>
      </c>
      <c r="B4495" t="n">
        <v>1</v>
      </c>
    </row>
    <row r="4496">
      <c r="A4496" t="inlineStr">
        <is>
          <t>shoppers</t>
        </is>
      </c>
      <c r="B4496" t="n">
        <v>1</v>
      </c>
    </row>
    <row r="4497">
      <c r="A4497" t="inlineStr">
        <is>
          <t>structural equation modeling (sem)</t>
        </is>
      </c>
      <c r="B4497" t="n">
        <v>1</v>
      </c>
    </row>
    <row r="4498">
      <c r="A4498" t="inlineStr">
        <is>
          <t>hangzhou</t>
        </is>
      </c>
      <c r="B4498" t="n">
        <v>1</v>
      </c>
    </row>
    <row r="4499">
      <c r="A4499" t="inlineStr">
        <is>
          <t>dyadic pain management</t>
        </is>
      </c>
      <c r="B4499" t="n">
        <v>2</v>
      </c>
    </row>
    <row r="4500">
      <c r="A4500" t="inlineStr">
        <is>
          <t>chronic pain</t>
        </is>
      </c>
      <c r="B4500" t="n">
        <v>3</v>
      </c>
    </row>
    <row r="4501">
      <c r="A4501" t="inlineStr">
        <is>
          <t>emission kinetics</t>
        </is>
      </c>
      <c r="B4501" t="n">
        <v>1</v>
      </c>
    </row>
    <row r="4502">
      <c r="A4502" t="inlineStr">
        <is>
          <t>carcinogenicity</t>
        </is>
      </c>
      <c r="B4502" t="n">
        <v>1</v>
      </c>
    </row>
    <row r="4503">
      <c r="A4503" t="inlineStr">
        <is>
          <t>mutagenicity</t>
        </is>
      </c>
      <c r="B4503" t="n">
        <v>1</v>
      </c>
    </row>
    <row r="4504">
      <c r="A4504" t="inlineStr">
        <is>
          <t>phthalates esters</t>
        </is>
      </c>
      <c r="B4504" t="n">
        <v>1</v>
      </c>
    </row>
    <row r="4505">
      <c r="A4505" t="inlineStr">
        <is>
          <t>gc-ms</t>
        </is>
      </c>
      <c r="B4505" t="n">
        <v>1</v>
      </c>
    </row>
    <row r="4506">
      <c r="A4506" t="inlineStr">
        <is>
          <t>contaminants</t>
        </is>
      </c>
      <c r="B4506" t="n">
        <v>1</v>
      </c>
    </row>
    <row r="4507">
      <c r="A4507" t="inlineStr">
        <is>
          <t>contaminant modeling</t>
        </is>
      </c>
      <c r="B4507" t="n">
        <v>1</v>
      </c>
    </row>
    <row r="4508">
      <c r="A4508" t="inlineStr">
        <is>
          <t>non-driver's license</t>
        </is>
      </c>
      <c r="B4508" t="n">
        <v>1</v>
      </c>
    </row>
    <row r="4509">
      <c r="A4509" t="inlineStr">
        <is>
          <t>students</t>
        </is>
      </c>
      <c r="B4509" t="n">
        <v>1</v>
      </c>
    </row>
    <row r="4510">
      <c r="A4510" t="inlineStr">
        <is>
          <t>metro ridership</t>
        </is>
      </c>
      <c r="B4510" t="n">
        <v>1</v>
      </c>
    </row>
    <row r="4511">
      <c r="A4511" t="inlineStr">
        <is>
          <t>spatial variations</t>
        </is>
      </c>
      <c r="B4511" t="n">
        <v>1</v>
      </c>
    </row>
    <row r="4512">
      <c r="A4512" t="inlineStr">
        <is>
          <t>preschooler</t>
        </is>
      </c>
      <c r="B4512" t="n">
        <v>1</v>
      </c>
    </row>
    <row r="4513">
      <c r="A4513" t="inlineStr">
        <is>
          <t>policy environment</t>
        </is>
      </c>
      <c r="B4513" t="n">
        <v>1</v>
      </c>
    </row>
    <row r="4514">
      <c r="A4514" t="inlineStr">
        <is>
          <t>educator practices</t>
        </is>
      </c>
      <c r="B4514" t="n">
        <v>1</v>
      </c>
    </row>
    <row r="4515">
      <c r="A4515" t="inlineStr">
        <is>
          <t>social-ecological model</t>
        </is>
      </c>
      <c r="B4515" t="n">
        <v>1</v>
      </c>
    </row>
    <row r="4516">
      <c r="A4516" t="inlineStr">
        <is>
          <t>adult asthma</t>
        </is>
      </c>
      <c r="B4516" t="n">
        <v>1</v>
      </c>
    </row>
    <row r="4517">
      <c r="A4517" t="inlineStr">
        <is>
          <t>residential environmental conditions</t>
        </is>
      </c>
      <c r="B4517" t="n">
        <v>1</v>
      </c>
    </row>
    <row r="4518">
      <c r="A4518" t="inlineStr">
        <is>
          <t>resilience qualities</t>
        </is>
      </c>
      <c r="B4518" t="n">
        <v>1</v>
      </c>
    </row>
    <row r="4519">
      <c r="A4519" t="inlineStr">
        <is>
          <t>reflectivity</t>
        </is>
      </c>
      <c r="B4519" t="n">
        <v>1</v>
      </c>
    </row>
    <row r="4520">
      <c r="A4520" t="inlineStr">
        <is>
          <t>flexibility</t>
        </is>
      </c>
      <c r="B4520" t="n">
        <v>1</v>
      </c>
    </row>
    <row r="4521">
      <c r="A4521" t="inlineStr">
        <is>
          <t>resourcefulness</t>
        </is>
      </c>
      <c r="B4521" t="n">
        <v>1</v>
      </c>
    </row>
    <row r="4522">
      <c r="A4522" t="inlineStr">
        <is>
          <t>rapidity</t>
        </is>
      </c>
      <c r="B4522" t="n">
        <v>1</v>
      </c>
    </row>
    <row r="4523">
      <c r="A4523" t="inlineStr">
        <is>
          <t>educational training motivation</t>
        </is>
      </c>
      <c r="B4523" t="n">
        <v>1</v>
      </c>
    </row>
    <row r="4524">
      <c r="A4524" t="inlineStr">
        <is>
          <t>organisational environment</t>
        </is>
      </c>
      <c r="B4524" t="n">
        <v>1</v>
      </c>
    </row>
    <row r="4525">
      <c r="A4525" t="inlineStr">
        <is>
          <t>transfer effectiveness</t>
        </is>
      </c>
      <c r="B4525" t="n">
        <v>1</v>
      </c>
    </row>
    <row r="4526">
      <c r="A4526" t="inlineStr">
        <is>
          <t>street view images</t>
        </is>
      </c>
      <c r="B4526" t="n">
        <v>1</v>
      </c>
    </row>
    <row r="4527">
      <c r="A4527" t="inlineStr">
        <is>
          <t>geodetector</t>
        </is>
      </c>
      <c r="B4527" t="n">
        <v>1</v>
      </c>
    </row>
    <row r="4528">
      <c r="A4528" t="inlineStr">
        <is>
          <t>lead</t>
        </is>
      </c>
      <c r="B4528" t="n">
        <v>2</v>
      </c>
    </row>
    <row r="4529">
      <c r="A4529" t="inlineStr">
        <is>
          <t>housing vacancies</t>
        </is>
      </c>
      <c r="B4529" t="n">
        <v>1</v>
      </c>
    </row>
    <row r="4530">
      <c r="A4530" t="inlineStr">
        <is>
          <t>urban blight</t>
        </is>
      </c>
      <c r="B4530" t="n">
        <v>1</v>
      </c>
    </row>
    <row r="4531">
      <c r="A4531" t="inlineStr">
        <is>
          <t>building quality</t>
        </is>
      </c>
      <c r="B4531" t="n">
        <v>1</v>
      </c>
    </row>
    <row r="4532">
      <c r="A4532" t="inlineStr">
        <is>
          <t>preventive behaviors</t>
        </is>
      </c>
      <c r="B4532" t="n">
        <v>1</v>
      </c>
    </row>
    <row r="4533">
      <c r="A4533" t="inlineStr">
        <is>
          <t>perceived value</t>
        </is>
      </c>
      <c r="B4533" t="n">
        <v>1</v>
      </c>
    </row>
    <row r="4534">
      <c r="A4534" t="inlineStr">
        <is>
          <t>effort expectancy</t>
        </is>
      </c>
      <c r="B4534" t="n">
        <v>1</v>
      </c>
    </row>
    <row r="4535">
      <c r="A4535" t="inlineStr">
        <is>
          <t>performance expectancy</t>
        </is>
      </c>
      <c r="B4535" t="n">
        <v>1</v>
      </c>
    </row>
    <row r="4536">
      <c r="A4536" t="inlineStr">
        <is>
          <t>intention</t>
        </is>
      </c>
      <c r="B4536" t="n">
        <v>1</v>
      </c>
    </row>
    <row r="4537">
      <c r="A4537" t="inlineStr">
        <is>
          <t>m-technology</t>
        </is>
      </c>
      <c r="B4537" t="n">
        <v>1</v>
      </c>
    </row>
    <row r="4538">
      <c r="A4538" t="inlineStr">
        <is>
          <t>mobility limitations</t>
        </is>
      </c>
      <c r="B4538" t="n">
        <v>1</v>
      </c>
    </row>
    <row r="4539">
      <c r="A4539" t="inlineStr">
        <is>
          <t>usability</t>
        </is>
      </c>
      <c r="B4539" t="n">
        <v>1</v>
      </c>
    </row>
    <row r="4540">
      <c r="A4540" t="inlineStr">
        <is>
          <t>geriatric giants</t>
        </is>
      </c>
      <c r="B4540" t="n">
        <v>1</v>
      </c>
    </row>
    <row r="4541">
      <c r="A4541" t="inlineStr">
        <is>
          <t>low carbon technologies</t>
        </is>
      </c>
      <c r="B4541" t="n">
        <v>1</v>
      </c>
    </row>
    <row r="4542">
      <c r="A4542" t="inlineStr">
        <is>
          <t>wind energy</t>
        </is>
      </c>
      <c r="B4542" t="n">
        <v>1</v>
      </c>
    </row>
    <row r="4543">
      <c r="A4543" t="inlineStr">
        <is>
          <t>community environment</t>
        </is>
      </c>
      <c r="B4543" t="n">
        <v>1</v>
      </c>
    </row>
    <row r="4544">
      <c r="A4544" t="inlineStr">
        <is>
          <t>neighbor contacts</t>
        </is>
      </c>
      <c r="B4544" t="n">
        <v>1</v>
      </c>
    </row>
    <row r="4545">
      <c r="A4545" t="inlineStr">
        <is>
          <t>activity ability</t>
        </is>
      </c>
      <c r="B4545" t="n">
        <v>1</v>
      </c>
    </row>
    <row r="4546">
      <c r="A4546" t="inlineStr">
        <is>
          <t>cadmium exposure</t>
        </is>
      </c>
      <c r="B4546" t="n">
        <v>1</v>
      </c>
    </row>
    <row r="4547">
      <c r="A4547" t="inlineStr">
        <is>
          <t>environmental exposure</t>
        </is>
      </c>
      <c r="B4547" t="n">
        <v>1</v>
      </c>
    </row>
    <row r="4548">
      <c r="A4548" t="inlineStr">
        <is>
          <t>baidu heat map (bhm)</t>
        </is>
      </c>
      <c r="B4548" t="n">
        <v>1</v>
      </c>
    </row>
    <row r="4549">
      <c r="A4549" t="inlineStr">
        <is>
          <t>heterogeneity</t>
        </is>
      </c>
      <c r="B4549" t="n">
        <v>1</v>
      </c>
    </row>
    <row r="4550">
      <c r="A4550" t="inlineStr">
        <is>
          <t>geographically and temporally weighted regression</t>
        </is>
      </c>
      <c r="B4550" t="n">
        <v>1</v>
      </c>
    </row>
    <row r="4551">
      <c r="A4551" t="inlineStr">
        <is>
          <t>passive smoking</t>
        </is>
      </c>
      <c r="B4551" t="n">
        <v>1</v>
      </c>
    </row>
    <row r="4552">
      <c r="A4552" t="inlineStr">
        <is>
          <t>hazard ratio</t>
        </is>
      </c>
      <c r="B4552" t="n">
        <v>1</v>
      </c>
    </row>
    <row r="4553">
      <c r="A4553" t="inlineStr">
        <is>
          <t>environmental aspects</t>
        </is>
      </c>
      <c r="B4553" t="n">
        <v>1</v>
      </c>
    </row>
    <row r="4554">
      <c r="A4554" t="inlineStr">
        <is>
          <t>particular matter</t>
        </is>
      </c>
      <c r="B4554" t="n">
        <v>1</v>
      </c>
    </row>
    <row r="4555">
      <c r="A4555" t="inlineStr">
        <is>
          <t>sustainability building-up</t>
        </is>
      </c>
      <c r="B4555" t="n">
        <v>1</v>
      </c>
    </row>
    <row r="4556">
      <c r="A4556" t="inlineStr">
        <is>
          <t>mass balance</t>
        </is>
      </c>
      <c r="B4556" t="n">
        <v>1</v>
      </c>
    </row>
    <row r="4557">
      <c r="A4557" t="inlineStr">
        <is>
          <t>regulation</t>
        </is>
      </c>
      <c r="B4557" t="n">
        <v>1</v>
      </c>
    </row>
    <row r="4558">
      <c r="A4558" t="inlineStr">
        <is>
          <t>acoustic doppler current profiler</t>
        </is>
      </c>
      <c r="B4558" t="n">
        <v>1</v>
      </c>
    </row>
    <row r="4559">
      <c r="A4559" t="inlineStr">
        <is>
          <t>acoustic backscatter</t>
        </is>
      </c>
      <c r="B4559" t="n">
        <v>1</v>
      </c>
    </row>
    <row r="4560">
      <c r="A4560" t="inlineStr">
        <is>
          <t>physical drivers</t>
        </is>
      </c>
      <c r="B4560" t="n">
        <v>1</v>
      </c>
    </row>
    <row r="4561">
      <c r="A4561" t="inlineStr">
        <is>
          <t>marine renewable energy</t>
        </is>
      </c>
      <c r="B4561" t="n">
        <v>1</v>
      </c>
    </row>
    <row r="4562">
      <c r="A4562" t="inlineStr">
        <is>
          <t>pinniped</t>
        </is>
      </c>
      <c r="B4562" t="n">
        <v>1</v>
      </c>
    </row>
    <row r="4563">
      <c r="A4563" t="inlineStr">
        <is>
          <t>cold</t>
        </is>
      </c>
      <c r="B4563" t="n">
        <v>1</v>
      </c>
    </row>
    <row r="4564">
      <c r="A4564" t="inlineStr">
        <is>
          <t>low cost housing</t>
        </is>
      </c>
      <c r="B4564" t="n">
        <v>1</v>
      </c>
    </row>
    <row r="4565">
      <c r="A4565" t="inlineStr">
        <is>
          <t>ambient temperature</t>
        </is>
      </c>
      <c r="B4565" t="n">
        <v>1</v>
      </c>
    </row>
    <row r="4566">
      <c r="A4566" t="inlineStr">
        <is>
          <t>green building materials</t>
        </is>
      </c>
      <c r="B4566" t="n">
        <v>1</v>
      </c>
    </row>
    <row r="4567">
      <c r="A4567" t="inlineStr">
        <is>
          <t>insulation effect</t>
        </is>
      </c>
      <c r="B4567" t="n">
        <v>1</v>
      </c>
    </row>
    <row r="4568">
      <c r="A4568" t="inlineStr">
        <is>
          <t>evaluation model</t>
        </is>
      </c>
      <c r="B4568" t="n">
        <v>1</v>
      </c>
    </row>
    <row r="4569">
      <c r="A4569" t="inlineStr">
        <is>
          <t>characterization index</t>
        </is>
      </c>
      <c r="B4569" t="n">
        <v>1</v>
      </c>
    </row>
    <row r="4570">
      <c r="A4570" t="inlineStr">
        <is>
          <t>temperature factor</t>
        </is>
      </c>
      <c r="B4570" t="n">
        <v>1</v>
      </c>
    </row>
    <row r="4571">
      <c r="A4571" t="inlineStr">
        <is>
          <t>outdoor usage</t>
        </is>
      </c>
      <c r="B4571" t="n">
        <v>1</v>
      </c>
    </row>
    <row r="4572">
      <c r="A4572" t="inlineStr">
        <is>
          <t>photographic comparison</t>
        </is>
      </c>
      <c r="B4572" t="n">
        <v>1</v>
      </c>
    </row>
    <row r="4573">
      <c r="A4573" t="inlineStr">
        <is>
          <t>car use</t>
        </is>
      </c>
      <c r="B4573" t="n">
        <v>1</v>
      </c>
    </row>
    <row r="4574">
      <c r="A4574" t="inlineStr">
        <is>
          <t>multilevel bayesian model</t>
        </is>
      </c>
      <c r="B4574" t="n">
        <v>1</v>
      </c>
    </row>
    <row r="4575">
      <c r="A4575" t="inlineStr">
        <is>
          <t>sarqol</t>
        </is>
      </c>
      <c r="B4575" t="n">
        <v>1</v>
      </c>
    </row>
    <row r="4576">
      <c r="A4576" t="inlineStr">
        <is>
          <t>house dust mites</t>
        </is>
      </c>
      <c r="B4576" t="n">
        <v>1</v>
      </c>
    </row>
    <row r="4577">
      <c r="A4577" t="inlineStr">
        <is>
          <t>fractional exhaled nitric oxide</t>
        </is>
      </c>
      <c r="B4577" t="n">
        <v>1</v>
      </c>
    </row>
    <row r="4578">
      <c r="A4578" t="inlineStr">
        <is>
          <t>office environment</t>
        </is>
      </c>
      <c r="B4578" t="n">
        <v>1</v>
      </c>
    </row>
    <row r="4579">
      <c r="A4579" t="inlineStr">
        <is>
          <t>pmf</t>
        </is>
      </c>
      <c r="B4579" t="n">
        <v>1</v>
      </c>
    </row>
    <row r="4580">
      <c r="A4580" t="inlineStr">
        <is>
          <t>barcelona</t>
        </is>
      </c>
      <c r="B4580" t="n">
        <v>1</v>
      </c>
    </row>
    <row r="4581">
      <c r="A4581" t="inlineStr">
        <is>
          <t>disorder</t>
        </is>
      </c>
      <c r="B4581" t="n">
        <v>1</v>
      </c>
    </row>
    <row r="4582">
      <c r="A4582" t="inlineStr">
        <is>
          <t>uhi</t>
        </is>
      </c>
      <c r="B4582" t="n">
        <v>1</v>
      </c>
    </row>
    <row r="4583">
      <c r="A4583" t="inlineStr">
        <is>
          <t>tropical medium-sized city</t>
        </is>
      </c>
      <c r="B4583" t="n">
        <v>1</v>
      </c>
    </row>
    <row r="4584">
      <c r="A4584" t="inlineStr">
        <is>
          <t>artificial area</t>
        </is>
      </c>
      <c r="B4584" t="n">
        <v>1</v>
      </c>
    </row>
    <row r="4585">
      <c r="A4585" t="inlineStr">
        <is>
          <t>building coverage rate</t>
        </is>
      </c>
      <c r="B4585" t="n">
        <v>1</v>
      </c>
    </row>
    <row r="4586">
      <c r="A4586" t="inlineStr">
        <is>
          <t>green coverage rate</t>
        </is>
      </c>
      <c r="B4586" t="n">
        <v>1</v>
      </c>
    </row>
    <row r="4587">
      <c r="A4587" t="inlineStr">
        <is>
          <t>mobile transects</t>
        </is>
      </c>
      <c r="B4587" t="n">
        <v>1</v>
      </c>
    </row>
    <row r="4588">
      <c r="A4588" t="inlineStr">
        <is>
          <t>active travel to school</t>
        </is>
      </c>
      <c r="B4588" t="n">
        <v>1</v>
      </c>
    </row>
    <row r="4589">
      <c r="A4589" t="inlineStr">
        <is>
          <t>home-to-school route</t>
        </is>
      </c>
      <c r="B4589" t="n">
        <v>1</v>
      </c>
    </row>
    <row r="4590">
      <c r="A4590" t="inlineStr">
        <is>
          <t>parental safety concerns</t>
        </is>
      </c>
      <c r="B4590" t="n">
        <v>1</v>
      </c>
    </row>
    <row r="4591">
      <c r="A4591" t="inlineStr">
        <is>
          <t>young-old adults</t>
        </is>
      </c>
      <c r="B4591" t="n">
        <v>1</v>
      </c>
    </row>
    <row r="4592">
      <c r="A4592" t="inlineStr">
        <is>
          <t>odd ratio</t>
        </is>
      </c>
      <c r="B4592" t="n">
        <v>1</v>
      </c>
    </row>
    <row r="4593">
      <c r="A4593" t="inlineStr">
        <is>
          <t>wood coverage</t>
        </is>
      </c>
      <c r="B4593" t="n">
        <v>1</v>
      </c>
    </row>
    <row r="4594">
      <c r="A4594" t="inlineStr">
        <is>
          <t>wood building</t>
        </is>
      </c>
      <c r="B4594" t="n">
        <v>1</v>
      </c>
    </row>
    <row r="4595">
      <c r="A4595" t="inlineStr">
        <is>
          <t>children's support</t>
        </is>
      </c>
      <c r="B4595" t="n">
        <v>1</v>
      </c>
    </row>
    <row r="4596">
      <c r="A4596" t="inlineStr">
        <is>
          <t>urban-rural differences</t>
        </is>
      </c>
      <c r="B4596" t="n">
        <v>1</v>
      </c>
    </row>
    <row r="4597">
      <c r="A4597" t="inlineStr">
        <is>
          <t>charls</t>
        </is>
      </c>
      <c r="B4597" t="n">
        <v>1</v>
      </c>
    </row>
    <row r="4598">
      <c r="A4598" t="inlineStr">
        <is>
          <t>building microbiology</t>
        </is>
      </c>
      <c r="B4598" t="n">
        <v>1</v>
      </c>
    </row>
    <row r="4599">
      <c r="A4599" t="inlineStr">
        <is>
          <t>coffee waste</t>
        </is>
      </c>
      <c r="B4599" t="n">
        <v>1</v>
      </c>
    </row>
    <row r="4600">
      <c r="A4600" t="inlineStr">
        <is>
          <t>green manufacturing</t>
        </is>
      </c>
      <c r="B4600" t="n">
        <v>1</v>
      </c>
    </row>
    <row r="4601">
      <c r="A4601" t="inlineStr">
        <is>
          <t>material biodeterioration</t>
        </is>
      </c>
      <c r="B4601" t="n">
        <v>1</v>
      </c>
    </row>
    <row r="4602">
      <c r="A4602" t="inlineStr">
        <is>
          <t>wet-forming</t>
        </is>
      </c>
      <c r="B4602" t="n">
        <v>1</v>
      </c>
    </row>
    <row r="4603">
      <c r="A4603" t="inlineStr">
        <is>
          <t>brominated flame retardants</t>
        </is>
      </c>
      <c r="B4603" t="n">
        <v>1</v>
      </c>
    </row>
    <row r="4604">
      <c r="A4604" t="inlineStr">
        <is>
          <t>air</t>
        </is>
      </c>
      <c r="B4604" t="n">
        <v>1</v>
      </c>
    </row>
    <row r="4605">
      <c r="A4605" t="inlineStr">
        <is>
          <t>sinks</t>
        </is>
      </c>
      <c r="B4605" t="n">
        <v>1</v>
      </c>
    </row>
    <row r="4606">
      <c r="A4606" t="inlineStr">
        <is>
          <t>mass spectrometry</t>
        </is>
      </c>
      <c r="B4606" t="n">
        <v>1</v>
      </c>
    </row>
    <row r="4607">
      <c r="A4607" t="inlineStr">
        <is>
          <t>healthy environments</t>
        </is>
      </c>
      <c r="B4607" t="n">
        <v>1</v>
      </c>
    </row>
    <row r="4608">
      <c r="A4608" t="inlineStr">
        <is>
          <t>caregiver burden</t>
        </is>
      </c>
      <c r="B4608" t="n">
        <v>1</v>
      </c>
    </row>
    <row r="4609">
      <c r="A4609" t="inlineStr">
        <is>
          <t>clinical psychology</t>
        </is>
      </c>
      <c r="B4609" t="n">
        <v>1</v>
      </c>
    </row>
    <row r="4610">
      <c r="A4610" t="inlineStr">
        <is>
          <t>dispositional optimism</t>
        </is>
      </c>
      <c r="B4610" t="n">
        <v>1</v>
      </c>
    </row>
    <row r="4611">
      <c r="A4611" t="inlineStr">
        <is>
          <t>family caregiver</t>
        </is>
      </c>
      <c r="B4611" t="n">
        <v>1</v>
      </c>
    </row>
    <row r="4612">
      <c r="A4612" t="inlineStr">
        <is>
          <t>screen-based activities</t>
        </is>
      </c>
      <c r="B4612" t="n">
        <v>1</v>
      </c>
    </row>
    <row r="4613">
      <c r="A4613" t="inlineStr">
        <is>
          <t>perceived activity-friendly environment</t>
        </is>
      </c>
      <c r="B4613" t="n">
        <v>1</v>
      </c>
    </row>
    <row r="4614">
      <c r="A4614" t="inlineStr">
        <is>
          <t>adolescence</t>
        </is>
      </c>
      <c r="B4614" t="n">
        <v>1</v>
      </c>
    </row>
    <row r="4615">
      <c r="A4615" t="inlineStr">
        <is>
          <t>spatial mobility</t>
        </is>
      </c>
      <c r="B4615" t="n">
        <v>1</v>
      </c>
    </row>
    <row r="4616">
      <c r="A4616" t="inlineStr">
        <is>
          <t>family structure</t>
        </is>
      </c>
      <c r="B4616" t="n">
        <v>1</v>
      </c>
    </row>
    <row r="4617">
      <c r="A4617" t="inlineStr">
        <is>
          <t>hygrothermal comfort</t>
        </is>
      </c>
      <c r="B4617" t="n">
        <v>2</v>
      </c>
    </row>
    <row r="4618">
      <c r="A4618" t="inlineStr">
        <is>
          <t>healthy classroom environment</t>
        </is>
      </c>
      <c r="B4618" t="n">
        <v>1</v>
      </c>
    </row>
    <row r="4619">
      <c r="A4619" t="inlineStr">
        <is>
          <t>mouthing-mediated ingestion</t>
        </is>
      </c>
      <c r="B4619" t="n">
        <v>1</v>
      </c>
    </row>
    <row r="4620">
      <c r="A4620" t="inlineStr">
        <is>
          <t>hand-to-mouth</t>
        </is>
      </c>
      <c r="B4620" t="n">
        <v>1</v>
      </c>
    </row>
    <row r="4621">
      <c r="A4621" t="inlineStr">
        <is>
          <t>object-to-mouth</t>
        </is>
      </c>
      <c r="B4621" t="n">
        <v>1</v>
      </c>
    </row>
    <row r="4622">
      <c r="A4622" t="inlineStr">
        <is>
          <t>hand loading</t>
        </is>
      </c>
      <c r="B4622" t="n">
        <v>1</v>
      </c>
    </row>
    <row r="4623">
      <c r="A4623" t="inlineStr">
        <is>
          <t>handwipe</t>
        </is>
      </c>
      <c r="B4623" t="n">
        <v>1</v>
      </c>
    </row>
    <row r="4624">
      <c r="A4624" t="inlineStr">
        <is>
          <t>indoor pressure fluctuation</t>
        </is>
      </c>
      <c r="B4624" t="n">
        <v>1</v>
      </c>
    </row>
    <row r="4625">
      <c r="A4625" t="inlineStr">
        <is>
          <t>mixing ability</t>
        </is>
      </c>
      <c r="B4625" t="n">
        <v>1</v>
      </c>
    </row>
    <row r="4626">
      <c r="A4626" t="inlineStr">
        <is>
          <t>color-changing chewing gum</t>
        </is>
      </c>
      <c r="B4626" t="n">
        <v>1</v>
      </c>
    </row>
    <row r="4627">
      <c r="A4627" t="inlineStr">
        <is>
          <t>particle exposure</t>
        </is>
      </c>
      <c r="B4627" t="n">
        <v>1</v>
      </c>
    </row>
    <row r="4628">
      <c r="A4628" t="inlineStr">
        <is>
          <t>residential apartments</t>
        </is>
      </c>
      <c r="B4628" t="n">
        <v>1</v>
      </c>
    </row>
    <row r="4629">
      <c r="A4629" t="inlineStr">
        <is>
          <t>indoor air pollution sources</t>
        </is>
      </c>
      <c r="B4629" t="n">
        <v>1</v>
      </c>
    </row>
    <row r="4630">
      <c r="A4630" t="inlineStr">
        <is>
          <t>outdoor air pollution sources</t>
        </is>
      </c>
      <c r="B4630" t="n">
        <v>1</v>
      </c>
    </row>
    <row r="4631">
      <c r="A4631" t="inlineStr">
        <is>
          <t>urban land use</t>
        </is>
      </c>
      <c r="B4631" t="n">
        <v>1</v>
      </c>
    </row>
    <row r="4632">
      <c r="A4632" t="inlineStr">
        <is>
          <t>architectural landscape</t>
        </is>
      </c>
      <c r="B4632" t="n">
        <v>1</v>
      </c>
    </row>
    <row r="4633">
      <c r="A4633" t="inlineStr">
        <is>
          <t>architecture type conversion</t>
        </is>
      </c>
      <c r="B4633" t="n">
        <v>1</v>
      </c>
    </row>
    <row r="4634">
      <c r="A4634" t="inlineStr">
        <is>
          <t>access to health services</t>
        </is>
      </c>
      <c r="B4634" t="n">
        <v>1</v>
      </c>
    </row>
    <row r="4635">
      <c r="A4635" t="inlineStr">
        <is>
          <t>changes in behavior</t>
        </is>
      </c>
      <c r="B4635" t="n">
        <v>1</v>
      </c>
    </row>
    <row r="4636">
      <c r="A4636" t="inlineStr">
        <is>
          <t>health service accessibility</t>
        </is>
      </c>
      <c r="B4636" t="n">
        <v>2</v>
      </c>
    </row>
    <row r="4637">
      <c r="A4637" t="inlineStr">
        <is>
          <t>pre-ventilation</t>
        </is>
      </c>
      <c r="B4637" t="n">
        <v>1</v>
      </c>
    </row>
    <row r="4638">
      <c r="A4638" t="inlineStr">
        <is>
          <t>control method</t>
        </is>
      </c>
      <c r="B4638" t="n">
        <v>1</v>
      </c>
    </row>
    <row r="4639">
      <c r="A4639" t="inlineStr">
        <is>
          <t>optimized strategy</t>
        </is>
      </c>
      <c r="B4639" t="n">
        <v>1</v>
      </c>
    </row>
    <row r="4640">
      <c r="A4640" t="inlineStr">
        <is>
          <t>peer support</t>
        </is>
      </c>
      <c r="B4640" t="n">
        <v>1</v>
      </c>
    </row>
    <row r="4641">
      <c r="A4641" t="inlineStr">
        <is>
          <t>parental support</t>
        </is>
      </c>
      <c r="B4641" t="n">
        <v>1</v>
      </c>
    </row>
    <row r="4642">
      <c r="A4642" t="inlineStr">
        <is>
          <t>semivolatile organic compounds (svocs)</t>
        </is>
      </c>
      <c r="B4642" t="n">
        <v>1</v>
      </c>
    </row>
    <row r="4643">
      <c r="A4643" t="inlineStr">
        <is>
          <t>surface wipes</t>
        </is>
      </c>
      <c r="B4643" t="n">
        <v>1</v>
      </c>
    </row>
    <row r="4644">
      <c r="A4644" t="inlineStr">
        <is>
          <t>seaweed carbon</t>
        </is>
      </c>
      <c r="B4644" t="n">
        <v>1</v>
      </c>
    </row>
    <row r="4645">
      <c r="A4645" t="inlineStr">
        <is>
          <t>biomass export</t>
        </is>
      </c>
      <c r="B4645" t="n">
        <v>1</v>
      </c>
    </row>
    <row r="4646">
      <c r="A4646" t="inlineStr">
        <is>
          <t>carbon deposition</t>
        </is>
      </c>
      <c r="B4646" t="n">
        <v>1</v>
      </c>
    </row>
    <row r="4647">
      <c r="A4647" t="inlineStr">
        <is>
          <t>coastal sediments</t>
        </is>
      </c>
      <c r="B4647" t="n">
        <v>1</v>
      </c>
    </row>
    <row r="4648">
      <c r="A4648" t="inlineStr">
        <is>
          <t>biomarkers</t>
        </is>
      </c>
      <c r="B4648" t="n">
        <v>2</v>
      </c>
    </row>
    <row r="4649">
      <c r="A4649" t="inlineStr">
        <is>
          <t>electrical resistivity tomography</t>
        </is>
      </c>
      <c r="B4649" t="n">
        <v>1</v>
      </c>
    </row>
    <row r="4650">
      <c r="A4650" t="inlineStr">
        <is>
          <t>archaeological prospection</t>
        </is>
      </c>
      <c r="B4650" t="n">
        <v>1</v>
      </c>
    </row>
    <row r="4651">
      <c r="A4651" t="inlineStr">
        <is>
          <t>geophysics</t>
        </is>
      </c>
      <c r="B4651" t="n">
        <v>1</v>
      </c>
    </row>
    <row r="4652">
      <c r="A4652" t="inlineStr">
        <is>
          <t>hillfort</t>
        </is>
      </c>
      <c r="B4652" t="n">
        <v>1</v>
      </c>
    </row>
    <row r="4653">
      <c r="A4653" t="inlineStr">
        <is>
          <t>architectural energetics</t>
        </is>
      </c>
      <c r="B4653" t="n">
        <v>1</v>
      </c>
    </row>
    <row r="4654">
      <c r="A4654" t="inlineStr">
        <is>
          <t>volume</t>
        </is>
      </c>
      <c r="B4654" t="n">
        <v>1</v>
      </c>
    </row>
    <row r="4655">
      <c r="A4655" t="inlineStr">
        <is>
          <t>water disinfection</t>
        </is>
      </c>
      <c r="B4655" t="n">
        <v>1</v>
      </c>
    </row>
    <row r="4656">
      <c r="A4656" t="inlineStr">
        <is>
          <t>swimming pool</t>
        </is>
      </c>
      <c r="B4656" t="n">
        <v>1</v>
      </c>
    </row>
    <row r="4657">
      <c r="A4657" t="inlineStr">
        <is>
          <t>exhaled breath</t>
        </is>
      </c>
      <c r="B4657" t="n">
        <v>1</v>
      </c>
    </row>
    <row r="4658">
      <c r="A4658" t="inlineStr">
        <is>
          <t>distance swum</t>
        </is>
      </c>
      <c r="B4658" t="n">
        <v>1</v>
      </c>
    </row>
    <row r="4659">
      <c r="A4659" t="inlineStr">
        <is>
          <t>bromoform</t>
        </is>
      </c>
      <c r="B4659" t="n">
        <v>1</v>
      </c>
    </row>
    <row r="4660">
      <c r="A4660" t="inlineStr">
        <is>
          <t>dichlorobromomethane</t>
        </is>
      </c>
      <c r="B4660" t="n">
        <v>1</v>
      </c>
    </row>
    <row r="4661">
      <c r="A4661" t="inlineStr">
        <is>
          <t>dibromochloromethane</t>
        </is>
      </c>
      <c r="B4661" t="n">
        <v>1</v>
      </c>
    </row>
    <row r="4662">
      <c r="A4662" t="inlineStr">
        <is>
          <t>chloroform</t>
        </is>
      </c>
      <c r="B4662" t="n">
        <v>1</v>
      </c>
    </row>
    <row r="4663">
      <c r="A4663" t="inlineStr">
        <is>
          <t>uk</t>
        </is>
      </c>
      <c r="B4663" t="n">
        <v>1</v>
      </c>
    </row>
    <row r="4664">
      <c r="A4664" t="inlineStr">
        <is>
          <t>student campus</t>
        </is>
      </c>
      <c r="B4664" t="n">
        <v>1</v>
      </c>
    </row>
    <row r="4665">
      <c r="A4665" t="inlineStr">
        <is>
          <t>post-covid-19 higher education</t>
        </is>
      </c>
      <c r="B4665" t="n">
        <v>1</v>
      </c>
    </row>
    <row r="4666">
      <c r="A4666" t="inlineStr">
        <is>
          <t>socio-ecological system</t>
        </is>
      </c>
      <c r="B4666" t="n">
        <v>1</v>
      </c>
    </row>
    <row r="4667">
      <c r="A4667" t="inlineStr">
        <is>
          <t>territorial sustainability</t>
        </is>
      </c>
      <c r="B4667" t="n">
        <v>1</v>
      </c>
    </row>
    <row r="4668">
      <c r="A4668" t="inlineStr">
        <is>
          <t>environmental policy</t>
        </is>
      </c>
      <c r="B4668" t="n">
        <v>1</v>
      </c>
    </row>
    <row r="4669">
      <c r="A4669" t="inlineStr">
        <is>
          <t>green university</t>
        </is>
      </c>
      <c r="B4669" t="n">
        <v>1</v>
      </c>
    </row>
    <row r="4670">
      <c r="A4670" t="inlineStr">
        <is>
          <t>environment-related routine</t>
        </is>
      </c>
      <c r="B4670" t="n">
        <v>1</v>
      </c>
    </row>
    <row r="4671">
      <c r="A4671" t="inlineStr">
        <is>
          <t>plastic consumption</t>
        </is>
      </c>
      <c r="B4671" t="n">
        <v>1</v>
      </c>
    </row>
    <row r="4672">
      <c r="A4672" t="inlineStr">
        <is>
          <t>paper consumption</t>
        </is>
      </c>
      <c r="B4672" t="n">
        <v>1</v>
      </c>
    </row>
    <row r="4673">
      <c r="A4673" t="inlineStr">
        <is>
          <t>indoor vertical greening</t>
        </is>
      </c>
      <c r="B4673" t="n">
        <v>1</v>
      </c>
    </row>
    <row r="4674">
      <c r="A4674" t="inlineStr">
        <is>
          <t>indoor oxygen content</t>
        </is>
      </c>
      <c r="B4674" t="n">
        <v>1</v>
      </c>
    </row>
    <row r="4675">
      <c r="A4675" t="inlineStr">
        <is>
          <t>oxygen determination</t>
        </is>
      </c>
      <c r="B4675" t="n">
        <v>1</v>
      </c>
    </row>
    <row r="4676">
      <c r="A4676" t="inlineStr">
        <is>
          <t>methods and scope</t>
        </is>
      </c>
      <c r="B4676" t="n">
        <v>1</v>
      </c>
    </row>
    <row r="4677">
      <c r="A4677" t="inlineStr">
        <is>
          <t>socioeconomic environment</t>
        </is>
      </c>
      <c r="B4677" t="n">
        <v>1</v>
      </c>
    </row>
    <row r="4678">
      <c r="A4678" t="inlineStr">
        <is>
          <t>social activities</t>
        </is>
      </c>
      <c r="B4678" t="n">
        <v>1</v>
      </c>
    </row>
    <row r="4679">
      <c r="A4679" t="inlineStr">
        <is>
          <t>urban green space</t>
        </is>
      </c>
      <c r="B4679" t="n">
        <v>1</v>
      </c>
    </row>
    <row r="4680">
      <c r="A4680" t="inlineStr">
        <is>
          <t>green space characteristics</t>
        </is>
      </c>
      <c r="B4680" t="n">
        <v>1</v>
      </c>
    </row>
    <row r="4681">
      <c r="A4681" t="inlineStr">
        <is>
          <t>adsorption</t>
        </is>
      </c>
      <c r="B4681" t="n">
        <v>1</v>
      </c>
    </row>
    <row r="4682">
      <c r="A4682" t="inlineStr">
        <is>
          <t>pb2+</t>
        </is>
      </c>
      <c r="B4682" t="n">
        <v>1</v>
      </c>
    </row>
    <row r="4683">
      <c r="A4683" t="inlineStr">
        <is>
          <t>tio2</t>
        </is>
      </c>
      <c r="B4683" t="n">
        <v>1</v>
      </c>
    </row>
    <row r="4684">
      <c r="A4684" t="inlineStr">
        <is>
          <t>waste building bricks</t>
        </is>
      </c>
      <c r="B4684" t="n">
        <v>1</v>
      </c>
    </row>
    <row r="4685">
      <c r="A4685" t="inlineStr">
        <is>
          <t>older individuals</t>
        </is>
      </c>
      <c r="B4685" t="n">
        <v>1</v>
      </c>
    </row>
    <row r="4686">
      <c r="A4686" t="inlineStr">
        <is>
          <t>data-driven modeling</t>
        </is>
      </c>
      <c r="B4686" t="n">
        <v>1</v>
      </c>
    </row>
    <row r="4687">
      <c r="A4687" t="inlineStr">
        <is>
          <t>occupant-centric control</t>
        </is>
      </c>
      <c r="B4687" t="n">
        <v>1</v>
      </c>
    </row>
    <row r="4688">
      <c r="A4688" t="inlineStr">
        <is>
          <t>active green walls</t>
        </is>
      </c>
      <c r="B4688" t="n">
        <v>1</v>
      </c>
    </row>
    <row r="4689">
      <c r="A4689" t="inlineStr">
        <is>
          <t>building performance simulation</t>
        </is>
      </c>
      <c r="B4689" t="n">
        <v>1</v>
      </c>
    </row>
    <row r="4690">
      <c r="A4690" t="inlineStr">
        <is>
          <t>influence</t>
        </is>
      </c>
      <c r="B4690" t="n">
        <v>1</v>
      </c>
    </row>
    <row r="4691">
      <c r="A4691" t="inlineStr">
        <is>
          <t>multi-source data</t>
        </is>
      </c>
      <c r="B4691" t="n">
        <v>1</v>
      </c>
    </row>
    <row r="4692">
      <c r="A4692" t="inlineStr">
        <is>
          <t>urumqi</t>
        </is>
      </c>
      <c r="B4692" t="n">
        <v>1</v>
      </c>
    </row>
    <row r="4693">
      <c r="A4693" t="inlineStr">
        <is>
          <t>sustainable transport</t>
        </is>
      </c>
      <c r="B4693" t="n">
        <v>1</v>
      </c>
    </row>
    <row r="4694">
      <c r="A4694" t="inlineStr">
        <is>
          <t>ridesourcing usage island</t>
        </is>
      </c>
      <c r="B4694" t="n">
        <v>1</v>
      </c>
    </row>
    <row r="4695">
      <c r="A4695" t="inlineStr">
        <is>
          <t>percolation theory</t>
        </is>
      </c>
      <c r="B4695" t="n">
        <v>1</v>
      </c>
    </row>
    <row r="4696">
      <c r="A4696" t="inlineStr">
        <is>
          <t>gradient boosting decision trees</t>
        </is>
      </c>
      <c r="B4696" t="n">
        <v>1</v>
      </c>
    </row>
    <row r="4697">
      <c r="A4697" t="inlineStr">
        <is>
          <t>non-linear effect</t>
        </is>
      </c>
      <c r="B4697" t="n">
        <v>1</v>
      </c>
    </row>
    <row r="4698">
      <c r="A4698" t="inlineStr">
        <is>
          <t>benzodiazepine</t>
        </is>
      </c>
      <c r="B4698" t="n">
        <v>1</v>
      </c>
    </row>
    <row r="4699">
      <c r="A4699" t="inlineStr">
        <is>
          <t>tricyclic antidepressant</t>
        </is>
      </c>
      <c r="B4699" t="n">
        <v>1</v>
      </c>
    </row>
    <row r="4700">
      <c r="A4700" t="inlineStr">
        <is>
          <t>adverse effect</t>
        </is>
      </c>
      <c r="B4700" t="n">
        <v>1</v>
      </c>
    </row>
    <row r="4701">
      <c r="A4701" t="inlineStr">
        <is>
          <t>self-compacting architectural mortar</t>
        </is>
      </c>
      <c r="B4701" t="n">
        <v>1</v>
      </c>
    </row>
    <row r="4702">
      <c r="A4702" t="inlineStr">
        <is>
          <t>rhodamine b degradation</t>
        </is>
      </c>
      <c r="B4702" t="n">
        <v>1</v>
      </c>
    </row>
    <row r="4703">
      <c r="A4703" t="inlineStr">
        <is>
          <t>facade weathering</t>
        </is>
      </c>
      <c r="B4703" t="n">
        <v>1</v>
      </c>
    </row>
    <row r="4704">
      <c r="A4704" t="inlineStr">
        <is>
          <t>tio2 mediated photocatalysis</t>
        </is>
      </c>
      <c r="B4704" t="n">
        <v>1</v>
      </c>
    </row>
    <row r="4705">
      <c r="A4705" t="inlineStr">
        <is>
          <t>cementitious materials</t>
        </is>
      </c>
      <c r="B4705" t="n">
        <v>1</v>
      </c>
    </row>
    <row r="4706">
      <c r="A4706" t="inlineStr">
        <is>
          <t>indoor air quality monitoring</t>
        </is>
      </c>
      <c r="B4706" t="n">
        <v>1</v>
      </c>
    </row>
    <row r="4707">
      <c r="A4707" t="inlineStr">
        <is>
          <t>occupational health</t>
        </is>
      </c>
      <c r="B4707" t="n">
        <v>1</v>
      </c>
    </row>
    <row r="4708">
      <c r="A4708" t="inlineStr">
        <is>
          <t>public housing community</t>
        </is>
      </c>
      <c r="B4708" t="n">
        <v>1</v>
      </c>
    </row>
    <row r="4709">
      <c r="A4709" t="inlineStr">
        <is>
          <t>human settlements environment</t>
        </is>
      </c>
      <c r="B4709" t="n">
        <v>1</v>
      </c>
    </row>
    <row r="4710">
      <c r="A4710" t="inlineStr">
        <is>
          <t>built environment evaluation</t>
        </is>
      </c>
      <c r="B4710" t="n">
        <v>1</v>
      </c>
    </row>
    <row r="4711">
      <c r="A4711" t="inlineStr">
        <is>
          <t>extreme sea-levels</t>
        </is>
      </c>
      <c r="B4711" t="n">
        <v>1</v>
      </c>
    </row>
    <row r="4712">
      <c r="A4712" t="inlineStr">
        <is>
          <t>sea-level rise</t>
        </is>
      </c>
      <c r="B4712" t="n">
        <v>1</v>
      </c>
    </row>
    <row r="4713">
      <c r="A4713" t="inlineStr">
        <is>
          <t>flooding</t>
        </is>
      </c>
      <c r="B4713" t="n">
        <v>1</v>
      </c>
    </row>
    <row r="4714">
      <c r="A4714" t="inlineStr">
        <is>
          <t>riskscape</t>
        </is>
      </c>
      <c r="B4714" t="n">
        <v>1</v>
      </c>
    </row>
    <row r="4715">
      <c r="A4715" t="inlineStr">
        <is>
          <t>guozhuang dance</t>
        </is>
      </c>
      <c r="B4715" t="n">
        <v>1</v>
      </c>
    </row>
    <row r="4716">
      <c r="A4716" t="inlineStr">
        <is>
          <t>group identity</t>
        </is>
      </c>
      <c r="B4716" t="n">
        <v>1</v>
      </c>
    </row>
    <row r="4717">
      <c r="A4717" t="inlineStr">
        <is>
          <t>fine arts</t>
        </is>
      </c>
      <c r="B4717" t="n">
        <v>1</v>
      </c>
    </row>
    <row r="4718">
      <c r="A4718" t="inlineStr">
        <is>
          <t>painting and printmaking department</t>
        </is>
      </c>
      <c r="B4718" t="n">
        <v>1</v>
      </c>
    </row>
    <row r="4719">
      <c r="A4719" t="inlineStr">
        <is>
          <t>diffusive sampling</t>
        </is>
      </c>
      <c r="B4719" t="n">
        <v>1</v>
      </c>
    </row>
    <row r="4720">
      <c r="A4720" t="inlineStr">
        <is>
          <t>exercise behavior</t>
        </is>
      </c>
      <c r="B4720" t="n">
        <v>1</v>
      </c>
    </row>
    <row r="4721">
      <c r="A4721" t="inlineStr">
        <is>
          <t>stages of change</t>
        </is>
      </c>
      <c r="B4721" t="n">
        <v>1</v>
      </c>
    </row>
    <row r="4722">
      <c r="A4722" t="inlineStr">
        <is>
          <t>malaysian hospitals</t>
        </is>
      </c>
      <c r="B4722" t="n">
        <v>1</v>
      </c>
    </row>
    <row r="4723">
      <c r="A4723" t="inlineStr">
        <is>
          <t>acmv systems</t>
        </is>
      </c>
      <c r="B4723" t="n">
        <v>1</v>
      </c>
    </row>
    <row r="4724">
      <c r="A4724" t="inlineStr">
        <is>
          <t>middle-aged and old-aged adults</t>
        </is>
      </c>
      <c r="B4724" t="n">
        <v>1</v>
      </c>
    </row>
    <row r="4725">
      <c r="A4725" t="inlineStr">
        <is>
          <t>preventive behaviour</t>
        </is>
      </c>
      <c r="B4725" t="n">
        <v>1</v>
      </c>
    </row>
    <row r="4726">
      <c r="A4726" t="inlineStr">
        <is>
          <t>+70 years of age</t>
        </is>
      </c>
      <c r="B4726" t="n">
        <v>1</v>
      </c>
    </row>
    <row r="4727">
      <c r="A4727" t="inlineStr">
        <is>
          <t>self-reported health</t>
        </is>
      </c>
      <c r="B4727" t="n">
        <v>1</v>
      </c>
    </row>
    <row r="4728">
      <c r="A4728" t="inlineStr">
        <is>
          <t>community living</t>
        </is>
      </c>
      <c r="B4728" t="n">
        <v>1</v>
      </c>
    </row>
    <row r="4729">
      <c r="A4729" t="inlineStr">
        <is>
          <t>gem concentration</t>
        </is>
      </c>
      <c r="B4729" t="n">
        <v>1</v>
      </c>
    </row>
    <row r="4730">
      <c r="A4730" t="inlineStr">
        <is>
          <t>mercury deposition</t>
        </is>
      </c>
      <c r="B4730" t="n">
        <v>1</v>
      </c>
    </row>
    <row r="4731">
      <c r="A4731" t="inlineStr">
        <is>
          <t>vehicle exhaust</t>
        </is>
      </c>
      <c r="B4731" t="n">
        <v>1</v>
      </c>
    </row>
    <row r="4732">
      <c r="A4732" t="inlineStr">
        <is>
          <t>sources of mercury</t>
        </is>
      </c>
      <c r="B4732" t="n">
        <v>1</v>
      </c>
    </row>
    <row r="4733">
      <c r="A4733" t="inlineStr">
        <is>
          <t>environmental barriers</t>
        </is>
      </c>
      <c r="B4733" t="n">
        <v>1</v>
      </c>
    </row>
    <row r="4734">
      <c r="A4734" t="inlineStr">
        <is>
          <t>residential mechanical ventilation</t>
        </is>
      </c>
      <c r="B4734" t="n">
        <v>1</v>
      </c>
    </row>
    <row r="4735">
      <c r="A4735" t="inlineStr">
        <is>
          <t>field measurements</t>
        </is>
      </c>
      <c r="B4735" t="n">
        <v>1</v>
      </c>
    </row>
    <row r="4736">
      <c r="A4736" t="inlineStr">
        <is>
          <t>infiltration</t>
        </is>
      </c>
      <c r="B4736" t="n">
        <v>1</v>
      </c>
    </row>
    <row r="4737">
      <c r="A4737" t="inlineStr">
        <is>
          <t>urban environmental health</t>
        </is>
      </c>
      <c r="B4737" t="n">
        <v>1</v>
      </c>
    </row>
    <row r="4738">
      <c r="A4738" t="inlineStr">
        <is>
          <t>physical activity program</t>
        </is>
      </c>
      <c r="B4738" t="n">
        <v>1</v>
      </c>
    </row>
    <row r="4739">
      <c r="A4739" t="inlineStr">
        <is>
          <t>high-protein supplementation</t>
        </is>
      </c>
      <c r="B4739" t="n">
        <v>1</v>
      </c>
    </row>
    <row r="4740">
      <c r="A4740" t="inlineStr">
        <is>
          <t>noise pollution</t>
        </is>
      </c>
      <c r="B4740" t="n">
        <v>1</v>
      </c>
    </row>
    <row r="4741">
      <c r="A4741" t="inlineStr">
        <is>
          <t>mental disorders</t>
        </is>
      </c>
      <c r="B4741" t="n">
        <v>1</v>
      </c>
    </row>
    <row r="4742">
      <c r="A4742" t="inlineStr">
        <is>
          <t>channel state information (csi)</t>
        </is>
      </c>
      <c r="B4742" t="n">
        <v>1</v>
      </c>
    </row>
    <row r="4743">
      <c r="A4743" t="inlineStr">
        <is>
          <t>fall accident</t>
        </is>
      </c>
      <c r="B4743" t="n">
        <v>1</v>
      </c>
    </row>
    <row r="4744">
      <c r="A4744" t="inlineStr">
        <is>
          <t>construction safety</t>
        </is>
      </c>
      <c r="B4744" t="n">
        <v>1</v>
      </c>
    </row>
    <row r="4745">
      <c r="A4745" t="inlineStr">
        <is>
          <t>photovoltaic envelope</t>
        </is>
      </c>
      <c r="B4745" t="n">
        <v>1</v>
      </c>
    </row>
    <row r="4746">
      <c r="A4746" t="inlineStr">
        <is>
          <t>visual discomfort</t>
        </is>
      </c>
      <c r="B4746" t="n">
        <v>1</v>
      </c>
    </row>
    <row r="4747">
      <c r="A4747" t="inlineStr">
        <is>
          <t>multi-criterion optimization</t>
        </is>
      </c>
      <c r="B4747" t="n">
        <v>1</v>
      </c>
    </row>
    <row r="4748">
      <c r="A4748" t="inlineStr">
        <is>
          <t>apartment units</t>
        </is>
      </c>
      <c r="B4748" t="n">
        <v>1</v>
      </c>
    </row>
    <row r="4749">
      <c r="A4749" t="inlineStr">
        <is>
          <t>parametric optimization software</t>
        </is>
      </c>
      <c r="B4749" t="n">
        <v>1</v>
      </c>
    </row>
    <row r="4750">
      <c r="A4750" t="inlineStr">
        <is>
          <t>environmental assessment</t>
        </is>
      </c>
      <c r="B4750" t="n">
        <v>1</v>
      </c>
    </row>
    <row r="4751">
      <c r="A4751" t="inlineStr">
        <is>
          <t>comfort analysis</t>
        </is>
      </c>
      <c r="B4751" t="n">
        <v>1</v>
      </c>
    </row>
    <row r="4752">
      <c r="A4752" t="inlineStr">
        <is>
          <t>modular construction</t>
        </is>
      </c>
      <c r="B4752" t="n">
        <v>1</v>
      </c>
    </row>
    <row r="4753">
      <c r="A4753" t="inlineStr">
        <is>
          <t>contaminant deposition</t>
        </is>
      </c>
      <c r="B4753" t="n">
        <v>1</v>
      </c>
    </row>
    <row r="4754">
      <c r="A4754" t="inlineStr">
        <is>
          <t>building protection factor</t>
        </is>
      </c>
      <c r="B4754" t="n">
        <v>1</v>
      </c>
    </row>
    <row r="4755">
      <c r="A4755" t="inlineStr">
        <is>
          <t>building shielding factor</t>
        </is>
      </c>
      <c r="B4755" t="n">
        <v>1</v>
      </c>
    </row>
    <row r="4756">
      <c r="A4756" t="inlineStr">
        <is>
          <t>probabilistic risk assessment</t>
        </is>
      </c>
      <c r="B4756" t="n">
        <v>1</v>
      </c>
    </row>
    <row r="4757">
      <c r="A4757" t="inlineStr">
        <is>
          <t>radiological emergency response planning</t>
        </is>
      </c>
      <c r="B4757" t="n">
        <v>1</v>
      </c>
    </row>
    <row r="4758">
      <c r="A4758" t="inlineStr">
        <is>
          <t>visual landmark sequence</t>
        </is>
      </c>
      <c r="B4758" t="n">
        <v>1</v>
      </c>
    </row>
    <row r="4759">
      <c r="A4759" t="inlineStr">
        <is>
          <t>indoor topological localization</t>
        </is>
      </c>
      <c r="B4759" t="n">
        <v>1</v>
      </c>
    </row>
    <row r="4760">
      <c r="A4760" t="inlineStr">
        <is>
          <t>second order hidden markov model</t>
        </is>
      </c>
      <c r="B4760" t="n">
        <v>1</v>
      </c>
    </row>
    <row r="4761">
      <c r="A4761" t="inlineStr">
        <is>
          <t>parking provision</t>
        </is>
      </c>
      <c r="B4761" t="n">
        <v>1</v>
      </c>
    </row>
    <row r="4762">
      <c r="A4762" t="inlineStr">
        <is>
          <t>context-specific parking standards</t>
        </is>
      </c>
      <c r="B4762" t="n">
        <v>1</v>
      </c>
    </row>
    <row r="4763">
      <c r="A4763" t="inlineStr">
        <is>
          <t>general office</t>
        </is>
      </c>
      <c r="B4763" t="n">
        <v>1</v>
      </c>
    </row>
    <row r="4764">
      <c r="A4764" t="inlineStr">
        <is>
          <t>building thermal comfort</t>
        </is>
      </c>
      <c r="B4764" t="n">
        <v>1</v>
      </c>
    </row>
    <row r="4765">
      <c r="A4765" t="inlineStr">
        <is>
          <t>building hvac control</t>
        </is>
      </c>
      <c r="B4765" t="n">
        <v>1</v>
      </c>
    </row>
    <row r="4766">
      <c r="A4766" t="inlineStr">
        <is>
          <t>predictive functional control</t>
        </is>
      </c>
      <c r="B4766" t="n">
        <v>1</v>
      </c>
    </row>
    <row r="4767">
      <c r="A4767" t="inlineStr">
        <is>
          <t>energy saving in building</t>
        </is>
      </c>
      <c r="B4767" t="n">
        <v>1</v>
      </c>
    </row>
    <row r="4768">
      <c r="A4768" t="inlineStr">
        <is>
          <t>cross-national</t>
        </is>
      </c>
      <c r="B4768" t="n">
        <v>1</v>
      </c>
    </row>
    <row r="4769">
      <c r="A4769" t="inlineStr">
        <is>
          <t>east asian older adults</t>
        </is>
      </c>
      <c r="B4769" t="n">
        <v>1</v>
      </c>
    </row>
    <row r="4770">
      <c r="A4770" t="inlineStr">
        <is>
          <t>linear environment</t>
        </is>
      </c>
      <c r="B4770" t="n">
        <v>1</v>
      </c>
    </row>
    <row r="4771">
      <c r="A4771" t="inlineStr">
        <is>
          <t>curved environment</t>
        </is>
      </c>
      <c r="B4771" t="n">
        <v>1</v>
      </c>
    </row>
    <row r="4772">
      <c r="A4772" t="inlineStr">
        <is>
          <t>human stress recovery</t>
        </is>
      </c>
      <c r="B4772" t="n">
        <v>1</v>
      </c>
    </row>
    <row r="4773">
      <c r="A4773" t="inlineStr">
        <is>
          <t>transitional space</t>
        </is>
      </c>
      <c r="B4773" t="n">
        <v>1</v>
      </c>
    </row>
    <row r="4774">
      <c r="A4774" t="inlineStr">
        <is>
          <t>virtual reality (vr)</t>
        </is>
      </c>
      <c r="B4774" t="n">
        <v>1</v>
      </c>
    </row>
    <row r="4775">
      <c r="A4775" t="inlineStr">
        <is>
          <t>heart failure</t>
        </is>
      </c>
      <c r="B4775" t="n">
        <v>1</v>
      </c>
    </row>
    <row r="4776">
      <c r="A4776" t="inlineStr">
        <is>
          <t>patient readmission</t>
        </is>
      </c>
      <c r="B4776" t="n">
        <v>1</v>
      </c>
    </row>
    <row r="4777">
      <c r="A4777" t="inlineStr">
        <is>
          <t>emergencies</t>
        </is>
      </c>
      <c r="B4777" t="n">
        <v>1</v>
      </c>
    </row>
    <row r="4778">
      <c r="A4778" t="inlineStr">
        <is>
          <t>retrospective studies</t>
        </is>
      </c>
      <c r="B4778" t="n">
        <v>1</v>
      </c>
    </row>
    <row r="4779">
      <c r="A4779" t="inlineStr">
        <is>
          <t>household vehicle use</t>
        </is>
      </c>
      <c r="B4779" t="n">
        <v>1</v>
      </c>
    </row>
    <row r="4780">
      <c r="A4780" t="inlineStr">
        <is>
          <t>car and motorcycle trips</t>
        </is>
      </c>
      <c r="B4780" t="n">
        <v>1</v>
      </c>
    </row>
    <row r="4781">
      <c r="A4781" t="inlineStr">
        <is>
          <t>ndvi greenness</t>
        </is>
      </c>
      <c r="B4781" t="n">
        <v>1</v>
      </c>
    </row>
    <row r="4782">
      <c r="A4782" t="inlineStr">
        <is>
          <t>uk biobank</t>
        </is>
      </c>
      <c r="B4782" t="n">
        <v>1</v>
      </c>
    </row>
    <row r="4783">
      <c r="A4783" t="inlineStr">
        <is>
          <t>ukbump</t>
        </is>
      </c>
      <c r="B4783" t="n">
        <v>1</v>
      </c>
    </row>
    <row r="4784">
      <c r="A4784" t="inlineStr">
        <is>
          <t>indoor radon levels</t>
        </is>
      </c>
      <c r="B4784" t="n">
        <v>1</v>
      </c>
    </row>
    <row r="4785">
      <c r="A4785" t="inlineStr">
        <is>
          <t>jura mountains</t>
        </is>
      </c>
      <c r="B4785" t="n">
        <v>1</v>
      </c>
    </row>
    <row r="4786">
      <c r="A4786" t="inlineStr">
        <is>
          <t>public health concern</t>
        </is>
      </c>
      <c r="B4786" t="n">
        <v>1</v>
      </c>
    </row>
    <row r="4787">
      <c r="A4787" t="inlineStr">
        <is>
          <t>neighborhood satisfaction</t>
        </is>
      </c>
      <c r="B4787" t="n">
        <v>1</v>
      </c>
    </row>
    <row r="4788">
      <c r="A4788" t="inlineStr">
        <is>
          <t>heritage buildings</t>
        </is>
      </c>
      <c r="B4788" t="n">
        <v>1</v>
      </c>
    </row>
    <row r="4789">
      <c r="A4789" t="inlineStr">
        <is>
          <t>building integrated photovoltaic bipv</t>
        </is>
      </c>
      <c r="B4789" t="n">
        <v>1</v>
      </c>
    </row>
    <row r="4790">
      <c r="A4790" t="inlineStr">
        <is>
          <t>renewable energy sources (res)</t>
        </is>
      </c>
      <c r="B4790" t="n">
        <v>1</v>
      </c>
    </row>
    <row r="4791">
      <c r="A4791" t="inlineStr">
        <is>
          <t>internet-based intervention</t>
        </is>
      </c>
      <c r="B4791" t="n">
        <v>1</v>
      </c>
    </row>
    <row r="4792">
      <c r="A4792" t="inlineStr">
        <is>
          <t>feasibility studies</t>
        </is>
      </c>
      <c r="B4792" t="n">
        <v>1</v>
      </c>
    </row>
    <row r="4793">
      <c r="A4793" t="inlineStr">
        <is>
          <t>health information literacy</t>
        </is>
      </c>
      <c r="B4793" t="n">
        <v>1</v>
      </c>
    </row>
    <row r="4794">
      <c r="A4794" t="inlineStr">
        <is>
          <t>health information literacy deficit</t>
        </is>
      </c>
      <c r="B4794" t="n">
        <v>1</v>
      </c>
    </row>
    <row r="4795">
      <c r="A4795" t="inlineStr">
        <is>
          <t>social gradient</t>
        </is>
      </c>
      <c r="B4795" t="n">
        <v>1</v>
      </c>
    </row>
    <row r="4796">
      <c r="A4796" t="inlineStr">
        <is>
          <t>libya</t>
        </is>
      </c>
      <c r="B4796" t="n">
        <v>1</v>
      </c>
    </row>
    <row r="4797">
      <c r="A4797" t="inlineStr">
        <is>
          <t>community facility</t>
        </is>
      </c>
      <c r="B4797" t="n">
        <v>1</v>
      </c>
    </row>
    <row r="4798">
      <c r="A4798" t="inlineStr">
        <is>
          <t>usage pattern</t>
        </is>
      </c>
      <c r="B4798" t="n">
        <v>1</v>
      </c>
    </row>
    <row r="4799">
      <c r="A4799" t="inlineStr">
        <is>
          <t>urban old district</t>
        </is>
      </c>
      <c r="B4799" t="n">
        <v>1</v>
      </c>
    </row>
    <row r="4800">
      <c r="A4800" t="inlineStr">
        <is>
          <t>digital society</t>
        </is>
      </c>
      <c r="B4800" t="n">
        <v>1</v>
      </c>
    </row>
    <row r="4801">
      <c r="A4801" t="inlineStr">
        <is>
          <t>family intergenerational learning</t>
        </is>
      </c>
      <c r="B4801" t="n">
        <v>1</v>
      </c>
    </row>
    <row r="4802">
      <c r="A4802" t="inlineStr">
        <is>
          <t>home-school cooperation</t>
        </is>
      </c>
      <c r="B4802" t="n">
        <v>1</v>
      </c>
    </row>
    <row r="4803">
      <c r="A4803" t="inlineStr">
        <is>
          <t>rural older adult</t>
        </is>
      </c>
      <c r="B4803" t="n">
        <v>1</v>
      </c>
    </row>
    <row r="4804">
      <c r="A4804" t="inlineStr">
        <is>
          <t>culture</t>
        </is>
      </c>
      <c r="B4804" t="n">
        <v>1</v>
      </c>
    </row>
    <row r="4805">
      <c r="A4805" t="inlineStr">
        <is>
          <t>hospital in-patients</t>
        </is>
      </c>
      <c r="B4805" t="n">
        <v>1</v>
      </c>
    </row>
    <row r="4806">
      <c r="A4806" t="inlineStr">
        <is>
          <t>screening</t>
        </is>
      </c>
      <c r="B4806" t="n">
        <v>1</v>
      </c>
    </row>
    <row r="4807">
      <c r="A4807" t="inlineStr">
        <is>
          <t>psychometrics</t>
        </is>
      </c>
      <c r="B4807" t="n">
        <v>1</v>
      </c>
    </row>
    <row r="4808">
      <c r="A4808" t="inlineStr">
        <is>
          <t>nutrition knowledge</t>
        </is>
      </c>
      <c r="B4808" t="n">
        <v>1</v>
      </c>
    </row>
    <row r="4809">
      <c r="A4809" t="inlineStr">
        <is>
          <t>nourished</t>
        </is>
      </c>
      <c r="B4809" t="n">
        <v>1</v>
      </c>
    </row>
    <row r="4810">
      <c r="A4810" t="inlineStr">
        <is>
          <t>basic discrete emotions</t>
        </is>
      </c>
      <c r="B4810" t="n">
        <v>1</v>
      </c>
    </row>
    <row r="4811">
      <c r="A4811" t="inlineStr">
        <is>
          <t>facial emotion recognition</t>
        </is>
      </c>
      <c r="B4811" t="n">
        <v>1</v>
      </c>
    </row>
    <row r="4812">
      <c r="A4812" t="inlineStr">
        <is>
          <t>young people</t>
        </is>
      </c>
      <c r="B4812" t="n">
        <v>1</v>
      </c>
    </row>
    <row r="4813">
      <c r="A4813" t="inlineStr">
        <is>
          <t>rural areas</t>
        </is>
      </c>
      <c r="B4813" t="n">
        <v>1</v>
      </c>
    </row>
    <row r="4814">
      <c r="A4814" t="inlineStr">
        <is>
          <t>aging at home</t>
        </is>
      </c>
      <c r="B4814" t="n">
        <v>1</v>
      </c>
    </row>
    <row r="4815">
      <c r="A4815" t="inlineStr">
        <is>
          <t>digital networking</t>
        </is>
      </c>
      <c r="B4815" t="n">
        <v>1</v>
      </c>
    </row>
    <row r="4816">
      <c r="A4816" t="inlineStr">
        <is>
          <t>collaboration</t>
        </is>
      </c>
      <c r="B4816" t="n">
        <v>1</v>
      </c>
    </row>
    <row r="4817">
      <c r="A4817" t="inlineStr">
        <is>
          <t>voluntary support</t>
        </is>
      </c>
      <c r="B4817" t="n">
        <v>1</v>
      </c>
    </row>
    <row r="4818">
      <c r="A4818" t="inlineStr">
        <is>
          <t>physical environments</t>
        </is>
      </c>
      <c r="B4818" t="n">
        <v>1</v>
      </c>
    </row>
    <row r="4819">
      <c r="A4819" t="inlineStr">
        <is>
          <t>alzheimer's dementia</t>
        </is>
      </c>
      <c r="B4819" t="n">
        <v>1</v>
      </c>
    </row>
    <row r="4820">
      <c r="A4820" t="inlineStr">
        <is>
          <t>time-varying</t>
        </is>
      </c>
      <c r="B4820" t="n">
        <v>1</v>
      </c>
    </row>
    <row r="4821">
      <c r="A4821" t="inlineStr">
        <is>
          <t>ipaq-long</t>
        </is>
      </c>
      <c r="B4821" t="n">
        <v>1</v>
      </c>
    </row>
    <row r="4822">
      <c r="A4822" t="inlineStr">
        <is>
          <t>recommendations</t>
        </is>
      </c>
      <c r="B4822" t="n">
        <v>1</v>
      </c>
    </row>
    <row r="4823">
      <c r="A4823" t="inlineStr">
        <is>
          <t>commuting</t>
        </is>
      </c>
      <c r="B4823" t="n">
        <v>1</v>
      </c>
    </row>
    <row r="4824">
      <c r="A4824" t="inlineStr">
        <is>
          <t>secondary schools</t>
        </is>
      </c>
      <c r="B4824" t="n">
        <v>1</v>
      </c>
    </row>
    <row r="4825">
      <c r="A4825" t="inlineStr">
        <is>
          <t>ecological knowledge</t>
        </is>
      </c>
      <c r="B4825" t="n">
        <v>1</v>
      </c>
    </row>
    <row r="4826">
      <c r="A4826" t="inlineStr">
        <is>
          <t>outdoor physical education lessons</t>
        </is>
      </c>
      <c r="B4826" t="n">
        <v>1</v>
      </c>
    </row>
    <row r="4827">
      <c r="A4827" t="inlineStr">
        <is>
          <t>library</t>
        </is>
      </c>
      <c r="B4827" t="n">
        <v>2</v>
      </c>
    </row>
    <row r="4828">
      <c r="A4828" t="inlineStr">
        <is>
          <t>source identification</t>
        </is>
      </c>
      <c r="B4828" t="n">
        <v>1</v>
      </c>
    </row>
    <row r="4829">
      <c r="A4829" t="inlineStr">
        <is>
          <t>multi-zone model</t>
        </is>
      </c>
      <c r="B4829" t="n">
        <v>1</v>
      </c>
    </row>
    <row r="4830">
      <c r="A4830" t="inlineStr">
        <is>
          <t>inverse problem</t>
        </is>
      </c>
      <c r="B4830" t="n">
        <v>1</v>
      </c>
    </row>
    <row r="4831">
      <c r="A4831" t="inlineStr">
        <is>
          <t>indoor airborne culturable fungi</t>
        </is>
      </c>
      <c r="B4831" t="n">
        <v>1</v>
      </c>
    </row>
    <row r="4832">
      <c r="A4832" t="inlineStr">
        <is>
          <t>real-time prediction</t>
        </is>
      </c>
      <c r="B4832" t="n">
        <v>1</v>
      </c>
    </row>
    <row r="4833">
      <c r="A4833" t="inlineStr">
        <is>
          <t>kernel-based extreme learning machine (k-elm)</t>
        </is>
      </c>
      <c r="B4833" t="n">
        <v>1</v>
      </c>
    </row>
    <row r="4834">
      <c r="A4834" t="inlineStr">
        <is>
          <t>x- and l-band sar interferometry</t>
        </is>
      </c>
      <c r="B4834" t="n">
        <v>1</v>
      </c>
    </row>
    <row r="4835">
      <c r="A4835" t="inlineStr">
        <is>
          <t>po river delta</t>
        </is>
      </c>
      <c r="B4835" t="n">
        <v>1</v>
      </c>
    </row>
    <row r="4836">
      <c r="A4836" t="inlineStr">
        <is>
          <t>green development</t>
        </is>
      </c>
      <c r="B4836" t="n">
        <v>1</v>
      </c>
    </row>
    <row r="4837">
      <c r="A4837" t="inlineStr">
        <is>
          <t>green environment</t>
        </is>
      </c>
      <c r="B4837" t="n">
        <v>1</v>
      </c>
    </row>
    <row r="4838">
      <c r="A4838" t="inlineStr">
        <is>
          <t>low carbon living</t>
        </is>
      </c>
      <c r="B4838" t="n">
        <v>1</v>
      </c>
    </row>
    <row r="4839">
      <c r="A4839" t="inlineStr">
        <is>
          <t>livable cities</t>
        </is>
      </c>
      <c r="B4839" t="n">
        <v>1</v>
      </c>
    </row>
    <row r="4840">
      <c r="A4840" t="inlineStr">
        <is>
          <t>sustainable cities</t>
        </is>
      </c>
      <c r="B4840" t="n">
        <v>1</v>
      </c>
    </row>
    <row r="4841">
      <c r="A4841" t="inlineStr">
        <is>
          <t>sustainability assessment tools</t>
        </is>
      </c>
      <c r="B4841" t="n">
        <v>1</v>
      </c>
    </row>
    <row r="4842">
      <c r="A4842" t="inlineStr">
        <is>
          <t>5 components</t>
        </is>
      </c>
      <c r="B4842" t="n">
        <v>1</v>
      </c>
    </row>
    <row r="4843">
      <c r="A4843" t="inlineStr">
        <is>
          <t>pre-older adults</t>
        </is>
      </c>
      <c r="B4843" t="n">
        <v>1</v>
      </c>
    </row>
    <row r="4844">
      <c r="A4844" t="inlineStr">
        <is>
          <t>aging anxiety</t>
        </is>
      </c>
      <c r="B4844" t="n">
        <v>1</v>
      </c>
    </row>
    <row r="4845">
      <c r="A4845" t="inlineStr">
        <is>
          <t>plant factory</t>
        </is>
      </c>
      <c r="B4845" t="n">
        <v>1</v>
      </c>
    </row>
    <row r="4846">
      <c r="A4846" t="inlineStr">
        <is>
          <t>sharing plant</t>
        </is>
      </c>
      <c r="B4846" t="n">
        <v>1</v>
      </c>
    </row>
    <row r="4847">
      <c r="A4847" t="inlineStr">
        <is>
          <t>nature connectedness</t>
        </is>
      </c>
      <c r="B4847" t="n">
        <v>1</v>
      </c>
    </row>
    <row r="4848">
      <c r="A4848" t="inlineStr">
        <is>
          <t>indoor nature</t>
        </is>
      </c>
      <c r="B4848" t="n">
        <v>1</v>
      </c>
    </row>
    <row r="4849">
      <c r="A4849" t="inlineStr">
        <is>
          <t>older adults with disabilities</t>
        </is>
      </c>
      <c r="B4849" t="n">
        <v>1</v>
      </c>
    </row>
    <row r="4850">
      <c r="A4850" t="inlineStr">
        <is>
          <t>newly admitted to long-term care facilities</t>
        </is>
      </c>
      <c r="B4850" t="n">
        <v>1</v>
      </c>
    </row>
    <row r="4851">
      <c r="A4851" t="inlineStr">
        <is>
          <t>lived experiences</t>
        </is>
      </c>
      <c r="B4851" t="n">
        <v>1</v>
      </c>
    </row>
    <row r="4852">
      <c r="A4852" t="inlineStr">
        <is>
          <t>descriptive phenomenology</t>
        </is>
      </c>
      <c r="B4852" t="n">
        <v>1</v>
      </c>
    </row>
    <row r="4853">
      <c r="A4853" t="inlineStr">
        <is>
          <t>exposition</t>
        </is>
      </c>
      <c r="B4853" t="n">
        <v>1</v>
      </c>
    </row>
    <row r="4854">
      <c r="A4854" t="inlineStr">
        <is>
          <t>wind-induced cooling</t>
        </is>
      </c>
      <c r="B4854" t="n">
        <v>1</v>
      </c>
    </row>
    <row r="4855">
      <c r="A4855" t="inlineStr">
        <is>
          <t>built form</t>
        </is>
      </c>
      <c r="B4855" t="n">
        <v>1</v>
      </c>
    </row>
    <row r="4856">
      <c r="A4856" t="inlineStr">
        <is>
          <t>sea breeze</t>
        </is>
      </c>
      <c r="B4856" t="n">
        <v>1</v>
      </c>
    </row>
    <row r="4857">
      <c r="A4857" t="inlineStr">
        <is>
          <t>cooling performance</t>
        </is>
      </c>
      <c r="B4857" t="n">
        <v>1</v>
      </c>
    </row>
    <row r="4858">
      <c r="A4858" t="inlineStr">
        <is>
          <t>coastal city</t>
        </is>
      </c>
      <c r="B4858" t="n">
        <v>1</v>
      </c>
    </row>
    <row r="4859">
      <c r="A4859" t="inlineStr">
        <is>
          <t>wearable sensor</t>
        </is>
      </c>
      <c r="B4859" t="n">
        <v>1</v>
      </c>
    </row>
    <row r="4860">
      <c r="A4860" t="inlineStr">
        <is>
          <t>adaptive comfort behavior</t>
        </is>
      </c>
      <c r="B4860" t="n">
        <v>1</v>
      </c>
    </row>
    <row r="4861">
      <c r="A4861" t="inlineStr">
        <is>
          <t>transport system</t>
        </is>
      </c>
      <c r="B4861" t="n">
        <v>1</v>
      </c>
    </row>
    <row r="4862">
      <c r="A4862" t="inlineStr">
        <is>
          <t>nexus</t>
        </is>
      </c>
      <c r="B4862" t="n">
        <v>1</v>
      </c>
    </row>
    <row r="4863">
      <c r="A4863" t="inlineStr">
        <is>
          <t>causal loop</t>
        </is>
      </c>
      <c r="B4863" t="n">
        <v>1</v>
      </c>
    </row>
    <row r="4864">
      <c r="A4864" t="inlineStr">
        <is>
          <t>commuting behavior</t>
        </is>
      </c>
      <c r="B4864" t="n">
        <v>1</v>
      </c>
    </row>
    <row r="4865">
      <c r="A4865" t="inlineStr">
        <is>
          <t>longitudinal relationships</t>
        </is>
      </c>
      <c r="B4865" t="n">
        <v>1</v>
      </c>
    </row>
    <row r="4866">
      <c r="A4866" t="inlineStr">
        <is>
          <t>life-cycle events</t>
        </is>
      </c>
      <c r="B4866" t="n">
        <v>1</v>
      </c>
    </row>
    <row r="4867">
      <c r="A4867" t="inlineStr">
        <is>
          <t>rubbish disposal</t>
        </is>
      </c>
      <c r="B4867" t="n">
        <v>1</v>
      </c>
    </row>
    <row r="4868">
      <c r="A4868" t="inlineStr">
        <is>
          <t>community pharmacy</t>
        </is>
      </c>
      <c r="B4868" t="n">
        <v>1</v>
      </c>
    </row>
    <row r="4869">
      <c r="A4869" t="inlineStr">
        <is>
          <t>medication adherence</t>
        </is>
      </c>
      <c r="B4869" t="n">
        <v>1</v>
      </c>
    </row>
    <row r="4870">
      <c r="A4870" t="inlineStr">
        <is>
          <t>community service learning</t>
        </is>
      </c>
      <c r="B4870" t="n">
        <v>1</v>
      </c>
    </row>
    <row r="4871">
      <c r="A4871" t="inlineStr">
        <is>
          <t>older adult population health</t>
        </is>
      </c>
      <c r="B4871" t="n">
        <v>1</v>
      </c>
    </row>
    <row r="4872">
      <c r="A4872" t="inlineStr">
        <is>
          <t>geriatric assessment</t>
        </is>
      </c>
      <c r="B4872" t="n">
        <v>1</v>
      </c>
    </row>
    <row r="4873">
      <c r="A4873" t="inlineStr">
        <is>
          <t>life-cycle energy use</t>
        </is>
      </c>
      <c r="B4873" t="n">
        <v>1</v>
      </c>
    </row>
    <row r="4874">
      <c r="A4874" t="inlineStr">
        <is>
          <t>smart growth</t>
        </is>
      </c>
      <c r="B4874" t="n">
        <v>1</v>
      </c>
    </row>
    <row r="4875">
      <c r="A4875" t="inlineStr">
        <is>
          <t>surface interactions</t>
        </is>
      </c>
      <c r="B4875" t="n">
        <v>1</v>
      </c>
    </row>
    <row r="4876">
      <c r="A4876" t="inlineStr">
        <is>
          <t>hydrogen peroxide</t>
        </is>
      </c>
      <c r="B4876" t="n">
        <v>1</v>
      </c>
    </row>
    <row r="4877">
      <c r="A4877" t="inlineStr">
        <is>
          <t>indoor air chemistry model</t>
        </is>
      </c>
      <c r="B4877" t="n">
        <v>1</v>
      </c>
    </row>
    <row r="4878">
      <c r="A4878" t="inlineStr">
        <is>
          <t>energy consumption/efficiency/performance</t>
        </is>
      </c>
      <c r="B4878" t="n">
        <v>1</v>
      </c>
    </row>
    <row r="4879">
      <c r="A4879" t="inlineStr">
        <is>
          <t>indoor climate/pollutants</t>
        </is>
      </c>
      <c r="B4879" t="n">
        <v>1</v>
      </c>
    </row>
    <row r="4880">
      <c r="A4880" t="inlineStr">
        <is>
          <t>human requirements</t>
        </is>
      </c>
      <c r="B4880" t="n">
        <v>1</v>
      </c>
    </row>
    <row r="4881">
      <c r="A4881" t="inlineStr">
        <is>
          <t>hvac</t>
        </is>
      </c>
      <c r="B4881" t="n">
        <v>2</v>
      </c>
    </row>
    <row r="4882">
      <c r="A4882" t="inlineStr">
        <is>
          <t>permissible limits/target values</t>
        </is>
      </c>
      <c r="B4882" t="n">
        <v>1</v>
      </c>
    </row>
    <row r="4883">
      <c r="A4883" t="inlineStr">
        <is>
          <t>metals</t>
        </is>
      </c>
      <c r="B4883" t="n">
        <v>1</v>
      </c>
    </row>
    <row r="4884">
      <c r="A4884" t="inlineStr">
        <is>
          <t>mixture</t>
        </is>
      </c>
      <c r="B4884" t="n">
        <v>1</v>
      </c>
    </row>
    <row r="4885">
      <c r="A4885" t="inlineStr">
        <is>
          <t>fasting plasma glucose</t>
        </is>
      </c>
      <c r="B4885" t="n">
        <v>1</v>
      </c>
    </row>
    <row r="4886">
      <c r="A4886" t="inlineStr">
        <is>
          <t>bayesian kernel machine regression</t>
        </is>
      </c>
      <c r="B4886" t="n">
        <v>1</v>
      </c>
    </row>
    <row r="4887">
      <c r="A4887" t="inlineStr">
        <is>
          <t>erbil city</t>
        </is>
      </c>
      <c r="B4887" t="n">
        <v>1</v>
      </c>
    </row>
    <row r="4888">
      <c r="A4888" t="inlineStr">
        <is>
          <t>buffer-zone</t>
        </is>
      </c>
      <c r="B4888" t="n">
        <v>1</v>
      </c>
    </row>
    <row r="4889">
      <c r="A4889" t="inlineStr">
        <is>
          <t>local community</t>
        </is>
      </c>
      <c r="B4889" t="n">
        <v>1</v>
      </c>
    </row>
    <row r="4890">
      <c r="A4890" t="inlineStr">
        <is>
          <t>perception assessment</t>
        </is>
      </c>
      <c r="B4890" t="n">
        <v>1</v>
      </c>
    </row>
    <row r="4891">
      <c r="A4891" t="inlineStr">
        <is>
          <t>individual wellbeing</t>
        </is>
      </c>
      <c r="B4891" t="n">
        <v>1</v>
      </c>
    </row>
    <row r="4892">
      <c r="A4892" t="inlineStr">
        <is>
          <t>semantic differential scale</t>
        </is>
      </c>
      <c r="B4892" t="n">
        <v>1</v>
      </c>
    </row>
    <row r="4893">
      <c r="A4893" t="inlineStr">
        <is>
          <t>window openable area</t>
        </is>
      </c>
      <c r="B4893" t="n">
        <v>1</v>
      </c>
    </row>
    <row r="4894">
      <c r="A4894" t="inlineStr">
        <is>
          <t>shading</t>
        </is>
      </c>
      <c r="B4894" t="n">
        <v>1</v>
      </c>
    </row>
    <row r="4895">
      <c r="A4895" t="inlineStr">
        <is>
          <t>mixed-mode</t>
        </is>
      </c>
      <c r="B4895" t="n">
        <v>1</v>
      </c>
    </row>
    <row r="4896">
      <c r="A4896" t="inlineStr">
        <is>
          <t>clay dwelling</t>
        </is>
      </c>
      <c r="B4896" t="n">
        <v>1</v>
      </c>
    </row>
    <row r="4897">
      <c r="A4897" t="inlineStr">
        <is>
          <t>measurement method</t>
        </is>
      </c>
      <c r="B4897" t="n">
        <v>1</v>
      </c>
    </row>
    <row r="4898">
      <c r="A4898" t="inlineStr">
        <is>
          <t>thoron</t>
        </is>
      </c>
      <c r="B4898" t="n">
        <v>1</v>
      </c>
    </row>
    <row r="4899">
      <c r="A4899" t="inlineStr">
        <is>
          <t>inhalation dose assessment</t>
        </is>
      </c>
      <c r="B4899" t="n">
        <v>1</v>
      </c>
    </row>
    <row r="4900">
      <c r="A4900" t="inlineStr">
        <is>
          <t>benefits</t>
        </is>
      </c>
      <c r="B4900" t="n">
        <v>1</v>
      </c>
    </row>
    <row r="4901">
      <c r="A4901" t="inlineStr">
        <is>
          <t>fuzzy synthetic evaluation</t>
        </is>
      </c>
      <c r="B4901" t="n">
        <v>1</v>
      </c>
    </row>
    <row r="4902">
      <c r="A4902" t="inlineStr">
        <is>
          <t>community-integrated intermediary care (ciic)</t>
        </is>
      </c>
      <c r="B4902" t="n">
        <v>1</v>
      </c>
    </row>
    <row r="4903">
      <c r="A4903" t="inlineStr">
        <is>
          <t>geriatric depression</t>
        </is>
      </c>
      <c r="B4903" t="n">
        <v>1</v>
      </c>
    </row>
    <row r="4904">
      <c r="A4904" t="inlineStr">
        <is>
          <t>behavior change</t>
        </is>
      </c>
      <c r="B4904" t="n">
        <v>1</v>
      </c>
    </row>
    <row r="4905">
      <c r="A4905" t="inlineStr">
        <is>
          <t>stakeholder engagement</t>
        </is>
      </c>
      <c r="B4905" t="n">
        <v>1</v>
      </c>
    </row>
    <row r="4906">
      <c r="A4906" t="inlineStr">
        <is>
          <t>priority setting</t>
        </is>
      </c>
      <c r="B4906" t="n">
        <v>1</v>
      </c>
    </row>
    <row r="4907">
      <c r="A4907" t="inlineStr">
        <is>
          <t>indoor thermal behaviour</t>
        </is>
      </c>
      <c r="B4907" t="n">
        <v>1</v>
      </c>
    </row>
    <row r="4908">
      <c r="A4908" t="inlineStr">
        <is>
          <t>temperature-related health risks</t>
        </is>
      </c>
      <c r="B4908" t="n">
        <v>1</v>
      </c>
    </row>
    <row r="4909">
      <c r="A4909" t="inlineStr">
        <is>
          <t>multi-system physical exercise</t>
        </is>
      </c>
      <c r="B4909" t="n">
        <v>1</v>
      </c>
    </row>
    <row r="4910">
      <c r="A4910" t="inlineStr">
        <is>
          <t>micronutrient</t>
        </is>
      </c>
      <c r="B4910" t="n">
        <v>1</v>
      </c>
    </row>
    <row r="4911">
      <c r="A4911" t="inlineStr">
        <is>
          <t>green and energy-saving</t>
        </is>
      </c>
      <c r="B4911" t="n">
        <v>1</v>
      </c>
    </row>
    <row r="4912">
      <c r="A4912" t="inlineStr">
        <is>
          <t>country house</t>
        </is>
      </c>
      <c r="B4912" t="n">
        <v>1</v>
      </c>
    </row>
    <row r="4913">
      <c r="A4913" t="inlineStr">
        <is>
          <t>maintenance structure</t>
        </is>
      </c>
      <c r="B4913" t="n">
        <v>1</v>
      </c>
    </row>
    <row r="4914">
      <c r="A4914" t="inlineStr">
        <is>
          <t>energy-saving window</t>
        </is>
      </c>
      <c r="B4914" t="n">
        <v>1</v>
      </c>
    </row>
    <row r="4915">
      <c r="A4915" t="inlineStr">
        <is>
          <t>temperature test</t>
        </is>
      </c>
      <c r="B4915" t="n">
        <v>1</v>
      </c>
    </row>
    <row r="4916">
      <c r="A4916" t="inlineStr">
        <is>
          <t>tolerable travel time</t>
        </is>
      </c>
      <c r="B4916" t="n">
        <v>1</v>
      </c>
    </row>
    <row r="4917">
      <c r="A4917" t="inlineStr">
        <is>
          <t>university students</t>
        </is>
      </c>
      <c r="B4917" t="n">
        <v>1</v>
      </c>
    </row>
    <row r="4918">
      <c r="A4918" t="inlineStr">
        <is>
          <t>early life-course</t>
        </is>
      </c>
      <c r="B4918" t="n">
        <v>1</v>
      </c>
    </row>
    <row r="4919">
      <c r="A4919" t="inlineStr">
        <is>
          <t>bayesian network</t>
        </is>
      </c>
      <c r="B4919" t="n">
        <v>1</v>
      </c>
    </row>
    <row r="4920">
      <c r="A4920" t="inlineStr">
        <is>
          <t>pims</t>
        </is>
      </c>
      <c r="B4920" t="n">
        <v>1</v>
      </c>
    </row>
    <row r="4921">
      <c r="A4921" t="inlineStr">
        <is>
          <t>beers criteria</t>
        </is>
      </c>
      <c r="B4921" t="n">
        <v>1</v>
      </c>
    </row>
    <row r="4922">
      <c r="A4922" t="inlineStr">
        <is>
          <t>stopp</t>
        </is>
      </c>
      <c r="B4922" t="n">
        <v>1</v>
      </c>
    </row>
    <row r="4923">
      <c r="A4923" t="inlineStr">
        <is>
          <t>start</t>
        </is>
      </c>
      <c r="B4923" t="n">
        <v>1</v>
      </c>
    </row>
    <row r="4924">
      <c r="A4924" t="inlineStr">
        <is>
          <t>adverse drug reactions</t>
        </is>
      </c>
      <c r="B4924" t="n">
        <v>1</v>
      </c>
    </row>
    <row r="4925">
      <c r="A4925" t="inlineStr">
        <is>
          <t>pharmacists</t>
        </is>
      </c>
      <c r="B4925" t="n">
        <v>1</v>
      </c>
    </row>
    <row r="4926">
      <c r="A4926" t="inlineStr">
        <is>
          <t>age-friendly health systems</t>
        </is>
      </c>
      <c r="B4926" t="n">
        <v>1</v>
      </c>
    </row>
    <row r="4927">
      <c r="A4927" t="inlineStr">
        <is>
          <t>surveillance system</t>
        </is>
      </c>
      <c r="B4927" t="n">
        <v>1</v>
      </c>
    </row>
    <row r="4928">
      <c r="A4928" t="inlineStr">
        <is>
          <t>migration status</t>
        </is>
      </c>
      <c r="B4928" t="n">
        <v>1</v>
      </c>
    </row>
    <row r="4929">
      <c r="A4929" t="inlineStr">
        <is>
          <t>transport infrastructure investment</t>
        </is>
      </c>
      <c r="B4929" t="n">
        <v>1</v>
      </c>
    </row>
    <row r="4930">
      <c r="A4930" t="inlineStr">
        <is>
          <t>urban transport</t>
        </is>
      </c>
      <c r="B4930" t="n">
        <v>1</v>
      </c>
    </row>
    <row r="4931">
      <c r="A4931" t="inlineStr">
        <is>
          <t>social equity</t>
        </is>
      </c>
      <c r="B4931" t="n">
        <v>1</v>
      </c>
    </row>
    <row r="4932">
      <c r="A4932" t="inlineStr">
        <is>
          <t>spatial accessibility</t>
        </is>
      </c>
      <c r="B4932" t="n">
        <v>1</v>
      </c>
    </row>
    <row r="4933">
      <c r="A4933" t="inlineStr">
        <is>
          <t>light railway (tramlink)</t>
        </is>
      </c>
      <c r="B4933" t="n">
        <v>1</v>
      </c>
    </row>
    <row r="4934">
      <c r="A4934" t="inlineStr">
        <is>
          <t>london</t>
        </is>
      </c>
      <c r="B4934" t="n">
        <v>1</v>
      </c>
    </row>
    <row r="4935">
      <c r="A4935" t="inlineStr">
        <is>
          <t>ray tracing</t>
        </is>
      </c>
      <c r="B4935" t="n">
        <v>1</v>
      </c>
    </row>
    <row r="4936">
      <c r="A4936" t="inlineStr">
        <is>
          <t>photocatalytic oxidation</t>
        </is>
      </c>
      <c r="B4936" t="n">
        <v>1</v>
      </c>
    </row>
    <row r="4937">
      <c r="A4937" t="inlineStr">
        <is>
          <t>kinetic model</t>
        </is>
      </c>
      <c r="B4937" t="n">
        <v>1</v>
      </c>
    </row>
    <row r="4938">
      <c r="A4938" t="inlineStr">
        <is>
          <t>reactor</t>
        </is>
      </c>
      <c r="B4938" t="n">
        <v>1</v>
      </c>
    </row>
    <row r="4939">
      <c r="A4939" t="inlineStr">
        <is>
          <t>radiation</t>
        </is>
      </c>
      <c r="B4939" t="n">
        <v>1</v>
      </c>
    </row>
    <row r="4940">
      <c r="A4940" t="inlineStr">
        <is>
          <t>radiance</t>
        </is>
      </c>
      <c r="B4940" t="n">
        <v>1</v>
      </c>
    </row>
    <row r="4941">
      <c r="A4941" t="inlineStr">
        <is>
          <t>gsd</t>
        </is>
      </c>
      <c r="B4941" t="n">
        <v>1</v>
      </c>
    </row>
    <row r="4942">
      <c r="A4942" t="inlineStr">
        <is>
          <t>particle size</t>
        </is>
      </c>
      <c r="B4942" t="n">
        <v>1</v>
      </c>
    </row>
    <row r="4943">
      <c r="A4943" t="inlineStr">
        <is>
          <t>hygroscopic growth</t>
        </is>
      </c>
      <c r="B4943" t="n">
        <v>1</v>
      </c>
    </row>
    <row r="4944">
      <c r="A4944" t="inlineStr">
        <is>
          <t>lung deposition</t>
        </is>
      </c>
      <c r="B4944" t="n">
        <v>1</v>
      </c>
    </row>
    <row r="4945">
      <c r="A4945" t="inlineStr">
        <is>
          <t>screen golfcourses</t>
        </is>
      </c>
      <c r="B4945" t="n">
        <v>1</v>
      </c>
    </row>
    <row r="4946">
      <c r="A4946" t="inlineStr">
        <is>
          <t>multi-user facilities</t>
        </is>
      </c>
      <c r="B4946" t="n">
        <v>1</v>
      </c>
    </row>
    <row r="4947">
      <c r="A4947" t="inlineStr">
        <is>
          <t>nicotine</t>
        </is>
      </c>
      <c r="B4947" t="n">
        <v>1</v>
      </c>
    </row>
    <row r="4948">
      <c r="A4948" t="inlineStr">
        <is>
          <t>pilot study</t>
        </is>
      </c>
      <c r="B4948" t="n">
        <v>1</v>
      </c>
    </row>
    <row r="4949">
      <c r="A4949" t="inlineStr">
        <is>
          <t>indoor public sports facilities</t>
        </is>
      </c>
      <c r="B4949" t="n">
        <v>1</v>
      </c>
    </row>
    <row r="4950">
      <c r="A4950" t="inlineStr">
        <is>
          <t>design factors</t>
        </is>
      </c>
      <c r="B4950" t="n">
        <v>1</v>
      </c>
    </row>
    <row r="4951">
      <c r="A4951" t="inlineStr">
        <is>
          <t>indoor and outdoor conditions</t>
        </is>
      </c>
      <c r="B4951" t="n">
        <v>1</v>
      </c>
    </row>
    <row r="4952">
      <c r="A4952" t="inlineStr">
        <is>
          <t>selection criteria</t>
        </is>
      </c>
      <c r="B4952" t="n">
        <v>1</v>
      </c>
    </row>
    <row r="4953">
      <c r="A4953" t="inlineStr">
        <is>
          <t>ideal envelope</t>
        </is>
      </c>
      <c r="B4953" t="n">
        <v>1</v>
      </c>
    </row>
    <row r="4954">
      <c r="A4954" t="inlineStr">
        <is>
          <t>sustaianability framework</t>
        </is>
      </c>
      <c r="B4954" t="n">
        <v>1</v>
      </c>
    </row>
    <row r="4955">
      <c r="A4955" t="inlineStr">
        <is>
          <t>dietary patterns</t>
        </is>
      </c>
      <c r="B4955" t="n">
        <v>1</v>
      </c>
    </row>
    <row r="4956">
      <c r="A4956" t="inlineStr">
        <is>
          <t>reduced rank regression (rrr)</t>
        </is>
      </c>
      <c r="B4956" t="n">
        <v>1</v>
      </c>
    </row>
    <row r="4957">
      <c r="A4957" t="inlineStr">
        <is>
          <t>korean-mini mental state examination (k-mmse)</t>
        </is>
      </c>
      <c r="B4957" t="n">
        <v>1</v>
      </c>
    </row>
    <row r="4958">
      <c r="A4958" t="inlineStr">
        <is>
          <t>older korean adults</t>
        </is>
      </c>
      <c r="B4958" t="n">
        <v>1</v>
      </c>
    </row>
    <row r="4959">
      <c r="A4959" t="inlineStr">
        <is>
          <t>smart home technology</t>
        </is>
      </c>
      <c r="B4959" t="n">
        <v>1</v>
      </c>
    </row>
    <row r="4960">
      <c r="A4960" t="inlineStr">
        <is>
          <t>exergames</t>
        </is>
      </c>
      <c r="B4960" t="n">
        <v>1</v>
      </c>
    </row>
    <row r="4961">
      <c r="A4961" t="inlineStr">
        <is>
          <t>3d-application tool</t>
        </is>
      </c>
      <c r="B4961" t="n">
        <v>1</v>
      </c>
    </row>
    <row r="4962">
      <c r="A4962" t="inlineStr">
        <is>
          <t>bleach cleaning</t>
        </is>
      </c>
      <c r="B4962" t="n">
        <v>1</v>
      </c>
    </row>
    <row r="4963">
      <c r="A4963" t="inlineStr">
        <is>
          <t>chlorine oxides</t>
        </is>
      </c>
      <c r="B4963" t="n">
        <v>1</v>
      </c>
    </row>
    <row r="4964">
      <c r="A4964" t="inlineStr">
        <is>
          <t>hypochlorous acid</t>
        </is>
      </c>
      <c r="B4964" t="n">
        <v>1</v>
      </c>
    </row>
    <row r="4965">
      <c r="A4965" t="inlineStr">
        <is>
          <t>indoor surfaces</t>
        </is>
      </c>
      <c r="B4965" t="n">
        <v>1</v>
      </c>
    </row>
    <row r="4966">
      <c r="A4966" t="inlineStr">
        <is>
          <t>surface chemistry</t>
        </is>
      </c>
      <c r="B4966" t="n">
        <v>1</v>
      </c>
    </row>
    <row r="4967">
      <c r="A4967" t="inlineStr">
        <is>
          <t>building acoustic</t>
        </is>
      </c>
      <c r="B4967" t="n">
        <v>1</v>
      </c>
    </row>
    <row r="4968">
      <c r="A4968" t="inlineStr">
        <is>
          <t>green composite</t>
        </is>
      </c>
      <c r="B4968" t="n">
        <v>1</v>
      </c>
    </row>
    <row r="4969">
      <c r="A4969" t="inlineStr">
        <is>
          <t>fibre microstructure</t>
        </is>
      </c>
      <c r="B4969" t="n">
        <v>1</v>
      </c>
    </row>
    <row r="4970">
      <c r="A4970" t="inlineStr">
        <is>
          <t>recycled fibre</t>
        </is>
      </c>
      <c r="B4970" t="n">
        <v>1</v>
      </c>
    </row>
    <row r="4971">
      <c r="A4971" t="inlineStr">
        <is>
          <t>sound absorption</t>
        </is>
      </c>
      <c r="B4971" t="n">
        <v>1</v>
      </c>
    </row>
    <row r="4972">
      <c r="A4972" t="inlineStr">
        <is>
          <t>theory of planned behavior</t>
        </is>
      </c>
      <c r="B4972" t="n">
        <v>1</v>
      </c>
    </row>
    <row r="4973">
      <c r="A4973" t="inlineStr">
        <is>
          <t>self-concordance</t>
        </is>
      </c>
      <c r="B4973" t="n">
        <v>1</v>
      </c>
    </row>
    <row r="4974">
      <c r="A4974" t="inlineStr">
        <is>
          <t>self-determination theory</t>
        </is>
      </c>
      <c r="B4974" t="n">
        <v>1</v>
      </c>
    </row>
    <row r="4975">
      <c r="A4975" t="inlineStr">
        <is>
          <t>habitual behavior</t>
        </is>
      </c>
      <c r="B4975" t="n">
        <v>1</v>
      </c>
    </row>
    <row r="4976">
      <c r="A4976" t="inlineStr">
        <is>
          <t>nursery</t>
        </is>
      </c>
      <c r="B4976" t="n">
        <v>1</v>
      </c>
    </row>
    <row r="4977">
      <c r="A4977" t="inlineStr">
        <is>
          <t>microbiological contaminations</t>
        </is>
      </c>
      <c r="B4977" t="n">
        <v>1</v>
      </c>
    </row>
    <row r="4978">
      <c r="A4978" t="inlineStr">
        <is>
          <t>co2 concentration, particulate matter, mechanical ventilation</t>
        </is>
      </c>
      <c r="B4978" t="n">
        <v>1</v>
      </c>
    </row>
    <row r="4979">
      <c r="A4979" t="inlineStr">
        <is>
          <t>mixtures</t>
        </is>
      </c>
      <c r="B4979" t="n">
        <v>1</v>
      </c>
    </row>
    <row r="4980">
      <c r="A4980" t="inlineStr">
        <is>
          <t>joint association</t>
        </is>
      </c>
      <c r="B4980" t="n">
        <v>1</v>
      </c>
    </row>
    <row r="4981">
      <c r="A4981" t="inlineStr">
        <is>
          <t>design impact</t>
        </is>
      </c>
      <c r="B4981" t="n">
        <v>1</v>
      </c>
    </row>
    <row r="4982">
      <c r="A4982" t="inlineStr">
        <is>
          <t>reverse disassembly</t>
        </is>
      </c>
      <c r="B4982" t="n">
        <v>1</v>
      </c>
    </row>
    <row r="4983">
      <c r="A4983" t="inlineStr">
        <is>
          <t>material reuse</t>
        </is>
      </c>
      <c r="B4983" t="n">
        <v>1</v>
      </c>
    </row>
    <row r="4984">
      <c r="A4984" t="inlineStr">
        <is>
          <t>reducing waste</t>
        </is>
      </c>
      <c r="B4984" t="n">
        <v>1</v>
      </c>
    </row>
    <row r="4985">
      <c r="A4985" t="inlineStr">
        <is>
          <t>building layers</t>
        </is>
      </c>
      <c r="B4985" t="n">
        <v>1</v>
      </c>
    </row>
    <row r="4986">
      <c r="A4986" t="inlineStr">
        <is>
          <t>removing inventory</t>
        </is>
      </c>
      <c r="B4986" t="n">
        <v>1</v>
      </c>
    </row>
    <row r="4987">
      <c r="A4987" t="inlineStr">
        <is>
          <t>phthalate esters</t>
        </is>
      </c>
      <c r="B4987" t="n">
        <v>1</v>
      </c>
    </row>
    <row r="4988">
      <c r="A4988" t="inlineStr">
        <is>
          <t>assessment</t>
        </is>
      </c>
      <c r="B4988" t="n">
        <v>2</v>
      </c>
    </row>
    <row r="4989">
      <c r="A4989" t="inlineStr">
        <is>
          <t>radical production</t>
        </is>
      </c>
      <c r="B4989" t="n">
        <v>1</v>
      </c>
    </row>
    <row r="4990">
      <c r="A4990" t="inlineStr">
        <is>
          <t>indoor emissions</t>
        </is>
      </c>
      <c r="B4990" t="n">
        <v>1</v>
      </c>
    </row>
    <row r="4991">
      <c r="A4991" t="inlineStr">
        <is>
          <t>photolysis</t>
        </is>
      </c>
      <c r="B4991" t="n">
        <v>1</v>
      </c>
    </row>
    <row r="4992">
      <c r="A4992" t="inlineStr">
        <is>
          <t>physical education teaching environment</t>
        </is>
      </c>
      <c r="B4992" t="n">
        <v>1</v>
      </c>
    </row>
    <row r="4993">
      <c r="A4993" t="inlineStr">
        <is>
          <t>curriculum design</t>
        </is>
      </c>
      <c r="B4993" t="n">
        <v>1</v>
      </c>
    </row>
    <row r="4994">
      <c r="A4994" t="inlineStr">
        <is>
          <t>music</t>
        </is>
      </c>
      <c r="B4994" t="n">
        <v>1</v>
      </c>
    </row>
    <row r="4995">
      <c r="A4995" t="inlineStr">
        <is>
          <t>individualized</t>
        </is>
      </c>
      <c r="B4995" t="n">
        <v>1</v>
      </c>
    </row>
    <row r="4996">
      <c r="A4996" t="inlineStr">
        <is>
          <t>aerobic exercise</t>
        </is>
      </c>
      <c r="B4996" t="n">
        <v>1</v>
      </c>
    </row>
    <row r="4997">
      <c r="A4997" t="inlineStr">
        <is>
          <t>selenium</t>
        </is>
      </c>
      <c r="B4997" t="n">
        <v>1</v>
      </c>
    </row>
    <row r="4998">
      <c r="A4998" t="inlineStr">
        <is>
          <t>toxic metals</t>
        </is>
      </c>
      <c r="B4998" t="n">
        <v>1</v>
      </c>
    </row>
    <row r="4999">
      <c r="A4999" t="inlineStr">
        <is>
          <t>modification</t>
        </is>
      </c>
      <c r="B4999" t="n">
        <v>1</v>
      </c>
    </row>
    <row r="5000">
      <c r="A5000" t="inlineStr">
        <is>
          <t>vehicle miles traveled</t>
        </is>
      </c>
      <c r="B5000" t="n">
        <v>1</v>
      </c>
    </row>
    <row r="5001">
      <c r="A5001" t="inlineStr">
        <is>
          <t>cross-classified multilevel model</t>
        </is>
      </c>
      <c r="B5001" t="n">
        <v>1</v>
      </c>
    </row>
    <row r="5002">
      <c r="A5002" t="inlineStr">
        <is>
          <t>bayesian</t>
        </is>
      </c>
      <c r="B5002" t="n">
        <v>1</v>
      </c>
    </row>
    <row r="5003">
      <c r="A5003" t="inlineStr">
        <is>
          <t>home-based work tour</t>
        </is>
      </c>
      <c r="B5003" t="n">
        <v>1</v>
      </c>
    </row>
    <row r="5004">
      <c r="A5004" t="inlineStr">
        <is>
          <t>pender's health promotion model</t>
        </is>
      </c>
      <c r="B5004" t="n">
        <v>1</v>
      </c>
    </row>
    <row r="5005">
      <c r="A5005" t="inlineStr">
        <is>
          <t>community-based health promotion activities</t>
        </is>
      </c>
      <c r="B5005" t="n">
        <v>1</v>
      </c>
    </row>
    <row r="5006">
      <c r="A5006" t="inlineStr">
        <is>
          <t>health promotion questionnaire</t>
        </is>
      </c>
      <c r="B5006" t="n">
        <v>1</v>
      </c>
    </row>
    <row r="5007">
      <c r="A5007" t="inlineStr">
        <is>
          <t>home assessment</t>
        </is>
      </c>
      <c r="B5007" t="n">
        <v>1</v>
      </c>
    </row>
    <row r="5008">
      <c r="A5008" t="inlineStr">
        <is>
          <t>radon measurements</t>
        </is>
      </c>
      <c r="B5008" t="n">
        <v>1</v>
      </c>
    </row>
    <row r="5009">
      <c r="A5009" t="inlineStr">
        <is>
          <t>romania</t>
        </is>
      </c>
      <c r="B5009" t="n">
        <v>1</v>
      </c>
    </row>
    <row r="5010">
      <c r="A5010" t="inlineStr">
        <is>
          <t>marine aerosol</t>
        </is>
      </c>
      <c r="B5010" t="n">
        <v>1</v>
      </c>
    </row>
    <row r="5011">
      <c r="A5011" t="inlineStr">
        <is>
          <t>nitrates</t>
        </is>
      </c>
      <c r="B5011" t="n">
        <v>1</v>
      </c>
    </row>
    <row r="5012">
      <c r="A5012" t="inlineStr">
        <is>
          <t>sulfates</t>
        </is>
      </c>
      <c r="B5012" t="n">
        <v>1</v>
      </c>
    </row>
    <row r="5013">
      <c r="A5013" t="inlineStr">
        <is>
          <t>chlorides</t>
        </is>
      </c>
      <c r="B5013" t="n">
        <v>1</v>
      </c>
    </row>
    <row r="5014">
      <c r="A5014" t="inlineStr">
        <is>
          <t>efflorescence</t>
        </is>
      </c>
      <c r="B5014" t="n">
        <v>1</v>
      </c>
    </row>
    <row r="5015">
      <c r="A5015" t="inlineStr">
        <is>
          <t>ecological validity</t>
        </is>
      </c>
      <c r="B5015" t="n">
        <v>1</v>
      </c>
    </row>
    <row r="5016">
      <c r="A5016" t="inlineStr">
        <is>
          <t>experimental control</t>
        </is>
      </c>
      <c r="B5016" t="n">
        <v>1</v>
      </c>
    </row>
    <row r="5017">
      <c r="A5017" t="inlineStr">
        <is>
          <t>experimental research</t>
        </is>
      </c>
      <c r="B5017" t="n">
        <v>1</v>
      </c>
    </row>
    <row r="5018">
      <c r="A5018" t="inlineStr">
        <is>
          <t>coronavirus disease 2019</t>
        </is>
      </c>
      <c r="B5018" t="n">
        <v>1</v>
      </c>
    </row>
    <row r="5019">
      <c r="A5019" t="inlineStr">
        <is>
          <t>close contact</t>
        </is>
      </c>
      <c r="B5019" t="n">
        <v>1</v>
      </c>
    </row>
    <row r="5020">
      <c r="A5020" t="inlineStr">
        <is>
          <t>aerosol exposure</t>
        </is>
      </c>
      <c r="B5020" t="n">
        <v>1</v>
      </c>
    </row>
    <row r="5021">
      <c r="A5021" t="inlineStr">
        <is>
          <t>atmospheric boundary layer</t>
        </is>
      </c>
      <c r="B5021" t="n">
        <v>1</v>
      </c>
    </row>
    <row r="5022">
      <c r="A5022" t="inlineStr">
        <is>
          <t>openfoam</t>
        </is>
      </c>
      <c r="B5022" t="n">
        <v>1</v>
      </c>
    </row>
    <row r="5023">
      <c r="A5023" t="inlineStr">
        <is>
          <t>heavy gas</t>
        </is>
      </c>
      <c r="B5023" t="n">
        <v>1</v>
      </c>
    </row>
    <row r="5024">
      <c r="A5024" t="inlineStr">
        <is>
          <t>gas dispersion</t>
        </is>
      </c>
      <c r="B5024" t="n">
        <v>1</v>
      </c>
    </row>
    <row r="5025">
      <c r="A5025" t="inlineStr">
        <is>
          <t>turbulence model</t>
        </is>
      </c>
      <c r="B5025" t="n">
        <v>1</v>
      </c>
    </row>
    <row r="5026">
      <c r="A5026" t="inlineStr">
        <is>
          <t>hazard assessment</t>
        </is>
      </c>
      <c r="B5026" t="n">
        <v>1</v>
      </c>
    </row>
    <row r="5027">
      <c r="A5027" t="inlineStr">
        <is>
          <t>combined exposure</t>
        </is>
      </c>
      <c r="B5027" t="n">
        <v>1</v>
      </c>
    </row>
    <row r="5028">
      <c r="A5028" t="inlineStr">
        <is>
          <t>perceived physical literacy</t>
        </is>
      </c>
      <c r="B5028" t="n">
        <v>1</v>
      </c>
    </row>
    <row r="5029">
      <c r="A5029" t="inlineStr">
        <is>
          <t>day care center</t>
        </is>
      </c>
      <c r="B5029" t="n">
        <v>1</v>
      </c>
    </row>
    <row r="5030">
      <c r="A5030" t="inlineStr">
        <is>
          <t>the covid-19 pandemic</t>
        </is>
      </c>
      <c r="B5030" t="n">
        <v>1</v>
      </c>
    </row>
    <row r="5031">
      <c r="A5031" t="inlineStr">
        <is>
          <t>older adults with dementia</t>
        </is>
      </c>
      <c r="B5031" t="n">
        <v>1</v>
      </c>
    </row>
    <row r="5032">
      <c r="A5032" t="inlineStr">
        <is>
          <t>neuropsychiatric symptoms</t>
        </is>
      </c>
      <c r="B5032" t="n">
        <v>1</v>
      </c>
    </row>
    <row r="5033">
      <c r="A5033" t="inlineStr">
        <is>
          <t>frontal lobe function</t>
        </is>
      </c>
      <c r="B5033" t="n">
        <v>1</v>
      </c>
    </row>
    <row r="5034">
      <c r="A5034" t="inlineStr">
        <is>
          <t>cognitively active</t>
        </is>
      </c>
      <c r="B5034" t="n">
        <v>1</v>
      </c>
    </row>
    <row r="5035">
      <c r="A5035" t="inlineStr">
        <is>
          <t>neuropsychological assessment</t>
        </is>
      </c>
      <c r="B5035" t="n">
        <v>1</v>
      </c>
    </row>
    <row r="5036">
      <c r="A5036" t="inlineStr">
        <is>
          <t>symptom cluster</t>
        </is>
      </c>
      <c r="B5036" t="n">
        <v>1</v>
      </c>
    </row>
    <row r="5037">
      <c r="A5037" t="inlineStr">
        <is>
          <t>chronic conditions</t>
        </is>
      </c>
      <c r="B5037" t="n">
        <v>1</v>
      </c>
    </row>
    <row r="5038">
      <c r="A5038" t="inlineStr">
        <is>
          <t>swimming pools</t>
        </is>
      </c>
      <c r="B5038" t="n">
        <v>1</v>
      </c>
    </row>
    <row r="5039">
      <c r="A5039" t="inlineStr">
        <is>
          <t>avian ecology</t>
        </is>
      </c>
      <c r="B5039" t="n">
        <v>1</v>
      </c>
    </row>
    <row r="5040">
      <c r="A5040" t="inlineStr">
        <is>
          <t>tropical oceanic islands</t>
        </is>
      </c>
      <c r="B5040" t="n">
        <v>1</v>
      </c>
    </row>
    <row r="5041">
      <c r="A5041" t="inlineStr">
        <is>
          <t>urban vegetation</t>
        </is>
      </c>
      <c r="B5041" t="n">
        <v>1</v>
      </c>
    </row>
    <row r="5042">
      <c r="A5042" t="inlineStr">
        <is>
          <t>atmospheric chemistry</t>
        </is>
      </c>
      <c r="B5042" t="n">
        <v>1</v>
      </c>
    </row>
    <row r="5043">
      <c r="A5043" t="inlineStr">
        <is>
          <t>household activities</t>
        </is>
      </c>
      <c r="B5043" t="n">
        <v>1</v>
      </c>
    </row>
    <row r="5044">
      <c r="A5044" t="inlineStr">
        <is>
          <t>adherence to restrictions</t>
        </is>
      </c>
      <c r="B5044" t="n">
        <v>1</v>
      </c>
    </row>
    <row r="5045">
      <c r="A5045" t="inlineStr">
        <is>
          <t>alcohol consumption</t>
        </is>
      </c>
      <c r="B5045" t="n">
        <v>1</v>
      </c>
    </row>
    <row r="5046">
      <c r="A5046" t="inlineStr">
        <is>
          <t>cigarette smoking</t>
        </is>
      </c>
      <c r="B5046" t="n">
        <v>1</v>
      </c>
    </row>
    <row r="5047">
      <c r="A5047" t="inlineStr">
        <is>
          <t>muscle mass</t>
        </is>
      </c>
      <c r="B5047" t="n">
        <v>1</v>
      </c>
    </row>
    <row r="5048">
      <c r="A5048" t="inlineStr">
        <is>
          <t>muscle function</t>
        </is>
      </c>
      <c r="B5048" t="n">
        <v>1</v>
      </c>
    </row>
    <row r="5049">
      <c r="A5049" t="inlineStr">
        <is>
          <t>enhanced exposure</t>
        </is>
      </c>
      <c r="B5049" t="n">
        <v>1</v>
      </c>
    </row>
    <row r="5050">
      <c r="A5050" t="inlineStr">
        <is>
          <t>vacant and derelict land</t>
        </is>
      </c>
      <c r="B5050" t="n">
        <v>1</v>
      </c>
    </row>
    <row r="5051">
      <c r="A5051" t="inlineStr">
        <is>
          <t>glasgow</t>
        </is>
      </c>
      <c r="B5051" t="n">
        <v>1</v>
      </c>
    </row>
    <row r="5052">
      <c r="A5052" t="inlineStr">
        <is>
          <t>health inequities</t>
        </is>
      </c>
      <c r="B5052" t="n">
        <v>1</v>
      </c>
    </row>
    <row r="5053">
      <c r="A5053" t="inlineStr">
        <is>
          <t>need for care</t>
        </is>
      </c>
      <c r="B5053" t="n">
        <v>1</v>
      </c>
    </row>
    <row r="5054">
      <c r="A5054" t="inlineStr">
        <is>
          <t>phenols</t>
        </is>
      </c>
      <c r="B5054" t="n">
        <v>1</v>
      </c>
    </row>
    <row r="5055">
      <c r="A5055" t="inlineStr">
        <is>
          <t>abdominal obesity</t>
        </is>
      </c>
      <c r="B5055" t="n">
        <v>1</v>
      </c>
    </row>
    <row r="5056">
      <c r="A5056" t="inlineStr">
        <is>
          <t>deaths</t>
        </is>
      </c>
      <c r="B5056" t="n">
        <v>1</v>
      </c>
    </row>
    <row r="5057">
      <c r="A5057" t="inlineStr">
        <is>
          <t>abatement technologies for indoor pollution</t>
        </is>
      </c>
      <c r="B5057" t="n">
        <v>1</v>
      </c>
    </row>
    <row r="5058">
      <c r="A5058" t="inlineStr">
        <is>
          <t>indoor atmospheres</t>
        </is>
      </c>
      <c r="B5058" t="n">
        <v>1</v>
      </c>
    </row>
    <row r="5059">
      <c r="A5059" t="inlineStr">
        <is>
          <t>gamma dose rates</t>
        </is>
      </c>
      <c r="B5059" t="n">
        <v>1</v>
      </c>
    </row>
    <row r="5060">
      <c r="A5060" t="inlineStr">
        <is>
          <t>coal mines</t>
        </is>
      </c>
      <c r="B5060" t="n">
        <v>1</v>
      </c>
    </row>
    <row r="5061">
      <c r="A5061" t="inlineStr">
        <is>
          <t>azad kashmir</t>
        </is>
      </c>
      <c r="B5061" t="n">
        <v>1</v>
      </c>
    </row>
    <row r="5062">
      <c r="A5062" t="inlineStr">
        <is>
          <t>healthy and safe built environment</t>
        </is>
      </c>
      <c r="B5062" t="n">
        <v>1</v>
      </c>
    </row>
    <row r="5063">
      <c r="A5063" t="inlineStr">
        <is>
          <t>mcdm methods</t>
        </is>
      </c>
      <c r="B5063" t="n">
        <v>1</v>
      </c>
    </row>
    <row r="5064">
      <c r="A5064" t="inlineStr">
        <is>
          <t>vilnius</t>
        </is>
      </c>
      <c r="B5064" t="n">
        <v>1</v>
      </c>
    </row>
    <row r="5065">
      <c r="A5065" t="inlineStr">
        <is>
          <t>building health assessment</t>
        </is>
      </c>
      <c r="B5065" t="n">
        <v>1</v>
      </c>
    </row>
    <row r="5066">
      <c r="A5066" t="inlineStr">
        <is>
          <t>building information modelling (bim)</t>
        </is>
      </c>
      <c r="B5066" t="n">
        <v>1</v>
      </c>
    </row>
    <row r="5067">
      <c r="A5067" t="inlineStr">
        <is>
          <t>physical simulation</t>
        </is>
      </c>
      <c r="B5067" t="n">
        <v>1</v>
      </c>
    </row>
    <row r="5068">
      <c r="A5068" t="inlineStr">
        <is>
          <t>built infrastructure</t>
        </is>
      </c>
      <c r="B5068" t="n">
        <v>1</v>
      </c>
    </row>
    <row r="5069">
      <c r="A5069" t="inlineStr">
        <is>
          <t>dose-response functions</t>
        </is>
      </c>
      <c r="B5069" t="n">
        <v>1</v>
      </c>
    </row>
    <row r="5070">
      <c r="A5070" t="inlineStr">
        <is>
          <t>green house and corrosive gases</t>
        </is>
      </c>
      <c r="B5070" t="n">
        <v>1</v>
      </c>
    </row>
    <row r="5071">
      <c r="A5071" t="inlineStr">
        <is>
          <t>transport infrastructure</t>
        </is>
      </c>
      <c r="B5071" t="n">
        <v>1</v>
      </c>
    </row>
    <row r="5072">
      <c r="A5072" t="inlineStr">
        <is>
          <t>smart buildings</t>
        </is>
      </c>
      <c r="B5072" t="n">
        <v>1</v>
      </c>
    </row>
    <row r="5073">
      <c r="A5073" t="inlineStr">
        <is>
          <t>building management system</t>
        </is>
      </c>
      <c r="B5073" t="n">
        <v>1</v>
      </c>
    </row>
    <row r="5074">
      <c r="A5074" t="inlineStr">
        <is>
          <t>building professionals</t>
        </is>
      </c>
      <c r="B5074" t="n">
        <v>1</v>
      </c>
    </row>
    <row r="5075">
      <c r="A5075" t="inlineStr">
        <is>
          <t>commercial buildings</t>
        </is>
      </c>
      <c r="B5075" t="n">
        <v>1</v>
      </c>
    </row>
    <row r="5076">
      <c r="A5076" t="inlineStr">
        <is>
          <t>historical building school</t>
        </is>
      </c>
      <c r="B5076" t="n">
        <v>1</v>
      </c>
    </row>
    <row r="5077">
      <c r="A5077" t="inlineStr">
        <is>
          <t>controlled ventilation</t>
        </is>
      </c>
      <c r="B5077" t="n">
        <v>1</v>
      </c>
    </row>
    <row r="5078">
      <c r="A5078" t="inlineStr">
        <is>
          <t>energy sustainability</t>
        </is>
      </c>
      <c r="B5078" t="n">
        <v>1</v>
      </c>
    </row>
    <row r="5079">
      <c r="A5079" t="inlineStr">
        <is>
          <t>strength training</t>
        </is>
      </c>
      <c r="B5079" t="n">
        <v>1</v>
      </c>
    </row>
    <row r="5080">
      <c r="A5080" t="inlineStr">
        <is>
          <t>tetrachloroethylene</t>
        </is>
      </c>
      <c r="B5080" t="n">
        <v>1</v>
      </c>
    </row>
    <row r="5081">
      <c r="A5081" t="inlineStr">
        <is>
          <t>dry cleaning facility</t>
        </is>
      </c>
      <c r="B5081" t="n">
        <v>1</v>
      </c>
    </row>
    <row r="5082">
      <c r="A5082" t="inlineStr">
        <is>
          <t>causal inference</t>
        </is>
      </c>
      <c r="B5082" t="n">
        <v>1</v>
      </c>
    </row>
    <row r="5083">
      <c r="A5083" t="inlineStr">
        <is>
          <t>northern canada</t>
        </is>
      </c>
      <c r="B5083" t="n">
        <v>1</v>
      </c>
    </row>
    <row r="5084">
      <c r="A5084" t="inlineStr">
        <is>
          <t>arctic</t>
        </is>
      </c>
      <c r="B5084" t="n">
        <v>1</v>
      </c>
    </row>
    <row r="5085">
      <c r="A5085" t="inlineStr">
        <is>
          <t>large-scale earthquake disaster</t>
        </is>
      </c>
      <c r="B5085" t="n">
        <v>1</v>
      </c>
    </row>
    <row r="5086">
      <c r="A5086" t="inlineStr">
        <is>
          <t>ascertaining location and needs</t>
        </is>
      </c>
      <c r="B5086" t="n">
        <v>1</v>
      </c>
    </row>
    <row r="5087">
      <c r="A5087" t="inlineStr">
        <is>
          <t>pcr</t>
        </is>
      </c>
      <c r="B5087" t="n">
        <v>1</v>
      </c>
    </row>
    <row r="5088">
      <c r="A5088" t="inlineStr">
        <is>
          <t>asset management</t>
        </is>
      </c>
      <c r="B5088" t="n">
        <v>1</v>
      </c>
    </row>
    <row r="5089">
      <c r="A5089" t="inlineStr">
        <is>
          <t>carbon neutrality</t>
        </is>
      </c>
      <c r="B5089" t="n">
        <v>1</v>
      </c>
    </row>
    <row r="5090">
      <c r="A5090" t="inlineStr">
        <is>
          <t>industrial ecology</t>
        </is>
      </c>
      <c r="B5090" t="n">
        <v>1</v>
      </c>
    </row>
    <row r="5091">
      <c r="A5091" t="inlineStr">
        <is>
          <t>allergens</t>
        </is>
      </c>
      <c r="B5091" t="n">
        <v>1</v>
      </c>
    </row>
    <row r="5092">
      <c r="A5092" t="inlineStr">
        <is>
          <t>metagenomics</t>
        </is>
      </c>
      <c r="B5092" t="n">
        <v>1</v>
      </c>
    </row>
    <row r="5093">
      <c r="A5093" t="inlineStr">
        <is>
          <t>microbiomes</t>
        </is>
      </c>
      <c r="B5093" t="n">
        <v>1</v>
      </c>
    </row>
    <row r="5094">
      <c r="A5094" t="inlineStr">
        <is>
          <t>transcriptomes</t>
        </is>
      </c>
      <c r="B5094" t="n">
        <v>1</v>
      </c>
    </row>
    <row r="5095">
      <c r="A5095" t="inlineStr">
        <is>
          <t>osteoporosis</t>
        </is>
      </c>
      <c r="B5095" t="n">
        <v>1</v>
      </c>
    </row>
    <row r="5096">
      <c r="A5096" t="inlineStr">
        <is>
          <t>fracture</t>
        </is>
      </c>
      <c r="B5096" t="n">
        <v>1</v>
      </c>
    </row>
    <row r="5097">
      <c r="A5097" t="inlineStr">
        <is>
          <t>functional limitations</t>
        </is>
      </c>
      <c r="B5097" t="n">
        <v>1</v>
      </c>
    </row>
    <row r="5098">
      <c r="A5098" t="inlineStr">
        <is>
          <t>the oldest old</t>
        </is>
      </c>
      <c r="B5098" t="n">
        <v>1</v>
      </c>
    </row>
    <row r="5099">
      <c r="A5099" t="inlineStr">
        <is>
          <t>travel mode choice</t>
        </is>
      </c>
      <c r="B5099" t="n">
        <v>1</v>
      </c>
    </row>
    <row r="5100">
      <c r="A5100" t="inlineStr">
        <is>
          <t>hanoi</t>
        </is>
      </c>
      <c r="B5100" t="n">
        <v>1</v>
      </c>
    </row>
    <row r="5101">
      <c r="A5101" t="inlineStr">
        <is>
          <t>coarse particulates</t>
        </is>
      </c>
      <c r="B5101" t="n">
        <v>1</v>
      </c>
    </row>
    <row r="5102">
      <c r="A5102" t="inlineStr">
        <is>
          <t>dosimetry</t>
        </is>
      </c>
      <c r="B5102" t="n">
        <v>1</v>
      </c>
    </row>
    <row r="5103">
      <c r="A5103" t="inlineStr">
        <is>
          <t>electromagnetic fields</t>
        </is>
      </c>
      <c r="B5103" t="n">
        <v>1</v>
      </c>
    </row>
    <row r="5104">
      <c r="A5104" t="inlineStr">
        <is>
          <t>base station</t>
        </is>
      </c>
      <c r="B5104" t="n">
        <v>1</v>
      </c>
    </row>
    <row r="5105">
      <c r="A5105" t="inlineStr">
        <is>
          <t>radio wave propagation</t>
        </is>
      </c>
      <c r="B5105" t="n">
        <v>1</v>
      </c>
    </row>
    <row r="5106">
      <c r="A5106" t="inlineStr">
        <is>
          <t>interior decoration</t>
        </is>
      </c>
      <c r="B5106" t="n">
        <v>1</v>
      </c>
    </row>
    <row r="5107">
      <c r="A5107" t="inlineStr">
        <is>
          <t>polluted gas</t>
        </is>
      </c>
      <c r="B5107" t="n">
        <v>1</v>
      </c>
    </row>
    <row r="5108">
      <c r="A5108" t="inlineStr">
        <is>
          <t>formaldehyde purification capacity</t>
        </is>
      </c>
      <c r="B5108" t="n">
        <v>1</v>
      </c>
    </row>
    <row r="5109">
      <c r="A5109" t="inlineStr">
        <is>
          <t>purification capacity analysis</t>
        </is>
      </c>
      <c r="B5109" t="n">
        <v>1</v>
      </c>
    </row>
    <row r="5110">
      <c r="A5110" t="inlineStr">
        <is>
          <t>employee performance</t>
        </is>
      </c>
      <c r="B5110" t="n">
        <v>1</v>
      </c>
    </row>
    <row r="5111">
      <c r="A5111" t="inlineStr">
        <is>
          <t>arousal</t>
        </is>
      </c>
      <c r="B5111" t="n">
        <v>1</v>
      </c>
    </row>
    <row r="5112">
      <c r="A5112" t="inlineStr">
        <is>
          <t>pleasure</t>
        </is>
      </c>
      <c r="B5112" t="n">
        <v>1</v>
      </c>
    </row>
    <row r="5113">
      <c r="A5113" t="inlineStr">
        <is>
          <t>upscale restaurant</t>
        </is>
      </c>
      <c r="B5113" t="n">
        <v>1</v>
      </c>
    </row>
    <row r="5114">
      <c r="A5114" t="inlineStr">
        <is>
          <t>lifecycle costs</t>
        </is>
      </c>
      <c r="B5114" t="n">
        <v>1</v>
      </c>
    </row>
    <row r="5115">
      <c r="A5115" t="inlineStr">
        <is>
          <t>sustainable</t>
        </is>
      </c>
      <c r="B5115" t="n">
        <v>1</v>
      </c>
    </row>
    <row r="5116">
      <c r="A5116" t="inlineStr">
        <is>
          <t>extensive green roof</t>
        </is>
      </c>
      <c r="B5116" t="n">
        <v>1</v>
      </c>
    </row>
    <row r="5117">
      <c r="A5117" t="inlineStr">
        <is>
          <t>intensive green roof</t>
        </is>
      </c>
      <c r="B5117" t="n">
        <v>1</v>
      </c>
    </row>
    <row r="5118">
      <c r="A5118" t="inlineStr">
        <is>
          <t>biodiverse green roof</t>
        </is>
      </c>
      <c r="B5118" t="n">
        <v>1</v>
      </c>
    </row>
    <row r="5119">
      <c r="A5119" t="inlineStr">
        <is>
          <t>judo</t>
        </is>
      </c>
      <c r="B5119" t="n">
        <v>1</v>
      </c>
    </row>
    <row r="5120">
      <c r="A5120" t="inlineStr">
        <is>
          <t>martial arts</t>
        </is>
      </c>
      <c r="B5120" t="n">
        <v>1</v>
      </c>
    </row>
    <row r="5121">
      <c r="A5121" t="inlineStr">
        <is>
          <t>urban footpath</t>
        </is>
      </c>
      <c r="B5121" t="n">
        <v>1</v>
      </c>
    </row>
    <row r="5122">
      <c r="A5122" t="inlineStr">
        <is>
          <t>footpath environmental differentiation</t>
        </is>
      </c>
      <c r="B5122" t="n">
        <v>1</v>
      </c>
    </row>
    <row r="5123">
      <c r="A5123" t="inlineStr">
        <is>
          <t>jogging activities</t>
        </is>
      </c>
      <c r="B5123" t="n">
        <v>1</v>
      </c>
    </row>
    <row r="5124">
      <c r="A5124" t="inlineStr">
        <is>
          <t>trajectory data</t>
        </is>
      </c>
      <c r="B5124" t="n">
        <v>1</v>
      </c>
    </row>
    <row r="5125">
      <c r="A5125" t="inlineStr">
        <is>
          <t>construct validity</t>
        </is>
      </c>
      <c r="B5125" t="n">
        <v>1</v>
      </c>
    </row>
    <row r="5126">
      <c r="A5126" t="inlineStr">
        <is>
          <t>national screening program</t>
        </is>
      </c>
      <c r="B5126" t="n">
        <v>1</v>
      </c>
    </row>
    <row r="5127">
      <c r="A5127" t="inlineStr">
        <is>
          <t>mobile location data</t>
        </is>
      </c>
      <c r="B5127" t="n">
        <v>1</v>
      </c>
    </row>
    <row r="5128">
      <c r="A5128" t="inlineStr">
        <is>
          <t>playgrounds</t>
        </is>
      </c>
      <c r="B5128" t="n">
        <v>1</v>
      </c>
    </row>
    <row r="5129">
      <c r="A5129" t="inlineStr">
        <is>
          <t>direct observation</t>
        </is>
      </c>
      <c r="B5129" t="n">
        <v>1</v>
      </c>
    </row>
    <row r="5130">
      <c r="A5130" t="inlineStr">
        <is>
          <t>social-ecological framework</t>
        </is>
      </c>
      <c r="B5130" t="n">
        <v>1</v>
      </c>
    </row>
    <row r="5131">
      <c r="A5131" t="inlineStr">
        <is>
          <t>inorganic pollutants</t>
        </is>
      </c>
      <c r="B5131" t="n">
        <v>1</v>
      </c>
    </row>
    <row r="5132">
      <c r="A5132" t="inlineStr">
        <is>
          <t>vertical variation</t>
        </is>
      </c>
      <c r="B5132" t="n">
        <v>1</v>
      </c>
    </row>
    <row r="5133">
      <c r="A5133" t="inlineStr">
        <is>
          <t>indoor to outdoor ratio</t>
        </is>
      </c>
      <c r="B5133" t="n">
        <v>1</v>
      </c>
    </row>
    <row r="5134">
      <c r="A5134" t="inlineStr">
        <is>
          <t>multi-scale geographically weighted regression (mgwr)</t>
        </is>
      </c>
      <c r="B5134" t="n">
        <v>1</v>
      </c>
    </row>
    <row r="5135">
      <c r="A5135" t="inlineStr">
        <is>
          <t>subway station</t>
        </is>
      </c>
      <c r="B5135" t="n">
        <v>1</v>
      </c>
    </row>
    <row r="5136">
      <c r="A5136" t="inlineStr">
        <is>
          <t>optimal scale range</t>
        </is>
      </c>
      <c r="B5136" t="n">
        <v>1</v>
      </c>
    </row>
    <row r="5137">
      <c r="A5137" t="inlineStr">
        <is>
          <t>bep plus bem</t>
        </is>
      </c>
      <c r="B5137" t="n">
        <v>1</v>
      </c>
    </row>
    <row r="5138">
      <c r="A5138" t="inlineStr">
        <is>
          <t>idealized simulations</t>
        </is>
      </c>
      <c r="B5138" t="n">
        <v>1</v>
      </c>
    </row>
    <row r="5139">
      <c r="A5139" t="inlineStr">
        <is>
          <t>wrf model</t>
        </is>
      </c>
      <c r="B5139" t="n">
        <v>1</v>
      </c>
    </row>
    <row r="5140">
      <c r="A5140" t="inlineStr">
        <is>
          <t>sleep duration</t>
        </is>
      </c>
      <c r="B5140" t="n">
        <v>1</v>
      </c>
    </row>
    <row r="5141">
      <c r="A5141" t="inlineStr">
        <is>
          <t>population group differences</t>
        </is>
      </c>
      <c r="B5141" t="n">
        <v>1</v>
      </c>
    </row>
    <row r="5142">
      <c r="A5142" t="inlineStr">
        <is>
          <t>study of global ageing and adult health</t>
        </is>
      </c>
      <c r="B5142" t="n">
        <v>1</v>
      </c>
    </row>
    <row r="5143">
      <c r="A5143" t="inlineStr">
        <is>
          <t>consequential life cycle assessment</t>
        </is>
      </c>
      <c r="B5143" t="n">
        <v>1</v>
      </c>
    </row>
    <row r="5144">
      <c r="A5144" t="inlineStr">
        <is>
          <t>global warming</t>
        </is>
      </c>
      <c r="B5144" t="n">
        <v>1</v>
      </c>
    </row>
    <row r="5145">
      <c r="A5145" t="inlineStr">
        <is>
          <t>monetized environmental impact</t>
        </is>
      </c>
      <c r="B5145" t="n">
        <v>1</v>
      </c>
    </row>
    <row r="5146">
      <c r="A5146" t="inlineStr">
        <is>
          <t>municipal kitchens</t>
        </is>
      </c>
      <c r="B5146" t="n">
        <v>1</v>
      </c>
    </row>
    <row r="5147">
      <c r="A5147" t="inlineStr">
        <is>
          <t>snack-meal recipes</t>
        </is>
      </c>
      <c r="B5147" t="n">
        <v>1</v>
      </c>
    </row>
    <row r="5148">
      <c r="A5148" t="inlineStr">
        <is>
          <t>informal caregiver</t>
        </is>
      </c>
      <c r="B5148" t="n">
        <v>1</v>
      </c>
    </row>
    <row r="5149">
      <c r="A5149" t="inlineStr">
        <is>
          <t>position data</t>
        </is>
      </c>
      <c r="B5149" t="n">
        <v>1</v>
      </c>
    </row>
    <row r="5150">
      <c r="A5150" t="inlineStr">
        <is>
          <t>biometric data</t>
        </is>
      </c>
      <c r="B5150" t="n">
        <v>1</v>
      </c>
    </row>
    <row r="5151">
      <c r="A5151" t="inlineStr">
        <is>
          <t>automated data collection</t>
        </is>
      </c>
      <c r="B5151" t="n">
        <v>1</v>
      </c>
    </row>
    <row r="5152">
      <c r="A5152" t="inlineStr">
        <is>
          <t>traveller needs</t>
        </is>
      </c>
      <c r="B5152" t="n">
        <v>1</v>
      </c>
    </row>
    <row r="5153">
      <c r="A5153" t="inlineStr">
        <is>
          <t>traveller behaviour</t>
        </is>
      </c>
      <c r="B5153" t="n">
        <v>1</v>
      </c>
    </row>
    <row r="5154">
      <c r="A5154" t="inlineStr">
        <is>
          <t>coronary artery disease</t>
        </is>
      </c>
      <c r="B5154" t="n">
        <v>1</v>
      </c>
    </row>
    <row r="5155">
      <c r="A5155" t="inlineStr">
        <is>
          <t>technology-based physical therapy</t>
        </is>
      </c>
      <c r="B5155" t="n">
        <v>1</v>
      </c>
    </row>
    <row r="5156">
      <c r="A5156" t="inlineStr">
        <is>
          <t>healthy lifestyle</t>
        </is>
      </c>
      <c r="B5156" t="n">
        <v>1</v>
      </c>
    </row>
    <row r="5157">
      <c r="A5157" t="inlineStr">
        <is>
          <t>ischemic heart disease</t>
        </is>
      </c>
      <c r="B5157" t="n">
        <v>1</v>
      </c>
    </row>
    <row r="5158">
      <c r="A5158" t="inlineStr">
        <is>
          <t>coronavirus pandemic</t>
        </is>
      </c>
      <c r="B5158" t="n">
        <v>1</v>
      </c>
    </row>
    <row r="5159">
      <c r="A5159" t="inlineStr">
        <is>
          <t>road network density</t>
        </is>
      </c>
      <c r="B5159" t="n">
        <v>1</v>
      </c>
    </row>
    <row r="5160">
      <c r="A5160" t="inlineStr">
        <is>
          <t>access to transit</t>
        </is>
      </c>
      <c r="B5160" t="n">
        <v>1</v>
      </c>
    </row>
    <row r="5161">
      <c r="A5161" t="inlineStr">
        <is>
          <t>united states</t>
        </is>
      </c>
      <c r="B5161" t="n">
        <v>1</v>
      </c>
    </row>
    <row r="5162">
      <c r="A5162" t="inlineStr">
        <is>
          <t>air cleaners</t>
        </is>
      </c>
      <c r="B5162" t="n">
        <v>1</v>
      </c>
    </row>
    <row r="5163">
      <c r="A5163" t="inlineStr">
        <is>
          <t>fabric</t>
        </is>
      </c>
      <c r="B5163" t="n">
        <v>1</v>
      </c>
    </row>
    <row r="5164">
      <c r="A5164" t="inlineStr">
        <is>
          <t>diffusioncoefficient</t>
        </is>
      </c>
      <c r="B5164" t="n">
        <v>1</v>
      </c>
    </row>
    <row r="5165">
      <c r="A5165" t="inlineStr">
        <is>
          <t>ultrasonography</t>
        </is>
      </c>
      <c r="B5165" t="n">
        <v>1</v>
      </c>
    </row>
    <row r="5166">
      <c r="A5166" t="inlineStr">
        <is>
          <t>gastrocnemius thickness</t>
        </is>
      </c>
      <c r="B5166" t="n">
        <v>1</v>
      </c>
    </row>
    <row r="5167">
      <c r="A5167" t="inlineStr">
        <is>
          <t>prediction model</t>
        </is>
      </c>
      <c r="B5167" t="n">
        <v>1</v>
      </c>
    </row>
    <row r="5168">
      <c r="A5168" t="inlineStr">
        <is>
          <t>indoor navigation</t>
        </is>
      </c>
      <c r="B5168" t="n">
        <v>1</v>
      </c>
    </row>
    <row r="5169">
      <c r="A5169" t="inlineStr">
        <is>
          <t>automatic path generation</t>
        </is>
      </c>
      <c r="B5169" t="n">
        <v>1</v>
      </c>
    </row>
    <row r="5170">
      <c r="A5170" t="inlineStr">
        <is>
          <t>marker tracking</t>
        </is>
      </c>
      <c r="B5170" t="n">
        <v>1</v>
      </c>
    </row>
    <row r="5171">
      <c r="A5171" t="inlineStr">
        <is>
          <t>polybrominated diphenyl ethers</t>
        </is>
      </c>
      <c r="B5171" t="n">
        <v>1</v>
      </c>
    </row>
    <row r="5172">
      <c r="A5172" t="inlineStr">
        <is>
          <t>air-to-dust transport</t>
        </is>
      </c>
      <c r="B5172" t="n">
        <v>1</v>
      </c>
    </row>
    <row r="5173">
      <c r="A5173" t="inlineStr">
        <is>
          <t>co-production</t>
        </is>
      </c>
      <c r="B5173" t="n">
        <v>1</v>
      </c>
    </row>
    <row r="5174">
      <c r="A5174" t="inlineStr">
        <is>
          <t>place-based</t>
        </is>
      </c>
      <c r="B5174" t="n">
        <v>1</v>
      </c>
    </row>
    <row r="5175">
      <c r="A5175" t="inlineStr">
        <is>
          <t>acceptability</t>
        </is>
      </c>
      <c r="B5175" t="n">
        <v>1</v>
      </c>
    </row>
    <row r="5176">
      <c r="A5176" t="inlineStr">
        <is>
          <t>cool-colored materials</t>
        </is>
      </c>
      <c r="B5176" t="n">
        <v>1</v>
      </c>
    </row>
    <row r="5177">
      <c r="A5177" t="inlineStr">
        <is>
          <t>cement-based materials</t>
        </is>
      </c>
      <c r="B5177" t="n">
        <v>1</v>
      </c>
    </row>
    <row r="5178">
      <c r="A5178" t="inlineStr">
        <is>
          <t>historical districts</t>
        </is>
      </c>
      <c r="B5178" t="n">
        <v>1</v>
      </c>
    </row>
    <row r="5179">
      <c r="A5179" t="inlineStr">
        <is>
          <t>passive solutions</t>
        </is>
      </c>
      <c r="B5179" t="n">
        <v>1</v>
      </c>
    </row>
    <row r="5180">
      <c r="A5180" t="inlineStr">
        <is>
          <t>cool envelope</t>
        </is>
      </c>
      <c r="B5180" t="n">
        <v>1</v>
      </c>
    </row>
    <row r="5181">
      <c r="A5181" t="inlineStr">
        <is>
          <t>cool roof</t>
        </is>
      </c>
      <c r="B5181" t="n">
        <v>1</v>
      </c>
    </row>
    <row r="5182">
      <c r="A5182" t="inlineStr">
        <is>
          <t>thermal-optic characteristics</t>
        </is>
      </c>
      <c r="B5182" t="n">
        <v>1</v>
      </c>
    </row>
    <row r="5183">
      <c r="A5183" t="inlineStr">
        <is>
          <t>aspergillus niger</t>
        </is>
      </c>
      <c r="B5183" t="n">
        <v>1</v>
      </c>
    </row>
    <row r="5184">
      <c r="A5184" t="inlineStr">
        <is>
          <t>molds</t>
        </is>
      </c>
      <c r="B5184" t="n">
        <v>1</v>
      </c>
    </row>
    <row r="5185">
      <c r="A5185" t="inlineStr">
        <is>
          <t>microbial volatile organic compounds mvoc</t>
        </is>
      </c>
      <c r="B5185" t="n">
        <v>1</v>
      </c>
    </row>
    <row r="5186">
      <c r="A5186" t="inlineStr">
        <is>
          <t>light effect</t>
        </is>
      </c>
      <c r="B5186" t="n">
        <v>1</v>
      </c>
    </row>
    <row r="5187">
      <c r="A5187" t="inlineStr">
        <is>
          <t>cultivation time</t>
        </is>
      </c>
      <c r="B5187" t="n">
        <v>1</v>
      </c>
    </row>
    <row r="5188">
      <c r="A5188" t="inlineStr">
        <is>
          <t>urban travel</t>
        </is>
      </c>
      <c r="B5188" t="n">
        <v>1</v>
      </c>
    </row>
    <row r="5189">
      <c r="A5189" t="inlineStr">
        <is>
          <t>carbon emissions</t>
        </is>
      </c>
      <c r="B5189" t="n">
        <v>1</v>
      </c>
    </row>
    <row r="5190">
      <c r="A5190" t="inlineStr">
        <is>
          <t>influencing mechanism</t>
        </is>
      </c>
      <c r="B5190" t="n">
        <v>1</v>
      </c>
    </row>
    <row r="5191">
      <c r="A5191" t="inlineStr">
        <is>
          <t>dracaena</t>
        </is>
      </c>
      <c r="B5191" t="n">
        <v>1</v>
      </c>
    </row>
    <row r="5192">
      <c r="A5192" t="inlineStr">
        <is>
          <t>drought</t>
        </is>
      </c>
      <c r="B5192" t="n">
        <v>1</v>
      </c>
    </row>
    <row r="5193">
      <c r="A5193" t="inlineStr">
        <is>
          <t>hedera</t>
        </is>
      </c>
      <c r="B5193" t="n">
        <v>1</v>
      </c>
    </row>
    <row r="5194">
      <c r="A5194" t="inlineStr">
        <is>
          <t>indoor light</t>
        </is>
      </c>
      <c r="B5194" t="n">
        <v>1</v>
      </c>
    </row>
    <row r="5195">
      <c r="A5195" t="inlineStr">
        <is>
          <t>spathiphyllum</t>
        </is>
      </c>
      <c r="B5195" t="n">
        <v>1</v>
      </c>
    </row>
    <row r="5196">
      <c r="A5196" t="inlineStr">
        <is>
          <t>combined intervention</t>
        </is>
      </c>
      <c r="B5196" t="n">
        <v>1</v>
      </c>
    </row>
    <row r="5197">
      <c r="A5197" t="inlineStr">
        <is>
          <t>cognitive stimulation</t>
        </is>
      </c>
      <c r="B5197" t="n">
        <v>1</v>
      </c>
    </row>
    <row r="5198">
      <c r="A5198" t="inlineStr">
        <is>
          <t>animal-assisted activities</t>
        </is>
      </c>
      <c r="B5198" t="n">
        <v>1</v>
      </c>
    </row>
    <row r="5199">
      <c r="A5199" t="inlineStr">
        <is>
          <t>depressive symptomatology</t>
        </is>
      </c>
      <c r="B5199" t="n">
        <v>1</v>
      </c>
    </row>
    <row r="5200">
      <c r="A5200" t="inlineStr">
        <is>
          <t>chronic daily intake</t>
        </is>
      </c>
      <c r="B5200" t="n">
        <v>1</v>
      </c>
    </row>
    <row r="5201">
      <c r="A5201" t="inlineStr">
        <is>
          <t>intermittent</t>
        </is>
      </c>
      <c r="B5201" t="n">
        <v>1</v>
      </c>
    </row>
    <row r="5202">
      <c r="A5202" t="inlineStr">
        <is>
          <t>trnsys</t>
        </is>
      </c>
      <c r="B5202" t="n">
        <v>1</v>
      </c>
    </row>
    <row r="5203">
      <c r="A5203" t="inlineStr">
        <is>
          <t>carbon dioxide concentration</t>
        </is>
      </c>
      <c r="B5203" t="n">
        <v>1</v>
      </c>
    </row>
    <row r="5204">
      <c r="A5204" t="inlineStr">
        <is>
          <t>microbiological contaminant</t>
        </is>
      </c>
      <c r="B5204" t="n">
        <v>1</v>
      </c>
    </row>
    <row r="5205">
      <c r="A5205" t="inlineStr">
        <is>
          <t>emission characterization</t>
        </is>
      </c>
      <c r="B5205" t="n">
        <v>1</v>
      </c>
    </row>
    <row r="5206">
      <c r="A5206" t="inlineStr">
        <is>
          <t>mass transfer analysis</t>
        </is>
      </c>
      <c r="B5206" t="n">
        <v>1</v>
      </c>
    </row>
    <row r="5207">
      <c r="A5207" t="inlineStr">
        <is>
          <t>semi-infinite medium</t>
        </is>
      </c>
      <c r="B5207" t="n">
        <v>1</v>
      </c>
    </row>
    <row r="5208">
      <c r="A5208" t="inlineStr">
        <is>
          <t>non -pharmacological factors</t>
        </is>
      </c>
      <c r="B5208" t="n">
        <v>1</v>
      </c>
    </row>
    <row r="5209">
      <c r="A5209" t="inlineStr">
        <is>
          <t>human exposure risk</t>
        </is>
      </c>
      <c r="B5209" t="n">
        <v>1</v>
      </c>
    </row>
    <row r="5210">
      <c r="A5210" t="inlineStr">
        <is>
          <t>respiratory injury</t>
        </is>
      </c>
      <c r="B5210" t="n">
        <v>1</v>
      </c>
    </row>
    <row r="5211">
      <c r="A5211" t="inlineStr">
        <is>
          <t>napa wildfire</t>
        </is>
      </c>
      <c r="B5211" t="n">
        <v>1</v>
      </c>
    </row>
    <row r="5212">
      <c r="A5212" t="inlineStr">
        <is>
          <t>computational fluid dynamics simulation</t>
        </is>
      </c>
      <c r="B5212" t="n">
        <v>1</v>
      </c>
    </row>
    <row r="5213">
      <c r="A5213" t="inlineStr">
        <is>
          <t>community readiness</t>
        </is>
      </c>
      <c r="B5213" t="n">
        <v>1</v>
      </c>
    </row>
    <row r="5214">
      <c r="A5214" t="inlineStr">
        <is>
          <t>primary prevention</t>
        </is>
      </c>
      <c r="B5214" t="n">
        <v>1</v>
      </c>
    </row>
    <row r="5215">
      <c r="A5215" t="inlineStr">
        <is>
          <t>capacity building</t>
        </is>
      </c>
      <c r="B5215" t="n">
        <v>1</v>
      </c>
    </row>
    <row r="5216">
      <c r="A5216" t="inlineStr">
        <is>
          <t>cultural activities</t>
        </is>
      </c>
      <c r="B5216" t="n">
        <v>1</v>
      </c>
    </row>
    <row r="5217">
      <c r="A5217" t="inlineStr">
        <is>
          <t>sports activities</t>
        </is>
      </c>
      <c r="B5217" t="n">
        <v>1</v>
      </c>
    </row>
    <row r="5218">
      <c r="A5218" t="inlineStr">
        <is>
          <t>age</t>
        </is>
      </c>
      <c r="B5218" t="n">
        <v>1</v>
      </c>
    </row>
    <row r="5219">
      <c r="A5219" t="inlineStr">
        <is>
          <t>dentistry</t>
        </is>
      </c>
      <c r="B5219" t="n">
        <v>1</v>
      </c>
    </row>
    <row r="5220">
      <c r="A5220" t="inlineStr">
        <is>
          <t>natural teeth</t>
        </is>
      </c>
      <c r="B5220" t="n">
        <v>1</v>
      </c>
    </row>
    <row r="5221">
      <c r="A5221" t="inlineStr">
        <is>
          <t>dental implant</t>
        </is>
      </c>
      <c r="B5221" t="n">
        <v>1</v>
      </c>
    </row>
    <row r="5222">
      <c r="A5222" t="inlineStr">
        <is>
          <t>middle-aged adult</t>
        </is>
      </c>
      <c r="B5222" t="n">
        <v>1</v>
      </c>
    </row>
    <row r="5223">
      <c r="A5223" t="inlineStr">
        <is>
          <t>utci</t>
        </is>
      </c>
      <c r="B5223" t="n">
        <v>1</v>
      </c>
    </row>
    <row r="5224">
      <c r="A5224" t="inlineStr">
        <is>
          <t>indoor measurements</t>
        </is>
      </c>
      <c r="B5224" t="n">
        <v>1</v>
      </c>
    </row>
    <row r="5225">
      <c r="A5225" t="inlineStr">
        <is>
          <t>book disinfection</t>
        </is>
      </c>
      <c r="B5225" t="n">
        <v>1</v>
      </c>
    </row>
    <row r="5226">
      <c r="A5226" t="inlineStr">
        <is>
          <t>polybrominated diphenyl ethers (pbdes)</t>
        </is>
      </c>
      <c r="B5226" t="n">
        <v>1</v>
      </c>
    </row>
    <row r="5227">
      <c r="A5227" t="inlineStr">
        <is>
          <t>retail buildings</t>
        </is>
      </c>
      <c r="B5227" t="n">
        <v>1</v>
      </c>
    </row>
    <row r="5228">
      <c r="A5228" t="inlineStr">
        <is>
          <t>crash severity</t>
        </is>
      </c>
      <c r="B5228" t="n">
        <v>1</v>
      </c>
    </row>
    <row r="5229">
      <c r="A5229" t="inlineStr">
        <is>
          <t>shapley additive explanation (shap)</t>
        </is>
      </c>
      <c r="B5229" t="n">
        <v>1</v>
      </c>
    </row>
    <row r="5230">
      <c r="A5230" t="inlineStr">
        <is>
          <t>ach</t>
        </is>
      </c>
      <c r="B5230" t="n">
        <v>1</v>
      </c>
    </row>
    <row r="5231">
      <c r="A5231" t="inlineStr">
        <is>
          <t>uv light</t>
        </is>
      </c>
      <c r="B5231" t="n">
        <v>1</v>
      </c>
    </row>
    <row r="5232">
      <c r="A5232" t="inlineStr">
        <is>
          <t>waste management</t>
        </is>
      </c>
      <c r="B5232" t="n">
        <v>1</v>
      </c>
    </row>
    <row r="5233">
      <c r="A5233" t="inlineStr">
        <is>
          <t>cooperative game theory</t>
        </is>
      </c>
      <c r="B5233" t="n">
        <v>1</v>
      </c>
    </row>
    <row r="5234">
      <c r="A5234" t="inlineStr">
        <is>
          <t>adl ability</t>
        </is>
      </c>
      <c r="B5234" t="n">
        <v>1</v>
      </c>
    </row>
    <row r="5235">
      <c r="A5235" t="inlineStr">
        <is>
          <t>iadl ability</t>
        </is>
      </c>
      <c r="B5235" t="n">
        <v>1</v>
      </c>
    </row>
    <row r="5236">
      <c r="A5236" t="inlineStr">
        <is>
          <t>cognitive ability</t>
        </is>
      </c>
      <c r="B5236" t="n">
        <v>1</v>
      </c>
    </row>
    <row r="5237">
      <c r="A5237" t="inlineStr">
        <is>
          <t>development trajectory</t>
        </is>
      </c>
      <c r="B5237" t="n">
        <v>1</v>
      </c>
    </row>
    <row r="5238">
      <c r="A5238" t="inlineStr">
        <is>
          <t>leisure activities</t>
        </is>
      </c>
      <c r="B5238" t="n">
        <v>1</v>
      </c>
    </row>
    <row r="5239">
      <c r="A5239" t="inlineStr">
        <is>
          <t>panel binary regression</t>
        </is>
      </c>
      <c r="B5239" t="n">
        <v>1</v>
      </c>
    </row>
    <row r="5240">
      <c r="A5240" t="inlineStr">
        <is>
          <t>neighborhood greenness</t>
        </is>
      </c>
      <c r="B5240" t="n">
        <v>1</v>
      </c>
    </row>
    <row r="5241">
      <c r="A5241" t="inlineStr">
        <is>
          <t>sedentariness</t>
        </is>
      </c>
      <c r="B5241" t="n">
        <v>1</v>
      </c>
    </row>
    <row r="5242">
      <c r="A5242" t="inlineStr">
        <is>
          <t>questionnaire development</t>
        </is>
      </c>
      <c r="B5242" t="n">
        <v>1</v>
      </c>
    </row>
    <row r="5243">
      <c r="A5243" t="inlineStr">
        <is>
          <t>low income</t>
        </is>
      </c>
      <c r="B5243" t="n">
        <v>1</v>
      </c>
    </row>
    <row r="5244">
      <c r="A5244" t="inlineStr">
        <is>
          <t>health behavior</t>
        </is>
      </c>
      <c r="B5244" t="n">
        <v>1</v>
      </c>
    </row>
    <row r="5245">
      <c r="A5245" t="inlineStr">
        <is>
          <t>healthcare utilization</t>
        </is>
      </c>
      <c r="B5245" t="n">
        <v>1</v>
      </c>
    </row>
    <row r="5246">
      <c r="A5246" t="inlineStr">
        <is>
          <t>health knowledge</t>
        </is>
      </c>
      <c r="B5246" t="n">
        <v>1</v>
      </c>
    </row>
    <row r="5247">
      <c r="A5247" t="inlineStr">
        <is>
          <t>coping strategies</t>
        </is>
      </c>
      <c r="B5247" t="n">
        <v>1</v>
      </c>
    </row>
    <row r="5248">
      <c r="A5248" t="inlineStr">
        <is>
          <t>western visayas</t>
        </is>
      </c>
      <c r="B5248" t="n">
        <v>1</v>
      </c>
    </row>
    <row r="5249">
      <c r="A5249" t="inlineStr">
        <is>
          <t>stretching exercises</t>
        </is>
      </c>
      <c r="B5249" t="n">
        <v>1</v>
      </c>
    </row>
    <row r="5250">
      <c r="A5250" t="inlineStr">
        <is>
          <t>endothelial function</t>
        </is>
      </c>
      <c r="B5250" t="n">
        <v>1</v>
      </c>
    </row>
    <row r="5251">
      <c r="A5251" t="inlineStr">
        <is>
          <t>street connectivity</t>
        </is>
      </c>
      <c r="B5251" t="n">
        <v>1</v>
      </c>
    </row>
    <row r="5252">
      <c r="A5252" t="inlineStr">
        <is>
          <t>nominal regression</t>
        </is>
      </c>
      <c r="B5252" t="n">
        <v>1</v>
      </c>
    </row>
    <row r="5253">
      <c r="A5253" t="inlineStr">
        <is>
          <t>istanbul</t>
        </is>
      </c>
      <c r="B5253" t="n">
        <v>1</v>
      </c>
    </row>
    <row r="5254">
      <c r="A5254" t="inlineStr">
        <is>
          <t>turkey</t>
        </is>
      </c>
      <c r="B5254" t="n">
        <v>1</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3934"/>
  <sheetViews>
    <sheetView workbookViewId="0">
      <selection activeCell="A1" sqref="A1"/>
    </sheetView>
  </sheetViews>
  <sheetFormatPr baseColWidth="8" defaultRowHeight="15"/>
  <sheetData>
    <row r="1">
      <c r="A1" t="inlineStr">
        <is>
          <t>PERCEIVED NEIGHBORHOOD ENVIRONMENT</t>
        </is>
      </c>
      <c r="B1" t="n">
        <v>6</v>
      </c>
    </row>
    <row r="2">
      <c r="A2" t="inlineStr">
        <is>
          <t>COMMUNITY DESIGN</t>
        </is>
      </c>
      <c r="B2" t="n">
        <v>7</v>
      </c>
    </row>
    <row r="3">
      <c r="A3" t="inlineStr">
        <is>
          <t>RURAL-AREAS</t>
        </is>
      </c>
      <c r="B3" t="n">
        <v>3</v>
      </c>
    </row>
    <row r="4">
      <c r="A4" t="inlineStr">
        <is>
          <t>GREEN SPACE</t>
        </is>
      </c>
      <c r="B4" t="n">
        <v>30</v>
      </c>
    </row>
    <row r="5">
      <c r="A5" t="inlineStr">
        <is>
          <t>HEALTH</t>
        </is>
      </c>
      <c r="B5" t="n">
        <v>321</v>
      </c>
    </row>
    <row r="6">
      <c r="A6" t="inlineStr">
        <is>
          <t>URBAN</t>
        </is>
      </c>
      <c r="B6" t="n">
        <v>65</v>
      </c>
    </row>
    <row r="7">
      <c r="A7" t="inlineStr">
        <is>
          <t>WALKING</t>
        </is>
      </c>
      <c r="B7" t="n">
        <v>118</v>
      </c>
    </row>
    <row r="8">
      <c r="A8" t="inlineStr">
        <is>
          <t>ASSOCIATION</t>
        </is>
      </c>
      <c r="B8" t="n">
        <v>106</v>
      </c>
    </row>
    <row r="9">
      <c r="A9" t="inlineStr">
        <is>
          <t>POPULATION</t>
        </is>
      </c>
      <c r="B9" t="n">
        <v>62</v>
      </c>
    </row>
    <row r="10">
      <c r="A10" t="inlineStr">
        <is>
          <t>PEOPLE</t>
        </is>
      </c>
      <c r="B10" t="n">
        <v>145</v>
      </c>
    </row>
    <row r="11">
      <c r="A11" t="inlineStr">
        <is>
          <t>SELF-RATED HEALTH</t>
        </is>
      </c>
      <c r="B11" t="n">
        <v>14</v>
      </c>
    </row>
    <row r="12">
      <c r="A12" t="inlineStr">
        <is>
          <t>LOCAL ENVIRONMENT</t>
        </is>
      </c>
      <c r="B12" t="n">
        <v>1</v>
      </c>
    </row>
    <row r="13">
      <c r="A13" t="inlineStr">
        <is>
          <t>URBAN FORM</t>
        </is>
      </c>
      <c r="B13" t="n">
        <v>34</v>
      </c>
    </row>
    <row r="14">
      <c r="A14" t="inlineStr">
        <is>
          <t>RISK</t>
        </is>
      </c>
      <c r="B14" t="n">
        <v>114</v>
      </c>
    </row>
    <row r="15">
      <c r="A15" t="inlineStr">
        <is>
          <t>TRANSPORTATION</t>
        </is>
      </c>
      <c r="B15" t="n">
        <v>32</v>
      </c>
    </row>
    <row r="16">
      <c r="A16" t="inlineStr">
        <is>
          <t>PERCEPTIONS</t>
        </is>
      </c>
      <c r="B16" t="n">
        <v>48</v>
      </c>
    </row>
    <row r="17">
      <c r="A17" t="inlineStr">
        <is>
          <t>LONELINESS</t>
        </is>
      </c>
      <c r="B17" t="n">
        <v>15</v>
      </c>
    </row>
    <row r="18">
      <c r="A18" t="inlineStr">
        <is>
          <t>SELECTION</t>
        </is>
      </c>
      <c r="B18" t="n">
        <v>3</v>
      </c>
    </row>
    <row r="19">
      <c r="A19" t="inlineStr">
        <is>
          <t>BOOSTING DECISION TREES</t>
        </is>
      </c>
      <c r="B19" t="n">
        <v>4</v>
      </c>
    </row>
    <row r="20">
      <c r="A20" t="inlineStr">
        <is>
          <t>HONG-KONG</t>
        </is>
      </c>
      <c r="B20" t="n">
        <v>13</v>
      </c>
    </row>
    <row r="21">
      <c r="A21" t="inlineStr">
        <is>
          <t>WALKING BEHAVIOR</t>
        </is>
      </c>
      <c r="B21" t="n">
        <v>4</v>
      </c>
    </row>
    <row r="22">
      <c r="A22" t="inlineStr">
        <is>
          <t>TRAVEL BEHAVIOR</t>
        </is>
      </c>
      <c r="B22" t="n">
        <v>23</v>
      </c>
    </row>
    <row r="23">
      <c r="A23" t="inlineStr">
        <is>
          <t>TRANSPORT</t>
        </is>
      </c>
      <c r="B23" t="n">
        <v>19</v>
      </c>
    </row>
    <row r="24">
      <c r="A24" t="inlineStr">
        <is>
          <t>DESIGN</t>
        </is>
      </c>
      <c r="B24" t="n">
        <v>77</v>
      </c>
    </row>
    <row r="25">
      <c r="A25" t="inlineStr">
        <is>
          <t>RIDERSHIP</t>
        </is>
      </c>
      <c r="B25" t="n">
        <v>5</v>
      </c>
    </row>
    <row r="26">
      <c r="A26" t="inlineStr">
        <is>
          <t>DENSITY</t>
        </is>
      </c>
      <c r="B26" t="n">
        <v>23</v>
      </c>
    </row>
    <row r="27">
      <c r="A27" t="inlineStr">
        <is>
          <t>ACCESS</t>
        </is>
      </c>
      <c r="B27" t="n">
        <v>14</v>
      </c>
    </row>
    <row r="28">
      <c r="A28" t="inlineStr">
        <is>
          <t>CITY</t>
        </is>
      </c>
      <c r="B28" t="n">
        <v>38</v>
      </c>
    </row>
    <row r="29">
      <c r="A29" t="inlineStr">
        <is>
          <t>NEIGHBORHOOD WALKABILITY</t>
        </is>
      </c>
      <c r="B29" t="n">
        <v>28</v>
      </c>
    </row>
    <row r="30">
      <c r="A30" t="inlineStr">
        <is>
          <t>LAND-USE</t>
        </is>
      </c>
      <c r="B30" t="n">
        <v>41</v>
      </c>
    </row>
    <row r="31">
      <c r="A31" t="inlineStr">
        <is>
          <t>DIVERSITY</t>
        </is>
      </c>
      <c r="B31" t="n">
        <v>11</v>
      </c>
    </row>
    <row r="32">
      <c r="A32" t="inlineStr">
        <is>
          <t>IMPACTS</t>
        </is>
      </c>
      <c r="B32" t="n">
        <v>30</v>
      </c>
    </row>
    <row r="33">
      <c r="A33" t="inlineStr">
        <is>
          <t>PHYSICAL-ACTIVITY</t>
        </is>
      </c>
      <c r="B33" t="n">
        <v>259</v>
      </c>
    </row>
    <row r="34">
      <c r="A34" t="inlineStr">
        <is>
          <t>UTILITARIAN WALKING</t>
        </is>
      </c>
      <c r="B34" t="n">
        <v>3</v>
      </c>
    </row>
    <row r="35">
      <c r="A35" t="inlineStr">
        <is>
          <t>ASSOCIATIONS</t>
        </is>
      </c>
      <c r="B35" t="n">
        <v>92</v>
      </c>
    </row>
    <row r="36">
      <c r="A36" t="inlineStr">
        <is>
          <t>WOMEN</t>
        </is>
      </c>
      <c r="B36" t="n">
        <v>40</v>
      </c>
    </row>
    <row r="37">
      <c r="A37" t="inlineStr">
        <is>
          <t>WALKABILITY</t>
        </is>
      </c>
      <c r="B37" t="n">
        <v>46</v>
      </c>
    </row>
    <row r="38">
      <c r="A38" t="inlineStr">
        <is>
          <t>PATTERNS</t>
        </is>
      </c>
      <c r="B38" t="n">
        <v>27</v>
      </c>
    </row>
    <row r="39">
      <c r="A39" t="inlineStr">
        <is>
          <t>SANTIAGO</t>
        </is>
      </c>
      <c r="B39" t="n">
        <v>2</v>
      </c>
    </row>
    <row r="40">
      <c r="A40" t="inlineStr">
        <is>
          <t>AESTHETIC EVALUATION</t>
        </is>
      </c>
      <c r="B40" t="n">
        <v>1</v>
      </c>
    </row>
    <row r="41">
      <c r="A41" t="inlineStr">
        <is>
          <t>PREFERENCE</t>
        </is>
      </c>
      <c r="B41" t="n">
        <v>7</v>
      </c>
    </row>
    <row r="42">
      <c r="A42" t="inlineStr">
        <is>
          <t>ARCHITECTURE</t>
        </is>
      </c>
      <c r="B42" t="n">
        <v>16</v>
      </c>
    </row>
    <row r="43">
      <c r="A43" t="inlineStr">
        <is>
          <t>CURVATURE</t>
        </is>
      </c>
      <c r="B43" t="n">
        <v>1</v>
      </c>
    </row>
    <row r="44">
      <c r="A44" t="inlineStr">
        <is>
          <t>ENVIRONMENTS</t>
        </is>
      </c>
      <c r="B44" t="n">
        <v>23</v>
      </c>
    </row>
    <row r="45">
      <c r="A45" t="inlineStr">
        <is>
          <t>AMYGDALA</t>
        </is>
      </c>
      <c r="B45" t="n">
        <v>1</v>
      </c>
    </row>
    <row r="46">
      <c r="A46" t="inlineStr">
        <is>
          <t>FORM</t>
        </is>
      </c>
      <c r="B46" t="n">
        <v>8</v>
      </c>
    </row>
    <row r="47">
      <c r="A47" t="inlineStr">
        <is>
          <t>BICYCLE</t>
        </is>
      </c>
      <c r="B47" t="n">
        <v>2</v>
      </c>
    </row>
    <row r="48">
      <c r="A48" t="inlineStr">
        <is>
          <t>TRIPS</t>
        </is>
      </c>
      <c r="B48" t="n">
        <v>4</v>
      </c>
    </row>
    <row r="49">
      <c r="A49" t="inlineStr">
        <is>
          <t>PREFERENCES</t>
        </is>
      </c>
      <c r="B49" t="n">
        <v>8</v>
      </c>
    </row>
    <row r="50">
      <c r="A50" t="inlineStr">
        <is>
          <t>MATTER</t>
        </is>
      </c>
      <c r="B50" t="n">
        <v>3</v>
      </c>
    </row>
    <row r="51">
      <c r="A51" t="inlineStr">
        <is>
          <t>TRAVEL</t>
        </is>
      </c>
      <c r="B51" t="n">
        <v>53</v>
      </c>
    </row>
    <row r="52">
      <c r="A52" t="inlineStr">
        <is>
          <t>INDEX</t>
        </is>
      </c>
      <c r="B52" t="n">
        <v>18</v>
      </c>
    </row>
    <row r="53">
      <c r="A53" t="inlineStr">
        <is>
          <t>INCIDENT DISABILITY</t>
        </is>
      </c>
      <c r="B53" t="n">
        <v>1</v>
      </c>
    </row>
    <row r="54">
      <c r="A54" t="inlineStr">
        <is>
          <t>BUILT ENVIRONMENT</t>
        </is>
      </c>
      <c r="B54" t="n">
        <v>123</v>
      </c>
    </row>
    <row r="55">
      <c r="A55" t="inlineStr">
        <is>
          <t>GAIT SPEED</t>
        </is>
      </c>
      <c r="B55" t="n">
        <v>5</v>
      </c>
    </row>
    <row r="56">
      <c r="A56" t="inlineStr">
        <is>
          <t>MOBILITY</t>
        </is>
      </c>
      <c r="B56" t="n">
        <v>34</v>
      </c>
    </row>
    <row r="57">
      <c r="A57" t="inlineStr">
        <is>
          <t>GO</t>
        </is>
      </c>
      <c r="B57" t="n">
        <v>2</v>
      </c>
    </row>
    <row r="58">
      <c r="A58" t="inlineStr">
        <is>
          <t>PROBABILITY</t>
        </is>
      </c>
      <c r="B58" t="n">
        <v>1</v>
      </c>
    </row>
    <row r="59">
      <c r="A59" t="inlineStr">
        <is>
          <t>RELIABILITY</t>
        </is>
      </c>
      <c r="B59" t="n">
        <v>33</v>
      </c>
    </row>
    <row r="60">
      <c r="A60" t="inlineStr">
        <is>
          <t>FRACTURES</t>
        </is>
      </c>
      <c r="B60" t="n">
        <v>1</v>
      </c>
    </row>
    <row r="61">
      <c r="A61" t="inlineStr">
        <is>
          <t>PUBLIC TRANSPORTATION</t>
        </is>
      </c>
      <c r="B61" t="n">
        <v>1</v>
      </c>
    </row>
    <row r="62">
      <c r="A62" t="inlineStr">
        <is>
          <t>ACTIVE TRAVEL</t>
        </is>
      </c>
      <c r="B62" t="n">
        <v>9</v>
      </c>
    </row>
    <row r="63">
      <c r="A63" t="inlineStr">
        <is>
          <t>CYCLING TRIPS</t>
        </is>
      </c>
      <c r="B63" t="n">
        <v>1</v>
      </c>
    </row>
    <row r="64">
      <c r="A64" t="inlineStr">
        <is>
          <t>TRANSIT USE</t>
        </is>
      </c>
      <c r="B64" t="n">
        <v>1</v>
      </c>
    </row>
    <row r="65">
      <c r="A65" t="inlineStr">
        <is>
          <t>ATTRIBUTES</t>
        </is>
      </c>
      <c r="B65" t="n">
        <v>24</v>
      </c>
    </row>
    <row r="66">
      <c r="A66" t="inlineStr">
        <is>
          <t>LATE-LIFE DEPRESSION</t>
        </is>
      </c>
      <c r="B66" t="n">
        <v>1</v>
      </c>
    </row>
    <row r="67">
      <c r="A67" t="inlineStr">
        <is>
          <t>SOCIAL-INTERACTION</t>
        </is>
      </c>
      <c r="B67" t="n">
        <v>2</v>
      </c>
    </row>
    <row r="68">
      <c r="A68" t="inlineStr">
        <is>
          <t>PHYSICAL-EXERCISE</t>
        </is>
      </c>
      <c r="B68" t="n">
        <v>1</v>
      </c>
    </row>
    <row r="69">
      <c r="A69" t="inlineStr">
        <is>
          <t>SEX-DIFFERENCES</t>
        </is>
      </c>
      <c r="B69" t="n">
        <v>4</v>
      </c>
    </row>
    <row r="70">
      <c r="A70" t="inlineStr">
        <is>
          <t>STRESS</t>
        </is>
      </c>
      <c r="B70" t="n">
        <v>25</v>
      </c>
    </row>
    <row r="71">
      <c r="A71" t="inlineStr">
        <is>
          <t>VALIDITY</t>
        </is>
      </c>
      <c r="B71" t="n">
        <v>38</v>
      </c>
    </row>
    <row r="72">
      <c r="A72" t="inlineStr">
        <is>
          <t>ANXIETY</t>
        </is>
      </c>
      <c r="B72" t="n">
        <v>8</v>
      </c>
    </row>
    <row r="73">
      <c r="A73" t="inlineStr">
        <is>
          <t>GENDER</t>
        </is>
      </c>
      <c r="B73" t="n">
        <v>12</v>
      </c>
    </row>
    <row r="74">
      <c r="A74" t="inlineStr">
        <is>
          <t>IMPACT</t>
        </is>
      </c>
      <c r="B74" t="n">
        <v>154</v>
      </c>
    </row>
    <row r="75">
      <c r="A75" t="inlineStr">
        <is>
          <t>SEATING LOCATION</t>
        </is>
      </c>
      <c r="B75" t="n">
        <v>1</v>
      </c>
    </row>
    <row r="76">
      <c r="A76" t="inlineStr">
        <is>
          <t>CLASS SIZE</t>
        </is>
      </c>
      <c r="B76" t="n">
        <v>1</v>
      </c>
    </row>
    <row r="77">
      <c r="A77" t="inlineStr">
        <is>
          <t>STUDENTS</t>
        </is>
      </c>
      <c r="B77" t="n">
        <v>12</v>
      </c>
    </row>
    <row r="78">
      <c r="A78" t="inlineStr">
        <is>
          <t>SOCIAL COHESION</t>
        </is>
      </c>
      <c r="B78" t="n">
        <v>6</v>
      </c>
    </row>
    <row r="79">
      <c r="A79" t="inlineStr">
        <is>
          <t>NEIGHBORHOOD</t>
        </is>
      </c>
      <c r="B79" t="n">
        <v>51</v>
      </c>
    </row>
    <row r="80">
      <c r="A80" t="inlineStr">
        <is>
          <t>HAPPINESS</t>
        </is>
      </c>
      <c r="B80" t="n">
        <v>4</v>
      </c>
    </row>
    <row r="81">
      <c r="A81" t="inlineStr">
        <is>
          <t>BOGOTA</t>
        </is>
      </c>
      <c r="B81" t="n">
        <v>1</v>
      </c>
    </row>
    <row r="82">
      <c r="A82" t="inlineStr">
        <is>
          <t>CRIME</t>
        </is>
      </c>
      <c r="B82" t="n">
        <v>11</v>
      </c>
    </row>
    <row r="83">
      <c r="A83" t="inlineStr">
        <is>
          <t>OLDER-ADULTS</t>
        </is>
      </c>
      <c r="B83" t="n">
        <v>48</v>
      </c>
    </row>
    <row r="84">
      <c r="A84" t="inlineStr">
        <is>
          <t>FOCUS-GROUP</t>
        </is>
      </c>
      <c r="B84" t="n">
        <v>1</v>
      </c>
    </row>
    <row r="85">
      <c r="A85" t="inlineStr">
        <is>
          <t>MIXED-METHODS</t>
        </is>
      </c>
      <c r="B85" t="n">
        <v>1</v>
      </c>
    </row>
    <row r="86">
      <c r="A86" t="inlineStr">
        <is>
          <t>URBAN PARKS</t>
        </is>
      </c>
      <c r="B86" t="n">
        <v>1</v>
      </c>
    </row>
    <row r="87">
      <c r="A87" t="inlineStr">
        <is>
          <t>BARRIERS</t>
        </is>
      </c>
      <c r="B87" t="n">
        <v>35</v>
      </c>
    </row>
    <row r="88">
      <c r="A88" t="inlineStr">
        <is>
          <t>COMMUNITY</t>
        </is>
      </c>
      <c r="B88" t="n">
        <v>44</v>
      </c>
    </row>
    <row r="89">
      <c r="A89" t="inlineStr">
        <is>
          <t>NEIGHBORHOOD SOCIOECONOMIC-STATUS</t>
        </is>
      </c>
      <c r="B89" t="n">
        <v>1</v>
      </c>
    </row>
    <row r="90">
      <c r="A90" t="inlineStr">
        <is>
          <t>DIETARY PATTERNS</t>
        </is>
      </c>
      <c r="B90" t="n">
        <v>2</v>
      </c>
    </row>
    <row r="91">
      <c r="A91" t="inlineStr">
        <is>
          <t>AIR-POLLUTION</t>
        </is>
      </c>
      <c r="B91" t="n">
        <v>65</v>
      </c>
    </row>
    <row r="92">
      <c r="A92" t="inlineStr">
        <is>
          <t>DECLINE</t>
        </is>
      </c>
      <c r="B92" t="n">
        <v>25</v>
      </c>
    </row>
    <row r="93">
      <c r="A93" t="inlineStr">
        <is>
          <t>DISABILITY</t>
        </is>
      </c>
      <c r="B93" t="n">
        <v>33</v>
      </c>
    </row>
    <row r="94">
      <c r="A94" t="inlineStr">
        <is>
          <t>DEMENTIA</t>
        </is>
      </c>
      <c r="B94" t="n">
        <v>52</v>
      </c>
    </row>
    <row r="95">
      <c r="A95" t="inlineStr">
        <is>
          <t>ADULTS</t>
        </is>
      </c>
      <c r="B95" t="n">
        <v>72</v>
      </c>
    </row>
    <row r="96">
      <c r="A96" t="inlineStr">
        <is>
          <t>MISSING DATA</t>
        </is>
      </c>
      <c r="B96" t="n">
        <v>1</v>
      </c>
    </row>
    <row r="97">
      <c r="A97" t="inlineStr">
        <is>
          <t>IMPUTATION</t>
        </is>
      </c>
      <c r="B97" t="n">
        <v>2</v>
      </c>
    </row>
    <row r="98">
      <c r="A98" t="inlineStr">
        <is>
          <t>MICE</t>
        </is>
      </c>
      <c r="B98" t="n">
        <v>1</v>
      </c>
    </row>
    <row r="99">
      <c r="A99" t="inlineStr">
        <is>
          <t>MENTAL-HEALTH</t>
        </is>
      </c>
      <c r="B99" t="n">
        <v>43</v>
      </c>
    </row>
    <row r="100">
      <c r="A100" t="inlineStr">
        <is>
          <t>PSYCHOSOCIAL PROFILES</t>
        </is>
      </c>
      <c r="B100" t="n">
        <v>1</v>
      </c>
    </row>
    <row r="101">
      <c r="A101" t="inlineStr">
        <is>
          <t>SUBJECTIVE HAPPINESS</t>
        </is>
      </c>
      <c r="B101" t="n">
        <v>1</v>
      </c>
    </row>
    <row r="102">
      <c r="A102" t="inlineStr">
        <is>
          <t>COLOR PREFERENCES</t>
        </is>
      </c>
      <c r="B102" t="n">
        <v>1</v>
      </c>
    </row>
    <row r="103">
      <c r="A103" t="inlineStr">
        <is>
          <t>EMOTION</t>
        </is>
      </c>
      <c r="B103" t="n">
        <v>4</v>
      </c>
    </row>
    <row r="104">
      <c r="A104" t="inlineStr">
        <is>
          <t>BLUE</t>
        </is>
      </c>
      <c r="B104" t="n">
        <v>2</v>
      </c>
    </row>
    <row r="105">
      <c r="A105" t="inlineStr">
        <is>
          <t>PLACE</t>
        </is>
      </c>
      <c r="B105" t="n">
        <v>14</v>
      </c>
    </row>
    <row r="106">
      <c r="A106" t="inlineStr">
        <is>
          <t>CARDIOMETABOLIC RISK-FACTORS</t>
        </is>
      </c>
      <c r="B106" t="n">
        <v>3</v>
      </c>
    </row>
    <row r="107">
      <c r="A107" t="inlineStr">
        <is>
          <t>FOOD</t>
        </is>
      </c>
      <c r="B107" t="n">
        <v>6</v>
      </c>
    </row>
    <row r="108">
      <c r="A108" t="inlineStr">
        <is>
          <t>MULTILEVEL</t>
        </is>
      </c>
      <c r="B108" t="n">
        <v>4</v>
      </c>
    </row>
    <row r="109">
      <c r="A109" t="inlineStr">
        <is>
          <t>PHOTOVOICE</t>
        </is>
      </c>
      <c r="B109" t="n">
        <v>3</v>
      </c>
    </row>
    <row r="110">
      <c r="A110" t="inlineStr">
        <is>
          <t>DISEASE</t>
        </is>
      </c>
      <c r="B110" t="n">
        <v>53</v>
      </c>
    </row>
    <row r="111">
      <c r="A111" t="inlineStr">
        <is>
          <t>LEVEL</t>
        </is>
      </c>
      <c r="B111" t="n">
        <v>8</v>
      </c>
    </row>
    <row r="112">
      <c r="A112" t="inlineStr">
        <is>
          <t>NEIGHBORHOOD ENVIRONMENT</t>
        </is>
      </c>
      <c r="B112" t="n">
        <v>31</v>
      </c>
    </row>
    <row r="113">
      <c r="A113" t="inlineStr">
        <is>
          <t>SOCIAL-ISOLATION</t>
        </is>
      </c>
      <c r="B113" t="n">
        <v>10</v>
      </c>
    </row>
    <row r="114">
      <c r="A114" t="inlineStr">
        <is>
          <t>PSYCHOLOGICAL DISTRESS</t>
        </is>
      </c>
      <c r="B114" t="n">
        <v>4</v>
      </c>
    </row>
    <row r="115">
      <c r="A115" t="inlineStr">
        <is>
          <t>COVID-19 LOCKDOWN</t>
        </is>
      </c>
      <c r="B115" t="n">
        <v>1</v>
      </c>
    </row>
    <row r="116">
      <c r="A116" t="inlineStr">
        <is>
          <t>COMFORT</t>
        </is>
      </c>
      <c r="B116" t="n">
        <v>45</v>
      </c>
    </row>
    <row r="117">
      <c r="A117" t="inlineStr">
        <is>
          <t>SOCIETY</t>
        </is>
      </c>
      <c r="B117" t="n">
        <v>2</v>
      </c>
    </row>
    <row r="118">
      <c r="A118" t="inlineStr">
        <is>
          <t>INDOOR ENVIRONMENTAL-QUALITY</t>
        </is>
      </c>
      <c r="B118" t="n">
        <v>3</v>
      </c>
    </row>
    <row r="119">
      <c r="A119" t="inlineStr">
        <is>
          <t>SATISFACTION</t>
        </is>
      </c>
      <c r="B119" t="n">
        <v>36</v>
      </c>
    </row>
    <row r="120">
      <c r="A120" t="inlineStr">
        <is>
          <t>EDUCATION</t>
        </is>
      </c>
      <c r="B120" t="n">
        <v>19</v>
      </c>
    </row>
    <row r="121">
      <c r="A121" t="inlineStr">
        <is>
          <t>SCOPUS</t>
        </is>
      </c>
      <c r="B121" t="n">
        <v>1</v>
      </c>
    </row>
    <row r="122">
      <c r="A122" t="inlineStr">
        <is>
          <t>QUALITY-OF-LIFE</t>
        </is>
      </c>
      <c r="B122" t="n">
        <v>57</v>
      </c>
    </row>
    <row r="123">
      <c r="A123" t="inlineStr">
        <is>
          <t>SENSE</t>
        </is>
      </c>
      <c r="B123" t="n">
        <v>9</v>
      </c>
    </row>
    <row r="124">
      <c r="A124" t="inlineStr">
        <is>
          <t>GPS</t>
        </is>
      </c>
      <c r="B124" t="n">
        <v>6</v>
      </c>
    </row>
    <row r="125">
      <c r="A125" t="inlineStr">
        <is>
          <t>BEHAVIOR</t>
        </is>
      </c>
      <c r="B125" t="n">
        <v>75</v>
      </c>
    </row>
    <row r="126">
      <c r="A126" t="inlineStr">
        <is>
          <t>PERCEPTION</t>
        </is>
      </c>
      <c r="B126" t="n">
        <v>22</v>
      </c>
    </row>
    <row r="127">
      <c r="A127" t="inlineStr">
        <is>
          <t>ZHONGSHAN</t>
        </is>
      </c>
      <c r="B127" t="n">
        <v>1</v>
      </c>
    </row>
    <row r="128">
      <c r="A128" t="inlineStr">
        <is>
          <t>LOCATION</t>
        </is>
      </c>
      <c r="B128" t="n">
        <v>3</v>
      </c>
    </row>
    <row r="129">
      <c r="A129" t="inlineStr">
        <is>
          <t>SENIORS</t>
        </is>
      </c>
      <c r="B129" t="n">
        <v>4</v>
      </c>
    </row>
    <row r="130">
      <c r="A130" t="inlineStr">
        <is>
          <t>BODY-MASS INDEX</t>
        </is>
      </c>
      <c r="B130" t="n">
        <v>40</v>
      </c>
    </row>
    <row r="131">
      <c r="A131" t="inlineStr">
        <is>
          <t>NEIGHBORHOOD WALKING ACTIVITY</t>
        </is>
      </c>
      <c r="B131" t="n">
        <v>2</v>
      </c>
    </row>
    <row r="132">
      <c r="A132" t="inlineStr">
        <is>
          <t>WAIST CIRCUMFERENCE</t>
        </is>
      </c>
      <c r="B132" t="n">
        <v>2</v>
      </c>
    </row>
    <row r="133">
      <c r="A133" t="inlineStr">
        <is>
          <t>WEIGHT STATUS</t>
        </is>
      </c>
      <c r="B133" t="n">
        <v>5</v>
      </c>
    </row>
    <row r="134">
      <c r="A134" t="inlineStr">
        <is>
          <t>ADIPOSITY</t>
        </is>
      </c>
      <c r="B134" t="n">
        <v>2</v>
      </c>
    </row>
    <row r="135">
      <c r="A135" t="inlineStr">
        <is>
          <t>PREVALENCE</t>
        </is>
      </c>
      <c r="B135" t="n">
        <v>78</v>
      </c>
    </row>
    <row r="136">
      <c r="A136" t="inlineStr">
        <is>
          <t>STRATEGIES</t>
        </is>
      </c>
      <c r="B136" t="n">
        <v>16</v>
      </c>
    </row>
    <row r="137">
      <c r="A137" t="inlineStr">
        <is>
          <t>EFFICACY</t>
        </is>
      </c>
      <c r="B137" t="n">
        <v>7</v>
      </c>
    </row>
    <row r="138">
      <c r="A138" t="inlineStr">
        <is>
          <t>MORTALITY</t>
        </is>
      </c>
      <c r="B138" t="n">
        <v>93</v>
      </c>
    </row>
    <row r="139">
      <c r="A139" t="inlineStr">
        <is>
          <t>EXERCISE</t>
        </is>
      </c>
      <c r="B139" t="n">
        <v>69</v>
      </c>
    </row>
    <row r="140">
      <c r="A140" t="inlineStr">
        <is>
          <t>ADAPTATION</t>
        </is>
      </c>
      <c r="B140" t="n">
        <v>13</v>
      </c>
    </row>
    <row r="141">
      <c r="A141" t="inlineStr">
        <is>
          <t>FRAILTY</t>
        </is>
      </c>
      <c r="B141" t="n">
        <v>14</v>
      </c>
    </row>
    <row r="142">
      <c r="A142" t="inlineStr">
        <is>
          <t>SPEED</t>
        </is>
      </c>
      <c r="B142" t="n">
        <v>6</v>
      </c>
    </row>
    <row r="143">
      <c r="A143" t="inlineStr">
        <is>
          <t>FALLS</t>
        </is>
      </c>
      <c r="B143" t="n">
        <v>19</v>
      </c>
    </row>
    <row r="144">
      <c r="A144" t="inlineStr">
        <is>
          <t>PEDESTRIAN CRASH FREQUENCY</t>
        </is>
      </c>
      <c r="B144" t="n">
        <v>1</v>
      </c>
    </row>
    <row r="145">
      <c r="A145" t="inlineStr">
        <is>
          <t>SOCIOECONOMIC-STATUS</t>
        </is>
      </c>
      <c r="B145" t="n">
        <v>26</v>
      </c>
    </row>
    <row r="146">
      <c r="A146" t="inlineStr">
        <is>
          <t>SCORE(TM)</t>
        </is>
      </c>
      <c r="B146" t="n">
        <v>1</v>
      </c>
    </row>
    <row r="147">
      <c r="A147" t="inlineStr">
        <is>
          <t>SAFETY</t>
        </is>
      </c>
      <c r="B147" t="n">
        <v>13</v>
      </c>
    </row>
    <row r="148">
      <c r="A148" t="inlineStr">
        <is>
          <t>GENERAL ADULT-POPULATION</t>
        </is>
      </c>
      <c r="B148" t="n">
        <v>2</v>
      </c>
    </row>
    <row r="149">
      <c r="A149" t="inlineStr">
        <is>
          <t>ACTIVITY LEVEL</t>
        </is>
      </c>
      <c r="B149" t="n">
        <v>2</v>
      </c>
    </row>
    <row r="150">
      <c r="A150" t="inlineStr">
        <is>
          <t>ADOLESCENTS</t>
        </is>
      </c>
      <c r="B150" t="n">
        <v>17</v>
      </c>
    </row>
    <row r="151">
      <c r="A151" t="inlineStr">
        <is>
          <t>AUSTRALIA</t>
        </is>
      </c>
      <c r="B151" t="n">
        <v>5</v>
      </c>
    </row>
    <row r="152">
      <c r="A152" t="inlineStr">
        <is>
          <t>INDOOR AIR-QUALITY</t>
        </is>
      </c>
      <c r="B152" t="n">
        <v>18</v>
      </c>
    </row>
    <row r="153">
      <c r="A153" t="inlineStr">
        <is>
          <t>CLOSTRIDIUM-DIFFICILE</t>
        </is>
      </c>
      <c r="B153" t="n">
        <v>2</v>
      </c>
    </row>
    <row r="154">
      <c r="A154" t="inlineStr">
        <is>
          <t>RELATIVE-HUMIDITY</t>
        </is>
      </c>
      <c r="B154" t="n">
        <v>11</v>
      </c>
    </row>
    <row r="155">
      <c r="A155" t="inlineStr">
        <is>
          <t>WATER-SYSTEMS</t>
        </is>
      </c>
      <c r="B155" t="n">
        <v>1</v>
      </c>
    </row>
    <row r="156">
      <c r="A156" t="inlineStr">
        <is>
          <t>LEGIONELLA-PNEUMOPHILA</t>
        </is>
      </c>
      <c r="B156" t="n">
        <v>2</v>
      </c>
    </row>
    <row r="157">
      <c r="A157" t="inlineStr">
        <is>
          <t>PSEUDOMONAS-AERUGINOSA</t>
        </is>
      </c>
      <c r="B157" t="n">
        <v>2</v>
      </c>
    </row>
    <row r="158">
      <c r="A158" t="inlineStr">
        <is>
          <t>BACTERIAL COMMUNITIES</t>
        </is>
      </c>
      <c r="B158" t="n">
        <v>4</v>
      </c>
    </row>
    <row r="159">
      <c r="A159" t="inlineStr">
        <is>
          <t>MOISTURE REQUIREMENTS</t>
        </is>
      </c>
      <c r="B159" t="n">
        <v>1</v>
      </c>
    </row>
    <row r="160">
      <c r="A160" t="inlineStr">
        <is>
          <t>ARCHITECTURAL DESIGN</t>
        </is>
      </c>
      <c r="B160" t="n">
        <v>4</v>
      </c>
    </row>
    <row r="161">
      <c r="A161" t="inlineStr">
        <is>
          <t>MYCOBACTERIUM-AVIUM</t>
        </is>
      </c>
      <c r="B161" t="n">
        <v>1</v>
      </c>
    </row>
    <row r="162">
      <c r="A162" t="inlineStr">
        <is>
          <t>MULTILEVEL ANALYSIS</t>
        </is>
      </c>
      <c r="B162" t="n">
        <v>11</v>
      </c>
    </row>
    <row r="163">
      <c r="A163" t="inlineStr">
        <is>
          <t>OBJECTIVE MEASURES</t>
        </is>
      </c>
      <c r="B163" t="n">
        <v>3</v>
      </c>
    </row>
    <row r="164">
      <c r="A164" t="inlineStr">
        <is>
          <t>VIEW</t>
        </is>
      </c>
      <c r="B164" t="n">
        <v>3</v>
      </c>
    </row>
    <row r="165">
      <c r="A165" t="inlineStr">
        <is>
          <t>RESIDENTS</t>
        </is>
      </c>
      <c r="B165" t="n">
        <v>7</v>
      </c>
    </row>
    <row r="166">
      <c r="A166" t="inlineStr">
        <is>
          <t>ACCESSIBILITY</t>
        </is>
      </c>
      <c r="B166" t="n">
        <v>18</v>
      </c>
    </row>
    <row r="167">
      <c r="A167" t="inlineStr">
        <is>
          <t>EXPOSURE</t>
        </is>
      </c>
      <c r="B167" t="n">
        <v>143</v>
      </c>
    </row>
    <row r="168">
      <c r="A168" t="inlineStr">
        <is>
          <t>UNIT</t>
        </is>
      </c>
      <c r="B168" t="n">
        <v>1</v>
      </c>
    </row>
    <row r="169">
      <c r="A169" t="inlineStr">
        <is>
          <t>ACCELEROMETER</t>
        </is>
      </c>
      <c r="B169" t="n">
        <v>6</v>
      </c>
    </row>
    <row r="170">
      <c r="A170" t="inlineStr">
        <is>
          <t>SUPPORT</t>
        </is>
      </c>
      <c r="B170" t="n">
        <v>17</v>
      </c>
    </row>
    <row r="171">
      <c r="A171" t="inlineStr">
        <is>
          <t>NONCOMMUNICABLE DISEASES</t>
        </is>
      </c>
      <c r="B171" t="n">
        <v>2</v>
      </c>
    </row>
    <row r="172">
      <c r="A172" t="inlineStr">
        <is>
          <t>GREENSPACE</t>
        </is>
      </c>
      <c r="B172" t="n">
        <v>2</v>
      </c>
    </row>
    <row r="173">
      <c r="A173" t="inlineStr">
        <is>
          <t>OBESITY</t>
        </is>
      </c>
      <c r="B173" t="n">
        <v>92</v>
      </c>
    </row>
    <row r="174">
      <c r="A174" t="inlineStr">
        <is>
          <t>HYPERTENSION</t>
        </is>
      </c>
      <c r="B174" t="n">
        <v>7</v>
      </c>
    </row>
    <row r="175">
      <c r="A175" t="inlineStr">
        <is>
          <t>PATHWAYS</t>
        </is>
      </c>
      <c r="B175" t="n">
        <v>7</v>
      </c>
    </row>
    <row r="176">
      <c r="A176" t="inlineStr">
        <is>
          <t>WALKABILITY SCALE</t>
        </is>
      </c>
      <c r="B176" t="n">
        <v>5</v>
      </c>
    </row>
    <row r="177">
      <c r="A177" t="inlineStr">
        <is>
          <t>PEDESTRIAN ACCESSIBILITY</t>
        </is>
      </c>
      <c r="B177" t="n">
        <v>2</v>
      </c>
    </row>
    <row r="178">
      <c r="A178" t="inlineStr">
        <is>
          <t>GENDER-DIFFERENCES</t>
        </is>
      </c>
      <c r="B178" t="n">
        <v>13</v>
      </c>
    </row>
    <row r="179">
      <c r="A179" t="inlineStr">
        <is>
          <t>URBAN DESIGN</t>
        </is>
      </c>
      <c r="B179" t="n">
        <v>19</v>
      </c>
    </row>
    <row r="180">
      <c r="A180" t="inlineStr">
        <is>
          <t>NEIGHBORHOODS</t>
        </is>
      </c>
      <c r="B180" t="n">
        <v>10</v>
      </c>
    </row>
    <row r="181">
      <c r="A181" t="inlineStr">
        <is>
          <t>BEHAVIORS</t>
        </is>
      </c>
      <c r="B181" t="n">
        <v>19</v>
      </c>
    </row>
    <row r="182">
      <c r="A182" t="inlineStr">
        <is>
          <t>THERMAL COMFORT</t>
        </is>
      </c>
      <c r="B182" t="n">
        <v>42</v>
      </c>
    </row>
    <row r="183">
      <c r="A183" t="inlineStr">
        <is>
          <t>ANCIENT VILLAGE</t>
        </is>
      </c>
      <c r="B183" t="n">
        <v>1</v>
      </c>
    </row>
    <row r="184">
      <c r="A184" t="inlineStr">
        <is>
          <t>CAVE DWELLINGS</t>
        </is>
      </c>
      <c r="B184" t="n">
        <v>1</v>
      </c>
    </row>
    <row r="185">
      <c r="A185" t="inlineStr">
        <is>
          <t>PERFORMANCE</t>
        </is>
      </c>
      <c r="B185" t="n">
        <v>125</v>
      </c>
    </row>
    <row r="186">
      <c r="A186" t="inlineStr">
        <is>
          <t>COLD</t>
        </is>
      </c>
      <c r="B186" t="n">
        <v>4</v>
      </c>
    </row>
    <row r="187">
      <c r="A187" t="inlineStr">
        <is>
          <t>BUILDINGS</t>
        </is>
      </c>
      <c r="B187" t="n">
        <v>56</v>
      </c>
    </row>
    <row r="188">
      <c r="A188" t="inlineStr">
        <is>
          <t>EVOLUTION</t>
        </is>
      </c>
      <c r="B188" t="n">
        <v>3</v>
      </c>
    </row>
    <row r="189">
      <c r="A189" t="inlineStr">
        <is>
          <t>WINTER</t>
        </is>
      </c>
      <c r="B189" t="n">
        <v>3</v>
      </c>
    </row>
    <row r="190">
      <c r="A190" t="inlineStr">
        <is>
          <t>HOUSE</t>
        </is>
      </c>
      <c r="B190" t="n">
        <v>4</v>
      </c>
    </row>
    <row r="191">
      <c r="A191" t="inlineStr">
        <is>
          <t>RECREATION</t>
        </is>
      </c>
      <c r="B191" t="n">
        <v>3</v>
      </c>
    </row>
    <row r="192">
      <c r="A192" t="inlineStr">
        <is>
          <t>RESOURCES</t>
        </is>
      </c>
      <c r="B192" t="n">
        <v>2</v>
      </c>
    </row>
    <row r="193">
      <c r="A193" t="inlineStr">
        <is>
          <t>TIME</t>
        </is>
      </c>
      <c r="B193" t="n">
        <v>48</v>
      </c>
    </row>
    <row r="194">
      <c r="A194" t="inlineStr">
        <is>
          <t>PHASE-CHANGE MATERIALS</t>
        </is>
      </c>
      <c r="B194" t="n">
        <v>2</v>
      </c>
    </row>
    <row r="195">
      <c r="A195" t="inlineStr">
        <is>
          <t>CLIMATE-CHANGE</t>
        </is>
      </c>
      <c r="B195" t="n">
        <v>29</v>
      </c>
    </row>
    <row r="196">
      <c r="A196" t="inlineStr">
        <is>
          <t>HEAT EXPOSURE</t>
        </is>
      </c>
      <c r="B196" t="n">
        <v>3</v>
      </c>
    </row>
    <row r="197">
      <c r="A197" t="inlineStr">
        <is>
          <t>AMBIENT-TEMPERATURE</t>
        </is>
      </c>
      <c r="B197" t="n">
        <v>10</v>
      </c>
    </row>
    <row r="198">
      <c r="A198" t="inlineStr">
        <is>
          <t>RADIANT TEMPERATURE</t>
        </is>
      </c>
      <c r="B198" t="n">
        <v>1</v>
      </c>
    </row>
    <row r="199">
      <c r="A199" t="inlineStr">
        <is>
          <t>OCCUPANT BEHAVIOR</t>
        </is>
      </c>
      <c r="B199" t="n">
        <v>2</v>
      </c>
    </row>
    <row r="200">
      <c r="A200" t="inlineStr">
        <is>
          <t>PUBLIC-HEALTH</t>
        </is>
      </c>
      <c r="B200" t="n">
        <v>32</v>
      </c>
    </row>
    <row r="201">
      <c r="A201" t="inlineStr">
        <is>
          <t>AIR</t>
        </is>
      </c>
      <c r="B201" t="n">
        <v>27</v>
      </c>
    </row>
    <row r="202">
      <c r="A202" t="inlineStr">
        <is>
          <t>HOMES</t>
        </is>
      </c>
      <c r="B202" t="n">
        <v>13</v>
      </c>
    </row>
    <row r="203">
      <c r="A203" t="inlineStr">
        <is>
          <t>MANAGEMENT</t>
        </is>
      </c>
      <c r="B203" t="n">
        <v>17</v>
      </c>
    </row>
    <row r="204">
      <c r="A204" t="inlineStr">
        <is>
          <t>FACILITIES</t>
        </is>
      </c>
      <c r="B204" t="n">
        <v>4</v>
      </c>
    </row>
    <row r="205">
      <c r="A205" t="inlineStr">
        <is>
          <t>SERVICES</t>
        </is>
      </c>
      <c r="B205" t="n">
        <v>6</v>
      </c>
    </row>
    <row r="206">
      <c r="A206" t="inlineStr">
        <is>
          <t>PROMOTING SAFE WALKING</t>
        </is>
      </c>
      <c r="B206" t="n">
        <v>1</v>
      </c>
    </row>
    <row r="207">
      <c r="A207" t="inlineStr">
        <is>
          <t>ELEMENTARY-SCHOOL</t>
        </is>
      </c>
      <c r="B207" t="n">
        <v>3</v>
      </c>
    </row>
    <row r="208">
      <c r="A208" t="inlineStr">
        <is>
          <t>TRAVEL MODE</t>
        </is>
      </c>
      <c r="B208" t="n">
        <v>2</v>
      </c>
    </row>
    <row r="209">
      <c r="A209" t="inlineStr">
        <is>
          <t>CARDIOVASCULAR FITNESS</t>
        </is>
      </c>
      <c r="B209" t="n">
        <v>1</v>
      </c>
    </row>
    <row r="210">
      <c r="A210" t="inlineStr">
        <is>
          <t>CARDIOMETABOLIC RISK</t>
        </is>
      </c>
      <c r="B210" t="n">
        <v>1</v>
      </c>
    </row>
    <row r="211">
      <c r="A211" t="inlineStr">
        <is>
          <t>INDEPENDENT MOBILITY</t>
        </is>
      </c>
      <c r="B211" t="n">
        <v>5</v>
      </c>
    </row>
    <row r="212">
      <c r="A212" t="inlineStr">
        <is>
          <t>AUSTRALIAN CHILDREN</t>
        </is>
      </c>
      <c r="B212" t="n">
        <v>1</v>
      </c>
    </row>
    <row r="213">
      <c r="A213" t="inlineStr">
        <is>
          <t>LOCAL NEIGHBORHOOD</t>
        </is>
      </c>
      <c r="B213" t="n">
        <v>3</v>
      </c>
    </row>
    <row r="214">
      <c r="A214" t="inlineStr">
        <is>
          <t>PRESCHOOL-CHILDREN</t>
        </is>
      </c>
      <c r="B214" t="n">
        <v>2</v>
      </c>
    </row>
    <row r="215">
      <c r="A215" t="inlineStr">
        <is>
          <t>CONCEPTUAL-FRAMEWORK</t>
        </is>
      </c>
      <c r="B215" t="n">
        <v>2</v>
      </c>
    </row>
    <row r="216">
      <c r="A216" t="inlineStr">
        <is>
          <t>SOCIAL SUPPORT</t>
        </is>
      </c>
      <c r="B216" t="n">
        <v>16</v>
      </c>
    </row>
    <row r="217">
      <c r="A217" t="inlineStr">
        <is>
          <t>URBAN SPRAWL</t>
        </is>
      </c>
      <c r="B217" t="n">
        <v>6</v>
      </c>
    </row>
    <row r="218">
      <c r="A218" t="inlineStr">
        <is>
          <t>GREEN SPACES</t>
        </is>
      </c>
      <c r="B218" t="n">
        <v>8</v>
      </c>
    </row>
    <row r="219">
      <c r="A219" t="inlineStr">
        <is>
          <t>SELF-SELECTION</t>
        </is>
      </c>
      <c r="B219" t="n">
        <v>7</v>
      </c>
    </row>
    <row r="220">
      <c r="A220" t="inlineStr">
        <is>
          <t>GRIP STRENGTH</t>
        </is>
      </c>
      <c r="B220" t="n">
        <v>6</v>
      </c>
    </row>
    <row r="221">
      <c r="A221" t="inlineStr">
        <is>
          <t>EPIDEMIOLOGY</t>
        </is>
      </c>
      <c r="B221" t="n">
        <v>13</v>
      </c>
    </row>
    <row r="222">
      <c r="A222" t="inlineStr">
        <is>
          <t>OUTDOOR ENVIRONMENTS</t>
        </is>
      </c>
      <c r="B222" t="n">
        <v>4</v>
      </c>
    </row>
    <row r="223">
      <c r="A223" t="inlineStr">
        <is>
          <t>PHYSICAL-ENVIRONMENT</t>
        </is>
      </c>
      <c r="B223" t="n">
        <v>6</v>
      </c>
    </row>
    <row r="224">
      <c r="A224" t="inlineStr">
        <is>
          <t>MEANINGFUL ACTIVITY</t>
        </is>
      </c>
      <c r="B224" t="n">
        <v>1</v>
      </c>
    </row>
    <row r="225">
      <c r="A225" t="inlineStr">
        <is>
          <t>CONNECTEDNESS</t>
        </is>
      </c>
      <c r="B225" t="n">
        <v>3</v>
      </c>
    </row>
    <row r="226">
      <c r="A226" t="inlineStr">
        <is>
          <t>LIFE</t>
        </is>
      </c>
      <c r="B226" t="n">
        <v>50</v>
      </c>
    </row>
    <row r="227">
      <c r="A227" t="inlineStr">
        <is>
          <t>CARE</t>
        </is>
      </c>
      <c r="B227" t="n">
        <v>37</v>
      </c>
    </row>
    <row r="228">
      <c r="A228" t="inlineStr">
        <is>
          <t>SOCIAL-PARTICIPATION</t>
        </is>
      </c>
      <c r="B228" t="n">
        <v>8</v>
      </c>
    </row>
    <row r="229">
      <c r="A229" t="inlineStr">
        <is>
          <t>FRIENDLY COMMUNITIES</t>
        </is>
      </c>
      <c r="B229" t="n">
        <v>1</v>
      </c>
    </row>
    <row r="230">
      <c r="A230" t="inlineStr">
        <is>
          <t>PSYCHOPHYSIOLOGICAL RESPONSES</t>
        </is>
      </c>
      <c r="B230" t="n">
        <v>1</v>
      </c>
    </row>
    <row r="231">
      <c r="A231" t="inlineStr">
        <is>
          <t>BENEFITS</t>
        </is>
      </c>
      <c r="B231" t="n">
        <v>34</v>
      </c>
    </row>
    <row r="232">
      <c r="A232" t="inlineStr">
        <is>
          <t>FAMILIARITY</t>
        </is>
      </c>
      <c r="B232" t="n">
        <v>1</v>
      </c>
    </row>
    <row r="233">
      <c r="A233" t="inlineStr">
        <is>
          <t>PICTURES</t>
        </is>
      </c>
      <c r="B233" t="n">
        <v>2</v>
      </c>
    </row>
    <row r="234">
      <c r="A234" t="inlineStr">
        <is>
          <t>NEIGHBORHOOD ENVIRONMENTS</t>
        </is>
      </c>
      <c r="B234" t="n">
        <v>5</v>
      </c>
    </row>
    <row r="235">
      <c r="A235" t="inlineStr">
        <is>
          <t>TECHNOLOGIES ADOPTION</t>
        </is>
      </c>
      <c r="B235" t="n">
        <v>3</v>
      </c>
    </row>
    <row r="236">
      <c r="A236" t="inlineStr">
        <is>
          <t>SYSTEM</t>
        </is>
      </c>
      <c r="B236" t="n">
        <v>24</v>
      </c>
    </row>
    <row r="237">
      <c r="A237" t="inlineStr">
        <is>
          <t>AGING-FRIENDLY COMMUNITIES</t>
        </is>
      </c>
      <c r="B237" t="n">
        <v>1</v>
      </c>
    </row>
    <row r="238">
      <c r="A238" t="inlineStr">
        <is>
          <t>DWELLING OLDER-ADULTS</t>
        </is>
      </c>
      <c r="B238" t="n">
        <v>1</v>
      </c>
    </row>
    <row r="239">
      <c r="A239" t="inlineStr">
        <is>
          <t>COHESION</t>
        </is>
      </c>
      <c r="B239" t="n">
        <v>5</v>
      </c>
    </row>
    <row r="240">
      <c r="A240" t="inlineStr">
        <is>
          <t>GERONTOLOGY</t>
        </is>
      </c>
      <c r="B240" t="n">
        <v>3</v>
      </c>
    </row>
    <row r="241">
      <c r="A241" t="inlineStr">
        <is>
          <t>YOUTH</t>
        </is>
      </c>
      <c r="B241" t="n">
        <v>25</v>
      </c>
    </row>
    <row r="242">
      <c r="A242" t="inlineStr">
        <is>
          <t>SCHOOL</t>
        </is>
      </c>
      <c r="B242" t="n">
        <v>23</v>
      </c>
    </row>
    <row r="243">
      <c r="A243" t="inlineStr">
        <is>
          <t>HOME</t>
        </is>
      </c>
      <c r="B243" t="n">
        <v>16</v>
      </c>
    </row>
    <row r="244">
      <c r="A244" t="inlineStr">
        <is>
          <t>ACCELEROMETERS</t>
        </is>
      </c>
      <c r="B244" t="n">
        <v>1</v>
      </c>
    </row>
    <row r="245">
      <c r="A245" t="inlineStr">
        <is>
          <t>BRAIN</t>
        </is>
      </c>
      <c r="B245" t="n">
        <v>6</v>
      </c>
    </row>
    <row r="246">
      <c r="A246" t="inlineStr">
        <is>
          <t>IMPAIRMENT</t>
        </is>
      </c>
      <c r="B246" t="n">
        <v>25</v>
      </c>
    </row>
    <row r="247">
      <c r="A247" t="inlineStr">
        <is>
          <t>AUDIT</t>
        </is>
      </c>
      <c r="B247" t="n">
        <v>4</v>
      </c>
    </row>
    <row r="248">
      <c r="A248" t="inlineStr">
        <is>
          <t>LIGHT RAIL TRANSIT</t>
        </is>
      </c>
      <c r="B248" t="n">
        <v>1</v>
      </c>
    </row>
    <row r="249">
      <c r="A249" t="inlineStr">
        <is>
          <t>POPULATION HEALTH</t>
        </is>
      </c>
      <c r="B249" t="n">
        <v>10</v>
      </c>
    </row>
    <row r="250">
      <c r="A250" t="inlineStr">
        <is>
          <t>RETAIL ACCESS</t>
        </is>
      </c>
      <c r="B250" t="n">
        <v>1</v>
      </c>
    </row>
    <row r="251">
      <c r="A251" t="inlineStr">
        <is>
          <t>INTERVENTIONS</t>
        </is>
      </c>
      <c r="B251" t="n">
        <v>21</v>
      </c>
    </row>
    <row r="252">
      <c r="A252" t="inlineStr">
        <is>
          <t>FRUIT</t>
        </is>
      </c>
      <c r="B252" t="n">
        <v>1</v>
      </c>
    </row>
    <row r="253">
      <c r="A253" t="inlineStr">
        <is>
          <t>BUILT ENVIRONMENTS</t>
        </is>
      </c>
      <c r="B253" t="n">
        <v>5</v>
      </c>
    </row>
    <row r="254">
      <c r="A254" t="inlineStr">
        <is>
          <t>HEART-DISEASE</t>
        </is>
      </c>
      <c r="B254" t="n">
        <v>3</v>
      </c>
    </row>
    <row r="255">
      <c r="A255" t="inlineStr">
        <is>
          <t>OVERWEIGHT</t>
        </is>
      </c>
      <c r="B255" t="n">
        <v>19</v>
      </c>
    </row>
    <row r="256">
      <c r="A256" t="inlineStr">
        <is>
          <t>NATURAL OUTDOOR ENVIRONMENTS</t>
        </is>
      </c>
      <c r="B256" t="n">
        <v>1</v>
      </c>
    </row>
    <row r="257">
      <c r="A257" t="inlineStr">
        <is>
          <t>LIFE-COURSE APPROACH</t>
        </is>
      </c>
      <c r="B257" t="n">
        <v>1</v>
      </c>
    </row>
    <row r="258">
      <c r="A258" t="inlineStr">
        <is>
          <t>RESIDENTIAL GREEN</t>
        </is>
      </c>
      <c r="B258" t="n">
        <v>3</v>
      </c>
    </row>
    <row r="259">
      <c r="A259" t="inlineStr">
        <is>
          <t>REGENERATION</t>
        </is>
      </c>
      <c r="B259" t="n">
        <v>1</v>
      </c>
    </row>
    <row r="260">
      <c r="A260" t="inlineStr">
        <is>
          <t>ROUTE CHOICE</t>
        </is>
      </c>
      <c r="B260" t="n">
        <v>2</v>
      </c>
    </row>
    <row r="261">
      <c r="A261" t="inlineStr">
        <is>
          <t>ACTIVE TRANSPORTATION</t>
        </is>
      </c>
      <c r="B261" t="n">
        <v>7</v>
      </c>
    </row>
    <row r="262">
      <c r="A262" t="inlineStr">
        <is>
          <t>WORK</t>
        </is>
      </c>
      <c r="B262" t="n">
        <v>14</v>
      </c>
    </row>
    <row r="263">
      <c r="A263" t="inlineStr">
        <is>
          <t>INFRASTRUCTURE</t>
        </is>
      </c>
      <c r="B263" t="n">
        <v>8</v>
      </c>
    </row>
    <row r="264">
      <c r="A264" t="inlineStr">
        <is>
          <t>INTENSITY</t>
        </is>
      </c>
      <c r="B264" t="n">
        <v>4</v>
      </c>
    </row>
    <row r="265">
      <c r="A265" t="inlineStr">
        <is>
          <t>FITNESS</t>
        </is>
      </c>
      <c r="B265" t="n">
        <v>9</v>
      </c>
    </row>
    <row r="266">
      <c r="A266" t="inlineStr">
        <is>
          <t>SEDENTARY BEHAVIOR</t>
        </is>
      </c>
      <c r="B266" t="n">
        <v>18</v>
      </c>
    </row>
    <row r="267">
      <c r="A267" t="inlineStr">
        <is>
          <t>LEISURE-TIME</t>
        </is>
      </c>
      <c r="B267" t="n">
        <v>5</v>
      </c>
    </row>
    <row r="268">
      <c r="A268" t="inlineStr">
        <is>
          <t>WEIGHT-GAIN</t>
        </is>
      </c>
      <c r="B268" t="n">
        <v>1</v>
      </c>
    </row>
    <row r="269">
      <c r="A269" t="inlineStr">
        <is>
          <t>BODY-COMPOSITION</t>
        </is>
      </c>
      <c r="B269" t="n">
        <v>6</v>
      </c>
    </row>
    <row r="270">
      <c r="A270" t="inlineStr">
        <is>
          <t>ACTIVITY GUIDELINES</t>
        </is>
      </c>
      <c r="B270" t="n">
        <v>1</v>
      </c>
    </row>
    <row r="271">
      <c r="A271" t="inlineStr">
        <is>
          <t>SITTING TIME</t>
        </is>
      </c>
      <c r="B271" t="n">
        <v>5</v>
      </c>
    </row>
    <row r="272">
      <c r="A272" t="inlineStr">
        <is>
          <t>OUTCOMES</t>
        </is>
      </c>
      <c r="B272" t="n">
        <v>18</v>
      </c>
    </row>
    <row r="273">
      <c r="A273" t="inlineStr">
        <is>
          <t>SCIENCE</t>
        </is>
      </c>
      <c r="B273" t="n">
        <v>5</v>
      </c>
    </row>
    <row r="274">
      <c r="A274" t="inlineStr">
        <is>
          <t>HEALTH-BENEFITS</t>
        </is>
      </c>
      <c r="B274" t="n">
        <v>15</v>
      </c>
    </row>
    <row r="275">
      <c r="A275" t="inlineStr">
        <is>
          <t>CHRONIC DISEASE PREVENTION</t>
        </is>
      </c>
      <c r="B275" t="n">
        <v>1</v>
      </c>
    </row>
    <row r="276">
      <c r="A276" t="inlineStr">
        <is>
          <t>PERCEIVED AIR-QUALITY</t>
        </is>
      </c>
      <c r="B276" t="n">
        <v>3</v>
      </c>
    </row>
    <row r="277">
      <c r="A277" t="inlineStr">
        <is>
          <t>SYNDROME SBS SYMPTOMS</t>
        </is>
      </c>
      <c r="B277" t="n">
        <v>2</v>
      </c>
    </row>
    <row r="278">
      <c r="A278" t="inlineStr">
        <is>
          <t>COGNITIVE PERFORMANCE</t>
        </is>
      </c>
      <c r="B278" t="n">
        <v>4</v>
      </c>
    </row>
    <row r="279">
      <c r="A279" t="inlineStr">
        <is>
          <t>IRRELEVANT SPEECH</t>
        </is>
      </c>
      <c r="B279" t="n">
        <v>2</v>
      </c>
    </row>
    <row r="280">
      <c r="A280" t="inlineStr">
        <is>
          <t>OFFICE NOISE</t>
        </is>
      </c>
      <c r="B280" t="n">
        <v>2</v>
      </c>
    </row>
    <row r="281">
      <c r="A281" t="inlineStr">
        <is>
          <t>SUPPLY RATE</t>
        </is>
      </c>
      <c r="B281" t="n">
        <v>1</v>
      </c>
    </row>
    <row r="282">
      <c r="A282" t="inlineStr">
        <is>
          <t>PRODUCTIVITY</t>
        </is>
      </c>
      <c r="B282" t="n">
        <v>8</v>
      </c>
    </row>
    <row r="283">
      <c r="A283" t="inlineStr">
        <is>
          <t>HEAT</t>
        </is>
      </c>
      <c r="B283" t="n">
        <v>2</v>
      </c>
    </row>
    <row r="284">
      <c r="A284" t="inlineStr">
        <is>
          <t>TEMPERATURE</t>
        </is>
      </c>
      <c r="B284" t="n">
        <v>60</v>
      </c>
    </row>
    <row r="285">
      <c r="A285" t="inlineStr">
        <is>
          <t>SELF-EFFICACY</t>
        </is>
      </c>
      <c r="B285" t="n">
        <v>8</v>
      </c>
    </row>
    <row r="286">
      <c r="A286" t="inlineStr">
        <is>
          <t>SPACE</t>
        </is>
      </c>
      <c r="B286" t="n">
        <v>19</v>
      </c>
    </row>
    <row r="287">
      <c r="A287" t="inlineStr">
        <is>
          <t>TRANSPORTATION MODE</t>
        </is>
      </c>
      <c r="B287" t="n">
        <v>1</v>
      </c>
    </row>
    <row r="288">
      <c r="A288" t="inlineStr">
        <is>
          <t>CHILDREN</t>
        </is>
      </c>
      <c r="B288" t="n">
        <v>56</v>
      </c>
    </row>
    <row r="289">
      <c r="A289" t="inlineStr">
        <is>
          <t>PARKS</t>
        </is>
      </c>
      <c r="B289" t="n">
        <v>11</v>
      </c>
    </row>
    <row r="290">
      <c r="A290" t="inlineStr">
        <is>
          <t>CONVENIENCE</t>
        </is>
      </c>
      <c r="B290" t="n">
        <v>1</v>
      </c>
    </row>
    <row r="291">
      <c r="A291" t="inlineStr">
        <is>
          <t>AMERICAN</t>
        </is>
      </c>
      <c r="B291" t="n">
        <v>1</v>
      </c>
    </row>
    <row r="292">
      <c r="A292" t="inlineStr">
        <is>
          <t>MEDICINE</t>
        </is>
      </c>
      <c r="B292" t="n">
        <v>2</v>
      </c>
    </row>
    <row r="293">
      <c r="A293" t="inlineStr">
        <is>
          <t>NATURAL VENTILATION PERFORMANCE</t>
        </is>
      </c>
      <c r="B293" t="n">
        <v>1</v>
      </c>
    </row>
    <row r="294">
      <c r="A294" t="inlineStr">
        <is>
          <t>RESIDENTIAL BUILDING MODEL</t>
        </is>
      </c>
      <c r="B294" t="n">
        <v>1</v>
      </c>
    </row>
    <row r="295">
      <c r="A295" t="inlineStr">
        <is>
          <t>HUMID REGIONS</t>
        </is>
      </c>
      <c r="B295" t="n">
        <v>1</v>
      </c>
    </row>
    <row r="296">
      <c r="A296" t="inlineStr">
        <is>
          <t>COOLING LOAD</t>
        </is>
      </c>
      <c r="B296" t="n">
        <v>1</v>
      </c>
    </row>
    <row r="297">
      <c r="A297" t="inlineStr">
        <is>
          <t>HOT</t>
        </is>
      </c>
      <c r="B297" t="n">
        <v>4</v>
      </c>
    </row>
    <row r="298">
      <c r="A298" t="inlineStr">
        <is>
          <t>COURTYARD</t>
        </is>
      </c>
      <c r="B298" t="n">
        <v>1</v>
      </c>
    </row>
    <row r="299">
      <c r="A299" t="inlineStr">
        <is>
          <t>CLIMATE</t>
        </is>
      </c>
      <c r="B299" t="n">
        <v>19</v>
      </c>
    </row>
    <row r="300">
      <c r="A300" t="inlineStr">
        <is>
          <t>CFD</t>
        </is>
      </c>
      <c r="B300" t="n">
        <v>5</v>
      </c>
    </row>
    <row r="301">
      <c r="A301" t="inlineStr">
        <is>
          <t>AIRBORNE TRANSMISSION</t>
        </is>
      </c>
      <c r="B301" t="n">
        <v>3</v>
      </c>
    </row>
    <row r="302">
      <c r="A302" t="inlineStr">
        <is>
          <t>EXPIRATORY DROPLETS</t>
        </is>
      </c>
      <c r="B302" t="n">
        <v>1</v>
      </c>
    </row>
    <row r="303">
      <c r="A303" t="inlineStr">
        <is>
          <t>SARS</t>
        </is>
      </c>
      <c r="B303" t="n">
        <v>3</v>
      </c>
    </row>
    <row r="304">
      <c r="A304" t="inlineStr">
        <is>
          <t>EVAPORATION</t>
        </is>
      </c>
      <c r="B304" t="n">
        <v>2</v>
      </c>
    </row>
    <row r="305">
      <c r="A305" t="inlineStr">
        <is>
          <t>DISPERSION</t>
        </is>
      </c>
      <c r="B305" t="n">
        <v>8</v>
      </c>
    </row>
    <row r="306">
      <c r="A306" t="inlineStr">
        <is>
          <t>ENERGY</t>
        </is>
      </c>
      <c r="B306" t="n">
        <v>35</v>
      </c>
    </row>
    <row r="307">
      <c r="A307" t="inlineStr">
        <is>
          <t>CONSERVATION</t>
        </is>
      </c>
      <c r="B307" t="n">
        <v>8</v>
      </c>
    </row>
    <row r="308">
      <c r="A308" t="inlineStr">
        <is>
          <t>SYSTEMS</t>
        </is>
      </c>
      <c r="B308" t="n">
        <v>17</v>
      </c>
    </row>
    <row r="309">
      <c r="A309" t="inlineStr">
        <is>
          <t>CARBON</t>
        </is>
      </c>
      <c r="B309" t="n">
        <v>4</v>
      </c>
    </row>
    <row r="310">
      <c r="A310" t="inlineStr">
        <is>
          <t>CHILD HEALTH</t>
        </is>
      </c>
      <c r="B310" t="n">
        <v>1</v>
      </c>
    </row>
    <row r="311">
      <c r="A311" t="inlineStr">
        <is>
          <t>POLLUTION</t>
        </is>
      </c>
      <c r="B311" t="n">
        <v>46</v>
      </c>
    </row>
    <row r="312">
      <c r="A312" t="inlineStr">
        <is>
          <t>BURDEN</t>
        </is>
      </c>
      <c r="B312" t="n">
        <v>6</v>
      </c>
    </row>
    <row r="313">
      <c r="A313" t="inlineStr">
        <is>
          <t>TENURE</t>
        </is>
      </c>
      <c r="B313" t="n">
        <v>1</v>
      </c>
    </row>
    <row r="314">
      <c r="A314" t="inlineStr">
        <is>
          <t>URBAN GREEN SPACE</t>
        </is>
      </c>
      <c r="B314" t="n">
        <v>5</v>
      </c>
    </row>
    <row r="315">
      <c r="A315" t="inlineStr">
        <is>
          <t>GLOBAL BURDEN</t>
        </is>
      </c>
      <c r="B315" t="n">
        <v>11</v>
      </c>
    </row>
    <row r="316">
      <c r="A316" t="inlineStr">
        <is>
          <t>RISK-FACTORS</t>
        </is>
      </c>
      <c r="B316" t="n">
        <v>56</v>
      </c>
    </row>
    <row r="317">
      <c r="A317" t="inlineStr">
        <is>
          <t>SICK BUILDING SYNDROME</t>
        </is>
      </c>
      <c r="B317" t="n">
        <v>26</v>
      </c>
    </row>
    <row r="318">
      <c r="A318" t="inlineStr">
        <is>
          <t>MOLD</t>
        </is>
      </c>
      <c r="B318" t="n">
        <v>4</v>
      </c>
    </row>
    <row r="319">
      <c r="A319" t="inlineStr">
        <is>
          <t>CHALLENGES</t>
        </is>
      </c>
      <c r="B319" t="n">
        <v>16</v>
      </c>
    </row>
    <row r="320">
      <c r="A320" t="inlineStr">
        <is>
          <t>AIR EXCHANGE-RATES</t>
        </is>
      </c>
      <c r="B320" t="n">
        <v>5</v>
      </c>
    </row>
    <row r="321">
      <c r="A321" t="inlineStr">
        <is>
          <t>SECONDARY ORGANIC AEROSOL</t>
        </is>
      </c>
      <c r="B321" t="n">
        <v>3</v>
      </c>
    </row>
    <row r="322">
      <c r="A322" t="inlineStr">
        <is>
          <t>ULTRAFINE PARTICLES</t>
        </is>
      </c>
      <c r="B322" t="n">
        <v>30</v>
      </c>
    </row>
    <row r="323">
      <c r="A323" t="inlineStr">
        <is>
          <t>PARTICULATE MATTER</t>
        </is>
      </c>
      <c r="B323" t="n">
        <v>66</v>
      </c>
    </row>
    <row r="324">
      <c r="A324" t="inlineStr">
        <is>
          <t>VENTILATION STRATEGIES</t>
        </is>
      </c>
      <c r="B324" t="n">
        <v>3</v>
      </c>
    </row>
    <row r="325">
      <c r="A325" t="inlineStr">
        <is>
          <t>SOURCE APPORTIONMENT</t>
        </is>
      </c>
      <c r="B325" t="n">
        <v>18</v>
      </c>
    </row>
    <row r="326">
      <c r="A326" t="inlineStr">
        <is>
          <t>SIZE DISTRIBUTIONS</t>
        </is>
      </c>
      <c r="B326" t="n">
        <v>3</v>
      </c>
    </row>
    <row r="327">
      <c r="A327" t="inlineStr">
        <is>
          <t>DEPOSITION RATES</t>
        </is>
      </c>
      <c r="B327" t="n">
        <v>1</v>
      </c>
    </row>
    <row r="328">
      <c r="A328" t="inlineStr">
        <is>
          <t>AMBIENT</t>
        </is>
      </c>
      <c r="B328" t="n">
        <v>4</v>
      </c>
    </row>
    <row r="329">
      <c r="A329" t="inlineStr">
        <is>
          <t>OUTDOOR</t>
        </is>
      </c>
      <c r="B329" t="n">
        <v>18</v>
      </c>
    </row>
    <row r="330">
      <c r="A330" t="inlineStr">
        <is>
          <t>CHILDHOOD OBESITY</t>
        </is>
      </c>
      <c r="B330" t="n">
        <v>7</v>
      </c>
    </row>
    <row r="331">
      <c r="A331" t="inlineStr">
        <is>
          <t>DETERMINANTS</t>
        </is>
      </c>
      <c r="B331" t="n">
        <v>56</v>
      </c>
    </row>
    <row r="332">
      <c r="A332" t="inlineStr">
        <is>
          <t>URBAN HEAT-ISLAND</t>
        </is>
      </c>
      <c r="B332" t="n">
        <v>5</v>
      </c>
    </row>
    <row r="333">
      <c r="A333" t="inlineStr">
        <is>
          <t>OUTDOOR TEMPERATURE</t>
        </is>
      </c>
      <c r="B333" t="n">
        <v>3</v>
      </c>
    </row>
    <row r="334">
      <c r="A334" t="inlineStr">
        <is>
          <t>ENERGY-CONSUMPTION</t>
        </is>
      </c>
      <c r="B334" t="n">
        <v>13</v>
      </c>
    </row>
    <row r="335">
      <c r="A335" t="inlineStr">
        <is>
          <t>VEGETATION</t>
        </is>
      </c>
      <c r="B335" t="n">
        <v>7</v>
      </c>
    </row>
    <row r="336">
      <c r="A336" t="inlineStr">
        <is>
          <t>SURFACE</t>
        </is>
      </c>
      <c r="B336" t="n">
        <v>3</v>
      </c>
    </row>
    <row r="337">
      <c r="A337" t="inlineStr">
        <is>
          <t>PHYSICAL-ACTIVITY PATTERNS</t>
        </is>
      </c>
      <c r="B337" t="n">
        <v>1</v>
      </c>
    </row>
    <row r="338">
      <c r="A338" t="inlineStr">
        <is>
          <t>CHRONIC DISEASES</t>
        </is>
      </c>
      <c r="B338" t="n">
        <v>2</v>
      </c>
    </row>
    <row r="339">
      <c r="A339" t="inlineStr">
        <is>
          <t>NONCOMMUNICABLE DISEASE</t>
        </is>
      </c>
      <c r="B339" t="n">
        <v>1</v>
      </c>
    </row>
    <row r="340">
      <c r="A340" t="inlineStr">
        <is>
          <t>ECOLOGICAL APPROACH</t>
        </is>
      </c>
      <c r="B340" t="n">
        <v>2</v>
      </c>
    </row>
    <row r="341">
      <c r="A341" t="inlineStr">
        <is>
          <t>DIABETES-MELLITUS</t>
        </is>
      </c>
      <c r="B341" t="n">
        <v>4</v>
      </c>
    </row>
    <row r="342">
      <c r="A342" t="inlineStr">
        <is>
          <t>PUBLIC PARKS</t>
        </is>
      </c>
      <c r="B342" t="n">
        <v>1</v>
      </c>
    </row>
    <row r="343">
      <c r="A343" t="inlineStr">
        <is>
          <t>COLOR-GAMUT</t>
        </is>
      </c>
      <c r="B343" t="n">
        <v>1</v>
      </c>
    </row>
    <row r="344">
      <c r="A344" t="inlineStr">
        <is>
          <t>LANDOLT C</t>
        </is>
      </c>
      <c r="B344" t="n">
        <v>1</v>
      </c>
    </row>
    <row r="345">
      <c r="A345" t="inlineStr">
        <is>
          <t>DISPLAYS</t>
        </is>
      </c>
      <c r="B345" t="n">
        <v>1</v>
      </c>
    </row>
    <row r="346">
      <c r="A346" t="inlineStr">
        <is>
          <t>LIGHT</t>
        </is>
      </c>
      <c r="B346" t="n">
        <v>3</v>
      </c>
    </row>
    <row r="347">
      <c r="A347" t="inlineStr">
        <is>
          <t>GLASS</t>
        </is>
      </c>
      <c r="B347" t="n">
        <v>1</v>
      </c>
    </row>
    <row r="348">
      <c r="A348" t="inlineStr">
        <is>
          <t>TOOL</t>
        </is>
      </c>
      <c r="B348" t="n">
        <v>8</v>
      </c>
    </row>
    <row r="349">
      <c r="A349" t="inlineStr">
        <is>
          <t>FOCUS</t>
        </is>
      </c>
      <c r="B349" t="n">
        <v>5</v>
      </c>
    </row>
    <row r="350">
      <c r="A350" t="inlineStr">
        <is>
          <t>ACTIVITY SCALE</t>
        </is>
      </c>
      <c r="B350" t="n">
        <v>3</v>
      </c>
    </row>
    <row r="351">
      <c r="A351" t="inlineStr">
        <is>
          <t>RECREATION ENVIRONMENTS</t>
        </is>
      </c>
      <c r="B351" t="n">
        <v>1</v>
      </c>
    </row>
    <row r="352">
      <c r="A352" t="inlineStr">
        <is>
          <t>MR. OS</t>
        </is>
      </c>
      <c r="B352" t="n">
        <v>1</v>
      </c>
    </row>
    <row r="353">
      <c r="A353" t="inlineStr">
        <is>
          <t>PASE</t>
        </is>
      </c>
      <c r="B353" t="n">
        <v>1</v>
      </c>
    </row>
    <row r="354">
      <c r="A354" t="inlineStr">
        <is>
          <t>PLAY</t>
        </is>
      </c>
      <c r="B354" t="n">
        <v>4</v>
      </c>
    </row>
    <row r="355">
      <c r="A355" t="inlineStr">
        <is>
          <t>FOOD ENVIRONMENTS</t>
        </is>
      </c>
      <c r="B355" t="n">
        <v>3</v>
      </c>
    </row>
    <row r="356">
      <c r="A356" t="inlineStr">
        <is>
          <t>PERCEIVED NEIGHBORHOOD</t>
        </is>
      </c>
      <c r="B356" t="n">
        <v>2</v>
      </c>
    </row>
    <row r="357">
      <c r="A357" t="inlineStr">
        <is>
          <t>EXERCISE BEHAVIOR</t>
        </is>
      </c>
      <c r="B357" t="n">
        <v>2</v>
      </c>
    </row>
    <row r="358">
      <c r="A358" t="inlineStr">
        <is>
          <t>FOLLOW-UP</t>
        </is>
      </c>
      <c r="B358" t="n">
        <v>6</v>
      </c>
    </row>
    <row r="359">
      <c r="A359" t="inlineStr">
        <is>
          <t>HOUSING CHARACTERISTICS</t>
        </is>
      </c>
      <c r="B359" t="n">
        <v>2</v>
      </c>
    </row>
    <row r="360">
      <c r="A360" t="inlineStr">
        <is>
          <t>AIR-QUALITY</t>
        </is>
      </c>
      <c r="B360" t="n">
        <v>49</v>
      </c>
    </row>
    <row r="361">
      <c r="A361" t="inlineStr">
        <is>
          <t>FORMALDEHYDE</t>
        </is>
      </c>
      <c r="B361" t="n">
        <v>21</v>
      </c>
    </row>
    <row r="362">
      <c r="A362" t="inlineStr">
        <is>
          <t>HOUSEHOLDS</t>
        </is>
      </c>
      <c r="B362" t="n">
        <v>3</v>
      </c>
    </row>
    <row r="363">
      <c r="A363" t="inlineStr">
        <is>
          <t>SYMPTOMS</t>
        </is>
      </c>
      <c r="B363" t="n">
        <v>47</v>
      </c>
    </row>
    <row r="364">
      <c r="A364" t="inlineStr">
        <is>
          <t>SHANGHAI</t>
        </is>
      </c>
      <c r="B364" t="n">
        <v>4</v>
      </c>
    </row>
    <row r="365">
      <c r="A365" t="inlineStr">
        <is>
          <t>DAMPNESS</t>
        </is>
      </c>
      <c r="B365" t="n">
        <v>13</v>
      </c>
    </row>
    <row r="366">
      <c r="A366" t="inlineStr">
        <is>
          <t>INDOOR FACILITIES MANAGEMENT</t>
        </is>
      </c>
      <c r="B366" t="n">
        <v>1</v>
      </c>
    </row>
    <row r="367">
      <c r="A367" t="inlineStr">
        <is>
          <t>COMORBIDITIES</t>
        </is>
      </c>
      <c r="B367" t="n">
        <v>1</v>
      </c>
    </row>
    <row r="368">
      <c r="A368" t="inlineStr">
        <is>
          <t>COMPONENTS</t>
        </is>
      </c>
      <c r="B368" t="n">
        <v>3</v>
      </c>
    </row>
    <row r="369">
      <c r="A369" t="inlineStr">
        <is>
          <t>SCALE</t>
        </is>
      </c>
      <c r="B369" t="n">
        <v>31</v>
      </c>
    </row>
    <row r="370">
      <c r="A370" t="inlineStr">
        <is>
          <t>GREENNESS</t>
        </is>
      </c>
      <c r="B370" t="n">
        <v>5</v>
      </c>
    </row>
    <row r="371">
      <c r="A371" t="inlineStr">
        <is>
          <t>RECREATIONAL WALKING</t>
        </is>
      </c>
      <c r="B371" t="n">
        <v>2</v>
      </c>
    </row>
    <row r="372">
      <c r="A372" t="inlineStr">
        <is>
          <t>UNITED-STATES</t>
        </is>
      </c>
      <c r="B372" t="n">
        <v>34</v>
      </c>
    </row>
    <row r="373">
      <c r="A373" t="inlineStr">
        <is>
          <t>LEISURE</t>
        </is>
      </c>
      <c r="B373" t="n">
        <v>5</v>
      </c>
    </row>
    <row r="374">
      <c r="A374" t="inlineStr">
        <is>
          <t>SIZE</t>
        </is>
      </c>
      <c r="B374" t="n">
        <v>7</v>
      </c>
    </row>
    <row r="375">
      <c r="A375" t="inlineStr">
        <is>
          <t>NEIGHBORHOOD DESIGN</t>
        </is>
      </c>
      <c r="B375" t="n">
        <v>5</v>
      </c>
    </row>
    <row r="376">
      <c r="A376" t="inlineStr">
        <is>
          <t>NETWORKS</t>
        </is>
      </c>
      <c r="B376" t="n">
        <v>4</v>
      </c>
    </row>
    <row r="377">
      <c r="A377" t="inlineStr">
        <is>
          <t>RECOMMENDATIONS</t>
        </is>
      </c>
      <c r="B377" t="n">
        <v>3</v>
      </c>
    </row>
    <row r="378">
      <c r="A378" t="inlineStr">
        <is>
          <t>BUILDING-DESIGN</t>
        </is>
      </c>
      <c r="B378" t="n">
        <v>1</v>
      </c>
    </row>
    <row r="379">
      <c r="A379" t="inlineStr">
        <is>
          <t>OPTIMIZATION</t>
        </is>
      </c>
      <c r="B379" t="n">
        <v>14</v>
      </c>
    </row>
    <row r="380">
      <c r="A380" t="inlineStr">
        <is>
          <t>DESTINATIONS</t>
        </is>
      </c>
      <c r="B380" t="n">
        <v>3</v>
      </c>
    </row>
    <row r="381">
      <c r="A381" t="inlineStr">
        <is>
          <t>AUCKLAND</t>
        </is>
      </c>
      <c r="B381" t="n">
        <v>1</v>
      </c>
    </row>
    <row r="382">
      <c r="A382" t="inlineStr">
        <is>
          <t>STREET CHARACTERISTICS</t>
        </is>
      </c>
      <c r="B382" t="n">
        <v>1</v>
      </c>
    </row>
    <row r="383">
      <c r="A383" t="inlineStr">
        <is>
          <t>SELF-REPORT</t>
        </is>
      </c>
      <c r="B383" t="n">
        <v>1</v>
      </c>
    </row>
    <row r="384">
      <c r="A384" t="inlineStr">
        <is>
          <t>PARTICULATE AIR-POLLUTION</t>
        </is>
      </c>
      <c r="B384" t="n">
        <v>5</v>
      </c>
    </row>
    <row r="385">
      <c r="A385" t="inlineStr">
        <is>
          <t>GERM-FORMATION</t>
        </is>
      </c>
      <c r="B385" t="n">
        <v>1</v>
      </c>
    </row>
    <row r="386">
      <c r="A386" t="inlineStr">
        <is>
          <t>D-LIMONENE</t>
        </is>
      </c>
      <c r="B386" t="n">
        <v>2</v>
      </c>
    </row>
    <row r="387">
      <c r="A387" t="inlineStr">
        <is>
          <t>GROWTH</t>
        </is>
      </c>
      <c r="B387" t="n">
        <v>8</v>
      </c>
    </row>
    <row r="388">
      <c r="A388" t="inlineStr">
        <is>
          <t>NUCLEATION</t>
        </is>
      </c>
      <c r="B388" t="n">
        <v>1</v>
      </c>
    </row>
    <row r="389">
      <c r="A389" t="inlineStr">
        <is>
          <t>DEPOSITION</t>
        </is>
      </c>
      <c r="B389" t="n">
        <v>4</v>
      </c>
    </row>
    <row r="390">
      <c r="A390" t="inlineStr">
        <is>
          <t>NUMBER</t>
        </is>
      </c>
      <c r="B390" t="n">
        <v>3</v>
      </c>
    </row>
    <row r="391">
      <c r="A391" t="inlineStr">
        <is>
          <t>LOW-BACK-PAIN</t>
        </is>
      </c>
      <c r="B391" t="n">
        <v>2</v>
      </c>
    </row>
    <row r="392">
      <c r="A392" t="inlineStr">
        <is>
          <t>BRIGHT LIGHT TREATMENT</t>
        </is>
      </c>
      <c r="B392" t="n">
        <v>1</v>
      </c>
    </row>
    <row r="393">
      <c r="A393" t="inlineStr">
        <is>
          <t>RANDOMIZED CONTROLLED PILOT</t>
        </is>
      </c>
      <c r="B393" t="n">
        <v>1</v>
      </c>
    </row>
    <row r="394">
      <c r="A394" t="inlineStr">
        <is>
          <t>MINDFULNESS MEDITATION</t>
        </is>
      </c>
      <c r="B394" t="n">
        <v>1</v>
      </c>
    </row>
    <row r="395">
      <c r="A395" t="inlineStr">
        <is>
          <t>SLEEP QUALITY</t>
        </is>
      </c>
      <c r="B395" t="n">
        <v>5</v>
      </c>
    </row>
    <row r="396">
      <c r="A396" t="inlineStr">
        <is>
          <t>THERAPY</t>
        </is>
      </c>
      <c r="B396" t="n">
        <v>6</v>
      </c>
    </row>
    <row r="397">
      <c r="A397" t="inlineStr">
        <is>
          <t>MUSIC</t>
        </is>
      </c>
      <c r="B397" t="n">
        <v>2</v>
      </c>
    </row>
    <row r="398">
      <c r="A398" t="inlineStr">
        <is>
          <t>ORGANIC-COMPOUNDS</t>
        </is>
      </c>
      <c r="B398" t="n">
        <v>12</v>
      </c>
    </row>
    <row r="399">
      <c r="A399" t="inlineStr">
        <is>
          <t>EMISSIONS</t>
        </is>
      </c>
      <c r="B399" t="n">
        <v>35</v>
      </c>
    </row>
    <row r="400">
      <c r="A400" t="inlineStr">
        <is>
          <t>VOLATILE</t>
        </is>
      </c>
      <c r="B400" t="n">
        <v>2</v>
      </c>
    </row>
    <row r="401">
      <c r="A401" t="inlineStr">
        <is>
          <t>STANDARDIZATION</t>
        </is>
      </c>
      <c r="B401" t="n">
        <v>1</v>
      </c>
    </row>
    <row r="402">
      <c r="A402" t="inlineStr">
        <is>
          <t>MODEL</t>
        </is>
      </c>
      <c r="B402" t="n">
        <v>50</v>
      </c>
    </row>
    <row r="403">
      <c r="A403" t="inlineStr">
        <is>
          <t>VOC</t>
        </is>
      </c>
      <c r="B403" t="n">
        <v>7</v>
      </c>
    </row>
    <row r="404">
      <c r="A404" t="inlineStr">
        <is>
          <t>QUALITY</t>
        </is>
      </c>
      <c r="B404" t="n">
        <v>82</v>
      </c>
    </row>
    <row r="405">
      <c r="A405" t="inlineStr">
        <is>
          <t>MOOC</t>
        </is>
      </c>
      <c r="B405" t="n">
        <v>1</v>
      </c>
    </row>
    <row r="406">
      <c r="A406" t="inlineStr">
        <is>
          <t>SIMULATION</t>
        </is>
      </c>
      <c r="B406" t="n">
        <v>22</v>
      </c>
    </row>
    <row r="407">
      <c r="A407" t="inlineStr">
        <is>
          <t>WALL</t>
        </is>
      </c>
      <c r="B407" t="n">
        <v>1</v>
      </c>
    </row>
    <row r="408">
      <c r="A408" t="inlineStr">
        <is>
          <t>HEALTH INTERVIEW</t>
        </is>
      </c>
      <c r="B408" t="n">
        <v>1</v>
      </c>
    </row>
    <row r="409">
      <c r="A409" t="inlineStr">
        <is>
          <t>ACTIVITY SPACES</t>
        </is>
      </c>
      <c r="B409" t="n">
        <v>2</v>
      </c>
    </row>
    <row r="410">
      <c r="A410" t="inlineStr">
        <is>
          <t>TRAFFIC DENSITY</t>
        </is>
      </c>
      <c r="B410" t="n">
        <v>1</v>
      </c>
    </row>
    <row r="411">
      <c r="A411" t="inlineStr">
        <is>
          <t>OUTDOOR FALLS</t>
        </is>
      </c>
      <c r="B411" t="n">
        <v>2</v>
      </c>
    </row>
    <row r="412">
      <c r="A412" t="inlineStr">
        <is>
          <t>MULTIFACTORIAL INTERVENTION</t>
        </is>
      </c>
      <c r="B412" t="n">
        <v>1</v>
      </c>
    </row>
    <row r="413">
      <c r="A413" t="inlineStr">
        <is>
          <t>PREVENTION</t>
        </is>
      </c>
      <c r="B413" t="n">
        <v>16</v>
      </c>
    </row>
    <row r="414">
      <c r="A414" t="inlineStr">
        <is>
          <t>INJURIES</t>
        </is>
      </c>
      <c r="B414" t="n">
        <v>5</v>
      </c>
    </row>
    <row r="415">
      <c r="A415" t="inlineStr">
        <is>
          <t>SEDENTARY BEHAVIORS</t>
        </is>
      </c>
      <c r="B415" t="n">
        <v>2</v>
      </c>
    </row>
    <row r="416">
      <c r="A416" t="inlineStr">
        <is>
          <t>STORES</t>
        </is>
      </c>
      <c r="B416" t="n">
        <v>3</v>
      </c>
    </row>
    <row r="417">
      <c r="A417" t="inlineStr">
        <is>
          <t>ADAPTIVE THERMAL COMFORT</t>
        </is>
      </c>
      <c r="B417" t="n">
        <v>2</v>
      </c>
    </row>
    <row r="418">
      <c r="A418" t="inlineStr">
        <is>
          <t>NEW-YORK-CITY</t>
        </is>
      </c>
      <c r="B418" t="n">
        <v>3</v>
      </c>
    </row>
    <row r="419">
      <c r="A419" t="inlineStr">
        <is>
          <t>COOLING SYSTEMS</t>
        </is>
      </c>
      <c r="B419" t="n">
        <v>1</v>
      </c>
    </row>
    <row r="420">
      <c r="A420" t="inlineStr">
        <is>
          <t>WARNING SYSTEM</t>
        </is>
      </c>
      <c r="B420" t="n">
        <v>1</v>
      </c>
    </row>
    <row r="421">
      <c r="A421" t="inlineStr">
        <is>
          <t>EXTREME HEAT</t>
        </is>
      </c>
      <c r="B421" t="n">
        <v>4</v>
      </c>
    </row>
    <row r="422">
      <c r="A422" t="inlineStr">
        <is>
          <t>AFRICAN-AMERICAN</t>
        </is>
      </c>
      <c r="B422" t="n">
        <v>1</v>
      </c>
    </row>
    <row r="423">
      <c r="A423" t="inlineStr">
        <is>
          <t>OLDER</t>
        </is>
      </c>
      <c r="B423" t="n">
        <v>2</v>
      </c>
    </row>
    <row r="424">
      <c r="A424" t="inlineStr">
        <is>
          <t>VALIDATION</t>
        </is>
      </c>
      <c r="B424" t="n">
        <v>31</v>
      </c>
    </row>
    <row r="425">
      <c r="A425" t="inlineStr">
        <is>
          <t>MODE CHOICE</t>
        </is>
      </c>
      <c r="B425" t="n">
        <v>15</v>
      </c>
    </row>
    <row r="426">
      <c r="A426" t="inlineStr">
        <is>
          <t>UNIVERSITY</t>
        </is>
      </c>
      <c r="B426" t="n">
        <v>9</v>
      </c>
    </row>
    <row r="427">
      <c r="A427" t="inlineStr">
        <is>
          <t>ENERGY-EFFICIENT HOMES</t>
        </is>
      </c>
      <c r="B427" t="n">
        <v>1</v>
      </c>
    </row>
    <row r="428">
      <c r="A428" t="inlineStr">
        <is>
          <t>RESPIRATORY HEALTH</t>
        </is>
      </c>
      <c r="B428" t="n">
        <v>10</v>
      </c>
    </row>
    <row r="429">
      <c r="A429" t="inlineStr">
        <is>
          <t>FUNGAL DIVERSITY</t>
        </is>
      </c>
      <c r="B429" t="n">
        <v>3</v>
      </c>
    </row>
    <row r="430">
      <c r="A430" t="inlineStr">
        <is>
          <t>VENTILATION</t>
        </is>
      </c>
      <c r="B430" t="n">
        <v>35</v>
      </c>
    </row>
    <row r="431">
      <c r="A431" t="inlineStr">
        <is>
          <t>SPORES</t>
        </is>
      </c>
      <c r="B431" t="n">
        <v>3</v>
      </c>
    </row>
    <row r="432">
      <c r="A432" t="inlineStr">
        <is>
          <t>METAANALYSIS</t>
        </is>
      </c>
      <c r="B432" t="n">
        <v>23</v>
      </c>
    </row>
    <row r="433">
      <c r="A433" t="inlineStr">
        <is>
          <t>MULTI-HAZARD</t>
        </is>
      </c>
      <c r="B433" t="n">
        <v>1</v>
      </c>
    </row>
    <row r="434">
      <c r="A434" t="inlineStr">
        <is>
          <t>HUMAN-BEHAVIOR</t>
        </is>
      </c>
      <c r="B434" t="n">
        <v>1</v>
      </c>
    </row>
    <row r="435">
      <c r="A435" t="inlineStr">
        <is>
          <t>EVACUATION</t>
        </is>
      </c>
      <c r="B435" t="n">
        <v>2</v>
      </c>
    </row>
    <row r="436">
      <c r="A436" t="inlineStr">
        <is>
          <t>SCENARIOS</t>
        </is>
      </c>
      <c r="B436" t="n">
        <v>3</v>
      </c>
    </row>
    <row r="437">
      <c r="A437" t="inlineStr">
        <is>
          <t>METHODOLOGIES</t>
        </is>
      </c>
      <c r="B437" t="n">
        <v>1</v>
      </c>
    </row>
    <row r="438">
      <c r="A438" t="inlineStr">
        <is>
          <t>CONSEQUENCES</t>
        </is>
      </c>
      <c r="B438" t="n">
        <v>9</v>
      </c>
    </row>
    <row r="439">
      <c r="A439" t="inlineStr">
        <is>
          <t>PEDESTRIANS</t>
        </is>
      </c>
      <c r="B439" t="n">
        <v>1</v>
      </c>
    </row>
    <row r="440">
      <c r="A440" t="inlineStr">
        <is>
          <t>ON-A-CHIP</t>
        </is>
      </c>
      <c r="B440" t="n">
        <v>1</v>
      </c>
    </row>
    <row r="441">
      <c r="A441" t="inlineStr">
        <is>
          <t>TRANSFER EFFICIENCY</t>
        </is>
      </c>
      <c r="B441" t="n">
        <v>1</v>
      </c>
    </row>
    <row r="442">
      <c r="A442" t="inlineStr">
        <is>
          <t>VENTILATION RATES</t>
        </is>
      </c>
      <c r="B442" t="n">
        <v>11</v>
      </c>
    </row>
    <row r="443">
      <c r="A443" t="inlineStr">
        <is>
          <t>INFECTION-CONTROL</t>
        </is>
      </c>
      <c r="B443" t="n">
        <v>2</v>
      </c>
    </row>
    <row r="444">
      <c r="A444" t="inlineStr">
        <is>
          <t>KEY DETERMINANTS</t>
        </is>
      </c>
      <c r="B444" t="n">
        <v>1</v>
      </c>
    </row>
    <row r="445">
      <c r="A445" t="inlineStr">
        <is>
          <t>BACTERIA</t>
        </is>
      </c>
      <c r="B445" t="n">
        <v>10</v>
      </c>
    </row>
    <row r="446">
      <c r="A446" t="inlineStr">
        <is>
          <t>NEIGHBORHOOD OPEN SPACE</t>
        </is>
      </c>
      <c r="B446" t="n">
        <v>2</v>
      </c>
    </row>
    <row r="447">
      <c r="A447" t="inlineStr">
        <is>
          <t>DIFFICULTY</t>
        </is>
      </c>
      <c r="B447" t="n">
        <v>1</v>
      </c>
    </row>
    <row r="448">
      <c r="A448" t="inlineStr">
        <is>
          <t>SHORT-TERM EXPOSURE</t>
        </is>
      </c>
      <c r="B448" t="n">
        <v>2</v>
      </c>
    </row>
    <row r="449">
      <c r="A449" t="inlineStr">
        <is>
          <t>DEPRIVATION</t>
        </is>
      </c>
      <c r="B449" t="n">
        <v>9</v>
      </c>
    </row>
    <row r="450">
      <c r="A450" t="inlineStr">
        <is>
          <t>BUFFER</t>
        </is>
      </c>
      <c r="B450" t="n">
        <v>3</v>
      </c>
    </row>
    <row r="451">
      <c r="A451" t="inlineStr">
        <is>
          <t>CULTURE</t>
        </is>
      </c>
      <c r="B451" t="n">
        <v>1</v>
      </c>
    </row>
    <row r="452">
      <c r="A452" t="inlineStr">
        <is>
          <t>LOCK-IN</t>
        </is>
      </c>
      <c r="B452" t="n">
        <v>1</v>
      </c>
    </row>
    <row r="453">
      <c r="A453" t="inlineStr">
        <is>
          <t>TRANSFORMATION</t>
        </is>
      </c>
      <c r="B453" t="n">
        <v>2</v>
      </c>
    </row>
    <row r="454">
      <c r="A454" t="inlineStr">
        <is>
          <t>TECHNOLOGY</t>
        </is>
      </c>
      <c r="B454" t="n">
        <v>19</v>
      </c>
    </row>
    <row r="455">
      <c r="A455" t="inlineStr">
        <is>
          <t>GOVERNANCE</t>
        </is>
      </c>
      <c r="B455" t="n">
        <v>4</v>
      </c>
    </row>
    <row r="456">
      <c r="A456" t="inlineStr">
        <is>
          <t>CITIES</t>
        </is>
      </c>
      <c r="B456" t="n">
        <v>27</v>
      </c>
    </row>
    <row r="457">
      <c r="A457" t="inlineStr">
        <is>
          <t>CHRONIC DISEASE</t>
        </is>
      </c>
      <c r="B457" t="n">
        <v>2</v>
      </c>
    </row>
    <row r="458">
      <c r="A458" t="inlineStr">
        <is>
          <t>HEALTH-RISKS</t>
        </is>
      </c>
      <c r="B458" t="n">
        <v>5</v>
      </c>
    </row>
    <row r="459">
      <c r="A459" t="inlineStr">
        <is>
          <t>ENVIRONMENT</t>
        </is>
      </c>
      <c r="B459" t="n">
        <v>70</v>
      </c>
    </row>
    <row r="460">
      <c r="A460" t="inlineStr">
        <is>
          <t>ELECTRICITY CONSUMPTION</t>
        </is>
      </c>
      <c r="B460" t="n">
        <v>5</v>
      </c>
    </row>
    <row r="461">
      <c r="A461" t="inlineStr">
        <is>
          <t>MODELING METHODOLOGIES</t>
        </is>
      </c>
      <c r="B461" t="n">
        <v>1</v>
      </c>
    </row>
    <row r="462">
      <c r="A462" t="inlineStr">
        <is>
          <t>OFFICE BUILDINGS</t>
        </is>
      </c>
      <c r="B462" t="n">
        <v>16</v>
      </c>
    </row>
    <row r="463">
      <c r="A463" t="inlineStr">
        <is>
          <t>PREDICTION</t>
        </is>
      </c>
      <c r="B463" t="n">
        <v>13</v>
      </c>
    </row>
    <row r="464">
      <c r="A464" t="inlineStr">
        <is>
          <t>EFFICIENCY</t>
        </is>
      </c>
      <c r="B464" t="n">
        <v>18</v>
      </c>
    </row>
    <row r="465">
      <c r="A465" t="inlineStr">
        <is>
          <t>CALIBRATION</t>
        </is>
      </c>
      <c r="B465" t="n">
        <v>6</v>
      </c>
    </row>
    <row r="466">
      <c r="A466" t="inlineStr">
        <is>
          <t>PARAMETERS</t>
        </is>
      </c>
      <c r="B466" t="n">
        <v>7</v>
      </c>
    </row>
    <row r="467">
      <c r="A467" t="inlineStr">
        <is>
          <t>OF-THE-ART</t>
        </is>
      </c>
      <c r="B467" t="n">
        <v>3</v>
      </c>
    </row>
    <row r="468">
      <c r="A468" t="inlineStr">
        <is>
          <t>VACUUM INSULATION</t>
        </is>
      </c>
      <c r="B468" t="n">
        <v>1</v>
      </c>
    </row>
    <row r="469">
      <c r="A469" t="inlineStr">
        <is>
          <t>POLYURETHANE</t>
        </is>
      </c>
      <c r="B469" t="n">
        <v>1</v>
      </c>
    </row>
    <row r="470">
      <c r="A470" t="inlineStr">
        <is>
          <t>GREEN ROOFS</t>
        </is>
      </c>
      <c r="B470" t="n">
        <v>4</v>
      </c>
    </row>
    <row r="471">
      <c r="A471" t="inlineStr">
        <is>
          <t>SCENARIO DISCOVERY</t>
        </is>
      </c>
      <c r="B471" t="n">
        <v>1</v>
      </c>
    </row>
    <row r="472">
      <c r="A472" t="inlineStr">
        <is>
          <t>RUNOFF MITIGATION</t>
        </is>
      </c>
      <c r="B472" t="n">
        <v>1</v>
      </c>
    </row>
    <row r="473">
      <c r="A473" t="inlineStr">
        <is>
          <t>URBAN-ENVIRONMENT</t>
        </is>
      </c>
      <c r="B473" t="n">
        <v>3</v>
      </c>
    </row>
    <row r="474">
      <c r="A474" t="inlineStr">
        <is>
          <t>WATER</t>
        </is>
      </c>
      <c r="B474" t="n">
        <v>14</v>
      </c>
    </row>
    <row r="475">
      <c r="A475" t="inlineStr">
        <is>
          <t>LESSONS</t>
        </is>
      </c>
      <c r="B475" t="n">
        <v>4</v>
      </c>
    </row>
    <row r="476">
      <c r="A476" t="inlineStr">
        <is>
          <t>TURKEY</t>
        </is>
      </c>
      <c r="B476" t="n">
        <v>1</v>
      </c>
    </row>
    <row r="477">
      <c r="A477" t="inlineStr">
        <is>
          <t>DWELLINGS</t>
        </is>
      </c>
      <c r="B477" t="n">
        <v>18</v>
      </c>
    </row>
    <row r="478">
      <c r="A478" t="inlineStr">
        <is>
          <t>RN-222</t>
        </is>
      </c>
      <c r="B478" t="n">
        <v>4</v>
      </c>
    </row>
    <row r="479">
      <c r="A479" t="inlineStr">
        <is>
          <t>BURSA</t>
        </is>
      </c>
      <c r="B479" t="n">
        <v>1</v>
      </c>
    </row>
    <row r="480">
      <c r="A480" t="inlineStr">
        <is>
          <t>GREENHOUSE-GAS EMISSIONS</t>
        </is>
      </c>
      <c r="B480" t="n">
        <v>7</v>
      </c>
    </row>
    <row r="481">
      <c r="A481" t="inlineStr">
        <is>
          <t>LAND-USE REGULATION</t>
        </is>
      </c>
      <c r="B481" t="n">
        <v>1</v>
      </c>
    </row>
    <row r="482">
      <c r="A482" t="inlineStr">
        <is>
          <t>PUBLIC SPACE</t>
        </is>
      </c>
      <c r="B482" t="n">
        <v>2</v>
      </c>
    </row>
    <row r="483">
      <c r="A483" t="inlineStr">
        <is>
          <t>STREET</t>
        </is>
      </c>
      <c r="B483" t="n">
        <v>1</v>
      </c>
    </row>
    <row r="484">
      <c r="A484" t="inlineStr">
        <is>
          <t>CREATING CHILD</t>
        </is>
      </c>
      <c r="B484" t="n">
        <v>1</v>
      </c>
    </row>
    <row r="485">
      <c r="A485" t="inlineStr">
        <is>
          <t>URBAN NEIGHBORHOODS</t>
        </is>
      </c>
      <c r="B485" t="n">
        <v>2</v>
      </c>
    </row>
    <row r="486">
      <c r="A486" t="inlineStr">
        <is>
          <t>COMMUNITIES</t>
        </is>
      </c>
      <c r="B486" t="n">
        <v>8</v>
      </c>
    </row>
    <row r="487">
      <c r="A487" t="inlineStr">
        <is>
          <t>AFFORDANCES</t>
        </is>
      </c>
      <c r="B487" t="n">
        <v>4</v>
      </c>
    </row>
    <row r="488">
      <c r="A488" t="inlineStr">
        <is>
          <t>SPACES</t>
        </is>
      </c>
      <c r="B488" t="n">
        <v>6</v>
      </c>
    </row>
    <row r="489">
      <c r="A489" t="inlineStr">
        <is>
          <t>ENERGY-BALANCE</t>
        </is>
      </c>
      <c r="B489" t="n">
        <v>1</v>
      </c>
    </row>
    <row r="490">
      <c r="A490" t="inlineStr">
        <is>
          <t>ACTIVITY QUESTIONNAIRE</t>
        </is>
      </c>
      <c r="B490" t="n">
        <v>9</v>
      </c>
    </row>
    <row r="491">
      <c r="A491" t="inlineStr">
        <is>
          <t>WEATHER CONDITIONS</t>
        </is>
      </c>
      <c r="B491" t="n">
        <v>3</v>
      </c>
    </row>
    <row r="492">
      <c r="A492" t="inlineStr">
        <is>
          <t>RETIREMENT</t>
        </is>
      </c>
      <c r="B492" t="n">
        <v>7</v>
      </c>
    </row>
    <row r="493">
      <c r="A493" t="inlineStr">
        <is>
          <t>SOCIAL DETERMINANTS</t>
        </is>
      </c>
      <c r="B493" t="n">
        <v>4</v>
      </c>
    </row>
    <row r="494">
      <c r="A494" t="inlineStr">
        <is>
          <t>DEPRESSIVE SYMPTOMS</t>
        </is>
      </c>
      <c r="B494" t="n">
        <v>25</v>
      </c>
    </row>
    <row r="495">
      <c r="A495" t="inlineStr">
        <is>
          <t>NEIGHBORHOOD PERCEPTIONS</t>
        </is>
      </c>
      <c r="B495" t="n">
        <v>1</v>
      </c>
    </row>
    <row r="496">
      <c r="A496" t="inlineStr">
        <is>
          <t>COGNITIVE FUNCTION</t>
        </is>
      </c>
      <c r="B496" t="n">
        <v>10</v>
      </c>
    </row>
    <row r="497">
      <c r="A497" t="inlineStr">
        <is>
          <t>IN-USE STOCKS</t>
        </is>
      </c>
      <c r="B497" t="n">
        <v>3</v>
      </c>
    </row>
    <row r="498">
      <c r="A498" t="inlineStr">
        <is>
          <t>ECONOMIC-GROWTH</t>
        </is>
      </c>
      <c r="B498" t="n">
        <v>3</v>
      </c>
    </row>
    <row r="499">
      <c r="A499" t="inlineStr">
        <is>
          <t>POLICY</t>
        </is>
      </c>
      <c r="B499" t="n">
        <v>15</v>
      </c>
    </row>
    <row r="500">
      <c r="A500" t="inlineStr">
        <is>
          <t>STEEL</t>
        </is>
      </c>
      <c r="B500" t="n">
        <v>3</v>
      </c>
    </row>
    <row r="501">
      <c r="A501" t="inlineStr">
        <is>
          <t>TRANSIT</t>
        </is>
      </c>
      <c r="B501" t="n">
        <v>6</v>
      </c>
    </row>
    <row r="502">
      <c r="A502" t="inlineStr">
        <is>
          <t>AGE</t>
        </is>
      </c>
      <c r="B502" t="n">
        <v>44</v>
      </c>
    </row>
    <row r="503">
      <c r="A503" t="inlineStr">
        <is>
          <t>DIGITAL PHOTOGRAMMETRY</t>
        </is>
      </c>
      <c r="B503" t="n">
        <v>1</v>
      </c>
    </row>
    <row r="504">
      <c r="A504" t="inlineStr">
        <is>
          <t>PRESERVATION</t>
        </is>
      </c>
      <c r="B504" t="n">
        <v>1</v>
      </c>
    </row>
    <row r="505">
      <c r="A505" t="inlineStr">
        <is>
          <t>METHODOLOGY</t>
        </is>
      </c>
      <c r="B505" t="n">
        <v>6</v>
      </c>
    </row>
    <row r="506">
      <c r="A506" t="inlineStr">
        <is>
          <t>CAMERAS</t>
        </is>
      </c>
      <c r="B506" t="n">
        <v>1</v>
      </c>
    </row>
    <row r="507">
      <c r="A507" t="inlineStr">
        <is>
          <t>SOCIAL SUSTAINABILITY</t>
        </is>
      </c>
      <c r="B507" t="n">
        <v>2</v>
      </c>
    </row>
    <row r="508">
      <c r="A508" t="inlineStr">
        <is>
          <t>PPGIS</t>
        </is>
      </c>
      <c r="B508" t="n">
        <v>2</v>
      </c>
    </row>
    <row r="509">
      <c r="A509" t="inlineStr">
        <is>
          <t>OLDER-PEOPLE</t>
        </is>
      </c>
      <c r="B509" t="n">
        <v>3</v>
      </c>
    </row>
    <row r="510">
      <c r="A510" t="inlineStr">
        <is>
          <t>VOLATILE ORGANIC-COMPOUNDS</t>
        </is>
      </c>
      <c r="B510" t="n">
        <v>64</v>
      </c>
    </row>
    <row r="511">
      <c r="A511" t="inlineStr">
        <is>
          <t>INDICATORS</t>
        </is>
      </c>
      <c r="B511" t="n">
        <v>7</v>
      </c>
    </row>
    <row r="512">
      <c r="A512" t="inlineStr">
        <is>
          <t>INITIATIVES</t>
        </is>
      </c>
      <c r="B512" t="n">
        <v>2</v>
      </c>
    </row>
    <row r="513">
      <c r="A513" t="inlineStr">
        <is>
          <t>DIFFERENCE</t>
        </is>
      </c>
      <c r="B513" t="n">
        <v>1</v>
      </c>
    </row>
    <row r="514">
      <c r="A514" t="inlineStr">
        <is>
          <t>RESIDENTIAL BUILDINGS</t>
        </is>
      </c>
      <c r="B514" t="n">
        <v>27</v>
      </c>
    </row>
    <row r="515">
      <c r="A515" t="inlineStr">
        <is>
          <t>SWEDEN</t>
        </is>
      </c>
      <c r="B515" t="n">
        <v>3</v>
      </c>
    </row>
    <row r="516">
      <c r="A516" t="inlineStr">
        <is>
          <t>EXPERIENCES</t>
        </is>
      </c>
      <c r="B516" t="n">
        <v>9</v>
      </c>
    </row>
    <row r="517">
      <c r="A517" t="inlineStr">
        <is>
          <t>APARTMENT</t>
        </is>
      </c>
      <c r="B517" t="n">
        <v>1</v>
      </c>
    </row>
    <row r="518">
      <c r="A518" t="inlineStr">
        <is>
          <t>TSUNAMI EVACUATION</t>
        </is>
      </c>
      <c r="B518" t="n">
        <v>1</v>
      </c>
    </row>
    <row r="519">
      <c r="A519" t="inlineStr">
        <is>
          <t>URBAN MORPHOLOGY</t>
        </is>
      </c>
      <c r="B519" t="n">
        <v>1</v>
      </c>
    </row>
    <row r="520">
      <c r="A520" t="inlineStr">
        <is>
          <t>RESILIENCE</t>
        </is>
      </c>
      <c r="B520" t="n">
        <v>3</v>
      </c>
    </row>
    <row r="521">
      <c r="A521" t="inlineStr">
        <is>
          <t>TRAVEL DEMAND</t>
        </is>
      </c>
      <c r="B521" t="n">
        <v>2</v>
      </c>
    </row>
    <row r="522">
      <c r="A522" t="inlineStr">
        <is>
          <t>LIFE-STYLE</t>
        </is>
      </c>
      <c r="B522" t="n">
        <v>9</v>
      </c>
    </row>
    <row r="523">
      <c r="A523" t="inlineStr">
        <is>
          <t>TRIP GENERATION</t>
        </is>
      </c>
      <c r="B523" t="n">
        <v>1</v>
      </c>
    </row>
    <row r="524">
      <c r="A524" t="inlineStr">
        <is>
          <t>FOOD CHOICE</t>
        </is>
      </c>
      <c r="B524" t="n">
        <v>1</v>
      </c>
    </row>
    <row r="525">
      <c r="A525" t="inlineStr">
        <is>
          <t>NUTRITION</t>
        </is>
      </c>
      <c r="B525" t="n">
        <v>8</v>
      </c>
    </row>
    <row r="526">
      <c r="A526" t="inlineStr">
        <is>
          <t>ACTIVE SCHOOL TRANSPORT</t>
        </is>
      </c>
      <c r="B526" t="n">
        <v>1</v>
      </c>
    </row>
    <row r="527">
      <c r="A527" t="inlineStr">
        <is>
          <t>PSYCHOSOCIAL FACTORS</t>
        </is>
      </c>
      <c r="B527" t="n">
        <v>5</v>
      </c>
    </row>
    <row r="528">
      <c r="A528" t="inlineStr">
        <is>
          <t>SOCIAL-ENVIRONMENT</t>
        </is>
      </c>
      <c r="B528" t="n">
        <v>7</v>
      </c>
    </row>
    <row r="529">
      <c r="A529" t="inlineStr">
        <is>
          <t>PARENTAL PERCEPTIONS</t>
        </is>
      </c>
      <c r="B529" t="n">
        <v>2</v>
      </c>
    </row>
    <row r="530">
      <c r="A530" t="inlineStr">
        <is>
          <t>CRITERION DISTANCES</t>
        </is>
      </c>
      <c r="B530" t="n">
        <v>1</v>
      </c>
    </row>
    <row r="531">
      <c r="A531" t="inlineStr">
        <is>
          <t>PERSPECTIVE</t>
        </is>
      </c>
      <c r="B531" t="n">
        <v>5</v>
      </c>
    </row>
    <row r="532">
      <c r="A532" t="inlineStr">
        <is>
          <t>GREEN INFRASTRUCTURE</t>
        </is>
      </c>
      <c r="B532" t="n">
        <v>4</v>
      </c>
    </row>
    <row r="533">
      <c r="A533" t="inlineStr">
        <is>
          <t>HUMAN HEALTH</t>
        </is>
      </c>
      <c r="B533" t="n">
        <v>8</v>
      </c>
    </row>
    <row r="534">
      <c r="A534" t="inlineStr">
        <is>
          <t>LONG-TERM EXPOSURE</t>
        </is>
      </c>
      <c r="B534" t="n">
        <v>18</v>
      </c>
    </row>
    <row r="535">
      <c r="A535" t="inlineStr">
        <is>
          <t>LUNG-CANCER</t>
        </is>
      </c>
      <c r="B535" t="n">
        <v>12</v>
      </c>
    </row>
    <row r="536">
      <c r="A536" t="inlineStr">
        <is>
          <t>PARTICLES</t>
        </is>
      </c>
      <c r="B536" t="n">
        <v>15</v>
      </c>
    </row>
    <row r="537">
      <c r="A537" t="inlineStr">
        <is>
          <t>RADON</t>
        </is>
      </c>
      <c r="B537" t="n">
        <v>3</v>
      </c>
    </row>
    <row r="538">
      <c r="A538" t="inlineStr">
        <is>
          <t>TEMPERATURES</t>
        </is>
      </c>
      <c r="B538" t="n">
        <v>2</v>
      </c>
    </row>
    <row r="539">
      <c r="A539" t="inlineStr">
        <is>
          <t>POLICIES</t>
        </is>
      </c>
      <c r="B539" t="n">
        <v>8</v>
      </c>
    </row>
    <row r="540">
      <c r="A540" t="inlineStr">
        <is>
          <t>FINE</t>
        </is>
      </c>
      <c r="B540" t="n">
        <v>9</v>
      </c>
    </row>
    <row r="541">
      <c r="A541" t="inlineStr">
        <is>
          <t>COLD WINTER ZONE</t>
        </is>
      </c>
      <c r="B541" t="n">
        <v>1</v>
      </c>
    </row>
    <row r="542">
      <c r="A542" t="inlineStr">
        <is>
          <t>HOT SUMMER</t>
        </is>
      </c>
      <c r="B542" t="n">
        <v>1</v>
      </c>
    </row>
    <row r="543">
      <c r="A543" t="inlineStr">
        <is>
          <t>HARNESSING TECHNOLOGY</t>
        </is>
      </c>
      <c r="B543" t="n">
        <v>1</v>
      </c>
    </row>
    <row r="544">
      <c r="A544" t="inlineStr">
        <is>
          <t>INFORMATION</t>
        </is>
      </c>
      <c r="B544" t="n">
        <v>9</v>
      </c>
    </row>
    <row r="545">
      <c r="A545" t="inlineStr">
        <is>
          <t>ISSUES</t>
        </is>
      </c>
      <c r="B545" t="n">
        <v>2</v>
      </c>
    </row>
    <row r="546">
      <c r="A546" t="inlineStr">
        <is>
          <t>CHILDREN ATTENDING SCHOOLS</t>
        </is>
      </c>
      <c r="B546" t="n">
        <v>2</v>
      </c>
    </row>
    <row r="547">
      <c r="A547" t="inlineStr">
        <is>
          <t>OUTDOOR AIR-POLLUTION</t>
        </is>
      </c>
      <c r="B547" t="n">
        <v>2</v>
      </c>
    </row>
    <row r="548">
      <c r="A548" t="inlineStr">
        <is>
          <t>NITROGEN-DIOXIDE NO2</t>
        </is>
      </c>
      <c r="B548" t="n">
        <v>1</v>
      </c>
    </row>
    <row r="549">
      <c r="A549" t="inlineStr">
        <is>
          <t>PERSONAL EXPOSURE</t>
        </is>
      </c>
      <c r="B549" t="n">
        <v>16</v>
      </c>
    </row>
    <row r="550">
      <c r="A550" t="inlineStr">
        <is>
          <t>AUTOMOBILE EXHAUST</t>
        </is>
      </c>
      <c r="B550" t="n">
        <v>1</v>
      </c>
    </row>
    <row r="551">
      <c r="A551" t="inlineStr">
        <is>
          <t>ELEMENTARY-SCHOOLS</t>
        </is>
      </c>
      <c r="B551" t="n">
        <v>10</v>
      </c>
    </row>
    <row r="552">
      <c r="A552" t="inlineStr">
        <is>
          <t>BUSY ROADS</t>
        </is>
      </c>
      <c r="B552" t="n">
        <v>1</v>
      </c>
    </row>
    <row r="553">
      <c r="A553" t="inlineStr">
        <is>
          <t>CACERES SPAIN</t>
        </is>
      </c>
      <c r="B553" t="n">
        <v>1</v>
      </c>
    </row>
    <row r="554">
      <c r="A554" t="inlineStr">
        <is>
          <t>SOIL-GAS</t>
        </is>
      </c>
      <c r="B554" t="n">
        <v>6</v>
      </c>
    </row>
    <row r="555">
      <c r="A555" t="inlineStr">
        <is>
          <t>MAPS</t>
        </is>
      </c>
      <c r="B555" t="n">
        <v>3</v>
      </c>
    </row>
    <row r="556">
      <c r="A556" t="inlineStr">
        <is>
          <t>EXHALATION</t>
        </is>
      </c>
      <c r="B556" t="n">
        <v>2</v>
      </c>
    </row>
    <row r="557">
      <c r="A557" t="inlineStr">
        <is>
          <t>EUROPE</t>
        </is>
      </c>
      <c r="B557" t="n">
        <v>4</v>
      </c>
    </row>
    <row r="558">
      <c r="A558" t="inlineStr">
        <is>
          <t>HAZARD</t>
        </is>
      </c>
      <c r="B558" t="n">
        <v>3</v>
      </c>
    </row>
    <row r="559">
      <c r="A559" t="inlineStr">
        <is>
          <t>GOOGLE STREET VIEW</t>
        </is>
      </c>
      <c r="B559" t="n">
        <v>3</v>
      </c>
    </row>
    <row r="560">
      <c r="A560" t="inlineStr">
        <is>
          <t>QUALITIES</t>
        </is>
      </c>
      <c r="B560" t="n">
        <v>1</v>
      </c>
    </row>
    <row r="561">
      <c r="A561" t="inlineStr">
        <is>
          <t>SUSTAINABILITY</t>
        </is>
      </c>
      <c r="B561" t="n">
        <v>16</v>
      </c>
    </row>
    <row r="562">
      <c r="A562" t="inlineStr">
        <is>
          <t>INDOOR PLANTS</t>
        </is>
      </c>
      <c r="B562" t="n">
        <v>3</v>
      </c>
    </row>
    <row r="563">
      <c r="A563" t="inlineStr">
        <is>
          <t>URBAN BUILT ENVIRONMENT</t>
        </is>
      </c>
      <c r="B563" t="n">
        <v>5</v>
      </c>
    </row>
    <row r="564">
      <c r="A564" t="inlineStr">
        <is>
          <t>RATED HEALTH</t>
        </is>
      </c>
      <c r="B564" t="n">
        <v>2</v>
      </c>
    </row>
    <row r="565">
      <c r="A565" t="inlineStr">
        <is>
          <t>PHYSICAL-ACTIVITY QUESTIONNAIRE</t>
        </is>
      </c>
      <c r="B565" t="n">
        <v>5</v>
      </c>
    </row>
    <row r="566">
      <c r="A566" t="inlineStr">
        <is>
          <t>TEST-RETEST RELIABILITY</t>
        </is>
      </c>
      <c r="B566" t="n">
        <v>2</v>
      </c>
    </row>
    <row r="567">
      <c r="A567" t="inlineStr">
        <is>
          <t>NUTRITION ENVIRONMENT</t>
        </is>
      </c>
      <c r="B567" t="n">
        <v>1</v>
      </c>
    </row>
    <row r="568">
      <c r="A568" t="inlineStr">
        <is>
          <t>LOW-INCOME</t>
        </is>
      </c>
      <c r="B568" t="n">
        <v>6</v>
      </c>
    </row>
    <row r="569">
      <c r="A569" t="inlineStr">
        <is>
          <t>FOOD ENVIRONMENT</t>
        </is>
      </c>
      <c r="B569" t="n">
        <v>3</v>
      </c>
    </row>
    <row r="570">
      <c r="A570" t="inlineStr">
        <is>
          <t>AUDIT INSTRUMENT</t>
        </is>
      </c>
      <c r="B570" t="n">
        <v>1</v>
      </c>
    </row>
    <row r="571">
      <c r="A571" t="inlineStr">
        <is>
          <t>CONSTRUCT-VALIDITY</t>
        </is>
      </c>
      <c r="B571" t="n">
        <v>1</v>
      </c>
    </row>
    <row r="572">
      <c r="A572" t="inlineStr">
        <is>
          <t>SHOPPING BEHAVIOR</t>
        </is>
      </c>
      <c r="B572" t="n">
        <v>1</v>
      </c>
    </row>
    <row r="573">
      <c r="A573" t="inlineStr">
        <is>
          <t>INEQUALITIES</t>
        </is>
      </c>
      <c r="B573" t="n">
        <v>10</v>
      </c>
    </row>
    <row r="574">
      <c r="A574" t="inlineStr">
        <is>
          <t>BREAST-CANCER</t>
        </is>
      </c>
      <c r="B574" t="n">
        <v>1</v>
      </c>
    </row>
    <row r="575">
      <c r="A575" t="inlineStr">
        <is>
          <t>HEALTH-INSURANCE</t>
        </is>
      </c>
      <c r="B575" t="n">
        <v>1</v>
      </c>
    </row>
    <row r="576">
      <c r="A576" t="inlineStr">
        <is>
          <t>PROSTATE-CANCER</t>
        </is>
      </c>
      <c r="B576" t="n">
        <v>1</v>
      </c>
    </row>
    <row r="577">
      <c r="A577" t="inlineStr">
        <is>
          <t>SURVIVORS</t>
        </is>
      </c>
      <c r="B577" t="n">
        <v>3</v>
      </c>
    </row>
    <row r="578">
      <c r="A578" t="inlineStr">
        <is>
          <t>BUILDING FACADE</t>
        </is>
      </c>
      <c r="B578" t="n">
        <v>1</v>
      </c>
    </row>
    <row r="579">
      <c r="A579" t="inlineStr">
        <is>
          <t>NOISE EXPOSURE</t>
        </is>
      </c>
      <c r="B579" t="n">
        <v>1</v>
      </c>
    </row>
    <row r="580">
      <c r="A580" t="inlineStr">
        <is>
          <t>TRAFFIC NOISE</t>
        </is>
      </c>
      <c r="B580" t="n">
        <v>7</v>
      </c>
    </row>
    <row r="581">
      <c r="A581" t="inlineStr">
        <is>
          <t>SCALE-MODEL</t>
        </is>
      </c>
      <c r="B581" t="n">
        <v>1</v>
      </c>
    </row>
    <row r="582">
      <c r="A582" t="inlineStr">
        <is>
          <t>STREET CANYONS</t>
        </is>
      </c>
      <c r="B582" t="n">
        <v>4</v>
      </c>
    </row>
    <row r="583">
      <c r="A583" t="inlineStr">
        <is>
          <t>PROPAGATION</t>
        </is>
      </c>
      <c r="B583" t="n">
        <v>1</v>
      </c>
    </row>
    <row r="584">
      <c r="A584" t="inlineStr">
        <is>
          <t>MORPHOLOGY</t>
        </is>
      </c>
      <c r="B584" t="n">
        <v>2</v>
      </c>
    </row>
    <row r="585">
      <c r="A585" t="inlineStr">
        <is>
          <t>REDUCTION</t>
        </is>
      </c>
      <c r="B585" t="n">
        <v>6</v>
      </c>
    </row>
    <row r="586">
      <c r="A586" t="inlineStr">
        <is>
          <t>SCATTERING</t>
        </is>
      </c>
      <c r="B586" t="n">
        <v>1</v>
      </c>
    </row>
    <row r="587">
      <c r="A587" t="inlineStr">
        <is>
          <t>VICTIMIZATION</t>
        </is>
      </c>
      <c r="B587" t="n">
        <v>2</v>
      </c>
    </row>
    <row r="588">
      <c r="A588" t="inlineStr">
        <is>
          <t>CHILDHOOD</t>
        </is>
      </c>
      <c r="B588" t="n">
        <v>5</v>
      </c>
    </row>
    <row r="589">
      <c r="A589" t="inlineStr">
        <is>
          <t>VIOLENCE</t>
        </is>
      </c>
      <c r="B589" t="n">
        <v>1</v>
      </c>
    </row>
    <row r="590">
      <c r="A590" t="inlineStr">
        <is>
          <t>ACTIVITY PATTERNS</t>
        </is>
      </c>
      <c r="B590" t="n">
        <v>1</v>
      </c>
    </row>
    <row r="591">
      <c r="A591" t="inlineStr">
        <is>
          <t>WALKING ACTIVITY</t>
        </is>
      </c>
      <c r="B591" t="n">
        <v>7</v>
      </c>
    </row>
    <row r="592">
      <c r="A592" t="inlineStr">
        <is>
          <t>ENVI-MET</t>
        </is>
      </c>
      <c r="B592" t="n">
        <v>1</v>
      </c>
    </row>
    <row r="593">
      <c r="A593" t="inlineStr">
        <is>
          <t>EFFECTIVE ALBEDO</t>
        </is>
      </c>
      <c r="B593" t="n">
        <v>1</v>
      </c>
    </row>
    <row r="594">
      <c r="A594" t="inlineStr">
        <is>
          <t>MITIGATION</t>
        </is>
      </c>
      <c r="B594" t="n">
        <v>4</v>
      </c>
    </row>
    <row r="595">
      <c r="A595" t="inlineStr">
        <is>
          <t>CANYON</t>
        </is>
      </c>
      <c r="B595" t="n">
        <v>2</v>
      </c>
    </row>
    <row r="596">
      <c r="A596" t="inlineStr">
        <is>
          <t>OF-LIFE</t>
        </is>
      </c>
      <c r="B596" t="n">
        <v>1</v>
      </c>
    </row>
    <row r="597">
      <c r="A597" t="inlineStr">
        <is>
          <t>COLOR-VISION IMPAIRMENT</t>
        </is>
      </c>
      <c r="B597" t="n">
        <v>1</v>
      </c>
    </row>
    <row r="598">
      <c r="A598" t="inlineStr">
        <is>
          <t>TOLUENE</t>
        </is>
      </c>
      <c r="B598" t="n">
        <v>3</v>
      </c>
    </row>
    <row r="599">
      <c r="A599" t="inlineStr">
        <is>
          <t>ACETALDEHYDE</t>
        </is>
      </c>
      <c r="B599" t="n">
        <v>2</v>
      </c>
    </row>
    <row r="600">
      <c r="A600" t="inlineStr">
        <is>
          <t>HYGIENE</t>
        </is>
      </c>
      <c r="B600" t="n">
        <v>1</v>
      </c>
    </row>
    <row r="601">
      <c r="A601" t="inlineStr">
        <is>
          <t>HEALTHY</t>
        </is>
      </c>
      <c r="B601" t="n">
        <v>3</v>
      </c>
    </row>
    <row r="602">
      <c r="A602" t="inlineStr">
        <is>
          <t>FOLIAGE PLANT</t>
        </is>
      </c>
      <c r="B602" t="n">
        <v>1</v>
      </c>
    </row>
    <row r="603">
      <c r="A603" t="inlineStr">
        <is>
          <t>REMOVAL</t>
        </is>
      </c>
      <c r="B603" t="n">
        <v>10</v>
      </c>
    </row>
    <row r="604">
      <c r="A604" t="inlineStr">
        <is>
          <t>CLASSROOMS</t>
        </is>
      </c>
      <c r="B604" t="n">
        <v>6</v>
      </c>
    </row>
    <row r="605">
      <c r="A605" t="inlineStr">
        <is>
          <t>MICROCOSM</t>
        </is>
      </c>
      <c r="B605" t="n">
        <v>2</v>
      </c>
    </row>
    <row r="606">
      <c r="A606" t="inlineStr">
        <is>
          <t>PHYSICAL-ACTIVITY LEVELS</t>
        </is>
      </c>
      <c r="B606" t="n">
        <v>3</v>
      </c>
    </row>
    <row r="607">
      <c r="A607" t="inlineStr">
        <is>
          <t>WOMENS HEALTH</t>
        </is>
      </c>
      <c r="B607" t="n">
        <v>2</v>
      </c>
    </row>
    <row r="608">
      <c r="A608" t="inlineStr">
        <is>
          <t>AUTO OWNERSHIP</t>
        </is>
      </c>
      <c r="B608" t="n">
        <v>2</v>
      </c>
    </row>
    <row r="609">
      <c r="A609" t="inlineStr">
        <is>
          <t>CAR OWNERSHIP</t>
        </is>
      </c>
      <c r="B609" t="n">
        <v>5</v>
      </c>
    </row>
    <row r="610">
      <c r="A610" t="inlineStr">
        <is>
          <t>ARTIFICIAL NEURAL-NETWORK</t>
        </is>
      </c>
      <c r="B610" t="n">
        <v>2</v>
      </c>
    </row>
    <row r="611">
      <c r="A611" t="inlineStr">
        <is>
          <t>LIFE-CYCLE ASSESSMENT</t>
        </is>
      </c>
      <c r="B611" t="n">
        <v>14</v>
      </c>
    </row>
    <row r="612">
      <c r="A612" t="inlineStr">
        <is>
          <t>RESOURCE-BASED VIEW</t>
        </is>
      </c>
      <c r="B612" t="n">
        <v>1</v>
      </c>
    </row>
    <row r="613">
      <c r="A613" t="inlineStr">
        <is>
          <t>EMBODIED ENERGY</t>
        </is>
      </c>
      <c r="B613" t="n">
        <v>2</v>
      </c>
    </row>
    <row r="614">
      <c r="A614" t="inlineStr">
        <is>
          <t>PASSIVE HOUSE</t>
        </is>
      </c>
      <c r="B614" t="n">
        <v>1</v>
      </c>
    </row>
    <row r="615">
      <c r="A615" t="inlineStr">
        <is>
          <t>CO2 EMISSIONS</t>
        </is>
      </c>
      <c r="B615" t="n">
        <v>6</v>
      </c>
    </row>
    <row r="616">
      <c r="A616" t="inlineStr">
        <is>
          <t>CONSTRUCTION</t>
        </is>
      </c>
      <c r="B616" t="n">
        <v>18</v>
      </c>
    </row>
    <row r="617">
      <c r="A617" t="inlineStr">
        <is>
          <t>CONSUMPTION</t>
        </is>
      </c>
      <c r="B617" t="n">
        <v>25</v>
      </c>
    </row>
    <row r="618">
      <c r="A618" t="inlineStr">
        <is>
          <t>DISTANCE</t>
        </is>
      </c>
      <c r="B618" t="n">
        <v>9</v>
      </c>
    </row>
    <row r="619">
      <c r="A619" t="inlineStr">
        <is>
          <t>AUSTRALIAN EARLY DEVELOPMENT</t>
        </is>
      </c>
      <c r="B619" t="n">
        <v>1</v>
      </c>
    </row>
    <row r="620">
      <c r="A620" t="inlineStr">
        <is>
          <t>DISADVANTAGE</t>
        </is>
      </c>
      <c r="B620" t="n">
        <v>5</v>
      </c>
    </row>
    <row r="621">
      <c r="A621" t="inlineStr">
        <is>
          <t>VASCULAR EVENTS</t>
        </is>
      </c>
      <c r="B621" t="n">
        <v>1</v>
      </c>
    </row>
    <row r="622">
      <c r="A622" t="inlineStr">
        <is>
          <t>LIFE-SPACE MOBILITY</t>
        </is>
      </c>
      <c r="B622" t="n">
        <v>2</v>
      </c>
    </row>
    <row r="623">
      <c r="A623" t="inlineStr">
        <is>
          <t>LAND-USE MIX</t>
        </is>
      </c>
      <c r="B623" t="n">
        <v>2</v>
      </c>
    </row>
    <row r="624">
      <c r="A624" t="inlineStr">
        <is>
          <t>ENVIRONMENT TYPE CONGRUENCE</t>
        </is>
      </c>
      <c r="B624" t="n">
        <v>1</v>
      </c>
    </row>
    <row r="625">
      <c r="A625" t="inlineStr">
        <is>
          <t>THERAPEUTIC LANDSCAPES</t>
        </is>
      </c>
      <c r="B625" t="n">
        <v>1</v>
      </c>
    </row>
    <row r="626">
      <c r="A626" t="inlineStr">
        <is>
          <t>RESTORATION</t>
        </is>
      </c>
      <c r="B626" t="n">
        <v>5</v>
      </c>
    </row>
    <row r="627">
      <c r="A627" t="inlineStr">
        <is>
          <t>GREEN BUILDINGS</t>
        </is>
      </c>
      <c r="B627" t="n">
        <v>9</v>
      </c>
    </row>
    <row r="628">
      <c r="A628" t="inlineStr">
        <is>
          <t>QUALITY ASSESSMENT</t>
        </is>
      </c>
      <c r="B628" t="n">
        <v>1</v>
      </c>
    </row>
    <row r="629">
      <c r="A629" t="inlineStr">
        <is>
          <t>AIR-TEMPERATURE</t>
        </is>
      </c>
      <c r="B629" t="n">
        <v>5</v>
      </c>
    </row>
    <row r="630">
      <c r="A630" t="inlineStr">
        <is>
          <t>CARBON-DIOXIDE</t>
        </is>
      </c>
      <c r="B630" t="n">
        <v>14</v>
      </c>
    </row>
    <row r="631">
      <c r="A631" t="inlineStr">
        <is>
          <t>OCCUPATIONAL ADAPTATION</t>
        </is>
      </c>
      <c r="B631" t="n">
        <v>1</v>
      </c>
    </row>
    <row r="632">
      <c r="A632" t="inlineStr">
        <is>
          <t>URBAN ENVIRONMENTS</t>
        </is>
      </c>
      <c r="B632" t="n">
        <v>5</v>
      </c>
    </row>
    <row r="633">
      <c r="A633" t="inlineStr">
        <is>
          <t>HOLISTIC APPROACH</t>
        </is>
      </c>
      <c r="B633" t="n">
        <v>1</v>
      </c>
    </row>
    <row r="634">
      <c r="A634" t="inlineStr">
        <is>
          <t>SHARED SPACE</t>
        </is>
      </c>
      <c r="B634" t="n">
        <v>2</v>
      </c>
    </row>
    <row r="635">
      <c r="A635" t="inlineStr">
        <is>
          <t>INDIVIDUALS</t>
        </is>
      </c>
      <c r="B635" t="n">
        <v>3</v>
      </c>
    </row>
    <row r="636">
      <c r="A636" t="inlineStr">
        <is>
          <t>ZHONGSHAN METROPOLITAN-AREA</t>
        </is>
      </c>
      <c r="B636" t="n">
        <v>1</v>
      </c>
    </row>
    <row r="637">
      <c r="A637" t="inlineStr">
        <is>
          <t>TRAVEL MODE CHOICE</t>
        </is>
      </c>
      <c r="B637" t="n">
        <v>2</v>
      </c>
    </row>
    <row r="638">
      <c r="A638" t="inlineStr">
        <is>
          <t>COMMUTING EVIDENCE</t>
        </is>
      </c>
      <c r="B638" t="n">
        <v>1</v>
      </c>
    </row>
    <row r="639">
      <c r="A639" t="inlineStr">
        <is>
          <t>DIP GALVANIZED REINFORCEMENT</t>
        </is>
      </c>
      <c r="B639" t="n">
        <v>1</v>
      </c>
    </row>
    <row r="640">
      <c r="A640" t="inlineStr">
        <is>
          <t>CORROSION PROTECTION</t>
        </is>
      </c>
      <c r="B640" t="n">
        <v>1</v>
      </c>
    </row>
    <row r="641">
      <c r="A641" t="inlineStr">
        <is>
          <t>BOND STRENGTH</t>
        </is>
      </c>
      <c r="B641" t="n">
        <v>1</v>
      </c>
    </row>
    <row r="642">
      <c r="A642" t="inlineStr">
        <is>
          <t>CONCRETE</t>
        </is>
      </c>
      <c r="B642" t="n">
        <v>5</v>
      </c>
    </row>
    <row r="643">
      <c r="A643" t="inlineStr">
        <is>
          <t>RESISTANCE</t>
        </is>
      </c>
      <c r="B643" t="n">
        <v>3</v>
      </c>
    </row>
    <row r="644">
      <c r="A644" t="inlineStr">
        <is>
          <t>BARS</t>
        </is>
      </c>
      <c r="B644" t="n">
        <v>1</v>
      </c>
    </row>
    <row r="645">
      <c r="A645" t="inlineStr">
        <is>
          <t>PARTICIPATION</t>
        </is>
      </c>
      <c r="B645" t="n">
        <v>25</v>
      </c>
    </row>
    <row r="646">
      <c r="A646" t="inlineStr">
        <is>
          <t>URBANIZATION</t>
        </is>
      </c>
      <c r="B646" t="n">
        <v>8</v>
      </c>
    </row>
    <row r="647">
      <c r="A647" t="inlineStr">
        <is>
          <t>DEATH</t>
        </is>
      </c>
      <c r="B647" t="n">
        <v>5</v>
      </c>
    </row>
    <row r="648">
      <c r="A648" t="inlineStr">
        <is>
          <t>US CHILDREN</t>
        </is>
      </c>
      <c r="B648" t="n">
        <v>1</v>
      </c>
    </row>
    <row r="649">
      <c r="A649" t="inlineStr">
        <is>
          <t>RESIDENTIAL HOUSES</t>
        </is>
      </c>
      <c r="B649" t="n">
        <v>4</v>
      </c>
    </row>
    <row r="650">
      <c r="A650" t="inlineStr">
        <is>
          <t>LOWER-EXTREMITY FUNCTION</t>
        </is>
      </c>
      <c r="B650" t="n">
        <v>2</v>
      </c>
    </row>
    <row r="651">
      <c r="A651" t="inlineStr">
        <is>
          <t>LITERACY</t>
        </is>
      </c>
      <c r="B651" t="n">
        <v>3</v>
      </c>
    </row>
    <row r="652">
      <c r="A652" t="inlineStr">
        <is>
          <t>BATTERY</t>
        </is>
      </c>
      <c r="B652" t="n">
        <v>1</v>
      </c>
    </row>
    <row r="653">
      <c r="A653" t="inlineStr">
        <is>
          <t>FREE PUBLIC TRANSPORT</t>
        </is>
      </c>
      <c r="B653" t="n">
        <v>1</v>
      </c>
    </row>
    <row r="654">
      <c r="A654" t="inlineStr">
        <is>
          <t>THERMAL PERFORMANCE</t>
        </is>
      </c>
      <c r="B654" t="n">
        <v>3</v>
      </c>
    </row>
    <row r="655">
      <c r="A655" t="inlineStr">
        <is>
          <t>SWITCHING BEHAVIOR</t>
        </is>
      </c>
      <c r="B655" t="n">
        <v>1</v>
      </c>
    </row>
    <row r="656">
      <c r="A656" t="inlineStr">
        <is>
          <t>COLOR PROPERTIES</t>
        </is>
      </c>
      <c r="B656" t="n">
        <v>1</v>
      </c>
    </row>
    <row r="657">
      <c r="A657" t="inlineStr">
        <is>
          <t>LOCKDOWN</t>
        </is>
      </c>
      <c r="B657" t="n">
        <v>2</v>
      </c>
    </row>
    <row r="658">
      <c r="A658" t="inlineStr">
        <is>
          <t>TRANSMISSION</t>
        </is>
      </c>
      <c r="B658" t="n">
        <v>13</v>
      </c>
    </row>
    <row r="659">
      <c r="A659" t="inlineStr">
        <is>
          <t>CORONAVIRUS</t>
        </is>
      </c>
      <c r="B659" t="n">
        <v>2</v>
      </c>
    </row>
    <row r="660">
      <c r="A660" t="inlineStr">
        <is>
          <t>INFECTIONS</t>
        </is>
      </c>
      <c r="B660" t="n">
        <v>1</v>
      </c>
    </row>
    <row r="661">
      <c r="A661" t="inlineStr">
        <is>
          <t>OXIDATIVE STRESS</t>
        </is>
      </c>
      <c r="B661" t="n">
        <v>15</v>
      </c>
    </row>
    <row r="662">
      <c r="A662" t="inlineStr">
        <is>
          <t>NATIONAL-HEALTH</t>
        </is>
      </c>
      <c r="B662" t="n">
        <v>8</v>
      </c>
    </row>
    <row r="663">
      <c r="A663" t="inlineStr">
        <is>
          <t>URINARY CADMIUM</t>
        </is>
      </c>
      <c r="B663" t="n">
        <v>1</v>
      </c>
    </row>
    <row r="664">
      <c r="A664" t="inlineStr">
        <is>
          <t>US ADULTS</t>
        </is>
      </c>
      <c r="B664" t="n">
        <v>2</v>
      </c>
    </row>
    <row r="665">
      <c r="A665" t="inlineStr">
        <is>
          <t>LEAD</t>
        </is>
      </c>
      <c r="B665" t="n">
        <v>5</v>
      </c>
    </row>
    <row r="666">
      <c r="A666" t="inlineStr">
        <is>
          <t>EXISTING BUILDINGS</t>
        </is>
      </c>
      <c r="B666" t="n">
        <v>1</v>
      </c>
    </row>
    <row r="667">
      <c r="A667" t="inlineStr">
        <is>
          <t>RESIDENTIAL INDOOR</t>
        </is>
      </c>
      <c r="B667" t="n">
        <v>5</v>
      </c>
    </row>
    <row r="668">
      <c r="A668" t="inlineStr">
        <is>
          <t>NEIGHBORHOOD DISORDER</t>
        </is>
      </c>
      <c r="B668" t="n">
        <v>1</v>
      </c>
    </row>
    <row r="669">
      <c r="A669" t="inlineStr">
        <is>
          <t>NEIGHBORHOOD SAFETY</t>
        </is>
      </c>
      <c r="B669" t="n">
        <v>2</v>
      </c>
    </row>
    <row r="670">
      <c r="A670" t="inlineStr">
        <is>
          <t>RESIDENTIAL DENSITY</t>
        </is>
      </c>
      <c r="B670" t="n">
        <v>4</v>
      </c>
    </row>
    <row r="671">
      <c r="A671" t="inlineStr">
        <is>
          <t>SAFE ROUTES</t>
        </is>
      </c>
      <c r="B671" t="n">
        <v>2</v>
      </c>
    </row>
    <row r="672">
      <c r="A672" t="inlineStr">
        <is>
          <t>SOCIOECONOMIC-STATUS DIFFERENCES</t>
        </is>
      </c>
      <c r="B672" t="n">
        <v>1</v>
      </c>
    </row>
    <row r="673">
      <c r="A673" t="inlineStr">
        <is>
          <t>PATH CHOICE</t>
        </is>
      </c>
      <c r="B673" t="n">
        <v>1</v>
      </c>
    </row>
    <row r="674">
      <c r="A674" t="inlineStr">
        <is>
          <t>FACILITY DESIGN</t>
        </is>
      </c>
      <c r="B674" t="n">
        <v>1</v>
      </c>
    </row>
    <row r="675">
      <c r="A675" t="inlineStr">
        <is>
          <t>POSTOCCUPANCY EVALUATION</t>
        </is>
      </c>
      <c r="B675" t="n">
        <v>5</v>
      </c>
    </row>
    <row r="676">
      <c r="A676" t="inlineStr">
        <is>
          <t>HEALING ENVIRONMENT</t>
        </is>
      </c>
      <c r="B676" t="n">
        <v>2</v>
      </c>
    </row>
    <row r="677">
      <c r="A677" t="inlineStr">
        <is>
          <t>HOSPITAL DESIGN</t>
        </is>
      </c>
      <c r="B677" t="n">
        <v>1</v>
      </c>
    </row>
    <row r="678">
      <c r="A678" t="inlineStr">
        <is>
          <t>SOCIAL RELATIONSHIPS</t>
        </is>
      </c>
      <c r="B678" t="n">
        <v>2</v>
      </c>
    </row>
    <row r="679">
      <c r="A679" t="inlineStr">
        <is>
          <t>INDOOR ENVIRONMENT</t>
        </is>
      </c>
      <c r="B679" t="n">
        <v>3</v>
      </c>
    </row>
    <row r="680">
      <c r="A680" t="inlineStr">
        <is>
          <t>STAFF PERCEPTIONS</t>
        </is>
      </c>
      <c r="B680" t="n">
        <v>1</v>
      </c>
    </row>
    <row r="681">
      <c r="A681" t="inlineStr">
        <is>
          <t>PERCEIVED QUALITY</t>
        </is>
      </c>
      <c r="B681" t="n">
        <v>1</v>
      </c>
    </row>
    <row r="682">
      <c r="A682" t="inlineStr">
        <is>
          <t>SERVICE QUALITY</t>
        </is>
      </c>
      <c r="B682" t="n">
        <v>5</v>
      </c>
    </row>
    <row r="683">
      <c r="A683" t="inlineStr">
        <is>
          <t>FALL RISK</t>
        </is>
      </c>
      <c r="B683" t="n">
        <v>1</v>
      </c>
    </row>
    <row r="684">
      <c r="A684" t="inlineStr">
        <is>
          <t>GO-ALONG</t>
        </is>
      </c>
      <c r="B684" t="n">
        <v>1</v>
      </c>
    </row>
    <row r="685">
      <c r="A685" t="inlineStr">
        <is>
          <t>DISPARITIES</t>
        </is>
      </c>
      <c r="B685" t="n">
        <v>15</v>
      </c>
    </row>
    <row r="686">
      <c r="A686" t="inlineStr">
        <is>
          <t>RESIDENTIAL SELF-SELECTION</t>
        </is>
      </c>
      <c r="B686" t="n">
        <v>5</v>
      </c>
    </row>
    <row r="687">
      <c r="A687" t="inlineStr">
        <is>
          <t>PEDESTRIAN TRAVEL</t>
        </is>
      </c>
      <c r="B687" t="n">
        <v>1</v>
      </c>
    </row>
    <row r="688">
      <c r="A688" t="inlineStr">
        <is>
          <t>NORTH-AMERICA</t>
        </is>
      </c>
      <c r="B688" t="n">
        <v>3</v>
      </c>
    </row>
    <row r="689">
      <c r="A689" t="inlineStr">
        <is>
          <t>POST OCCUPANCY EVALUATION</t>
        </is>
      </c>
      <c r="B689" t="n">
        <v>1</v>
      </c>
    </row>
    <row r="690">
      <c r="A690" t="inlineStr">
        <is>
          <t>BUILDING OCCUPANTS</t>
        </is>
      </c>
      <c r="B690" t="n">
        <v>1</v>
      </c>
    </row>
    <row r="691">
      <c r="A691" t="inlineStr">
        <is>
          <t>MAINTENANCE MANAGEMENT</t>
        </is>
      </c>
      <c r="B691" t="n">
        <v>1</v>
      </c>
    </row>
    <row r="692">
      <c r="A692" t="inlineStr">
        <is>
          <t>ENERGY PERFORMANCE</t>
        </is>
      </c>
      <c r="B692" t="n">
        <v>14</v>
      </c>
    </row>
    <row r="693">
      <c r="A693" t="inlineStr">
        <is>
          <t>DISCOMFORT GLARE</t>
        </is>
      </c>
      <c r="B693" t="n">
        <v>1</v>
      </c>
    </row>
    <row r="694">
      <c r="A694" t="inlineStr">
        <is>
          <t>RURAL-URBAN MIGRANTS</t>
        </is>
      </c>
      <c r="B694" t="n">
        <v>1</v>
      </c>
    </row>
    <row r="695">
      <c r="A695" t="inlineStr">
        <is>
          <t>PUBLIC BUILDINGS</t>
        </is>
      </c>
      <c r="B695" t="n">
        <v>2</v>
      </c>
    </row>
    <row r="696">
      <c r="A696" t="inlineStr">
        <is>
          <t>DAMAGED BUILDINGS</t>
        </is>
      </c>
      <c r="B696" t="n">
        <v>1</v>
      </c>
    </row>
    <row r="697">
      <c r="A697" t="inlineStr">
        <is>
          <t>SECONDARY ORGANIC AEROSOLS</t>
        </is>
      </c>
      <c r="B697" t="n">
        <v>1</v>
      </c>
    </row>
    <row r="698">
      <c r="A698" t="inlineStr">
        <is>
          <t>ULTRAFINE PARTICLE REMOVAL</t>
        </is>
      </c>
      <c r="B698" t="n">
        <v>2</v>
      </c>
    </row>
    <row r="699">
      <c r="A699" t="inlineStr">
        <is>
          <t>MEXICO-CITY</t>
        </is>
      </c>
      <c r="B699" t="n">
        <v>1</v>
      </c>
    </row>
    <row r="700">
      <c r="A700" t="inlineStr">
        <is>
          <t>DEPOSITION VELOCITIES</t>
        </is>
      </c>
      <c r="B700" t="n">
        <v>3</v>
      </c>
    </row>
    <row r="701">
      <c r="A701" t="inlineStr">
        <is>
          <t>TROPOSPHERIC OZONE</t>
        </is>
      </c>
      <c r="B701" t="n">
        <v>1</v>
      </c>
    </row>
    <row r="702">
      <c r="A702" t="inlineStr">
        <is>
          <t>10-YEAR CHANGE</t>
        </is>
      </c>
      <c r="B702" t="n">
        <v>1</v>
      </c>
    </row>
    <row r="703">
      <c r="A703" t="inlineStr">
        <is>
          <t>INSULIN-RESISTANCE</t>
        </is>
      </c>
      <c r="B703" t="n">
        <v>2</v>
      </c>
    </row>
    <row r="704">
      <c r="A704" t="inlineStr">
        <is>
          <t>INFLAMMATION</t>
        </is>
      </c>
      <c r="B704" t="n">
        <v>8</v>
      </c>
    </row>
    <row r="705">
      <c r="A705" t="inlineStr">
        <is>
          <t>MELLITUS</t>
        </is>
      </c>
      <c r="B705" t="n">
        <v>4</v>
      </c>
    </row>
    <row r="706">
      <c r="A706" t="inlineStr">
        <is>
          <t>COPD</t>
        </is>
      </c>
      <c r="B706" t="n">
        <v>2</v>
      </c>
    </row>
    <row r="707">
      <c r="A707" t="inlineStr">
        <is>
          <t>PUBLIC OPEN SPACES</t>
        </is>
      </c>
      <c r="B707" t="n">
        <v>4</v>
      </c>
    </row>
    <row r="708">
      <c r="A708" t="inlineStr">
        <is>
          <t>FAST-FOOD OUTLETS</t>
        </is>
      </c>
      <c r="B708" t="n">
        <v>1</v>
      </c>
    </row>
    <row r="709">
      <c r="A709" t="inlineStr">
        <is>
          <t>DEPRESSION</t>
        </is>
      </c>
      <c r="B709" t="n">
        <v>45</v>
      </c>
    </row>
    <row r="710">
      <c r="A710" t="inlineStr">
        <is>
          <t>INSOMNIA SYMPTOMS</t>
        </is>
      </c>
      <c r="B710" t="n">
        <v>1</v>
      </c>
    </row>
    <row r="711">
      <c r="A711" t="inlineStr">
        <is>
          <t>DISTURBANCE</t>
        </is>
      </c>
      <c r="B711" t="n">
        <v>2</v>
      </c>
    </row>
    <row r="712">
      <c r="A712" t="inlineStr">
        <is>
          <t>DURATION</t>
        </is>
      </c>
      <c r="B712" t="n">
        <v>4</v>
      </c>
    </row>
    <row r="713">
      <c r="A713" t="inlineStr">
        <is>
          <t>INCOME</t>
        </is>
      </c>
      <c r="B713" t="n">
        <v>7</v>
      </c>
    </row>
    <row r="714">
      <c r="A714" t="inlineStr">
        <is>
          <t>NEIGHBORHOOD RESOURCES</t>
        </is>
      </c>
      <c r="B714" t="n">
        <v>1</v>
      </c>
    </row>
    <row r="715">
      <c r="A715" t="inlineStr">
        <is>
          <t>HEALTHY FOODS</t>
        </is>
      </c>
      <c r="B715" t="n">
        <v>1</v>
      </c>
    </row>
    <row r="716">
      <c r="A716" t="inlineStr">
        <is>
          <t>ATHEROSCLEROSIS</t>
        </is>
      </c>
      <c r="B716" t="n">
        <v>2</v>
      </c>
    </row>
    <row r="717">
      <c r="A717" t="inlineStr">
        <is>
          <t>WAVE</t>
        </is>
      </c>
      <c r="B717" t="n">
        <v>4</v>
      </c>
    </row>
    <row r="718">
      <c r="A718" t="inlineStr">
        <is>
          <t>ILLNESS</t>
        </is>
      </c>
      <c r="B718" t="n">
        <v>3</v>
      </c>
    </row>
    <row r="719">
      <c r="A719" t="inlineStr">
        <is>
          <t>LIVING ARRANGEMENTS</t>
        </is>
      </c>
      <c r="B719" t="n">
        <v>4</v>
      </c>
    </row>
    <row r="720">
      <c r="A720" t="inlineStr">
        <is>
          <t>AMBIENT AIR-POLLUTION</t>
        </is>
      </c>
      <c r="B720" t="n">
        <v>7</v>
      </c>
    </row>
    <row r="721">
      <c r="A721" t="inlineStr">
        <is>
          <t>NATIONAL SOCIAL-LIFE</t>
        </is>
      </c>
      <c r="B721" t="n">
        <v>1</v>
      </c>
    </row>
    <row r="722">
      <c r="A722" t="inlineStr">
        <is>
          <t>PERCEIVED STRESS</t>
        </is>
      </c>
      <c r="B722" t="n">
        <v>1</v>
      </c>
    </row>
    <row r="723">
      <c r="A723" t="inlineStr">
        <is>
          <t>ANXIETY SYMPTOMS</t>
        </is>
      </c>
      <c r="B723" t="n">
        <v>2</v>
      </c>
    </row>
    <row r="724">
      <c r="A724" t="inlineStr">
        <is>
          <t>HOSPITAL ANXIETY</t>
        </is>
      </c>
      <c r="B724" t="n">
        <v>3</v>
      </c>
    </row>
    <row r="725">
      <c r="A725" t="inlineStr">
        <is>
          <t>AGING PROJECT</t>
        </is>
      </c>
      <c r="B725" t="n">
        <v>1</v>
      </c>
    </row>
    <row r="726">
      <c r="A726" t="inlineStr">
        <is>
          <t>IRVINE-MINNESOTA INVENTORY</t>
        </is>
      </c>
      <c r="B726" t="n">
        <v>2</v>
      </c>
    </row>
    <row r="727">
      <c r="A727" t="inlineStr">
        <is>
          <t>FEATURES</t>
        </is>
      </c>
      <c r="B727" t="n">
        <v>9</v>
      </c>
    </row>
    <row r="728">
      <c r="A728" t="inlineStr">
        <is>
          <t>PREVENTION PROGRAMS</t>
        </is>
      </c>
      <c r="B728" t="n">
        <v>1</v>
      </c>
    </row>
    <row r="729">
      <c r="A729" t="inlineStr">
        <is>
          <t>BMI</t>
        </is>
      </c>
      <c r="B729" t="n">
        <v>5</v>
      </c>
    </row>
    <row r="730">
      <c r="A730" t="inlineStr">
        <is>
          <t>BUILT-ENVIRONMENT</t>
        </is>
      </c>
      <c r="B730" t="n">
        <v>9</v>
      </c>
    </row>
    <row r="731">
      <c r="A731" t="inlineStr">
        <is>
          <t>OBESOGENIC ENVIRONMENTS</t>
        </is>
      </c>
      <c r="B731" t="n">
        <v>4</v>
      </c>
    </row>
    <row r="732">
      <c r="A732" t="inlineStr">
        <is>
          <t>ADOLESCENT OBESITY</t>
        </is>
      </c>
      <c r="B732" t="n">
        <v>1</v>
      </c>
    </row>
    <row r="733">
      <c r="A733" t="inlineStr">
        <is>
          <t>ENERGY-INTAKE</t>
        </is>
      </c>
      <c r="B733" t="n">
        <v>1</v>
      </c>
    </row>
    <row r="734">
      <c r="A734" t="inlineStr">
        <is>
          <t>WEIGHT</t>
        </is>
      </c>
      <c r="B734" t="n">
        <v>10</v>
      </c>
    </row>
    <row r="735">
      <c r="A735" t="inlineStr">
        <is>
          <t>CAUSAL</t>
        </is>
      </c>
      <c r="B735" t="n">
        <v>1</v>
      </c>
    </row>
    <row r="736">
      <c r="A736" t="inlineStr">
        <is>
          <t>BIAS</t>
        </is>
      </c>
      <c r="B736" t="n">
        <v>3</v>
      </c>
    </row>
    <row r="737">
      <c r="A737" t="inlineStr">
        <is>
          <t>IN-SITU MEASUREMENT</t>
        </is>
      </c>
      <c r="B737" t="n">
        <v>1</v>
      </c>
    </row>
    <row r="738">
      <c r="A738" t="inlineStr">
        <is>
          <t>THERMAL TRANSMITTANCE</t>
        </is>
      </c>
      <c r="B738" t="n">
        <v>1</v>
      </c>
    </row>
    <row r="739">
      <c r="A739" t="inlineStr">
        <is>
          <t>DIAGNOSIS</t>
        </is>
      </c>
      <c r="B739" t="n">
        <v>5</v>
      </c>
    </row>
    <row r="740">
      <c r="A740" t="inlineStr">
        <is>
          <t>QUANTITY</t>
        </is>
      </c>
      <c r="B740" t="n">
        <v>1</v>
      </c>
    </row>
    <row r="741">
      <c r="A741" t="inlineStr">
        <is>
          <t>MISMATCH</t>
        </is>
      </c>
      <c r="B741" t="n">
        <v>1</v>
      </c>
    </row>
    <row r="742">
      <c r="A742" t="inlineStr">
        <is>
          <t>FOREIGN DIRECT-INVESTMENT</t>
        </is>
      </c>
      <c r="B742" t="n">
        <v>1</v>
      </c>
    </row>
    <row r="743">
      <c r="A743" t="inlineStr">
        <is>
          <t>EMPIRICAL-EVIDENCE</t>
        </is>
      </c>
      <c r="B743" t="n">
        <v>3</v>
      </c>
    </row>
    <row r="744">
      <c r="A744" t="inlineStr">
        <is>
          <t>INNOVATION DISTRICTS</t>
        </is>
      </c>
      <c r="B744" t="n">
        <v>1</v>
      </c>
    </row>
    <row r="745">
      <c r="A745" t="inlineStr">
        <is>
          <t>KNOWLEDGE ECONOMY</t>
        </is>
      </c>
      <c r="B745" t="n">
        <v>1</v>
      </c>
    </row>
    <row r="746">
      <c r="A746" t="inlineStr">
        <is>
          <t>PLACE QUALITY</t>
        </is>
      </c>
      <c r="B746" t="n">
        <v>3</v>
      </c>
    </row>
    <row r="747">
      <c r="A747" t="inlineStr">
        <is>
          <t>HETEROGENEITY</t>
        </is>
      </c>
      <c r="B747" t="n">
        <v>2</v>
      </c>
    </row>
    <row r="748">
      <c r="A748" t="inlineStr">
        <is>
          <t>INDUSTRY</t>
        </is>
      </c>
      <c r="B748" t="n">
        <v>6</v>
      </c>
    </row>
    <row r="749">
      <c r="A749" t="inlineStr">
        <is>
          <t>FINE PARTICULATE MATTER</t>
        </is>
      </c>
      <c r="B749" t="n">
        <v>16</v>
      </c>
    </row>
    <row r="750">
      <c r="A750" t="inlineStr">
        <is>
          <t>THERMAL-CONTROL METHODS</t>
        </is>
      </c>
      <c r="B750" t="n">
        <v>1</v>
      </c>
    </row>
    <row r="751">
      <c r="A751" t="inlineStr">
        <is>
          <t>ENERGY OPTIMIZATION</t>
        </is>
      </c>
      <c r="B751" t="n">
        <v>2</v>
      </c>
    </row>
    <row r="752">
      <c r="A752" t="inlineStr">
        <is>
          <t>GENETIC ALGORITHM</t>
        </is>
      </c>
      <c r="B752" t="n">
        <v>2</v>
      </c>
    </row>
    <row r="753">
      <c r="A753" t="inlineStr">
        <is>
          <t>CONTROL-SYSTEM</t>
        </is>
      </c>
      <c r="B753" t="n">
        <v>1</v>
      </c>
    </row>
    <row r="754">
      <c r="A754" t="inlineStr">
        <is>
          <t>HVAC SYSTEMS</t>
        </is>
      </c>
      <c r="B754" t="n">
        <v>1</v>
      </c>
    </row>
    <row r="755">
      <c r="A755" t="inlineStr">
        <is>
          <t>FUZZY</t>
        </is>
      </c>
      <c r="B755" t="n">
        <v>1</v>
      </c>
    </row>
    <row r="756">
      <c r="A756" t="inlineStr">
        <is>
          <t>VENTILATION SYSTEMS</t>
        </is>
      </c>
      <c r="B756" t="n">
        <v>2</v>
      </c>
    </row>
    <row r="757">
      <c r="A757" t="inlineStr">
        <is>
          <t>CO2 CONCENTRATIONS</t>
        </is>
      </c>
      <c r="B757" t="n">
        <v>10</v>
      </c>
    </row>
    <row r="758">
      <c r="A758" t="inlineStr">
        <is>
          <t>HUMIDITY</t>
        </is>
      </c>
      <c r="B758" t="n">
        <v>22</v>
      </c>
    </row>
    <row r="759">
      <c r="A759" t="inlineStr">
        <is>
          <t>ADVERSE CHILDHOOD EXPERIENCES</t>
        </is>
      </c>
      <c r="B759" t="n">
        <v>1</v>
      </c>
    </row>
    <row r="760">
      <c r="A760" t="inlineStr">
        <is>
          <t>JUSTICE</t>
        </is>
      </c>
      <c r="B760" t="n">
        <v>2</v>
      </c>
    </row>
    <row r="761">
      <c r="A761" t="inlineStr">
        <is>
          <t>FRAMEWORK</t>
        </is>
      </c>
      <c r="B761" t="n">
        <v>30</v>
      </c>
    </row>
    <row r="762">
      <c r="A762" t="inlineStr">
        <is>
          <t>RACE</t>
        </is>
      </c>
      <c r="B762" t="n">
        <v>2</v>
      </c>
    </row>
    <row r="763">
      <c r="A763" t="inlineStr">
        <is>
          <t>MALTREATMENT</t>
        </is>
      </c>
      <c r="B763" t="n">
        <v>1</v>
      </c>
    </row>
    <row r="764">
      <c r="A764" t="inlineStr">
        <is>
          <t>EUROPEAN COHORTS</t>
        </is>
      </c>
      <c r="B764" t="n">
        <v>1</v>
      </c>
    </row>
    <row r="765">
      <c r="A765" t="inlineStr">
        <is>
          <t>HISTORICAL MAPS</t>
        </is>
      </c>
      <c r="B765" t="n">
        <v>1</v>
      </c>
    </row>
    <row r="766">
      <c r="A766" t="inlineStr">
        <is>
          <t>DYNAMICS</t>
        </is>
      </c>
      <c r="B766" t="n">
        <v>6</v>
      </c>
    </row>
    <row r="767">
      <c r="A767" t="inlineStr">
        <is>
          <t>ACCUMULATION</t>
        </is>
      </c>
      <c r="B767" t="n">
        <v>3</v>
      </c>
    </row>
    <row r="768">
      <c r="A768" t="inlineStr">
        <is>
          <t>FLOWS</t>
        </is>
      </c>
      <c r="B768" t="n">
        <v>2</v>
      </c>
    </row>
    <row r="769">
      <c r="A769" t="inlineStr">
        <is>
          <t>JAPAN</t>
        </is>
      </c>
      <c r="B769" t="n">
        <v>4</v>
      </c>
    </row>
    <row r="770">
      <c r="A770" t="inlineStr">
        <is>
          <t>POLYCYCLIC AROMATIC-HYDROCARBONS</t>
        </is>
      </c>
      <c r="B770" t="n">
        <v>20</v>
      </c>
    </row>
    <row r="771">
      <c r="A771" t="inlineStr">
        <is>
          <t>DEGRADATION</t>
        </is>
      </c>
      <c r="B771" t="n">
        <v>2</v>
      </c>
    </row>
    <row r="772">
      <c r="A772" t="inlineStr">
        <is>
          <t>BIOAVAILABILITY</t>
        </is>
      </c>
      <c r="B772" t="n">
        <v>1</v>
      </c>
    </row>
    <row r="773">
      <c r="A773" t="inlineStr">
        <is>
          <t>BIOREMEDIATION</t>
        </is>
      </c>
      <c r="B773" t="n">
        <v>1</v>
      </c>
    </row>
    <row r="774">
      <c r="A774" t="inlineStr">
        <is>
          <t>BIODEGRADATION</t>
        </is>
      </c>
      <c r="B774" t="n">
        <v>2</v>
      </c>
    </row>
    <row r="775">
      <c r="A775" t="inlineStr">
        <is>
          <t>PENICILLIUM</t>
        </is>
      </c>
      <c r="B775" t="n">
        <v>1</v>
      </c>
    </row>
    <row r="776">
      <c r="A776" t="inlineStr">
        <is>
          <t>MICROCOSMS</t>
        </is>
      </c>
      <c r="B776" t="n">
        <v>1</v>
      </c>
    </row>
    <row r="777">
      <c r="A777" t="inlineStr">
        <is>
          <t>OCCUPANT</t>
        </is>
      </c>
      <c r="B777" t="n">
        <v>2</v>
      </c>
    </row>
    <row r="778">
      <c r="A778" t="inlineStr">
        <is>
          <t>SAMPLES</t>
        </is>
      </c>
      <c r="B778" t="n">
        <v>2</v>
      </c>
    </row>
    <row r="779">
      <c r="A779" t="inlineStr">
        <is>
          <t>SOILS</t>
        </is>
      </c>
      <c r="B779" t="n">
        <v>1</v>
      </c>
    </row>
    <row r="780">
      <c r="A780" t="inlineStr">
        <is>
          <t>OFFICE ENVIRONMENTS</t>
        </is>
      </c>
      <c r="B780" t="n">
        <v>2</v>
      </c>
    </row>
    <row r="781">
      <c r="A781" t="inlineStr">
        <is>
          <t>BENZENE</t>
        </is>
      </c>
      <c r="B781" t="n">
        <v>3</v>
      </c>
    </row>
    <row r="782">
      <c r="A782" t="inlineStr">
        <is>
          <t>ASTHMA</t>
        </is>
      </c>
      <c r="B782" t="n">
        <v>20</v>
      </c>
    </row>
    <row r="783">
      <c r="A783" t="inlineStr">
        <is>
          <t>POLLUTANTS</t>
        </is>
      </c>
      <c r="B783" t="n">
        <v>27</v>
      </c>
    </row>
    <row r="784">
      <c r="A784" t="inlineStr">
        <is>
          <t>ATHENS</t>
        </is>
      </c>
      <c r="B784" t="n">
        <v>2</v>
      </c>
    </row>
    <row r="785">
      <c r="A785" t="inlineStr">
        <is>
          <t>ENVIRONMENTAL-FACTORS</t>
        </is>
      </c>
      <c r="B785" t="n">
        <v>2</v>
      </c>
    </row>
    <row r="786">
      <c r="A786" t="inlineStr">
        <is>
          <t>IDENTIFICATION</t>
        </is>
      </c>
      <c r="B786" t="n">
        <v>11</v>
      </c>
    </row>
    <row r="787">
      <c r="A787" t="inlineStr">
        <is>
          <t>COLLISIONS</t>
        </is>
      </c>
      <c r="B787" t="n">
        <v>1</v>
      </c>
    </row>
    <row r="788">
      <c r="A788" t="inlineStr">
        <is>
          <t>ACCIDENT</t>
        </is>
      </c>
      <c r="B788" t="n">
        <v>1</v>
      </c>
    </row>
    <row r="789">
      <c r="A789" t="inlineStr">
        <is>
          <t>PHYSICAL-ACTIVITY SCALE</t>
        </is>
      </c>
      <c r="B789" t="n">
        <v>2</v>
      </c>
    </row>
    <row r="790">
      <c r="A790" t="inlineStr">
        <is>
          <t>DAY-CARE-CENTERS</t>
        </is>
      </c>
      <c r="B790" t="n">
        <v>3</v>
      </c>
    </row>
    <row r="791">
      <c r="A791" t="inlineStr">
        <is>
          <t>RESIDENCES</t>
        </is>
      </c>
      <c r="B791" t="n">
        <v>3</v>
      </c>
    </row>
    <row r="792">
      <c r="A792" t="inlineStr">
        <is>
          <t>SCHOOLS</t>
        </is>
      </c>
      <c r="B792" t="n">
        <v>14</v>
      </c>
    </row>
    <row r="793">
      <c r="A793" t="inlineStr">
        <is>
          <t>PM</t>
        </is>
      </c>
      <c r="B793" t="n">
        <v>1</v>
      </c>
    </row>
    <row r="794">
      <c r="A794" t="inlineStr">
        <is>
          <t>CO2</t>
        </is>
      </c>
      <c r="B794" t="n">
        <v>3</v>
      </c>
    </row>
    <row r="795">
      <c r="A795" t="inlineStr">
        <is>
          <t>RESIDENTIAL RADON</t>
        </is>
      </c>
      <c r="B795" t="n">
        <v>9</v>
      </c>
    </row>
    <row r="796">
      <c r="A796" t="inlineStr">
        <is>
          <t>REGION</t>
        </is>
      </c>
      <c r="B796" t="n">
        <v>6</v>
      </c>
    </row>
    <row r="797">
      <c r="A797" t="inlineStr">
        <is>
          <t>PART</t>
        </is>
      </c>
      <c r="B797" t="n">
        <v>1</v>
      </c>
    </row>
    <row r="798">
      <c r="A798" t="inlineStr">
        <is>
          <t>MAP</t>
        </is>
      </c>
      <c r="B798" t="n">
        <v>2</v>
      </c>
    </row>
    <row r="799">
      <c r="A799" t="inlineStr">
        <is>
          <t>AUSTRIA</t>
        </is>
      </c>
      <c r="B799" t="n">
        <v>1</v>
      </c>
    </row>
    <row r="800">
      <c r="A800" t="inlineStr">
        <is>
          <t>IMPROVE</t>
        </is>
      </c>
      <c r="B800" t="n">
        <v>2</v>
      </c>
    </row>
    <row r="801">
      <c r="A801" t="inlineStr">
        <is>
          <t>PREVENTING FALLS</t>
        </is>
      </c>
      <c r="B801" t="n">
        <v>1</v>
      </c>
    </row>
    <row r="802">
      <c r="A802" t="inlineStr">
        <is>
          <t>ELDERLY PERSONS</t>
        </is>
      </c>
      <c r="B802" t="n">
        <v>1</v>
      </c>
    </row>
    <row r="803">
      <c r="A803" t="inlineStr">
        <is>
          <t>HOME ACCIDENTS</t>
        </is>
      </c>
      <c r="B803" t="n">
        <v>1</v>
      </c>
    </row>
    <row r="804">
      <c r="A804" t="inlineStr">
        <is>
          <t>INTERVENTION</t>
        </is>
      </c>
      <c r="B804" t="n">
        <v>16</v>
      </c>
    </row>
    <row r="805">
      <c r="A805" t="inlineStr">
        <is>
          <t>CONSTRAINT-NEGOTIATION PROCESS</t>
        </is>
      </c>
      <c r="B805" t="n">
        <v>1</v>
      </c>
    </row>
    <row r="806">
      <c r="A806" t="inlineStr">
        <is>
          <t>CUSTOMER SATISFACTION</t>
        </is>
      </c>
      <c r="B806" t="n">
        <v>4</v>
      </c>
    </row>
    <row r="807">
      <c r="A807" t="inlineStr">
        <is>
          <t>CONSUMER SATISFACTION</t>
        </is>
      </c>
      <c r="B807" t="n">
        <v>1</v>
      </c>
    </row>
    <row r="808">
      <c r="A808" t="inlineStr">
        <is>
          <t>LEISURE CONSTRAINTS</t>
        </is>
      </c>
      <c r="B808" t="n">
        <v>1</v>
      </c>
    </row>
    <row r="809">
      <c r="A809" t="inlineStr">
        <is>
          <t>SERIOUS LEISURE</t>
        </is>
      </c>
      <c r="B809" t="n">
        <v>1</v>
      </c>
    </row>
    <row r="810">
      <c r="A810" t="inlineStr">
        <is>
          <t>MOTIVATION</t>
        </is>
      </c>
      <c r="B810" t="n">
        <v>5</v>
      </c>
    </row>
    <row r="811">
      <c r="A811" t="inlineStr">
        <is>
          <t>INTENTIONS</t>
        </is>
      </c>
      <c r="B811" t="n">
        <v>3</v>
      </c>
    </row>
    <row r="812">
      <c r="A812" t="inlineStr">
        <is>
          <t>SEMIVOLATILE ORGANIC-COMPOUNDS</t>
        </is>
      </c>
      <c r="B812" t="n">
        <v>13</v>
      </c>
    </row>
    <row r="813">
      <c r="A813" t="inlineStr">
        <is>
          <t>POLYCHLORINATED-BIPHENYLS PCBS</t>
        </is>
      </c>
      <c r="B813" t="n">
        <v>3</v>
      </c>
    </row>
    <row r="814">
      <c r="A814" t="inlineStr">
        <is>
          <t>PARTITION-COEFFICIENT</t>
        </is>
      </c>
      <c r="B814" t="n">
        <v>1</v>
      </c>
    </row>
    <row r="815">
      <c r="A815" t="inlineStr">
        <is>
          <t>PHTHALATE EXPOSURE</t>
        </is>
      </c>
      <c r="B815" t="n">
        <v>2</v>
      </c>
    </row>
    <row r="816">
      <c r="A816" t="inlineStr">
        <is>
          <t>SIZE DISTRIBUTION</t>
        </is>
      </c>
      <c r="B816" t="n">
        <v>2</v>
      </c>
    </row>
    <row r="817">
      <c r="A817" t="inlineStr">
        <is>
          <t>GAS</t>
        </is>
      </c>
      <c r="B817" t="n">
        <v>2</v>
      </c>
    </row>
    <row r="818">
      <c r="A818" t="inlineStr">
        <is>
          <t>DISTRIBUTIONS</t>
        </is>
      </c>
      <c r="B818" t="n">
        <v>4</v>
      </c>
    </row>
    <row r="819">
      <c r="A819" t="inlineStr">
        <is>
          <t>TRANSIT-ORIENTED DEVELOPMENT</t>
        </is>
      </c>
      <c r="B819" t="n">
        <v>4</v>
      </c>
    </row>
    <row r="820">
      <c r="A820" t="inlineStr">
        <is>
          <t>MICROORGANISMS</t>
        </is>
      </c>
      <c r="B820" t="n">
        <v>4</v>
      </c>
    </row>
    <row r="821">
      <c r="A821" t="inlineStr">
        <is>
          <t>PEDESTRIAN EVACUATION</t>
        </is>
      </c>
      <c r="B821" t="n">
        <v>1</v>
      </c>
    </row>
    <row r="822">
      <c r="A822" t="inlineStr">
        <is>
          <t>CELLULAR-AUTOMATON</t>
        </is>
      </c>
      <c r="B822" t="n">
        <v>1</v>
      </c>
    </row>
    <row r="823">
      <c r="A823" t="inlineStr">
        <is>
          <t>WALKING SPEED</t>
        </is>
      </c>
      <c r="B823" t="n">
        <v>5</v>
      </c>
    </row>
    <row r="824">
      <c r="A824" t="inlineStr">
        <is>
          <t>MOVEMENT</t>
        </is>
      </c>
      <c r="B824" t="n">
        <v>2</v>
      </c>
    </row>
    <row r="825">
      <c r="A825" t="inlineStr">
        <is>
          <t>POSTURE</t>
        </is>
      </c>
      <c r="B825" t="n">
        <v>1</v>
      </c>
    </row>
    <row r="826">
      <c r="A826" t="inlineStr">
        <is>
          <t>BALANCE</t>
        </is>
      </c>
      <c r="B826" t="n">
        <v>15</v>
      </c>
    </row>
    <row r="827">
      <c r="A827" t="inlineStr">
        <is>
          <t>SOLAR CHIMNEY</t>
        </is>
      </c>
      <c r="B827" t="n">
        <v>2</v>
      </c>
    </row>
    <row r="828">
      <c r="A828" t="inlineStr">
        <is>
          <t>HERITAGE</t>
        </is>
      </c>
      <c r="B828" t="n">
        <v>3</v>
      </c>
    </row>
    <row r="829">
      <c r="A829" t="inlineStr">
        <is>
          <t>FLOW</t>
        </is>
      </c>
      <c r="B829" t="n">
        <v>13</v>
      </c>
    </row>
    <row r="830">
      <c r="A830" t="inlineStr">
        <is>
          <t>SCHOOL-STUDENTS</t>
        </is>
      </c>
      <c r="B830" t="n">
        <v>1</v>
      </c>
    </row>
    <row r="831">
      <c r="A831" t="inlineStr">
        <is>
          <t>FOCUS GROUPS</t>
        </is>
      </c>
      <c r="B831" t="n">
        <v>1</v>
      </c>
    </row>
    <row r="832">
      <c r="A832" t="inlineStr">
        <is>
          <t>BIODIVERSITY</t>
        </is>
      </c>
      <c r="B832" t="n">
        <v>7</v>
      </c>
    </row>
    <row r="833">
      <c r="A833" t="inlineStr">
        <is>
          <t>SOCIAL INEQUALITIES</t>
        </is>
      </c>
      <c r="B833" t="n">
        <v>4</v>
      </c>
    </row>
    <row r="834">
      <c r="A834" t="inlineStr">
        <is>
          <t>THERMAL SENSATION</t>
        </is>
      </c>
      <c r="B834" t="n">
        <v>1</v>
      </c>
    </row>
    <row r="835">
      <c r="A835" t="inlineStr">
        <is>
          <t>POLLUTANT DISPERSION</t>
        </is>
      </c>
      <c r="B835" t="n">
        <v>1</v>
      </c>
    </row>
    <row r="836">
      <c r="A836" t="inlineStr">
        <is>
          <t>NUMERICAL-SIMULATION</t>
        </is>
      </c>
      <c r="B836" t="n">
        <v>3</v>
      </c>
    </row>
    <row r="837">
      <c r="A837" t="inlineStr">
        <is>
          <t>CITY BREATHABILITY</t>
        </is>
      </c>
      <c r="B837" t="n">
        <v>1</v>
      </c>
    </row>
    <row r="838">
      <c r="A838" t="inlineStr">
        <is>
          <t>TUNNEL</t>
        </is>
      </c>
      <c r="B838" t="n">
        <v>4</v>
      </c>
    </row>
    <row r="839">
      <c r="A839" t="inlineStr">
        <is>
          <t>MICROCLIMATE</t>
        </is>
      </c>
      <c r="B839" t="n">
        <v>9</v>
      </c>
    </row>
    <row r="840">
      <c r="A840" t="inlineStr">
        <is>
          <t>VIGOROUS PHYSICAL-ACTIVITY</t>
        </is>
      </c>
      <c r="B840" t="n">
        <v>1</v>
      </c>
    </row>
    <row r="841">
      <c r="A841" t="inlineStr">
        <is>
          <t>CANONICAL CORRELATION-ANALYSIS</t>
        </is>
      </c>
      <c r="B841" t="n">
        <v>1</v>
      </c>
    </row>
    <row r="842">
      <c r="A842" t="inlineStr">
        <is>
          <t>HYDROGEN-SULFIDE</t>
        </is>
      </c>
      <c r="B842" t="n">
        <v>1</v>
      </c>
    </row>
    <row r="843">
      <c r="A843" t="inlineStr">
        <is>
          <t>AMMONIA</t>
        </is>
      </c>
      <c r="B843" t="n">
        <v>4</v>
      </c>
    </row>
    <row r="844">
      <c r="A844" t="inlineStr">
        <is>
          <t>MULTIPRODUCT</t>
        </is>
      </c>
      <c r="B844" t="n">
        <v>1</v>
      </c>
    </row>
    <row r="845">
      <c r="A845" t="inlineStr">
        <is>
          <t>MICROBIOME</t>
        </is>
      </c>
      <c r="B845" t="n">
        <v>1</v>
      </c>
    </row>
    <row r="846">
      <c r="A846" t="inlineStr">
        <is>
          <t>CHEMICAL-COMPOSITION</t>
        </is>
      </c>
      <c r="B846" t="n">
        <v>3</v>
      </c>
    </row>
    <row r="847">
      <c r="A847" t="inlineStr">
        <is>
          <t>MASS CONCENTRATIONS</t>
        </is>
      </c>
      <c r="B847" t="n">
        <v>8</v>
      </c>
    </row>
    <row r="848">
      <c r="A848" t="inlineStr">
        <is>
          <t>PERSONAL EXPOSURES</t>
        </is>
      </c>
      <c r="B848" t="n">
        <v>1</v>
      </c>
    </row>
    <row r="849">
      <c r="A849" t="inlineStr">
        <is>
          <t>OUTDOOR SOURCES</t>
        </is>
      </c>
      <c r="B849" t="n">
        <v>1</v>
      </c>
    </row>
    <row r="850">
      <c r="A850" t="inlineStr">
        <is>
          <t>PM2.5</t>
        </is>
      </c>
      <c r="B850" t="n">
        <v>29</v>
      </c>
    </row>
    <row r="851">
      <c r="A851" t="inlineStr">
        <is>
          <t>PM10</t>
        </is>
      </c>
      <c r="B851" t="n">
        <v>12</v>
      </c>
    </row>
    <row r="852">
      <c r="A852" t="inlineStr">
        <is>
          <t>RESTAURANT AVAILABILITY</t>
        </is>
      </c>
      <c r="B852" t="n">
        <v>1</v>
      </c>
    </row>
    <row r="853">
      <c r="A853" t="inlineStr">
        <is>
          <t>DIETARY-INTAKE</t>
        </is>
      </c>
      <c r="B853" t="n">
        <v>1</v>
      </c>
    </row>
    <row r="854">
      <c r="A854" t="inlineStr">
        <is>
          <t>HEALTHY FOOD</t>
        </is>
      </c>
      <c r="B854" t="n">
        <v>2</v>
      </c>
    </row>
    <row r="855">
      <c r="A855" t="inlineStr">
        <is>
          <t>TRANSITION</t>
        </is>
      </c>
      <c r="B855" t="n">
        <v>5</v>
      </c>
    </row>
    <row r="856">
      <c r="A856" t="inlineStr">
        <is>
          <t>BUILDING-MATERIALS</t>
        </is>
      </c>
      <c r="B856" t="n">
        <v>21</v>
      </c>
    </row>
    <row r="857">
      <c r="A857" t="inlineStr">
        <is>
          <t>GAMMA-RADIATION</t>
        </is>
      </c>
      <c r="B857" t="n">
        <v>1</v>
      </c>
    </row>
    <row r="858">
      <c r="A858" t="inlineStr">
        <is>
          <t>RADON LEVELS</t>
        </is>
      </c>
      <c r="B858" t="n">
        <v>1</v>
      </c>
    </row>
    <row r="859">
      <c r="A859" t="inlineStr">
        <is>
          <t>RADIOACTIVITY</t>
        </is>
      </c>
      <c r="B859" t="n">
        <v>2</v>
      </c>
    </row>
    <row r="860">
      <c r="A860" t="inlineStr">
        <is>
          <t>CROSS-SECTIONAL ANALYSIS</t>
        </is>
      </c>
      <c r="B860" t="n">
        <v>1</v>
      </c>
    </row>
    <row r="861">
      <c r="A861" t="inlineStr">
        <is>
          <t>TRAFFIC NOISE EXPOSURES</t>
        </is>
      </c>
      <c r="B861" t="n">
        <v>1</v>
      </c>
    </row>
    <row r="862">
      <c r="A862" t="inlineStr">
        <is>
          <t>ALZHEIMERS-DISEASE</t>
        </is>
      </c>
      <c r="B862" t="n">
        <v>16</v>
      </c>
    </row>
    <row r="863">
      <c r="A863" t="inlineStr">
        <is>
          <t>VERBAL FLUENCY</t>
        </is>
      </c>
      <c r="B863" t="n">
        <v>2</v>
      </c>
    </row>
    <row r="864">
      <c r="A864" t="inlineStr">
        <is>
          <t>COHORT</t>
        </is>
      </c>
      <c r="B864" t="n">
        <v>7</v>
      </c>
    </row>
    <row r="865">
      <c r="A865" t="inlineStr">
        <is>
          <t>SOCIOECONOMIC INEQUALITIES</t>
        </is>
      </c>
      <c r="B865" t="n">
        <v>4</v>
      </c>
    </row>
    <row r="866">
      <c r="A866" t="inlineStr">
        <is>
          <t>ANTIDEPRESSANT TREATMENT</t>
        </is>
      </c>
      <c r="B866" t="n">
        <v>1</v>
      </c>
    </row>
    <row r="867">
      <c r="A867" t="inlineStr">
        <is>
          <t>DISORDERS</t>
        </is>
      </c>
      <c r="B867" t="n">
        <v>9</v>
      </c>
    </row>
    <row r="868">
      <c r="A868" t="inlineStr">
        <is>
          <t>SPATIAL ASSIMILATION</t>
        </is>
      </c>
      <c r="B868" t="n">
        <v>1</v>
      </c>
    </row>
    <row r="869">
      <c r="A869" t="inlineStr">
        <is>
          <t>ACCULTURATION</t>
        </is>
      </c>
      <c r="B869" t="n">
        <v>2</v>
      </c>
    </row>
    <row r="870">
      <c r="A870" t="inlineStr">
        <is>
          <t>MIGRATION</t>
        </is>
      </c>
      <c r="B870" t="n">
        <v>3</v>
      </c>
    </row>
    <row r="871">
      <c r="A871" t="inlineStr">
        <is>
          <t>HISPANICS</t>
        </is>
      </c>
      <c r="B871" t="n">
        <v>1</v>
      </c>
    </row>
    <row r="872">
      <c r="A872" t="inlineStr">
        <is>
          <t>ENCLOSURE</t>
        </is>
      </c>
      <c r="B872" t="n">
        <v>1</v>
      </c>
    </row>
    <row r="873">
      <c r="A873" t="inlineStr">
        <is>
          <t>ISOVISTS</t>
        </is>
      </c>
      <c r="B873" t="n">
        <v>1</v>
      </c>
    </row>
    <row r="874">
      <c r="A874" t="inlineStr">
        <is>
          <t>PERMEABILITY</t>
        </is>
      </c>
      <c r="B874" t="n">
        <v>2</v>
      </c>
    </row>
    <row r="875">
      <c r="A875" t="inlineStr">
        <is>
          <t>WRIGHT</t>
        </is>
      </c>
      <c r="B875" t="n">
        <v>1</v>
      </c>
    </row>
    <row r="876">
      <c r="A876" t="inlineStr">
        <is>
          <t>PYRETHROID INSECTICIDE EXPOSURE</t>
        </is>
      </c>
      <c r="B876" t="n">
        <v>1</v>
      </c>
    </row>
    <row r="877">
      <c r="A877" t="inlineStr">
        <is>
          <t>CHILDHOOD BLOOD LEAD</t>
        </is>
      </c>
      <c r="B877" t="n">
        <v>1</v>
      </c>
    </row>
    <row r="878">
      <c r="A878" t="inlineStr">
        <is>
          <t>ORGANOPHOSPHATE PESTICIDES</t>
        </is>
      </c>
      <c r="B878" t="n">
        <v>1</v>
      </c>
    </row>
    <row r="879">
      <c r="A879" t="inlineStr">
        <is>
          <t>SCHOOL CLOSURE</t>
        </is>
      </c>
      <c r="B879" t="n">
        <v>1</v>
      </c>
    </row>
    <row r="880">
      <c r="A880" t="inlineStr">
        <is>
          <t>NEW-ORLEANS</t>
        </is>
      </c>
      <c r="B880" t="n">
        <v>1</v>
      </c>
    </row>
    <row r="881">
      <c r="A881" t="inlineStr">
        <is>
          <t>SOIL LEAD</t>
        </is>
      </c>
      <c r="B881" t="n">
        <v>2</v>
      </c>
    </row>
    <row r="882">
      <c r="A882" t="inlineStr">
        <is>
          <t>WELL</t>
        </is>
      </c>
      <c r="B882" t="n">
        <v>11</v>
      </c>
    </row>
    <row r="883">
      <c r="A883" t="inlineStr">
        <is>
          <t>DISORDER</t>
        </is>
      </c>
      <c r="B883" t="n">
        <v>5</v>
      </c>
    </row>
    <row r="884">
      <c r="A884" t="inlineStr">
        <is>
          <t>BELIEFS</t>
        </is>
      </c>
      <c r="B884" t="n">
        <v>3</v>
      </c>
    </row>
    <row r="885">
      <c r="A885" t="inlineStr">
        <is>
          <t>ROLES</t>
        </is>
      </c>
      <c r="B885" t="n">
        <v>2</v>
      </c>
    </row>
    <row r="886">
      <c r="A886" t="inlineStr">
        <is>
          <t>FUNGAL</t>
        </is>
      </c>
      <c r="B886" t="n">
        <v>4</v>
      </c>
    </row>
    <row r="887">
      <c r="A887" t="inlineStr">
        <is>
          <t>ENDOTOXIN</t>
        </is>
      </c>
      <c r="B887" t="n">
        <v>2</v>
      </c>
    </row>
    <row r="888">
      <c r="A888" t="inlineStr">
        <is>
          <t>DUST</t>
        </is>
      </c>
      <c r="B888" t="n">
        <v>7</v>
      </c>
    </row>
    <row r="889">
      <c r="A889" t="inlineStr">
        <is>
          <t>POLLEN</t>
        </is>
      </c>
      <c r="B889" t="n">
        <v>1</v>
      </c>
    </row>
    <row r="890">
      <c r="A890" t="inlineStr">
        <is>
          <t>HUMANOID ROBOT</t>
        </is>
      </c>
      <c r="B890" t="n">
        <v>1</v>
      </c>
    </row>
    <row r="891">
      <c r="A891" t="inlineStr">
        <is>
          <t>ACCEPTANCE</t>
        </is>
      </c>
      <c r="B891" t="n">
        <v>9</v>
      </c>
    </row>
    <row r="892">
      <c r="A892" t="inlineStr">
        <is>
          <t>SENSORS</t>
        </is>
      </c>
      <c r="B892" t="n">
        <v>2</v>
      </c>
    </row>
    <row r="893">
      <c r="A893" t="inlineStr">
        <is>
          <t>SLEEP</t>
        </is>
      </c>
      <c r="B893" t="n">
        <v>6</v>
      </c>
    </row>
    <row r="894">
      <c r="A894" t="inlineStr">
        <is>
          <t>PERCEIVED BARRIERS</t>
        </is>
      </c>
      <c r="B894" t="n">
        <v>3</v>
      </c>
    </row>
    <row r="895">
      <c r="A895" t="inlineStr">
        <is>
          <t>ISLAND MITIGATION</t>
        </is>
      </c>
      <c r="B895" t="n">
        <v>1</v>
      </c>
    </row>
    <row r="896">
      <c r="A896" t="inlineStr">
        <is>
          <t>HUMAN COMFORT</t>
        </is>
      </c>
      <c r="B896" t="n">
        <v>1</v>
      </c>
    </row>
    <row r="897">
      <c r="A897" t="inlineStr">
        <is>
          <t>UNIVERSAL</t>
        </is>
      </c>
      <c r="B897" t="n">
        <v>2</v>
      </c>
    </row>
    <row r="898">
      <c r="A898" t="inlineStr">
        <is>
          <t>COATINGS</t>
        </is>
      </c>
      <c r="B898" t="n">
        <v>2</v>
      </c>
    </row>
    <row r="899">
      <c r="A899" t="inlineStr">
        <is>
          <t>ALBEDO</t>
        </is>
      </c>
      <c r="B899" t="n">
        <v>3</v>
      </c>
    </row>
    <row r="900">
      <c r="A900" t="inlineStr">
        <is>
          <t>SELF-DETERMINATION</t>
        </is>
      </c>
      <c r="B900" t="n">
        <v>1</v>
      </c>
    </row>
    <row r="901">
      <c r="A901" t="inlineStr">
        <is>
          <t>DYNAMIC BALANCE</t>
        </is>
      </c>
      <c r="B901" t="n">
        <v>1</v>
      </c>
    </row>
    <row r="902">
      <c r="A902" t="inlineStr">
        <is>
          <t>WORKING-MEMORY</t>
        </is>
      </c>
      <c r="B902" t="n">
        <v>2</v>
      </c>
    </row>
    <row r="903">
      <c r="A903" t="inlineStr">
        <is>
          <t>ATTENTION</t>
        </is>
      </c>
      <c r="B903" t="n">
        <v>3</v>
      </c>
    </row>
    <row r="904">
      <c r="A904" t="inlineStr">
        <is>
          <t>IMPROVES</t>
        </is>
      </c>
      <c r="B904" t="n">
        <v>1</v>
      </c>
    </row>
    <row r="905">
      <c r="A905" t="inlineStr">
        <is>
          <t>RESIDENTIAL SEGREGATION</t>
        </is>
      </c>
      <c r="B905" t="n">
        <v>1</v>
      </c>
    </row>
    <row r="906">
      <c r="A906" t="inlineStr">
        <is>
          <t>SOCIOSPATIAL DIFFERENTIATION</t>
        </is>
      </c>
      <c r="B906" t="n">
        <v>1</v>
      </c>
    </row>
    <row r="907">
      <c r="A907" t="inlineStr">
        <is>
          <t>SOCIAL EQUITY</t>
        </is>
      </c>
      <c r="B907" t="n">
        <v>1</v>
      </c>
    </row>
    <row r="908">
      <c r="A908" t="inlineStr">
        <is>
          <t>HUKOU SYSTEM</t>
        </is>
      </c>
      <c r="B908" t="n">
        <v>1</v>
      </c>
    </row>
    <row r="909">
      <c r="A909" t="inlineStr">
        <is>
          <t>URBAN CHINA</t>
        </is>
      </c>
      <c r="B909" t="n">
        <v>2</v>
      </c>
    </row>
    <row r="910">
      <c r="A910" t="inlineStr">
        <is>
          <t>PARK ACCESS</t>
        </is>
      </c>
      <c r="B910" t="n">
        <v>1</v>
      </c>
    </row>
    <row r="911">
      <c r="A911" t="inlineStr">
        <is>
          <t>BIM-BASED FRAMEWORK</t>
        </is>
      </c>
      <c r="B911" t="n">
        <v>1</v>
      </c>
    </row>
    <row r="912">
      <c r="A912" t="inlineStr">
        <is>
          <t>NATURAL VENTILATION</t>
        </is>
      </c>
      <c r="B912" t="n">
        <v>13</v>
      </c>
    </row>
    <row r="913">
      <c r="A913" t="inlineStr">
        <is>
          <t>SCHOOL BUILDINGS</t>
        </is>
      </c>
      <c r="B913" t="n">
        <v>3</v>
      </c>
    </row>
    <row r="914">
      <c r="A914" t="inlineStr">
        <is>
          <t>QUALITY IEQ</t>
        </is>
      </c>
      <c r="B914" t="n">
        <v>3</v>
      </c>
    </row>
    <row r="915">
      <c r="A915" t="inlineStr">
        <is>
          <t>INACTIVITY</t>
        </is>
      </c>
      <c r="B915" t="n">
        <v>7</v>
      </c>
    </row>
    <row r="916">
      <c r="A916" t="inlineStr">
        <is>
          <t>FLOW-CYTOMETRY</t>
        </is>
      </c>
      <c r="B916" t="n">
        <v>2</v>
      </c>
    </row>
    <row r="917">
      <c r="A917" t="inlineStr">
        <is>
          <t>HEAVY-METALS</t>
        </is>
      </c>
      <c r="B917" t="n">
        <v>6</v>
      </c>
    </row>
    <row r="918">
      <c r="A918" t="inlineStr">
        <is>
          <t>OCHRATOXIN-A</t>
        </is>
      </c>
      <c r="B918" t="n">
        <v>1</v>
      </c>
    </row>
    <row r="919">
      <c r="A919" t="inlineStr">
        <is>
          <t>CONTAMINATION</t>
        </is>
      </c>
      <c r="B919" t="n">
        <v>6</v>
      </c>
    </row>
    <row r="920">
      <c r="A920" t="inlineStr">
        <is>
          <t>MYCOTOXINS</t>
        </is>
      </c>
      <c r="B920" t="n">
        <v>2</v>
      </c>
    </row>
    <row r="921">
      <c r="A921" t="inlineStr">
        <is>
          <t>SECURITY</t>
        </is>
      </c>
      <c r="B921" t="n">
        <v>3</v>
      </c>
    </row>
    <row r="922">
      <c r="A922" t="inlineStr">
        <is>
          <t>ELEVATED BLOOD-PRESSURE</t>
        </is>
      </c>
      <c r="B922" t="n">
        <v>1</v>
      </c>
    </row>
    <row r="923">
      <c r="A923" t="inlineStr">
        <is>
          <t>HEART-RATE</t>
        </is>
      </c>
      <c r="B923" t="n">
        <v>5</v>
      </c>
    </row>
    <row r="924">
      <c r="A924" t="inlineStr">
        <is>
          <t>SPATIAL AUTOCORRELATION</t>
        </is>
      </c>
      <c r="B924" t="n">
        <v>1</v>
      </c>
    </row>
    <row r="925">
      <c r="A925" t="inlineStr">
        <is>
          <t>REGRESSION</t>
        </is>
      </c>
      <c r="B925" t="n">
        <v>4</v>
      </c>
    </row>
    <row r="926">
      <c r="A926" t="inlineStr">
        <is>
          <t>WALK SCORE(R)</t>
        </is>
      </c>
      <c r="B926" t="n">
        <v>3</v>
      </c>
    </row>
    <row r="927">
      <c r="A927" t="inlineStr">
        <is>
          <t>MICROSCALE AUDIT</t>
        </is>
      </c>
      <c r="B927" t="n">
        <v>1</v>
      </c>
    </row>
    <row r="928">
      <c r="A928" t="inlineStr">
        <is>
          <t>RELIABLE TOOL</t>
        </is>
      </c>
      <c r="B928" t="n">
        <v>1</v>
      </c>
    </row>
    <row r="929">
      <c r="A929" t="inlineStr">
        <is>
          <t>PSYCHOLOGICAL BENEFITS</t>
        </is>
      </c>
      <c r="B929" t="n">
        <v>1</v>
      </c>
    </row>
    <row r="930">
      <c r="A930" t="inlineStr">
        <is>
          <t>STUDENT PERCEPTIONS</t>
        </is>
      </c>
      <c r="B930" t="n">
        <v>1</v>
      </c>
    </row>
    <row r="931">
      <c r="A931" t="inlineStr">
        <is>
          <t>PLACE ATTACHMENT</t>
        </is>
      </c>
      <c r="B931" t="n">
        <v>6</v>
      </c>
    </row>
    <row r="932">
      <c r="A932" t="inlineStr">
        <is>
          <t>STRESS RECOVERY</t>
        </is>
      </c>
      <c r="B932" t="n">
        <v>4</v>
      </c>
    </row>
    <row r="933">
      <c r="A933" t="inlineStr">
        <is>
          <t>GREEN</t>
        </is>
      </c>
      <c r="B933" t="n">
        <v>12</v>
      </c>
    </row>
    <row r="934">
      <c r="A934" t="inlineStr">
        <is>
          <t>EXPOSOME</t>
        </is>
      </c>
      <c r="B934" t="n">
        <v>1</v>
      </c>
    </row>
    <row r="935">
      <c r="A935" t="inlineStr">
        <is>
          <t>LAND-USE REGRESSION</t>
        </is>
      </c>
      <c r="B935" t="n">
        <v>4</v>
      </c>
    </row>
    <row r="936">
      <c r="A936" t="inlineStr">
        <is>
          <t>NEURAL-TUBE DEFECTS</t>
        </is>
      </c>
      <c r="B936" t="n">
        <v>1</v>
      </c>
    </row>
    <row r="937">
      <c r="A937" t="inlineStr">
        <is>
          <t>CHINA</t>
        </is>
      </c>
      <c r="B937" t="n">
        <v>29</v>
      </c>
    </row>
    <row r="938">
      <c r="A938" t="inlineStr">
        <is>
          <t>JOURNEYS</t>
        </is>
      </c>
      <c r="B938" t="n">
        <v>1</v>
      </c>
    </row>
    <row r="939">
      <c r="A939" t="inlineStr">
        <is>
          <t>CARBON-MONOXIDE</t>
        </is>
      </c>
      <c r="B939" t="n">
        <v>5</v>
      </c>
    </row>
    <row r="940">
      <c r="A940" t="inlineStr">
        <is>
          <t>REACTION-PRODUCTS</t>
        </is>
      </c>
      <c r="B940" t="n">
        <v>1</v>
      </c>
    </row>
    <row r="941">
      <c r="A941" t="inlineStr">
        <is>
          <t>NITROGEN-DIOXIDE</t>
        </is>
      </c>
      <c r="B941" t="n">
        <v>15</v>
      </c>
    </row>
    <row r="942">
      <c r="A942" t="inlineStr">
        <is>
          <t>EPIGENETIC INHERITANCE</t>
        </is>
      </c>
      <c r="B942" t="n">
        <v>1</v>
      </c>
    </row>
    <row r="943">
      <c r="A943" t="inlineStr">
        <is>
          <t>CARDIOVASCULAR-DISEASE</t>
        </is>
      </c>
      <c r="B943" t="n">
        <v>10</v>
      </c>
    </row>
    <row r="944">
      <c r="A944" t="inlineStr">
        <is>
          <t>RESIDENTIAL GREENNESS</t>
        </is>
      </c>
      <c r="B944" t="n">
        <v>4</v>
      </c>
    </row>
    <row r="945">
      <c r="A945" t="inlineStr">
        <is>
          <t>INCREASED RISK</t>
        </is>
      </c>
      <c r="B945" t="n">
        <v>1</v>
      </c>
    </row>
    <row r="946">
      <c r="A946" t="inlineStr">
        <is>
          <t>PRETERM BIRTH</t>
        </is>
      </c>
      <c r="B946" t="n">
        <v>1</v>
      </c>
    </row>
    <row r="947">
      <c r="A947" t="inlineStr">
        <is>
          <t>DIET</t>
        </is>
      </c>
      <c r="B947" t="n">
        <v>6</v>
      </c>
    </row>
    <row r="948">
      <c r="A948" t="inlineStr">
        <is>
          <t>TIME-USE</t>
        </is>
      </c>
      <c r="B948" t="n">
        <v>2</v>
      </c>
    </row>
    <row r="949">
      <c r="A949" t="inlineStr">
        <is>
          <t>INTERGENERATIONAL SUPPORT</t>
        </is>
      </c>
      <c r="B949" t="n">
        <v>2</v>
      </c>
    </row>
    <row r="950">
      <c r="A950" t="inlineStr">
        <is>
          <t>LEISURE ACTIVITIES</t>
        </is>
      </c>
      <c r="B950" t="n">
        <v>5</v>
      </c>
    </row>
    <row r="951">
      <c r="A951" t="inlineStr">
        <is>
          <t>ALLOCATION</t>
        </is>
      </c>
      <c r="B951" t="n">
        <v>1</v>
      </c>
    </row>
    <row r="952">
      <c r="A952" t="inlineStr">
        <is>
          <t>LOGISTIC-REGRESSION</t>
        </is>
      </c>
      <c r="B952" t="n">
        <v>1</v>
      </c>
    </row>
    <row r="953">
      <c r="A953" t="inlineStr">
        <is>
          <t>SOCIAL PRACTICE</t>
        </is>
      </c>
      <c r="B953" t="n">
        <v>1</v>
      </c>
    </row>
    <row r="954">
      <c r="A954" t="inlineStr">
        <is>
          <t>POVERTY</t>
        </is>
      </c>
      <c r="B954" t="n">
        <v>6</v>
      </c>
    </row>
    <row r="955">
      <c r="A955" t="inlineStr">
        <is>
          <t>LADDER</t>
        </is>
      </c>
      <c r="B955" t="n">
        <v>1</v>
      </c>
    </row>
    <row r="956">
      <c r="A956" t="inlineStr">
        <is>
          <t>TRANSITIONS</t>
        </is>
      </c>
      <c r="B956" t="n">
        <v>2</v>
      </c>
    </row>
    <row r="957">
      <c r="A957" t="inlineStr">
        <is>
          <t>APPLIANCES</t>
        </is>
      </c>
      <c r="B957" t="n">
        <v>1</v>
      </c>
    </row>
    <row r="958">
      <c r="A958" t="inlineStr">
        <is>
          <t>OWNERSHIP</t>
        </is>
      </c>
      <c r="B958" t="n">
        <v>3</v>
      </c>
    </row>
    <row r="959">
      <c r="A959" t="inlineStr">
        <is>
          <t>SCORE</t>
        </is>
      </c>
      <c r="B959" t="n">
        <v>1</v>
      </c>
    </row>
    <row r="960">
      <c r="A960" t="inlineStr">
        <is>
          <t>CHEMICALS</t>
        </is>
      </c>
      <c r="B960" t="n">
        <v>2</v>
      </c>
    </row>
    <row r="961">
      <c r="A961" t="inlineStr">
        <is>
          <t>MENTAL-HEALTH-SERVICES</t>
        </is>
      </c>
      <c r="B961" t="n">
        <v>1</v>
      </c>
    </row>
    <row r="962">
      <c r="A962" t="inlineStr">
        <is>
          <t>MUNICIPALITY</t>
        </is>
      </c>
      <c r="B962" t="n">
        <v>1</v>
      </c>
    </row>
    <row r="963">
      <c r="A963" t="inlineStr">
        <is>
          <t>MELBOURNE</t>
        </is>
      </c>
      <c r="B963" t="n">
        <v>1</v>
      </c>
    </row>
    <row r="964">
      <c r="A964" t="inlineStr">
        <is>
          <t>COMPUTATIONAL FLUID-DYNAMICS</t>
        </is>
      </c>
      <c r="B964" t="n">
        <v>2</v>
      </c>
    </row>
    <row r="965">
      <c r="A965" t="inlineStr">
        <is>
          <t>LARGE-EDDY SIMULATION</t>
        </is>
      </c>
      <c r="B965" t="n">
        <v>2</v>
      </c>
    </row>
    <row r="966">
      <c r="A966" t="inlineStr">
        <is>
          <t>MULTIZONE AIR-FLOW</t>
        </is>
      </c>
      <c r="B966" t="n">
        <v>1</v>
      </c>
    </row>
    <row r="967">
      <c r="A967" t="inlineStr">
        <is>
          <t>DISPLACEMENT VENTILATION SYSTEM</t>
        </is>
      </c>
      <c r="B967" t="n">
        <v>1</v>
      </c>
    </row>
    <row r="968">
      <c r="A968" t="inlineStr">
        <is>
          <t>HIGHRISE RESIDENTIAL BUILDINGS</t>
        </is>
      </c>
      <c r="B968" t="n">
        <v>2</v>
      </c>
    </row>
    <row r="969">
      <c r="A969" t="inlineStr">
        <is>
          <t>PROTECTIVE ISOLATION ROOM</t>
        </is>
      </c>
      <c r="B969" t="n">
        <v>1</v>
      </c>
    </row>
    <row r="970">
      <c r="A970" t="inlineStr">
        <is>
          <t>HUMAN EXHALED DROPLETS</t>
        </is>
      </c>
      <c r="B970" t="n">
        <v>1</v>
      </c>
    </row>
    <row r="971">
      <c r="A971" t="inlineStr">
        <is>
          <t>CO-OCCUPANTS EXPOSURE</t>
        </is>
      </c>
      <c r="B971" t="n">
        <v>1</v>
      </c>
    </row>
    <row r="972">
      <c r="A972" t="inlineStr">
        <is>
          <t>TOF MASS-SPECTROMETRY</t>
        </is>
      </c>
      <c r="B972" t="n">
        <v>1</v>
      </c>
    </row>
    <row r="973">
      <c r="A973" t="inlineStr">
        <is>
          <t>2-BED HOSPITAL WARD</t>
        </is>
      </c>
      <c r="B973" t="n">
        <v>1</v>
      </c>
    </row>
    <row r="974">
      <c r="A974" t="inlineStr">
        <is>
          <t>INDUCED COVER CRACKING</t>
        </is>
      </c>
      <c r="B974" t="n">
        <v>1</v>
      </c>
    </row>
    <row r="975">
      <c r="A975" t="inlineStr">
        <is>
          <t>HEALTH BEHAVIOR-CHANGE</t>
        </is>
      </c>
      <c r="B975" t="n">
        <v>2</v>
      </c>
    </row>
    <row r="976">
      <c r="A976" t="inlineStr">
        <is>
          <t>ACTIVITY INTERVENTIONS</t>
        </is>
      </c>
      <c r="B976" t="n">
        <v>1</v>
      </c>
    </row>
    <row r="977">
      <c r="A977" t="inlineStr">
        <is>
          <t>SCREENING-TEST</t>
        </is>
      </c>
      <c r="B977" t="n">
        <v>1</v>
      </c>
    </row>
    <row r="978">
      <c r="A978" t="inlineStr">
        <is>
          <t>EQUITY</t>
        </is>
      </c>
      <c r="B978" t="n">
        <v>4</v>
      </c>
    </row>
    <row r="979">
      <c r="A979" t="inlineStr">
        <is>
          <t>HEART</t>
        </is>
      </c>
      <c r="B979" t="n">
        <v>3</v>
      </c>
    </row>
    <row r="980">
      <c r="A980" t="inlineStr">
        <is>
          <t>QUESTIONNAIRE</t>
        </is>
      </c>
      <c r="B980" t="n">
        <v>8</v>
      </c>
    </row>
    <row r="981">
      <c r="A981" t="inlineStr">
        <is>
          <t>CLASSIFICATION</t>
        </is>
      </c>
      <c r="B981" t="n">
        <v>8</v>
      </c>
    </row>
    <row r="982">
      <c r="A982" t="inlineStr">
        <is>
          <t>PMV</t>
        </is>
      </c>
      <c r="B982" t="n">
        <v>2</v>
      </c>
    </row>
    <row r="983">
      <c r="A983" t="inlineStr">
        <is>
          <t>ODOR</t>
        </is>
      </c>
      <c r="B983" t="n">
        <v>1</v>
      </c>
    </row>
    <row r="984">
      <c r="A984" t="inlineStr">
        <is>
          <t>TAXI RIDERSHIP</t>
        </is>
      </c>
      <c r="B984" t="n">
        <v>2</v>
      </c>
    </row>
    <row r="985">
      <c r="A985" t="inlineStr">
        <is>
          <t>DEMAND</t>
        </is>
      </c>
      <c r="B985" t="n">
        <v>11</v>
      </c>
    </row>
    <row r="986">
      <c r="A986" t="inlineStr">
        <is>
          <t>FRAILTY STATUS</t>
        </is>
      </c>
      <c r="B986" t="n">
        <v>1</v>
      </c>
    </row>
    <row r="987">
      <c r="A987" t="inlineStr">
        <is>
          <t>POLYBROMINATED DIPHENYL ETHERS</t>
        </is>
      </c>
      <c r="B987" t="n">
        <v>13</v>
      </c>
    </row>
    <row r="988">
      <c r="A988" t="inlineStr">
        <is>
          <t>IN-HOUSE DUST</t>
        </is>
      </c>
      <c r="B988" t="n">
        <v>7</v>
      </c>
    </row>
    <row r="989">
      <c r="A989" t="inlineStr">
        <is>
          <t>LUNG-CANCER MORTALITY</t>
        </is>
      </c>
      <c r="B989" t="n">
        <v>1</v>
      </c>
    </row>
    <row r="990">
      <c r="A990" t="inlineStr">
        <is>
          <t>URBAN DWELLINGS</t>
        </is>
      </c>
      <c r="B990" t="n">
        <v>1</v>
      </c>
    </row>
    <row r="991">
      <c r="A991" t="inlineStr">
        <is>
          <t>SMOKY COAL</t>
        </is>
      </c>
      <c r="B991" t="n">
        <v>1</v>
      </c>
    </row>
    <row r="992">
      <c r="A992" t="inlineStr">
        <is>
          <t>ALLERGIC DISEASES</t>
        </is>
      </c>
      <c r="B992" t="n">
        <v>2</v>
      </c>
    </row>
    <row r="993">
      <c r="A993" t="inlineStr">
        <is>
          <t>PHTHALATE-ESTERS</t>
        </is>
      </c>
      <c r="B993" t="n">
        <v>7</v>
      </c>
    </row>
    <row r="994">
      <c r="A994" t="inlineStr">
        <is>
          <t>BODY EXERGY CONSUMPTION</t>
        </is>
      </c>
      <c r="B994" t="n">
        <v>1</v>
      </c>
    </row>
    <row r="995">
      <c r="A995" t="inlineStr">
        <is>
          <t>HYPERMETABOLIC RESPONSE</t>
        </is>
      </c>
      <c r="B995" t="n">
        <v>1</v>
      </c>
    </row>
    <row r="996">
      <c r="A996" t="inlineStr">
        <is>
          <t>HEAT-PRODUCTION</t>
        </is>
      </c>
      <c r="B996" t="n">
        <v>1</v>
      </c>
    </row>
    <row r="997">
      <c r="A997" t="inlineStr">
        <is>
          <t>BURNED PATIENTS</t>
        </is>
      </c>
      <c r="B997" t="n">
        <v>1</v>
      </c>
    </row>
    <row r="998">
      <c r="A998" t="inlineStr">
        <is>
          <t>METABOLIC-RATE</t>
        </is>
      </c>
      <c r="B998" t="n">
        <v>1</v>
      </c>
    </row>
    <row r="999">
      <c r="A999" t="inlineStr">
        <is>
          <t>INJURY</t>
        </is>
      </c>
      <c r="B999" t="n">
        <v>1</v>
      </c>
    </row>
    <row r="1000">
      <c r="A1000" t="inlineStr">
        <is>
          <t>PARAMETER-ESTIMATION</t>
        </is>
      </c>
      <c r="B1000" t="n">
        <v>1</v>
      </c>
    </row>
    <row r="1001">
      <c r="A1001" t="inlineStr">
        <is>
          <t>BLOOD-PRESSURE</t>
        </is>
      </c>
      <c r="B1001" t="n">
        <v>13</v>
      </c>
    </row>
    <row r="1002">
      <c r="A1002" t="inlineStr">
        <is>
          <t>INDOOR AIR</t>
        </is>
      </c>
      <c r="B1002" t="n">
        <v>7</v>
      </c>
    </row>
    <row r="1003">
      <c r="A1003" t="inlineStr">
        <is>
          <t>ALGORITHM</t>
        </is>
      </c>
      <c r="B1003" t="n">
        <v>5</v>
      </c>
    </row>
    <row r="1004">
      <c r="A1004" t="inlineStr">
        <is>
          <t>CHILD-CARE</t>
        </is>
      </c>
      <c r="B1004" t="n">
        <v>2</v>
      </c>
    </row>
    <row r="1005">
      <c r="A1005" t="inlineStr">
        <is>
          <t>SELF-ASSESSMENT</t>
        </is>
      </c>
      <c r="B1005" t="n">
        <v>1</v>
      </c>
    </row>
    <row r="1006">
      <c r="A1006" t="inlineStr">
        <is>
          <t>ACTIVITY POLICIES</t>
        </is>
      </c>
      <c r="B1006" t="n">
        <v>1</v>
      </c>
    </row>
    <row r="1007">
      <c r="A1007" t="inlineStr">
        <is>
          <t>AGED CHILDREN</t>
        </is>
      </c>
      <c r="B1007" t="n">
        <v>2</v>
      </c>
    </row>
    <row r="1008">
      <c r="A1008" t="inlineStr">
        <is>
          <t>NAP SACC</t>
        </is>
      </c>
      <c r="B1008" t="n">
        <v>1</v>
      </c>
    </row>
    <row r="1009">
      <c r="A1009" t="inlineStr">
        <is>
          <t>CENTERS</t>
        </is>
      </c>
      <c r="B1009" t="n">
        <v>1</v>
      </c>
    </row>
    <row r="1010">
      <c r="A1010" t="inlineStr">
        <is>
          <t>FAMILY</t>
        </is>
      </c>
      <c r="B1010" t="n">
        <v>5</v>
      </c>
    </row>
    <row r="1011">
      <c r="A1011" t="inlineStr">
        <is>
          <t>TEACHERS</t>
        </is>
      </c>
      <c r="B1011" t="n">
        <v>2</v>
      </c>
    </row>
    <row r="1012">
      <c r="A1012" t="inlineStr">
        <is>
          <t>PROGRAM</t>
        </is>
      </c>
      <c r="B1012" t="n">
        <v>17</v>
      </c>
    </row>
    <row r="1013">
      <c r="A1013" t="inlineStr">
        <is>
          <t>BIKING</t>
        </is>
      </c>
      <c r="B1013" t="n">
        <v>1</v>
      </c>
    </row>
    <row r="1014">
      <c r="A1014" t="inlineStr">
        <is>
          <t>NEIGHBORHOOD BUILT ENVIRONMENT</t>
        </is>
      </c>
      <c r="B1014" t="n">
        <v>2</v>
      </c>
    </row>
    <row r="1015">
      <c r="A1015" t="inlineStr">
        <is>
          <t>AIR-POLLUTION EXPOSURE</t>
        </is>
      </c>
      <c r="B1015" t="n">
        <v>4</v>
      </c>
    </row>
    <row r="1016">
      <c r="A1016" t="inlineStr">
        <is>
          <t>USE REGRESSION-MODELS</t>
        </is>
      </c>
      <c r="B1016" t="n">
        <v>3</v>
      </c>
    </row>
    <row r="1017">
      <c r="A1017" t="inlineStr">
        <is>
          <t>PM2.5 ABSORBENCY</t>
        </is>
      </c>
      <c r="B1017" t="n">
        <v>1</v>
      </c>
    </row>
    <row r="1018">
      <c r="A1018" t="inlineStr">
        <is>
          <t>DOWNHILL WALKING</t>
        </is>
      </c>
      <c r="B1018" t="n">
        <v>1</v>
      </c>
    </row>
    <row r="1019">
      <c r="A1019" t="inlineStr">
        <is>
          <t>NOISE ANNOYANCE</t>
        </is>
      </c>
      <c r="B1019" t="n">
        <v>1</v>
      </c>
    </row>
    <row r="1020">
      <c r="A1020" t="inlineStr">
        <is>
          <t>DAILY-LIFE</t>
        </is>
      </c>
      <c r="B1020" t="n">
        <v>1</v>
      </c>
    </row>
    <row r="1021">
      <c r="A1021" t="inlineStr">
        <is>
          <t>AREAS</t>
        </is>
      </c>
      <c r="B1021" t="n">
        <v>9</v>
      </c>
    </row>
    <row r="1022">
      <c r="A1022" t="inlineStr">
        <is>
          <t>ACADEMIC-ACHIEVEMENT</t>
        </is>
      </c>
      <c r="B1022" t="n">
        <v>1</v>
      </c>
    </row>
    <row r="1023">
      <c r="A1023" t="inlineStr">
        <is>
          <t>ENERGY EFFICIENCY</t>
        </is>
      </c>
      <c r="B1023" t="n">
        <v>6</v>
      </c>
    </row>
    <row r="1024">
      <c r="A1024" t="inlineStr">
        <is>
          <t>WHITE-MATTER CHANGES</t>
        </is>
      </c>
      <c r="B1024" t="n">
        <v>1</v>
      </c>
    </row>
    <row r="1025">
      <c r="A1025" t="inlineStr">
        <is>
          <t>CONTINGENT NEGATIVE-VARIATION</t>
        </is>
      </c>
      <c r="B1025" t="n">
        <v>1</v>
      </c>
    </row>
    <row r="1026">
      <c r="A1026" t="inlineStr">
        <is>
          <t>UNCINATE FASCICULUS</t>
        </is>
      </c>
      <c r="B1026" t="n">
        <v>1</v>
      </c>
    </row>
    <row r="1027">
      <c r="A1027" t="inlineStr">
        <is>
          <t>NEUROTROPHIC FACTOR</t>
        </is>
      </c>
      <c r="B1027" t="n">
        <v>1</v>
      </c>
    </row>
    <row r="1028">
      <c r="A1028" t="inlineStr">
        <is>
          <t>EEG COHERENCE</t>
        </is>
      </c>
      <c r="B1028" t="n">
        <v>1</v>
      </c>
    </row>
    <row r="1029">
      <c r="A1029" t="inlineStr">
        <is>
          <t>DEVELOPMENTAL DYSLEXIA</t>
        </is>
      </c>
      <c r="B1029" t="n">
        <v>1</v>
      </c>
    </row>
    <row r="1030">
      <c r="A1030" t="inlineStr">
        <is>
          <t>LONGITUDINAL CHANGES</t>
        </is>
      </c>
      <c r="B1030" t="n">
        <v>1</v>
      </c>
    </row>
    <row r="1031">
      <c r="A1031" t="inlineStr">
        <is>
          <t>NEURONAL PLASTICITY</t>
        </is>
      </c>
      <c r="B1031" t="n">
        <v>1</v>
      </c>
    </row>
    <row r="1032">
      <c r="A1032" t="inlineStr">
        <is>
          <t>EXECUTIVE FUNCTIONS</t>
        </is>
      </c>
      <c r="B1032" t="n">
        <v>1</v>
      </c>
    </row>
    <row r="1033">
      <c r="A1033" t="inlineStr">
        <is>
          <t>CROSS-VENTILATION</t>
        </is>
      </c>
      <c r="B1033" t="n">
        <v>4</v>
      </c>
    </row>
    <row r="1034">
      <c r="A1034" t="inlineStr">
        <is>
          <t>ENVIRONMENTAL-QUALITY</t>
        </is>
      </c>
      <c r="B1034" t="n">
        <v>13</v>
      </c>
    </row>
    <row r="1035">
      <c r="A1035" t="inlineStr">
        <is>
          <t>EXPECTATIONS</t>
        </is>
      </c>
      <c r="B1035" t="n">
        <v>1</v>
      </c>
    </row>
    <row r="1036">
      <c r="A1036" t="inlineStr">
        <is>
          <t>OCCUPANTS</t>
        </is>
      </c>
      <c r="B1036" t="n">
        <v>3</v>
      </c>
    </row>
    <row r="1037">
      <c r="A1037" t="inlineStr">
        <is>
          <t>FEEDBACK</t>
        </is>
      </c>
      <c r="B1037" t="n">
        <v>2</v>
      </c>
    </row>
    <row r="1038">
      <c r="A1038" t="inlineStr">
        <is>
          <t>COLLECTIVE EFFICACY</t>
        </is>
      </c>
      <c r="B1038" t="n">
        <v>2</v>
      </c>
    </row>
    <row r="1039">
      <c r="A1039" t="inlineStr">
        <is>
          <t>FEAR</t>
        </is>
      </c>
      <c r="B1039" t="n">
        <v>8</v>
      </c>
    </row>
    <row r="1040">
      <c r="A1040" t="inlineStr">
        <is>
          <t>CHILDRENS MODE CHOICE</t>
        </is>
      </c>
      <c r="B1040" t="n">
        <v>1</v>
      </c>
    </row>
    <row r="1041">
      <c r="A1041" t="inlineStr">
        <is>
          <t>RATES</t>
        </is>
      </c>
      <c r="B1041" t="n">
        <v>14</v>
      </c>
    </row>
    <row r="1042">
      <c r="A1042" t="inlineStr">
        <is>
          <t>PRINCIPAL COMPONENT ANALYSIS</t>
        </is>
      </c>
      <c r="B1042" t="n">
        <v>1</v>
      </c>
    </row>
    <row r="1043">
      <c r="A1043" t="inlineStr">
        <is>
          <t>DESIGN QUALITIES</t>
        </is>
      </c>
      <c r="B1043" t="n">
        <v>1</v>
      </c>
    </row>
    <row r="1044">
      <c r="A1044" t="inlineStr">
        <is>
          <t>MULTICRITERIA</t>
        </is>
      </c>
      <c r="B1044" t="n">
        <v>1</v>
      </c>
    </row>
    <row r="1045">
      <c r="A1045" t="inlineStr">
        <is>
          <t>DIOXIDE EMISSIONS</t>
        </is>
      </c>
      <c r="B1045" t="n">
        <v>1</v>
      </c>
    </row>
    <row r="1046">
      <c r="A1046" t="inlineStr">
        <is>
          <t>STRUCTURAL RELATIONSHIPS</t>
        </is>
      </c>
      <c r="B1046" t="n">
        <v>1</v>
      </c>
    </row>
    <row r="1047">
      <c r="A1047" t="inlineStr">
        <is>
          <t>MITIGATION SCENARIOS</t>
        </is>
      </c>
      <c r="B1047" t="n">
        <v>1</v>
      </c>
    </row>
    <row r="1048">
      <c r="A1048" t="inlineStr">
        <is>
          <t>PUBLIC TRANSPORT</t>
        </is>
      </c>
      <c r="B1048" t="n">
        <v>3</v>
      </c>
    </row>
    <row r="1049">
      <c r="A1049" t="inlineStr">
        <is>
          <t>SPATIAL-ANALYSIS</t>
        </is>
      </c>
      <c r="B1049" t="n">
        <v>2</v>
      </c>
    </row>
    <row r="1050">
      <c r="A1050" t="inlineStr">
        <is>
          <t>WALKING-SUITABILITY-INDEX</t>
        </is>
      </c>
      <c r="B1050" t="n">
        <v>2</v>
      </c>
    </row>
    <row r="1051">
      <c r="A1051" t="inlineStr">
        <is>
          <t>TERRITORY T-WSI</t>
        </is>
      </c>
      <c r="B1051" t="n">
        <v>2</v>
      </c>
    </row>
    <row r="1052">
      <c r="A1052" t="inlineStr">
        <is>
          <t>CONNECTIVITY</t>
        </is>
      </c>
      <c r="B1052" t="n">
        <v>2</v>
      </c>
    </row>
    <row r="1053">
      <c r="A1053" t="inlineStr">
        <is>
          <t>KIEL OBESITY PREVENTION</t>
        </is>
      </c>
      <c r="B1053" t="n">
        <v>2</v>
      </c>
    </row>
    <row r="1054">
      <c r="A1054" t="inlineStr">
        <is>
          <t>FAST-FOOD</t>
        </is>
      </c>
      <c r="B1054" t="n">
        <v>1</v>
      </c>
    </row>
    <row r="1055">
      <c r="A1055" t="inlineStr">
        <is>
          <t>CHILDHOOD OVERWEIGHT</t>
        </is>
      </c>
      <c r="B1055" t="n">
        <v>1</v>
      </c>
    </row>
    <row r="1056">
      <c r="A1056" t="inlineStr">
        <is>
          <t>AVAILABILITY</t>
        </is>
      </c>
      <c r="B1056" t="n">
        <v>3</v>
      </c>
    </row>
    <row r="1057">
      <c r="A1057" t="inlineStr">
        <is>
          <t>PERSPECTIVES</t>
        </is>
      </c>
      <c r="B1057" t="n">
        <v>14</v>
      </c>
    </row>
    <row r="1058">
      <c r="A1058" t="inlineStr">
        <is>
          <t>DECISION-MAKING</t>
        </is>
      </c>
      <c r="B1058" t="n">
        <v>6</v>
      </c>
    </row>
    <row r="1059">
      <c r="A1059" t="inlineStr">
        <is>
          <t>CHOICE</t>
        </is>
      </c>
      <c r="B1059" t="n">
        <v>12</v>
      </c>
    </row>
    <row r="1060">
      <c r="A1060" t="inlineStr">
        <is>
          <t>CARBON-DIOXIDE EMISSIONS</t>
        </is>
      </c>
      <c r="B1060" t="n">
        <v>1</v>
      </c>
    </row>
    <row r="1061">
      <c r="A1061" t="inlineStr">
        <is>
          <t>PANEL-DATA ANALYSIS</t>
        </is>
      </c>
      <c r="B1061" t="n">
        <v>2</v>
      </c>
    </row>
    <row r="1062">
      <c r="A1062" t="inlineStr">
        <is>
          <t>SOCIOECONOMIC-FACTORS</t>
        </is>
      </c>
      <c r="B1062" t="n">
        <v>3</v>
      </c>
    </row>
    <row r="1063">
      <c r="A1063" t="inlineStr">
        <is>
          <t>TRANSPORT SECTOR</t>
        </is>
      </c>
      <c r="B1063" t="n">
        <v>1</v>
      </c>
    </row>
    <row r="1064">
      <c r="A1064" t="inlineStr">
        <is>
          <t>LIGHT EXPOSURE</t>
        </is>
      </c>
      <c r="B1064" t="n">
        <v>1</v>
      </c>
    </row>
    <row r="1065">
      <c r="A1065" t="inlineStr">
        <is>
          <t>NURSING-HOME</t>
        </is>
      </c>
      <c r="B1065" t="n">
        <v>3</v>
      </c>
    </row>
    <row r="1066">
      <c r="A1066" t="inlineStr">
        <is>
          <t>PROSPECTIVE ASSOCIATIONS</t>
        </is>
      </c>
      <c r="B1066" t="n">
        <v>1</v>
      </c>
    </row>
    <row r="1067">
      <c r="A1067" t="inlineStr">
        <is>
          <t>MELATONIN SECRETION</t>
        </is>
      </c>
      <c r="B1067" t="n">
        <v>1</v>
      </c>
    </row>
    <row r="1068">
      <c r="A1068" t="inlineStr">
        <is>
          <t>DISTURBED SLEEP</t>
        </is>
      </c>
      <c r="B1068" t="n">
        <v>1</v>
      </c>
    </row>
    <row r="1069">
      <c r="A1069" t="inlineStr">
        <is>
          <t>EVENING LIGHT</t>
        </is>
      </c>
      <c r="B1069" t="n">
        <v>1</v>
      </c>
    </row>
    <row r="1070">
      <c r="A1070" t="inlineStr">
        <is>
          <t>COMMENSAL</t>
        </is>
      </c>
      <c r="B1070" t="n">
        <v>2</v>
      </c>
    </row>
    <row r="1071">
      <c r="A1071" t="inlineStr">
        <is>
          <t>STREET LAYOUT</t>
        </is>
      </c>
      <c r="B1071" t="n">
        <v>1</v>
      </c>
    </row>
    <row r="1072">
      <c r="A1072" t="inlineStr">
        <is>
          <t>IPEN ADULT</t>
        </is>
      </c>
      <c r="B1072" t="n">
        <v>1</v>
      </c>
    </row>
    <row r="1073">
      <c r="A1073" t="inlineStr">
        <is>
          <t>MENTAL STATUS QUESTIONNAIRE</t>
        </is>
      </c>
      <c r="B1073" t="n">
        <v>1</v>
      </c>
    </row>
    <row r="1074">
      <c r="A1074" t="inlineStr">
        <is>
          <t>DISASTER RECOVERY</t>
        </is>
      </c>
      <c r="B1074" t="n">
        <v>1</v>
      </c>
    </row>
    <row r="1075">
      <c r="A1075" t="inlineStr">
        <is>
          <t>URBAN ELEMENTARY-SCHOOLS</t>
        </is>
      </c>
      <c r="B1075" t="n">
        <v>1</v>
      </c>
    </row>
    <row r="1076">
      <c r="A1076" t="inlineStr">
        <is>
          <t>OUTDOOR AIR</t>
        </is>
      </c>
      <c r="B1076" t="n">
        <v>20</v>
      </c>
    </row>
    <row r="1077">
      <c r="A1077" t="inlineStr">
        <is>
          <t>PARTICLE CONCENTRATIONS</t>
        </is>
      </c>
      <c r="B1077" t="n">
        <v>8</v>
      </c>
    </row>
    <row r="1078">
      <c r="A1078" t="inlineStr">
        <is>
          <t>INTERRATER RELIABILITY</t>
        </is>
      </c>
      <c r="B1078" t="n">
        <v>1</v>
      </c>
    </row>
    <row r="1079">
      <c r="A1079" t="inlineStr">
        <is>
          <t>STROKE</t>
        </is>
      </c>
      <c r="B1079" t="n">
        <v>1</v>
      </c>
    </row>
    <row r="1080">
      <c r="A1080" t="inlineStr">
        <is>
          <t>DISCHARGE</t>
        </is>
      </c>
      <c r="B1080" t="n">
        <v>2</v>
      </c>
    </row>
    <row r="1081">
      <c r="A1081" t="inlineStr">
        <is>
          <t>SPRAWL</t>
        </is>
      </c>
      <c r="B1081" t="n">
        <v>1</v>
      </c>
    </row>
    <row r="1082">
      <c r="A1082" t="inlineStr">
        <is>
          <t>ENDOCRINE-DISRUPTING COMPOUNDS</t>
        </is>
      </c>
      <c r="B1082" t="n">
        <v>5</v>
      </c>
    </row>
    <row r="1083">
      <c r="A1083" t="inlineStr">
        <is>
          <t>HUMAN EXPOSURE</t>
        </is>
      </c>
      <c r="B1083" t="n">
        <v>9</v>
      </c>
    </row>
    <row r="1084">
      <c r="A1084" t="inlineStr">
        <is>
          <t>REPRESENTATIVE REGION</t>
        </is>
      </c>
      <c r="B1084" t="n">
        <v>1</v>
      </c>
    </row>
    <row r="1085">
      <c r="A1085" t="inlineStr">
        <is>
          <t>SAMPLING ARTIFACTS</t>
        </is>
      </c>
      <c r="B1085" t="n">
        <v>1</v>
      </c>
    </row>
    <row r="1086">
      <c r="A1086" t="inlineStr">
        <is>
          <t>RISK-ASSESSMENT</t>
        </is>
      </c>
      <c r="B1086" t="n">
        <v>12</v>
      </c>
    </row>
    <row r="1087">
      <c r="A1087" t="inlineStr">
        <is>
          <t>SETTLED DUST</t>
        </is>
      </c>
      <c r="B1087" t="n">
        <v>7</v>
      </c>
    </row>
    <row r="1088">
      <c r="A1088" t="inlineStr">
        <is>
          <t>HOUSE-DUST</t>
        </is>
      </c>
      <c r="B1088" t="n">
        <v>8</v>
      </c>
    </row>
    <row r="1089">
      <c r="A1089" t="inlineStr">
        <is>
          <t>GAS-PHASE</t>
        </is>
      </c>
      <c r="B1089" t="n">
        <v>6</v>
      </c>
    </row>
    <row r="1090">
      <c r="A1090" t="inlineStr">
        <is>
          <t>CALL-CENTER OPERATORS</t>
        </is>
      </c>
      <c r="B1090" t="n">
        <v>1</v>
      </c>
    </row>
    <row r="1091">
      <c r="A1091" t="inlineStr">
        <is>
          <t>AIR SUPPLY RATE</t>
        </is>
      </c>
      <c r="B1091" t="n">
        <v>1</v>
      </c>
    </row>
    <row r="1092">
      <c r="A1092" t="inlineStr">
        <is>
          <t>IEQ</t>
        </is>
      </c>
      <c r="B1092" t="n">
        <v>6</v>
      </c>
    </row>
    <row r="1093">
      <c r="A1093" t="inlineStr">
        <is>
          <t>LEARNING-PERFORMANCE</t>
        </is>
      </c>
      <c r="B1093" t="n">
        <v>2</v>
      </c>
    </row>
    <row r="1094">
      <c r="A1094" t="inlineStr">
        <is>
          <t>DIMENSIONS</t>
        </is>
      </c>
      <c r="B1094" t="n">
        <v>1</v>
      </c>
    </row>
    <row r="1095">
      <c r="A1095" t="inlineStr">
        <is>
          <t>FURNITURE</t>
        </is>
      </c>
      <c r="B1095" t="n">
        <v>1</v>
      </c>
    </row>
    <row r="1096">
      <c r="A1096" t="inlineStr">
        <is>
          <t>TITANIUM-DIOXIDE NANOPARTICLES</t>
        </is>
      </c>
      <c r="B1096" t="n">
        <v>1</v>
      </c>
    </row>
    <row r="1097">
      <c r="A1097" t="inlineStr">
        <is>
          <t>METAL-OXIDE NANOPARTICLES</t>
        </is>
      </c>
      <c r="B1097" t="n">
        <v>1</v>
      </c>
    </row>
    <row r="1098">
      <c r="A1098" t="inlineStr">
        <is>
          <t>NANO-COMPOSITE</t>
        </is>
      </c>
      <c r="B1098" t="n">
        <v>1</v>
      </c>
    </row>
    <row r="1099">
      <c r="A1099" t="inlineStr">
        <is>
          <t>MANUFACTURED NANOMATERIALS</t>
        </is>
      </c>
      <c r="B1099" t="n">
        <v>1</v>
      </c>
    </row>
    <row r="1100">
      <c r="A1100" t="inlineStr">
        <is>
          <t>DUNALIELLA-TERTIOLECTA</t>
        </is>
      </c>
      <c r="B1100" t="n">
        <v>1</v>
      </c>
    </row>
    <row r="1101">
      <c r="A1101" t="inlineStr">
        <is>
          <t>BIOACCUMULATION</t>
        </is>
      </c>
      <c r="B1101" t="n">
        <v>1</v>
      </c>
    </row>
    <row r="1102">
      <c r="A1102" t="inlineStr">
        <is>
          <t>BIVALVE</t>
        </is>
      </c>
      <c r="B1102" t="n">
        <v>1</v>
      </c>
    </row>
    <row r="1103">
      <c r="A1103" t="inlineStr">
        <is>
          <t>SOCIAL CARE</t>
        </is>
      </c>
      <c r="B1103" t="n">
        <v>1</v>
      </c>
    </row>
    <row r="1104">
      <c r="A1104" t="inlineStr">
        <is>
          <t>GAY</t>
        </is>
      </c>
      <c r="B1104" t="n">
        <v>1</v>
      </c>
    </row>
    <row r="1105">
      <c r="A1105" t="inlineStr">
        <is>
          <t>DISCRIMINATION</t>
        </is>
      </c>
      <c r="B1105" t="n">
        <v>3</v>
      </c>
    </row>
    <row r="1106">
      <c r="A1106" t="inlineStr">
        <is>
          <t>NEEDS</t>
        </is>
      </c>
      <c r="B1106" t="n">
        <v>4</v>
      </c>
    </row>
    <row r="1107">
      <c r="A1107" t="inlineStr">
        <is>
          <t>HIGH-INTENSITY EXERCISE</t>
        </is>
      </c>
      <c r="B1107" t="n">
        <v>1</v>
      </c>
    </row>
    <row r="1108">
      <c r="A1108" t="inlineStr">
        <is>
          <t>GREEN EXERCISE</t>
        </is>
      </c>
      <c r="B1108" t="n">
        <v>2</v>
      </c>
    </row>
    <row r="1109">
      <c r="A1109" t="inlineStr">
        <is>
          <t>NATURAL ENVIRONMENTS</t>
        </is>
      </c>
      <c r="B1109" t="n">
        <v>4</v>
      </c>
    </row>
    <row r="1110">
      <c r="A1110" t="inlineStr">
        <is>
          <t>NATURE EXPERIENCE</t>
        </is>
      </c>
      <c r="B1110" t="n">
        <v>3</v>
      </c>
    </row>
    <row r="1111">
      <c r="A1111" t="inlineStr">
        <is>
          <t>MOOD</t>
        </is>
      </c>
      <c r="B1111" t="n">
        <v>4</v>
      </c>
    </row>
    <row r="1112">
      <c r="A1112" t="inlineStr">
        <is>
          <t>RESPONSES</t>
        </is>
      </c>
      <c r="B1112" t="n">
        <v>15</v>
      </c>
    </row>
    <row r="1113">
      <c r="A1113" t="inlineStr">
        <is>
          <t>ROAD TRAFFIC NOISE</t>
        </is>
      </c>
      <c r="B1113" t="n">
        <v>3</v>
      </c>
    </row>
    <row r="1114">
      <c r="A1114" t="inlineStr">
        <is>
          <t>CONSENSUS STATEMENT</t>
        </is>
      </c>
      <c r="B1114" t="n">
        <v>1</v>
      </c>
    </row>
    <row r="1115">
      <c r="A1115" t="inlineStr">
        <is>
          <t>EFFORT-REWARD IMBALANCE</t>
        </is>
      </c>
      <c r="B1115" t="n">
        <v>1</v>
      </c>
    </row>
    <row r="1116">
      <c r="A1116" t="inlineStr">
        <is>
          <t>OPEN-PLAN OFFICES</t>
        </is>
      </c>
      <c r="B1116" t="n">
        <v>1</v>
      </c>
    </row>
    <row r="1117">
      <c r="A1117" t="inlineStr">
        <is>
          <t>WORKSPACE SATISFACTION</t>
        </is>
      </c>
      <c r="B1117" t="n">
        <v>1</v>
      </c>
    </row>
    <row r="1118">
      <c r="A1118" t="inlineStr">
        <is>
          <t>PROJECT</t>
        </is>
      </c>
      <c r="B1118" t="n">
        <v>2</v>
      </c>
    </row>
    <row r="1119">
      <c r="A1119" t="inlineStr">
        <is>
          <t>HIGH-TEMPERATURES</t>
        </is>
      </c>
      <c r="B1119" t="n">
        <v>1</v>
      </c>
    </row>
    <row r="1120">
      <c r="A1120" t="inlineStr">
        <is>
          <t>ENGLAND</t>
        </is>
      </c>
      <c r="B1120" t="n">
        <v>1</v>
      </c>
    </row>
    <row r="1121">
      <c r="A1121" t="inlineStr">
        <is>
          <t>RISKS</t>
        </is>
      </c>
      <c r="B1121" t="n">
        <v>1</v>
      </c>
    </row>
    <row r="1122">
      <c r="A1122" t="inlineStr">
        <is>
          <t>TIME SPENT WALKING</t>
        </is>
      </c>
      <c r="B1122" t="n">
        <v>1</v>
      </c>
    </row>
    <row r="1123">
      <c r="A1123" t="inlineStr">
        <is>
          <t>GOING OUTDOORS</t>
        </is>
      </c>
      <c r="B1123" t="n">
        <v>1</v>
      </c>
    </row>
    <row r="1124">
      <c r="A1124" t="inlineStr">
        <is>
          <t>INSTRUMENTAL ACTIVITIES</t>
        </is>
      </c>
      <c r="B1124" t="n">
        <v>6</v>
      </c>
    </row>
    <row r="1125">
      <c r="A1125" t="inlineStr">
        <is>
          <t>FACILITATORS</t>
        </is>
      </c>
      <c r="B1125" t="n">
        <v>6</v>
      </c>
    </row>
    <row r="1126">
      <c r="A1126" t="inlineStr">
        <is>
          <t>LIMITATIONS</t>
        </is>
      </c>
      <c r="B1126" t="n">
        <v>4</v>
      </c>
    </row>
    <row r="1127">
      <c r="A1127" t="inlineStr">
        <is>
          <t>STRENGTH</t>
        </is>
      </c>
      <c r="B1127" t="n">
        <v>17</v>
      </c>
    </row>
    <row r="1128">
      <c r="A1128" t="inlineStr">
        <is>
          <t>QUALITATIVE RESEARCH</t>
        </is>
      </c>
      <c r="B1128" t="n">
        <v>4</v>
      </c>
    </row>
    <row r="1129">
      <c r="A1129" t="inlineStr">
        <is>
          <t>PROMOTION</t>
        </is>
      </c>
      <c r="B1129" t="n">
        <v>2</v>
      </c>
    </row>
    <row r="1130">
      <c r="A1130" t="inlineStr">
        <is>
          <t>NATURALLY VENTILATED CLASSROOMS</t>
        </is>
      </c>
      <c r="B1130" t="n">
        <v>1</v>
      </c>
    </row>
    <row r="1131">
      <c r="A1131" t="inlineStr">
        <is>
          <t>PRIMARY-SCHOOLS</t>
        </is>
      </c>
      <c r="B1131" t="n">
        <v>6</v>
      </c>
    </row>
    <row r="1132">
      <c r="A1132" t="inlineStr">
        <is>
          <t>PUBLIC OPEN SPACE</t>
        </is>
      </c>
      <c r="B1132" t="n">
        <v>1</v>
      </c>
    </row>
    <row r="1133">
      <c r="A1133" t="inlineStr">
        <is>
          <t>PERCEIVED ACCESS</t>
        </is>
      </c>
      <c r="B1133" t="n">
        <v>1</v>
      </c>
    </row>
    <row r="1134">
      <c r="A1134" t="inlineStr">
        <is>
          <t>ATTRACTIVENESS</t>
        </is>
      </c>
      <c r="B1134" t="n">
        <v>4</v>
      </c>
    </row>
    <row r="1135">
      <c r="A1135" t="inlineStr">
        <is>
          <t>PROXIMITY</t>
        </is>
      </c>
      <c r="B1135" t="n">
        <v>6</v>
      </c>
    </row>
    <row r="1136">
      <c r="A1136" t="inlineStr">
        <is>
          <t>ENVIRONMENTAL TOBACCO-SMOKE</t>
        </is>
      </c>
      <c r="B1136" t="n">
        <v>3</v>
      </c>
    </row>
    <row r="1137">
      <c r="A1137" t="inlineStr">
        <is>
          <t>ENDOTHELIAL DYSFUNCTION</t>
        </is>
      </c>
      <c r="B1137" t="n">
        <v>1</v>
      </c>
    </row>
    <row r="1138">
      <c r="A1138" t="inlineStr">
        <is>
          <t>LIFE-COURSE</t>
        </is>
      </c>
      <c r="B1138" t="n">
        <v>4</v>
      </c>
    </row>
    <row r="1139">
      <c r="A1139" t="inlineStr">
        <is>
          <t>COOKING</t>
        </is>
      </c>
      <c r="B1139" t="n">
        <v>7</v>
      </c>
    </row>
    <row r="1140">
      <c r="A1140" t="inlineStr">
        <is>
          <t>WINDOW-OPENING BEHAVIOR</t>
        </is>
      </c>
      <c r="B1140" t="n">
        <v>1</v>
      </c>
    </row>
    <row r="1141">
      <c r="A1141" t="inlineStr">
        <is>
          <t>TO-WALL RATIO</t>
        </is>
      </c>
      <c r="B1141" t="n">
        <v>2</v>
      </c>
    </row>
    <row r="1142">
      <c r="A1142" t="inlineStr">
        <is>
          <t>GLOBAL POSITIONING SYSTEMS</t>
        </is>
      </c>
      <c r="B1142" t="n">
        <v>1</v>
      </c>
    </row>
    <row r="1143">
      <c r="A1143" t="inlineStr">
        <is>
          <t>HEALTH RESEARCH</t>
        </is>
      </c>
      <c r="B1143" t="n">
        <v>1</v>
      </c>
    </row>
    <row r="1144">
      <c r="A1144" t="inlineStr">
        <is>
          <t>SEDENTARY TIME</t>
        </is>
      </c>
      <c r="B1144" t="n">
        <v>2</v>
      </c>
    </row>
    <row r="1145">
      <c r="A1145" t="inlineStr">
        <is>
          <t>COMPENSATION</t>
        </is>
      </c>
      <c r="B1145" t="n">
        <v>1</v>
      </c>
    </row>
    <row r="1146">
      <c r="A1146" t="inlineStr">
        <is>
          <t>EMISSION RATES</t>
        </is>
      </c>
      <c r="B1146" t="n">
        <v>6</v>
      </c>
    </row>
    <row r="1147">
      <c r="A1147" t="inlineStr">
        <is>
          <t>VOCS</t>
        </is>
      </c>
      <c r="B1147" t="n">
        <v>7</v>
      </c>
    </row>
    <row r="1148">
      <c r="A1148" t="inlineStr">
        <is>
          <t>MUSEUM</t>
        </is>
      </c>
      <c r="B1148" t="n">
        <v>1</v>
      </c>
    </row>
    <row r="1149">
      <c r="A1149" t="inlineStr">
        <is>
          <t>PENETRATION</t>
        </is>
      </c>
      <c r="B1149" t="n">
        <v>8</v>
      </c>
    </row>
    <row r="1150">
      <c r="A1150" t="inlineStr">
        <is>
          <t>TAIWAN</t>
        </is>
      </c>
      <c r="B1150" t="n">
        <v>3</v>
      </c>
    </row>
    <row r="1151">
      <c r="A1151" t="inlineStr">
        <is>
          <t>SYNDROME SBS</t>
        </is>
      </c>
      <c r="B1151" t="n">
        <v>7</v>
      </c>
    </row>
    <row r="1152">
      <c r="A1152" t="inlineStr">
        <is>
          <t>INTOLERANCES</t>
        </is>
      </c>
      <c r="B1152" t="n">
        <v>1</v>
      </c>
    </row>
    <row r="1153">
      <c r="A1153" t="inlineStr">
        <is>
          <t>SENSITIVITY</t>
        </is>
      </c>
      <c r="B1153" t="n">
        <v>7</v>
      </c>
    </row>
    <row r="1154">
      <c r="A1154" t="inlineStr">
        <is>
          <t>RECALL</t>
        </is>
      </c>
      <c r="B1154" t="n">
        <v>2</v>
      </c>
    </row>
    <row r="1155">
      <c r="A1155" t="inlineStr">
        <is>
          <t>GRASS-POLLEN ALLERGENS</t>
        </is>
      </c>
      <c r="B1155" t="n">
        <v>1</v>
      </c>
    </row>
    <row r="1156">
      <c r="A1156" t="inlineStr">
        <is>
          <t>BIRCH</t>
        </is>
      </c>
      <c r="B1156" t="n">
        <v>1</v>
      </c>
    </row>
    <row r="1157">
      <c r="A1157" t="inlineStr">
        <is>
          <t>QUANTIFICATION</t>
        </is>
      </c>
      <c r="B1157" t="n">
        <v>3</v>
      </c>
    </row>
    <row r="1158">
      <c r="A1158" t="inlineStr">
        <is>
          <t>PRODUCTS</t>
        </is>
      </c>
      <c r="B1158" t="n">
        <v>11</v>
      </c>
    </row>
    <row r="1159">
      <c r="A1159" t="inlineStr">
        <is>
          <t>ACTIVE GREEN WALLS</t>
        </is>
      </c>
      <c r="B1159" t="n">
        <v>1</v>
      </c>
    </row>
    <row r="1160">
      <c r="A1160" t="inlineStr">
        <is>
          <t>POTTED-PLANT</t>
        </is>
      </c>
      <c r="B1160" t="n">
        <v>3</v>
      </c>
    </row>
    <row r="1161">
      <c r="A1161" t="inlineStr">
        <is>
          <t>FORMALDEHYDE REMOVAL</t>
        </is>
      </c>
      <c r="B1161" t="n">
        <v>7</v>
      </c>
    </row>
    <row r="1162">
      <c r="A1162" t="inlineStr">
        <is>
          <t>IMPROVING INDOOR</t>
        </is>
      </c>
      <c r="B1162" t="n">
        <v>1</v>
      </c>
    </row>
    <row r="1163">
      <c r="A1163" t="inlineStr">
        <is>
          <t>FOLIAR UPTAKE</t>
        </is>
      </c>
      <c r="B1163" t="n">
        <v>1</v>
      </c>
    </row>
    <row r="1164">
      <c r="A1164" t="inlineStr">
        <is>
          <t>VOC REMOVAL</t>
        </is>
      </c>
      <c r="B1164" t="n">
        <v>3</v>
      </c>
    </row>
    <row r="1165">
      <c r="A1165" t="inlineStr">
        <is>
          <t>ORNAMENTAL PLANTS</t>
        </is>
      </c>
      <c r="B1165" t="n">
        <v>3</v>
      </c>
    </row>
    <row r="1166">
      <c r="A1166" t="inlineStr">
        <is>
          <t>UNIVERSITY CLASSROOMS</t>
        </is>
      </c>
      <c r="B1166" t="n">
        <v>2</v>
      </c>
    </row>
    <row r="1167">
      <c r="A1167" t="inlineStr">
        <is>
          <t>STANDARDS</t>
        </is>
      </c>
      <c r="B1167" t="n">
        <v>1</v>
      </c>
    </row>
    <row r="1168">
      <c r="A1168" t="inlineStr">
        <is>
          <t>CHANGING APPROACH</t>
        </is>
      </c>
      <c r="B1168" t="n">
        <v>1</v>
      </c>
    </row>
    <row r="1169">
      <c r="A1169" t="inlineStr">
        <is>
          <t>SEGREGATION</t>
        </is>
      </c>
      <c r="B1169" t="n">
        <v>5</v>
      </c>
    </row>
    <row r="1170">
      <c r="A1170" t="inlineStr">
        <is>
          <t>INTENTION</t>
        </is>
      </c>
      <c r="B1170" t="n">
        <v>3</v>
      </c>
    </row>
    <row r="1171">
      <c r="A1171" t="inlineStr">
        <is>
          <t>DECISION</t>
        </is>
      </c>
      <c r="B1171" t="n">
        <v>1</v>
      </c>
    </row>
    <row r="1172">
      <c r="A1172" t="inlineStr">
        <is>
          <t>LOYALTY</t>
        </is>
      </c>
      <c r="B1172" t="n">
        <v>4</v>
      </c>
    </row>
    <row r="1173">
      <c r="A1173" t="inlineStr">
        <is>
          <t>INDOOR</t>
        </is>
      </c>
      <c r="B1173" t="n">
        <v>14</v>
      </c>
    </row>
    <row r="1174">
      <c r="A1174" t="inlineStr">
        <is>
          <t>ATTACHMENT</t>
        </is>
      </c>
      <c r="B1174" t="n">
        <v>3</v>
      </c>
    </row>
    <row r="1175">
      <c r="A1175" t="inlineStr">
        <is>
          <t>OCCUPANT SATISFACTION</t>
        </is>
      </c>
      <c r="B1175" t="n">
        <v>1</v>
      </c>
    </row>
    <row r="1176">
      <c r="A1176" t="inlineStr">
        <is>
          <t>URBAN GEOMETRY</t>
        </is>
      </c>
      <c r="B1176" t="n">
        <v>1</v>
      </c>
    </row>
    <row r="1177">
      <c r="A1177" t="inlineStr">
        <is>
          <t>FIELD</t>
        </is>
      </c>
      <c r="B1177" t="n">
        <v>5</v>
      </c>
    </row>
    <row r="1178">
      <c r="A1178" t="inlineStr">
        <is>
          <t>HEIGHT</t>
        </is>
      </c>
      <c r="B1178" t="n">
        <v>3</v>
      </c>
    </row>
    <row r="1179">
      <c r="A1179" t="inlineStr">
        <is>
          <t>STRUCTURAL STIGMA</t>
        </is>
      </c>
      <c r="B1179" t="n">
        <v>1</v>
      </c>
    </row>
    <row r="1180">
      <c r="A1180" t="inlineStr">
        <is>
          <t>INITIAL EMITTABLE CONCENTRATION</t>
        </is>
      </c>
      <c r="B1180" t="n">
        <v>3</v>
      </c>
    </row>
    <row r="1181">
      <c r="A1181" t="inlineStr">
        <is>
          <t>C-HISTORY METHOD</t>
        </is>
      </c>
      <c r="B1181" t="n">
        <v>4</v>
      </c>
    </row>
    <row r="1182">
      <c r="A1182" t="inlineStr">
        <is>
          <t>AIR/SURFACE ADSORPTION EQUILIBRIUM</t>
        </is>
      </c>
      <c r="B1182" t="n">
        <v>1</v>
      </c>
    </row>
    <row r="1183">
      <c r="A1183" t="inlineStr">
        <is>
          <t>MASS-TRANSFER MODEL</t>
        </is>
      </c>
      <c r="B1183" t="n">
        <v>2</v>
      </c>
    </row>
    <row r="1184">
      <c r="A1184" t="inlineStr">
        <is>
          <t>FORMALDEHYDE EMISSION</t>
        </is>
      </c>
      <c r="B1184" t="n">
        <v>1</v>
      </c>
    </row>
    <row r="1185">
      <c r="A1185" t="inlineStr">
        <is>
          <t>VOC EMISSIONS</t>
        </is>
      </c>
      <c r="B1185" t="n">
        <v>11</v>
      </c>
    </row>
    <row r="1186">
      <c r="A1186" t="inlineStr">
        <is>
          <t>DIFFUSION-COEFFICIENTS</t>
        </is>
      </c>
      <c r="B1186" t="n">
        <v>3</v>
      </c>
    </row>
    <row r="1187">
      <c r="A1187" t="inlineStr">
        <is>
          <t>PARTITION-COEFFICIENTS</t>
        </is>
      </c>
      <c r="B1187" t="n">
        <v>4</v>
      </c>
    </row>
    <row r="1188">
      <c r="A1188" t="inlineStr">
        <is>
          <t>FOOD-CONSUMPTION</t>
        </is>
      </c>
      <c r="B1188" t="n">
        <v>1</v>
      </c>
    </row>
    <row r="1189">
      <c r="A1189" t="inlineStr">
        <is>
          <t>BROMINATED FLAME RETARDANTS</t>
        </is>
      </c>
      <c r="B1189" t="n">
        <v>5</v>
      </c>
    </row>
    <row r="1190">
      <c r="A1190" t="inlineStr">
        <is>
          <t>CHROMATOGRAPHY-MASS SPECTROMETRY</t>
        </is>
      </c>
      <c r="B1190" t="n">
        <v>1</v>
      </c>
    </row>
    <row r="1191">
      <c r="A1191" t="inlineStr">
        <is>
          <t>AROMATIC-HYDROCARBONS PAHS</t>
        </is>
      </c>
      <c r="B1191" t="n">
        <v>1</v>
      </c>
    </row>
    <row r="1192">
      <c r="A1192" t="inlineStr">
        <is>
          <t>SOLID-PHASE DISPERSION</t>
        </is>
      </c>
      <c r="B1192" t="n">
        <v>1</v>
      </c>
    </row>
    <row r="1193">
      <c r="A1193" t="inlineStr">
        <is>
          <t>PERSONAL CARE PRODUCTS</t>
        </is>
      </c>
      <c r="B1193" t="n">
        <v>3</v>
      </c>
    </row>
    <row r="1194">
      <c r="A1194" t="inlineStr">
        <is>
          <t>PERFORMANCE LIQUID-CHROMATOGRAPHY</t>
        </is>
      </c>
      <c r="B1194" t="n">
        <v>1</v>
      </c>
    </row>
    <row r="1195">
      <c r="A1195" t="inlineStr">
        <is>
          <t>POLYFLUORINATED ALKYL SUBSTANCES</t>
        </is>
      </c>
      <c r="B1195" t="n">
        <v>1</v>
      </c>
    </row>
    <row r="1196">
      <c r="A1196" t="inlineStr">
        <is>
          <t>BAR SORPTIVE EXTRACTION</t>
        </is>
      </c>
      <c r="B1196" t="n">
        <v>1</v>
      </c>
    </row>
    <row r="1197">
      <c r="A1197" t="inlineStr">
        <is>
          <t>LOW-MOLECULAR-WEIGHT</t>
        </is>
      </c>
      <c r="B1197" t="n">
        <v>1</v>
      </c>
    </row>
    <row r="1198">
      <c r="A1198" t="inlineStr">
        <is>
          <t>OXIDATION-PRODUCTS</t>
        </is>
      </c>
      <c r="B1198" t="n">
        <v>1</v>
      </c>
    </row>
    <row r="1199">
      <c r="A1199" t="inlineStr">
        <is>
          <t>CLEANING PRODUCTS</t>
        </is>
      </c>
      <c r="B1199" t="n">
        <v>6</v>
      </c>
    </row>
    <row r="1200">
      <c r="A1200" t="inlineStr">
        <is>
          <t>AIR FRESHENERS</t>
        </is>
      </c>
      <c r="B1200" t="n">
        <v>2</v>
      </c>
    </row>
    <row r="1201">
      <c r="A1201" t="inlineStr">
        <is>
          <t>OZONE</t>
        </is>
      </c>
      <c r="B1201" t="n">
        <v>10</v>
      </c>
    </row>
    <row r="1202">
      <c r="A1202" t="inlineStr">
        <is>
          <t>OZONOLYSIS</t>
        </is>
      </c>
      <c r="B1202" t="n">
        <v>1</v>
      </c>
    </row>
    <row r="1203">
      <c r="A1203" t="inlineStr">
        <is>
          <t>YIELDS</t>
        </is>
      </c>
      <c r="B1203" t="n">
        <v>1</v>
      </c>
    </row>
    <row r="1204">
      <c r="A1204" t="inlineStr">
        <is>
          <t>PHOTOOXIDATION</t>
        </is>
      </c>
      <c r="B1204" t="n">
        <v>1</v>
      </c>
    </row>
    <row r="1205">
      <c r="A1205" t="inlineStr">
        <is>
          <t>ALL-CAUSE MORTALITY</t>
        </is>
      </c>
      <c r="B1205" t="n">
        <v>6</v>
      </c>
    </row>
    <row r="1206">
      <c r="A1206" t="inlineStr">
        <is>
          <t>ELDERLY-PEOPLE</t>
        </is>
      </c>
      <c r="B1206" t="n">
        <v>9</v>
      </c>
    </row>
    <row r="1207">
      <c r="A1207" t="inlineStr">
        <is>
          <t>URBAN VITALITY</t>
        </is>
      </c>
      <c r="B1207" t="n">
        <v>2</v>
      </c>
    </row>
    <row r="1208">
      <c r="A1208" t="inlineStr">
        <is>
          <t>PUBLIC SPACES</t>
        </is>
      </c>
      <c r="B1208" t="n">
        <v>1</v>
      </c>
    </row>
    <row r="1209">
      <c r="A1209" t="inlineStr">
        <is>
          <t>JANE JACOBS</t>
        </is>
      </c>
      <c r="B1209" t="n">
        <v>3</v>
      </c>
    </row>
    <row r="1210">
      <c r="A1210" t="inlineStr">
        <is>
          <t>CLINICALLY IMPORTANT DIFFERENCES</t>
        </is>
      </c>
      <c r="B1210" t="n">
        <v>1</v>
      </c>
    </row>
    <row r="1211">
      <c r="A1211" t="inlineStr">
        <is>
          <t>HEALTH-STATUS</t>
        </is>
      </c>
      <c r="B1211" t="n">
        <v>3</v>
      </c>
    </row>
    <row r="1212">
      <c r="A1212" t="inlineStr">
        <is>
          <t>SF-36</t>
        </is>
      </c>
      <c r="B1212" t="n">
        <v>2</v>
      </c>
    </row>
    <row r="1213">
      <c r="A1213" t="inlineStr">
        <is>
          <t>BIRTH</t>
        </is>
      </c>
      <c r="B1213" t="n">
        <v>1</v>
      </c>
    </row>
    <row r="1214">
      <c r="A1214" t="inlineStr">
        <is>
          <t>PHYSICAL-ACTIVITY PARTICIPATION</t>
        </is>
      </c>
      <c r="B1214" t="n">
        <v>2</v>
      </c>
    </row>
    <row r="1215">
      <c r="A1215" t="inlineStr">
        <is>
          <t>DATA-COLLECTION</t>
        </is>
      </c>
      <c r="B1215" t="n">
        <v>1</v>
      </c>
    </row>
    <row r="1216">
      <c r="A1216" t="inlineStr">
        <is>
          <t>INTERVIEWS</t>
        </is>
      </c>
      <c r="B1216" t="n">
        <v>3</v>
      </c>
    </row>
    <row r="1217">
      <c r="A1217" t="inlineStr">
        <is>
          <t>STAIR USE</t>
        </is>
      </c>
      <c r="B1217" t="n">
        <v>1</v>
      </c>
    </row>
    <row r="1218">
      <c r="A1218" t="inlineStr">
        <is>
          <t>SCALE NEWS</t>
        </is>
      </c>
      <c r="B1218" t="n">
        <v>1</v>
      </c>
    </row>
    <row r="1219">
      <c r="A1219" t="inlineStr">
        <is>
          <t>HEALTH IMPACT</t>
        </is>
      </c>
      <c r="B1219" t="n">
        <v>1</v>
      </c>
    </row>
    <row r="1220">
      <c r="A1220" t="inlineStr">
        <is>
          <t>SEVERE COLD AREA</t>
        </is>
      </c>
      <c r="B1220" t="n">
        <v>1</v>
      </c>
    </row>
    <row r="1221">
      <c r="A1221" t="inlineStr">
        <is>
          <t>USERS</t>
        </is>
      </c>
      <c r="B1221" t="n">
        <v>5</v>
      </c>
    </row>
    <row r="1222">
      <c r="A1222" t="inlineStr">
        <is>
          <t>PEDESTRIAN-LEVEL</t>
        </is>
      </c>
      <c r="B1222" t="n">
        <v>1</v>
      </c>
    </row>
    <row r="1223">
      <c r="A1223" t="inlineStr">
        <is>
          <t>PARTICLE CONCENTRATION</t>
        </is>
      </c>
      <c r="B1223" t="n">
        <v>1</v>
      </c>
    </row>
    <row r="1224">
      <c r="A1224" t="inlineStr">
        <is>
          <t>RESIDENTIAL DISTRICT</t>
        </is>
      </c>
      <c r="B1224" t="n">
        <v>1</v>
      </c>
    </row>
    <row r="1225">
      <c r="A1225" t="inlineStr">
        <is>
          <t>FINE PARTICLES</t>
        </is>
      </c>
      <c r="B1225" t="n">
        <v>9</v>
      </c>
    </row>
    <row r="1226">
      <c r="A1226" t="inlineStr">
        <is>
          <t>ACOUSTIC PERFORMANCE</t>
        </is>
      </c>
      <c r="B1226" t="n">
        <v>2</v>
      </c>
    </row>
    <row r="1227">
      <c r="A1227" t="inlineStr">
        <is>
          <t>CARBON STOCKS</t>
        </is>
      </c>
      <c r="B1227" t="n">
        <v>1</v>
      </c>
    </row>
    <row r="1228">
      <c r="A1228" t="inlineStr">
        <is>
          <t>NO-TILLAGE</t>
        </is>
      </c>
      <c r="B1228" t="n">
        <v>1</v>
      </c>
    </row>
    <row r="1229">
      <c r="A1229" t="inlineStr">
        <is>
          <t>FOREST</t>
        </is>
      </c>
      <c r="B1229" t="n">
        <v>2</v>
      </c>
    </row>
    <row r="1230">
      <c r="A1230" t="inlineStr">
        <is>
          <t>MANURE</t>
        </is>
      </c>
      <c r="B1230" t="n">
        <v>1</v>
      </c>
    </row>
    <row r="1231">
      <c r="A1231" t="inlineStr">
        <is>
          <t>BULK</t>
        </is>
      </c>
      <c r="B1231" t="n">
        <v>1</v>
      </c>
    </row>
    <row r="1232">
      <c r="A1232" t="inlineStr">
        <is>
          <t>RETENTION</t>
        </is>
      </c>
      <c r="B1232" t="n">
        <v>1</v>
      </c>
    </row>
    <row r="1233">
      <c r="A1233" t="inlineStr">
        <is>
          <t>PUBLIC-TRANSIT USE</t>
        </is>
      </c>
      <c r="B1233" t="n">
        <v>1</v>
      </c>
    </row>
    <row r="1234">
      <c r="A1234" t="inlineStr">
        <is>
          <t>YOUNG-ADULTS</t>
        </is>
      </c>
      <c r="B1234" t="n">
        <v>2</v>
      </c>
    </row>
    <row r="1235">
      <c r="A1235" t="inlineStr">
        <is>
          <t>CAR USE</t>
        </is>
      </c>
      <c r="B1235" t="n">
        <v>1</v>
      </c>
    </row>
    <row r="1236">
      <c r="A1236" t="inlineStr">
        <is>
          <t>TRANSPORT MODE</t>
        </is>
      </c>
      <c r="B1236" t="n">
        <v>1</v>
      </c>
    </row>
    <row r="1237">
      <c r="A1237" t="inlineStr">
        <is>
          <t>REAL-TIME PCR</t>
        </is>
      </c>
      <c r="B1237" t="n">
        <v>1</v>
      </c>
    </row>
    <row r="1238">
      <c r="A1238" t="inlineStr">
        <is>
          <t>OZONE/LIMONENE REACTIONS</t>
        </is>
      </c>
      <c r="B1238" t="n">
        <v>2</v>
      </c>
    </row>
    <row r="1239">
      <c r="A1239" t="inlineStr">
        <is>
          <t>SEASONAL DISTRIBUTION</t>
        </is>
      </c>
      <c r="B1239" t="n">
        <v>1</v>
      </c>
    </row>
    <row r="1240">
      <c r="A1240" t="inlineStr">
        <is>
          <t>EXCHANGE-RATE</t>
        </is>
      </c>
      <c r="B1240" t="n">
        <v>2</v>
      </c>
    </row>
    <row r="1241">
      <c r="A1241" t="inlineStr">
        <is>
          <t>COMPARATIVE RISK-ASSESSMENT</t>
        </is>
      </c>
      <c r="B1241" t="n">
        <v>1</v>
      </c>
    </row>
    <row r="1242">
      <c r="A1242" t="inlineStr">
        <is>
          <t>SHORT-TERM</t>
        </is>
      </c>
      <c r="B1242" t="n">
        <v>3</v>
      </c>
    </row>
    <row r="1243">
      <c r="A1243" t="inlineStr">
        <is>
          <t>MIXOTROPHIC CONDITIONS</t>
        </is>
      </c>
      <c r="B1243" t="n">
        <v>1</v>
      </c>
    </row>
    <row r="1244">
      <c r="A1244" t="inlineStr">
        <is>
          <t>ARTHROSPIRA-PLATENSIS</t>
        </is>
      </c>
      <c r="B1244" t="n">
        <v>1</v>
      </c>
    </row>
    <row r="1245">
      <c r="A1245" t="inlineStr">
        <is>
          <t>ACTIVE-TRANSPORT</t>
        </is>
      </c>
      <c r="B1245" t="n">
        <v>1</v>
      </c>
    </row>
    <row r="1246">
      <c r="A1246" t="inlineStr">
        <is>
          <t>ESTIMATING NEIGHBORHOOD WALKABILITY</t>
        </is>
      </c>
      <c r="B1246" t="n">
        <v>1</v>
      </c>
    </row>
    <row r="1247">
      <c r="A1247" t="inlineStr">
        <is>
          <t>LOS-ANGELES</t>
        </is>
      </c>
      <c r="B1247" t="n">
        <v>3</v>
      </c>
    </row>
    <row r="1248">
      <c r="A1248" t="inlineStr">
        <is>
          <t>PYROCLASTIC DENSITY CURRENTS</t>
        </is>
      </c>
      <c r="B1248" t="n">
        <v>1</v>
      </c>
    </row>
    <row r="1249">
      <c r="A1249" t="inlineStr">
        <is>
          <t>OVERWASH</t>
        </is>
      </c>
      <c r="B1249" t="n">
        <v>1</v>
      </c>
    </row>
    <row r="1250">
      <c r="A1250" t="inlineStr">
        <is>
          <t>STORMS</t>
        </is>
      </c>
      <c r="B1250" t="n">
        <v>1</v>
      </c>
    </row>
    <row r="1251">
      <c r="A1251" t="inlineStr">
        <is>
          <t>LUNG-CANCER INCIDENCE</t>
        </is>
      </c>
      <c r="B1251" t="n">
        <v>1</v>
      </c>
    </row>
    <row r="1252">
      <c r="A1252" t="inlineStr">
        <is>
          <t>HVAC FILTRATION</t>
        </is>
      </c>
      <c r="B1252" t="n">
        <v>1</v>
      </c>
    </row>
    <row r="1253">
      <c r="A1253" t="inlineStr">
        <is>
          <t>CIGARETTE-SMOKING</t>
        </is>
      </c>
      <c r="B1253" t="n">
        <v>2</v>
      </c>
    </row>
    <row r="1254">
      <c r="A1254" t="inlineStr">
        <is>
          <t>MAJOR DEPRESSION</t>
        </is>
      </c>
      <c r="B1254" t="n">
        <v>1</v>
      </c>
    </row>
    <row r="1255">
      <c r="A1255" t="inlineStr">
        <is>
          <t>OUTDOOR ORIGIN</t>
        </is>
      </c>
      <c r="B1255" t="n">
        <v>3</v>
      </c>
    </row>
    <row r="1256">
      <c r="A1256" t="inlineStr">
        <is>
          <t>SUSTAINABLE URBAN-DEVELOPMENT</t>
        </is>
      </c>
      <c r="B1256" t="n">
        <v>1</v>
      </c>
    </row>
    <row r="1257">
      <c r="A1257" t="inlineStr">
        <is>
          <t>MOBILITY CHARACTERISTICS</t>
        </is>
      </c>
      <c r="B1257" t="n">
        <v>1</v>
      </c>
    </row>
    <row r="1258">
      <c r="A1258" t="inlineStr">
        <is>
          <t>ATTITUDES</t>
        </is>
      </c>
      <c r="B1258" t="n">
        <v>14</v>
      </c>
    </row>
    <row r="1259">
      <c r="A1259" t="inlineStr">
        <is>
          <t>CONTEXT</t>
        </is>
      </c>
      <c r="B1259" t="n">
        <v>6</v>
      </c>
    </row>
    <row r="1260">
      <c r="A1260" t="inlineStr">
        <is>
          <t>GUIDELINES</t>
        </is>
      </c>
      <c r="B1260" t="n">
        <v>4</v>
      </c>
    </row>
    <row r="1261">
      <c r="A1261" t="inlineStr">
        <is>
          <t>PUPIL DIAMETER</t>
        </is>
      </c>
      <c r="B1261" t="n">
        <v>1</v>
      </c>
    </row>
    <row r="1262">
      <c r="A1262" t="inlineStr">
        <is>
          <t>LIGHT REFLEX</t>
        </is>
      </c>
      <c r="B1262" t="n">
        <v>1</v>
      </c>
    </row>
    <row r="1263">
      <c r="A1263" t="inlineStr">
        <is>
          <t>MODULATION</t>
        </is>
      </c>
      <c r="B1263" t="n">
        <v>1</v>
      </c>
    </row>
    <row r="1264">
      <c r="A1264" t="inlineStr">
        <is>
          <t>MOVEMENTS</t>
        </is>
      </c>
      <c r="B1264" t="n">
        <v>2</v>
      </c>
    </row>
    <row r="1265">
      <c r="A1265" t="inlineStr">
        <is>
          <t>DILATION</t>
        </is>
      </c>
      <c r="B1265" t="n">
        <v>1</v>
      </c>
    </row>
    <row r="1266">
      <c r="A1266" t="inlineStr">
        <is>
          <t>ENVIRONMENTAL PREFERENCE</t>
        </is>
      </c>
      <c r="B1266" t="n">
        <v>1</v>
      </c>
    </row>
    <row r="1267">
      <c r="A1267" t="inlineStr">
        <is>
          <t>AESTHETICS</t>
        </is>
      </c>
      <c r="B1267" t="n">
        <v>1</v>
      </c>
    </row>
    <row r="1268">
      <c r="A1268" t="inlineStr">
        <is>
          <t>COHERENCE</t>
        </is>
      </c>
      <c r="B1268" t="n">
        <v>2</v>
      </c>
    </row>
    <row r="1269">
      <c r="A1269" t="inlineStr">
        <is>
          <t>METHYLSILOXANES</t>
        </is>
      </c>
      <c r="B1269" t="n">
        <v>1</v>
      </c>
    </row>
    <row r="1270">
      <c r="A1270" t="inlineStr">
        <is>
          <t>NEW-YORK-STATE</t>
        </is>
      </c>
      <c r="B1270" t="n">
        <v>1</v>
      </c>
    </row>
    <row r="1271">
      <c r="A1271" t="inlineStr">
        <is>
          <t>TRICHODERMA-LONGIBRACHIATUM</t>
        </is>
      </c>
      <c r="B1271" t="n">
        <v>1</v>
      </c>
    </row>
    <row r="1272">
      <c r="A1272" t="inlineStr">
        <is>
          <t>SCIENTIFIC LITERATURE</t>
        </is>
      </c>
      <c r="B1272" t="n">
        <v>1</v>
      </c>
    </row>
    <row r="1273">
      <c r="A1273" t="inlineStr">
        <is>
          <t>MAMMALIAN-CELLS</t>
        </is>
      </c>
      <c r="B1273" t="n">
        <v>1</v>
      </c>
    </row>
    <row r="1274">
      <c r="A1274" t="inlineStr">
        <is>
          <t>PEPTAIBOLS</t>
        </is>
      </c>
      <c r="B1274" t="n">
        <v>1</v>
      </c>
    </row>
    <row r="1275">
      <c r="A1275" t="inlineStr">
        <is>
          <t>MINIMUM TEMPERATURE</t>
        </is>
      </c>
      <c r="B1275" t="n">
        <v>1</v>
      </c>
    </row>
    <row r="1276">
      <c r="A1276" t="inlineStr">
        <is>
          <t>MAXIMUM</t>
        </is>
      </c>
      <c r="B1276" t="n">
        <v>1</v>
      </c>
    </row>
    <row r="1277">
      <c r="A1277" t="inlineStr">
        <is>
          <t>DROUGHT</t>
        </is>
      </c>
      <c r="B1277" t="n">
        <v>2</v>
      </c>
    </row>
    <row r="1278">
      <c r="A1278" t="inlineStr">
        <is>
          <t>TRENDS</t>
        </is>
      </c>
      <c r="B1278" t="n">
        <v>8</v>
      </c>
    </row>
    <row r="1279">
      <c r="A1279" t="inlineStr">
        <is>
          <t>DISTRICT</t>
        </is>
      </c>
      <c r="B1279" t="n">
        <v>2</v>
      </c>
    </row>
    <row r="1280">
      <c r="A1280" t="inlineStr">
        <is>
          <t>MODELS</t>
        </is>
      </c>
      <c r="B1280" t="n">
        <v>14</v>
      </c>
    </row>
    <row r="1281">
      <c r="A1281" t="inlineStr">
        <is>
          <t>HEALTH-RISK ASSESSMENT</t>
        </is>
      </c>
      <c r="B1281" t="n">
        <v>6</v>
      </c>
    </row>
    <row r="1282">
      <c r="A1282" t="inlineStr">
        <is>
          <t>CHEMICAL-CHARACTERIZATION</t>
        </is>
      </c>
      <c r="B1282" t="n">
        <v>2</v>
      </c>
    </row>
    <row r="1283">
      <c r="A1283" t="inlineStr">
        <is>
          <t>SOURCE IDENTIFICATION</t>
        </is>
      </c>
      <c r="B1283" t="n">
        <v>3</v>
      </c>
    </row>
    <row r="1284">
      <c r="A1284" t="inlineStr">
        <is>
          <t>ELEMENTAL COMPOSITION</t>
        </is>
      </c>
      <c r="B1284" t="n">
        <v>4</v>
      </c>
    </row>
    <row r="1285">
      <c r="A1285" t="inlineStr">
        <is>
          <t>SECONDARY POLLUTANTS</t>
        </is>
      </c>
      <c r="B1285" t="n">
        <v>2</v>
      </c>
    </row>
    <row r="1286">
      <c r="A1286" t="inlineStr">
        <is>
          <t>SCHOOL CLASSROOMS</t>
        </is>
      </c>
      <c r="B1286" t="n">
        <v>5</v>
      </c>
    </row>
    <row r="1287">
      <c r="A1287" t="inlineStr">
        <is>
          <t>HEART-RATE-VARIABILITY</t>
        </is>
      </c>
      <c r="B1287" t="n">
        <v>4</v>
      </c>
    </row>
    <row r="1288">
      <c r="A1288" t="inlineStr">
        <is>
          <t>SALIVARY ALPHA-AMYLASE</t>
        </is>
      </c>
      <c r="B1288" t="n">
        <v>1</v>
      </c>
    </row>
    <row r="1289">
      <c r="A1289" t="inlineStr">
        <is>
          <t>BLOOD-FLOW</t>
        </is>
      </c>
      <c r="B1289" t="n">
        <v>1</v>
      </c>
    </row>
    <row r="1290">
      <c r="A1290" t="inlineStr">
        <is>
          <t>WEEKEND</t>
        </is>
      </c>
      <c r="B1290" t="n">
        <v>1</v>
      </c>
    </row>
    <row r="1291">
      <c r="A1291" t="inlineStr">
        <is>
          <t>CHILDRENS</t>
        </is>
      </c>
      <c r="B1291" t="n">
        <v>2</v>
      </c>
    </row>
    <row r="1292">
      <c r="A1292" t="inlineStr">
        <is>
          <t>HOSPITALS</t>
        </is>
      </c>
      <c r="B1292" t="n">
        <v>2</v>
      </c>
    </row>
    <row r="1293">
      <c r="A1293" t="inlineStr">
        <is>
          <t>POSTOCCUPANCY</t>
        </is>
      </c>
      <c r="B1293" t="n">
        <v>2</v>
      </c>
    </row>
    <row r="1294">
      <c r="A1294" t="inlineStr">
        <is>
          <t>DISTRACTION</t>
        </is>
      </c>
      <c r="B1294" t="n">
        <v>1</v>
      </c>
    </row>
    <row r="1295">
      <c r="A1295" t="inlineStr">
        <is>
          <t>PRESENT STATE</t>
        </is>
      </c>
      <c r="B1295" t="n">
        <v>1</v>
      </c>
    </row>
    <row r="1296">
      <c r="A1296" t="inlineStr">
        <is>
          <t>HEALTH-CARE</t>
        </is>
      </c>
      <c r="B1296" t="n">
        <v>9</v>
      </c>
    </row>
    <row r="1297">
      <c r="A1297" t="inlineStr">
        <is>
          <t>TECHNOLOGIES</t>
        </is>
      </c>
      <c r="B1297" t="n">
        <v>8</v>
      </c>
    </row>
    <row r="1298">
      <c r="A1298" t="inlineStr">
        <is>
          <t>INTERNET</t>
        </is>
      </c>
      <c r="B1298" t="n">
        <v>5</v>
      </c>
    </row>
    <row r="1299">
      <c r="A1299" t="inlineStr">
        <is>
          <t>THINGS</t>
        </is>
      </c>
      <c r="B1299" t="n">
        <v>1</v>
      </c>
    </row>
    <row r="1300">
      <c r="A1300" t="inlineStr">
        <is>
          <t>TOOLS</t>
        </is>
      </c>
      <c r="B1300" t="n">
        <v>3</v>
      </c>
    </row>
    <row r="1301">
      <c r="A1301" t="inlineStr">
        <is>
          <t>WENCHUAN EARTHQUAKE</t>
        </is>
      </c>
      <c r="B1301" t="n">
        <v>1</v>
      </c>
    </row>
    <row r="1302">
      <c r="A1302" t="inlineStr">
        <is>
          <t>LANDSLIDES</t>
        </is>
      </c>
      <c r="B1302" t="n">
        <v>1</v>
      </c>
    </row>
    <row r="1303">
      <c r="A1303" t="inlineStr">
        <is>
          <t>DAMAGE</t>
        </is>
      </c>
      <c r="B1303" t="n">
        <v>3</v>
      </c>
    </row>
    <row r="1304">
      <c r="A1304" t="inlineStr">
        <is>
          <t>VULNERABILITY</t>
        </is>
      </c>
      <c r="B1304" t="n">
        <v>9</v>
      </c>
    </row>
    <row r="1305">
      <c r="A1305" t="inlineStr">
        <is>
          <t>GROUND REACTION FORCES</t>
        </is>
      </c>
      <c r="B1305" t="n">
        <v>1</v>
      </c>
    </row>
    <row r="1306">
      <c r="A1306" t="inlineStr">
        <is>
          <t>AGE-RELATED DIFFERENCES</t>
        </is>
      </c>
      <c r="B1306" t="n">
        <v>1</v>
      </c>
    </row>
    <row r="1307">
      <c r="A1307" t="inlineStr">
        <is>
          <t>TAI CHI EXERCISE</t>
        </is>
      </c>
      <c r="B1307" t="n">
        <v>1</v>
      </c>
    </row>
    <row r="1308">
      <c r="A1308" t="inlineStr">
        <is>
          <t>PHYSICAL FUNCTION</t>
        </is>
      </c>
      <c r="B1308" t="n">
        <v>1</v>
      </c>
    </row>
    <row r="1309">
      <c r="A1309" t="inlineStr">
        <is>
          <t>INJURIOUS FALLS</t>
        </is>
      </c>
      <c r="B1309" t="n">
        <v>1</v>
      </c>
    </row>
    <row r="1310">
      <c r="A1310" t="inlineStr">
        <is>
          <t>BIOMECHANICAL DEMANDS</t>
        </is>
      </c>
      <c r="B1310" t="n">
        <v>1</v>
      </c>
    </row>
    <row r="1311">
      <c r="A1311" t="inlineStr">
        <is>
          <t>KNEE OSTEOARTHRITIS</t>
        </is>
      </c>
      <c r="B1311" t="n">
        <v>2</v>
      </c>
    </row>
    <row r="1312">
      <c r="A1312" t="inlineStr">
        <is>
          <t>DYNAMIC STABILITY</t>
        </is>
      </c>
      <c r="B1312" t="n">
        <v>1</v>
      </c>
    </row>
    <row r="1313">
      <c r="A1313" t="inlineStr">
        <is>
          <t>PHYSICAL-CHEMICAL PROPERTIES</t>
        </is>
      </c>
      <c r="B1313" t="n">
        <v>1</v>
      </c>
    </row>
    <row r="1314">
      <c r="A1314" t="inlineStr">
        <is>
          <t>MULTI-RESIDUE METHOD</t>
        </is>
      </c>
      <c r="B1314" t="n">
        <v>1</v>
      </c>
    </row>
    <row r="1315">
      <c r="A1315" t="inlineStr">
        <is>
          <t>ESTERS</t>
        </is>
      </c>
      <c r="B1315" t="n">
        <v>1</v>
      </c>
    </row>
    <row r="1316">
      <c r="A1316" t="inlineStr">
        <is>
          <t>ORGANOBROMINE</t>
        </is>
      </c>
      <c r="B1316" t="n">
        <v>1</v>
      </c>
    </row>
    <row r="1317">
      <c r="A1317" t="inlineStr">
        <is>
          <t>CITY-CENTER</t>
        </is>
      </c>
      <c r="B1317" t="n">
        <v>1</v>
      </c>
    </row>
    <row r="1318">
      <c r="A1318" t="inlineStr">
        <is>
          <t>GENTRIFICATION</t>
        </is>
      </c>
      <c r="B1318" t="n">
        <v>3</v>
      </c>
    </row>
    <row r="1319">
      <c r="A1319" t="inlineStr">
        <is>
          <t>TRAJECTORIES</t>
        </is>
      </c>
      <c r="B1319" t="n">
        <v>6</v>
      </c>
    </row>
    <row r="1320">
      <c r="A1320" t="inlineStr">
        <is>
          <t>PEDESTRIAN-LEVEL WINDS</t>
        </is>
      </c>
      <c r="B1320" t="n">
        <v>1</v>
      </c>
    </row>
    <row r="1321">
      <c r="A1321" t="inlineStr">
        <is>
          <t>TALL BUILDINGS</t>
        </is>
      </c>
      <c r="B1321" t="n">
        <v>1</v>
      </c>
    </row>
    <row r="1322">
      <c r="A1322" t="inlineStr">
        <is>
          <t>AIR-FLOW</t>
        </is>
      </c>
      <c r="B1322" t="n">
        <v>2</v>
      </c>
    </row>
    <row r="1323">
      <c r="A1323" t="inlineStr">
        <is>
          <t>COLOR TRAILS TEST</t>
        </is>
      </c>
      <c r="B1323" t="n">
        <v>1</v>
      </c>
    </row>
    <row r="1324">
      <c r="A1324" t="inlineStr">
        <is>
          <t>MATTER AIR-POLLUTION</t>
        </is>
      </c>
      <c r="B1324" t="n">
        <v>1</v>
      </c>
    </row>
    <row r="1325">
      <c r="A1325" t="inlineStr">
        <is>
          <t>ATTRIBUTABLE RISK</t>
        </is>
      </c>
      <c r="B1325" t="n">
        <v>1</v>
      </c>
    </row>
    <row r="1326">
      <c r="A1326" t="inlineStr">
        <is>
          <t>SCREEN</t>
        </is>
      </c>
      <c r="B1326" t="n">
        <v>1</v>
      </c>
    </row>
    <row r="1327">
      <c r="A1327" t="inlineStr">
        <is>
          <t>OFFICE</t>
        </is>
      </c>
      <c r="B1327" t="n">
        <v>9</v>
      </c>
    </row>
    <row r="1328">
      <c r="A1328" t="inlineStr">
        <is>
          <t>SEASON</t>
        </is>
      </c>
      <c r="B1328" t="n">
        <v>2</v>
      </c>
    </row>
    <row r="1329">
      <c r="A1329" t="inlineStr">
        <is>
          <t>BRIEF CONCEPTUAL TUTORIAL</t>
        </is>
      </c>
      <c r="B1329" t="n">
        <v>1</v>
      </c>
    </row>
    <row r="1330">
      <c r="A1330" t="inlineStr">
        <is>
          <t>SOCIAL EPIDEMIOLOGY</t>
        </is>
      </c>
      <c r="B1330" t="n">
        <v>1</v>
      </c>
    </row>
    <row r="1331">
      <c r="A1331" t="inlineStr">
        <is>
          <t>LONG-TERM-CARE</t>
        </is>
      </c>
      <c r="B1331" t="n">
        <v>4</v>
      </c>
    </row>
    <row r="1332">
      <c r="A1332" t="inlineStr">
        <is>
          <t>NURSING-HOME RESIDENTS</t>
        </is>
      </c>
      <c r="B1332" t="n">
        <v>2</v>
      </c>
    </row>
    <row r="1333">
      <c r="A1333" t="inlineStr">
        <is>
          <t>OPERATIONAL ACCESS</t>
        </is>
      </c>
      <c r="B1333" t="n">
        <v>1</v>
      </c>
    </row>
    <row r="1334">
      <c r="A1334" t="inlineStr">
        <is>
          <t>SEXUALITY</t>
        </is>
      </c>
      <c r="B1334" t="n">
        <v>1</v>
      </c>
    </row>
    <row r="1335">
      <c r="A1335" t="inlineStr">
        <is>
          <t>SERBIAN SCHOOLS</t>
        </is>
      </c>
      <c r="B1335" t="n">
        <v>1</v>
      </c>
    </row>
    <row r="1336">
      <c r="A1336" t="inlineStr">
        <is>
          <t>THORON</t>
        </is>
      </c>
      <c r="B1336" t="n">
        <v>2</v>
      </c>
    </row>
    <row r="1337">
      <c r="A1337" t="inlineStr">
        <is>
          <t>KOSOVO</t>
        </is>
      </c>
      <c r="B1337" t="n">
        <v>1</v>
      </c>
    </row>
    <row r="1338">
      <c r="A1338" t="inlineStr">
        <is>
          <t>METOHIJA</t>
        </is>
      </c>
      <c r="B1338" t="n">
        <v>1</v>
      </c>
    </row>
    <row r="1339">
      <c r="A1339" t="inlineStr">
        <is>
          <t>SOIL</t>
        </is>
      </c>
      <c r="B1339" t="n">
        <v>9</v>
      </c>
    </row>
    <row r="1340">
      <c r="A1340" t="inlineStr">
        <is>
          <t>PARK PROXIMITY</t>
        </is>
      </c>
      <c r="B1340" t="n">
        <v>1</v>
      </c>
    </row>
    <row r="1341">
      <c r="A1341" t="inlineStr">
        <is>
          <t>GEOGRAPHIES</t>
        </is>
      </c>
      <c r="B1341" t="n">
        <v>1</v>
      </c>
    </row>
    <row r="1342">
      <c r="A1342" t="inlineStr">
        <is>
          <t>COMPUTER-SCIENCE</t>
        </is>
      </c>
      <c r="B1342" t="n">
        <v>1</v>
      </c>
    </row>
    <row r="1343">
      <c r="A1343" t="inlineStr">
        <is>
          <t>SPATIAL ASSOCIATION</t>
        </is>
      </c>
      <c r="B1343" t="n">
        <v>1</v>
      </c>
    </row>
    <row r="1344">
      <c r="A1344" t="inlineStr">
        <is>
          <t>NEW-HAMPSHIRE</t>
        </is>
      </c>
      <c r="B1344" t="n">
        <v>1</v>
      </c>
    </row>
    <row r="1345">
      <c r="A1345" t="inlineStr">
        <is>
          <t>URANIUM</t>
        </is>
      </c>
      <c r="B1345" t="n">
        <v>3</v>
      </c>
    </row>
    <row r="1346">
      <c r="A1346" t="inlineStr">
        <is>
          <t>HOUSES</t>
        </is>
      </c>
      <c r="B1346" t="n">
        <v>5</v>
      </c>
    </row>
    <row r="1347">
      <c r="A1347" t="inlineStr">
        <is>
          <t>VISUAL-ATTENTION</t>
        </is>
      </c>
      <c r="B1347" t="n">
        <v>2</v>
      </c>
    </row>
    <row r="1348">
      <c r="A1348" t="inlineStr">
        <is>
          <t>VIRTUAL-REALITY</t>
        </is>
      </c>
      <c r="B1348" t="n">
        <v>2</v>
      </c>
    </row>
    <row r="1349">
      <c r="A1349" t="inlineStr">
        <is>
          <t>VISIBILITY</t>
        </is>
      </c>
      <c r="B1349" t="n">
        <v>1</v>
      </c>
    </row>
    <row r="1350">
      <c r="A1350" t="inlineStr">
        <is>
          <t>ULTRAFINE</t>
        </is>
      </c>
      <c r="B1350" t="n">
        <v>1</v>
      </c>
    </row>
    <row r="1351">
      <c r="A1351" t="inlineStr">
        <is>
          <t>SINK</t>
        </is>
      </c>
      <c r="B1351" t="n">
        <v>1</v>
      </c>
    </row>
    <row r="1352">
      <c r="A1352" t="inlineStr">
        <is>
          <t>NO2</t>
        </is>
      </c>
      <c r="B1352" t="n">
        <v>4</v>
      </c>
    </row>
    <row r="1353">
      <c r="A1353" t="inlineStr">
        <is>
          <t>RENEWABLE ENERGY</t>
        </is>
      </c>
      <c r="B1353" t="n">
        <v>3</v>
      </c>
    </row>
    <row r="1354">
      <c r="A1354" t="inlineStr">
        <is>
          <t>RIVER DELTA</t>
        </is>
      </c>
      <c r="B1354" t="n">
        <v>1</v>
      </c>
    </row>
    <row r="1355">
      <c r="A1355" t="inlineStr">
        <is>
          <t>INTENSITY PHYSICAL-ACTIVITY</t>
        </is>
      </c>
      <c r="B1355" t="n">
        <v>1</v>
      </c>
    </row>
    <row r="1356">
      <c r="A1356" t="inlineStr">
        <is>
          <t>MEN</t>
        </is>
      </c>
      <c r="B1356" t="n">
        <v>11</v>
      </c>
    </row>
    <row r="1357">
      <c r="A1357" t="inlineStr">
        <is>
          <t>INCLUSION</t>
        </is>
      </c>
      <c r="B1357" t="n">
        <v>1</v>
      </c>
    </row>
    <row r="1358">
      <c r="A1358" t="inlineStr">
        <is>
          <t>INFILTRATION FACTOR</t>
        </is>
      </c>
      <c r="B1358" t="n">
        <v>2</v>
      </c>
    </row>
    <row r="1359">
      <c r="A1359" t="inlineStr">
        <is>
          <t>AMBIENT PM2.5</t>
        </is>
      </c>
      <c r="B1359" t="n">
        <v>4</v>
      </c>
    </row>
    <row r="1360">
      <c r="A1360" t="inlineStr">
        <is>
          <t>FILTRATION</t>
        </is>
      </c>
      <c r="B1360" t="n">
        <v>4</v>
      </c>
    </row>
    <row r="1361">
      <c r="A1361" t="inlineStr">
        <is>
          <t>MASS</t>
        </is>
      </c>
      <c r="B1361" t="n">
        <v>6</v>
      </c>
    </row>
    <row r="1362">
      <c r="A1362" t="inlineStr">
        <is>
          <t>SILVER NANOPARTICLES</t>
        </is>
      </c>
      <c r="B1362" t="n">
        <v>2</v>
      </c>
    </row>
    <row r="1363">
      <c r="A1363" t="inlineStr">
        <is>
          <t>CONSUMER PRODUCTS</t>
        </is>
      </c>
      <c r="B1363" t="n">
        <v>4</v>
      </c>
    </row>
    <row r="1364">
      <c r="A1364" t="inlineStr">
        <is>
          <t>CARBON NANOTUBES</t>
        </is>
      </c>
      <c r="B1364" t="n">
        <v>1</v>
      </c>
    </row>
    <row r="1365">
      <c r="A1365" t="inlineStr">
        <is>
          <t>INHALATION TOXICITY</t>
        </is>
      </c>
      <c r="B1365" t="n">
        <v>1</v>
      </c>
    </row>
    <row r="1366">
      <c r="A1366" t="inlineStr">
        <is>
          <t>POTENTIAL RELEASE</t>
        </is>
      </c>
      <c r="B1366" t="n">
        <v>1</v>
      </c>
    </row>
    <row r="1367">
      <c r="A1367" t="inlineStr">
        <is>
          <t>NANOTECHNOLOGY</t>
        </is>
      </c>
      <c r="B1367" t="n">
        <v>1</v>
      </c>
    </row>
    <row r="1368">
      <c r="A1368" t="inlineStr">
        <is>
          <t>NANOCOMPOSITE</t>
        </is>
      </c>
      <c r="B1368" t="n">
        <v>1</v>
      </c>
    </row>
    <row r="1369">
      <c r="A1369" t="inlineStr">
        <is>
          <t>CHEMISTRY</t>
        </is>
      </c>
      <c r="B1369" t="n">
        <v>6</v>
      </c>
    </row>
    <row r="1370">
      <c r="A1370" t="inlineStr">
        <is>
          <t>FORMALDEHYDE EMISSIONS</t>
        </is>
      </c>
      <c r="B1370" t="n">
        <v>1</v>
      </c>
    </row>
    <row r="1371">
      <c r="A1371" t="inlineStr">
        <is>
          <t>WIND</t>
        </is>
      </c>
      <c r="B1371" t="n">
        <v>3</v>
      </c>
    </row>
    <row r="1372">
      <c r="A1372" t="inlineStr">
        <is>
          <t>BEHAVIORAL INTENTIONS</t>
        </is>
      </c>
      <c r="B1372" t="n">
        <v>2</v>
      </c>
    </row>
    <row r="1373">
      <c r="A1373" t="inlineStr">
        <is>
          <t>SECURITY MEASURES</t>
        </is>
      </c>
      <c r="B1373" t="n">
        <v>1</v>
      </c>
    </row>
    <row r="1374">
      <c r="A1374" t="inlineStr">
        <is>
          <t>AIRLINES</t>
        </is>
      </c>
      <c r="B1374" t="n">
        <v>1</v>
      </c>
    </row>
    <row r="1375">
      <c r="A1375" t="inlineStr">
        <is>
          <t>AVIATION</t>
        </is>
      </c>
      <c r="B1375" t="n">
        <v>1</v>
      </c>
    </row>
    <row r="1376">
      <c r="A1376" t="inlineStr">
        <is>
          <t>PSYCHOSOCIAL WORK-ENVIRONMENT</t>
        </is>
      </c>
      <c r="B1376" t="n">
        <v>1</v>
      </c>
    </row>
    <row r="1377">
      <c r="A1377" t="inlineStr">
        <is>
          <t>US</t>
        </is>
      </c>
      <c r="B1377" t="n">
        <v>5</v>
      </c>
    </row>
    <row r="1378">
      <c r="A1378" t="inlineStr">
        <is>
          <t>OTAGO EXERCISE PROGRAM</t>
        </is>
      </c>
      <c r="B1378" t="n">
        <v>1</v>
      </c>
    </row>
    <row r="1379">
      <c r="A1379" t="inlineStr">
        <is>
          <t>RANDOMIZED CONTROLLED-TRIAL</t>
        </is>
      </c>
      <c r="B1379" t="n">
        <v>3</v>
      </c>
    </row>
    <row r="1380">
      <c r="A1380" t="inlineStr">
        <is>
          <t>HEALTH-CARE UTILIZATION</t>
        </is>
      </c>
      <c r="B1380" t="n">
        <v>1</v>
      </c>
    </row>
    <row r="1381">
      <c r="A1381" t="inlineStr">
        <is>
          <t>HOME-BASED EXERCISE</t>
        </is>
      </c>
      <c r="B1381" t="n">
        <v>1</v>
      </c>
    </row>
    <row r="1382">
      <c r="A1382" t="inlineStr">
        <is>
          <t>MINI-MENTAL-STATE</t>
        </is>
      </c>
      <c r="B1382" t="n">
        <v>10</v>
      </c>
    </row>
    <row r="1383">
      <c r="A1383" t="inlineStr">
        <is>
          <t>ECONOMIC-EVALUATION</t>
        </is>
      </c>
      <c r="B1383" t="n">
        <v>1</v>
      </c>
    </row>
    <row r="1384">
      <c r="A1384" t="inlineStr">
        <is>
          <t>STAND TEST</t>
        </is>
      </c>
      <c r="B1384" t="n">
        <v>1</v>
      </c>
    </row>
    <row r="1385">
      <c r="A1385" t="inlineStr">
        <is>
          <t>DATA ENVELOPMENT ANALYSIS</t>
        </is>
      </c>
      <c r="B1385" t="n">
        <v>1</v>
      </c>
    </row>
    <row r="1386">
      <c r="A1386" t="inlineStr">
        <is>
          <t>MULTIVARIATE</t>
        </is>
      </c>
      <c r="B1386" t="n">
        <v>1</v>
      </c>
    </row>
    <row r="1387">
      <c r="A1387" t="inlineStr">
        <is>
          <t>ACHIEVEMENT</t>
        </is>
      </c>
      <c r="B1387" t="n">
        <v>5</v>
      </c>
    </row>
    <row r="1388">
      <c r="A1388" t="inlineStr">
        <is>
          <t>DESIGN OPTIMIZATION</t>
        </is>
      </c>
      <c r="B1388" t="n">
        <v>1</v>
      </c>
    </row>
    <row r="1389">
      <c r="A1389" t="inlineStr">
        <is>
          <t>SHADING DEVICES</t>
        </is>
      </c>
      <c r="B1389" t="n">
        <v>1</v>
      </c>
    </row>
    <row r="1390">
      <c r="A1390" t="inlineStr">
        <is>
          <t>CFD SIMULATION</t>
        </is>
      </c>
      <c r="B1390" t="n">
        <v>5</v>
      </c>
    </row>
    <row r="1391">
      <c r="A1391" t="inlineStr">
        <is>
          <t>FACADE</t>
        </is>
      </c>
      <c r="B1391" t="n">
        <v>2</v>
      </c>
    </row>
    <row r="1392">
      <c r="A1392" t="inlineStr">
        <is>
          <t>NUMERICAL EVALUATION</t>
        </is>
      </c>
      <c r="B1392" t="n">
        <v>1</v>
      </c>
    </row>
    <row r="1393">
      <c r="A1393" t="inlineStr">
        <is>
          <t>AEROSOL DYNAMICS</t>
        </is>
      </c>
      <c r="B1393" t="n">
        <v>1</v>
      </c>
    </row>
    <row r="1394">
      <c r="A1394" t="inlineStr">
        <is>
          <t>TURBULENT-FLOW</t>
        </is>
      </c>
      <c r="B1394" t="n">
        <v>1</v>
      </c>
    </row>
    <row r="1395">
      <c r="A1395" t="inlineStr">
        <is>
          <t>SUBWAY</t>
        </is>
      </c>
      <c r="B1395" t="n">
        <v>2</v>
      </c>
    </row>
    <row r="1396">
      <c r="A1396" t="inlineStr">
        <is>
          <t>BOTANICAL BIOFILTRATION</t>
        </is>
      </c>
      <c r="B1396" t="n">
        <v>1</v>
      </c>
    </row>
    <row r="1397">
      <c r="A1397" t="inlineStr">
        <is>
          <t>PASSIVE REMOVAL</t>
        </is>
      </c>
      <c r="B1397" t="n">
        <v>1</v>
      </c>
    </row>
    <row r="1398">
      <c r="A1398" t="inlineStr">
        <is>
          <t>LIVING WALL</t>
        </is>
      </c>
      <c r="B1398" t="n">
        <v>2</v>
      </c>
    </row>
    <row r="1399">
      <c r="A1399" t="inlineStr">
        <is>
          <t>QUALITY EVALUATION</t>
        </is>
      </c>
      <c r="B1399" t="n">
        <v>1</v>
      </c>
    </row>
    <row r="1400">
      <c r="A1400" t="inlineStr">
        <is>
          <t>SICK</t>
        </is>
      </c>
      <c r="B1400" t="n">
        <v>2</v>
      </c>
    </row>
    <row r="1401">
      <c r="A1401" t="inlineStr">
        <is>
          <t>ARCHIVES</t>
        </is>
      </c>
      <c r="B1401" t="n">
        <v>2</v>
      </c>
    </row>
    <row r="1402">
      <c r="A1402" t="inlineStr">
        <is>
          <t>VEGETABLE CONSUMPTION</t>
        </is>
      </c>
      <c r="B1402" t="n">
        <v>1</v>
      </c>
    </row>
    <row r="1403">
      <c r="A1403" t="inlineStr">
        <is>
          <t>CHOICES</t>
        </is>
      </c>
      <c r="B1403" t="n">
        <v>1</v>
      </c>
    </row>
    <row r="1404">
      <c r="A1404" t="inlineStr">
        <is>
          <t>BASE-LINE</t>
        </is>
      </c>
      <c r="B1404" t="n">
        <v>1</v>
      </c>
    </row>
    <row r="1405">
      <c r="A1405" t="inlineStr">
        <is>
          <t>COMMERCIAL BUILDINGS</t>
        </is>
      </c>
      <c r="B1405" t="n">
        <v>2</v>
      </c>
    </row>
    <row r="1406">
      <c r="A1406" t="inlineStr">
        <is>
          <t>ONTOLOGY</t>
        </is>
      </c>
      <c r="B1406" t="n">
        <v>4</v>
      </c>
    </row>
    <row r="1407">
      <c r="A1407" t="inlineStr">
        <is>
          <t>SOCIAL-INEQUALITY</t>
        </is>
      </c>
      <c r="B1407" t="n">
        <v>1</v>
      </c>
    </row>
    <row r="1408">
      <c r="A1408" t="inlineStr">
        <is>
          <t>EXCHANGE-RATES</t>
        </is>
      </c>
      <c r="B1408" t="n">
        <v>1</v>
      </c>
    </row>
    <row r="1409">
      <c r="A1409" t="inlineStr">
        <is>
          <t>PREDICTORS</t>
        </is>
      </c>
      <c r="B1409" t="n">
        <v>17</v>
      </c>
    </row>
    <row r="1410">
      <c r="A1410" t="inlineStr">
        <is>
          <t>HEAT-SUSCEPTIBILITY</t>
        </is>
      </c>
      <c r="B1410" t="n">
        <v>1</v>
      </c>
    </row>
    <row r="1411">
      <c r="A1411" t="inlineStr">
        <is>
          <t>ADAPTIVE BEHAVIORS</t>
        </is>
      </c>
      <c r="B1411" t="n">
        <v>2</v>
      </c>
    </row>
    <row r="1412">
      <c r="A1412" t="inlineStr">
        <is>
          <t>CITIZENS</t>
        </is>
      </c>
      <c r="B1412" t="n">
        <v>1</v>
      </c>
    </row>
    <row r="1413">
      <c r="A1413" t="inlineStr">
        <is>
          <t>LIFE SATISFACTION</t>
        </is>
      </c>
      <c r="B1413" t="n">
        <v>11</v>
      </c>
    </row>
    <row r="1414">
      <c r="A1414" t="inlineStr">
        <is>
          <t>OPTIMISM</t>
        </is>
      </c>
      <c r="B1414" t="n">
        <v>2</v>
      </c>
    </row>
    <row r="1415">
      <c r="A1415" t="inlineStr">
        <is>
          <t>NETWORK</t>
        </is>
      </c>
      <c r="B1415" t="n">
        <v>3</v>
      </c>
    </row>
    <row r="1416">
      <c r="A1416" t="inlineStr">
        <is>
          <t>METAL-ORGANIC FRAMEWORKS</t>
        </is>
      </c>
      <c r="B1416" t="n">
        <v>1</v>
      </c>
    </row>
    <row r="1417">
      <c r="A1417" t="inlineStr">
        <is>
          <t>CO2 CAPTURE</t>
        </is>
      </c>
      <c r="B1417" t="n">
        <v>1</v>
      </c>
    </row>
    <row r="1418">
      <c r="A1418" t="inlineStr">
        <is>
          <t>SWING ADSORPTION</t>
        </is>
      </c>
      <c r="B1418" t="n">
        <v>1</v>
      </c>
    </row>
    <row r="1419">
      <c r="A1419" t="inlineStr">
        <is>
          <t>SOLID ADSORBENTS</t>
        </is>
      </c>
      <c r="B1419" t="n">
        <v>1</v>
      </c>
    </row>
    <row r="1420">
      <c r="A1420" t="inlineStr">
        <is>
          <t>SEPARATION</t>
        </is>
      </c>
      <c r="B1420" t="n">
        <v>1</v>
      </c>
    </row>
    <row r="1421">
      <c r="A1421" t="inlineStr">
        <is>
          <t>SILICA</t>
        </is>
      </c>
      <c r="B1421" t="n">
        <v>1</v>
      </c>
    </row>
    <row r="1422">
      <c r="A1422" t="inlineStr">
        <is>
          <t>ALKALI</t>
        </is>
      </c>
      <c r="B1422" t="n">
        <v>1</v>
      </c>
    </row>
    <row r="1423">
      <c r="A1423" t="inlineStr">
        <is>
          <t>HOMELESSNESS</t>
        </is>
      </c>
      <c r="B1423" t="n">
        <v>1</v>
      </c>
    </row>
    <row r="1424">
      <c r="A1424" t="inlineStr">
        <is>
          <t>NEIGHBORHOOD CHARACTERISTICS</t>
        </is>
      </c>
      <c r="B1424" t="n">
        <v>5</v>
      </c>
    </row>
    <row r="1425">
      <c r="A1425" t="inlineStr">
        <is>
          <t>BUILDING MODELS</t>
        </is>
      </c>
      <c r="B1425" t="n">
        <v>3</v>
      </c>
    </row>
    <row r="1426">
      <c r="A1426" t="inlineStr">
        <is>
          <t>AUTOMATIC RECONSTRUCTION</t>
        </is>
      </c>
      <c r="B1426" t="n">
        <v>1</v>
      </c>
    </row>
    <row r="1427">
      <c r="A1427" t="inlineStr">
        <is>
          <t>EXTRACTION</t>
        </is>
      </c>
      <c r="B1427" t="n">
        <v>3</v>
      </c>
    </row>
    <row r="1428">
      <c r="A1428" t="inlineStr">
        <is>
          <t>GENERATION</t>
        </is>
      </c>
      <c r="B1428" t="n">
        <v>8</v>
      </c>
    </row>
    <row r="1429">
      <c r="A1429" t="inlineStr">
        <is>
          <t>STATE</t>
        </is>
      </c>
      <c r="B1429" t="n">
        <v>3</v>
      </c>
    </row>
    <row r="1430">
      <c r="A1430" t="inlineStr">
        <is>
          <t>ISLAND</t>
        </is>
      </c>
      <c r="B1430" t="n">
        <v>4</v>
      </c>
    </row>
    <row r="1431">
      <c r="A1431" t="inlineStr">
        <is>
          <t>VARIABILITY</t>
        </is>
      </c>
      <c r="B1431" t="n">
        <v>8</v>
      </c>
    </row>
    <row r="1432">
      <c r="A1432" t="inlineStr">
        <is>
          <t>GRANDCHILDREN</t>
        </is>
      </c>
      <c r="B1432" t="n">
        <v>2</v>
      </c>
    </row>
    <row r="1433">
      <c r="A1433" t="inlineStr">
        <is>
          <t>GRANDMOTHERS</t>
        </is>
      </c>
      <c r="B1433" t="n">
        <v>1</v>
      </c>
    </row>
    <row r="1434">
      <c r="A1434" t="inlineStr">
        <is>
          <t>GRANDPARENTS</t>
        </is>
      </c>
      <c r="B1434" t="n">
        <v>1</v>
      </c>
    </row>
    <row r="1435">
      <c r="A1435" t="inlineStr">
        <is>
          <t>HEALTH BEHAVIORS</t>
        </is>
      </c>
      <c r="B1435" t="n">
        <v>1</v>
      </c>
    </row>
    <row r="1436">
      <c r="A1436" t="inlineStr">
        <is>
          <t>PLOVDIV</t>
        </is>
      </c>
      <c r="B1436" t="n">
        <v>1</v>
      </c>
    </row>
    <row r="1437">
      <c r="A1437" t="inlineStr">
        <is>
          <t>FYR</t>
        </is>
      </c>
      <c r="B1437" t="n">
        <v>1</v>
      </c>
    </row>
    <row r="1438">
      <c r="A1438" t="inlineStr">
        <is>
          <t>PHYSICAL ENVIRONMENTS</t>
        </is>
      </c>
      <c r="B1438" t="n">
        <v>1</v>
      </c>
    </row>
    <row r="1439">
      <c r="A1439" t="inlineStr">
        <is>
          <t>DOUBLE BURDEN</t>
        </is>
      </c>
      <c r="B1439" t="n">
        <v>1</v>
      </c>
    </row>
    <row r="1440">
      <c r="A1440" t="inlineStr">
        <is>
          <t>BIOELECTRICAL-IMPEDANCE</t>
        </is>
      </c>
      <c r="B1440" t="n">
        <v>1</v>
      </c>
    </row>
    <row r="1441">
      <c r="A1441" t="inlineStr">
        <is>
          <t>MOTOR DEVELOPMENT</t>
        </is>
      </c>
      <c r="B1441" t="n">
        <v>1</v>
      </c>
    </row>
    <row r="1442">
      <c r="A1442" t="inlineStr">
        <is>
          <t>MALNUTRITION</t>
        </is>
      </c>
      <c r="B1442" t="n">
        <v>2</v>
      </c>
    </row>
    <row r="1443">
      <c r="A1443" t="inlineStr">
        <is>
          <t>SUPPLEMENTATION</t>
        </is>
      </c>
      <c r="B1443" t="n">
        <v>4</v>
      </c>
    </row>
    <row r="1444">
      <c r="A1444" t="inlineStr">
        <is>
          <t>STAFF</t>
        </is>
      </c>
      <c r="B1444" t="n">
        <v>1</v>
      </c>
    </row>
    <row r="1445">
      <c r="A1445" t="inlineStr">
        <is>
          <t>AIRBORNE</t>
        </is>
      </c>
      <c r="B1445" t="n">
        <v>2</v>
      </c>
    </row>
    <row r="1446">
      <c r="A1446" t="inlineStr">
        <is>
          <t>GREEN CARE</t>
        </is>
      </c>
      <c r="B1446" t="n">
        <v>1</v>
      </c>
    </row>
    <row r="1447">
      <c r="A1447" t="inlineStr">
        <is>
          <t>IN-PLACE</t>
        </is>
      </c>
      <c r="B1447" t="n">
        <v>2</v>
      </c>
    </row>
    <row r="1448">
      <c r="A1448" t="inlineStr">
        <is>
          <t>FIT</t>
        </is>
      </c>
      <c r="B1448" t="n">
        <v>2</v>
      </c>
    </row>
    <row r="1449">
      <c r="A1449" t="inlineStr">
        <is>
          <t>LIVEABILITY</t>
        </is>
      </c>
      <c r="B1449" t="n">
        <v>1</v>
      </c>
    </row>
    <row r="1450">
      <c r="A1450" t="inlineStr">
        <is>
          <t>MOLD GROWTH</t>
        </is>
      </c>
      <c r="B1450" t="n">
        <v>2</v>
      </c>
    </row>
    <row r="1451">
      <c r="A1451" t="inlineStr">
        <is>
          <t>MOISTURE CONDITIONS</t>
        </is>
      </c>
      <c r="B1451" t="n">
        <v>1</v>
      </c>
    </row>
    <row r="1452">
      <c r="A1452" t="inlineStr">
        <is>
          <t>ANIMAL-WELFARE</t>
        </is>
      </c>
      <c r="B1452" t="n">
        <v>1</v>
      </c>
    </row>
    <row r="1453">
      <c r="A1453" t="inlineStr">
        <is>
          <t>CONDENSATION</t>
        </is>
      </c>
      <c r="B1453" t="n">
        <v>1</v>
      </c>
    </row>
    <row r="1454">
      <c r="A1454" t="inlineStr">
        <is>
          <t>COMMON MENTAL-DISORDERS</t>
        </is>
      </c>
      <c r="B1454" t="n">
        <v>1</v>
      </c>
    </row>
    <row r="1455">
      <c r="A1455" t="inlineStr">
        <is>
          <t>PLACES</t>
        </is>
      </c>
      <c r="B1455" t="n">
        <v>1</v>
      </c>
    </row>
    <row r="1456">
      <c r="A1456" t="inlineStr">
        <is>
          <t>GLOMERULAR-FILTRATION-RATE</t>
        </is>
      </c>
      <c r="B1456" t="n">
        <v>1</v>
      </c>
    </row>
    <row r="1457">
      <c r="A1457" t="inlineStr">
        <is>
          <t>HOUSEHOLD AIR-POLLUTION</t>
        </is>
      </c>
      <c r="B1457" t="n">
        <v>3</v>
      </c>
    </row>
    <row r="1458">
      <c r="A1458" t="inlineStr">
        <is>
          <t>CHRONIC KIDNEY-DISEASE</t>
        </is>
      </c>
      <c r="B1458" t="n">
        <v>2</v>
      </c>
    </row>
    <row r="1459">
      <c r="A1459" t="inlineStr">
        <is>
          <t>DEVELOPING-COUNTRIES</t>
        </is>
      </c>
      <c r="B1459" t="n">
        <v>2</v>
      </c>
    </row>
    <row r="1460">
      <c r="A1460" t="inlineStr">
        <is>
          <t>TOBACCO SMOKING</t>
        </is>
      </c>
      <c r="B1460" t="n">
        <v>1</v>
      </c>
    </row>
    <row r="1461">
      <c r="A1461" t="inlineStr">
        <is>
          <t>ALL-CAUSE</t>
        </is>
      </c>
      <c r="B1461" t="n">
        <v>5</v>
      </c>
    </row>
    <row r="1462">
      <c r="A1462" t="inlineStr">
        <is>
          <t>FOOD INSECURITY</t>
        </is>
      </c>
      <c r="B1462" t="n">
        <v>1</v>
      </c>
    </row>
    <row r="1463">
      <c r="A1463" t="inlineStr">
        <is>
          <t>ADULT OBESITY</t>
        </is>
      </c>
      <c r="B1463" t="n">
        <v>1</v>
      </c>
    </row>
    <row r="1464">
      <c r="A1464" t="inlineStr">
        <is>
          <t>PERSON-ENVIRONMENT FIT</t>
        </is>
      </c>
      <c r="B1464" t="n">
        <v>1</v>
      </c>
    </row>
    <row r="1465">
      <c r="A1465" t="inlineStr">
        <is>
          <t>ADL DEPENDENCE</t>
        </is>
      </c>
      <c r="B1465" t="n">
        <v>1</v>
      </c>
    </row>
    <row r="1466">
      <c r="A1466" t="inlineStr">
        <is>
          <t>VENTILATED CLASSROOMS</t>
        </is>
      </c>
      <c r="B1466" t="n">
        <v>1</v>
      </c>
    </row>
    <row r="1467">
      <c r="A1467" t="inlineStr">
        <is>
          <t>DOMESTIC EXPOSURE</t>
        </is>
      </c>
      <c r="B1467" t="n">
        <v>1</v>
      </c>
    </row>
    <row r="1468">
      <c r="A1468" t="inlineStr">
        <is>
          <t>ALLERGY</t>
        </is>
      </c>
      <c r="B1468" t="n">
        <v>2</v>
      </c>
    </row>
    <row r="1469">
      <c r="A1469" t="inlineStr">
        <is>
          <t>IMPLICIT MEMORY</t>
        </is>
      </c>
      <c r="B1469" t="n">
        <v>1</v>
      </c>
    </row>
    <row r="1470">
      <c r="A1470" t="inlineStr">
        <is>
          <t>STIMULATION</t>
        </is>
      </c>
      <c r="B1470" t="n">
        <v>1</v>
      </c>
    </row>
    <row r="1471">
      <c r="A1471" t="inlineStr">
        <is>
          <t>OCCUPATIONS</t>
        </is>
      </c>
      <c r="B1471" t="n">
        <v>1</v>
      </c>
    </row>
    <row r="1472">
      <c r="A1472" t="inlineStr">
        <is>
          <t>ENGAGEMENT</t>
        </is>
      </c>
      <c r="B1472" t="n">
        <v>8</v>
      </c>
    </row>
    <row r="1473">
      <c r="A1473" t="inlineStr">
        <is>
          <t>FARMS</t>
        </is>
      </c>
      <c r="B1473" t="n">
        <v>1</v>
      </c>
    </row>
    <row r="1474">
      <c r="A1474" t="inlineStr">
        <is>
          <t>BODY</t>
        </is>
      </c>
      <c r="B1474" t="n">
        <v>1</v>
      </c>
    </row>
    <row r="1475">
      <c r="A1475" t="inlineStr">
        <is>
          <t>SIMULATION-BASED OPTIMIZATION</t>
        </is>
      </c>
      <c r="B1475" t="n">
        <v>1</v>
      </c>
    </row>
    <row r="1476">
      <c r="A1476" t="inlineStr">
        <is>
          <t>NATURALLY VENTILATED SCHOOLS</t>
        </is>
      </c>
      <c r="B1476" t="n">
        <v>2</v>
      </c>
    </row>
    <row r="1477">
      <c r="A1477" t="inlineStr">
        <is>
          <t>VISUAL COMFORT ASSESSMENTS</t>
        </is>
      </c>
      <c r="B1477" t="n">
        <v>1</v>
      </c>
    </row>
    <row r="1478">
      <c r="A1478" t="inlineStr">
        <is>
          <t>OCCUPANTS THERMAL COMFORT</t>
        </is>
      </c>
      <c r="B1478" t="n">
        <v>1</v>
      </c>
    </row>
    <row r="1479">
      <c r="A1479" t="inlineStr">
        <is>
          <t>MEAN RADIANT TEMPERATURE</t>
        </is>
      </c>
      <c r="B1479" t="n">
        <v>2</v>
      </c>
    </row>
    <row r="1480">
      <c r="A1480" t="inlineStr">
        <is>
          <t>HUMAN METABOLIC-RATE</t>
        </is>
      </c>
      <c r="B1480" t="n">
        <v>1</v>
      </c>
    </row>
    <row r="1481">
      <c r="A1481" t="inlineStr">
        <is>
          <t>ENTRY</t>
        </is>
      </c>
      <c r="B1481" t="n">
        <v>3</v>
      </c>
    </row>
    <row r="1482">
      <c r="A1482" t="inlineStr">
        <is>
          <t>PERCEIVED BEHAVIORAL-CONTROL</t>
        </is>
      </c>
      <c r="B1482" t="n">
        <v>1</v>
      </c>
    </row>
    <row r="1483">
      <c r="A1483" t="inlineStr">
        <is>
          <t>PLANNED BEHAVIOR</t>
        </is>
      </c>
      <c r="B1483" t="n">
        <v>3</v>
      </c>
    </row>
    <row r="1484">
      <c r="A1484" t="inlineStr">
        <is>
          <t>EXTENDED THEORY</t>
        </is>
      </c>
      <c r="B1484" t="n">
        <v>1</v>
      </c>
    </row>
    <row r="1485">
      <c r="A1485" t="inlineStr">
        <is>
          <t>PERSONAL NORMS</t>
        </is>
      </c>
      <c r="B1485" t="n">
        <v>1</v>
      </c>
    </row>
    <row r="1486">
      <c r="A1486" t="inlineStr">
        <is>
          <t>MENTAL-HEALTH OUTCOMES</t>
        </is>
      </c>
      <c r="B1486" t="n">
        <v>1</v>
      </c>
    </row>
    <row r="1487">
      <c r="A1487" t="inlineStr">
        <is>
          <t>NEUROBIOLOGY</t>
        </is>
      </c>
      <c r="B1487" t="n">
        <v>1</v>
      </c>
    </row>
    <row r="1488">
      <c r="A1488" t="inlineStr">
        <is>
          <t>CENTRAL-NERVOUS-SYSTEM</t>
        </is>
      </c>
      <c r="B1488" t="n">
        <v>1</v>
      </c>
    </row>
    <row r="1489">
      <c r="A1489" t="inlineStr">
        <is>
          <t>AREA</t>
        </is>
      </c>
      <c r="B1489" t="n">
        <v>10</v>
      </c>
    </row>
    <row r="1490">
      <c r="A1490" t="inlineStr">
        <is>
          <t>FABRICATION</t>
        </is>
      </c>
      <c r="B1490" t="n">
        <v>2</v>
      </c>
    </row>
    <row r="1491">
      <c r="A1491" t="inlineStr">
        <is>
          <t>COLLEGE-STUDENTS</t>
        </is>
      </c>
      <c r="B1491" t="n">
        <v>1</v>
      </c>
    </row>
    <row r="1492">
      <c r="A1492" t="inlineStr">
        <is>
          <t>PUPILS</t>
        </is>
      </c>
      <c r="B1492" t="n">
        <v>2</v>
      </c>
    </row>
    <row r="1493">
      <c r="A1493" t="inlineStr">
        <is>
          <t>ORTHOSTATIC HYPOTENSION</t>
        </is>
      </c>
      <c r="B1493" t="n">
        <v>2</v>
      </c>
    </row>
    <row r="1494">
      <c r="A1494" t="inlineStr">
        <is>
          <t>ANTIHYPERTENSIVE MEDICATIONS</t>
        </is>
      </c>
      <c r="B1494" t="n">
        <v>1</v>
      </c>
    </row>
    <row r="1495">
      <c r="A1495" t="inlineStr">
        <is>
          <t>POLYPHARMACY</t>
        </is>
      </c>
      <c r="B1495" t="n">
        <v>4</v>
      </c>
    </row>
    <row r="1496">
      <c r="A1496" t="inlineStr">
        <is>
          <t>DRUGS</t>
        </is>
      </c>
      <c r="B1496" t="n">
        <v>1</v>
      </c>
    </row>
    <row r="1497">
      <c r="A1497" t="inlineStr">
        <is>
          <t>SHELVES</t>
        </is>
      </c>
      <c r="B1497" t="n">
        <v>1</v>
      </c>
    </row>
    <row r="1498">
      <c r="A1498" t="inlineStr">
        <is>
          <t>LIGHTSHELF</t>
        </is>
      </c>
      <c r="B1498" t="n">
        <v>1</v>
      </c>
    </row>
    <row r="1499">
      <c r="A1499" t="inlineStr">
        <is>
          <t>WINDOWS</t>
        </is>
      </c>
      <c r="B1499" t="n">
        <v>1</v>
      </c>
    </row>
    <row r="1500">
      <c r="A1500" t="inlineStr">
        <is>
          <t>DEMAND-CONTROLLED VENTILATION</t>
        </is>
      </c>
      <c r="B1500" t="n">
        <v>1</v>
      </c>
    </row>
    <row r="1501">
      <c r="A1501" t="inlineStr">
        <is>
          <t>ENERGY RECOVERY VENTILATOR</t>
        </is>
      </c>
      <c r="B1501" t="n">
        <v>1</v>
      </c>
    </row>
    <row r="1502">
      <c r="A1502" t="inlineStr">
        <is>
          <t>CO2 MEASUREMENTS</t>
        </is>
      </c>
      <c r="B1502" t="n">
        <v>1</v>
      </c>
    </row>
    <row r="1503">
      <c r="A1503" t="inlineStr">
        <is>
          <t>RESPIRATORY-TRACT INFECTION</t>
        </is>
      </c>
      <c r="B1503" t="n">
        <v>1</v>
      </c>
    </row>
    <row r="1504">
      <c r="A1504" t="inlineStr">
        <is>
          <t>WOOD-BURNING STOVES</t>
        </is>
      </c>
      <c r="B1504" t="n">
        <v>1</v>
      </c>
    </row>
    <row r="1505">
      <c r="A1505" t="inlineStr">
        <is>
          <t>POLYCHLORINATED-BIPHENYLS</t>
        </is>
      </c>
      <c r="B1505" t="n">
        <v>3</v>
      </c>
    </row>
    <row r="1506">
      <c r="A1506" t="inlineStr">
        <is>
          <t>FISH CONSUMPTION</t>
        </is>
      </c>
      <c r="B1506" t="n">
        <v>1</v>
      </c>
    </row>
    <row r="1507">
      <c r="A1507" t="inlineStr">
        <is>
          <t>MOHAWK WOMEN</t>
        </is>
      </c>
      <c r="B1507" t="n">
        <v>1</v>
      </c>
    </row>
    <row r="1508">
      <c r="A1508" t="inlineStr">
        <is>
          <t>PCB CONCENTRATIONS</t>
        </is>
      </c>
      <c r="B1508" t="n">
        <v>1</v>
      </c>
    </row>
    <row r="1509">
      <c r="A1509" t="inlineStr">
        <is>
          <t>INDIAN-CHILDREN</t>
        </is>
      </c>
      <c r="B1509" t="n">
        <v>1</v>
      </c>
    </row>
    <row r="1510">
      <c r="A1510" t="inlineStr">
        <is>
          <t>BIRTH OUTCOMES</t>
        </is>
      </c>
      <c r="B1510" t="n">
        <v>1</v>
      </c>
    </row>
    <row r="1511">
      <c r="A1511" t="inlineStr">
        <is>
          <t>OPEN DUMPSITES</t>
        </is>
      </c>
      <c r="B1511" t="n">
        <v>1</v>
      </c>
    </row>
    <row r="1512">
      <c r="A1512" t="inlineStr">
        <is>
          <t>FARM INJURIES</t>
        </is>
      </c>
      <c r="B1512" t="n">
        <v>1</v>
      </c>
    </row>
    <row r="1513">
      <c r="A1513" t="inlineStr">
        <is>
          <t>DIFFERENCE VEGETATION INDEX</t>
        </is>
      </c>
      <c r="B1513" t="n">
        <v>1</v>
      </c>
    </row>
    <row r="1514">
      <c r="A1514" t="inlineStr">
        <is>
          <t>TRAFFIC NOISE EXPOSURE</t>
        </is>
      </c>
      <c r="B1514" t="n">
        <v>1</v>
      </c>
    </row>
    <row r="1515">
      <c r="A1515" t="inlineStr">
        <is>
          <t>BIRTH-WEIGHT</t>
        </is>
      </c>
      <c r="B1515" t="n">
        <v>1</v>
      </c>
    </row>
    <row r="1516">
      <c r="A1516" t="inlineStr">
        <is>
          <t>FIT INDEXES</t>
        </is>
      </c>
      <c r="B1516" t="n">
        <v>2</v>
      </c>
    </row>
    <row r="1517">
      <c r="A1517" t="inlineStr">
        <is>
          <t>HEALTH DISPARITIES</t>
        </is>
      </c>
      <c r="B1517" t="n">
        <v>2</v>
      </c>
    </row>
    <row r="1518">
      <c r="A1518" t="inlineStr">
        <is>
          <t>ALLOSTATIC LOAD</t>
        </is>
      </c>
      <c r="B1518" t="n">
        <v>1</v>
      </c>
    </row>
    <row r="1519">
      <c r="A1519" t="inlineStr">
        <is>
          <t>SMOKE EXPOSURE</t>
        </is>
      </c>
      <c r="B1519" t="n">
        <v>1</v>
      </c>
    </row>
    <row r="1520">
      <c r="A1520" t="inlineStr">
        <is>
          <t>TERM EXPOSURE</t>
        </is>
      </c>
      <c r="B1520" t="n">
        <v>4</v>
      </c>
    </row>
    <row r="1521">
      <c r="A1521" t="inlineStr">
        <is>
          <t>ANNOYANCE</t>
        </is>
      </c>
      <c r="B1521" t="n">
        <v>5</v>
      </c>
    </row>
    <row r="1522">
      <c r="A1522" t="inlineStr">
        <is>
          <t>STOCK</t>
        </is>
      </c>
      <c r="B1522" t="n">
        <v>2</v>
      </c>
    </row>
    <row r="1523">
      <c r="A1523" t="inlineStr">
        <is>
          <t>OBESOGENIC ENVIRONMENT</t>
        </is>
      </c>
      <c r="B1523" t="n">
        <v>1</v>
      </c>
    </row>
    <row r="1524">
      <c r="A1524" t="inlineStr">
        <is>
          <t>SELENIUM</t>
        </is>
      </c>
      <c r="B1524" t="n">
        <v>2</v>
      </c>
    </row>
    <row r="1525">
      <c r="A1525" t="inlineStr">
        <is>
          <t>VANADIUM</t>
        </is>
      </c>
      <c r="B1525" t="n">
        <v>2</v>
      </c>
    </row>
    <row r="1526">
      <c r="A1526" t="inlineStr">
        <is>
          <t>URINARY</t>
        </is>
      </c>
      <c r="B1526" t="n">
        <v>1</v>
      </c>
    </row>
    <row r="1527">
      <c r="A1527" t="inlineStr">
        <is>
          <t>SELENOPROTEINS</t>
        </is>
      </c>
      <c r="B1527" t="n">
        <v>1</v>
      </c>
    </row>
    <row r="1528">
      <c r="A1528" t="inlineStr">
        <is>
          <t>HEAT-ISLAND</t>
        </is>
      </c>
      <c r="B1528" t="n">
        <v>6</v>
      </c>
    </row>
    <row r="1529">
      <c r="A1529" t="inlineStr">
        <is>
          <t>CHILDRENS EXPOSURE</t>
        </is>
      </c>
      <c r="B1529" t="n">
        <v>3</v>
      </c>
    </row>
    <row r="1530">
      <c r="A1530" t="inlineStr">
        <is>
          <t>2ND-HAND SMOKE</t>
        </is>
      </c>
      <c r="B1530" t="n">
        <v>2</v>
      </c>
    </row>
    <row r="1531">
      <c r="A1531" t="inlineStr">
        <is>
          <t>SECONDHAND SMOKE</t>
        </is>
      </c>
      <c r="B1531" t="n">
        <v>3</v>
      </c>
    </row>
    <row r="1532">
      <c r="A1532" t="inlineStr">
        <is>
          <t>CIRCULAR ECONOMY</t>
        </is>
      </c>
      <c r="B1532" t="n">
        <v>4</v>
      </c>
    </row>
    <row r="1533">
      <c r="A1533" t="inlineStr">
        <is>
          <t>ASTHMATIC SYMPTOMS</t>
        </is>
      </c>
      <c r="B1533" t="n">
        <v>1</v>
      </c>
    </row>
    <row r="1534">
      <c r="A1534" t="inlineStr">
        <is>
          <t>SENSATION</t>
        </is>
      </c>
      <c r="B1534" t="n">
        <v>2</v>
      </c>
    </row>
    <row r="1535">
      <c r="A1535" t="inlineStr">
        <is>
          <t>LAND-USE PLANS</t>
        </is>
      </c>
      <c r="B1535" t="n">
        <v>1</v>
      </c>
    </row>
    <row r="1536">
      <c r="A1536" t="inlineStr">
        <is>
          <t>IMPLEMENTATION</t>
        </is>
      </c>
      <c r="B1536" t="n">
        <v>2</v>
      </c>
    </row>
    <row r="1537">
      <c r="A1537" t="inlineStr">
        <is>
          <t>HEALTH INEQUALITIES</t>
        </is>
      </c>
      <c r="B1537" t="n">
        <v>1</v>
      </c>
    </row>
    <row r="1538">
      <c r="A1538" t="inlineStr">
        <is>
          <t>DOUBLE-SKIN FACADES</t>
        </is>
      </c>
      <c r="B1538" t="n">
        <v>2</v>
      </c>
    </row>
    <row r="1539">
      <c r="A1539" t="inlineStr">
        <is>
          <t>THERMAL-BEHAVIOR</t>
        </is>
      </c>
      <c r="B1539" t="n">
        <v>1</v>
      </c>
    </row>
    <row r="1540">
      <c r="A1540" t="inlineStr">
        <is>
          <t>ROOFS</t>
        </is>
      </c>
      <c r="B1540" t="n">
        <v>3</v>
      </c>
    </row>
    <row r="1541">
      <c r="A1541" t="inlineStr">
        <is>
          <t>REPORT CARD</t>
        </is>
      </c>
      <c r="B1541" t="n">
        <v>4</v>
      </c>
    </row>
    <row r="1542">
      <c r="A1542" t="inlineStr">
        <is>
          <t>AIRBORNE BACTERIA</t>
        </is>
      </c>
      <c r="B1542" t="n">
        <v>3</v>
      </c>
    </row>
    <row r="1543">
      <c r="A1543" t="inlineStr">
        <is>
          <t>AEROSOLS</t>
        </is>
      </c>
      <c r="B1543" t="n">
        <v>4</v>
      </c>
    </row>
    <row r="1544">
      <c r="A1544" t="inlineStr">
        <is>
          <t>CONSTRUCTION-INDUSTRY</t>
        </is>
      </c>
      <c r="B1544" t="n">
        <v>1</v>
      </c>
    </row>
    <row r="1545">
      <c r="A1545" t="inlineStr">
        <is>
          <t>BIG-DATA</t>
        </is>
      </c>
      <c r="B1545" t="n">
        <v>1</v>
      </c>
    </row>
    <row r="1546">
      <c r="A1546" t="inlineStr">
        <is>
          <t>SUSTAINABLE CONSTRUCTION</t>
        </is>
      </c>
      <c r="B1546" t="n">
        <v>1</v>
      </c>
    </row>
    <row r="1547">
      <c r="A1547" t="inlineStr">
        <is>
          <t>BUILDING COMPONENTS</t>
        </is>
      </c>
      <c r="B1547" t="n">
        <v>1</v>
      </c>
    </row>
    <row r="1548">
      <c r="A1548" t="inlineStr">
        <is>
          <t>ECONOMY</t>
        </is>
      </c>
      <c r="B1548" t="n">
        <v>7</v>
      </c>
    </row>
    <row r="1549">
      <c r="A1549" t="inlineStr">
        <is>
          <t>FUTURE</t>
        </is>
      </c>
      <c r="B1549" t="n">
        <v>3</v>
      </c>
    </row>
    <row r="1550">
      <c r="A1550" t="inlineStr">
        <is>
          <t>MAINTENANCE</t>
        </is>
      </c>
      <c r="B1550" t="n">
        <v>3</v>
      </c>
    </row>
    <row r="1551">
      <c r="A1551" t="inlineStr">
        <is>
          <t>DRONES</t>
        </is>
      </c>
      <c r="B1551" t="n">
        <v>1</v>
      </c>
    </row>
    <row r="1552">
      <c r="A1552" t="inlineStr">
        <is>
          <t>SEARCH</t>
        </is>
      </c>
      <c r="B1552" t="n">
        <v>1</v>
      </c>
    </row>
    <row r="1553">
      <c r="A1553" t="inlineStr">
        <is>
          <t>RESCUE</t>
        </is>
      </c>
      <c r="B1553" t="n">
        <v>1</v>
      </c>
    </row>
    <row r="1554">
      <c r="A1554" t="inlineStr">
        <is>
          <t>GREEN-SPACE</t>
        </is>
      </c>
      <c r="B1554" t="n">
        <v>2</v>
      </c>
    </row>
    <row r="1555">
      <c r="A1555" t="inlineStr">
        <is>
          <t>CRIME-PREVENTION</t>
        </is>
      </c>
      <c r="B1555" t="n">
        <v>2</v>
      </c>
    </row>
    <row r="1556">
      <c r="A1556" t="inlineStr">
        <is>
          <t>ENVIRONMENTAL ATTRIBUTES</t>
        </is>
      </c>
      <c r="B1556" t="n">
        <v>2</v>
      </c>
    </row>
    <row r="1557">
      <c r="A1557" t="inlineStr">
        <is>
          <t>ECOSYSTEM SERVICES</t>
        </is>
      </c>
      <c r="B1557" t="n">
        <v>9</v>
      </c>
    </row>
    <row r="1558">
      <c r="A1558" t="inlineStr">
        <is>
          <t>LIVING ENVIRONMENT</t>
        </is>
      </c>
      <c r="B1558" t="n">
        <v>4</v>
      </c>
    </row>
    <row r="1559">
      <c r="A1559" t="inlineStr">
        <is>
          <t>PERSONAL SAFETY</t>
        </is>
      </c>
      <c r="B1559" t="n">
        <v>1</v>
      </c>
    </row>
    <row r="1560">
      <c r="A1560" t="inlineStr">
        <is>
          <t>VIDEO GAMES</t>
        </is>
      </c>
      <c r="B1560" t="n">
        <v>1</v>
      </c>
    </row>
    <row r="1561">
      <c r="A1561" t="inlineStr">
        <is>
          <t>TOURISM</t>
        </is>
      </c>
      <c r="B1561" t="n">
        <v>2</v>
      </c>
    </row>
    <row r="1562">
      <c r="A1562" t="inlineStr">
        <is>
          <t>REALITY</t>
        </is>
      </c>
      <c r="B1562" t="n">
        <v>3</v>
      </c>
    </row>
    <row r="1563">
      <c r="A1563" t="inlineStr">
        <is>
          <t>INCLUSIVENESS</t>
        </is>
      </c>
      <c r="B1563" t="n">
        <v>1</v>
      </c>
    </row>
    <row r="1564">
      <c r="A1564" t="inlineStr">
        <is>
          <t>PERSONAL FACTORS</t>
        </is>
      </c>
      <c r="B1564" t="n">
        <v>1</v>
      </c>
    </row>
    <row r="1565">
      <c r="A1565" t="inlineStr">
        <is>
          <t>ORGANOPHOSPHORUS FLAME RETARDANTS</t>
        </is>
      </c>
      <c r="B1565" t="n">
        <v>2</v>
      </c>
    </row>
    <row r="1566">
      <c r="A1566" t="inlineStr">
        <is>
          <t>EMERGING CONTAMINANTS</t>
        </is>
      </c>
      <c r="B1566" t="n">
        <v>1</v>
      </c>
    </row>
    <row r="1567">
      <c r="A1567" t="inlineStr">
        <is>
          <t>MASS-SPECTROMETRY</t>
        </is>
      </c>
      <c r="B1567" t="n">
        <v>2</v>
      </c>
    </row>
    <row r="1568">
      <c r="A1568" t="inlineStr">
        <is>
          <t>FLOORING SYSTEMS</t>
        </is>
      </c>
      <c r="B1568" t="n">
        <v>2</v>
      </c>
    </row>
    <row r="1569">
      <c r="A1569" t="inlineStr">
        <is>
          <t>DIFFUSION</t>
        </is>
      </c>
      <c r="B1569" t="n">
        <v>6</v>
      </c>
    </row>
    <row r="1570">
      <c r="A1570" t="inlineStr">
        <is>
          <t>MOISTURE</t>
        </is>
      </c>
      <c r="B1570" t="n">
        <v>3</v>
      </c>
    </row>
    <row r="1571">
      <c r="A1571" t="inlineStr">
        <is>
          <t>DRINKING-WATER</t>
        </is>
      </c>
      <c r="B1571" t="n">
        <v>5</v>
      </c>
    </row>
    <row r="1572">
      <c r="A1572" t="inlineStr">
        <is>
          <t>DISTRIBUTION-SYSTEMS</t>
        </is>
      </c>
      <c r="B1572" t="n">
        <v>1</v>
      </c>
    </row>
    <row r="1573">
      <c r="A1573" t="inlineStr">
        <is>
          <t>SHAANXI PROVINCE</t>
        </is>
      </c>
      <c r="B1573" t="n">
        <v>1</v>
      </c>
    </row>
    <row r="1574">
      <c r="A1574" t="inlineStr">
        <is>
          <t>NORTHWEST CHINA</t>
        </is>
      </c>
      <c r="B1574" t="n">
        <v>1</v>
      </c>
    </row>
    <row r="1575">
      <c r="A1575" t="inlineStr">
        <is>
          <t>STAINLESS-STEEL</t>
        </is>
      </c>
      <c r="B1575" t="n">
        <v>1</v>
      </c>
    </row>
    <row r="1576">
      <c r="A1576" t="inlineStr">
        <is>
          <t>HOUSEHOLD TAPS</t>
        </is>
      </c>
      <c r="B1576" t="n">
        <v>1</v>
      </c>
    </row>
    <row r="1577">
      <c r="A1577" t="inlineStr">
        <is>
          <t>RESERVOIR</t>
        </is>
      </c>
      <c r="B1577" t="n">
        <v>1</v>
      </c>
    </row>
    <row r="1578">
      <c r="A1578" t="inlineStr">
        <is>
          <t>KERNEL DENSITY-ESTIMATION</t>
        </is>
      </c>
      <c r="B1578" t="n">
        <v>1</v>
      </c>
    </row>
    <row r="1579">
      <c r="A1579" t="inlineStr">
        <is>
          <t>VEHICLE</t>
        </is>
      </c>
      <c r="B1579" t="n">
        <v>1</v>
      </c>
    </row>
    <row r="1580">
      <c r="A1580" t="inlineStr">
        <is>
          <t>RADON CONCENTRATIONS</t>
        </is>
      </c>
      <c r="B1580" t="n">
        <v>1</v>
      </c>
    </row>
    <row r="1581">
      <c r="A1581" t="inlineStr">
        <is>
          <t>FLAME RETARDANTS</t>
        </is>
      </c>
      <c r="B1581" t="n">
        <v>5</v>
      </c>
    </row>
    <row r="1582">
      <c r="A1582" t="inlineStr">
        <is>
          <t>QUALITY CONDITIONS</t>
        </is>
      </c>
      <c r="B1582" t="n">
        <v>1</v>
      </c>
    </row>
    <row r="1583">
      <c r="A1583" t="inlineStr">
        <is>
          <t>SUSPENDED DUST</t>
        </is>
      </c>
      <c r="B1583" t="n">
        <v>1</v>
      </c>
    </row>
    <row r="1584">
      <c r="A1584" t="inlineStr">
        <is>
          <t>AIR CHANGE EFFECTIVENESS</t>
        </is>
      </c>
      <c r="B1584" t="n">
        <v>1</v>
      </c>
    </row>
    <row r="1585">
      <c r="A1585" t="inlineStr">
        <is>
          <t>DISPLACEMENT VENTILATION</t>
        </is>
      </c>
      <c r="B1585" t="n">
        <v>3</v>
      </c>
    </row>
    <row r="1586">
      <c r="A1586" t="inlineStr">
        <is>
          <t>DISINFECTION SYSTEMS</t>
        </is>
      </c>
      <c r="B1586" t="n">
        <v>1</v>
      </c>
    </row>
    <row r="1587">
      <c r="A1587" t="inlineStr">
        <is>
          <t>AIRBORNE INFECTION</t>
        </is>
      </c>
      <c r="B1587" t="n">
        <v>1</v>
      </c>
    </row>
    <row r="1588">
      <c r="A1588" t="inlineStr">
        <is>
          <t>CAPACITY</t>
        </is>
      </c>
      <c r="B1588" t="n">
        <v>3</v>
      </c>
    </row>
    <row r="1589">
      <c r="A1589" t="inlineStr">
        <is>
          <t>VISION SYNDROME</t>
        </is>
      </c>
      <c r="B1589" t="n">
        <v>1</v>
      </c>
    </row>
    <row r="1590">
      <c r="A1590" t="inlineStr">
        <is>
          <t>LITERATURE SEARCHES</t>
        </is>
      </c>
      <c r="B1590" t="n">
        <v>1</v>
      </c>
    </row>
    <row r="1591">
      <c r="A1591" t="inlineStr">
        <is>
          <t>KNOWLEDGE</t>
        </is>
      </c>
      <c r="B1591" t="n">
        <v>10</v>
      </c>
    </row>
    <row r="1592">
      <c r="A1592" t="inlineStr">
        <is>
          <t>CONDUCT</t>
        </is>
      </c>
      <c r="B1592" t="n">
        <v>1</v>
      </c>
    </row>
    <row r="1593">
      <c r="A1593" t="inlineStr">
        <is>
          <t>GERIATRIC DEPRESSION SCALE</t>
        </is>
      </c>
      <c r="B1593" t="n">
        <v>3</v>
      </c>
    </row>
    <row r="1594">
      <c r="A1594" t="inlineStr">
        <is>
          <t>PROGNOSIS</t>
        </is>
      </c>
      <c r="B1594" t="n">
        <v>1</v>
      </c>
    </row>
    <row r="1595">
      <c r="A1595" t="inlineStr">
        <is>
          <t>AID</t>
        </is>
      </c>
      <c r="B1595" t="n">
        <v>1</v>
      </c>
    </row>
    <row r="1596">
      <c r="A1596" t="inlineStr">
        <is>
          <t>KURDISTAN</t>
        </is>
      </c>
      <c r="B1596" t="n">
        <v>1</v>
      </c>
    </row>
    <row r="1597">
      <c r="A1597" t="inlineStr">
        <is>
          <t>CAMPS</t>
        </is>
      </c>
      <c r="B1597" t="n">
        <v>1</v>
      </c>
    </row>
    <row r="1598">
      <c r="A1598" t="inlineStr">
        <is>
          <t>MASS-TRANSFER COEFFICIENTS</t>
        </is>
      </c>
      <c r="B1598" t="n">
        <v>1</v>
      </c>
    </row>
    <row r="1599">
      <c r="A1599" t="inlineStr">
        <is>
          <t>BIOTRICKLING FILTERS</t>
        </is>
      </c>
      <c r="B1599" t="n">
        <v>1</v>
      </c>
    </row>
    <row r="1600">
      <c r="A1600" t="inlineStr">
        <is>
          <t>MEMBRANE BIOREACTOR</t>
        </is>
      </c>
      <c r="B1600" t="n">
        <v>2</v>
      </c>
    </row>
    <row r="1601">
      <c r="A1601" t="inlineStr">
        <is>
          <t>METHANE ABATEMENT</t>
        </is>
      </c>
      <c r="B1601" t="n">
        <v>1</v>
      </c>
    </row>
    <row r="1602">
      <c r="A1602" t="inlineStr">
        <is>
          <t>POLLUTION CONTROL</t>
        </is>
      </c>
      <c r="B1602" t="n">
        <v>2</v>
      </c>
    </row>
    <row r="1603">
      <c r="A1603" t="inlineStr">
        <is>
          <t>BIOFILTRATION</t>
        </is>
      </c>
      <c r="B1603" t="n">
        <v>3</v>
      </c>
    </row>
    <row r="1604">
      <c r="A1604" t="inlineStr">
        <is>
          <t>LAVENDER OIL</t>
        </is>
      </c>
      <c r="B1604" t="n">
        <v>1</v>
      </c>
    </row>
    <row r="1605">
      <c r="A1605" t="inlineStr">
        <is>
          <t>ANTIFUNGAL ACTIVITY</t>
        </is>
      </c>
      <c r="B1605" t="n">
        <v>1</v>
      </c>
    </row>
    <row r="1606">
      <c r="A1606" t="inlineStr">
        <is>
          <t>ALPHA-PINENE</t>
        </is>
      </c>
      <c r="B1606" t="n">
        <v>3</v>
      </c>
    </row>
    <row r="1607">
      <c r="A1607" t="inlineStr">
        <is>
          <t>BETA-PINENE</t>
        </is>
      </c>
      <c r="B1607" t="n">
        <v>1</v>
      </c>
    </row>
    <row r="1608">
      <c r="A1608" t="inlineStr">
        <is>
          <t>AROMATHERAPY</t>
        </is>
      </c>
      <c r="B1608" t="n">
        <v>1</v>
      </c>
    </row>
    <row r="1609">
      <c r="A1609" t="inlineStr">
        <is>
          <t>PERCEIVED USEFULNESS</t>
        </is>
      </c>
      <c r="B1609" t="n">
        <v>1</v>
      </c>
    </row>
    <row r="1610">
      <c r="A1610" t="inlineStr">
        <is>
          <t>COVID-19</t>
        </is>
      </c>
      <c r="B1610" t="n">
        <v>7</v>
      </c>
    </row>
    <row r="1611">
      <c r="A1611" t="inlineStr">
        <is>
          <t>INDOOR/OUTDOOR RELATIONSHIPS</t>
        </is>
      </c>
      <c r="B1611" t="n">
        <v>6</v>
      </c>
    </row>
    <row r="1612">
      <c r="A1612" t="inlineStr">
        <is>
          <t>NUMERICAL INVESTIGATIONS</t>
        </is>
      </c>
      <c r="B1612" t="n">
        <v>1</v>
      </c>
    </row>
    <row r="1613">
      <c r="A1613" t="inlineStr">
        <is>
          <t>OPENINGS</t>
        </is>
      </c>
      <c r="B1613" t="n">
        <v>1</v>
      </c>
    </row>
    <row r="1614">
      <c r="A1614" t="inlineStr">
        <is>
          <t>DRIVEN</t>
        </is>
      </c>
      <c r="B1614" t="n">
        <v>2</v>
      </c>
    </row>
    <row r="1615">
      <c r="A1615" t="inlineStr">
        <is>
          <t>CFD ANALYSIS</t>
        </is>
      </c>
      <c r="B1615" t="n">
        <v>3</v>
      </c>
    </row>
    <row r="1616">
      <c r="A1616" t="inlineStr">
        <is>
          <t>INFORMATION-TECHNOLOGY</t>
        </is>
      </c>
      <c r="B1616" t="n">
        <v>10</v>
      </c>
    </row>
    <row r="1617">
      <c r="A1617" t="inlineStr">
        <is>
          <t>ADOPTION</t>
        </is>
      </c>
      <c r="B1617" t="n">
        <v>5</v>
      </c>
    </row>
    <row r="1618">
      <c r="A1618" t="inlineStr">
        <is>
          <t>INNOVATION</t>
        </is>
      </c>
      <c r="B1618" t="n">
        <v>7</v>
      </c>
    </row>
    <row r="1619">
      <c r="A1619" t="inlineStr">
        <is>
          <t>YOUNGER</t>
        </is>
      </c>
      <c r="B1619" t="n">
        <v>2</v>
      </c>
    </row>
    <row r="1620">
      <c r="A1620" t="inlineStr">
        <is>
          <t>MARKERS</t>
        </is>
      </c>
      <c r="B1620" t="n">
        <v>2</v>
      </c>
    </row>
    <row r="1621">
      <c r="A1621" t="inlineStr">
        <is>
          <t>HUMAN DOSE-EXCRETION</t>
        </is>
      </c>
      <c r="B1621" t="n">
        <v>1</v>
      </c>
    </row>
    <row r="1622">
      <c r="A1622" t="inlineStr">
        <is>
          <t>INSECTICIDE</t>
        </is>
      </c>
      <c r="B1622" t="n">
        <v>1</v>
      </c>
    </row>
    <row r="1623">
      <c r="A1623" t="inlineStr">
        <is>
          <t>METABOLITES</t>
        </is>
      </c>
      <c r="B1623" t="n">
        <v>1</v>
      </c>
    </row>
    <row r="1624">
      <c r="A1624" t="inlineStr">
        <is>
          <t>CYPERMETHRIN</t>
        </is>
      </c>
      <c r="B1624" t="n">
        <v>1</v>
      </c>
    </row>
    <row r="1625">
      <c r="A1625" t="inlineStr">
        <is>
          <t>OF-SPORTS-MEDICINE</t>
        </is>
      </c>
      <c r="B1625" t="n">
        <v>1</v>
      </c>
    </row>
    <row r="1626">
      <c r="A1626" t="inlineStr">
        <is>
          <t>SEASONAL-VARIATION</t>
        </is>
      </c>
      <c r="B1626" t="n">
        <v>4</v>
      </c>
    </row>
    <row r="1627">
      <c r="A1627" t="inlineStr">
        <is>
          <t>CONTINUOUS EXERCISE</t>
        </is>
      </c>
      <c r="B1627" t="n">
        <v>1</v>
      </c>
    </row>
    <row r="1628">
      <c r="A1628" t="inlineStr">
        <is>
          <t>ENERGY EXPENDITURE</t>
        </is>
      </c>
      <c r="B1628" t="n">
        <v>1</v>
      </c>
    </row>
    <row r="1629">
      <c r="A1629" t="inlineStr">
        <is>
          <t>STEP COUNTS</t>
        </is>
      </c>
      <c r="B1629" t="n">
        <v>1</v>
      </c>
    </row>
    <row r="1630">
      <c r="A1630" t="inlineStr">
        <is>
          <t>RECOMMENDATION</t>
        </is>
      </c>
      <c r="B1630" t="n">
        <v>2</v>
      </c>
    </row>
    <row r="1631">
      <c r="A1631" t="inlineStr">
        <is>
          <t>VIRTUAL ENVIRONMENT</t>
        </is>
      </c>
      <c r="B1631" t="n">
        <v>1</v>
      </c>
    </row>
    <row r="1632">
      <c r="A1632" t="inlineStr">
        <is>
          <t>SKETCH MAPS</t>
        </is>
      </c>
      <c r="B1632" t="n">
        <v>1</v>
      </c>
    </row>
    <row r="1633">
      <c r="A1633" t="inlineStr">
        <is>
          <t>NITROGEN-DIOXIDE EXPOSURES</t>
        </is>
      </c>
      <c r="B1633" t="n">
        <v>1</v>
      </c>
    </row>
    <row r="1634">
      <c r="A1634" t="inlineStr">
        <is>
          <t>ICE SKATING RINKS</t>
        </is>
      </c>
      <c r="B1634" t="n">
        <v>1</v>
      </c>
    </row>
    <row r="1635">
      <c r="A1635" t="inlineStr">
        <is>
          <t>AGING IN-PLACE</t>
        </is>
      </c>
      <c r="B1635" t="n">
        <v>4</v>
      </c>
    </row>
    <row r="1636">
      <c r="A1636" t="inlineStr">
        <is>
          <t>BAYESIAN NETWORKS</t>
        </is>
      </c>
      <c r="B1636" t="n">
        <v>1</v>
      </c>
    </row>
    <row r="1637">
      <c r="A1637" t="inlineStr">
        <is>
          <t>FINE PARTICULATE</t>
        </is>
      </c>
      <c r="B1637" t="n">
        <v>2</v>
      </c>
    </row>
    <row r="1638">
      <c r="A1638" t="inlineStr">
        <is>
          <t>TRACE-ELEMENTS</t>
        </is>
      </c>
      <c r="B1638" t="n">
        <v>3</v>
      </c>
    </row>
    <row r="1639">
      <c r="A1639" t="inlineStr">
        <is>
          <t>ATMOSPHERIC AEROSOLS</t>
        </is>
      </c>
      <c r="B1639" t="n">
        <v>1</v>
      </c>
    </row>
    <row r="1640">
      <c r="A1640" t="inlineStr">
        <is>
          <t>INDIA</t>
        </is>
      </c>
      <c r="B1640" t="n">
        <v>2</v>
      </c>
    </row>
    <row r="1641">
      <c r="A1641" t="inlineStr">
        <is>
          <t>EMISSION INVENTORIES</t>
        </is>
      </c>
      <c r="B1641" t="n">
        <v>1</v>
      </c>
    </row>
    <row r="1642">
      <c r="A1642" t="inlineStr">
        <is>
          <t>SPATIAL-DISTRIBUTION</t>
        </is>
      </c>
      <c r="B1642" t="n">
        <v>3</v>
      </c>
    </row>
    <row r="1643">
      <c r="A1643" t="inlineStr">
        <is>
          <t>CARBONYLS</t>
        </is>
      </c>
      <c r="B1643" t="n">
        <v>1</v>
      </c>
    </row>
    <row r="1644">
      <c r="A1644" t="inlineStr">
        <is>
          <t>INDOOR ENVIRONMENT QUALITY</t>
        </is>
      </c>
      <c r="B1644" t="n">
        <v>1</v>
      </c>
    </row>
    <row r="1645">
      <c r="A1645" t="inlineStr">
        <is>
          <t>LEED-CERTIFIED BUILDINGS</t>
        </is>
      </c>
      <c r="B1645" t="n">
        <v>1</v>
      </c>
    </row>
    <row r="1646">
      <c r="A1646" t="inlineStr">
        <is>
          <t>THERMAL ENVIRONMENT</t>
        </is>
      </c>
      <c r="B1646" t="n">
        <v>3</v>
      </c>
    </row>
    <row r="1647">
      <c r="A1647" t="inlineStr">
        <is>
          <t>AIRBORNE SOUND</t>
        </is>
      </c>
      <c r="B1647" t="n">
        <v>1</v>
      </c>
    </row>
    <row r="1648">
      <c r="A1648" t="inlineStr">
        <is>
          <t>SINGLE</t>
        </is>
      </c>
      <c r="B1648" t="n">
        <v>3</v>
      </c>
    </row>
    <row r="1649">
      <c r="A1649" t="inlineStr">
        <is>
          <t>OZONE-INITIATED REACTIONS</t>
        </is>
      </c>
      <c r="B1649" t="n">
        <v>1</v>
      </c>
    </row>
    <row r="1650">
      <c r="A1650" t="inlineStr">
        <is>
          <t>AEROSOL FORMATION</t>
        </is>
      </c>
      <c r="B1650" t="n">
        <v>1</v>
      </c>
    </row>
    <row r="1651">
      <c r="A1651" t="inlineStr">
        <is>
          <t>VENTILATION CONDITIONS</t>
        </is>
      </c>
      <c r="B1651" t="n">
        <v>1</v>
      </c>
    </row>
    <row r="1652">
      <c r="A1652" t="inlineStr">
        <is>
          <t>ADJOINING SPACES</t>
        </is>
      </c>
      <c r="B1652" t="n">
        <v>1</v>
      </c>
    </row>
    <row r="1653">
      <c r="A1653" t="inlineStr">
        <is>
          <t>EXPOSURES</t>
        </is>
      </c>
      <c r="B1653" t="n">
        <v>5</v>
      </c>
    </row>
    <row r="1654">
      <c r="A1654" t="inlineStr">
        <is>
          <t>VENTILATION FLOW</t>
        </is>
      </c>
      <c r="B1654" t="n">
        <v>1</v>
      </c>
    </row>
    <row r="1655">
      <c r="A1655" t="inlineStr">
        <is>
          <t>SBS SYMPTOMS</t>
        </is>
      </c>
      <c r="B1655" t="n">
        <v>4</v>
      </c>
    </row>
    <row r="1656">
      <c r="A1656" t="inlineStr">
        <is>
          <t>HUMIDIFICATION</t>
        </is>
      </c>
      <c r="B1656" t="n">
        <v>1</v>
      </c>
    </row>
    <row r="1657">
      <c r="A1657" t="inlineStr">
        <is>
          <t>SP NOV.</t>
        </is>
      </c>
      <c r="B1657" t="n">
        <v>2</v>
      </c>
    </row>
    <row r="1658">
      <c r="A1658" t="inlineStr">
        <is>
          <t>SP. NOV.</t>
        </is>
      </c>
      <c r="B1658" t="n">
        <v>1</v>
      </c>
    </row>
    <row r="1659">
      <c r="A1659" t="inlineStr">
        <is>
          <t>ACTINOMYCETE</t>
        </is>
      </c>
      <c r="B1659" t="n">
        <v>1</v>
      </c>
    </row>
    <row r="1660">
      <c r="A1660" t="inlineStr">
        <is>
          <t>DADA2</t>
        </is>
      </c>
      <c r="B1660" t="n">
        <v>1</v>
      </c>
    </row>
    <row r="1661">
      <c r="A1661" t="inlineStr">
        <is>
          <t>ACIDS</t>
        </is>
      </c>
      <c r="B1661" t="n">
        <v>1</v>
      </c>
    </row>
    <row r="1662">
      <c r="A1662" t="inlineStr">
        <is>
          <t>FOREST ENVIRONMENTS</t>
        </is>
      </c>
      <c r="B1662" t="n">
        <v>1</v>
      </c>
    </row>
    <row r="1663">
      <c r="A1663" t="inlineStr">
        <is>
          <t>EXPERIENCE</t>
        </is>
      </c>
      <c r="B1663" t="n">
        <v>11</v>
      </c>
    </row>
    <row r="1664">
      <c r="A1664" t="inlineStr">
        <is>
          <t>EEG</t>
        </is>
      </c>
      <c r="B1664" t="n">
        <v>1</v>
      </c>
    </row>
    <row r="1665">
      <c r="A1665" t="inlineStr">
        <is>
          <t>VIRTUAL GEOGRAPHIC ENVIRONMENT</t>
        </is>
      </c>
      <c r="B1665" t="n">
        <v>1</v>
      </c>
    </row>
    <row r="1666">
      <c r="A1666" t="inlineStr">
        <is>
          <t>INTEGRATION</t>
        </is>
      </c>
      <c r="B1666" t="n">
        <v>4</v>
      </c>
    </row>
    <row r="1667">
      <c r="A1667" t="inlineStr">
        <is>
          <t>MOTION</t>
        </is>
      </c>
      <c r="B1667" t="n">
        <v>3</v>
      </c>
    </row>
    <row r="1668">
      <c r="A1668" t="inlineStr">
        <is>
          <t>GIS</t>
        </is>
      </c>
      <c r="B1668" t="n">
        <v>3</v>
      </c>
    </row>
    <row r="1669">
      <c r="A1669" t="inlineStr">
        <is>
          <t>BIOAEROSOLS</t>
        </is>
      </c>
      <c r="B1669" t="n">
        <v>4</v>
      </c>
    </row>
    <row r="1670">
      <c r="A1670" t="inlineStr">
        <is>
          <t>REMEDIATION</t>
        </is>
      </c>
      <c r="B1670" t="n">
        <v>1</v>
      </c>
    </row>
    <row r="1671">
      <c r="A1671" t="inlineStr">
        <is>
          <t>LOCATION CHOICE</t>
        </is>
      </c>
      <c r="B1671" t="n">
        <v>2</v>
      </c>
    </row>
    <row r="1672">
      <c r="A1672" t="inlineStr">
        <is>
          <t>SPATIAL DIFFERENTIATION</t>
        </is>
      </c>
      <c r="B1672" t="n">
        <v>1</v>
      </c>
    </row>
    <row r="1673">
      <c r="A1673" t="inlineStr">
        <is>
          <t>MOVE</t>
        </is>
      </c>
      <c r="B1673" t="n">
        <v>2</v>
      </c>
    </row>
    <row r="1674">
      <c r="A1674" t="inlineStr">
        <is>
          <t>REASONS</t>
        </is>
      </c>
      <c r="B1674" t="n">
        <v>1</v>
      </c>
    </row>
    <row r="1675">
      <c r="A1675" t="inlineStr">
        <is>
          <t>WIND-TUNNEL</t>
        </is>
      </c>
      <c r="B1675" t="n">
        <v>2</v>
      </c>
    </row>
    <row r="1676">
      <c r="A1676" t="inlineStr">
        <is>
          <t>INTAKE FRACTION</t>
        </is>
      </c>
      <c r="B1676" t="n">
        <v>1</v>
      </c>
    </row>
    <row r="1677">
      <c r="A1677" t="inlineStr">
        <is>
          <t>PART I</t>
        </is>
      </c>
      <c r="B1677" t="n">
        <v>2</v>
      </c>
    </row>
    <row r="1678">
      <c r="A1678" t="inlineStr">
        <is>
          <t>BUOYANT FLOWS</t>
        </is>
      </c>
      <c r="B1678" t="n">
        <v>1</v>
      </c>
    </row>
    <row r="1679">
      <c r="A1679" t="inlineStr">
        <is>
          <t>POPULATION EXPOSURE</t>
        </is>
      </c>
      <c r="B1679" t="n">
        <v>2</v>
      </c>
    </row>
    <row r="1680">
      <c r="A1680" t="inlineStr">
        <is>
          <t>SUSTAINABILITY ASSESSMENTS</t>
        </is>
      </c>
      <c r="B1680" t="n">
        <v>1</v>
      </c>
    </row>
    <row r="1681">
      <c r="A1681" t="inlineStr">
        <is>
          <t>ENERGY POVERTY</t>
        </is>
      </c>
      <c r="B1681" t="n">
        <v>1</v>
      </c>
    </row>
    <row r="1682">
      <c r="A1682" t="inlineStr">
        <is>
          <t>PRINCIPLES</t>
        </is>
      </c>
      <c r="B1682" t="n">
        <v>1</v>
      </c>
    </row>
    <row r="1683">
      <c r="A1683" t="inlineStr">
        <is>
          <t>TYPOLOGY</t>
        </is>
      </c>
      <c r="B1683" t="n">
        <v>1</v>
      </c>
    </row>
    <row r="1684">
      <c r="A1684" t="inlineStr">
        <is>
          <t>NATURAL RADIOACTIVITY LEVELS</t>
        </is>
      </c>
      <c r="B1684" t="n">
        <v>1</v>
      </c>
    </row>
    <row r="1685">
      <c r="A1685" t="inlineStr">
        <is>
          <t>DOSE-RATE</t>
        </is>
      </c>
      <c r="B1685" t="n">
        <v>2</v>
      </c>
    </row>
    <row r="1686">
      <c r="A1686" t="inlineStr">
        <is>
          <t>RADON EXHALATION</t>
        </is>
      </c>
      <c r="B1686" t="n">
        <v>1</v>
      </c>
    </row>
    <row r="1687">
      <c r="A1687" t="inlineStr">
        <is>
          <t>ORNAMENTAL STONES</t>
        </is>
      </c>
      <c r="B1687" t="n">
        <v>1</v>
      </c>
    </row>
    <row r="1688">
      <c r="A1688" t="inlineStr">
        <is>
          <t>RADIONUCLIDES</t>
        </is>
      </c>
      <c r="B1688" t="n">
        <v>1</v>
      </c>
    </row>
    <row r="1689">
      <c r="A1689" t="inlineStr">
        <is>
          <t>GRANITES</t>
        </is>
      </c>
      <c r="B1689" t="n">
        <v>1</v>
      </c>
    </row>
    <row r="1690">
      <c r="A1690" t="inlineStr">
        <is>
          <t>VERTICAL GREENERY SYSTEMS</t>
        </is>
      </c>
      <c r="B1690" t="n">
        <v>1</v>
      </c>
    </row>
    <row r="1691">
      <c r="A1691" t="inlineStr">
        <is>
          <t>ASIAN SUMMER</t>
        </is>
      </c>
      <c r="B1691" t="n">
        <v>1</v>
      </c>
    </row>
    <row r="1692">
      <c r="A1692" t="inlineStr">
        <is>
          <t>NOISE</t>
        </is>
      </c>
      <c r="B1692" t="n">
        <v>6</v>
      </c>
    </row>
    <row r="1693">
      <c r="A1693" t="inlineStr">
        <is>
          <t>PHYTOREMEDIATION</t>
        </is>
      </c>
      <c r="B1693" t="n">
        <v>1</v>
      </c>
    </row>
    <row r="1694">
      <c r="A1694" t="inlineStr">
        <is>
          <t>SIZE CHARACTERIZATION</t>
        </is>
      </c>
      <c r="B1694" t="n">
        <v>2</v>
      </c>
    </row>
    <row r="1695">
      <c r="A1695" t="inlineStr">
        <is>
          <t>TERPENE OZONOLYSIS</t>
        </is>
      </c>
      <c r="B1695" t="n">
        <v>1</v>
      </c>
    </row>
    <row r="1696">
      <c r="A1696" t="inlineStr">
        <is>
          <t>RATE CONSTANTS</t>
        </is>
      </c>
      <c r="B1696" t="n">
        <v>2</v>
      </c>
    </row>
    <row r="1697">
      <c r="A1697" t="inlineStr">
        <is>
          <t>PARTICLE MASS</t>
        </is>
      </c>
      <c r="B1697" t="n">
        <v>1</v>
      </c>
    </row>
    <row r="1698">
      <c r="A1698" t="inlineStr">
        <is>
          <t>OXIDATION</t>
        </is>
      </c>
      <c r="B1698" t="n">
        <v>1</v>
      </c>
    </row>
    <row r="1699">
      <c r="A1699" t="inlineStr">
        <is>
          <t>OH</t>
        </is>
      </c>
      <c r="B1699" t="n">
        <v>2</v>
      </c>
    </row>
    <row r="1700">
      <c r="A1700" t="inlineStr">
        <is>
          <t>RESPIRATORY SYMPTOMS</t>
        </is>
      </c>
      <c r="B1700" t="n">
        <v>7</v>
      </c>
    </row>
    <row r="1701">
      <c r="A1701" t="inlineStr">
        <is>
          <t>BRAIN INFLAMMATION</t>
        </is>
      </c>
      <c r="B1701" t="n">
        <v>1</v>
      </c>
    </row>
    <row r="1702">
      <c r="A1702" t="inlineStr">
        <is>
          <t>TRANSLOCATION</t>
        </is>
      </c>
      <c r="B1702" t="n">
        <v>1</v>
      </c>
    </row>
    <row r="1703">
      <c r="A1703" t="inlineStr">
        <is>
          <t>AFFECTIVE EXPERIENCES</t>
        </is>
      </c>
      <c r="B1703" t="n">
        <v>1</v>
      </c>
    </row>
    <row r="1704">
      <c r="A1704" t="inlineStr">
        <is>
          <t>NONUNIFORM THERMAL ENVIRONMENT</t>
        </is>
      </c>
      <c r="B1704" t="n">
        <v>1</v>
      </c>
    </row>
    <row r="1705">
      <c r="A1705" t="inlineStr">
        <is>
          <t>HEAT-TRANSFER COEFFICIENTS</t>
        </is>
      </c>
      <c r="B1705" t="n">
        <v>1</v>
      </c>
    </row>
    <row r="1706">
      <c r="A1706" t="inlineStr">
        <is>
          <t>AIR-DISTRIBUTION SYSTEMS</t>
        </is>
      </c>
      <c r="B1706" t="n">
        <v>1</v>
      </c>
    </row>
    <row r="1707">
      <c r="A1707" t="inlineStr">
        <is>
          <t>SEATED HUMAN-BODY</t>
        </is>
      </c>
      <c r="B1707" t="n">
        <v>1</v>
      </c>
    </row>
    <row r="1708">
      <c r="A1708" t="inlineStr">
        <is>
          <t>TURBULENCE MODELS</t>
        </is>
      </c>
      <c r="B1708" t="n">
        <v>1</v>
      </c>
    </row>
    <row r="1709">
      <c r="A1709" t="inlineStr">
        <is>
          <t>ROOM AIR</t>
        </is>
      </c>
      <c r="B1709" t="n">
        <v>1</v>
      </c>
    </row>
    <row r="1710">
      <c r="A1710" t="inlineStr">
        <is>
          <t>HUMAN THERMOREGULATION</t>
        </is>
      </c>
      <c r="B1710" t="n">
        <v>1</v>
      </c>
    </row>
    <row r="1711">
      <c r="A1711" t="inlineStr">
        <is>
          <t>INJURY COLLISIONS</t>
        </is>
      </c>
      <c r="B1711" t="n">
        <v>1</v>
      </c>
    </row>
    <row r="1712">
      <c r="A1712" t="inlineStr">
        <is>
          <t>VEHICLE CRASHES</t>
        </is>
      </c>
      <c r="B1712" t="n">
        <v>1</v>
      </c>
    </row>
    <row r="1713">
      <c r="A1713" t="inlineStr">
        <is>
          <t>SEOUL</t>
        </is>
      </c>
      <c r="B1713" t="n">
        <v>2</v>
      </c>
    </row>
    <row r="1714">
      <c r="A1714" t="inlineStr">
        <is>
          <t>SIMULATIONS</t>
        </is>
      </c>
      <c r="B1714" t="n">
        <v>1</v>
      </c>
    </row>
    <row r="1715">
      <c r="A1715" t="inlineStr">
        <is>
          <t>RADIATION</t>
        </is>
      </c>
      <c r="B1715" t="n">
        <v>4</v>
      </c>
    </row>
    <row r="1716">
      <c r="A1716" t="inlineStr">
        <is>
          <t>ORAL-HEALTH</t>
        </is>
      </c>
      <c r="B1716" t="n">
        <v>5</v>
      </c>
    </row>
    <row r="1717">
      <c r="A1717" t="inlineStr">
        <is>
          <t>SOUTHERN CHINESE</t>
        </is>
      </c>
      <c r="B1717" t="n">
        <v>1</v>
      </c>
    </row>
    <row r="1718">
      <c r="A1718" t="inlineStr">
        <is>
          <t>CANCER</t>
        </is>
      </c>
      <c r="B1718" t="n">
        <v>6</v>
      </c>
    </row>
    <row r="1719">
      <c r="A1719" t="inlineStr">
        <is>
          <t>CARIES</t>
        </is>
      </c>
      <c r="B1719" t="n">
        <v>1</v>
      </c>
    </row>
    <row r="1720">
      <c r="A1720" t="inlineStr">
        <is>
          <t>XEROSTOMIA</t>
        </is>
      </c>
      <c r="B1720" t="n">
        <v>1</v>
      </c>
    </row>
    <row r="1721">
      <c r="A1721" t="inlineStr">
        <is>
          <t>TEETH</t>
        </is>
      </c>
      <c r="B1721" t="n">
        <v>2</v>
      </c>
    </row>
    <row r="1722">
      <c r="A1722" t="inlineStr">
        <is>
          <t>ARCH</t>
        </is>
      </c>
      <c r="B1722" t="n">
        <v>1</v>
      </c>
    </row>
    <row r="1723">
      <c r="A1723" t="inlineStr">
        <is>
          <t>EXHALATION RATE</t>
        </is>
      </c>
      <c r="B1723" t="n">
        <v>4</v>
      </c>
    </row>
    <row r="1724">
      <c r="A1724" t="inlineStr">
        <is>
          <t>UNITED-KINGDOM</t>
        </is>
      </c>
      <c r="B1724" t="n">
        <v>1</v>
      </c>
    </row>
    <row r="1725">
      <c r="A1725" t="inlineStr">
        <is>
          <t>NEUROPSYCHOLOGICAL ASSESSMENT SCALES</t>
        </is>
      </c>
      <c r="B1725" t="n">
        <v>1</v>
      </c>
    </row>
    <row r="1726">
      <c r="A1726" t="inlineStr">
        <is>
          <t>MENDELIAN RANDOMIZATION</t>
        </is>
      </c>
      <c r="B1726" t="n">
        <v>1</v>
      </c>
    </row>
    <row r="1727">
      <c r="A1727" t="inlineStr">
        <is>
          <t>URBAN NEIGHBORHOOD</t>
        </is>
      </c>
      <c r="B1727" t="n">
        <v>2</v>
      </c>
    </row>
    <row r="1728">
      <c r="A1728" t="inlineStr">
        <is>
          <t>HOUSEHOLD ELECTRICITY CONSUMPTION</t>
        </is>
      </c>
      <c r="B1728" t="n">
        <v>1</v>
      </c>
    </row>
    <row r="1729">
      <c r="A1729" t="inlineStr">
        <is>
          <t>TECHNOLOGY ADOPTION</t>
        </is>
      </c>
      <c r="B1729" t="n">
        <v>1</v>
      </c>
    </row>
    <row r="1730">
      <c r="A1730" t="inlineStr">
        <is>
          <t>DIRECTIONS</t>
        </is>
      </c>
      <c r="B1730" t="n">
        <v>2</v>
      </c>
    </row>
    <row r="1731">
      <c r="A1731" t="inlineStr">
        <is>
          <t>SOLAR THERMAL-SYSTEMS</t>
        </is>
      </c>
      <c r="B1731" t="n">
        <v>1</v>
      </c>
    </row>
    <row r="1732">
      <c r="A1732" t="inlineStr">
        <is>
          <t>NEGATIVE AFFECT SCHEDULE</t>
        </is>
      </c>
      <c r="B1732" t="n">
        <v>1</v>
      </c>
    </row>
    <row r="1733">
      <c r="A1733" t="inlineStr">
        <is>
          <t>NEIGHBORHOOD QUALITY</t>
        </is>
      </c>
      <c r="B1733" t="n">
        <v>1</v>
      </c>
    </row>
    <row r="1734">
      <c r="A1734" t="inlineStr">
        <is>
          <t>DEPRESSIVE MOOD</t>
        </is>
      </c>
      <c r="B1734" t="n">
        <v>1</v>
      </c>
    </row>
    <row r="1735">
      <c r="A1735" t="inlineStr">
        <is>
          <t>BLUE SPACES</t>
        </is>
      </c>
      <c r="B1735" t="n">
        <v>4</v>
      </c>
    </row>
    <row r="1736">
      <c r="A1736" t="inlineStr">
        <is>
          <t>PAHS</t>
        </is>
      </c>
      <c r="B1736" t="n">
        <v>2</v>
      </c>
    </row>
    <row r="1737">
      <c r="A1737" t="inlineStr">
        <is>
          <t>TERM</t>
        </is>
      </c>
      <c r="B1737" t="n">
        <v>1</v>
      </c>
    </row>
    <row r="1738">
      <c r="A1738" t="inlineStr">
        <is>
          <t>PSYCHOLOGICAL CONCERNS</t>
        </is>
      </c>
      <c r="B1738" t="n">
        <v>1</v>
      </c>
    </row>
    <row r="1739">
      <c r="A1739" t="inlineStr">
        <is>
          <t>ACTIVITY RESTRICTION</t>
        </is>
      </c>
      <c r="B1739" t="n">
        <v>1</v>
      </c>
    </row>
    <row r="1740">
      <c r="A1740" t="inlineStr">
        <is>
          <t>FAILURES</t>
        </is>
      </c>
      <c r="B1740" t="n">
        <v>1</v>
      </c>
    </row>
    <row r="1741">
      <c r="A1741" t="inlineStr">
        <is>
          <t>VEGETATION BARRIERS</t>
        </is>
      </c>
      <c r="B1741" t="n">
        <v>1</v>
      </c>
    </row>
    <row r="1742">
      <c r="A1742" t="inlineStr">
        <is>
          <t>URBAN VEGETATION</t>
        </is>
      </c>
      <c r="B1742" t="n">
        <v>2</v>
      </c>
    </row>
    <row r="1743">
      <c r="A1743" t="inlineStr">
        <is>
          <t>PASSIVE CONTROL</t>
        </is>
      </c>
      <c r="B1743" t="n">
        <v>1</v>
      </c>
    </row>
    <row r="1744">
      <c r="A1744" t="inlineStr">
        <is>
          <t>BLACK CARBON</t>
        </is>
      </c>
      <c r="B1744" t="n">
        <v>8</v>
      </c>
    </row>
    <row r="1745">
      <c r="A1745" t="inlineStr">
        <is>
          <t>NUMBER CONCENTRATIONS</t>
        </is>
      </c>
      <c r="B1745" t="n">
        <v>3</v>
      </c>
    </row>
    <row r="1746">
      <c r="A1746" t="inlineStr">
        <is>
          <t>WALK SCORE</t>
        </is>
      </c>
      <c r="B1746" t="n">
        <v>1</v>
      </c>
    </row>
    <row r="1747">
      <c r="A1747" t="inlineStr">
        <is>
          <t>HEAT-ISLAND MITIGATION</t>
        </is>
      </c>
      <c r="B1747" t="n">
        <v>1</v>
      </c>
    </row>
    <row r="1748">
      <c r="A1748" t="inlineStr">
        <is>
          <t>QUANTITATIVE-ANALYSIS</t>
        </is>
      </c>
      <c r="B1748" t="n">
        <v>2</v>
      </c>
    </row>
    <row r="1749">
      <c r="A1749" t="inlineStr">
        <is>
          <t>RETROREFLECTORS</t>
        </is>
      </c>
      <c r="B1749" t="n">
        <v>1</v>
      </c>
    </row>
    <row r="1750">
      <c r="A1750" t="inlineStr">
        <is>
          <t>FACADES</t>
        </is>
      </c>
      <c r="B1750" t="n">
        <v>3</v>
      </c>
    </row>
    <row r="1751">
      <c r="A1751" t="inlineStr">
        <is>
          <t>RENTAL HOUSING DEVELOPMENT</t>
        </is>
      </c>
      <c r="B1751" t="n">
        <v>1</v>
      </c>
    </row>
    <row r="1752">
      <c r="A1752" t="inlineStr">
        <is>
          <t>SIMULATION-BASED APPROACH</t>
        </is>
      </c>
      <c r="B1752" t="n">
        <v>2</v>
      </c>
    </row>
    <row r="1753">
      <c r="A1753" t="inlineStr">
        <is>
          <t>SOLAR HEAT GAIN</t>
        </is>
      </c>
      <c r="B1753" t="n">
        <v>1</v>
      </c>
    </row>
    <row r="1754">
      <c r="A1754" t="inlineStr">
        <is>
          <t>SENSITIVITY-ANALYSIS</t>
        </is>
      </c>
      <c r="B1754" t="n">
        <v>2</v>
      </c>
    </row>
    <row r="1755">
      <c r="A1755" t="inlineStr">
        <is>
          <t>WINDOW SYSTEM</t>
        </is>
      </c>
      <c r="B1755" t="n">
        <v>1</v>
      </c>
    </row>
    <row r="1756">
      <c r="A1756" t="inlineStr">
        <is>
          <t>ELDERLY POPULATION</t>
        </is>
      </c>
      <c r="B1756" t="n">
        <v>3</v>
      </c>
    </row>
    <row r="1757">
      <c r="A1757" t="inlineStr">
        <is>
          <t>SOCIAL-STATUS</t>
        </is>
      </c>
      <c r="B1757" t="n">
        <v>1</v>
      </c>
    </row>
    <row r="1758">
      <c r="A1758" t="inlineStr">
        <is>
          <t>CHILDRENS INDEPENDENT MOBILITY</t>
        </is>
      </c>
      <c r="B1758" t="n">
        <v>1</v>
      </c>
    </row>
    <row r="1759">
      <c r="A1759" t="inlineStr">
        <is>
          <t>MODE CHOICE BEHAVIOR</t>
        </is>
      </c>
      <c r="B1759" t="n">
        <v>1</v>
      </c>
    </row>
    <row r="1760">
      <c r="A1760" t="inlineStr">
        <is>
          <t>PARENTS FEAR</t>
        </is>
      </c>
      <c r="B1760" t="n">
        <v>1</v>
      </c>
    </row>
    <row r="1761">
      <c r="A1761" t="inlineStr">
        <is>
          <t>CUMULATIVE RISK-ASSESSMENT</t>
        </is>
      </c>
      <c r="B1761" t="n">
        <v>1</v>
      </c>
    </row>
    <row r="1762">
      <c r="A1762" t="inlineStr">
        <is>
          <t>DIETARY EXPOSURE</t>
        </is>
      </c>
      <c r="B1762" t="n">
        <v>1</v>
      </c>
    </row>
    <row r="1763">
      <c r="A1763" t="inlineStr">
        <is>
          <t>CREATININE CONCENTRATIONS</t>
        </is>
      </c>
      <c r="B1763" t="n">
        <v>1</v>
      </c>
    </row>
    <row r="1764">
      <c r="A1764" t="inlineStr">
        <is>
          <t>US POPULATION</t>
        </is>
      </c>
      <c r="B1764" t="n">
        <v>1</v>
      </c>
    </row>
    <row r="1765">
      <c r="A1765" t="inlineStr">
        <is>
          <t>AIR CHANGE RATES</t>
        </is>
      </c>
      <c r="B1765" t="n">
        <v>1</v>
      </c>
    </row>
    <row r="1766">
      <c r="A1766" t="inlineStr">
        <is>
          <t>PENETRATION COEFFICIENT</t>
        </is>
      </c>
      <c r="B1766" t="n">
        <v>2</v>
      </c>
    </row>
    <row r="1767">
      <c r="A1767" t="inlineStr">
        <is>
          <t>MULTISCALE INTEGRATED ANALYSIS</t>
        </is>
      </c>
      <c r="B1767" t="n">
        <v>1</v>
      </c>
    </row>
    <row r="1768">
      <c r="A1768" t="inlineStr">
        <is>
          <t>INDUSTRIAL SYMBIOSIS</t>
        </is>
      </c>
      <c r="B1768" t="n">
        <v>2</v>
      </c>
    </row>
    <row r="1769">
      <c r="A1769" t="inlineStr">
        <is>
          <t>WASTE MANAGEMENT</t>
        </is>
      </c>
      <c r="B1769" t="n">
        <v>3</v>
      </c>
    </row>
    <row r="1770">
      <c r="A1770" t="inlineStr">
        <is>
          <t>DEMOLITION WASTE</t>
        </is>
      </c>
      <c r="B1770" t="n">
        <v>6</v>
      </c>
    </row>
    <row r="1771">
      <c r="A1771" t="inlineStr">
        <is>
          <t>EMISSION REDUCTION</t>
        </is>
      </c>
      <c r="B1771" t="n">
        <v>1</v>
      </c>
    </row>
    <row r="1772">
      <c r="A1772" t="inlineStr">
        <is>
          <t>RECYCLED AGGREGATE</t>
        </is>
      </c>
      <c r="B1772" t="n">
        <v>1</v>
      </c>
    </row>
    <row r="1773">
      <c r="A1773" t="inlineStr">
        <is>
          <t>SUSTAINABLE CITIES</t>
        </is>
      </c>
      <c r="B1773" t="n">
        <v>1</v>
      </c>
    </row>
    <row r="1774">
      <c r="A1774" t="inlineStr">
        <is>
          <t>WEEE COLLECTION</t>
        </is>
      </c>
      <c r="B1774" t="n">
        <v>1</v>
      </c>
    </row>
    <row r="1775">
      <c r="A1775" t="inlineStr">
        <is>
          <t>ACTIVITY BEHAVIOR</t>
        </is>
      </c>
      <c r="B1775" t="n">
        <v>1</v>
      </c>
    </row>
    <row r="1776">
      <c r="A1776" t="inlineStr">
        <is>
          <t>ADHERENCE</t>
        </is>
      </c>
      <c r="B1776" t="n">
        <v>4</v>
      </c>
    </row>
    <row r="1777">
      <c r="A1777" t="inlineStr">
        <is>
          <t>REPAIRS</t>
        </is>
      </c>
      <c r="B1777" t="n">
        <v>1</v>
      </c>
    </row>
    <row r="1778">
      <c r="A1778" t="inlineStr">
        <is>
          <t>SPERM</t>
        </is>
      </c>
      <c r="B1778" t="n">
        <v>1</v>
      </c>
    </row>
    <row r="1779">
      <c r="A1779" t="inlineStr">
        <is>
          <t>AIRBORNE PARTICULATE MATTER</t>
        </is>
      </c>
      <c r="B1779" t="n">
        <v>2</v>
      </c>
    </row>
    <row r="1780">
      <c r="A1780" t="inlineStr">
        <is>
          <t>FRENCH SCHOOLS</t>
        </is>
      </c>
      <c r="B1780" t="n">
        <v>1</v>
      </c>
    </row>
    <row r="1781">
      <c r="A1781" t="inlineStr">
        <is>
          <t>BUILDING MATERIAL SAMPLES</t>
        </is>
      </c>
      <c r="B1781" t="n">
        <v>1</v>
      </c>
    </row>
    <row r="1782">
      <c r="A1782" t="inlineStr">
        <is>
          <t>3 MODAL DISTRIBUTIONS</t>
        </is>
      </c>
      <c r="B1782" t="n">
        <v>1</v>
      </c>
    </row>
    <row r="1783">
      <c r="A1783" t="inlineStr">
        <is>
          <t>RADON EXHALATION RATE</t>
        </is>
      </c>
      <c r="B1783" t="n">
        <v>1</v>
      </c>
    </row>
    <row r="1784">
      <c r="A1784" t="inlineStr">
        <is>
          <t>THORON DISTRIBUTION</t>
        </is>
      </c>
      <c r="B1784" t="n">
        <v>1</v>
      </c>
    </row>
    <row r="1785">
      <c r="A1785" t="inlineStr">
        <is>
          <t>DECAY PRODUCTS</t>
        </is>
      </c>
      <c r="B1785" t="n">
        <v>2</v>
      </c>
    </row>
    <row r="1786">
      <c r="A1786" t="inlineStr">
        <is>
          <t>ROOM MODEL</t>
        </is>
      </c>
      <c r="B1786" t="n">
        <v>1</v>
      </c>
    </row>
    <row r="1787">
      <c r="A1787" t="inlineStr">
        <is>
          <t>CROSS-SECTIONAL QUESTIONNAIRE</t>
        </is>
      </c>
      <c r="B1787" t="n">
        <v>2</v>
      </c>
    </row>
    <row r="1788">
      <c r="A1788" t="inlineStr">
        <is>
          <t>SCHOOLCHILDREN</t>
        </is>
      </c>
      <c r="B1788" t="n">
        <v>2</v>
      </c>
    </row>
    <row r="1789">
      <c r="A1789" t="inlineStr">
        <is>
          <t>PHYSICAL-EDUCATION</t>
        </is>
      </c>
      <c r="B1789" t="n">
        <v>1</v>
      </c>
    </row>
    <row r="1790">
      <c r="A1790" t="inlineStr">
        <is>
          <t>SICK-BUILDING SYNDROME</t>
        </is>
      </c>
      <c r="B1790" t="n">
        <v>2</v>
      </c>
    </row>
    <row r="1791">
      <c r="A1791" t="inlineStr">
        <is>
          <t>MULTIPLE CHEMICAL-SENSITIVITY</t>
        </is>
      </c>
      <c r="B1791" t="n">
        <v>1</v>
      </c>
    </row>
    <row r="1792">
      <c r="A1792" t="inlineStr">
        <is>
          <t>HOUSE SYNDROME</t>
        </is>
      </c>
      <c r="B1792" t="n">
        <v>1</v>
      </c>
    </row>
    <row r="1793">
      <c r="A1793" t="inlineStr">
        <is>
          <t>PSYCHOLOGY</t>
        </is>
      </c>
      <c r="B1793" t="n">
        <v>2</v>
      </c>
    </row>
    <row r="1794">
      <c r="A1794" t="inlineStr">
        <is>
          <t>PARTICLE-SIZE DISTRIBUTIONS</t>
        </is>
      </c>
      <c r="B1794" t="n">
        <v>2</v>
      </c>
    </row>
    <row r="1795">
      <c r="A1795" t="inlineStr">
        <is>
          <t>PEDESTRIAN EXPOSURE</t>
        </is>
      </c>
      <c r="B1795" t="n">
        <v>1</v>
      </c>
    </row>
    <row r="1796">
      <c r="A1796" t="inlineStr">
        <is>
          <t>ROADSIDE VEGETATION</t>
        </is>
      </c>
      <c r="B1796" t="n">
        <v>1</v>
      </c>
    </row>
    <row r="1797">
      <c r="A1797" t="inlineStr">
        <is>
          <t>POLLUTION EXPOSURE</t>
        </is>
      </c>
      <c r="B1797" t="n">
        <v>1</v>
      </c>
    </row>
    <row r="1798">
      <c r="A1798" t="inlineStr">
        <is>
          <t>NOISE BARRIERS</t>
        </is>
      </c>
      <c r="B1798" t="n">
        <v>1</v>
      </c>
    </row>
    <row r="1799">
      <c r="A1799" t="inlineStr">
        <is>
          <t>STREET CANYON</t>
        </is>
      </c>
      <c r="B1799" t="n">
        <v>2</v>
      </c>
    </row>
    <row r="1800">
      <c r="A1800" t="inlineStr">
        <is>
          <t>SEVERE HAZE</t>
        </is>
      </c>
      <c r="B1800" t="n">
        <v>1</v>
      </c>
    </row>
    <row r="1801">
      <c r="A1801" t="inlineStr">
        <is>
          <t>JANUARY</t>
        </is>
      </c>
      <c r="B1801" t="n">
        <v>1</v>
      </c>
    </row>
    <row r="1802">
      <c r="A1802" t="inlineStr">
        <is>
          <t>AEROSOL</t>
        </is>
      </c>
      <c r="B1802" t="n">
        <v>1</v>
      </c>
    </row>
    <row r="1803">
      <c r="A1803" t="inlineStr">
        <is>
          <t>PARTICULATE MATTER PM10</t>
        </is>
      </c>
      <c r="B1803" t="n">
        <v>1</v>
      </c>
    </row>
    <row r="1804">
      <c r="A1804" t="inlineStr">
        <is>
          <t>ENERGY-PROJECT</t>
        </is>
      </c>
      <c r="B1804" t="n">
        <v>1</v>
      </c>
    </row>
    <row r="1805">
      <c r="A1805" t="inlineStr">
        <is>
          <t>MULTIMORBIDITY</t>
        </is>
      </c>
      <c r="B1805" t="n">
        <v>3</v>
      </c>
    </row>
    <row r="1806">
      <c r="A1806" t="inlineStr">
        <is>
          <t>TIME-SERIES GENERATION</t>
        </is>
      </c>
      <c r="B1806" t="n">
        <v>1</v>
      </c>
    </row>
    <row r="1807">
      <c r="A1807" t="inlineStr">
        <is>
          <t>RADAR INTERFEROMETRY</t>
        </is>
      </c>
      <c r="B1807" t="n">
        <v>1</v>
      </c>
    </row>
    <row r="1808">
      <c r="A1808" t="inlineStr">
        <is>
          <t>ROME</t>
        </is>
      </c>
      <c r="B1808" t="n">
        <v>1</v>
      </c>
    </row>
    <row r="1809">
      <c r="A1809" t="inlineStr">
        <is>
          <t>RESOLUTION</t>
        </is>
      </c>
      <c r="B1809" t="n">
        <v>2</v>
      </c>
    </row>
    <row r="1810">
      <c r="A1810" t="inlineStr">
        <is>
          <t>RETRIEVAL</t>
        </is>
      </c>
      <c r="B1810" t="n">
        <v>2</v>
      </c>
    </row>
    <row r="1811">
      <c r="A1811" t="inlineStr">
        <is>
          <t>YAOUNDE GNEISSES</t>
        </is>
      </c>
      <c r="B1811" t="n">
        <v>1</v>
      </c>
    </row>
    <row r="1812">
      <c r="A1812" t="inlineStr">
        <is>
          <t>LIFE-CYCLE</t>
        </is>
      </c>
      <c r="B1812" t="n">
        <v>3</v>
      </c>
    </row>
    <row r="1813">
      <c r="A1813" t="inlineStr">
        <is>
          <t>GREYWATER TREATMENT</t>
        </is>
      </c>
      <c r="B1813" t="n">
        <v>1</v>
      </c>
    </row>
    <row r="1814">
      <c r="A1814" t="inlineStr">
        <is>
          <t>PLANT-GROWTH</t>
        </is>
      </c>
      <c r="B1814" t="n">
        <v>1</v>
      </c>
    </row>
    <row r="1815">
      <c r="A1815" t="inlineStr">
        <is>
          <t>LIVING WALLS</t>
        </is>
      </c>
      <c r="B1815" t="n">
        <v>2</v>
      </c>
    </row>
    <row r="1816">
      <c r="A1816" t="inlineStr">
        <is>
          <t>HEAT-STRESS</t>
        </is>
      </c>
      <c r="B1816" t="n">
        <v>4</v>
      </c>
    </row>
    <row r="1817">
      <c r="A1817" t="inlineStr">
        <is>
          <t>REHABILITATION</t>
        </is>
      </c>
      <c r="B1817" t="n">
        <v>6</v>
      </c>
    </row>
    <row r="1818">
      <c r="A1818" t="inlineStr">
        <is>
          <t>OSTEOARTHRITIS</t>
        </is>
      </c>
      <c r="B1818" t="n">
        <v>3</v>
      </c>
    </row>
    <row r="1819">
      <c r="A1819" t="inlineStr">
        <is>
          <t>PULSE-WAVE VELOCITY</t>
        </is>
      </c>
      <c r="B1819" t="n">
        <v>2</v>
      </c>
    </row>
    <row r="1820">
      <c r="A1820" t="inlineStr">
        <is>
          <t>ARTERIAL STIFFNESS</t>
        </is>
      </c>
      <c r="B1820" t="n">
        <v>1</v>
      </c>
    </row>
    <row r="1821">
      <c r="A1821" t="inlineStr">
        <is>
          <t>VALUES</t>
        </is>
      </c>
      <c r="B1821" t="n">
        <v>3</v>
      </c>
    </row>
    <row r="1822">
      <c r="A1822" t="inlineStr">
        <is>
          <t>POWER</t>
        </is>
      </c>
      <c r="B1822" t="n">
        <v>4</v>
      </c>
    </row>
    <row r="1823">
      <c r="A1823" t="inlineStr">
        <is>
          <t>IMPROVING WASTE MANAGEMENT</t>
        </is>
      </c>
      <c r="B1823" t="n">
        <v>1</v>
      </c>
    </row>
    <row r="1824">
      <c r="A1824" t="inlineStr">
        <is>
          <t>LIFE-CYCLE ENERGY</t>
        </is>
      </c>
      <c r="B1824" t="n">
        <v>2</v>
      </c>
    </row>
    <row r="1825">
      <c r="A1825" t="inlineStr">
        <is>
          <t>CONSTRUCTION PROJECTS</t>
        </is>
      </c>
      <c r="B1825" t="n">
        <v>2</v>
      </c>
    </row>
    <row r="1826">
      <c r="A1826" t="inlineStr">
        <is>
          <t>SELF-MANAGEMENT</t>
        </is>
      </c>
      <c r="B1826" t="n">
        <v>3</v>
      </c>
    </row>
    <row r="1827">
      <c r="A1827" t="inlineStr">
        <is>
          <t>PATIENT EDUCATION</t>
        </is>
      </c>
      <c r="B1827" t="n">
        <v>1</v>
      </c>
    </row>
    <row r="1828">
      <c r="A1828" t="inlineStr">
        <is>
          <t>ESTEEM</t>
        </is>
      </c>
      <c r="B1828" t="n">
        <v>1</v>
      </c>
    </row>
    <row r="1829">
      <c r="A1829" t="inlineStr">
        <is>
          <t>MEDICAL-CARE</t>
        </is>
      </c>
      <c r="B1829" t="n">
        <v>1</v>
      </c>
    </row>
    <row r="1830">
      <c r="A1830" t="inlineStr">
        <is>
          <t>COVERAGE</t>
        </is>
      </c>
      <c r="B1830" t="n">
        <v>1</v>
      </c>
    </row>
    <row r="1831">
      <c r="A1831" t="inlineStr">
        <is>
          <t>APPRAISAL</t>
        </is>
      </c>
      <c r="B1831" t="n">
        <v>2</v>
      </c>
    </row>
    <row r="1832">
      <c r="A1832" t="inlineStr">
        <is>
          <t>RECONSTRUCTION</t>
        </is>
      </c>
      <c r="B1832" t="n">
        <v>1</v>
      </c>
    </row>
    <row r="1833">
      <c r="A1833" t="inlineStr">
        <is>
          <t>REGISTRATION</t>
        </is>
      </c>
      <c r="B1833" t="n">
        <v>1</v>
      </c>
    </row>
    <row r="1834">
      <c r="A1834" t="inlineStr">
        <is>
          <t>CYCLISTS</t>
        </is>
      </c>
      <c r="B1834" t="n">
        <v>1</v>
      </c>
    </row>
    <row r="1835">
      <c r="A1835" t="inlineStr">
        <is>
          <t>LISBON</t>
        </is>
      </c>
      <c r="B1835" t="n">
        <v>1</v>
      </c>
    </row>
    <row r="1836">
      <c r="A1836" t="inlineStr">
        <is>
          <t>ORGANIC-COMPOUNDS VOC</t>
        </is>
      </c>
      <c r="B1836" t="n">
        <v>1</v>
      </c>
    </row>
    <row r="1837">
      <c r="A1837" t="inlineStr">
        <is>
          <t>PANEL</t>
        </is>
      </c>
      <c r="B1837" t="n">
        <v>1</v>
      </c>
    </row>
    <row r="1838">
      <c r="A1838" t="inlineStr">
        <is>
          <t>TAKEAWAY FOOD</t>
        </is>
      </c>
      <c r="B1838" t="n">
        <v>1</v>
      </c>
    </row>
    <row r="1839">
      <c r="A1839" t="inlineStr">
        <is>
          <t>HEALTH-CARE FACILITIES</t>
        </is>
      </c>
      <c r="B1839" t="n">
        <v>2</v>
      </c>
    </row>
    <row r="1840">
      <c r="A1840" t="inlineStr">
        <is>
          <t>DISINFECTION</t>
        </is>
      </c>
      <c r="B1840" t="n">
        <v>1</v>
      </c>
    </row>
    <row r="1841">
      <c r="A1841" t="inlineStr">
        <is>
          <t>COMMUNICATION</t>
        </is>
      </c>
      <c r="B1841" t="n">
        <v>3</v>
      </c>
    </row>
    <row r="1842">
      <c r="A1842" t="inlineStr">
        <is>
          <t>TELEVISION VIEWING TIME</t>
        </is>
      </c>
      <c r="B1842" t="n">
        <v>3</v>
      </c>
    </row>
    <row r="1843">
      <c r="A1843" t="inlineStr">
        <is>
          <t>METABOLIC SYNDROME</t>
        </is>
      </c>
      <c r="B1843" t="n">
        <v>2</v>
      </c>
    </row>
    <row r="1844">
      <c r="A1844" t="inlineStr">
        <is>
          <t>CSA ACTIVITY MONITOR</t>
        </is>
      </c>
      <c r="B1844" t="n">
        <v>1</v>
      </c>
    </row>
    <row r="1845">
      <c r="A1845" t="inlineStr">
        <is>
          <t>CRITERIA</t>
        </is>
      </c>
      <c r="B1845" t="n">
        <v>3</v>
      </c>
    </row>
    <row r="1846">
      <c r="A1846" t="inlineStr">
        <is>
          <t>RESIDENTIAL SATISFACTION</t>
        </is>
      </c>
      <c r="B1846" t="n">
        <v>2</v>
      </c>
    </row>
    <row r="1847">
      <c r="A1847" t="inlineStr">
        <is>
          <t>SOCIAL ENVIRONMENTS</t>
        </is>
      </c>
      <c r="B1847" t="n">
        <v>1</v>
      </c>
    </row>
    <row r="1848">
      <c r="A1848" t="inlineStr">
        <is>
          <t>HONG-KONG HOMES</t>
        </is>
      </c>
      <c r="B1848" t="n">
        <v>1</v>
      </c>
    </row>
    <row r="1849">
      <c r="A1849" t="inlineStr">
        <is>
          <t>ATTACHED GARAGE</t>
        </is>
      </c>
      <c r="B1849" t="n">
        <v>1</v>
      </c>
    </row>
    <row r="1850">
      <c r="A1850" t="inlineStr">
        <is>
          <t>VOC CONCENTRATIONS</t>
        </is>
      </c>
      <c r="B1850" t="n">
        <v>1</v>
      </c>
    </row>
    <row r="1851">
      <c r="A1851" t="inlineStr">
        <is>
          <t>RESIDENTIAL HOMES</t>
        </is>
      </c>
      <c r="B1851" t="n">
        <v>1</v>
      </c>
    </row>
    <row r="1852">
      <c r="A1852" t="inlineStr">
        <is>
          <t>RECOVERY</t>
        </is>
      </c>
      <c r="B1852" t="n">
        <v>4</v>
      </c>
    </row>
    <row r="1853">
      <c r="A1853" t="inlineStr">
        <is>
          <t>WORKERS</t>
        </is>
      </c>
      <c r="B1853" t="n">
        <v>5</v>
      </c>
    </row>
    <row r="1854">
      <c r="A1854" t="inlineStr">
        <is>
          <t>PROFILE</t>
        </is>
      </c>
      <c r="B1854" t="n">
        <v>4</v>
      </c>
    </row>
    <row r="1855">
      <c r="A1855" t="inlineStr">
        <is>
          <t>AIRBORNE ENDOTOXIN</t>
        </is>
      </c>
      <c r="B1855" t="n">
        <v>1</v>
      </c>
    </row>
    <row r="1856">
      <c r="A1856" t="inlineStr">
        <is>
          <t>JOHOR BAHRU</t>
        </is>
      </c>
      <c r="B1856" t="n">
        <v>1</v>
      </c>
    </row>
    <row r="1857">
      <c r="A1857" t="inlineStr">
        <is>
          <t>MEMORY</t>
        </is>
      </c>
      <c r="B1857" t="n">
        <v>4</v>
      </c>
    </row>
    <row r="1858">
      <c r="A1858" t="inlineStr">
        <is>
          <t>RESILIENCY</t>
        </is>
      </c>
      <c r="B1858" t="n">
        <v>1</v>
      </c>
    </row>
    <row r="1859">
      <c r="A1859" t="inlineStr">
        <is>
          <t>TECHNOLOGY ACCEPTANCE MODEL</t>
        </is>
      </c>
      <c r="B1859" t="n">
        <v>2</v>
      </c>
    </row>
    <row r="1860">
      <c r="A1860" t="inlineStr">
        <is>
          <t>PERCEIVED RISK</t>
        </is>
      </c>
      <c r="B1860" t="n">
        <v>2</v>
      </c>
    </row>
    <row r="1861">
      <c r="A1861" t="inlineStr">
        <is>
          <t>CONSUMER ACCEPTANCE</t>
        </is>
      </c>
      <c r="B1861" t="n">
        <v>2</v>
      </c>
    </row>
    <row r="1862">
      <c r="A1862" t="inlineStr">
        <is>
          <t>ELECTRONIC COMMERCE</t>
        </is>
      </c>
      <c r="B1862" t="n">
        <v>1</v>
      </c>
    </row>
    <row r="1863">
      <c r="A1863" t="inlineStr">
        <is>
          <t>INTEGRATING TRUST</t>
        </is>
      </c>
      <c r="B1863" t="n">
        <v>1</v>
      </c>
    </row>
    <row r="1864">
      <c r="A1864" t="inlineStr">
        <is>
          <t>SOCIAL-INFLUENCE</t>
        </is>
      </c>
      <c r="B1864" t="n">
        <v>1</v>
      </c>
    </row>
    <row r="1865">
      <c r="A1865" t="inlineStr">
        <is>
          <t>USER ACCEPTANCE</t>
        </is>
      </c>
      <c r="B1865" t="n">
        <v>7</v>
      </c>
    </row>
    <row r="1866">
      <c r="A1866" t="inlineStr">
        <is>
          <t>ONLINE</t>
        </is>
      </c>
      <c r="B1866" t="n">
        <v>2</v>
      </c>
    </row>
    <row r="1867">
      <c r="A1867" t="inlineStr">
        <is>
          <t>STORIES</t>
        </is>
      </c>
      <c r="B1867" t="n">
        <v>1</v>
      </c>
    </row>
    <row r="1868">
      <c r="A1868" t="inlineStr">
        <is>
          <t>CONVERSATIONS</t>
        </is>
      </c>
      <c r="B1868" t="n">
        <v>1</v>
      </c>
    </row>
    <row r="1869">
      <c r="A1869" t="inlineStr">
        <is>
          <t>WORKSHOP</t>
        </is>
      </c>
      <c r="B1869" t="n">
        <v>1</v>
      </c>
    </row>
    <row r="1870">
      <c r="A1870" t="inlineStr">
        <is>
          <t>LOSSES</t>
        </is>
      </c>
      <c r="B1870" t="n">
        <v>1</v>
      </c>
    </row>
    <row r="1871">
      <c r="A1871" t="inlineStr">
        <is>
          <t>UK</t>
        </is>
      </c>
      <c r="B1871" t="n">
        <v>2</v>
      </c>
    </row>
    <row r="1872">
      <c r="A1872" t="inlineStr">
        <is>
          <t>UNCERTAINTY</t>
        </is>
      </c>
      <c r="B1872" t="n">
        <v>3</v>
      </c>
    </row>
    <row r="1873">
      <c r="A1873" t="inlineStr">
        <is>
          <t>PROFILES</t>
        </is>
      </c>
      <c r="B1873" t="n">
        <v>3</v>
      </c>
    </row>
    <row r="1874">
      <c r="A1874" t="inlineStr">
        <is>
          <t>ENGLISH</t>
        </is>
      </c>
      <c r="B1874" t="n">
        <v>1</v>
      </c>
    </row>
    <row r="1875">
      <c r="A1875" t="inlineStr">
        <is>
          <t>MARKAL</t>
        </is>
      </c>
      <c r="B1875" t="n">
        <v>1</v>
      </c>
    </row>
    <row r="1876">
      <c r="A1876" t="inlineStr">
        <is>
          <t>GERIATRIC DEPRESSION</t>
        </is>
      </c>
      <c r="B1876" t="n">
        <v>3</v>
      </c>
    </row>
    <row r="1877">
      <c r="A1877" t="inlineStr">
        <is>
          <t>TREE COVER</t>
        </is>
      </c>
      <c r="B1877" t="n">
        <v>1</v>
      </c>
    </row>
    <row r="1878">
      <c r="A1878" t="inlineStr">
        <is>
          <t>GATED COMMUNITIES</t>
        </is>
      </c>
      <c r="B1878" t="n">
        <v>1</v>
      </c>
    </row>
    <row r="1879">
      <c r="A1879" t="inlineStr">
        <is>
          <t>RELOCATION</t>
        </is>
      </c>
      <c r="B1879" t="n">
        <v>1</v>
      </c>
    </row>
    <row r="1880">
      <c r="A1880" t="inlineStr">
        <is>
          <t>INEQUALITY</t>
        </is>
      </c>
      <c r="B1880" t="n">
        <v>4</v>
      </c>
    </row>
    <row r="1881">
      <c r="A1881" t="inlineStr">
        <is>
          <t>REPORTED SYMPTOMS</t>
        </is>
      </c>
      <c r="B1881" t="n">
        <v>1</v>
      </c>
    </row>
    <row r="1882">
      <c r="A1882" t="inlineStr">
        <is>
          <t>MOISTURE DAMAGE</t>
        </is>
      </c>
      <c r="B1882" t="n">
        <v>1</v>
      </c>
    </row>
    <row r="1883">
      <c r="A1883" t="inlineStr">
        <is>
          <t>HEALTH-HAZARDS</t>
        </is>
      </c>
      <c r="B1883" t="n">
        <v>1</v>
      </c>
    </row>
    <row r="1884">
      <c r="A1884" t="inlineStr">
        <is>
          <t>NATURAL DISASTERS</t>
        </is>
      </c>
      <c r="B1884" t="n">
        <v>1</v>
      </c>
    </row>
    <row r="1885">
      <c r="A1885" t="inlineStr">
        <is>
          <t>ADJUSTMENT</t>
        </is>
      </c>
      <c r="B1885" t="n">
        <v>4</v>
      </c>
    </row>
    <row r="1886">
      <c r="A1886" t="inlineStr">
        <is>
          <t>PSYCHOSOCIAL STRESS</t>
        </is>
      </c>
      <c r="B1886" t="n">
        <v>2</v>
      </c>
    </row>
    <row r="1887">
      <c r="A1887" t="inlineStr">
        <is>
          <t>RISK-FACTOR</t>
        </is>
      </c>
      <c r="B1887" t="n">
        <v>3</v>
      </c>
    </row>
    <row r="1888">
      <c r="A1888" t="inlineStr">
        <is>
          <t>KAUNAS</t>
        </is>
      </c>
      <c r="B1888" t="n">
        <v>1</v>
      </c>
    </row>
    <row r="1889">
      <c r="A1889" t="inlineStr">
        <is>
          <t>COLOR</t>
        </is>
      </c>
      <c r="B1889" t="n">
        <v>4</v>
      </c>
    </row>
    <row r="1890">
      <c r="A1890" t="inlineStr">
        <is>
          <t>SALT-MARSH</t>
        </is>
      </c>
      <c r="B1890" t="n">
        <v>1</v>
      </c>
    </row>
    <row r="1891">
      <c r="A1891" t="inlineStr">
        <is>
          <t>SEDIMENT TRANSPORT</t>
        </is>
      </c>
      <c r="B1891" t="n">
        <v>1</v>
      </c>
    </row>
    <row r="1892">
      <c r="A1892" t="inlineStr">
        <is>
          <t>K-FELDSPAR</t>
        </is>
      </c>
      <c r="B1892" t="n">
        <v>1</v>
      </c>
    </row>
    <row r="1893">
      <c r="A1893" t="inlineStr">
        <is>
          <t>QUARTZ OSL</t>
        </is>
      </c>
      <c r="B1893" t="n">
        <v>1</v>
      </c>
    </row>
    <row r="1894">
      <c r="A1894" t="inlineStr">
        <is>
          <t>SEA</t>
        </is>
      </c>
      <c r="B1894" t="n">
        <v>1</v>
      </c>
    </row>
    <row r="1895">
      <c r="A1895" t="inlineStr">
        <is>
          <t>PROVENANCE</t>
        </is>
      </c>
      <c r="B1895" t="n">
        <v>1</v>
      </c>
    </row>
    <row r="1896">
      <c r="A1896" t="inlineStr">
        <is>
          <t>ESTUARY</t>
        </is>
      </c>
      <c r="B1896" t="n">
        <v>1</v>
      </c>
    </row>
    <row r="1897">
      <c r="A1897" t="inlineStr">
        <is>
          <t>GRAINS</t>
        </is>
      </c>
      <c r="B1897" t="n">
        <v>1</v>
      </c>
    </row>
    <row r="1898">
      <c r="A1898" t="inlineStr">
        <is>
          <t>PERSONALITY-TRAITS</t>
        </is>
      </c>
      <c r="B1898" t="n">
        <v>1</v>
      </c>
    </row>
    <row r="1899">
      <c r="A1899" t="inlineStr">
        <is>
          <t>HEALTH BEHAVIOR</t>
        </is>
      </c>
      <c r="B1899" t="n">
        <v>1</v>
      </c>
    </row>
    <row r="1900">
      <c r="A1900" t="inlineStr">
        <is>
          <t>MEDIATING ROLE</t>
        </is>
      </c>
      <c r="B1900" t="n">
        <v>3</v>
      </c>
    </row>
    <row r="1901">
      <c r="A1901" t="inlineStr">
        <is>
          <t>PURPOSE</t>
        </is>
      </c>
      <c r="B1901" t="n">
        <v>2</v>
      </c>
    </row>
    <row r="1902">
      <c r="A1902" t="inlineStr">
        <is>
          <t>INTERIOR</t>
        </is>
      </c>
      <c r="B1902" t="n">
        <v>1</v>
      </c>
    </row>
    <row r="1903">
      <c r="A1903" t="inlineStr">
        <is>
          <t>WOOD</t>
        </is>
      </c>
      <c r="B1903" t="n">
        <v>4</v>
      </c>
    </row>
    <row r="1904">
      <c r="A1904" t="inlineStr">
        <is>
          <t>TURK</t>
        </is>
      </c>
      <c r="B1904" t="n">
        <v>1</v>
      </c>
    </row>
    <row r="1905">
      <c r="A1905" t="inlineStr">
        <is>
          <t>INFORMATION MODELING TOOLS</t>
        </is>
      </c>
      <c r="B1905" t="n">
        <v>1</v>
      </c>
    </row>
    <row r="1906">
      <c r="A1906" t="inlineStr">
        <is>
          <t>HERITAGE BUILDINGS</t>
        </is>
      </c>
      <c r="B1906" t="n">
        <v>1</v>
      </c>
    </row>
    <row r="1907">
      <c r="A1907" t="inlineStr">
        <is>
          <t>ENERGY DEMAND</t>
        </is>
      </c>
      <c r="B1907" t="n">
        <v>1</v>
      </c>
    </row>
    <row r="1908">
      <c r="A1908" t="inlineStr">
        <is>
          <t>RENOVATION</t>
        </is>
      </c>
      <c r="B1908" t="n">
        <v>3</v>
      </c>
    </row>
    <row r="1909">
      <c r="A1909" t="inlineStr">
        <is>
          <t>CHILDHOOD ASTHMA</t>
        </is>
      </c>
      <c r="B1909" t="n">
        <v>2</v>
      </c>
    </row>
    <row r="1910">
      <c r="A1910" t="inlineStr">
        <is>
          <t>COGNITIVE NEUROSCIENCE</t>
        </is>
      </c>
      <c r="B1910" t="n">
        <v>1</v>
      </c>
    </row>
    <row r="1911">
      <c r="A1911" t="inlineStr">
        <is>
          <t>BEAUTY</t>
        </is>
      </c>
      <c r="B1911" t="n">
        <v>1</v>
      </c>
    </row>
    <row r="1912">
      <c r="A1912" t="inlineStr">
        <is>
          <t>DIMENSION</t>
        </is>
      </c>
      <c r="B1912" t="n">
        <v>1</v>
      </c>
    </row>
    <row r="1913">
      <c r="A1913" t="inlineStr">
        <is>
          <t>NEUROAESTHETICS</t>
        </is>
      </c>
      <c r="B1913" t="n">
        <v>1</v>
      </c>
    </row>
    <row r="1914">
      <c r="A1914" t="inlineStr">
        <is>
          <t>AGING-IN-PLACE</t>
        </is>
      </c>
      <c r="B1914" t="n">
        <v>3</v>
      </c>
    </row>
    <row r="1915">
      <c r="A1915" t="inlineStr">
        <is>
          <t>INFORMED-CONSENT</t>
        </is>
      </c>
      <c r="B1915" t="n">
        <v>1</v>
      </c>
    </row>
    <row r="1916">
      <c r="A1916" t="inlineStr">
        <is>
          <t>STEREOTYPE ACTIVATION</t>
        </is>
      </c>
      <c r="B1916" t="n">
        <v>1</v>
      </c>
    </row>
    <row r="1917">
      <c r="A1917" t="inlineStr">
        <is>
          <t>EXCLUSION</t>
        </is>
      </c>
      <c r="B1917" t="n">
        <v>2</v>
      </c>
    </row>
    <row r="1918">
      <c r="A1918" t="inlineStr">
        <is>
          <t>DIVIDE</t>
        </is>
      </c>
      <c r="B1918" t="n">
        <v>2</v>
      </c>
    </row>
    <row r="1919">
      <c r="A1919" t="inlineStr">
        <is>
          <t>INNER-CITY CHILDREN</t>
        </is>
      </c>
      <c r="B1919" t="n">
        <v>1</v>
      </c>
    </row>
    <row r="1920">
      <c r="A1920" t="inlineStr">
        <is>
          <t>HARD-COPY DEVICES</t>
        </is>
      </c>
      <c r="B1920" t="n">
        <v>1</v>
      </c>
    </row>
    <row r="1921">
      <c r="A1921" t="inlineStr">
        <is>
          <t>REAL-TIME INDOOR</t>
        </is>
      </c>
      <c r="B1921" t="n">
        <v>1</v>
      </c>
    </row>
    <row r="1922">
      <c r="A1922" t="inlineStr">
        <is>
          <t>LASER PRINTERS</t>
        </is>
      </c>
      <c r="B1922" t="n">
        <v>1</v>
      </c>
    </row>
    <row r="1923">
      <c r="A1923" t="inlineStr">
        <is>
          <t>OUTDOOR MEASUREMENTS</t>
        </is>
      </c>
      <c r="B1923" t="n">
        <v>1</v>
      </c>
    </row>
    <row r="1924">
      <c r="A1924" t="inlineStr">
        <is>
          <t>AEROSOL-PARTICLES</t>
        </is>
      </c>
      <c r="B1924" t="n">
        <v>2</v>
      </c>
    </row>
    <row r="1925">
      <c r="A1925" t="inlineStr">
        <is>
          <t>LANDSCAPE</t>
        </is>
      </c>
      <c r="B1925" t="n">
        <v>4</v>
      </c>
    </row>
    <row r="1926">
      <c r="A1926" t="inlineStr">
        <is>
          <t>ROADS</t>
        </is>
      </c>
      <c r="B1926" t="n">
        <v>1</v>
      </c>
    </row>
    <row r="1927">
      <c r="A1927" t="inlineStr">
        <is>
          <t>SMART GROWTH</t>
        </is>
      </c>
      <c r="B1927" t="n">
        <v>1</v>
      </c>
    </row>
    <row r="1928">
      <c r="A1928" t="inlineStr">
        <is>
          <t>AGE-DIFFERENCES</t>
        </is>
      </c>
      <c r="B1928" t="n">
        <v>1</v>
      </c>
    </row>
    <row r="1929">
      <c r="A1929" t="inlineStr">
        <is>
          <t>GRADES</t>
        </is>
      </c>
      <c r="B1929" t="n">
        <v>1</v>
      </c>
    </row>
    <row r="1930">
      <c r="A1930" t="inlineStr">
        <is>
          <t>LCA</t>
        </is>
      </c>
      <c r="B1930" t="n">
        <v>5</v>
      </c>
    </row>
    <row r="1931">
      <c r="A1931" t="inlineStr">
        <is>
          <t>MELATONIN</t>
        </is>
      </c>
      <c r="B1931" t="n">
        <v>1</v>
      </c>
    </row>
    <row r="1932">
      <c r="A1932" t="inlineStr">
        <is>
          <t>NIGHT</t>
        </is>
      </c>
      <c r="B1932" t="n">
        <v>2</v>
      </c>
    </row>
    <row r="1933">
      <c r="A1933" t="inlineStr">
        <is>
          <t>MASS CONCENTRATION</t>
        </is>
      </c>
      <c r="B1933" t="n">
        <v>1</v>
      </c>
    </row>
    <row r="1934">
      <c r="A1934" t="inlineStr">
        <is>
          <t>SEMIURBAN AREAS</t>
        </is>
      </c>
      <c r="B1934" t="n">
        <v>1</v>
      </c>
    </row>
    <row r="1935">
      <c r="A1935" t="inlineStr">
        <is>
          <t>HOUSEHOLD DUST</t>
        </is>
      </c>
      <c r="B1935" t="n">
        <v>1</v>
      </c>
    </row>
    <row r="1936">
      <c r="A1936" t="inlineStr">
        <is>
          <t>PHYSICAL-ACTIVITY INTERVENTIONS</t>
        </is>
      </c>
      <c r="B1936" t="n">
        <v>1</v>
      </c>
    </row>
    <row r="1937">
      <c r="A1937" t="inlineStr">
        <is>
          <t>SICK-BUILDING-SYNDROME</t>
        </is>
      </c>
      <c r="B1937" t="n">
        <v>1</v>
      </c>
    </row>
    <row r="1938">
      <c r="A1938" t="inlineStr">
        <is>
          <t>STRUCTURAL-ANALYSIS</t>
        </is>
      </c>
      <c r="B1938" t="n">
        <v>1</v>
      </c>
    </row>
    <row r="1939">
      <c r="A1939" t="inlineStr">
        <is>
          <t>OFFICE-WORKERS</t>
        </is>
      </c>
      <c r="B1939" t="n">
        <v>1</v>
      </c>
    </row>
    <row r="1940">
      <c r="A1940" t="inlineStr">
        <is>
          <t>CASE-REFERENT</t>
        </is>
      </c>
      <c r="B1940" t="n">
        <v>1</v>
      </c>
    </row>
    <row r="1941">
      <c r="A1941" t="inlineStr">
        <is>
          <t>PERSONALITY</t>
        </is>
      </c>
      <c r="B1941" t="n">
        <v>5</v>
      </c>
    </row>
    <row r="1942">
      <c r="A1942" t="inlineStr">
        <is>
          <t>SBS</t>
        </is>
      </c>
      <c r="B1942" t="n">
        <v>1</v>
      </c>
    </row>
    <row r="1943">
      <c r="A1943" t="inlineStr">
        <is>
          <t>DEVELOPMENT GOALS</t>
        </is>
      </c>
      <c r="B1943" t="n">
        <v>1</v>
      </c>
    </row>
    <row r="1944">
      <c r="A1944" t="inlineStr">
        <is>
          <t>NEED</t>
        </is>
      </c>
      <c r="B1944" t="n">
        <v>1</v>
      </c>
    </row>
    <row r="1945">
      <c r="A1945" t="inlineStr">
        <is>
          <t>FOOD-PRODUCTION</t>
        </is>
      </c>
      <c r="B1945" t="n">
        <v>1</v>
      </c>
    </row>
    <row r="1946">
      <c r="A1946" t="inlineStr">
        <is>
          <t>EXPLORATIONS</t>
        </is>
      </c>
      <c r="B1946" t="n">
        <v>1</v>
      </c>
    </row>
    <row r="1947">
      <c r="A1947" t="inlineStr">
        <is>
          <t>COUNTRIES</t>
        </is>
      </c>
      <c r="B1947" t="n">
        <v>4</v>
      </c>
    </row>
    <row r="1948">
      <c r="A1948" t="inlineStr">
        <is>
          <t>GARDENS</t>
        </is>
      </c>
      <c r="B1948" t="n">
        <v>2</v>
      </c>
    </row>
    <row r="1949">
      <c r="A1949" t="inlineStr">
        <is>
          <t>URBAN HEAT</t>
        </is>
      </c>
      <c r="B1949" t="n">
        <v>2</v>
      </c>
    </row>
    <row r="1950">
      <c r="A1950" t="inlineStr">
        <is>
          <t>CLIMATE ADAPTATION</t>
        </is>
      </c>
      <c r="B1950" t="n">
        <v>1</v>
      </c>
    </row>
    <row r="1951">
      <c r="A1951" t="inlineStr">
        <is>
          <t>ROTTERDAM</t>
        </is>
      </c>
      <c r="B1951" t="n">
        <v>1</v>
      </c>
    </row>
    <row r="1952">
      <c r="A1952" t="inlineStr">
        <is>
          <t>REFERENCE VALUES</t>
        </is>
      </c>
      <c r="B1952" t="n">
        <v>5</v>
      </c>
    </row>
    <row r="1953">
      <c r="A1953" t="inlineStr">
        <is>
          <t>SITE</t>
        </is>
      </c>
      <c r="B1953" t="n">
        <v>2</v>
      </c>
    </row>
    <row r="1954">
      <c r="A1954" t="inlineStr">
        <is>
          <t>HOT-SUMMER</t>
        </is>
      </c>
      <c r="B1954" t="n">
        <v>2</v>
      </c>
    </row>
    <row r="1955">
      <c r="A1955" t="inlineStr">
        <is>
          <t>FOOD-PRICES</t>
        </is>
      </c>
      <c r="B1955" t="n">
        <v>1</v>
      </c>
    </row>
    <row r="1956">
      <c r="A1956" t="inlineStr">
        <is>
          <t>MINI-COG</t>
        </is>
      </c>
      <c r="B1956" t="n">
        <v>1</v>
      </c>
    </row>
    <row r="1957">
      <c r="A1957" t="inlineStr">
        <is>
          <t>PARTICULATE MATTER CONCENTRATIONS</t>
        </is>
      </c>
      <c r="B1957" t="n">
        <v>2</v>
      </c>
    </row>
    <row r="1958">
      <c r="A1958" t="inlineStr">
        <is>
          <t>DIRECT AIR CAPTURE</t>
        </is>
      </c>
      <c r="B1958" t="n">
        <v>1</v>
      </c>
    </row>
    <row r="1959">
      <c r="A1959" t="inlineStr">
        <is>
          <t>DIOXIDE CAPTURE</t>
        </is>
      </c>
      <c r="B1959" t="n">
        <v>1</v>
      </c>
    </row>
    <row r="1960">
      <c r="A1960" t="inlineStr">
        <is>
          <t>AMBIENT AIR</t>
        </is>
      </c>
      <c r="B1960" t="n">
        <v>3</v>
      </c>
    </row>
    <row r="1961">
      <c r="A1961" t="inlineStr">
        <is>
          <t>MINERAL CARBONATION</t>
        </is>
      </c>
      <c r="B1961" t="n">
        <v>1</v>
      </c>
    </row>
    <row r="1962">
      <c r="A1962" t="inlineStr">
        <is>
          <t>EXPOSURE ASSESSMENT</t>
        </is>
      </c>
      <c r="B1962" t="n">
        <v>7</v>
      </c>
    </row>
    <row r="1963">
      <c r="A1963" t="inlineStr">
        <is>
          <t>VISUAL ANALOG SCALES</t>
        </is>
      </c>
      <c r="B1963" t="n">
        <v>1</v>
      </c>
    </row>
    <row r="1964">
      <c r="A1964" t="inlineStr">
        <is>
          <t>GREEN OFFICE BUILDINGS</t>
        </is>
      </c>
      <c r="B1964" t="n">
        <v>2</v>
      </c>
    </row>
    <row r="1965">
      <c r="A1965" t="inlineStr">
        <is>
          <t>RATING-SCALES</t>
        </is>
      </c>
      <c r="B1965" t="n">
        <v>1</v>
      </c>
    </row>
    <row r="1966">
      <c r="A1966" t="inlineStr">
        <is>
          <t>OCCUPANT COMFORT</t>
        </is>
      </c>
      <c r="B1966" t="n">
        <v>1</v>
      </c>
    </row>
    <row r="1967">
      <c r="A1967" t="inlineStr">
        <is>
          <t>PAIN INTENSITY</t>
        </is>
      </c>
      <c r="B1967" t="n">
        <v>1</v>
      </c>
    </row>
    <row r="1968">
      <c r="A1968" t="inlineStr">
        <is>
          <t>GLOBAL COMFORT</t>
        </is>
      </c>
      <c r="B1968" t="n">
        <v>1</v>
      </c>
    </row>
    <row r="1969">
      <c r="A1969" t="inlineStr">
        <is>
          <t>PROJECT DELIVERY</t>
        </is>
      </c>
      <c r="B1969" t="n">
        <v>1</v>
      </c>
    </row>
    <row r="1970">
      <c r="A1970" t="inlineStr">
        <is>
          <t>BIM</t>
        </is>
      </c>
      <c r="B1970" t="n">
        <v>4</v>
      </c>
    </row>
    <row r="1971">
      <c r="A1971" t="inlineStr">
        <is>
          <t>INTEROPERABILITY</t>
        </is>
      </c>
      <c r="B1971" t="n">
        <v>1</v>
      </c>
    </row>
    <row r="1972">
      <c r="A1972" t="inlineStr">
        <is>
          <t>NATURAL RADIOACTIVITY</t>
        </is>
      </c>
      <c r="B1972" t="n">
        <v>3</v>
      </c>
    </row>
    <row r="1973">
      <c r="A1973" t="inlineStr">
        <is>
          <t>RADIUM DISTRIBUTION</t>
        </is>
      </c>
      <c r="B1973" t="n">
        <v>1</v>
      </c>
    </row>
    <row r="1974">
      <c r="A1974" t="inlineStr">
        <is>
          <t>EMANATION</t>
        </is>
      </c>
      <c r="B1974" t="n">
        <v>4</v>
      </c>
    </row>
    <row r="1975">
      <c r="A1975" t="inlineStr">
        <is>
          <t>EQUATION</t>
        </is>
      </c>
      <c r="B1975" t="n">
        <v>1</v>
      </c>
    </row>
    <row r="1976">
      <c r="A1976" t="inlineStr">
        <is>
          <t>FLUX</t>
        </is>
      </c>
      <c r="B1976" t="n">
        <v>1</v>
      </c>
    </row>
    <row r="1977">
      <c r="A1977" t="inlineStr">
        <is>
          <t>TACIT KNOWLEDGE</t>
        </is>
      </c>
      <c r="B1977" t="n">
        <v>2</v>
      </c>
    </row>
    <row r="1978">
      <c r="A1978" t="inlineStr">
        <is>
          <t>ECONOMIC-GEOGRAPHY</t>
        </is>
      </c>
      <c r="B1978" t="n">
        <v>1</v>
      </c>
    </row>
    <row r="1979">
      <c r="A1979" t="inlineStr">
        <is>
          <t>SMART CITIES</t>
        </is>
      </c>
      <c r="B1979" t="n">
        <v>1</v>
      </c>
    </row>
    <row r="1980">
      <c r="A1980" t="inlineStr">
        <is>
          <t>MOBILITIES</t>
        </is>
      </c>
      <c r="B1980" t="n">
        <v>1</v>
      </c>
    </row>
    <row r="1981">
      <c r="A1981" t="inlineStr">
        <is>
          <t>PROPERTY</t>
        </is>
      </c>
      <c r="B1981" t="n">
        <v>1</v>
      </c>
    </row>
    <row r="1982">
      <c r="A1982" t="inlineStr">
        <is>
          <t>CIRCUITS</t>
        </is>
      </c>
      <c r="B1982" t="n">
        <v>1</v>
      </c>
    </row>
    <row r="1983">
      <c r="A1983" t="inlineStr">
        <is>
          <t>POLITICS</t>
        </is>
      </c>
      <c r="B1983" t="n">
        <v>1</v>
      </c>
    </row>
    <row r="1984">
      <c r="A1984" t="inlineStr">
        <is>
          <t>PARTICULATE</t>
        </is>
      </c>
      <c r="B1984" t="n">
        <v>3</v>
      </c>
    </row>
    <row r="1985">
      <c r="A1985" t="inlineStr">
        <is>
          <t>ASIAN WORKING GROUP</t>
        </is>
      </c>
      <c r="B1985" t="n">
        <v>5</v>
      </c>
    </row>
    <row r="1986">
      <c r="A1986" t="inlineStr">
        <is>
          <t>NIGROSTRIATAL DOPAMINE SYSTEM</t>
        </is>
      </c>
      <c r="B1986" t="n">
        <v>1</v>
      </c>
    </row>
    <row r="1987">
      <c r="A1987" t="inlineStr">
        <is>
          <t>SKELETAL-MUSCLE MASS</t>
        </is>
      </c>
      <c r="B1987" t="n">
        <v>4</v>
      </c>
    </row>
    <row r="1988">
      <c r="A1988" t="inlineStr">
        <is>
          <t>EWGSOP</t>
        </is>
      </c>
      <c r="B1988" t="n">
        <v>1</v>
      </c>
    </row>
    <row r="1989">
      <c r="A1989" t="inlineStr">
        <is>
          <t>ANTIBODY-RESPONSE</t>
        </is>
      </c>
      <c r="B1989" t="n">
        <v>1</v>
      </c>
    </row>
    <row r="1990">
      <c r="A1990" t="inlineStr">
        <is>
          <t>VACCINATION RESPONSE</t>
        </is>
      </c>
      <c r="B1990" t="n">
        <v>1</v>
      </c>
    </row>
    <row r="1991">
      <c r="A1991" t="inlineStr">
        <is>
          <t>PANDEMIC INFLUENZA</t>
        </is>
      </c>
      <c r="B1991" t="n">
        <v>1</v>
      </c>
    </row>
    <row r="1992">
      <c r="A1992" t="inlineStr">
        <is>
          <t>AEROBIC EXERCISE</t>
        </is>
      </c>
      <c r="B1992" t="n">
        <v>1</v>
      </c>
    </row>
    <row r="1993">
      <c r="A1993" t="inlineStr">
        <is>
          <t>ACUTE STRESS</t>
        </is>
      </c>
      <c r="B1993" t="n">
        <v>1</v>
      </c>
    </row>
    <row r="1994">
      <c r="A1994" t="inlineStr">
        <is>
          <t>INFECTION</t>
        </is>
      </c>
      <c r="B1994" t="n">
        <v>4</v>
      </c>
    </row>
    <row r="1995">
      <c r="A1995" t="inlineStr">
        <is>
          <t>ENHANCEMENT</t>
        </is>
      </c>
      <c r="B1995" t="n">
        <v>1</v>
      </c>
    </row>
    <row r="1996">
      <c r="A1996" t="inlineStr">
        <is>
          <t>SOUNDSCAPE</t>
        </is>
      </c>
      <c r="B1996" t="n">
        <v>4</v>
      </c>
    </row>
    <row r="1997">
      <c r="A1997" t="inlineStr">
        <is>
          <t>SPENT</t>
        </is>
      </c>
      <c r="B1997" t="n">
        <v>1</v>
      </c>
    </row>
    <row r="1998">
      <c r="A1998" t="inlineStr">
        <is>
          <t>INDOOR AIR-POLLUTION</t>
        </is>
      </c>
      <c r="B1998" t="n">
        <v>4</v>
      </c>
    </row>
    <row r="1999">
      <c r="A1999" t="inlineStr">
        <is>
          <t>GENERAL-POPULATION</t>
        </is>
      </c>
      <c r="B1999" t="n">
        <v>1</v>
      </c>
    </row>
    <row r="2000">
      <c r="A2000" t="inlineStr">
        <is>
          <t>INSULATION</t>
        </is>
      </c>
      <c r="B2000" t="n">
        <v>1</v>
      </c>
    </row>
    <row r="2001">
      <c r="A2001" t="inlineStr">
        <is>
          <t>INERTIA</t>
        </is>
      </c>
      <c r="B2001" t="n">
        <v>2</v>
      </c>
    </row>
    <row r="2002">
      <c r="A2002" t="inlineStr">
        <is>
          <t>DELPHI METHOD</t>
        </is>
      </c>
      <c r="B2002" t="n">
        <v>1</v>
      </c>
    </row>
    <row r="2003">
      <c r="A2003" t="inlineStr">
        <is>
          <t>DRIVERS</t>
        </is>
      </c>
      <c r="B2003" t="n">
        <v>1</v>
      </c>
    </row>
    <row r="2004">
      <c r="A2004" t="inlineStr">
        <is>
          <t>PROJECTS</t>
        </is>
      </c>
      <c r="B2004" t="n">
        <v>1</v>
      </c>
    </row>
    <row r="2005">
      <c r="A2005" t="inlineStr">
        <is>
          <t>ILLUSORY FACE</t>
        </is>
      </c>
      <c r="B2005" t="n">
        <v>1</v>
      </c>
    </row>
    <row r="2006">
      <c r="A2006" t="inlineStr">
        <is>
          <t>BELIEVERS</t>
        </is>
      </c>
      <c r="B2006" t="n">
        <v>1</v>
      </c>
    </row>
    <row r="2007">
      <c r="A2007" t="inlineStr">
        <is>
          <t>ILLUSIONS</t>
        </is>
      </c>
      <c r="B2007" t="n">
        <v>1</v>
      </c>
    </row>
    <row r="2008">
      <c r="A2008" t="inlineStr">
        <is>
          <t>PRONE</t>
        </is>
      </c>
      <c r="B2008" t="n">
        <v>1</v>
      </c>
    </row>
    <row r="2009">
      <c r="A2009" t="inlineStr">
        <is>
          <t>URBAN METABOLISM</t>
        </is>
      </c>
      <c r="B2009" t="n">
        <v>2</v>
      </c>
    </row>
    <row r="2010">
      <c r="A2010" t="inlineStr">
        <is>
          <t>MATERIAL FLOWS</t>
        </is>
      </c>
      <c r="B2010" t="n">
        <v>2</v>
      </c>
    </row>
    <row r="2011">
      <c r="A2011" t="inlineStr">
        <is>
          <t>INDOOR-OUTDOOR RELATIONSHIPS</t>
        </is>
      </c>
      <c r="B2011" t="n">
        <v>1</v>
      </c>
    </row>
    <row r="2012">
      <c r="A2012" t="inlineStr">
        <is>
          <t>WATER-SOLUBLE IONS</t>
        </is>
      </c>
      <c r="B2012" t="n">
        <v>1</v>
      </c>
    </row>
    <row r="2013">
      <c r="A2013" t="inlineStr">
        <is>
          <t>ACREMONIUM-EXUVIARUM</t>
        </is>
      </c>
      <c r="B2013" t="n">
        <v>1</v>
      </c>
    </row>
    <row r="2014">
      <c r="A2014" t="inlineStr">
        <is>
          <t>MOLDS</t>
        </is>
      </c>
      <c r="B2014" t="n">
        <v>1</v>
      </c>
    </row>
    <row r="2015">
      <c r="A2015" t="inlineStr">
        <is>
          <t>FUNGI</t>
        </is>
      </c>
      <c r="B2015" t="n">
        <v>3</v>
      </c>
    </row>
    <row r="2016">
      <c r="A2016" t="inlineStr">
        <is>
          <t>INFLAMMASOME</t>
        </is>
      </c>
      <c r="B2016" t="n">
        <v>1</v>
      </c>
    </row>
    <row r="2017">
      <c r="A2017" t="inlineStr">
        <is>
          <t>ASPERGILLUS</t>
        </is>
      </c>
      <c r="B2017" t="n">
        <v>1</v>
      </c>
    </row>
    <row r="2018">
      <c r="A2018" t="inlineStr">
        <is>
          <t>AMBULATORY ACTIVITY</t>
        </is>
      </c>
      <c r="B2018" t="n">
        <v>1</v>
      </c>
    </row>
    <row r="2019">
      <c r="A2019" t="inlineStr">
        <is>
          <t>COOLING DEGREE-HOURS</t>
        </is>
      </c>
      <c r="B2019" t="n">
        <v>2</v>
      </c>
    </row>
    <row r="2020">
      <c r="A2020" t="inlineStr">
        <is>
          <t>PULMONARY-DISEASE</t>
        </is>
      </c>
      <c r="B2020" t="n">
        <v>1</v>
      </c>
    </row>
    <row r="2021">
      <c r="A2021" t="inlineStr">
        <is>
          <t>EXTREMES</t>
        </is>
      </c>
      <c r="B2021" t="n">
        <v>1</v>
      </c>
    </row>
    <row r="2022">
      <c r="A2022" t="inlineStr">
        <is>
          <t>SMOKING</t>
        </is>
      </c>
      <c r="B2022" t="n">
        <v>2</v>
      </c>
    </row>
    <row r="2023">
      <c r="A2023" t="inlineStr">
        <is>
          <t>PATTERN</t>
        </is>
      </c>
      <c r="B2023" t="n">
        <v>1</v>
      </c>
    </row>
    <row r="2024">
      <c r="A2024" t="inlineStr">
        <is>
          <t>ARTIFICIAL NEURAL-NETWORKS</t>
        </is>
      </c>
      <c r="B2024" t="n">
        <v>1</v>
      </c>
    </row>
    <row r="2025">
      <c r="A2025" t="inlineStr">
        <is>
          <t>TERROR MANAGEMENT</t>
        </is>
      </c>
      <c r="B2025" t="n">
        <v>1</v>
      </c>
    </row>
    <row r="2026">
      <c r="A2026" t="inlineStr">
        <is>
          <t>CHILD</t>
        </is>
      </c>
      <c r="B2026" t="n">
        <v>2</v>
      </c>
    </row>
    <row r="2027">
      <c r="A2027" t="inlineStr">
        <is>
          <t>FAMILY CAREGIVERS</t>
        </is>
      </c>
      <c r="B2027" t="n">
        <v>4</v>
      </c>
    </row>
    <row r="2028">
      <c r="A2028" t="inlineStr">
        <is>
          <t>SUBJECTIVE BURDEN</t>
        </is>
      </c>
      <c r="B2028" t="n">
        <v>1</v>
      </c>
    </row>
    <row r="2029">
      <c r="A2029" t="inlineStr">
        <is>
          <t>CARERS</t>
        </is>
      </c>
      <c r="B2029" t="n">
        <v>2</v>
      </c>
    </row>
    <row r="2030">
      <c r="A2030" t="inlineStr">
        <is>
          <t>BABY-BOOMERS</t>
        </is>
      </c>
      <c r="B2030" t="n">
        <v>1</v>
      </c>
    </row>
    <row r="2031">
      <c r="A2031" t="inlineStr">
        <is>
          <t>CONSUMER</t>
        </is>
      </c>
      <c r="B2031" t="n">
        <v>3</v>
      </c>
    </row>
    <row r="2032">
      <c r="A2032" t="inlineStr">
        <is>
          <t>PARTNERSHIPS</t>
        </is>
      </c>
      <c r="B2032" t="n">
        <v>1</v>
      </c>
    </row>
    <row r="2033">
      <c r="A2033" t="inlineStr">
        <is>
          <t>ANTECEDENTS</t>
        </is>
      </c>
      <c r="B2033" t="n">
        <v>1</v>
      </c>
    </row>
    <row r="2034">
      <c r="A2034" t="inlineStr">
        <is>
          <t>CONTEXTS</t>
        </is>
      </c>
      <c r="B2034" t="n">
        <v>2</v>
      </c>
    </row>
    <row r="2035">
      <c r="A2035" t="inlineStr">
        <is>
          <t>LANGUAGE</t>
        </is>
      </c>
      <c r="B2035" t="n">
        <v>1</v>
      </c>
    </row>
    <row r="2036">
      <c r="A2036" t="inlineStr">
        <is>
          <t>SCALES</t>
        </is>
      </c>
      <c r="B2036" t="n">
        <v>1</v>
      </c>
    </row>
    <row r="2037">
      <c r="A2037" t="inlineStr">
        <is>
          <t>NOX CONCENTRATIONS</t>
        </is>
      </c>
      <c r="B2037" t="n">
        <v>1</v>
      </c>
    </row>
    <row r="2038">
      <c r="A2038" t="inlineStr">
        <is>
          <t>BOUNDARY-LAYER</t>
        </is>
      </c>
      <c r="B2038" t="n">
        <v>1</v>
      </c>
    </row>
    <row r="2039">
      <c r="A2039" t="inlineStr">
        <is>
          <t>PEER OBSERVATION</t>
        </is>
      </c>
      <c r="B2039" t="n">
        <v>1</v>
      </c>
    </row>
    <row r="2040">
      <c r="A2040" t="inlineStr">
        <is>
          <t>INTERVIEW</t>
        </is>
      </c>
      <c r="B2040" t="n">
        <v>2</v>
      </c>
    </row>
    <row r="2041">
      <c r="A2041" t="inlineStr">
        <is>
          <t>SOCIAL VULNERABILITY</t>
        </is>
      </c>
      <c r="B2041" t="n">
        <v>2</v>
      </c>
    </row>
    <row r="2042">
      <c r="A2042" t="inlineStr">
        <is>
          <t>CHILDLESSNESS</t>
        </is>
      </c>
      <c r="B2042" t="n">
        <v>1</v>
      </c>
    </row>
    <row r="2043">
      <c r="A2043" t="inlineStr">
        <is>
          <t>SURVIVAL</t>
        </is>
      </c>
      <c r="B2043" t="n">
        <v>4</v>
      </c>
    </row>
    <row r="2044">
      <c r="A2044" t="inlineStr">
        <is>
          <t>KOREAN VERSION</t>
        </is>
      </c>
      <c r="B2044" t="n">
        <v>2</v>
      </c>
    </row>
    <row r="2045">
      <c r="A2045" t="inlineStr">
        <is>
          <t>ENVELOPE DESIGN</t>
        </is>
      </c>
      <c r="B2045" t="n">
        <v>1</v>
      </c>
    </row>
    <row r="2046">
      <c r="A2046" t="inlineStr">
        <is>
          <t>SAVING TECHNOLOGIES</t>
        </is>
      </c>
      <c r="B2046" t="n">
        <v>1</v>
      </c>
    </row>
    <row r="2047">
      <c r="A2047" t="inlineStr">
        <is>
          <t>WINTER ZONE</t>
        </is>
      </c>
      <c r="B2047" t="n">
        <v>1</v>
      </c>
    </row>
    <row r="2048">
      <c r="A2048" t="inlineStr">
        <is>
          <t>ENVELOPE</t>
        </is>
      </c>
      <c r="B2048" t="n">
        <v>2</v>
      </c>
    </row>
    <row r="2049">
      <c r="A2049" t="inlineStr">
        <is>
          <t>REGIONS</t>
        </is>
      </c>
      <c r="B2049" t="n">
        <v>1</v>
      </c>
    </row>
    <row r="2050">
      <c r="A2050" t="inlineStr">
        <is>
          <t>SPPB</t>
        </is>
      </c>
      <c r="B2050" t="n">
        <v>1</v>
      </c>
    </row>
    <row r="2051">
      <c r="A2051" t="inlineStr">
        <is>
          <t>ENVIRONMENTAL BARRIERS</t>
        </is>
      </c>
      <c r="B2051" t="n">
        <v>2</v>
      </c>
    </row>
    <row r="2052">
      <c r="A2052" t="inlineStr">
        <is>
          <t>ANALYTIC HIERARCHY PROCESS</t>
        </is>
      </c>
      <c r="B2052" t="n">
        <v>1</v>
      </c>
    </row>
    <row r="2053">
      <c r="A2053" t="inlineStr">
        <is>
          <t>FUTURE-DIRECTIONS</t>
        </is>
      </c>
      <c r="B2053" t="n">
        <v>2</v>
      </c>
    </row>
    <row r="2054">
      <c r="A2054" t="inlineStr">
        <is>
          <t>GBTOOL</t>
        </is>
      </c>
      <c r="B2054" t="n">
        <v>1</v>
      </c>
    </row>
    <row r="2055">
      <c r="A2055" t="inlineStr">
        <is>
          <t>PHASE TROPOSPHERIC CHEMISTRY</t>
        </is>
      </c>
      <c r="B2055" t="n">
        <v>1</v>
      </c>
    </row>
    <row r="2056">
      <c r="A2056" t="inlineStr">
        <is>
          <t>HOT-SPOT</t>
        </is>
      </c>
      <c r="B2056" t="n">
        <v>1</v>
      </c>
    </row>
    <row r="2057">
      <c r="A2057" t="inlineStr">
        <is>
          <t>NEW-ZEALAND CHILDREN</t>
        </is>
      </c>
      <c r="B2057" t="n">
        <v>1</v>
      </c>
    </row>
    <row r="2058">
      <c r="A2058" t="inlineStr">
        <is>
          <t>REPORT CARD GRADES</t>
        </is>
      </c>
      <c r="B2058" t="n">
        <v>1</v>
      </c>
    </row>
    <row r="2059">
      <c r="A2059" t="inlineStr">
        <is>
          <t>SCHOOL TRAVEL</t>
        </is>
      </c>
      <c r="B2059" t="n">
        <v>1</v>
      </c>
    </row>
    <row r="2060">
      <c r="A2060" t="inlineStr">
        <is>
          <t>HAZARDS</t>
        </is>
      </c>
      <c r="B2060" t="n">
        <v>5</v>
      </c>
    </row>
    <row r="2061">
      <c r="A2061" t="inlineStr">
        <is>
          <t>CONSUMERS</t>
        </is>
      </c>
      <c r="B2061" t="n">
        <v>1</v>
      </c>
    </row>
    <row r="2062">
      <c r="A2062" t="inlineStr">
        <is>
          <t>CUES</t>
        </is>
      </c>
      <c r="B2062" t="n">
        <v>2</v>
      </c>
    </row>
    <row r="2063">
      <c r="A2063" t="inlineStr">
        <is>
          <t>SCHOOL TRIPS</t>
        </is>
      </c>
      <c r="B2063" t="n">
        <v>1</v>
      </c>
    </row>
    <row r="2064">
      <c r="A2064" t="inlineStr">
        <is>
          <t>TOLERANCE</t>
        </is>
      </c>
      <c r="B2064" t="n">
        <v>2</v>
      </c>
    </row>
    <row r="2065">
      <c r="A2065" t="inlineStr">
        <is>
          <t>URBAN SPACES</t>
        </is>
      </c>
      <c r="B2065" t="n">
        <v>1</v>
      </c>
    </row>
    <row r="2066">
      <c r="A2066" t="inlineStr">
        <is>
          <t>ABBREVIATED MENTAL TEST</t>
        </is>
      </c>
      <c r="B2066" t="n">
        <v>2</v>
      </c>
    </row>
    <row r="2067">
      <c r="A2067" t="inlineStr">
        <is>
          <t>RELATIVE DEPRIVATION</t>
        </is>
      </c>
      <c r="B2067" t="n">
        <v>1</v>
      </c>
    </row>
    <row r="2068">
      <c r="A2068" t="inlineStr">
        <is>
          <t>INCOME INEQUALITY</t>
        </is>
      </c>
      <c r="B2068" t="n">
        <v>2</v>
      </c>
    </row>
    <row r="2069">
      <c r="A2069" t="inlineStr">
        <is>
          <t>MORBIDITY</t>
        </is>
      </c>
      <c r="B2069" t="n">
        <v>4</v>
      </c>
    </row>
    <row r="2070">
      <c r="A2070" t="inlineStr">
        <is>
          <t>ORAL-HEALTH STATUS</t>
        </is>
      </c>
      <c r="B2070" t="n">
        <v>1</v>
      </c>
    </row>
    <row r="2071">
      <c r="A2071" t="inlineStr">
        <is>
          <t>DENTAL-CARIES</t>
        </is>
      </c>
      <c r="B2071" t="n">
        <v>1</v>
      </c>
    </row>
    <row r="2072">
      <c r="A2072" t="inlineStr">
        <is>
          <t>ROOT CARIES</t>
        </is>
      </c>
      <c r="B2072" t="n">
        <v>1</v>
      </c>
    </row>
    <row r="2073">
      <c r="A2073" t="inlineStr">
        <is>
          <t>FLUORIDE</t>
        </is>
      </c>
      <c r="B2073" t="n">
        <v>1</v>
      </c>
    </row>
    <row r="2074">
      <c r="A2074" t="inlineStr">
        <is>
          <t>IMPROVEMENT</t>
        </is>
      </c>
      <c r="B2074" t="n">
        <v>3</v>
      </c>
    </row>
    <row r="2075">
      <c r="A2075" t="inlineStr">
        <is>
          <t>DISEASES</t>
        </is>
      </c>
      <c r="B2075" t="n">
        <v>5</v>
      </c>
    </row>
    <row r="2076">
      <c r="A2076" t="inlineStr">
        <is>
          <t>HEALTH-RISK-ASSESSMENT</t>
        </is>
      </c>
      <c r="B2076" t="n">
        <v>1</v>
      </c>
    </row>
    <row r="2077">
      <c r="A2077" t="inlineStr">
        <is>
          <t>PM2.5 CONCENTRATIONS</t>
        </is>
      </c>
      <c r="B2077" t="n">
        <v>4</v>
      </c>
    </row>
    <row r="2078">
      <c r="A2078" t="inlineStr">
        <is>
          <t>ART</t>
        </is>
      </c>
      <c r="B2078" t="n">
        <v>2</v>
      </c>
    </row>
    <row r="2079">
      <c r="A2079" t="inlineStr">
        <is>
          <t>DIFFUSION SIZE CLASSIFIER</t>
        </is>
      </c>
      <c r="B2079" t="n">
        <v>1</v>
      </c>
    </row>
    <row r="2080">
      <c r="A2080" t="inlineStr">
        <is>
          <t>NANOPARTICLES</t>
        </is>
      </c>
      <c r="B2080" t="n">
        <v>2</v>
      </c>
    </row>
    <row r="2081">
      <c r="A2081" t="inlineStr">
        <is>
          <t>COMPARABILITY</t>
        </is>
      </c>
      <c r="B2081" t="n">
        <v>1</v>
      </c>
    </row>
    <row r="2082">
      <c r="A2082" t="inlineStr">
        <is>
          <t>HEALTH-SERVICES</t>
        </is>
      </c>
      <c r="B2082" t="n">
        <v>1</v>
      </c>
    </row>
    <row r="2083">
      <c r="A2083" t="inlineStr">
        <is>
          <t>UNIFIED THEORY</t>
        </is>
      </c>
      <c r="B2083" t="n">
        <v>2</v>
      </c>
    </row>
    <row r="2084">
      <c r="A2084" t="inlineStr">
        <is>
          <t>TELEMEDICINE</t>
        </is>
      </c>
      <c r="B2084" t="n">
        <v>1</v>
      </c>
    </row>
    <row r="2085">
      <c r="A2085" t="inlineStr">
        <is>
          <t>NUTRITION EXAMINATION SURVEY</t>
        </is>
      </c>
      <c r="B2085" t="n">
        <v>2</v>
      </c>
    </row>
    <row r="2086">
      <c r="A2086" t="inlineStr">
        <is>
          <t>CARDIOVASCULAR-DISEASE RISK</t>
        </is>
      </c>
      <c r="B2086" t="n">
        <v>1</v>
      </c>
    </row>
    <row r="2087">
      <c r="A2087" t="inlineStr">
        <is>
          <t>LEUKOCYTE TELOMERE LENGTH</t>
        </is>
      </c>
      <c r="B2087" t="n">
        <v>1</v>
      </c>
    </row>
    <row r="2088">
      <c r="A2088" t="inlineStr">
        <is>
          <t>INCREASED LIFE EXPECTANCY</t>
        </is>
      </c>
      <c r="B2088" t="n">
        <v>1</v>
      </c>
    </row>
    <row r="2089">
      <c r="A2089" t="inlineStr">
        <is>
          <t>MEDITERRANEAN DIET</t>
        </is>
      </c>
      <c r="B2089" t="n">
        <v>3</v>
      </c>
    </row>
    <row r="2090">
      <c r="A2090" t="inlineStr">
        <is>
          <t>PREDIMED-NAVARRA</t>
        </is>
      </c>
      <c r="B2090" t="n">
        <v>1</v>
      </c>
    </row>
    <row r="2091">
      <c r="A2091" t="inlineStr">
        <is>
          <t>CONCEPT MAPS</t>
        </is>
      </c>
      <c r="B2091" t="n">
        <v>1</v>
      </c>
    </row>
    <row r="2092">
      <c r="A2092" t="inlineStr">
        <is>
          <t>THINKING</t>
        </is>
      </c>
      <c r="B2092" t="n">
        <v>1</v>
      </c>
    </row>
    <row r="2093">
      <c r="A2093" t="inlineStr">
        <is>
          <t>SAMPLE</t>
        </is>
      </c>
      <c r="B2093" t="n">
        <v>6</v>
      </c>
    </row>
    <row r="2094">
      <c r="A2094" t="inlineStr">
        <is>
          <t>ROUTE</t>
        </is>
      </c>
      <c r="B2094" t="n">
        <v>2</v>
      </c>
    </row>
    <row r="2095">
      <c r="A2095" t="inlineStr">
        <is>
          <t>MODE</t>
        </is>
      </c>
      <c r="B2095" t="n">
        <v>2</v>
      </c>
    </row>
    <row r="2096">
      <c r="A2096" t="inlineStr">
        <is>
          <t>DUST SAMPLES</t>
        </is>
      </c>
      <c r="B2096" t="n">
        <v>1</v>
      </c>
    </row>
    <row r="2097">
      <c r="A2097" t="inlineStr">
        <is>
          <t>GREAT-LAKES</t>
        </is>
      </c>
      <c r="B2097" t="n">
        <v>2</v>
      </c>
    </row>
    <row r="2098">
      <c r="A2098" t="inlineStr">
        <is>
          <t>PLASTICIZERS</t>
        </is>
      </c>
      <c r="B2098" t="n">
        <v>2</v>
      </c>
    </row>
    <row r="2099">
      <c r="A2099" t="inlineStr">
        <is>
          <t>WASTE TIRE RUBBER</t>
        </is>
      </c>
      <c r="B2099" t="n">
        <v>1</v>
      </c>
    </row>
    <row r="2100">
      <c r="A2100" t="inlineStr">
        <is>
          <t>LIGHTWEIGHT CONCRETE</t>
        </is>
      </c>
      <c r="B2100" t="n">
        <v>1</v>
      </c>
    </row>
    <row r="2101">
      <c r="A2101" t="inlineStr">
        <is>
          <t>MECHANICAL-PROPERTIES</t>
        </is>
      </c>
      <c r="B2101" t="n">
        <v>1</v>
      </c>
    </row>
    <row r="2102">
      <c r="A2102" t="inlineStr">
        <is>
          <t>CRUMB RUBBER</t>
        </is>
      </c>
      <c r="B2102" t="n">
        <v>1</v>
      </c>
    </row>
    <row r="2103">
      <c r="A2103" t="inlineStr">
        <is>
          <t>BRICK</t>
        </is>
      </c>
      <c r="B2103" t="n">
        <v>1</v>
      </c>
    </row>
    <row r="2104">
      <c r="A2104" t="inlineStr">
        <is>
          <t>DEFORMATION</t>
        </is>
      </c>
      <c r="B2104" t="n">
        <v>2</v>
      </c>
    </row>
    <row r="2105">
      <c r="A2105" t="inlineStr">
        <is>
          <t>WALLS</t>
        </is>
      </c>
      <c r="B2105" t="n">
        <v>2</v>
      </c>
    </row>
    <row r="2106">
      <c r="A2106" t="inlineStr">
        <is>
          <t>NEP SCALE</t>
        </is>
      </c>
      <c r="B2106" t="n">
        <v>1</v>
      </c>
    </row>
    <row r="2107">
      <c r="A2107" t="inlineStr">
        <is>
          <t>SPILLOVER</t>
        </is>
      </c>
      <c r="B2107" t="n">
        <v>1</v>
      </c>
    </row>
    <row r="2108">
      <c r="A2108" t="inlineStr">
        <is>
          <t>WORKPLACE</t>
        </is>
      </c>
      <c r="B2108" t="n">
        <v>1</v>
      </c>
    </row>
    <row r="2109">
      <c r="A2109" t="inlineStr">
        <is>
          <t>PARADIGM</t>
        </is>
      </c>
      <c r="B2109" t="n">
        <v>2</v>
      </c>
    </row>
    <row r="2110">
      <c r="A2110" t="inlineStr">
        <is>
          <t>SKIN</t>
        </is>
      </c>
      <c r="B2110" t="n">
        <v>1</v>
      </c>
    </row>
    <row r="2111">
      <c r="A2111" t="inlineStr">
        <is>
          <t>CAMPAIGNS</t>
        </is>
      </c>
      <c r="B2111" t="n">
        <v>1</v>
      </c>
    </row>
    <row r="2112">
      <c r="A2112" t="inlineStr">
        <is>
          <t>FOODS</t>
        </is>
      </c>
      <c r="B2112" t="n">
        <v>1</v>
      </c>
    </row>
    <row r="2113">
      <c r="A2113" t="inlineStr">
        <is>
          <t>TRACKING SYSTEM</t>
        </is>
      </c>
      <c r="B2113" t="n">
        <v>1</v>
      </c>
    </row>
    <row r="2114">
      <c r="A2114" t="inlineStr">
        <is>
          <t>CONGRUENT SETS</t>
        </is>
      </c>
      <c r="B2114" t="n">
        <v>1</v>
      </c>
    </row>
    <row r="2115">
      <c r="A2115" t="inlineStr">
        <is>
          <t>SELF-DETERMINATION THEORY</t>
        </is>
      </c>
      <c r="B2115" t="n">
        <v>1</v>
      </c>
    </row>
    <row r="2116">
      <c r="A2116" t="inlineStr">
        <is>
          <t>SCALE CES-D</t>
        </is>
      </c>
      <c r="B2116" t="n">
        <v>1</v>
      </c>
    </row>
    <row r="2117">
      <c r="A2117" t="inlineStr">
        <is>
          <t>OUTDOOR ENVIRONMENT</t>
        </is>
      </c>
      <c r="B2117" t="n">
        <v>1</v>
      </c>
    </row>
    <row r="2118">
      <c r="A2118" t="inlineStr">
        <is>
          <t>PERSONAL GOALS</t>
        </is>
      </c>
      <c r="B2118" t="n">
        <v>1</v>
      </c>
    </row>
    <row r="2119">
      <c r="A2119" t="inlineStr">
        <is>
          <t>ACTIVITY NEED</t>
        </is>
      </c>
      <c r="B2119" t="n">
        <v>1</v>
      </c>
    </row>
    <row r="2120">
      <c r="A2120" t="inlineStr">
        <is>
          <t>DIFFICULTIES</t>
        </is>
      </c>
      <c r="B2120" t="n">
        <v>2</v>
      </c>
    </row>
    <row r="2121">
      <c r="A2121" t="inlineStr">
        <is>
          <t>AGE-FRIENDLY CITIES</t>
        </is>
      </c>
      <c r="B2121" t="n">
        <v>1</v>
      </c>
    </row>
    <row r="2122">
      <c r="A2122" t="inlineStr">
        <is>
          <t>HOME-ENVIRONMENT</t>
        </is>
      </c>
      <c r="B2122" t="n">
        <v>2</v>
      </c>
    </row>
    <row r="2123">
      <c r="A2123" t="inlineStr">
        <is>
          <t>HISTORICAL EMISSION INVENTORY</t>
        </is>
      </c>
      <c r="B2123" t="n">
        <v>2</v>
      </c>
    </row>
    <row r="2124">
      <c r="A2124" t="inlineStr">
        <is>
          <t>GLOBAL DISTRIBUTION</t>
        </is>
      </c>
      <c r="B2124" t="n">
        <v>2</v>
      </c>
    </row>
    <row r="2125">
      <c r="A2125" t="inlineStr">
        <is>
          <t>ORGANIC-CHEMICALS</t>
        </is>
      </c>
      <c r="B2125" t="n">
        <v>2</v>
      </c>
    </row>
    <row r="2126">
      <c r="A2126" t="inlineStr">
        <is>
          <t>PCB CONGENERS</t>
        </is>
      </c>
      <c r="B2126" t="n">
        <v>2</v>
      </c>
    </row>
    <row r="2127">
      <c r="A2127" t="inlineStr">
        <is>
          <t>ATMOSPHERIC CONCENTRATIONS</t>
        </is>
      </c>
      <c r="B2127" t="n">
        <v>1</v>
      </c>
    </row>
    <row r="2128">
      <c r="A2128" t="inlineStr">
        <is>
          <t>ORGANOCHLORINE PESTICIDES</t>
        </is>
      </c>
      <c r="B2128" t="n">
        <v>2</v>
      </c>
    </row>
    <row r="2129">
      <c r="A2129" t="inlineStr">
        <is>
          <t>MULTIMEDIA MODEL</t>
        </is>
      </c>
      <c r="B2129" t="n">
        <v>1</v>
      </c>
    </row>
    <row r="2130">
      <c r="A2130" t="inlineStr">
        <is>
          <t>NEAR-FIELD</t>
        </is>
      </c>
      <c r="B2130" t="n">
        <v>1</v>
      </c>
    </row>
    <row r="2131">
      <c r="A2131" t="inlineStr">
        <is>
          <t>SPEECH TRANSMISSION INDEX</t>
        </is>
      </c>
      <c r="B2131" t="n">
        <v>1</v>
      </c>
    </row>
    <row r="2132">
      <c r="A2132" t="inlineStr">
        <is>
          <t>CONDITIONING HVAC SYSTEMS</t>
        </is>
      </c>
      <c r="B2132" t="n">
        <v>1</v>
      </c>
    </row>
    <row r="2133">
      <c r="A2133" t="inlineStr">
        <is>
          <t>COMPUTER VISION SYNDROME</t>
        </is>
      </c>
      <c r="B2133" t="n">
        <v>1</v>
      </c>
    </row>
    <row r="2134">
      <c r="A2134" t="inlineStr">
        <is>
          <t>REVERBERATION TIME</t>
        </is>
      </c>
      <c r="B2134" t="n">
        <v>1</v>
      </c>
    </row>
    <row r="2135">
      <c r="A2135" t="inlineStr">
        <is>
          <t>ASSESSMENT MODEL</t>
        </is>
      </c>
      <c r="B2135" t="n">
        <v>1</v>
      </c>
    </row>
    <row r="2136">
      <c r="A2136" t="inlineStr">
        <is>
          <t>ACTIVITY SPACE</t>
        </is>
      </c>
      <c r="B2136" t="n">
        <v>2</v>
      </c>
    </row>
    <row r="2137">
      <c r="A2137" t="inlineStr">
        <is>
          <t>CLOSE-RANGE PHOTOGRAMMETRY</t>
        </is>
      </c>
      <c r="B2137" t="n">
        <v>1</v>
      </c>
    </row>
    <row r="2138">
      <c r="A2138" t="inlineStr">
        <is>
          <t>BONE-MINERAL DENSITY</t>
        </is>
      </c>
      <c r="B2138" t="n">
        <v>1</v>
      </c>
    </row>
    <row r="2139">
      <c r="A2139" t="inlineStr">
        <is>
          <t>MEDICAL INFORMATICS</t>
        </is>
      </c>
      <c r="B2139" t="n">
        <v>1</v>
      </c>
    </row>
    <row r="2140">
      <c r="A2140" t="inlineStr">
        <is>
          <t>ROOF</t>
        </is>
      </c>
      <c r="B2140" t="n">
        <v>2</v>
      </c>
    </row>
    <row r="2141">
      <c r="A2141" t="inlineStr">
        <is>
          <t>PROVISION</t>
        </is>
      </c>
      <c r="B2141" t="n">
        <v>1</v>
      </c>
    </row>
    <row r="2142">
      <c r="A2142" t="inlineStr">
        <is>
          <t>TREES</t>
        </is>
      </c>
      <c r="B2142" t="n">
        <v>1</v>
      </c>
    </row>
    <row r="2143">
      <c r="A2143" t="inlineStr">
        <is>
          <t>LATE-LIFE</t>
        </is>
      </c>
      <c r="B2143" t="n">
        <v>1</v>
      </c>
    </row>
    <row r="2144">
      <c r="A2144" t="inlineStr">
        <is>
          <t>GENERATIVITY</t>
        </is>
      </c>
      <c r="B2144" t="n">
        <v>1</v>
      </c>
    </row>
    <row r="2145">
      <c r="A2145" t="inlineStr">
        <is>
          <t>VALUING ECOSYSTEM SERVICES</t>
        </is>
      </c>
      <c r="B2145" t="n">
        <v>1</v>
      </c>
    </row>
    <row r="2146">
      <c r="A2146" t="inlineStr">
        <is>
          <t>HANDGRIP STRENGTH</t>
        </is>
      </c>
      <c r="B2146" t="n">
        <v>5</v>
      </c>
    </row>
    <row r="2147">
      <c r="A2147" t="inlineStr">
        <is>
          <t>MUSCLE STRENGTH</t>
        </is>
      </c>
      <c r="B2147" t="n">
        <v>5</v>
      </c>
    </row>
    <row r="2148">
      <c r="A2148" t="inlineStr">
        <is>
          <t>WORK PERFORMANCE</t>
        </is>
      </c>
      <c r="B2148" t="n">
        <v>1</v>
      </c>
    </row>
    <row r="2149">
      <c r="A2149" t="inlineStr">
        <is>
          <t>ATOPY</t>
        </is>
      </c>
      <c r="B2149" t="n">
        <v>1</v>
      </c>
    </row>
    <row r="2150">
      <c r="A2150" t="inlineStr">
        <is>
          <t>PHYSICAL-ACTIVITY BEHAVIORS</t>
        </is>
      </c>
      <c r="B2150" t="n">
        <v>1</v>
      </c>
    </row>
    <row r="2151">
      <c r="A2151" t="inlineStr">
        <is>
          <t>ATHEROSCLEROSIS RISK</t>
        </is>
      </c>
      <c r="B2151" t="n">
        <v>1</v>
      </c>
    </row>
    <row r="2152">
      <c r="A2152" t="inlineStr">
        <is>
          <t>PARTICLE DEPOSITION</t>
        </is>
      </c>
      <c r="B2152" t="n">
        <v>3</v>
      </c>
    </row>
    <row r="2153">
      <c r="A2153" t="inlineStr">
        <is>
          <t>INFILTRATION</t>
        </is>
      </c>
      <c r="B2153" t="n">
        <v>4</v>
      </c>
    </row>
    <row r="2154">
      <c r="A2154" t="inlineStr">
        <is>
          <t>RATIO</t>
        </is>
      </c>
      <c r="B2154" t="n">
        <v>2</v>
      </c>
    </row>
    <row r="2155">
      <c r="A2155" t="inlineStr">
        <is>
          <t>CENTERED CARE</t>
        </is>
      </c>
      <c r="B2155" t="n">
        <v>1</v>
      </c>
    </row>
    <row r="2156">
      <c r="A2156" t="inlineStr">
        <is>
          <t>LUNG-FUNCTION</t>
        </is>
      </c>
      <c r="B2156" t="n">
        <v>4</v>
      </c>
    </row>
    <row r="2157">
      <c r="A2157" t="inlineStr">
        <is>
          <t>HOUSE-DUST SAMPLES</t>
        </is>
      </c>
      <c r="B2157" t="n">
        <v>1</v>
      </c>
    </row>
    <row r="2158">
      <c r="A2158" t="inlineStr">
        <is>
          <t>FORENSIC MICROSCOPY</t>
        </is>
      </c>
      <c r="B2158" t="n">
        <v>1</v>
      </c>
    </row>
    <row r="2159">
      <c r="A2159" t="inlineStr">
        <is>
          <t>DECHLORANE PLUS</t>
        </is>
      </c>
      <c r="B2159" t="n">
        <v>2</v>
      </c>
    </row>
    <row r="2160">
      <c r="A2160" t="inlineStr">
        <is>
          <t>TEST CHAMBER</t>
        </is>
      </c>
      <c r="B2160" t="n">
        <v>1</v>
      </c>
    </row>
    <row r="2161">
      <c r="A2161" t="inlineStr">
        <is>
          <t>PHASE-OUT</t>
        </is>
      </c>
      <c r="B2161" t="n">
        <v>2</v>
      </c>
    </row>
    <row r="2162">
      <c r="A2162" t="inlineStr">
        <is>
          <t>HEXABROMOCYCLODODECANE</t>
        </is>
      </c>
      <c r="B2162" t="n">
        <v>1</v>
      </c>
    </row>
    <row r="2163">
      <c r="A2163" t="inlineStr">
        <is>
          <t>TAI-CHI</t>
        </is>
      </c>
      <c r="B2163" t="n">
        <v>1</v>
      </c>
    </row>
    <row r="2164">
      <c r="A2164" t="inlineStr">
        <is>
          <t>SOCIAL CONNECTEDNESS</t>
        </is>
      </c>
      <c r="B2164" t="n">
        <v>1</v>
      </c>
    </row>
    <row r="2165">
      <c r="A2165" t="inlineStr">
        <is>
          <t>PARKINSON DISEASE</t>
        </is>
      </c>
      <c r="B2165" t="n">
        <v>1</v>
      </c>
    </row>
    <row r="2166">
      <c r="A2166" t="inlineStr">
        <is>
          <t>TELEHEALTH</t>
        </is>
      </c>
      <c r="B2166" t="n">
        <v>2</v>
      </c>
    </row>
    <row r="2167">
      <c r="A2167" t="inlineStr">
        <is>
          <t>URBAN VULNERABILITY</t>
        </is>
      </c>
      <c r="B2167" t="n">
        <v>1</v>
      </c>
    </row>
    <row r="2168">
      <c r="A2168" t="inlineStr">
        <is>
          <t>ORGANOPHOSPHATE FLAME RETARDANTS</t>
        </is>
      </c>
      <c r="B2168" t="n">
        <v>1</v>
      </c>
    </row>
    <row r="2169">
      <c r="A2169" t="inlineStr">
        <is>
          <t>COMMUNICATION TECHNOLOGIES</t>
        </is>
      </c>
      <c r="B2169" t="n">
        <v>1</v>
      </c>
    </row>
    <row r="2170">
      <c r="A2170" t="inlineStr">
        <is>
          <t>ASSISTIVE TECHNOLOGY</t>
        </is>
      </c>
      <c r="B2170" t="n">
        <v>1</v>
      </c>
    </row>
    <row r="2171">
      <c r="A2171" t="inlineStr">
        <is>
          <t>DEFINITION</t>
        </is>
      </c>
      <c r="B2171" t="n">
        <v>6</v>
      </c>
    </row>
    <row r="2172">
      <c r="A2172" t="inlineStr">
        <is>
          <t>OVERLAP</t>
        </is>
      </c>
      <c r="B2172" t="n">
        <v>1</v>
      </c>
    </row>
    <row r="2173">
      <c r="A2173" t="inlineStr">
        <is>
          <t>USAGE</t>
        </is>
      </c>
      <c r="B2173" t="n">
        <v>3</v>
      </c>
    </row>
    <row r="2174">
      <c r="A2174" t="inlineStr">
        <is>
          <t>MUSCLE FUNCTION</t>
        </is>
      </c>
      <c r="B2174" t="n">
        <v>1</v>
      </c>
    </row>
    <row r="2175">
      <c r="A2175" t="inlineStr">
        <is>
          <t>PROTEIN-INTAKE</t>
        </is>
      </c>
      <c r="B2175" t="n">
        <v>1</v>
      </c>
    </row>
    <row r="2176">
      <c r="A2176" t="inlineStr">
        <is>
          <t>DEHYDRATION</t>
        </is>
      </c>
      <c r="B2176" t="n">
        <v>1</v>
      </c>
    </row>
    <row r="2177">
      <c r="A2177" t="inlineStr">
        <is>
          <t>ASSESSMENT LOTCA</t>
        </is>
      </c>
      <c r="B2177" t="n">
        <v>1</v>
      </c>
    </row>
    <row r="2178">
      <c r="A2178" t="inlineStr">
        <is>
          <t>MCI</t>
        </is>
      </c>
      <c r="B2178" t="n">
        <v>1</v>
      </c>
    </row>
    <row r="2179">
      <c r="A2179" t="inlineStr">
        <is>
          <t>NEGLECT</t>
        </is>
      </c>
      <c r="B2179" t="n">
        <v>4</v>
      </c>
    </row>
    <row r="2180">
      <c r="A2180" t="inlineStr">
        <is>
          <t>PHYSICAL FRAILTY</t>
        </is>
      </c>
      <c r="B2180" t="n">
        <v>1</v>
      </c>
    </row>
    <row r="2181">
      <c r="A2181" t="inlineStr">
        <is>
          <t>OFFICE INTERIOR</t>
        </is>
      </c>
      <c r="B2181" t="n">
        <v>1</v>
      </c>
    </row>
    <row r="2182">
      <c r="A2182" t="inlineStr">
        <is>
          <t>COLOR SCHEMES</t>
        </is>
      </c>
      <c r="B2182" t="n">
        <v>1</v>
      </c>
    </row>
    <row r="2183">
      <c r="A2183" t="inlineStr">
        <is>
          <t>ENVIRONMENTAL SENSITIVITY</t>
        </is>
      </c>
      <c r="B2183" t="n">
        <v>1</v>
      </c>
    </row>
    <row r="2184">
      <c r="A2184" t="inlineStr">
        <is>
          <t>EXERCISE PERFORMANCE</t>
        </is>
      </c>
      <c r="B2184" t="n">
        <v>1</v>
      </c>
    </row>
    <row r="2185">
      <c r="A2185" t="inlineStr">
        <is>
          <t>MOBILE MINDFULNESS</t>
        </is>
      </c>
      <c r="B2185" t="n">
        <v>1</v>
      </c>
    </row>
    <row r="2186">
      <c r="A2186" t="inlineStr">
        <is>
          <t>APP</t>
        </is>
      </c>
      <c r="B2186" t="n">
        <v>1</v>
      </c>
    </row>
    <row r="2187">
      <c r="A2187" t="inlineStr">
        <is>
          <t>FEASIBILITY</t>
        </is>
      </c>
      <c r="B2187" t="n">
        <v>3</v>
      </c>
    </row>
    <row r="2188">
      <c r="A2188" t="inlineStr">
        <is>
          <t>DRINKING</t>
        </is>
      </c>
      <c r="B2188" t="n">
        <v>2</v>
      </c>
    </row>
    <row r="2189">
      <c r="A2189" t="inlineStr">
        <is>
          <t>COACH</t>
        </is>
      </c>
      <c r="B2189" t="n">
        <v>1</v>
      </c>
    </row>
    <row r="2190">
      <c r="A2190" t="inlineStr">
        <is>
          <t>HELP</t>
        </is>
      </c>
      <c r="B2190" t="n">
        <v>1</v>
      </c>
    </row>
    <row r="2191">
      <c r="A2191" t="inlineStr">
        <is>
          <t>ULTRAFINE PARTICLE CONCENTRATIONS</t>
        </is>
      </c>
      <c r="B2191" t="n">
        <v>2</v>
      </c>
    </row>
    <row r="2192">
      <c r="A2192" t="inlineStr">
        <is>
          <t>AIR EXCHANGE-RATE</t>
        </is>
      </c>
      <c r="B2192" t="n">
        <v>1</v>
      </c>
    </row>
    <row r="2193">
      <c r="A2193" t="inlineStr">
        <is>
          <t>EMISSION CHARACTERISTICS</t>
        </is>
      </c>
      <c r="B2193" t="n">
        <v>1</v>
      </c>
    </row>
    <row r="2194">
      <c r="A2194" t="inlineStr">
        <is>
          <t>INHALATION EXPOSURE</t>
        </is>
      </c>
      <c r="B2194" t="n">
        <v>3</v>
      </c>
    </row>
    <row r="2195">
      <c r="A2195" t="inlineStr">
        <is>
          <t>RESUSPENSION</t>
        </is>
      </c>
      <c r="B2195" t="n">
        <v>4</v>
      </c>
    </row>
    <row r="2196">
      <c r="A2196" t="inlineStr">
        <is>
          <t>UNEMPLOYMENT</t>
        </is>
      </c>
      <c r="B2196" t="n">
        <v>2</v>
      </c>
    </row>
    <row r="2197">
      <c r="A2197" t="inlineStr">
        <is>
          <t>URBAN GREEN-SPACE</t>
        </is>
      </c>
      <c r="B2197" t="n">
        <v>1</v>
      </c>
    </row>
    <row r="2198">
      <c r="A2198" t="inlineStr">
        <is>
          <t>FEELING YOUNGER</t>
        </is>
      </c>
      <c r="B2198" t="n">
        <v>1</v>
      </c>
    </row>
    <row r="2199">
      <c r="A2199" t="inlineStr">
        <is>
          <t>PRINCIPAL COMPONENT SCORES</t>
        </is>
      </c>
      <c r="B2199" t="n">
        <v>1</v>
      </c>
    </row>
    <row r="2200">
      <c r="A2200" t="inlineStr">
        <is>
          <t>METAL LEVELS</t>
        </is>
      </c>
      <c r="B2200" t="n">
        <v>1</v>
      </c>
    </row>
    <row r="2201">
      <c r="A2201" t="inlineStr">
        <is>
          <t>INDUSTRIAL-AREA</t>
        </is>
      </c>
      <c r="B2201" t="n">
        <v>1</v>
      </c>
    </row>
    <row r="2202">
      <c r="A2202" t="inlineStr">
        <is>
          <t>TRACE-METALS</t>
        </is>
      </c>
      <c r="B2202" t="n">
        <v>1</v>
      </c>
    </row>
    <row r="2203">
      <c r="A2203" t="inlineStr">
        <is>
          <t>HAPPY</t>
        </is>
      </c>
      <c r="B2203" t="n">
        <v>1</v>
      </c>
    </row>
    <row r="2204">
      <c r="A2204" t="inlineStr">
        <is>
          <t>HUMAN COMFORT CONDITIONS</t>
        </is>
      </c>
      <c r="B2204" t="n">
        <v>1</v>
      </c>
    </row>
    <row r="2205">
      <c r="A2205" t="inlineStr">
        <is>
          <t>HUMAN THERMAL COMFORT</t>
        </is>
      </c>
      <c r="B2205" t="n">
        <v>1</v>
      </c>
    </row>
    <row r="2206">
      <c r="A2206" t="inlineStr">
        <is>
          <t>BIOCLIMATE</t>
        </is>
      </c>
      <c r="B2206" t="n">
        <v>1</v>
      </c>
    </row>
    <row r="2207">
      <c r="A2207" t="inlineStr">
        <is>
          <t>FREIBURG</t>
        </is>
      </c>
      <c r="B2207" t="n">
        <v>1</v>
      </c>
    </row>
    <row r="2208">
      <c r="A2208" t="inlineStr">
        <is>
          <t>ATTENDANCE</t>
        </is>
      </c>
      <c r="B2208" t="n">
        <v>3</v>
      </c>
    </row>
    <row r="2209">
      <c r="A2209" t="inlineStr">
        <is>
          <t>SUMMER</t>
        </is>
      </c>
      <c r="B2209" t="n">
        <v>3</v>
      </c>
    </row>
    <row r="2210">
      <c r="A2210" t="inlineStr">
        <is>
          <t>FLUXES</t>
        </is>
      </c>
      <c r="B2210" t="n">
        <v>1</v>
      </c>
    </row>
    <row r="2211">
      <c r="A2211" t="inlineStr">
        <is>
          <t>PREDICTIVE CONTROL</t>
        </is>
      </c>
      <c r="B2211" t="n">
        <v>1</v>
      </c>
    </row>
    <row r="2212">
      <c r="A2212" t="inlineStr">
        <is>
          <t>DEEP</t>
        </is>
      </c>
      <c r="B2212" t="n">
        <v>1</v>
      </c>
    </row>
    <row r="2213">
      <c r="A2213" t="inlineStr">
        <is>
          <t>ROOM</t>
        </is>
      </c>
      <c r="B2213" t="n">
        <v>4</v>
      </c>
    </row>
    <row r="2214">
      <c r="A2214" t="inlineStr">
        <is>
          <t>DIFFERENT MICROENVIRONMENTS</t>
        </is>
      </c>
      <c r="B2214" t="n">
        <v>1</v>
      </c>
    </row>
    <row r="2215">
      <c r="A2215" t="inlineStr">
        <is>
          <t>PHARMACOTHERAPY</t>
        </is>
      </c>
      <c r="B2215" t="n">
        <v>1</v>
      </c>
    </row>
    <row r="2216">
      <c r="A2216" t="inlineStr">
        <is>
          <t>OPPORTUNITIES</t>
        </is>
      </c>
      <c r="B2216" t="n">
        <v>2</v>
      </c>
    </row>
    <row r="2217">
      <c r="A2217" t="inlineStr">
        <is>
          <t>MODIFY</t>
        </is>
      </c>
      <c r="B2217" t="n">
        <v>1</v>
      </c>
    </row>
    <row r="2218">
      <c r="A2218" t="inlineStr">
        <is>
          <t>TRANSYLVANIA</t>
        </is>
      </c>
      <c r="B2218" t="n">
        <v>1</v>
      </c>
    </row>
    <row r="2219">
      <c r="A2219" t="inlineStr">
        <is>
          <t>COEFFICIENT</t>
        </is>
      </c>
      <c r="B2219" t="n">
        <v>2</v>
      </c>
    </row>
    <row r="2220">
      <c r="A2220" t="inlineStr">
        <is>
          <t>DECABROMINATED DIPHENYL ETHERS</t>
        </is>
      </c>
      <c r="B2220" t="n">
        <v>1</v>
      </c>
    </row>
    <row r="2221">
      <c r="A2221" t="inlineStr">
        <is>
          <t>HIGH-QUALITY PREDICTIONS</t>
        </is>
      </c>
      <c r="B2221" t="n">
        <v>1</v>
      </c>
    </row>
    <row r="2222">
      <c r="A2222" t="inlineStr">
        <is>
          <t>CALCULATOR-THE NEED</t>
        </is>
      </c>
      <c r="B2222" t="n">
        <v>1</v>
      </c>
    </row>
    <row r="2223">
      <c r="A2223" t="inlineStr">
        <is>
          <t>PHYSICOCHEMICAL PROPERTIES</t>
        </is>
      </c>
      <c r="B2223" t="n">
        <v>1</v>
      </c>
    </row>
    <row r="2224">
      <c r="A2224" t="inlineStr">
        <is>
          <t>PERSISTENCE</t>
        </is>
      </c>
      <c r="B2224" t="n">
        <v>1</v>
      </c>
    </row>
    <row r="2225">
      <c r="A2225" t="inlineStr">
        <is>
          <t>SOLUBILITY</t>
        </is>
      </c>
      <c r="B2225" t="n">
        <v>1</v>
      </c>
    </row>
    <row r="2226">
      <c r="A2226" t="inlineStr">
        <is>
          <t>TOXICITY</t>
        </is>
      </c>
      <c r="B2226" t="n">
        <v>4</v>
      </c>
    </row>
    <row r="2227">
      <c r="A2227" t="inlineStr">
        <is>
          <t>NORMS</t>
        </is>
      </c>
      <c r="B2227" t="n">
        <v>2</v>
      </c>
    </row>
    <row r="2228">
      <c r="A2228" t="inlineStr">
        <is>
          <t>PROPENSITY SCORE</t>
        </is>
      </c>
      <c r="B2228" t="n">
        <v>1</v>
      </c>
    </row>
    <row r="2229">
      <c r="A2229" t="inlineStr">
        <is>
          <t>POPULATION-DENSITY</t>
        </is>
      </c>
      <c r="B2229" t="n">
        <v>2</v>
      </c>
    </row>
    <row r="2230">
      <c r="A2230" t="inlineStr">
        <is>
          <t>DAILY MORTALITY</t>
        </is>
      </c>
      <c r="B2230" t="n">
        <v>1</v>
      </c>
    </row>
    <row r="2231">
      <c r="A2231" t="inlineStr">
        <is>
          <t>HEAT WAVES</t>
        </is>
      </c>
      <c r="B2231" t="n">
        <v>4</v>
      </c>
    </row>
    <row r="2232">
      <c r="A2232" t="inlineStr">
        <is>
          <t>PARTICIPANTS</t>
        </is>
      </c>
      <c r="B2232" t="n">
        <v>1</v>
      </c>
    </row>
    <row r="2233">
      <c r="A2233" t="inlineStr">
        <is>
          <t>COMBINATION</t>
        </is>
      </c>
      <c r="B2233" t="n">
        <v>1</v>
      </c>
    </row>
    <row r="2234">
      <c r="A2234" t="inlineStr">
        <is>
          <t>INDOOR TEMPERATURE</t>
        </is>
      </c>
      <c r="B2234" t="n">
        <v>1</v>
      </c>
    </row>
    <row r="2235">
      <c r="A2235" t="inlineStr">
        <is>
          <t>BODY-TEMPERATURE</t>
        </is>
      </c>
      <c r="B2235" t="n">
        <v>1</v>
      </c>
    </row>
    <row r="2236">
      <c r="A2236" t="inlineStr">
        <is>
          <t>PERCEIVED RESIDENTIAL ENVIRONMENT</t>
        </is>
      </c>
      <c r="B2236" t="n">
        <v>1</v>
      </c>
    </row>
    <row r="2237">
      <c r="A2237" t="inlineStr">
        <is>
          <t>PSYCHOLOGICAL SENSE</t>
        </is>
      </c>
      <c r="B2237" t="n">
        <v>1</v>
      </c>
    </row>
    <row r="2238">
      <c r="A2238" t="inlineStr">
        <is>
          <t>SYSTEM APPROACH</t>
        </is>
      </c>
      <c r="B2238" t="n">
        <v>1</v>
      </c>
    </row>
    <row r="2239">
      <c r="A2239" t="inlineStr">
        <is>
          <t>URBAN DESIGN QUALITIES</t>
        </is>
      </c>
      <c r="B2239" t="n">
        <v>1</v>
      </c>
    </row>
    <row r="2240">
      <c r="A2240" t="inlineStr">
        <is>
          <t>RETROFIT</t>
        </is>
      </c>
      <c r="B2240" t="n">
        <v>5</v>
      </c>
    </row>
    <row r="2241">
      <c r="A2241" t="inlineStr">
        <is>
          <t>EXERCISE EQUIPMENT</t>
        </is>
      </c>
      <c r="B2241" t="n">
        <v>1</v>
      </c>
    </row>
    <row r="2242">
      <c r="A2242" t="inlineStr">
        <is>
          <t>OBSTACLE COURSE</t>
        </is>
      </c>
      <c r="B2242" t="n">
        <v>1</v>
      </c>
    </row>
    <row r="2243">
      <c r="A2243" t="inlineStr">
        <is>
          <t>GO TEST</t>
        </is>
      </c>
      <c r="B2243" t="n">
        <v>1</v>
      </c>
    </row>
    <row r="2244">
      <c r="A2244" t="inlineStr">
        <is>
          <t>GAIT</t>
        </is>
      </c>
      <c r="B2244" t="n">
        <v>7</v>
      </c>
    </row>
    <row r="2245">
      <c r="A2245" t="inlineStr">
        <is>
          <t>HOUSEHOLD PRODUCTS</t>
        </is>
      </c>
      <c r="B2245" t="n">
        <v>1</v>
      </c>
    </row>
    <row r="2246">
      <c r="A2246" t="inlineStr">
        <is>
          <t>FUNGAL GROWTH</t>
        </is>
      </c>
      <c r="B2246" t="n">
        <v>2</v>
      </c>
    </row>
    <row r="2247">
      <c r="A2247" t="inlineStr">
        <is>
          <t>PENTABDE REPLACEMENT</t>
        </is>
      </c>
      <c r="B2247" t="n">
        <v>1</v>
      </c>
    </row>
    <row r="2248">
      <c r="A2248" t="inlineStr">
        <is>
          <t>DIPHENYL PHOSPHATE</t>
        </is>
      </c>
      <c r="B2248" t="n">
        <v>1</v>
      </c>
    </row>
    <row r="2249">
      <c r="A2249" t="inlineStr">
        <is>
          <t>NEPAL IMPLICATION</t>
        </is>
      </c>
      <c r="B2249" t="n">
        <v>1</v>
      </c>
    </row>
    <row r="2250">
      <c r="A2250" t="inlineStr">
        <is>
          <t>ENVIRONMENT WALKABILITY SCALE</t>
        </is>
      </c>
      <c r="B2250" t="n">
        <v>1</v>
      </c>
    </row>
    <row r="2251">
      <c r="A2251" t="inlineStr">
        <is>
          <t>BODY-FAT</t>
        </is>
      </c>
      <c r="B2251" t="n">
        <v>1</v>
      </c>
    </row>
    <row r="2252">
      <c r="A2252" t="inlineStr">
        <is>
          <t>INFORMATION MODELING BIM</t>
        </is>
      </c>
      <c r="B2252" t="n">
        <v>1</v>
      </c>
    </row>
    <row r="2253">
      <c r="A2253" t="inlineStr">
        <is>
          <t>HUMAN HEALTH-RISK</t>
        </is>
      </c>
      <c r="B2253" t="n">
        <v>1</v>
      </c>
    </row>
    <row r="2254">
      <c r="A2254" t="inlineStr">
        <is>
          <t>COPPER</t>
        </is>
      </c>
      <c r="B2254" t="n">
        <v>5</v>
      </c>
    </row>
    <row r="2255">
      <c r="A2255" t="inlineStr">
        <is>
          <t>TOTAL INSTITUTION</t>
        </is>
      </c>
      <c r="B2255" t="n">
        <v>1</v>
      </c>
    </row>
    <row r="2256">
      <c r="A2256" t="inlineStr">
        <is>
          <t>EMPOWERMENT</t>
        </is>
      </c>
      <c r="B2256" t="n">
        <v>1</v>
      </c>
    </row>
    <row r="2257">
      <c r="A2257" t="inlineStr">
        <is>
          <t>EXPLORE</t>
        </is>
      </c>
      <c r="B2257" t="n">
        <v>1</v>
      </c>
    </row>
    <row r="2258">
      <c r="A2258" t="inlineStr">
        <is>
          <t>SYSTEMATIC ANALYSIS</t>
        </is>
      </c>
      <c r="B2258" t="n">
        <v>2</v>
      </c>
    </row>
    <row r="2259">
      <c r="A2259" t="inlineStr">
        <is>
          <t>LIPID-PEROXIDATION</t>
        </is>
      </c>
      <c r="B2259" t="n">
        <v>3</v>
      </c>
    </row>
    <row r="2260">
      <c r="A2260" t="inlineStr">
        <is>
          <t>METEOROLOGICAL FACTORS</t>
        </is>
      </c>
      <c r="B2260" t="n">
        <v>2</v>
      </c>
    </row>
    <row r="2261">
      <c r="A2261" t="inlineStr">
        <is>
          <t>VIOLENT</t>
        </is>
      </c>
      <c r="B2261" t="n">
        <v>1</v>
      </c>
    </row>
    <row r="2262">
      <c r="A2262" t="inlineStr">
        <is>
          <t>SEASONALITY</t>
        </is>
      </c>
      <c r="B2262" t="n">
        <v>1</v>
      </c>
    </row>
    <row r="2263">
      <c r="A2263" t="inlineStr">
        <is>
          <t>SUNSHINE</t>
        </is>
      </c>
      <c r="B2263" t="n">
        <v>1</v>
      </c>
    </row>
    <row r="2264">
      <c r="A2264" t="inlineStr">
        <is>
          <t>RESIDENT ATTITUDES</t>
        </is>
      </c>
      <c r="B2264" t="n">
        <v>1</v>
      </c>
    </row>
    <row r="2265">
      <c r="A2265" t="inlineStr">
        <is>
          <t>MASTER CHEMICAL MECHANISM</t>
        </is>
      </c>
      <c r="B2265" t="n">
        <v>2</v>
      </c>
    </row>
    <row r="2266">
      <c r="A2266" t="inlineStr">
        <is>
          <t>BUILDING-RELATED SYMPTOMS</t>
        </is>
      </c>
      <c r="B2266" t="n">
        <v>1</v>
      </c>
    </row>
    <row r="2267">
      <c r="A2267" t="inlineStr">
        <is>
          <t>MCM V3 PART</t>
        </is>
      </c>
      <c r="B2267" t="n">
        <v>2</v>
      </c>
    </row>
    <row r="2268">
      <c r="A2268" t="inlineStr">
        <is>
          <t>TROPOSPHERIC DEGRADATION</t>
        </is>
      </c>
      <c r="B2268" t="n">
        <v>2</v>
      </c>
    </row>
    <row r="2269">
      <c r="A2269" t="inlineStr">
        <is>
          <t>PROTOCOL</t>
        </is>
      </c>
      <c r="B2269" t="n">
        <v>1</v>
      </c>
    </row>
    <row r="2270">
      <c r="A2270" t="inlineStr">
        <is>
          <t>MEDIA</t>
        </is>
      </c>
      <c r="B2270" t="n">
        <v>2</v>
      </c>
    </row>
    <row r="2271">
      <c r="A2271" t="inlineStr">
        <is>
          <t>OCCUPANTS BEHAVIORS</t>
        </is>
      </c>
      <c r="B2271" t="n">
        <v>1</v>
      </c>
    </row>
    <row r="2272">
      <c r="A2272" t="inlineStr">
        <is>
          <t>AWARENESS</t>
        </is>
      </c>
      <c r="B2272" t="n">
        <v>6</v>
      </c>
    </row>
    <row r="2273">
      <c r="A2273" t="inlineStr">
        <is>
          <t>PURCHASE</t>
        </is>
      </c>
      <c r="B2273" t="n">
        <v>1</v>
      </c>
    </row>
    <row r="2274">
      <c r="A2274" t="inlineStr">
        <is>
          <t>PRICE</t>
        </is>
      </c>
      <c r="B2274" t="n">
        <v>1</v>
      </c>
    </row>
    <row r="2275">
      <c r="A2275" t="inlineStr">
        <is>
          <t>CAREGIVER BURDEN</t>
        </is>
      </c>
      <c r="B2275" t="n">
        <v>1</v>
      </c>
    </row>
    <row r="2276">
      <c r="A2276" t="inlineStr">
        <is>
          <t>HOMEBOUND STATUS</t>
        </is>
      </c>
      <c r="B2276" t="n">
        <v>1</v>
      </c>
    </row>
    <row r="2277">
      <c r="A2277" t="inlineStr">
        <is>
          <t>NATURAL RADIATION-EXPOSURE</t>
        </is>
      </c>
      <c r="B2277" t="n">
        <v>1</v>
      </c>
    </row>
    <row r="2278">
      <c r="A2278" t="inlineStr">
        <is>
          <t>MAGNETIC-SUSCEPTIBILITY</t>
        </is>
      </c>
      <c r="B2278" t="n">
        <v>1</v>
      </c>
    </row>
    <row r="2279">
      <c r="A2279" t="inlineStr">
        <is>
          <t>BACKGROUND-RADIATION</t>
        </is>
      </c>
      <c r="B2279" t="n">
        <v>1</v>
      </c>
    </row>
    <row r="2280">
      <c r="A2280" t="inlineStr">
        <is>
          <t>SEDIMENTS</t>
        </is>
      </c>
      <c r="B2280" t="n">
        <v>2</v>
      </c>
    </row>
    <row r="2281">
      <c r="A2281" t="inlineStr">
        <is>
          <t>CITY GOVERNMENTS</t>
        </is>
      </c>
      <c r="B2281" t="n">
        <v>1</v>
      </c>
    </row>
    <row r="2282">
      <c r="A2282" t="inlineStr">
        <is>
          <t>COORDINATION</t>
        </is>
      </c>
      <c r="B2282" t="n">
        <v>1</v>
      </c>
    </row>
    <row r="2283">
      <c r="A2283" t="inlineStr">
        <is>
          <t>SUPPLY CHAIN</t>
        </is>
      </c>
      <c r="B2283" t="n">
        <v>2</v>
      </c>
    </row>
    <row r="2284">
      <c r="A2284" t="inlineStr">
        <is>
          <t>STEEL REUSE</t>
        </is>
      </c>
      <c r="B2284" t="n">
        <v>1</v>
      </c>
    </row>
    <row r="2285">
      <c r="A2285" t="inlineStr">
        <is>
          <t>ECOLOGY</t>
        </is>
      </c>
      <c r="B2285" t="n">
        <v>2</v>
      </c>
    </row>
    <row r="2286">
      <c r="A2286" t="inlineStr">
        <is>
          <t>HABITAT</t>
        </is>
      </c>
      <c r="B2286" t="n">
        <v>1</v>
      </c>
    </row>
    <row r="2287">
      <c r="A2287" t="inlineStr">
        <is>
          <t>DIVERSE REGIONS</t>
        </is>
      </c>
      <c r="B2287" t="n">
        <v>1</v>
      </c>
    </row>
    <row r="2288">
      <c r="A2288" t="inlineStr">
        <is>
          <t>DIVERSIFICATION</t>
        </is>
      </c>
      <c r="B2288" t="n">
        <v>1</v>
      </c>
    </row>
    <row r="2289">
      <c r="A2289" t="inlineStr">
        <is>
          <t>ENTROPY</t>
        </is>
      </c>
      <c r="B2289" t="n">
        <v>1</v>
      </c>
    </row>
    <row r="2290">
      <c r="A2290" t="inlineStr">
        <is>
          <t>ADAPTIVE REUSE</t>
        </is>
      </c>
      <c r="B2290" t="n">
        <v>1</v>
      </c>
    </row>
    <row r="2291">
      <c r="A2291" t="inlineStr">
        <is>
          <t>CHINESE</t>
        </is>
      </c>
      <c r="B2291" t="n">
        <v>4</v>
      </c>
    </row>
    <row r="2292">
      <c r="A2292" t="inlineStr">
        <is>
          <t>PERCEIVED NOISE</t>
        </is>
      </c>
      <c r="B2292" t="n">
        <v>1</v>
      </c>
    </row>
    <row r="2293">
      <c r="A2293" t="inlineStr">
        <is>
          <t>ROWE</t>
        </is>
      </c>
      <c r="B2293" t="n">
        <v>2</v>
      </c>
    </row>
    <row r="2294">
      <c r="A2294" t="inlineStr">
        <is>
          <t>SUSTAINABILITY ASSESSMENT</t>
        </is>
      </c>
      <c r="B2294" t="n">
        <v>4</v>
      </c>
    </row>
    <row r="2295">
      <c r="A2295" t="inlineStr">
        <is>
          <t>ASSESSMENT SYSTEM</t>
        </is>
      </c>
      <c r="B2295" t="n">
        <v>1</v>
      </c>
    </row>
    <row r="2296">
      <c r="A2296" t="inlineStr">
        <is>
          <t>MITIGATION STRATEGIES</t>
        </is>
      </c>
      <c r="B2296" t="n">
        <v>1</v>
      </c>
    </row>
    <row r="2297">
      <c r="A2297" t="inlineStr">
        <is>
          <t>WIND ENVIRONMENT</t>
        </is>
      </c>
      <c r="B2297" t="n">
        <v>1</v>
      </c>
    </row>
    <row r="2298">
      <c r="A2298" t="inlineStr">
        <is>
          <t>CANOPY MODEL</t>
        </is>
      </c>
      <c r="B2298" t="n">
        <v>1</v>
      </c>
    </row>
    <row r="2299">
      <c r="A2299" t="inlineStr">
        <is>
          <t>SANITATION</t>
        </is>
      </c>
      <c r="B2299" t="n">
        <v>2</v>
      </c>
    </row>
    <row r="2300">
      <c r="A2300" t="inlineStr">
        <is>
          <t>VERTICAL STRUCTURE</t>
        </is>
      </c>
      <c r="B2300" t="n">
        <v>1</v>
      </c>
    </row>
    <row r="2301">
      <c r="A2301" t="inlineStr">
        <is>
          <t>CITY LIGHTS</t>
        </is>
      </c>
      <c r="B2301" t="n">
        <v>1</v>
      </c>
    </row>
    <row r="2302">
      <c r="A2302" t="inlineStr">
        <is>
          <t>GLAS DATA</t>
        </is>
      </c>
      <c r="B2302" t="n">
        <v>1</v>
      </c>
    </row>
    <row r="2303">
      <c r="A2303" t="inlineStr">
        <is>
          <t>IMAGERY</t>
        </is>
      </c>
      <c r="B2303" t="n">
        <v>2</v>
      </c>
    </row>
    <row r="2304">
      <c r="A2304" t="inlineStr">
        <is>
          <t>WORLD</t>
        </is>
      </c>
      <c r="B2304" t="n">
        <v>2</v>
      </c>
    </row>
    <row r="2305">
      <c r="A2305" t="inlineStr">
        <is>
          <t>TEACHERS PERCEPTIONS</t>
        </is>
      </c>
      <c r="B2305" t="n">
        <v>1</v>
      </c>
    </row>
    <row r="2306">
      <c r="A2306" t="inlineStr">
        <is>
          <t>ERGONOMICS</t>
        </is>
      </c>
      <c r="B2306" t="n">
        <v>2</v>
      </c>
    </row>
    <row r="2307">
      <c r="A2307" t="inlineStr">
        <is>
          <t>BUILDING-INTEGRATED PHOTOVOLTAICS</t>
        </is>
      </c>
      <c r="B2307" t="n">
        <v>1</v>
      </c>
    </row>
    <row r="2308">
      <c r="A2308" t="inlineStr">
        <is>
          <t>SOLAR-ENERGY</t>
        </is>
      </c>
      <c r="B2308" t="n">
        <v>2</v>
      </c>
    </row>
    <row r="2309">
      <c r="A2309" t="inlineStr">
        <is>
          <t>SOCIAL ACCEPTANCE</t>
        </is>
      </c>
      <c r="B2309" t="n">
        <v>1</v>
      </c>
    </row>
    <row r="2310">
      <c r="A2310" t="inlineStr">
        <is>
          <t>FARMING SYSTEMS</t>
        </is>
      </c>
      <c r="B2310" t="n">
        <v>1</v>
      </c>
    </row>
    <row r="2311">
      <c r="A2311" t="inlineStr">
        <is>
          <t>BIPV</t>
        </is>
      </c>
      <c r="B2311" t="n">
        <v>1</v>
      </c>
    </row>
    <row r="2312">
      <c r="A2312" t="inlineStr">
        <is>
          <t>MICROBIAL AIR CONTAMINATION</t>
        </is>
      </c>
      <c r="B2312" t="n">
        <v>1</v>
      </c>
    </row>
    <row r="2313">
      <c r="A2313" t="inlineStr">
        <is>
          <t>AIRBORNE FUNGI</t>
        </is>
      </c>
      <c r="B2313" t="n">
        <v>2</v>
      </c>
    </row>
    <row r="2314">
      <c r="A2314" t="inlineStr">
        <is>
          <t>ASTHMA MORBIDITY</t>
        </is>
      </c>
      <c r="B2314" t="n">
        <v>1</v>
      </c>
    </row>
    <row r="2315">
      <c r="A2315" t="inlineStr">
        <is>
          <t>ENDOTOXIN LEVELS</t>
        </is>
      </c>
      <c r="B2315" t="n">
        <v>1</v>
      </c>
    </row>
    <row r="2316">
      <c r="A2316" t="inlineStr">
        <is>
          <t>ALLERGEN EXPOSURE</t>
        </is>
      </c>
      <c r="B2316" t="n">
        <v>1</v>
      </c>
    </row>
    <row r="2317">
      <c r="A2317" t="inlineStr">
        <is>
          <t>POLLEN ALLERGENS</t>
        </is>
      </c>
      <c r="B2317" t="n">
        <v>1</v>
      </c>
    </row>
    <row r="2318">
      <c r="A2318" t="inlineStr">
        <is>
          <t>SURROUNDING GREENNESS</t>
        </is>
      </c>
      <c r="B2318" t="n">
        <v>1</v>
      </c>
    </row>
    <row r="2319">
      <c r="A2319" t="inlineStr">
        <is>
          <t>SPANISH POPULATION</t>
        </is>
      </c>
      <c r="B2319" t="n">
        <v>1</v>
      </c>
    </row>
    <row r="2320">
      <c r="A2320" t="inlineStr">
        <is>
          <t>POSSIBLE MECHANISM</t>
        </is>
      </c>
      <c r="B2320" t="n">
        <v>1</v>
      </c>
    </row>
    <row r="2321">
      <c r="A2321" t="inlineStr">
        <is>
          <t>BIRTH COHORTS</t>
        </is>
      </c>
      <c r="B2321" t="n">
        <v>1</v>
      </c>
    </row>
    <row r="2322">
      <c r="A2322" t="inlineStr">
        <is>
          <t>PREGNANCY</t>
        </is>
      </c>
      <c r="B2322" t="n">
        <v>1</v>
      </c>
    </row>
    <row r="2323">
      <c r="A2323" t="inlineStr">
        <is>
          <t>IDENTIFICATION TEST AUDIT</t>
        </is>
      </c>
      <c r="B2323" t="n">
        <v>1</v>
      </c>
    </row>
    <row r="2324">
      <c r="A2324" t="inlineStr">
        <is>
          <t>CHARACTERISTIC ROC CURVE</t>
        </is>
      </c>
      <c r="B2324" t="n">
        <v>1</v>
      </c>
    </row>
    <row r="2325">
      <c r="A2325" t="inlineStr">
        <is>
          <t>ALCOHOL-USE DISORDER</t>
        </is>
      </c>
      <c r="B2325" t="n">
        <v>1</v>
      </c>
    </row>
    <row r="2326">
      <c r="A2326" t="inlineStr">
        <is>
          <t>HIGH-RISK</t>
        </is>
      </c>
      <c r="B2326" t="n">
        <v>1</v>
      </c>
    </row>
    <row r="2327">
      <c r="A2327" t="inlineStr">
        <is>
          <t>HEALTH COVERAGE SYSTEM</t>
        </is>
      </c>
      <c r="B2327" t="n">
        <v>1</v>
      </c>
    </row>
    <row r="2328">
      <c r="A2328" t="inlineStr">
        <is>
          <t>LENGTH-OF-STAY</t>
        </is>
      </c>
      <c r="B2328" t="n">
        <v>1</v>
      </c>
    </row>
    <row r="2329">
      <c r="A2329" t="inlineStr">
        <is>
          <t>BEHAVIORAL-MODEL</t>
        </is>
      </c>
      <c r="B2329" t="n">
        <v>1</v>
      </c>
    </row>
    <row r="2330">
      <c r="A2330" t="inlineStr">
        <is>
          <t>CASE-MANAGEMENT</t>
        </is>
      </c>
      <c r="B2330" t="n">
        <v>1</v>
      </c>
    </row>
    <row r="2331">
      <c r="A2331" t="inlineStr">
        <is>
          <t>ETHNIC DISPARITIES</t>
        </is>
      </c>
      <c r="B2331" t="n">
        <v>3</v>
      </c>
    </row>
    <row r="2332">
      <c r="A2332" t="inlineStr">
        <is>
          <t>PRIMARY-CARE</t>
        </is>
      </c>
      <c r="B2332" t="n">
        <v>4</v>
      </c>
    </row>
    <row r="2333">
      <c r="A2333" t="inlineStr">
        <is>
          <t>ELDERLY-PATIENTS</t>
        </is>
      </c>
      <c r="B2333" t="n">
        <v>4</v>
      </c>
    </row>
    <row r="2334">
      <c r="A2334" t="inlineStr">
        <is>
          <t>CHEST-PAIN</t>
        </is>
      </c>
      <c r="B2334" t="n">
        <v>1</v>
      </c>
    </row>
    <row r="2335">
      <c r="A2335" t="inlineStr">
        <is>
          <t>VISITS</t>
        </is>
      </c>
      <c r="B2335" t="n">
        <v>1</v>
      </c>
    </row>
    <row r="2336">
      <c r="A2336" t="inlineStr">
        <is>
          <t>VITAMIN-D DEFICIENCY</t>
        </is>
      </c>
      <c r="B2336" t="n">
        <v>2</v>
      </c>
    </row>
    <row r="2337">
      <c r="A2337" t="inlineStr">
        <is>
          <t>ADMISSIONS</t>
        </is>
      </c>
      <c r="B2337" t="n">
        <v>1</v>
      </c>
    </row>
    <row r="2338">
      <c r="A2338" t="inlineStr">
        <is>
          <t>SUNLIGHT</t>
        </is>
      </c>
      <c r="B2338" t="n">
        <v>1</v>
      </c>
    </row>
    <row r="2339">
      <c r="A2339" t="inlineStr">
        <is>
          <t>EXTRACELLULAR DNA</t>
        </is>
      </c>
      <c r="B2339" t="n">
        <v>1</v>
      </c>
    </row>
    <row r="2340">
      <c r="A2340" t="inlineStr">
        <is>
          <t>FISH ABUNDANCE</t>
        </is>
      </c>
      <c r="B2340" t="n">
        <v>1</v>
      </c>
    </row>
    <row r="2341">
      <c r="A2341" t="inlineStr">
        <is>
          <t>CHRONIC STRESS</t>
        </is>
      </c>
      <c r="B2341" t="n">
        <v>1</v>
      </c>
    </row>
    <row r="2342">
      <c r="A2342" t="inlineStr">
        <is>
          <t>ANCIENT DNA</t>
        </is>
      </c>
      <c r="B2342" t="n">
        <v>1</v>
      </c>
    </row>
    <row r="2343">
      <c r="A2343" t="inlineStr">
        <is>
          <t>CROSS-LINKS</t>
        </is>
      </c>
      <c r="B2343" t="n">
        <v>1</v>
      </c>
    </row>
    <row r="2344">
      <c r="A2344" t="inlineStr">
        <is>
          <t>SURVEY TOOL</t>
        </is>
      </c>
      <c r="B2344" t="n">
        <v>1</v>
      </c>
    </row>
    <row r="2345">
      <c r="A2345" t="inlineStr">
        <is>
          <t>EDNA</t>
        </is>
      </c>
      <c r="B2345" t="n">
        <v>1</v>
      </c>
    </row>
    <row r="2346">
      <c r="A2346" t="inlineStr">
        <is>
          <t>CONSTRUCTION PRODUCTS</t>
        </is>
      </c>
      <c r="B2346" t="n">
        <v>1</v>
      </c>
    </row>
    <row r="2347">
      <c r="A2347" t="inlineStr">
        <is>
          <t>ENERGY USE</t>
        </is>
      </c>
      <c r="B2347" t="n">
        <v>4</v>
      </c>
    </row>
    <row r="2348">
      <c r="A2348" t="inlineStr">
        <is>
          <t>EMISSION</t>
        </is>
      </c>
      <c r="B2348" t="n">
        <v>2</v>
      </c>
    </row>
    <row r="2349">
      <c r="A2349" t="inlineStr">
        <is>
          <t>ACTIVITY PATTERN</t>
        </is>
      </c>
      <c r="B2349" t="n">
        <v>1</v>
      </c>
    </row>
    <row r="2350">
      <c r="A2350" t="inlineStr">
        <is>
          <t>RACIAL DISPARITIES</t>
        </is>
      </c>
      <c r="B2350" t="n">
        <v>1</v>
      </c>
    </row>
    <row r="2351">
      <c r="A2351" t="inlineStr">
        <is>
          <t>SOCIAL CONDITIONS</t>
        </is>
      </c>
      <c r="B2351" t="n">
        <v>1</v>
      </c>
    </row>
    <row r="2352">
      <c r="A2352" t="inlineStr">
        <is>
          <t>AMERICANS</t>
        </is>
      </c>
      <c r="B2352" t="n">
        <v>2</v>
      </c>
    </row>
    <row r="2353">
      <c r="A2353" t="inlineStr">
        <is>
          <t>STRATIFICATION</t>
        </is>
      </c>
      <c r="B2353" t="n">
        <v>1</v>
      </c>
    </row>
    <row r="2354">
      <c r="A2354" t="inlineStr">
        <is>
          <t>THERMAL INSULATION</t>
        </is>
      </c>
      <c r="B2354" t="n">
        <v>1</v>
      </c>
    </row>
    <row r="2355">
      <c r="A2355" t="inlineStr">
        <is>
          <t>RADIANT BARRIERS</t>
        </is>
      </c>
      <c r="B2355" t="n">
        <v>1</v>
      </c>
    </row>
    <row r="2356">
      <c r="A2356" t="inlineStr">
        <is>
          <t>BUILDING ROOF</t>
        </is>
      </c>
      <c r="B2356" t="n">
        <v>1</v>
      </c>
    </row>
    <row r="2357">
      <c r="A2357" t="inlineStr">
        <is>
          <t>THICKNESS</t>
        </is>
      </c>
      <c r="B2357" t="n">
        <v>1</v>
      </c>
    </row>
    <row r="2358">
      <c r="A2358" t="inlineStr">
        <is>
          <t>WOOL</t>
        </is>
      </c>
      <c r="B2358" t="n">
        <v>1</v>
      </c>
    </row>
    <row r="2359">
      <c r="A2359" t="inlineStr">
        <is>
          <t>DISTRESS</t>
        </is>
      </c>
      <c r="B2359" t="n">
        <v>1</v>
      </c>
    </row>
    <row r="2360">
      <c r="A2360" t="inlineStr">
        <is>
          <t>SUBJECTIVE SYMPTOMS</t>
        </is>
      </c>
      <c r="B2360" t="n">
        <v>1</v>
      </c>
    </row>
    <row r="2361">
      <c r="A2361" t="inlineStr">
        <is>
          <t>FUNCTIONAL-CAPACITY</t>
        </is>
      </c>
      <c r="B2361" t="n">
        <v>1</v>
      </c>
    </row>
    <row r="2362">
      <c r="A2362" t="inlineStr">
        <is>
          <t>DANCE</t>
        </is>
      </c>
      <c r="B2362" t="n">
        <v>1</v>
      </c>
    </row>
    <row r="2363">
      <c r="A2363" t="inlineStr">
        <is>
          <t>EMPHASIS</t>
        </is>
      </c>
      <c r="B2363" t="n">
        <v>2</v>
      </c>
    </row>
    <row r="2364">
      <c r="A2364" t="inlineStr">
        <is>
          <t>ELDERS</t>
        </is>
      </c>
      <c r="B2364" t="n">
        <v>1</v>
      </c>
    </row>
    <row r="2365">
      <c r="A2365" t="inlineStr">
        <is>
          <t>PATHOGENIC FUNGI</t>
        </is>
      </c>
      <c r="B2365" t="n">
        <v>1</v>
      </c>
    </row>
    <row r="2366">
      <c r="A2366" t="inlineStr">
        <is>
          <t>AIRBORNE FUNGAL</t>
        </is>
      </c>
      <c r="B2366" t="n">
        <v>1</v>
      </c>
    </row>
    <row r="2367">
      <c r="A2367" t="inlineStr">
        <is>
          <t>ASPERGILLUS-FUMIGATUS</t>
        </is>
      </c>
      <c r="B2367" t="n">
        <v>1</v>
      </c>
    </row>
    <row r="2368">
      <c r="A2368" t="inlineStr">
        <is>
          <t>POTTED PLANTS</t>
        </is>
      </c>
      <c r="B2368" t="n">
        <v>1</v>
      </c>
    </row>
    <row r="2369">
      <c r="A2369" t="inlineStr">
        <is>
          <t>SARC-F</t>
        </is>
      </c>
      <c r="B2369" t="n">
        <v>1</v>
      </c>
    </row>
    <row r="2370">
      <c r="A2370" t="inlineStr">
        <is>
          <t>VERSION</t>
        </is>
      </c>
      <c r="B2370" t="n">
        <v>1</v>
      </c>
    </row>
    <row r="2371">
      <c r="A2371" t="inlineStr">
        <is>
          <t>ATMOSPHERIC FALLOUT</t>
        </is>
      </c>
      <c r="B2371" t="n">
        <v>1</v>
      </c>
    </row>
    <row r="2372">
      <c r="A2372" t="inlineStr">
        <is>
          <t>TABLE SALTS</t>
        </is>
      </c>
      <c r="B2372" t="n">
        <v>1</v>
      </c>
    </row>
    <row r="2373">
      <c r="A2373" t="inlineStr">
        <is>
          <t>FIBERS</t>
        </is>
      </c>
      <c r="B2373" t="n">
        <v>1</v>
      </c>
    </row>
    <row r="2374">
      <c r="A2374" t="inlineStr">
        <is>
          <t>INGESTION</t>
        </is>
      </c>
      <c r="B2374" t="n">
        <v>1</v>
      </c>
    </row>
    <row r="2375">
      <c r="A2375" t="inlineStr">
        <is>
          <t>FILTERS</t>
        </is>
      </c>
      <c r="B2375" t="n">
        <v>2</v>
      </c>
    </row>
    <row r="2376">
      <c r="A2376" t="inlineStr">
        <is>
          <t>PHOENIX</t>
        </is>
      </c>
      <c r="B2376" t="n">
        <v>2</v>
      </c>
    </row>
    <row r="2377">
      <c r="A2377" t="inlineStr">
        <is>
          <t>SENSORY IMPAIRMENT</t>
        </is>
      </c>
      <c r="B2377" t="n">
        <v>1</v>
      </c>
    </row>
    <row r="2378">
      <c r="A2378" t="inlineStr">
        <is>
          <t>HEARING-LOSS</t>
        </is>
      </c>
      <c r="B2378" t="n">
        <v>2</v>
      </c>
    </row>
    <row r="2379">
      <c r="A2379" t="inlineStr">
        <is>
          <t>VISION IMPAIRMENT</t>
        </is>
      </c>
      <c r="B2379" t="n">
        <v>2</v>
      </c>
    </row>
    <row r="2380">
      <c r="A2380" t="inlineStr">
        <is>
          <t>SECTOR</t>
        </is>
      </c>
      <c r="B2380" t="n">
        <v>2</v>
      </c>
    </row>
    <row r="2381">
      <c r="A2381" t="inlineStr">
        <is>
          <t>LONGITUDINAL EVIDENCE</t>
        </is>
      </c>
      <c r="B2381" t="n">
        <v>1</v>
      </c>
    </row>
    <row r="2382">
      <c r="A2382" t="inlineStr">
        <is>
          <t>PROSPECTIVE MEMORY</t>
        </is>
      </c>
      <c r="B2382" t="n">
        <v>1</v>
      </c>
    </row>
    <row r="2383">
      <c r="A2383" t="inlineStr">
        <is>
          <t>PARADOX</t>
        </is>
      </c>
      <c r="B2383" t="n">
        <v>2</v>
      </c>
    </row>
    <row r="2384">
      <c r="A2384" t="inlineStr">
        <is>
          <t>SHOWS</t>
        </is>
      </c>
      <c r="B2384" t="n">
        <v>1</v>
      </c>
    </row>
    <row r="2385">
      <c r="A2385" t="inlineStr">
        <is>
          <t>PHOTOTROPHIC BIOFILMS</t>
        </is>
      </c>
      <c r="B2385" t="n">
        <v>1</v>
      </c>
    </row>
    <row r="2386">
      <c r="A2386" t="inlineStr">
        <is>
          <t>CULTURAL-HERITAGE</t>
        </is>
      </c>
      <c r="B2386" t="n">
        <v>4</v>
      </c>
    </row>
    <row r="2387">
      <c r="A2387" t="inlineStr">
        <is>
          <t>COMMUNITY STRUCTURE</t>
        </is>
      </c>
      <c r="B2387" t="n">
        <v>2</v>
      </c>
    </row>
    <row r="2388">
      <c r="A2388" t="inlineStr">
        <is>
          <t>BIORECEPTIVITY</t>
        </is>
      </c>
      <c r="B2388" t="n">
        <v>1</v>
      </c>
    </row>
    <row r="2389">
      <c r="A2389" t="inlineStr">
        <is>
          <t>CYANOBACTERIA</t>
        </is>
      </c>
      <c r="B2389" t="n">
        <v>1</v>
      </c>
    </row>
    <row r="2390">
      <c r="A2390" t="inlineStr">
        <is>
          <t>DETERIORATION</t>
        </is>
      </c>
      <c r="B2390" t="n">
        <v>1</v>
      </c>
    </row>
    <row r="2391">
      <c r="A2391" t="inlineStr">
        <is>
          <t>COLONIZATION</t>
        </is>
      </c>
      <c r="B2391" t="n">
        <v>1</v>
      </c>
    </row>
    <row r="2392">
      <c r="A2392" t="inlineStr">
        <is>
          <t>CATACOMBS</t>
        </is>
      </c>
      <c r="B2392" t="n">
        <v>1</v>
      </c>
    </row>
    <row r="2393">
      <c r="A2393" t="inlineStr">
        <is>
          <t>HEALTH LITERACY</t>
        </is>
      </c>
      <c r="B2393" t="n">
        <v>2</v>
      </c>
    </row>
    <row r="2394">
      <c r="A2394" t="inlineStr">
        <is>
          <t>BUILDING FOOTPRINT EXTRACTION</t>
        </is>
      </c>
      <c r="B2394" t="n">
        <v>1</v>
      </c>
    </row>
    <row r="2395">
      <c r="A2395" t="inlineStr">
        <is>
          <t>USE STEEL STOCK</t>
        </is>
      </c>
      <c r="B2395" t="n">
        <v>1</v>
      </c>
    </row>
    <row r="2396">
      <c r="A2396" t="inlineStr">
        <is>
          <t>SATURATION</t>
        </is>
      </c>
      <c r="B2396" t="n">
        <v>1</v>
      </c>
    </row>
    <row r="2397">
      <c r="A2397" t="inlineStr">
        <is>
          <t>EARTHQUAKE</t>
        </is>
      </c>
      <c r="B2397" t="n">
        <v>2</v>
      </c>
    </row>
    <row r="2398">
      <c r="A2398" t="inlineStr">
        <is>
          <t>ELEMENTS</t>
        </is>
      </c>
      <c r="B2398" t="n">
        <v>1</v>
      </c>
    </row>
    <row r="2399">
      <c r="A2399" t="inlineStr">
        <is>
          <t>POTENTIALLY INAPPROPRIATE MEDICATIONS</t>
        </is>
      </c>
      <c r="B2399" t="n">
        <v>1</v>
      </c>
    </row>
    <row r="2400">
      <c r="A2400" t="inlineStr">
        <is>
          <t>MINI NUTRITIONAL ASSESSMENT</t>
        </is>
      </c>
      <c r="B2400" t="n">
        <v>1</v>
      </c>
    </row>
    <row r="2401">
      <c r="A2401" t="inlineStr">
        <is>
          <t>ADVERSE HEALTH OUTCOMES</t>
        </is>
      </c>
      <c r="B2401" t="n">
        <v>1</v>
      </c>
    </row>
    <row r="2402">
      <c r="A2402" t="inlineStr">
        <is>
          <t>SCREENING TOOL</t>
        </is>
      </c>
      <c r="B2402" t="n">
        <v>2</v>
      </c>
    </row>
    <row r="2403">
      <c r="A2403" t="inlineStr">
        <is>
          <t>FALL-RISK</t>
        </is>
      </c>
      <c r="B2403" t="n">
        <v>1</v>
      </c>
    </row>
    <row r="2404">
      <c r="A2404" t="inlineStr">
        <is>
          <t>COGNITIVE IMPAIRMENT</t>
        </is>
      </c>
      <c r="B2404" t="n">
        <v>2</v>
      </c>
    </row>
    <row r="2405">
      <c r="A2405" t="inlineStr">
        <is>
          <t>QUARANTINE</t>
        </is>
      </c>
      <c r="B2405" t="n">
        <v>1</v>
      </c>
    </row>
    <row r="2406">
      <c r="A2406" t="inlineStr">
        <is>
          <t>WATER-CONSUMPTION</t>
        </is>
      </c>
      <c r="B2406" t="n">
        <v>1</v>
      </c>
    </row>
    <row r="2407">
      <c r="A2407" t="inlineStr">
        <is>
          <t>DEMOLITION WASTE MANAGEMENT</t>
        </is>
      </c>
      <c r="B2407" t="n">
        <v>1</v>
      </c>
    </row>
    <row r="2408">
      <c r="A2408" t="inlineStr">
        <is>
          <t>ECO-INDUSTRIAL PARKS</t>
        </is>
      </c>
      <c r="B2408" t="n">
        <v>1</v>
      </c>
    </row>
    <row r="2409">
      <c r="A2409" t="inlineStr">
        <is>
          <t>BIOMASS FLY-ASH</t>
        </is>
      </c>
      <c r="B2409" t="n">
        <v>1</v>
      </c>
    </row>
    <row r="2410">
      <c r="A2410" t="inlineStr">
        <is>
          <t>CLEANER PRODUCTION</t>
        </is>
      </c>
      <c r="B2410" t="n">
        <v>1</v>
      </c>
    </row>
    <row r="2411">
      <c r="A2411" t="inlineStr">
        <is>
          <t>CARBON FOOTPRINT</t>
        </is>
      </c>
      <c r="B2411" t="n">
        <v>1</v>
      </c>
    </row>
    <row r="2412">
      <c r="A2412" t="inlineStr">
        <is>
          <t>SUPPLY CHAINS</t>
        </is>
      </c>
      <c r="B2412" t="n">
        <v>2</v>
      </c>
    </row>
    <row r="2413">
      <c r="A2413" t="inlineStr">
        <is>
          <t>SECONDARY EMISSIONS</t>
        </is>
      </c>
      <c r="B2413" t="n">
        <v>1</v>
      </c>
    </row>
    <row r="2414">
      <c r="A2414" t="inlineStr">
        <is>
          <t>SURFACES</t>
        </is>
      </c>
      <c r="B2414" t="n">
        <v>1</v>
      </c>
    </row>
    <row r="2415">
      <c r="A2415" t="inlineStr">
        <is>
          <t>ALDEHYDES</t>
        </is>
      </c>
      <c r="B2415" t="n">
        <v>2</v>
      </c>
    </row>
    <row r="2416">
      <c r="A2416" t="inlineStr">
        <is>
          <t>CARPETS</t>
        </is>
      </c>
      <c r="B2416" t="n">
        <v>1</v>
      </c>
    </row>
    <row r="2417">
      <c r="A2417" t="inlineStr">
        <is>
          <t>PRO-ENVIRONMENTAL BEHAVIOR</t>
        </is>
      </c>
      <c r="B2417" t="n">
        <v>1</v>
      </c>
    </row>
    <row r="2418">
      <c r="A2418" t="inlineStr">
        <is>
          <t>PHOTOCATALYTIC OXIDATION</t>
        </is>
      </c>
      <c r="B2418" t="n">
        <v>2</v>
      </c>
    </row>
    <row r="2419">
      <c r="A2419" t="inlineStr">
        <is>
          <t>PETS</t>
        </is>
      </c>
      <c r="B2419" t="n">
        <v>1</v>
      </c>
    </row>
    <row r="2420">
      <c r="A2420" t="inlineStr">
        <is>
          <t>HEAT RELEASE ESTIMATION</t>
        </is>
      </c>
      <c r="B2420" t="n">
        <v>1</v>
      </c>
    </row>
    <row r="2421">
      <c r="A2421" t="inlineStr">
        <is>
          <t>SERIES</t>
        </is>
      </c>
      <c r="B2421" t="n">
        <v>1</v>
      </c>
    </row>
    <row r="2422">
      <c r="A2422" t="inlineStr">
        <is>
          <t>SEISMIC DESIGN</t>
        </is>
      </c>
      <c r="B2422" t="n">
        <v>1</v>
      </c>
    </row>
    <row r="2423">
      <c r="A2423" t="inlineStr">
        <is>
          <t>CONTINUUM</t>
        </is>
      </c>
      <c r="B2423" t="n">
        <v>1</v>
      </c>
    </row>
    <row r="2424">
      <c r="A2424" t="inlineStr">
        <is>
          <t>THEORETICAL DOMAINS FRAMEWORK</t>
        </is>
      </c>
      <c r="B2424" t="n">
        <v>1</v>
      </c>
    </row>
    <row r="2425">
      <c r="A2425" t="inlineStr">
        <is>
          <t>FOOD SAFETY</t>
        </is>
      </c>
      <c r="B2425" t="n">
        <v>1</v>
      </c>
    </row>
    <row r="2426">
      <c r="A2426" t="inlineStr">
        <is>
          <t>NUTRIENT INTAKE</t>
        </is>
      </c>
      <c r="B2426" t="n">
        <v>2</v>
      </c>
    </row>
    <row r="2427">
      <c r="A2427" t="inlineStr">
        <is>
          <t>MEAL</t>
        </is>
      </c>
      <c r="B2427" t="n">
        <v>1</v>
      </c>
    </row>
    <row r="2428">
      <c r="A2428" t="inlineStr">
        <is>
          <t>MULTIPLE CHRONIC CONDITIONS</t>
        </is>
      </c>
      <c r="B2428" t="n">
        <v>1</v>
      </c>
    </row>
    <row r="2429">
      <c r="A2429" t="inlineStr">
        <is>
          <t>GENETIC ALGORITHMS</t>
        </is>
      </c>
      <c r="B2429" t="n">
        <v>1</v>
      </c>
    </row>
    <row r="2430">
      <c r="A2430" t="inlineStr">
        <is>
          <t>COST</t>
        </is>
      </c>
      <c r="B2430" t="n">
        <v>2</v>
      </c>
    </row>
    <row r="2431">
      <c r="A2431" t="inlineStr">
        <is>
          <t>LONDON</t>
        </is>
      </c>
      <c r="B2431" t="n">
        <v>1</v>
      </c>
    </row>
    <row r="2432">
      <c r="A2432" t="inlineStr">
        <is>
          <t>SELF</t>
        </is>
      </c>
      <c r="B2432" t="n">
        <v>3</v>
      </c>
    </row>
    <row r="2433">
      <c r="A2433" t="inlineStr">
        <is>
          <t>MOISTURE PROBLEMS</t>
        </is>
      </c>
      <c r="B2433" t="n">
        <v>1</v>
      </c>
    </row>
    <row r="2434">
      <c r="A2434" t="inlineStr">
        <is>
          <t>COMBUSTION</t>
        </is>
      </c>
      <c r="B2434" t="n">
        <v>4</v>
      </c>
    </row>
    <row r="2435">
      <c r="A2435" t="inlineStr">
        <is>
          <t>FILTER</t>
        </is>
      </c>
      <c r="B2435" t="n">
        <v>1</v>
      </c>
    </row>
    <row r="2436">
      <c r="A2436" t="inlineStr">
        <is>
          <t>ABUSE</t>
        </is>
      </c>
      <c r="B2436" t="n">
        <v>2</v>
      </c>
    </row>
    <row r="2437">
      <c r="A2437" t="inlineStr">
        <is>
          <t>NIGHT-SHIFT WORK</t>
        </is>
      </c>
      <c r="B2437" t="n">
        <v>1</v>
      </c>
    </row>
    <row r="2438">
      <c r="A2438" t="inlineStr">
        <is>
          <t>MILITARY DINING FACILITIES</t>
        </is>
      </c>
      <c r="B2438" t="n">
        <v>1</v>
      </c>
    </row>
    <row r="2439">
      <c r="A2439" t="inlineStr">
        <is>
          <t>DOSE-RESPONSE RELATIONSHIP</t>
        </is>
      </c>
      <c r="B2439" t="n">
        <v>1</v>
      </c>
    </row>
    <row r="2440">
      <c r="A2440" t="inlineStr">
        <is>
          <t>BREAST-CANCER RISK</t>
        </is>
      </c>
      <c r="B2440" t="n">
        <v>1</v>
      </c>
    </row>
    <row r="2441">
      <c r="A2441" t="inlineStr">
        <is>
          <t>FOOD CHOICES</t>
        </is>
      </c>
      <c r="B2441" t="n">
        <v>1</v>
      </c>
    </row>
    <row r="2442">
      <c r="A2442" t="inlineStr">
        <is>
          <t>STAIR-USE</t>
        </is>
      </c>
      <c r="B2442" t="n">
        <v>1</v>
      </c>
    </row>
    <row r="2443">
      <c r="A2443" t="inlineStr">
        <is>
          <t>TASK-PERFORMANCE</t>
        </is>
      </c>
      <c r="B2443" t="n">
        <v>1</v>
      </c>
    </row>
    <row r="2444">
      <c r="A2444" t="inlineStr">
        <is>
          <t>BODY-MASS</t>
        </is>
      </c>
      <c r="B2444" t="n">
        <v>1</v>
      </c>
    </row>
    <row r="2445">
      <c r="A2445" t="inlineStr">
        <is>
          <t>LAND-USE CHANGE</t>
        </is>
      </c>
      <c r="B2445" t="n">
        <v>1</v>
      </c>
    </row>
    <row r="2446">
      <c r="A2446" t="inlineStr">
        <is>
          <t>EXTREME-WEATHER-EVENTS</t>
        </is>
      </c>
      <c r="B2446" t="n">
        <v>1</v>
      </c>
    </row>
    <row r="2447">
      <c r="A2447" t="inlineStr">
        <is>
          <t>REGIONAL CLIMATE</t>
        </is>
      </c>
      <c r="B2447" t="n">
        <v>1</v>
      </c>
    </row>
    <row r="2448">
      <c r="A2448" t="inlineStr">
        <is>
          <t>DEFORESTATION</t>
        </is>
      </c>
      <c r="B2448" t="n">
        <v>1</v>
      </c>
    </row>
    <row r="2449">
      <c r="A2449" t="inlineStr">
        <is>
          <t>ZONES</t>
        </is>
      </c>
      <c r="B2449" t="n">
        <v>1</v>
      </c>
    </row>
    <row r="2450">
      <c r="A2450" t="inlineStr">
        <is>
          <t>INFLUENCE PERSONAL EXPOSURE</t>
        </is>
      </c>
      <c r="B2450" t="n">
        <v>1</v>
      </c>
    </row>
    <row r="2451">
      <c r="A2451" t="inlineStr">
        <is>
          <t>INNER-CITY</t>
        </is>
      </c>
      <c r="B2451" t="n">
        <v>2</v>
      </c>
    </row>
    <row r="2452">
      <c r="A2452" t="inlineStr">
        <is>
          <t>RANDOM FORESTS</t>
        </is>
      </c>
      <c r="B2452" t="n">
        <v>1</v>
      </c>
    </row>
    <row r="2453">
      <c r="A2453" t="inlineStr">
        <is>
          <t>HYDROCARBONS</t>
        </is>
      </c>
      <c r="B2453" t="n">
        <v>1</v>
      </c>
    </row>
    <row r="2454">
      <c r="A2454" t="inlineStr">
        <is>
          <t>DEFINITIONS</t>
        </is>
      </c>
      <c r="B2454" t="n">
        <v>3</v>
      </c>
    </row>
    <row r="2455">
      <c r="A2455" t="inlineStr">
        <is>
          <t>DIETARY FIBER INTAKE</t>
        </is>
      </c>
      <c r="B2455" t="n">
        <v>1</v>
      </c>
    </row>
    <row r="2456">
      <c r="A2456" t="inlineStr">
        <is>
          <t>INCREASE</t>
        </is>
      </c>
      <c r="B2456" t="n">
        <v>1</v>
      </c>
    </row>
    <row r="2457">
      <c r="A2457" t="inlineStr">
        <is>
          <t>OCCUPATIONAL-EXPOSURE</t>
        </is>
      </c>
      <c r="B2457" t="n">
        <v>2</v>
      </c>
    </row>
    <row r="2458">
      <c r="A2458" t="inlineStr">
        <is>
          <t>IDEATION</t>
        </is>
      </c>
      <c r="B2458" t="n">
        <v>1</v>
      </c>
    </row>
    <row r="2459">
      <c r="A2459" t="inlineStr">
        <is>
          <t>ENERGY-SAVING BEHAVIORS</t>
        </is>
      </c>
      <c r="B2459" t="n">
        <v>1</v>
      </c>
    </row>
    <row r="2460">
      <c r="A2460" t="inlineStr">
        <is>
          <t>CONSUMPTION BEHAVIOR</t>
        </is>
      </c>
      <c r="B2460" t="n">
        <v>1</v>
      </c>
    </row>
    <row r="2461">
      <c r="A2461" t="inlineStr">
        <is>
          <t>BUILDING DESIGN</t>
        </is>
      </c>
      <c r="B2461" t="n">
        <v>1</v>
      </c>
    </row>
    <row r="2462">
      <c r="A2462" t="inlineStr">
        <is>
          <t>LANDSCAPES</t>
        </is>
      </c>
      <c r="B2462" t="n">
        <v>1</v>
      </c>
    </row>
    <row r="2463">
      <c r="A2463" t="inlineStr">
        <is>
          <t>LATER LIFE</t>
        </is>
      </c>
      <c r="B2463" t="n">
        <v>4</v>
      </c>
    </row>
    <row r="2464">
      <c r="A2464" t="inlineStr">
        <is>
          <t>EMOTIONAL LONELINESS</t>
        </is>
      </c>
      <c r="B2464" t="n">
        <v>1</v>
      </c>
    </row>
    <row r="2465">
      <c r="A2465" t="inlineStr">
        <is>
          <t>EMPIRICAL-EXAMINATION</t>
        </is>
      </c>
      <c r="B2465" t="n">
        <v>1</v>
      </c>
    </row>
    <row r="2466">
      <c r="A2466" t="inlineStr">
        <is>
          <t>BEHAVIORAL INTENTION</t>
        </is>
      </c>
      <c r="B2466" t="n">
        <v>1</v>
      </c>
    </row>
    <row r="2467">
      <c r="A2467" t="inlineStr">
        <is>
          <t>UTAUT</t>
        </is>
      </c>
      <c r="B2467" t="n">
        <v>1</v>
      </c>
    </row>
    <row r="2468">
      <c r="A2468" t="inlineStr">
        <is>
          <t>GERONTECHNOLOGY</t>
        </is>
      </c>
      <c r="B2468" t="n">
        <v>1</v>
      </c>
    </row>
    <row r="2469">
      <c r="A2469" t="inlineStr">
        <is>
          <t>EXTENSION</t>
        </is>
      </c>
      <c r="B2469" t="n">
        <v>1</v>
      </c>
    </row>
    <row r="2470">
      <c r="A2470" t="inlineStr">
        <is>
          <t>RANDOMIZED-CONTROLLED-TRIAL</t>
        </is>
      </c>
      <c r="B2470" t="n">
        <v>2</v>
      </c>
    </row>
    <row r="2471">
      <c r="A2471" t="inlineStr">
        <is>
          <t>BEHAVIORAL COUPLES THERAPY</t>
        </is>
      </c>
      <c r="B2471" t="n">
        <v>1</v>
      </c>
    </row>
    <row r="2472">
      <c r="A2472" t="inlineStr">
        <is>
          <t>INTERNET-BASED INTERVENTION</t>
        </is>
      </c>
      <c r="B2472" t="n">
        <v>1</v>
      </c>
    </row>
    <row r="2473">
      <c r="A2473" t="inlineStr">
        <is>
          <t>LIFE-STYLE INTERVENTION</t>
        </is>
      </c>
      <c r="B2473" t="n">
        <v>1</v>
      </c>
    </row>
    <row r="2474">
      <c r="A2474" t="inlineStr">
        <is>
          <t>FOLLOW-UP INTERVIEWS</t>
        </is>
      </c>
      <c r="B2474" t="n">
        <v>1</v>
      </c>
    </row>
    <row r="2475">
      <c r="A2475" t="inlineStr">
        <is>
          <t>AT-RISK DRINKING</t>
        </is>
      </c>
      <c r="B2475" t="n">
        <v>1</v>
      </c>
    </row>
    <row r="2476">
      <c r="A2476" t="inlineStr">
        <is>
          <t>USE DISORDERS</t>
        </is>
      </c>
      <c r="B2476" t="n">
        <v>2</v>
      </c>
    </row>
    <row r="2477">
      <c r="A2477" t="inlineStr">
        <is>
          <t>DRUG PROBLEMS</t>
        </is>
      </c>
      <c r="B2477" t="n">
        <v>1</v>
      </c>
    </row>
    <row r="2478">
      <c r="A2478" t="inlineStr">
        <is>
          <t>SELF-HELP</t>
        </is>
      </c>
      <c r="B2478" t="n">
        <v>1</v>
      </c>
    </row>
    <row r="2479">
      <c r="A2479" t="inlineStr">
        <is>
          <t>PERIODONTITIS</t>
        </is>
      </c>
      <c r="B2479" t="n">
        <v>1</v>
      </c>
    </row>
    <row r="2480">
      <c r="A2480" t="inlineStr">
        <is>
          <t>ASSESSING EXPOSURE</t>
        </is>
      </c>
      <c r="B2480" t="n">
        <v>1</v>
      </c>
    </row>
    <row r="2481">
      <c r="A2481" t="inlineStr">
        <is>
          <t>CLIMATE-RELATED DISASTERS</t>
        </is>
      </c>
      <c r="B2481" t="n">
        <v>1</v>
      </c>
    </row>
    <row r="2482">
      <c r="A2482" t="inlineStr">
        <is>
          <t>SEA-LEVEL RISE</t>
        </is>
      </c>
      <c r="B2482" t="n">
        <v>2</v>
      </c>
    </row>
    <row r="2483">
      <c r="A2483" t="inlineStr">
        <is>
          <t>COASTAL COMMUNITIES</t>
        </is>
      </c>
      <c r="B2483" t="n">
        <v>1</v>
      </c>
    </row>
    <row r="2484">
      <c r="A2484" t="inlineStr">
        <is>
          <t>DISABILITIES MONITORING NETWORK</t>
        </is>
      </c>
      <c r="B2484" t="n">
        <v>1</v>
      </c>
    </row>
    <row r="2485">
      <c r="A2485" t="inlineStr">
        <is>
          <t>AGED 8 YEARS</t>
        </is>
      </c>
      <c r="B2485" t="n">
        <v>1</v>
      </c>
    </row>
    <row r="2486">
      <c r="A2486" t="inlineStr">
        <is>
          <t>11 SITES</t>
        </is>
      </c>
      <c r="B2486" t="n">
        <v>1</v>
      </c>
    </row>
    <row r="2487">
      <c r="A2487" t="inlineStr">
        <is>
          <t>GROUP COHESION</t>
        </is>
      </c>
      <c r="B2487" t="n">
        <v>1</v>
      </c>
    </row>
    <row r="2488">
      <c r="A2488" t="inlineStr">
        <is>
          <t>CONNECTION</t>
        </is>
      </c>
      <c r="B2488" t="n">
        <v>2</v>
      </c>
    </row>
    <row r="2489">
      <c r="A2489" t="inlineStr">
        <is>
          <t>EMOTIONAL RESPONSES</t>
        </is>
      </c>
      <c r="B2489" t="n">
        <v>1</v>
      </c>
    </row>
    <row r="2490">
      <c r="A2490" t="inlineStr">
        <is>
          <t>EMPATHY</t>
        </is>
      </c>
      <c r="B2490" t="n">
        <v>1</v>
      </c>
    </row>
    <row r="2491">
      <c r="A2491" t="inlineStr">
        <is>
          <t>SYMPATHY</t>
        </is>
      </c>
      <c r="B2491" t="n">
        <v>1</v>
      </c>
    </row>
    <row r="2492">
      <c r="A2492" t="inlineStr">
        <is>
          <t>IDENTITY</t>
        </is>
      </c>
      <c r="B2492" t="n">
        <v>4</v>
      </c>
    </row>
    <row r="2493">
      <c r="A2493" t="inlineStr">
        <is>
          <t>EQ-5D</t>
        </is>
      </c>
      <c r="B2493" t="n">
        <v>1</v>
      </c>
    </row>
    <row r="2494">
      <c r="A2494" t="inlineStr">
        <is>
          <t>CONNOR-DAVIDSON RESILIENCE</t>
        </is>
      </c>
      <c r="B2494" t="n">
        <v>1</v>
      </c>
    </row>
    <row r="2495">
      <c r="A2495" t="inlineStr">
        <is>
          <t>STRESS REDUCTION</t>
        </is>
      </c>
      <c r="B2495" t="n">
        <v>3</v>
      </c>
    </row>
    <row r="2496">
      <c r="A2496" t="inlineStr">
        <is>
          <t>EMOTION REGULATION</t>
        </is>
      </c>
      <c r="B2496" t="n">
        <v>1</v>
      </c>
    </row>
    <row r="2497">
      <c r="A2497" t="inlineStr">
        <is>
          <t>DECOUPLING MODEL</t>
        </is>
      </c>
      <c r="B2497" t="n">
        <v>1</v>
      </c>
    </row>
    <row r="2498">
      <c r="A2498" t="inlineStr">
        <is>
          <t>MINDFULNESS</t>
        </is>
      </c>
      <c r="B2498" t="n">
        <v>2</v>
      </c>
    </row>
    <row r="2499">
      <c r="A2499" t="inlineStr">
        <is>
          <t>NEUROSCIENCE</t>
        </is>
      </c>
      <c r="B2499" t="n">
        <v>1</v>
      </c>
    </row>
    <row r="2500">
      <c r="A2500" t="inlineStr">
        <is>
          <t>EQUANIMITY</t>
        </is>
      </c>
      <c r="B2500" t="n">
        <v>1</v>
      </c>
    </row>
    <row r="2501">
      <c r="A2501" t="inlineStr">
        <is>
          <t>EXPRESSION</t>
        </is>
      </c>
      <c r="B2501" t="n">
        <v>1</v>
      </c>
    </row>
    <row r="2502">
      <c r="A2502" t="inlineStr">
        <is>
          <t>CONSTRUCT</t>
        </is>
      </c>
      <c r="B2502" t="n">
        <v>1</v>
      </c>
    </row>
    <row r="2503">
      <c r="A2503" t="inlineStr">
        <is>
          <t>DUST POLLUTION</t>
        </is>
      </c>
      <c r="B2503" t="n">
        <v>1</v>
      </c>
    </row>
    <row r="2504">
      <c r="A2504" t="inlineStr">
        <is>
          <t>PARTICULATE-EMISSIONS</t>
        </is>
      </c>
      <c r="B2504" t="n">
        <v>1</v>
      </c>
    </row>
    <row r="2505">
      <c r="A2505" t="inlineStr">
        <is>
          <t>OF-HOME ACTIVITIES</t>
        </is>
      </c>
      <c r="B2505" t="n">
        <v>1</v>
      </c>
    </row>
    <row r="2506">
      <c r="A2506" t="inlineStr">
        <is>
          <t>HOME TELEHEALTH</t>
        </is>
      </c>
      <c r="B2506" t="n">
        <v>1</v>
      </c>
    </row>
    <row r="2507">
      <c r="A2507" t="inlineStr">
        <is>
          <t>FAILURE</t>
        </is>
      </c>
      <c r="B2507" t="n">
        <v>1</v>
      </c>
    </row>
    <row r="2508">
      <c r="A2508" t="inlineStr">
        <is>
          <t>HIGH-SCHOOL-STUDENTS</t>
        </is>
      </c>
      <c r="B2508" t="n">
        <v>1</v>
      </c>
    </row>
    <row r="2509">
      <c r="A2509" t="inlineStr">
        <is>
          <t>ELECTRONIC CIGARETTES</t>
        </is>
      </c>
      <c r="B2509" t="n">
        <v>1</v>
      </c>
    </row>
    <row r="2510">
      <c r="A2510" t="inlineStr">
        <is>
          <t>MARKETING EXPOSURE</t>
        </is>
      </c>
      <c r="B2510" t="n">
        <v>1</v>
      </c>
    </row>
    <row r="2511">
      <c r="A2511" t="inlineStr">
        <is>
          <t>TOBACCO-PRODUCT</t>
        </is>
      </c>
      <c r="B2511" t="n">
        <v>1</v>
      </c>
    </row>
    <row r="2512">
      <c r="A2512" t="inlineStr">
        <is>
          <t>MIDDLE</t>
        </is>
      </c>
      <c r="B2512" t="n">
        <v>1</v>
      </c>
    </row>
    <row r="2513">
      <c r="A2513" t="inlineStr">
        <is>
          <t>EXPENDITURES</t>
        </is>
      </c>
      <c r="B2513" t="n">
        <v>1</v>
      </c>
    </row>
    <row r="2514">
      <c r="A2514" t="inlineStr">
        <is>
          <t>RECEPTIVITY</t>
        </is>
      </c>
      <c r="B2514" t="n">
        <v>1</v>
      </c>
    </row>
    <row r="2515">
      <c r="A2515" t="inlineStr">
        <is>
          <t>SLEEP DISTURBANCE</t>
        </is>
      </c>
      <c r="B2515" t="n">
        <v>2</v>
      </c>
    </row>
    <row r="2516">
      <c r="A2516" t="inlineStr">
        <is>
          <t>USER BEHAVIOR</t>
        </is>
      </c>
      <c r="B2516" t="n">
        <v>1</v>
      </c>
    </row>
    <row r="2517">
      <c r="A2517" t="inlineStr">
        <is>
          <t>RENAL-FUNCTION</t>
        </is>
      </c>
      <c r="B2517" t="n">
        <v>2</v>
      </c>
    </row>
    <row r="2518">
      <c r="A2518" t="inlineStr">
        <is>
          <t>PARTICLE-SIZE</t>
        </is>
      </c>
      <c r="B2518" t="n">
        <v>2</v>
      </c>
    </row>
    <row r="2519">
      <c r="A2519" t="inlineStr">
        <is>
          <t>ALBUMINURIA</t>
        </is>
      </c>
      <c r="B2519" t="n">
        <v>1</v>
      </c>
    </row>
    <row r="2520">
      <c r="A2520" t="inlineStr">
        <is>
          <t>CHILDHOOD HOSPITAL ADMISSIONS</t>
        </is>
      </c>
      <c r="B2520" t="n">
        <v>1</v>
      </c>
    </row>
    <row r="2521">
      <c r="A2521" t="inlineStr">
        <is>
          <t>ACUTE RESPIRATORY-INFECTION</t>
        </is>
      </c>
      <c r="B2521" t="n">
        <v>1</v>
      </c>
    </row>
    <row r="2522">
      <c r="A2522" t="inlineStr">
        <is>
          <t>EMPLOYEE REACTIONS</t>
        </is>
      </c>
      <c r="B2522" t="n">
        <v>1</v>
      </c>
    </row>
    <row r="2523">
      <c r="A2523" t="inlineStr">
        <is>
          <t>PERSONAL CONTROL</t>
        </is>
      </c>
      <c r="B2523" t="n">
        <v>1</v>
      </c>
    </row>
    <row r="2524">
      <c r="A2524" t="inlineStr">
        <is>
          <t>WORKSPACE</t>
        </is>
      </c>
      <c r="B2524" t="n">
        <v>1</v>
      </c>
    </row>
    <row r="2525">
      <c r="A2525" t="inlineStr">
        <is>
          <t>PRIVACY</t>
        </is>
      </c>
      <c r="B2525" t="n">
        <v>1</v>
      </c>
    </row>
    <row r="2526">
      <c r="A2526" t="inlineStr">
        <is>
          <t>MUSEUM HOUSE</t>
        </is>
      </c>
      <c r="B2526" t="n">
        <v>1</v>
      </c>
    </row>
    <row r="2527">
      <c r="A2527" t="inlineStr">
        <is>
          <t>CHURCHES</t>
        </is>
      </c>
      <c r="B2527" t="n">
        <v>1</v>
      </c>
    </row>
    <row r="2528">
      <c r="A2528" t="inlineStr">
        <is>
          <t>ORADEA</t>
        </is>
      </c>
      <c r="B2528" t="n">
        <v>1</v>
      </c>
    </row>
    <row r="2529">
      <c r="A2529" t="inlineStr">
        <is>
          <t>PM2.5 CONCENTRATION</t>
        </is>
      </c>
      <c r="B2529" t="n">
        <v>1</v>
      </c>
    </row>
    <row r="2530">
      <c r="A2530" t="inlineStr">
        <is>
          <t>CROSS-NATIONAL EPIDEMIOLOGY</t>
        </is>
      </c>
      <c r="B2530" t="n">
        <v>1</v>
      </c>
    </row>
    <row r="2531">
      <c r="A2531" t="inlineStr">
        <is>
          <t>REMOVAL EFFICIENCY</t>
        </is>
      </c>
      <c r="B2531" t="n">
        <v>1</v>
      </c>
    </row>
    <row r="2532">
      <c r="A2532" t="inlineStr">
        <is>
          <t>ACTIVATED CARBON</t>
        </is>
      </c>
      <c r="B2532" t="n">
        <v>3</v>
      </c>
    </row>
    <row r="2533">
      <c r="A2533" t="inlineStr">
        <is>
          <t>FOLIAGE PLANTS</t>
        </is>
      </c>
      <c r="B2533" t="n">
        <v>1</v>
      </c>
    </row>
    <row r="2534">
      <c r="A2534" t="inlineStr">
        <is>
          <t>ROOT-ZONE</t>
        </is>
      </c>
      <c r="B2534" t="n">
        <v>1</v>
      </c>
    </row>
    <row r="2535">
      <c r="A2535" t="inlineStr">
        <is>
          <t>CARBON-DIOXIDE CONCENTRATION</t>
        </is>
      </c>
      <c r="B2535" t="n">
        <v>1</v>
      </c>
    </row>
    <row r="2536">
      <c r="A2536" t="inlineStr">
        <is>
          <t>CO2 CONCENTRATION</t>
        </is>
      </c>
      <c r="B2536" t="n">
        <v>1</v>
      </c>
    </row>
    <row r="2537">
      <c r="A2537" t="inlineStr">
        <is>
          <t>OPENING BEHAVIOR</t>
        </is>
      </c>
      <c r="B2537" t="n">
        <v>1</v>
      </c>
    </row>
    <row r="2538">
      <c r="A2538" t="inlineStr">
        <is>
          <t>HEALTH STATUS</t>
        </is>
      </c>
      <c r="B2538" t="n">
        <v>1</v>
      </c>
    </row>
    <row r="2539">
      <c r="A2539" t="inlineStr">
        <is>
          <t>LESIONS</t>
        </is>
      </c>
      <c r="B2539" t="n">
        <v>1</v>
      </c>
    </row>
    <row r="2540">
      <c r="A2540" t="inlineStr">
        <is>
          <t>DROPLETS</t>
        </is>
      </c>
      <c r="B2540" t="n">
        <v>1</v>
      </c>
    </row>
    <row r="2541">
      <c r="A2541" t="inlineStr">
        <is>
          <t>STORM-SURGE</t>
        </is>
      </c>
      <c r="B2541" t="n">
        <v>1</v>
      </c>
    </row>
    <row r="2542">
      <c r="A2542" t="inlineStr">
        <is>
          <t>HURRICANE</t>
        </is>
      </c>
      <c r="B2542" t="n">
        <v>1</v>
      </c>
    </row>
    <row r="2543">
      <c r="A2543" t="inlineStr">
        <is>
          <t>KATRINA</t>
        </is>
      </c>
      <c r="B2543" t="n">
        <v>1</v>
      </c>
    </row>
    <row r="2544">
      <c r="A2544" t="inlineStr">
        <is>
          <t>COUNTY</t>
        </is>
      </c>
      <c r="B2544" t="n">
        <v>1</v>
      </c>
    </row>
    <row r="2545">
      <c r="A2545" t="inlineStr">
        <is>
          <t>FREQUENCY</t>
        </is>
      </c>
      <c r="B2545" t="n">
        <v>2</v>
      </c>
    </row>
    <row r="2546">
      <c r="A2546" t="inlineStr">
        <is>
          <t>MARITAL-STATUS</t>
        </is>
      </c>
      <c r="B2546" t="n">
        <v>2</v>
      </c>
    </row>
    <row r="2547">
      <c r="A2547" t="inlineStr">
        <is>
          <t>REPRESENTATIVE SAMPLE</t>
        </is>
      </c>
      <c r="B2547" t="n">
        <v>1</v>
      </c>
    </row>
    <row r="2548">
      <c r="A2548" t="inlineStr">
        <is>
          <t>ALCOHOL-CONSUMPTION</t>
        </is>
      </c>
      <c r="B2548" t="n">
        <v>2</v>
      </c>
    </row>
    <row r="2549">
      <c r="A2549" t="inlineStr">
        <is>
          <t>FAMILY SUPPORT</t>
        </is>
      </c>
      <c r="B2549" t="n">
        <v>2</v>
      </c>
    </row>
    <row r="2550">
      <c r="A2550" t="inlineStr">
        <is>
          <t>WIDOWHOOD</t>
        </is>
      </c>
      <c r="B2550" t="n">
        <v>1</v>
      </c>
    </row>
    <row r="2551">
      <c r="A2551" t="inlineStr">
        <is>
          <t>VENTILATION RATE</t>
        </is>
      </c>
      <c r="B2551" t="n">
        <v>2</v>
      </c>
    </row>
    <row r="2552">
      <c r="A2552" t="inlineStr">
        <is>
          <t>INDOOR ENVIRONMENTS</t>
        </is>
      </c>
      <c r="B2552" t="n">
        <v>3</v>
      </c>
    </row>
    <row r="2553">
      <c r="A2553" t="inlineStr">
        <is>
          <t>PRODUCTIVE ACTIVITY</t>
        </is>
      </c>
      <c r="B2553" t="n">
        <v>1</v>
      </c>
    </row>
    <row r="2554">
      <c r="A2554" t="inlineStr">
        <is>
          <t>VOLUNTEER</t>
        </is>
      </c>
      <c r="B2554" t="n">
        <v>1</v>
      </c>
    </row>
    <row r="2555">
      <c r="A2555" t="inlineStr">
        <is>
          <t>LOW RELATIVE-HUMIDITY</t>
        </is>
      </c>
      <c r="B2555" t="n">
        <v>1</v>
      </c>
    </row>
    <row r="2556">
      <c r="A2556" t="inlineStr">
        <is>
          <t>ALLERGIC RHINITIS</t>
        </is>
      </c>
      <c r="B2556" t="n">
        <v>1</v>
      </c>
    </row>
    <row r="2557">
      <c r="A2557" t="inlineStr">
        <is>
          <t>MUCOCILIARY CLEARANCE</t>
        </is>
      </c>
      <c r="B2557" t="n">
        <v>1</v>
      </c>
    </row>
    <row r="2558">
      <c r="A2558" t="inlineStr">
        <is>
          <t>NASAL OBSTRUCTION</t>
        </is>
      </c>
      <c r="B2558" t="n">
        <v>1</v>
      </c>
    </row>
    <row r="2559">
      <c r="A2559" t="inlineStr">
        <is>
          <t>HUMAN RESPONSE</t>
        </is>
      </c>
      <c r="B2559" t="n">
        <v>1</v>
      </c>
    </row>
    <row r="2560">
      <c r="A2560" t="inlineStr">
        <is>
          <t>MINERAL DUSTS</t>
        </is>
      </c>
      <c r="B2560" t="n">
        <v>1</v>
      </c>
    </row>
    <row r="2561">
      <c r="A2561" t="inlineStr">
        <is>
          <t>ART INFUSION</t>
        </is>
      </c>
      <c r="B2561" t="n">
        <v>1</v>
      </c>
    </row>
    <row r="2562">
      <c r="A2562" t="inlineStr">
        <is>
          <t>ATMOSPHERE</t>
        </is>
      </c>
      <c r="B2562" t="n">
        <v>2</v>
      </c>
    </row>
    <row r="2563">
      <c r="A2563" t="inlineStr">
        <is>
          <t>REAL</t>
        </is>
      </c>
      <c r="B2563" t="n">
        <v>1</v>
      </c>
    </row>
    <row r="2564">
      <c r="A2564" t="inlineStr">
        <is>
          <t>EMPLOYEES</t>
        </is>
      </c>
      <c r="B2564" t="n">
        <v>1</v>
      </c>
    </row>
    <row r="2565">
      <c r="A2565" t="inlineStr">
        <is>
          <t>SOUND</t>
        </is>
      </c>
      <c r="B2565" t="n">
        <v>1</v>
      </c>
    </row>
    <row r="2566">
      <c r="A2566" t="inlineStr">
        <is>
          <t>COMMUTER MODE CHOICE</t>
        </is>
      </c>
      <c r="B2566" t="n">
        <v>1</v>
      </c>
    </row>
    <row r="2567">
      <c r="A2567" t="inlineStr">
        <is>
          <t>VEHICLE OWNERSHIP</t>
        </is>
      </c>
      <c r="B2567" t="n">
        <v>2</v>
      </c>
    </row>
    <row r="2568">
      <c r="A2568" t="inlineStr">
        <is>
          <t>SUBSIDIES</t>
        </is>
      </c>
      <c r="B2568" t="n">
        <v>1</v>
      </c>
    </row>
    <row r="2569">
      <c r="A2569" t="inlineStr">
        <is>
          <t>GREAT-LAKES ATMOSPHERE</t>
        </is>
      </c>
      <c r="B2569" t="n">
        <v>1</v>
      </c>
    </row>
    <row r="2570">
      <c r="A2570" t="inlineStr">
        <is>
          <t>COMPOUNDS SVOCS</t>
        </is>
      </c>
      <c r="B2570" t="n">
        <v>2</v>
      </c>
    </row>
    <row r="2571">
      <c r="A2571" t="inlineStr">
        <is>
          <t>PBDES</t>
        </is>
      </c>
      <c r="B2571" t="n">
        <v>3</v>
      </c>
    </row>
    <row r="2572">
      <c r="A2572" t="inlineStr">
        <is>
          <t>SEALANTS</t>
        </is>
      </c>
      <c r="B2572" t="n">
        <v>1</v>
      </c>
    </row>
    <row r="2573">
      <c r="A2573" t="inlineStr">
        <is>
          <t>CONTINGENT VALUATION</t>
        </is>
      </c>
      <c r="B2573" t="n">
        <v>1</v>
      </c>
    </row>
    <row r="2574">
      <c r="A2574" t="inlineStr">
        <is>
          <t>ECONOMIC VALUE</t>
        </is>
      </c>
      <c r="B2574" t="n">
        <v>1</v>
      </c>
    </row>
    <row r="2575">
      <c r="A2575" t="inlineStr">
        <is>
          <t>SITES</t>
        </is>
      </c>
      <c r="B2575" t="n">
        <v>1</v>
      </c>
    </row>
    <row r="2576">
      <c r="A2576" t="inlineStr">
        <is>
          <t>MATERIAL STOCK</t>
        </is>
      </c>
      <c r="B2576" t="n">
        <v>1</v>
      </c>
    </row>
    <row r="2577">
      <c r="A2577" t="inlineStr">
        <is>
          <t>OBSOLESCENCE</t>
        </is>
      </c>
      <c r="B2577" t="n">
        <v>1</v>
      </c>
    </row>
    <row r="2578">
      <c r="A2578" t="inlineStr">
        <is>
          <t>DEMOLITION</t>
        </is>
      </c>
      <c r="B2578" t="n">
        <v>2</v>
      </c>
    </row>
    <row r="2579">
      <c r="A2579" t="inlineStr">
        <is>
          <t>STUDENTS PERCEPTIONS</t>
        </is>
      </c>
      <c r="B2579" t="n">
        <v>1</v>
      </c>
    </row>
    <row r="2580">
      <c r="A2580" t="inlineStr">
        <is>
          <t>COLLEGE</t>
        </is>
      </c>
      <c r="B2580" t="n">
        <v>1</v>
      </c>
    </row>
    <row r="2581">
      <c r="A2581" t="inlineStr">
        <is>
          <t>RELIGION</t>
        </is>
      </c>
      <c r="B2581" t="n">
        <v>1</v>
      </c>
    </row>
    <row r="2582">
      <c r="A2582" t="inlineStr">
        <is>
          <t>MEMORY PERFORMANCE</t>
        </is>
      </c>
      <c r="B2582" t="n">
        <v>1</v>
      </c>
    </row>
    <row r="2583">
      <c r="A2583" t="inlineStr">
        <is>
          <t>LIFE-SPAN</t>
        </is>
      </c>
      <c r="B2583" t="n">
        <v>1</v>
      </c>
    </row>
    <row r="2584">
      <c r="A2584" t="inlineStr">
        <is>
          <t>COOLING LOADS</t>
        </is>
      </c>
      <c r="B2584" t="n">
        <v>1</v>
      </c>
    </row>
    <row r="2585">
      <c r="A2585" t="inlineStr">
        <is>
          <t>OFFICES</t>
        </is>
      </c>
      <c r="B2585" t="n">
        <v>1</v>
      </c>
    </row>
    <row r="2586">
      <c r="A2586" t="inlineStr">
        <is>
          <t>1ST</t>
        </is>
      </c>
      <c r="B2586" t="n">
        <v>1</v>
      </c>
    </row>
    <row r="2587">
      <c r="A2587" t="inlineStr">
        <is>
          <t>BROMINATED FLAME-RETARDANTS</t>
        </is>
      </c>
      <c r="B2587" t="n">
        <v>1</v>
      </c>
    </row>
    <row r="2588">
      <c r="A2588" t="inlineStr">
        <is>
          <t>PASSIVE AIR SAMPLERS</t>
        </is>
      </c>
      <c r="B2588" t="n">
        <v>2</v>
      </c>
    </row>
    <row r="2589">
      <c r="A2589" t="inlineStr">
        <is>
          <t>PARTICULATE NITRATE</t>
        </is>
      </c>
      <c r="B2589" t="n">
        <v>1</v>
      </c>
    </row>
    <row r="2590">
      <c r="A2590" t="inlineStr">
        <is>
          <t>SUBURBAN SITE</t>
        </is>
      </c>
      <c r="B2590" t="n">
        <v>1</v>
      </c>
    </row>
    <row r="2591">
      <c r="A2591" t="inlineStr">
        <is>
          <t>NEIGHBORHOOD TYPE</t>
        </is>
      </c>
      <c r="B2591" t="n">
        <v>2</v>
      </c>
    </row>
    <row r="2592">
      <c r="A2592" t="inlineStr">
        <is>
          <t>DISINFECTION BY-PRODUCTS</t>
        </is>
      </c>
      <c r="B2592" t="n">
        <v>3</v>
      </c>
    </row>
    <row r="2593">
      <c r="A2593" t="inlineStr">
        <is>
          <t>SWIMMERS</t>
        </is>
      </c>
      <c r="B2593" t="n">
        <v>2</v>
      </c>
    </row>
    <row r="2594">
      <c r="A2594" t="inlineStr">
        <is>
          <t>DISENGAGEMENT</t>
        </is>
      </c>
      <c r="B2594" t="n">
        <v>1</v>
      </c>
    </row>
    <row r="2595">
      <c r="A2595" t="inlineStr">
        <is>
          <t>BUILDING ORIENTATION</t>
        </is>
      </c>
      <c r="B2595" t="n">
        <v>1</v>
      </c>
    </row>
    <row r="2596">
      <c r="A2596" t="inlineStr">
        <is>
          <t>ACCRA</t>
        </is>
      </c>
      <c r="B2596" t="n">
        <v>1</v>
      </c>
    </row>
    <row r="2597">
      <c r="A2597" t="inlineStr">
        <is>
          <t>HOUSEHOLD</t>
        </is>
      </c>
      <c r="B2597" t="n">
        <v>1</v>
      </c>
    </row>
    <row r="2598">
      <c r="A2598" t="inlineStr">
        <is>
          <t>CONTEMPORARY PUBLIC SPACE</t>
        </is>
      </c>
      <c r="B2598" t="n">
        <v>1</v>
      </c>
    </row>
    <row r="2599">
      <c r="A2599" t="inlineStr">
        <is>
          <t>PERCEIVED DISCRIMINATION</t>
        </is>
      </c>
      <c r="B2599" t="n">
        <v>1</v>
      </c>
    </row>
    <row r="2600">
      <c r="A2600" t="inlineStr">
        <is>
          <t>AFRICAN-AMERICANS</t>
        </is>
      </c>
      <c r="B2600" t="n">
        <v>1</v>
      </c>
    </row>
    <row r="2601">
      <c r="A2601" t="inlineStr">
        <is>
          <t>PHYSICAL-DISABILITY</t>
        </is>
      </c>
      <c r="B2601" t="n">
        <v>1</v>
      </c>
    </row>
    <row r="2602">
      <c r="A2602" t="inlineStr">
        <is>
          <t>FUNCTIONAL DISABILITY</t>
        </is>
      </c>
      <c r="B2602" t="n">
        <v>3</v>
      </c>
    </row>
    <row r="2603">
      <c r="A2603" t="inlineStr">
        <is>
          <t>VISUAL IMPAIRMENT</t>
        </is>
      </c>
      <c r="B2603" t="n">
        <v>1</v>
      </c>
    </row>
    <row r="2604">
      <c r="A2604" t="inlineStr">
        <is>
          <t>SHORT QUESTIONNAIRE</t>
        </is>
      </c>
      <c r="B2604" t="n">
        <v>1</v>
      </c>
    </row>
    <row r="2605">
      <c r="A2605" t="inlineStr">
        <is>
          <t>PARENTAL CONCERNS</t>
        </is>
      </c>
      <c r="B2605" t="n">
        <v>1</v>
      </c>
    </row>
    <row r="2606">
      <c r="A2606" t="inlineStr">
        <is>
          <t>CHILDRENS SAFETY</t>
        </is>
      </c>
      <c r="B2606" t="n">
        <v>1</v>
      </c>
    </row>
    <row r="2607">
      <c r="A2607" t="inlineStr">
        <is>
          <t>RISKY PLAY</t>
        </is>
      </c>
      <c r="B2607" t="n">
        <v>1</v>
      </c>
    </row>
    <row r="2608">
      <c r="A2608" t="inlineStr">
        <is>
          <t>INSIGHTS</t>
        </is>
      </c>
      <c r="B2608" t="n">
        <v>4</v>
      </c>
    </row>
    <row r="2609">
      <c r="A2609" t="inlineStr">
        <is>
          <t>IRAN</t>
        </is>
      </c>
      <c r="B2609" t="n">
        <v>1</v>
      </c>
    </row>
    <row r="2610">
      <c r="A2610" t="inlineStr">
        <is>
          <t>AIRBORNE ASBESTOS</t>
        </is>
      </c>
      <c r="B2610" t="n">
        <v>2</v>
      </c>
    </row>
    <row r="2611">
      <c r="A2611" t="inlineStr">
        <is>
          <t>MESOTHELIOMA</t>
        </is>
      </c>
      <c r="B2611" t="n">
        <v>1</v>
      </c>
    </row>
    <row r="2612">
      <c r="A2612" t="inlineStr">
        <is>
          <t>RELEASE</t>
        </is>
      </c>
      <c r="B2612" t="n">
        <v>2</v>
      </c>
    </row>
    <row r="2613">
      <c r="A2613" t="inlineStr">
        <is>
          <t>ALCOHOL-RELATED PROBLEMS</t>
        </is>
      </c>
      <c r="B2613" t="n">
        <v>1</v>
      </c>
    </row>
    <row r="2614">
      <c r="A2614" t="inlineStr">
        <is>
          <t>SUBSTANCE USE</t>
        </is>
      </c>
      <c r="B2614" t="n">
        <v>2</v>
      </c>
    </row>
    <row r="2615">
      <c r="A2615" t="inlineStr">
        <is>
          <t>FINANCIAL STRESS</t>
        </is>
      </c>
      <c r="B2615" t="n">
        <v>3</v>
      </c>
    </row>
    <row r="2616">
      <c r="A2616" t="inlineStr">
        <is>
          <t>SHORT-FORM</t>
        </is>
      </c>
      <c r="B2616" t="n">
        <v>5</v>
      </c>
    </row>
    <row r="2617">
      <c r="A2617" t="inlineStr">
        <is>
          <t>DEVELOPMENTAL TRAJECTORIES</t>
        </is>
      </c>
      <c r="B2617" t="n">
        <v>1</v>
      </c>
    </row>
    <row r="2618">
      <c r="A2618" t="inlineStr">
        <is>
          <t>HISPANIC COUPLES</t>
        </is>
      </c>
      <c r="B2618" t="n">
        <v>1</v>
      </c>
    </row>
    <row r="2619">
      <c r="A2619" t="inlineStr">
        <is>
          <t>PROBLEM DRINKING</t>
        </is>
      </c>
      <c r="B2619" t="n">
        <v>1</v>
      </c>
    </row>
    <row r="2620">
      <c r="A2620" t="inlineStr">
        <is>
          <t>RESTORATIVE QUALITY</t>
        </is>
      </c>
      <c r="B2620" t="n">
        <v>1</v>
      </c>
    </row>
    <row r="2621">
      <c r="A2621" t="inlineStr">
        <is>
          <t>NEGATIVE AFFECT</t>
        </is>
      </c>
      <c r="B2621" t="n">
        <v>1</v>
      </c>
    </row>
    <row r="2622">
      <c r="A2622" t="inlineStr">
        <is>
          <t>VIEWING NATURE</t>
        </is>
      </c>
      <c r="B2622" t="n">
        <v>1</v>
      </c>
    </row>
    <row r="2623">
      <c r="A2623" t="inlineStr">
        <is>
          <t>SCENES</t>
        </is>
      </c>
      <c r="B2623" t="n">
        <v>1</v>
      </c>
    </row>
    <row r="2624">
      <c r="A2624" t="inlineStr">
        <is>
          <t>RELAXATION</t>
        </is>
      </c>
      <c r="B2624" t="n">
        <v>1</v>
      </c>
    </row>
    <row r="2625">
      <c r="A2625" t="inlineStr">
        <is>
          <t>SCREENING INSTRUMENT COGTEL</t>
        </is>
      </c>
      <c r="B2625" t="n">
        <v>1</v>
      </c>
    </row>
    <row r="2626">
      <c r="A2626" t="inlineStr">
        <is>
          <t>EXECUTIVE FUNCTION</t>
        </is>
      </c>
      <c r="B2626" t="n">
        <v>1</v>
      </c>
    </row>
    <row r="2627">
      <c r="A2627" t="inlineStr">
        <is>
          <t>NUCLEUS</t>
        </is>
      </c>
      <c r="B2627" t="n">
        <v>1</v>
      </c>
    </row>
    <row r="2628">
      <c r="A2628" t="inlineStr">
        <is>
          <t>POLICY INSTRUMENTS</t>
        </is>
      </c>
      <c r="B2628" t="n">
        <v>1</v>
      </c>
    </row>
    <row r="2629">
      <c r="A2629" t="inlineStr">
        <is>
          <t>ECONOMIC-ANALYSIS</t>
        </is>
      </c>
      <c r="B2629" t="n">
        <v>1</v>
      </c>
    </row>
    <row r="2630">
      <c r="A2630" t="inlineStr">
        <is>
          <t>EDUCATIONAL-ATTAINMENT</t>
        </is>
      </c>
      <c r="B2630" t="n">
        <v>1</v>
      </c>
    </row>
    <row r="2631">
      <c r="A2631" t="inlineStr">
        <is>
          <t>RACIAL-DISCRIMINATION</t>
        </is>
      </c>
      <c r="B2631" t="n">
        <v>1</v>
      </c>
    </row>
    <row r="2632">
      <c r="A2632" t="inlineStr">
        <is>
          <t>DIMINISHED RETURNS</t>
        </is>
      </c>
      <c r="B2632" t="n">
        <v>1</v>
      </c>
    </row>
    <row r="2633">
      <c r="A2633" t="inlineStr">
        <is>
          <t>ECONOMIC DIFFICULTIES</t>
        </is>
      </c>
      <c r="B2633" t="n">
        <v>1</v>
      </c>
    </row>
    <row r="2634">
      <c r="A2634" t="inlineStr">
        <is>
          <t>FUNDAMENTAL CAUSES</t>
        </is>
      </c>
      <c r="B2634" t="n">
        <v>1</v>
      </c>
    </row>
    <row r="2635">
      <c r="A2635" t="inlineStr">
        <is>
          <t>FAMILY-STRUCTURE</t>
        </is>
      </c>
      <c r="B2635" t="n">
        <v>1</v>
      </c>
    </row>
    <row r="2636">
      <c r="A2636" t="inlineStr">
        <is>
          <t>PRIORITY AREAS</t>
        </is>
      </c>
      <c r="B2636" t="n">
        <v>1</v>
      </c>
    </row>
    <row r="2637">
      <c r="A2637" t="inlineStr">
        <is>
          <t>EUROPEAN ATLAS</t>
        </is>
      </c>
      <c r="B2637" t="n">
        <v>1</v>
      </c>
    </row>
    <row r="2638">
      <c r="A2638" t="inlineStr">
        <is>
          <t>PRONE AREAS</t>
        </is>
      </c>
      <c r="B2638" t="n">
        <v>1</v>
      </c>
    </row>
    <row r="2639">
      <c r="A2639" t="inlineStr">
        <is>
          <t>READING ENGAGEMENT</t>
        </is>
      </c>
      <c r="B2639" t="n">
        <v>1</v>
      </c>
    </row>
    <row r="2640">
      <c r="A2640" t="inlineStr">
        <is>
          <t>US-BORN</t>
        </is>
      </c>
      <c r="B2640" t="n">
        <v>1</v>
      </c>
    </row>
    <row r="2641">
      <c r="A2641" t="inlineStr">
        <is>
          <t>FOREIGN</t>
        </is>
      </c>
      <c r="B2641" t="n">
        <v>1</v>
      </c>
    </row>
    <row r="2642">
      <c r="A2642" t="inlineStr">
        <is>
          <t>CULTURAL ECOSYSTEM SERVICES</t>
        </is>
      </c>
      <c r="B2642" t="n">
        <v>1</v>
      </c>
    </row>
    <row r="2643">
      <c r="A2643" t="inlineStr">
        <is>
          <t>NEIGHBORHOOD ATTACHMENT</t>
        </is>
      </c>
      <c r="B2643" t="n">
        <v>2</v>
      </c>
    </row>
    <row r="2644">
      <c r="A2644" t="inlineStr">
        <is>
          <t>EXPLORATION</t>
        </is>
      </c>
      <c r="B2644" t="n">
        <v>2</v>
      </c>
    </row>
    <row r="2645">
      <c r="A2645" t="inlineStr">
        <is>
          <t>BUILDING ENERGY</t>
        </is>
      </c>
      <c r="B2645" t="n">
        <v>1</v>
      </c>
    </row>
    <row r="2646">
      <c r="A2646" t="inlineStr">
        <is>
          <t>ACTIVITY PROGRAMS</t>
        </is>
      </c>
      <c r="B2646" t="n">
        <v>1</v>
      </c>
    </row>
    <row r="2647">
      <c r="A2647" t="inlineStr">
        <is>
          <t>PVC</t>
        </is>
      </c>
      <c r="B2647" t="n">
        <v>1</v>
      </c>
    </row>
    <row r="2648">
      <c r="A2648" t="inlineStr">
        <is>
          <t>LAND-USE CHANGES</t>
        </is>
      </c>
      <c r="B2648" t="n">
        <v>1</v>
      </c>
    </row>
    <row r="2649">
      <c r="A2649" t="inlineStr">
        <is>
          <t>INAPPROPRIATE MEDICATION USE</t>
        </is>
      </c>
      <c r="B2649" t="n">
        <v>1</v>
      </c>
    </row>
    <row r="2650">
      <c r="A2650" t="inlineStr">
        <is>
          <t>INSOMNIA SEVERITY INDEX</t>
        </is>
      </c>
      <c r="B2650" t="n">
        <v>1</v>
      </c>
    </row>
    <row r="2651">
      <c r="A2651" t="inlineStr">
        <is>
          <t>DIABETES COMPLICATIONS</t>
        </is>
      </c>
      <c r="B2651" t="n">
        <v>1</v>
      </c>
    </row>
    <row r="2652">
      <c r="A2652" t="inlineStr">
        <is>
          <t>RHEUMATOID-ARTHRITIS</t>
        </is>
      </c>
      <c r="B2652" t="n">
        <v>2</v>
      </c>
    </row>
    <row r="2653">
      <c r="A2653" t="inlineStr">
        <is>
          <t>OPIOID USE</t>
        </is>
      </c>
      <c r="B2653" t="n">
        <v>1</v>
      </c>
    </row>
    <row r="2654">
      <c r="A2654" t="inlineStr">
        <is>
          <t>DISTURBANCES</t>
        </is>
      </c>
      <c r="B2654" t="n">
        <v>1</v>
      </c>
    </row>
    <row r="2655">
      <c r="A2655" t="inlineStr">
        <is>
          <t>INSOMNIA</t>
        </is>
      </c>
      <c r="B2655" t="n">
        <v>2</v>
      </c>
    </row>
    <row r="2656">
      <c r="A2656" t="inlineStr">
        <is>
          <t>E-WASTE</t>
        </is>
      </c>
      <c r="B2656" t="n">
        <v>1</v>
      </c>
    </row>
    <row r="2657">
      <c r="A2657" t="inlineStr">
        <is>
          <t>BODY BURDENS</t>
        </is>
      </c>
      <c r="B2657" t="n">
        <v>1</v>
      </c>
    </row>
    <row r="2658">
      <c r="A2658" t="inlineStr">
        <is>
          <t>BREAST-MILK</t>
        </is>
      </c>
      <c r="B2658" t="n">
        <v>3</v>
      </c>
    </row>
    <row r="2659">
      <c r="A2659" t="inlineStr">
        <is>
          <t>SERUM</t>
        </is>
      </c>
      <c r="B2659" t="n">
        <v>1</v>
      </c>
    </row>
    <row r="2660">
      <c r="A2660" t="inlineStr">
        <is>
          <t>LANDSCAPE STRUCTURE</t>
        </is>
      </c>
      <c r="B2660" t="n">
        <v>1</v>
      </c>
    </row>
    <row r="2661">
      <c r="A2661" t="inlineStr">
        <is>
          <t>JOB-SATISFACTION</t>
        </is>
      </c>
      <c r="B2661" t="n">
        <v>1</v>
      </c>
    </row>
    <row r="2662">
      <c r="A2662" t="inlineStr">
        <is>
          <t>NEOLITHIC CATALHOYUK</t>
        </is>
      </c>
      <c r="B2662" t="n">
        <v>1</v>
      </c>
    </row>
    <row r="2663">
      <c r="A2663" t="inlineStr">
        <is>
          <t>SOUTHWEST ASIA</t>
        </is>
      </c>
      <c r="B2663" t="n">
        <v>1</v>
      </c>
    </row>
    <row r="2664">
      <c r="A2664" t="inlineStr">
        <is>
          <t>LAKE ZERIBAR</t>
        </is>
      </c>
      <c r="B2664" t="n">
        <v>1</v>
      </c>
    </row>
    <row r="2665">
      <c r="A2665" t="inlineStr">
        <is>
          <t>NEAR-EAST</t>
        </is>
      </c>
      <c r="B2665" t="n">
        <v>1</v>
      </c>
    </row>
    <row r="2666">
      <c r="A2666" t="inlineStr">
        <is>
          <t>LATE PLEISTOCENE</t>
        </is>
      </c>
      <c r="B2666" t="n">
        <v>1</v>
      </c>
    </row>
    <row r="2667">
      <c r="A2667" t="inlineStr">
        <is>
          <t>HOLOCENE</t>
        </is>
      </c>
      <c r="B2667" t="n">
        <v>1</v>
      </c>
    </row>
    <row r="2668">
      <c r="A2668" t="inlineStr">
        <is>
          <t>PLANT</t>
        </is>
      </c>
      <c r="B2668" t="n">
        <v>1</v>
      </c>
    </row>
    <row r="2669">
      <c r="A2669" t="inlineStr">
        <is>
          <t>WOODLAND</t>
        </is>
      </c>
      <c r="B2669" t="n">
        <v>1</v>
      </c>
    </row>
    <row r="2670">
      <c r="A2670" t="inlineStr">
        <is>
          <t>ORIGINS</t>
        </is>
      </c>
      <c r="B2670" t="n">
        <v>2</v>
      </c>
    </row>
    <row r="2671">
      <c r="A2671" t="inlineStr">
        <is>
          <t>REMAINS</t>
        </is>
      </c>
      <c r="B2671" t="n">
        <v>1</v>
      </c>
    </row>
    <row r="2672">
      <c r="A2672" t="inlineStr">
        <is>
          <t>POLYCYCLIC MUSKS</t>
        </is>
      </c>
      <c r="B2672" t="n">
        <v>1</v>
      </c>
    </row>
    <row r="2673">
      <c r="A2673" t="inlineStr">
        <is>
          <t>NITRO MUSKS</t>
        </is>
      </c>
      <c r="B2673" t="n">
        <v>1</v>
      </c>
    </row>
    <row r="2674">
      <c r="A2674" t="inlineStr">
        <is>
          <t>FRAGRANCES</t>
        </is>
      </c>
      <c r="B2674" t="n">
        <v>1</v>
      </c>
    </row>
    <row r="2675">
      <c r="A2675" t="inlineStr">
        <is>
          <t>PHASE</t>
        </is>
      </c>
      <c r="B2675" t="n">
        <v>1</v>
      </c>
    </row>
    <row r="2676">
      <c r="A2676" t="inlineStr">
        <is>
          <t>BLOOD</t>
        </is>
      </c>
      <c r="B2676" t="n">
        <v>4</v>
      </c>
    </row>
    <row r="2677">
      <c r="A2677" t="inlineStr">
        <is>
          <t>AEROSOL TRANSMISSION</t>
        </is>
      </c>
      <c r="B2677" t="n">
        <v>1</v>
      </c>
    </row>
    <row r="2678">
      <c r="A2678" t="inlineStr">
        <is>
          <t>SARS-COV-2</t>
        </is>
      </c>
      <c r="B2678" t="n">
        <v>2</v>
      </c>
    </row>
    <row r="2679">
      <c r="A2679" t="inlineStr">
        <is>
          <t>MEASLES</t>
        </is>
      </c>
      <c r="B2679" t="n">
        <v>1</v>
      </c>
    </row>
    <row r="2680">
      <c r="A2680" t="inlineStr">
        <is>
          <t>VIRUS</t>
        </is>
      </c>
      <c r="B2680" t="n">
        <v>2</v>
      </c>
    </row>
    <row r="2681">
      <c r="A2681" t="inlineStr">
        <is>
          <t>PARTICLE SOURCES</t>
        </is>
      </c>
      <c r="B2681" t="n">
        <v>1</v>
      </c>
    </row>
    <row r="2682">
      <c r="A2682" t="inlineStr">
        <is>
          <t>CLASSROOM</t>
        </is>
      </c>
      <c r="B2682" t="n">
        <v>3</v>
      </c>
    </row>
    <row r="2683">
      <c r="A2683" t="inlineStr">
        <is>
          <t>MECHANISMS</t>
        </is>
      </c>
      <c r="B2683" t="n">
        <v>6</v>
      </c>
    </row>
    <row r="2684">
      <c r="A2684" t="inlineStr">
        <is>
          <t>ABSOLUTE-HUMIDITY</t>
        </is>
      </c>
      <c r="B2684" t="n">
        <v>1</v>
      </c>
    </row>
    <row r="2685">
      <c r="A2685" t="inlineStr">
        <is>
          <t>INFLUENZA</t>
        </is>
      </c>
      <c r="B2685" t="n">
        <v>4</v>
      </c>
    </row>
    <row r="2686">
      <c r="A2686" t="inlineStr">
        <is>
          <t>LOADS</t>
        </is>
      </c>
      <c r="B2686" t="n">
        <v>1</v>
      </c>
    </row>
    <row r="2687">
      <c r="A2687" t="inlineStr">
        <is>
          <t>CUSTOMER VALUE</t>
        </is>
      </c>
      <c r="B2687" t="n">
        <v>1</v>
      </c>
    </row>
    <row r="2688">
      <c r="A2688" t="inlineStr">
        <is>
          <t>ULTRAFINE PARTICLE</t>
        </is>
      </c>
      <c r="B2688" t="n">
        <v>3</v>
      </c>
    </row>
    <row r="2689">
      <c r="A2689" t="inlineStr">
        <is>
          <t>SOURCE STRENGTHS</t>
        </is>
      </c>
      <c r="B2689" t="n">
        <v>2</v>
      </c>
    </row>
    <row r="2690">
      <c r="A2690" t="inlineStr">
        <is>
          <t>PLS-SEM</t>
        </is>
      </c>
      <c r="B2690" t="n">
        <v>2</v>
      </c>
    </row>
    <row r="2691">
      <c r="A2691" t="inlineStr">
        <is>
          <t>SEEKING</t>
        </is>
      </c>
      <c r="B2691" t="n">
        <v>2</v>
      </c>
    </row>
    <row r="2692">
      <c r="A2692" t="inlineStr">
        <is>
          <t>OTHERS</t>
        </is>
      </c>
      <c r="B2692" t="n">
        <v>1</v>
      </c>
    </row>
    <row r="2693">
      <c r="A2693" t="inlineStr">
        <is>
          <t>SMART HOMES</t>
        </is>
      </c>
      <c r="B2693" t="n">
        <v>1</v>
      </c>
    </row>
    <row r="2694">
      <c r="A2694" t="inlineStr">
        <is>
          <t>FLOOR GARDENS</t>
        </is>
      </c>
      <c r="B2694" t="n">
        <v>1</v>
      </c>
    </row>
    <row r="2695">
      <c r="A2695" t="inlineStr">
        <is>
          <t>SOFT FRUITS</t>
        </is>
      </c>
      <c r="B2695" t="n">
        <v>1</v>
      </c>
    </row>
    <row r="2696">
      <c r="A2696" t="inlineStr">
        <is>
          <t>CULTIVATION</t>
        </is>
      </c>
      <c r="B2696" t="n">
        <v>1</v>
      </c>
    </row>
    <row r="2697">
      <c r="A2697" t="inlineStr">
        <is>
          <t>VEGETABLES</t>
        </is>
      </c>
      <c r="B2697" t="n">
        <v>1</v>
      </c>
    </row>
    <row r="2698">
      <c r="A2698" t="inlineStr">
        <is>
          <t>ELEVATORS</t>
        </is>
      </c>
      <c r="B2698" t="n">
        <v>1</v>
      </c>
    </row>
    <row r="2699">
      <c r="A2699" t="inlineStr">
        <is>
          <t>FUNCTIONAL MOBILITY</t>
        </is>
      </c>
      <c r="B2699" t="n">
        <v>1</v>
      </c>
    </row>
    <row r="2700">
      <c r="A2700" t="inlineStr">
        <is>
          <t>PREDICT</t>
        </is>
      </c>
      <c r="B2700" t="n">
        <v>1</v>
      </c>
    </row>
    <row r="2701">
      <c r="A2701" t="inlineStr">
        <is>
          <t>COSTS</t>
        </is>
      </c>
      <c r="B2701" t="n">
        <v>2</v>
      </c>
    </row>
    <row r="2702">
      <c r="A2702" t="inlineStr">
        <is>
          <t>IMPAIRMENT MCI</t>
        </is>
      </c>
      <c r="B2702" t="n">
        <v>1</v>
      </c>
    </row>
    <row r="2703">
      <c r="A2703" t="inlineStr">
        <is>
          <t>MYOCARDIAL-INFARCTION</t>
        </is>
      </c>
      <c r="B2703" t="n">
        <v>1</v>
      </c>
    </row>
    <row r="2704">
      <c r="A2704" t="inlineStr">
        <is>
          <t>MAJOR ROADWAY</t>
        </is>
      </c>
      <c r="B2704" t="n">
        <v>1</v>
      </c>
    </row>
    <row r="2705">
      <c r="A2705" t="inlineStr">
        <is>
          <t>WATER-VAPOR</t>
        </is>
      </c>
      <c r="B2705" t="n">
        <v>1</v>
      </c>
    </row>
    <row r="2706">
      <c r="A2706" t="inlineStr">
        <is>
          <t>PENETRATORS</t>
        </is>
      </c>
      <c r="B2706" t="n">
        <v>1</v>
      </c>
    </row>
    <row r="2707">
      <c r="A2707" t="inlineStr">
        <is>
          <t>ALLOY</t>
        </is>
      </c>
      <c r="B2707" t="n">
        <v>1</v>
      </c>
    </row>
    <row r="2708">
      <c r="A2708" t="inlineStr">
        <is>
          <t>FATE</t>
        </is>
      </c>
      <c r="B2708" t="n">
        <v>1</v>
      </c>
    </row>
    <row r="2709">
      <c r="A2709" t="inlineStr">
        <is>
          <t>SARCOPENIA</t>
        </is>
      </c>
      <c r="B2709" t="n">
        <v>11</v>
      </c>
    </row>
    <row r="2710">
      <c r="A2710" t="inlineStr">
        <is>
          <t>BUILDING ENVELOPE</t>
        </is>
      </c>
      <c r="B2710" t="n">
        <v>1</v>
      </c>
    </row>
    <row r="2711">
      <c r="A2711" t="inlineStr">
        <is>
          <t>AL-TOBERMORITE</t>
        </is>
      </c>
      <c r="B2711" t="n">
        <v>1</v>
      </c>
    </row>
    <row r="2712">
      <c r="A2712" t="inlineStr">
        <is>
          <t>ROMAN</t>
        </is>
      </c>
      <c r="B2712" t="n">
        <v>1</v>
      </c>
    </row>
    <row r="2713">
      <c r="A2713" t="inlineStr">
        <is>
          <t>STONE</t>
        </is>
      </c>
      <c r="B2713" t="n">
        <v>1</v>
      </c>
    </row>
    <row r="2714">
      <c r="A2714" t="inlineStr">
        <is>
          <t>C-REACTIVE PROTEIN</t>
        </is>
      </c>
      <c r="B2714" t="n">
        <v>2</v>
      </c>
    </row>
    <row r="2715">
      <c r="A2715" t="inlineStr">
        <is>
          <t>DIETARY-SODIUM</t>
        </is>
      </c>
      <c r="B2715" t="n">
        <v>1</v>
      </c>
    </row>
    <row r="2716">
      <c r="A2716" t="inlineStr">
        <is>
          <t>SEX</t>
        </is>
      </c>
      <c r="B2716" t="n">
        <v>1</v>
      </c>
    </row>
    <row r="2717">
      <c r="A2717" t="inlineStr">
        <is>
          <t>REVISED PATIENTS ATTITUDES</t>
        </is>
      </c>
      <c r="B2717" t="n">
        <v>1</v>
      </c>
    </row>
    <row r="2718">
      <c r="A2718" t="inlineStr">
        <is>
          <t>ADVERSE DRUG EVENTS</t>
        </is>
      </c>
      <c r="B2718" t="n">
        <v>1</v>
      </c>
    </row>
    <row r="2719">
      <c r="A2719" t="inlineStr">
        <is>
          <t>STOPP/START CRITERIA</t>
        </is>
      </c>
      <c r="B2719" t="n">
        <v>1</v>
      </c>
    </row>
    <row r="2720">
      <c r="A2720" t="inlineStr">
        <is>
          <t>RPATD QUESTIONNAIRE</t>
        </is>
      </c>
      <c r="B2720" t="n">
        <v>1</v>
      </c>
    </row>
    <row r="2721">
      <c r="A2721" t="inlineStr">
        <is>
          <t>MEDICATION USE</t>
        </is>
      </c>
      <c r="B2721" t="n">
        <v>1</v>
      </c>
    </row>
    <row r="2722">
      <c r="A2722" t="inlineStr">
        <is>
          <t>GEOGRAPHIC LIFE ENVIRONMENTS</t>
        </is>
      </c>
      <c r="B2722" t="n">
        <v>1</v>
      </c>
    </row>
    <row r="2723">
      <c r="A2723" t="inlineStr">
        <is>
          <t>PUBLIC-HEALTH RESEARCH</t>
        </is>
      </c>
      <c r="B2723" t="n">
        <v>1</v>
      </c>
    </row>
    <row r="2724">
      <c r="A2724" t="inlineStr">
        <is>
          <t>RESEARCH AGENDA</t>
        </is>
      </c>
      <c r="B2724" t="n">
        <v>1</v>
      </c>
    </row>
    <row r="2725">
      <c r="A2725" t="inlineStr">
        <is>
          <t>CONCEPTUALIZATION</t>
        </is>
      </c>
      <c r="B2725" t="n">
        <v>1</v>
      </c>
    </row>
    <row r="2726">
      <c r="A2726" t="inlineStr">
        <is>
          <t>INSTITUTIONALIZATION</t>
        </is>
      </c>
      <c r="B2726" t="n">
        <v>1</v>
      </c>
    </row>
    <row r="2727">
      <c r="A2727" t="inlineStr">
        <is>
          <t>EUROPEAN WORKING GROUP</t>
        </is>
      </c>
      <c r="B2727" t="n">
        <v>1</v>
      </c>
    </row>
    <row r="2728">
      <c r="A2728" t="inlineStr">
        <is>
          <t>MUSCLE MASS</t>
        </is>
      </c>
      <c r="B2728" t="n">
        <v>2</v>
      </c>
    </row>
    <row r="2729">
      <c r="A2729" t="inlineStr">
        <is>
          <t>SKELETAL-MUSCLE</t>
        </is>
      </c>
      <c r="B2729" t="n">
        <v>3</v>
      </c>
    </row>
    <row r="2730">
      <c r="A2730" t="inlineStr">
        <is>
          <t>BARTHEL INDEX</t>
        </is>
      </c>
      <c r="B2730" t="n">
        <v>1</v>
      </c>
    </row>
    <row r="2731">
      <c r="A2731" t="inlineStr">
        <is>
          <t>PEOPLE EWGSOP</t>
        </is>
      </c>
      <c r="B2731" t="n">
        <v>1</v>
      </c>
    </row>
    <row r="2732">
      <c r="A2732" t="inlineStr">
        <is>
          <t>IMMIGRANTS</t>
        </is>
      </c>
      <c r="B2732" t="n">
        <v>1</v>
      </c>
    </row>
    <row r="2733">
      <c r="A2733" t="inlineStr">
        <is>
          <t>ANXIETY DISORDER</t>
        </is>
      </c>
      <c r="B2733" t="n">
        <v>1</v>
      </c>
    </row>
    <row r="2734">
      <c r="A2734" t="inlineStr">
        <is>
          <t>SOCIAL ANXIETY</t>
        </is>
      </c>
      <c r="B2734" t="n">
        <v>1</v>
      </c>
    </row>
    <row r="2735">
      <c r="A2735" t="inlineStr">
        <is>
          <t>ALTITUDE</t>
        </is>
      </c>
      <c r="B2735" t="n">
        <v>2</v>
      </c>
    </row>
    <row r="2736">
      <c r="A2736" t="inlineStr">
        <is>
          <t>CENTRALITY</t>
        </is>
      </c>
      <c r="B2736" t="n">
        <v>1</v>
      </c>
    </row>
    <row r="2737">
      <c r="A2737" t="inlineStr">
        <is>
          <t>EMPIRICAL-ANALYSIS</t>
        </is>
      </c>
      <c r="B2737" t="n">
        <v>1</v>
      </c>
    </row>
    <row r="2738">
      <c r="A2738" t="inlineStr">
        <is>
          <t>SCENARIO</t>
        </is>
      </c>
      <c r="B2738" t="n">
        <v>1</v>
      </c>
    </row>
    <row r="2739">
      <c r="A2739" t="inlineStr">
        <is>
          <t>INTERGENERATIONAL RELATIONSHIPS</t>
        </is>
      </c>
      <c r="B2739" t="n">
        <v>1</v>
      </c>
    </row>
    <row r="2740">
      <c r="A2740" t="inlineStr">
        <is>
          <t>GENERAL BASE CATALYSIS</t>
        </is>
      </c>
      <c r="B2740" t="n">
        <v>1</v>
      </c>
    </row>
    <row r="2741">
      <c r="A2741" t="inlineStr">
        <is>
          <t>ATMOSPHERIC CHEMISTRY</t>
        </is>
      </c>
      <c r="B2741" t="n">
        <v>2</v>
      </c>
    </row>
    <row r="2742">
      <c r="A2742" t="inlineStr">
        <is>
          <t>PHASE REACTIONS</t>
        </is>
      </c>
      <c r="B2742" t="n">
        <v>1</v>
      </c>
    </row>
    <row r="2743">
      <c r="A2743" t="inlineStr">
        <is>
          <t>LATEX PAINT</t>
        </is>
      </c>
      <c r="B2743" t="n">
        <v>1</v>
      </c>
    </row>
    <row r="2744">
      <c r="A2744" t="inlineStr">
        <is>
          <t>RIPARIAN VEGETATION</t>
        </is>
      </c>
      <c r="B2744" t="n">
        <v>1</v>
      </c>
    </row>
    <row r="2745">
      <c r="A2745" t="inlineStr">
        <is>
          <t>WATER CONSERVATION</t>
        </is>
      </c>
      <c r="B2745" t="n">
        <v>1</v>
      </c>
    </row>
    <row r="2746">
      <c r="A2746" t="inlineStr">
        <is>
          <t>LOESS PLATEAU</t>
        </is>
      </c>
      <c r="B2746" t="n">
        <v>1</v>
      </c>
    </row>
    <row r="2747">
      <c r="A2747" t="inlineStr">
        <is>
          <t>SOIL-EROSION</t>
        </is>
      </c>
      <c r="B2747" t="n">
        <v>1</v>
      </c>
    </row>
    <row r="2748">
      <c r="A2748" t="inlineStr">
        <is>
          <t>RIVER-BASIN</t>
        </is>
      </c>
      <c r="B2748" t="n">
        <v>2</v>
      </c>
    </row>
    <row r="2749">
      <c r="A2749" t="inlineStr">
        <is>
          <t>LARGE-AREA</t>
        </is>
      </c>
      <c r="B2749" t="n">
        <v>1</v>
      </c>
    </row>
    <row r="2750">
      <c r="A2750" t="inlineStr">
        <is>
          <t>MATERIAL FLOW-ANALYSIS</t>
        </is>
      </c>
      <c r="B2750" t="n">
        <v>3</v>
      </c>
    </row>
    <row r="2751">
      <c r="A2751" t="inlineStr">
        <is>
          <t>BUSINESS</t>
        </is>
      </c>
      <c r="B2751" t="n">
        <v>1</v>
      </c>
    </row>
    <row r="2752">
      <c r="A2752" t="inlineStr">
        <is>
          <t>DOG OWNERSHIP</t>
        </is>
      </c>
      <c r="B2752" t="n">
        <v>1</v>
      </c>
    </row>
    <row r="2753">
      <c r="A2753" t="inlineStr">
        <is>
          <t>SURVEILLANCE</t>
        </is>
      </c>
      <c r="B2753" t="n">
        <v>1</v>
      </c>
    </row>
    <row r="2754">
      <c r="A2754" t="inlineStr">
        <is>
          <t>STIGMA</t>
        </is>
      </c>
      <c r="B2754" t="n">
        <v>1</v>
      </c>
    </row>
    <row r="2755">
      <c r="A2755" t="inlineStr">
        <is>
          <t>DISCLOSURE</t>
        </is>
      </c>
      <c r="B2755" t="n">
        <v>1</v>
      </c>
    </row>
    <row r="2756">
      <c r="A2756" t="inlineStr">
        <is>
          <t>HIV/AIDS</t>
        </is>
      </c>
      <c r="B2756" t="n">
        <v>2</v>
      </c>
    </row>
    <row r="2757">
      <c r="A2757" t="inlineStr">
        <is>
          <t>DOPAMINE</t>
        </is>
      </c>
      <c r="B2757" t="n">
        <v>1</v>
      </c>
    </row>
    <row r="2758">
      <c r="A2758" t="inlineStr">
        <is>
          <t>HEATING-SYSTEMS</t>
        </is>
      </c>
      <c r="B2758" t="n">
        <v>1</v>
      </c>
    </row>
    <row r="2759">
      <c r="A2759" t="inlineStr">
        <is>
          <t>INDOOR CLIMATE</t>
        </is>
      </c>
      <c r="B2759" t="n">
        <v>1</v>
      </c>
    </row>
    <row r="2760">
      <c r="A2760" t="inlineStr">
        <is>
          <t>ROCCA PIETORE</t>
        </is>
      </c>
      <c r="B2760" t="n">
        <v>1</v>
      </c>
    </row>
    <row r="2761">
      <c r="A2761" t="inlineStr">
        <is>
          <t>HOT-AIR</t>
        </is>
      </c>
      <c r="B2761" t="n">
        <v>1</v>
      </c>
    </row>
    <row r="2762">
      <c r="A2762" t="inlineStr">
        <is>
          <t>REQUIREMENTS</t>
        </is>
      </c>
      <c r="B2762" t="n">
        <v>2</v>
      </c>
    </row>
    <row r="2763">
      <c r="A2763" t="inlineStr">
        <is>
          <t>COARSE PARTICLES</t>
        </is>
      </c>
      <c r="B2763" t="n">
        <v>2</v>
      </c>
    </row>
    <row r="2764">
      <c r="A2764" t="inlineStr">
        <is>
          <t>SAHARAN DUST</t>
        </is>
      </c>
      <c r="B2764" t="n">
        <v>1</v>
      </c>
    </row>
    <row r="2765">
      <c r="A2765" t="inlineStr">
        <is>
          <t>MONITORS</t>
        </is>
      </c>
      <c r="B2765" t="n">
        <v>1</v>
      </c>
    </row>
    <row r="2766">
      <c r="A2766" t="inlineStr">
        <is>
          <t>NICOSIA</t>
        </is>
      </c>
      <c r="B2766" t="n">
        <v>1</v>
      </c>
    </row>
    <row r="2767">
      <c r="A2767" t="inlineStr">
        <is>
          <t>VIBRANCY</t>
        </is>
      </c>
      <c r="B2767" t="n">
        <v>3</v>
      </c>
    </row>
    <row r="2768">
      <c r="A2768" t="inlineStr">
        <is>
          <t>EXPANSION</t>
        </is>
      </c>
      <c r="B2768" t="n">
        <v>1</v>
      </c>
    </row>
    <row r="2769">
      <c r="A2769" t="inlineStr">
        <is>
          <t>AUSTRALIAN CONSTRUCTION-INDUSTRY</t>
        </is>
      </c>
      <c r="B2769" t="n">
        <v>1</v>
      </c>
    </row>
    <row r="2770">
      <c r="A2770" t="inlineStr">
        <is>
          <t>CHANGE ADAPTATION</t>
        </is>
      </c>
      <c r="B2770" t="n">
        <v>2</v>
      </c>
    </row>
    <row r="2771">
      <c r="A2771" t="inlineStr">
        <is>
          <t>REAL-ESTATE</t>
        </is>
      </c>
      <c r="B2771" t="n">
        <v>1</v>
      </c>
    </row>
    <row r="2772">
      <c r="A2772" t="inlineStr">
        <is>
          <t>MAINSTREAMING CLIMATE</t>
        </is>
      </c>
      <c r="B2772" t="n">
        <v>1</v>
      </c>
    </row>
    <row r="2773">
      <c r="A2773" t="inlineStr">
        <is>
          <t>BLACK SMOKE</t>
        </is>
      </c>
      <c r="B2773" t="n">
        <v>1</v>
      </c>
    </row>
    <row r="2774">
      <c r="A2774" t="inlineStr">
        <is>
          <t>ENDOTOXIN CONCENTRATIONS</t>
        </is>
      </c>
      <c r="B2774" t="n">
        <v>2</v>
      </c>
    </row>
    <row r="2775">
      <c r="A2775" t="inlineStr">
        <is>
          <t>OUTDOOR CONCENTRATIONS</t>
        </is>
      </c>
      <c r="B2775" t="n">
        <v>2</v>
      </c>
    </row>
    <row r="2776">
      <c r="A2776" t="inlineStr">
        <is>
          <t>GAMMA DOSE-RATE</t>
        </is>
      </c>
      <c r="B2776" t="n">
        <v>1</v>
      </c>
    </row>
    <row r="2777">
      <c r="A2777" t="inlineStr">
        <is>
          <t>TAMILNADU</t>
        </is>
      </c>
      <c r="B2777" t="n">
        <v>1</v>
      </c>
    </row>
    <row r="2778">
      <c r="A2778" t="inlineStr">
        <is>
          <t>NEIGHBORHOOD DESTINATION ACCESSIBILITY</t>
        </is>
      </c>
      <c r="B2778" t="n">
        <v>1</v>
      </c>
    </row>
    <row r="2779">
      <c r="A2779" t="inlineStr">
        <is>
          <t>OFFICE WORKERS</t>
        </is>
      </c>
      <c r="B2779" t="n">
        <v>1</v>
      </c>
    </row>
    <row r="2780">
      <c r="A2780" t="inlineStr">
        <is>
          <t>CHANGE RATES</t>
        </is>
      </c>
      <c r="B2780" t="n">
        <v>1</v>
      </c>
    </row>
    <row r="2781">
      <c r="A2781" t="inlineStr">
        <is>
          <t>IONIZATION</t>
        </is>
      </c>
      <c r="B2781" t="n">
        <v>1</v>
      </c>
    </row>
    <row r="2782">
      <c r="A2782" t="inlineStr">
        <is>
          <t>REACTIVE OXYGEN</t>
        </is>
      </c>
      <c r="B2782" t="n">
        <v>1</v>
      </c>
    </row>
    <row r="2783">
      <c r="A2783" t="inlineStr">
        <is>
          <t>ANTIOXIDANT ACTIVITY</t>
        </is>
      </c>
      <c r="B2783" t="n">
        <v>1</v>
      </c>
    </row>
    <row r="2784">
      <c r="A2784" t="inlineStr">
        <is>
          <t>SALIVA</t>
        </is>
      </c>
      <c r="B2784" t="n">
        <v>1</v>
      </c>
    </row>
    <row r="2785">
      <c r="A2785" t="inlineStr">
        <is>
          <t>MALONDIALDEHYDE</t>
        </is>
      </c>
      <c r="B2785" t="n">
        <v>1</v>
      </c>
    </row>
    <row r="2786">
      <c r="A2786" t="inlineStr">
        <is>
          <t>CYTOKINES</t>
        </is>
      </c>
      <c r="B2786" t="n">
        <v>1</v>
      </c>
    </row>
    <row r="2787">
      <c r="A2787" t="inlineStr">
        <is>
          <t>EXTRACT</t>
        </is>
      </c>
      <c r="B2787" t="n">
        <v>1</v>
      </c>
    </row>
    <row r="2788">
      <c r="A2788" t="inlineStr">
        <is>
          <t>WATER-DAMAGED BUILDINGS</t>
        </is>
      </c>
      <c r="B2788" t="n">
        <v>1</v>
      </c>
    </row>
    <row r="2789">
      <c r="A2789" t="inlineStr">
        <is>
          <t>STACHYBOTRYS-CHARTARUM</t>
        </is>
      </c>
      <c r="B2789" t="n">
        <v>1</v>
      </c>
    </row>
    <row r="2790">
      <c r="A2790" t="inlineStr">
        <is>
          <t>ANTIBACTERIAL ACTIVITY</t>
        </is>
      </c>
      <c r="B2790" t="n">
        <v>1</v>
      </c>
    </row>
    <row r="2791">
      <c r="A2791" t="inlineStr">
        <is>
          <t>ANTIMICROBIAL ACTIVITY</t>
        </is>
      </c>
      <c r="B2791" t="n">
        <v>1</v>
      </c>
    </row>
    <row r="2792">
      <c r="A2792" t="inlineStr">
        <is>
          <t>MYCOTOXIN PRODUCTION</t>
        </is>
      </c>
      <c r="B2792" t="n">
        <v>1</v>
      </c>
    </row>
    <row r="2793">
      <c r="A2793" t="inlineStr">
        <is>
          <t>GLUCOSE-TRANSPORT</t>
        </is>
      </c>
      <c r="B2793" t="n">
        <v>1</v>
      </c>
    </row>
    <row r="2794">
      <c r="A2794" t="inlineStr">
        <is>
          <t>NEW-GENERATION</t>
        </is>
      </c>
      <c r="B2794" t="n">
        <v>1</v>
      </c>
    </row>
    <row r="2795">
      <c r="A2795" t="inlineStr">
        <is>
          <t>TOXIC METALS</t>
        </is>
      </c>
      <c r="B2795" t="n">
        <v>1</v>
      </c>
    </row>
    <row r="2796">
      <c r="A2796" t="inlineStr">
        <is>
          <t>STABILIZATION</t>
        </is>
      </c>
      <c r="B2796" t="n">
        <v>1</v>
      </c>
    </row>
    <row r="2797">
      <c r="A2797" t="inlineStr">
        <is>
          <t>NURSES ATTITUDES</t>
        </is>
      </c>
      <c r="B2797" t="n">
        <v>1</v>
      </c>
    </row>
    <row r="2798">
      <c r="A2798" t="inlineStr">
        <is>
          <t>DIESEL EXHAUST PARTICLES</t>
        </is>
      </c>
      <c r="B2798" t="n">
        <v>1</v>
      </c>
    </row>
    <row r="2799">
      <c r="A2799" t="inlineStr">
        <is>
          <t>BIOMASS FUEL</t>
        </is>
      </c>
      <c r="B2799" t="n">
        <v>1</v>
      </c>
    </row>
    <row r="2800">
      <c r="A2800" t="inlineStr">
        <is>
          <t>MEDIAL ORBITOFRONTAL CORTEX</t>
        </is>
      </c>
      <c r="B2800" t="n">
        <v>1</v>
      </c>
    </row>
    <row r="2801">
      <c r="A2801" t="inlineStr">
        <is>
          <t>GRAY-MATTER VOLUME</t>
        </is>
      </c>
      <c r="B2801" t="n">
        <v>1</v>
      </c>
    </row>
    <row r="2802">
      <c r="A2802" t="inlineStr">
        <is>
          <t>ADL</t>
        </is>
      </c>
      <c r="B2802" t="n">
        <v>1</v>
      </c>
    </row>
    <row r="2803">
      <c r="A2803" t="inlineStr">
        <is>
          <t>DEVELOPMENTAL PERSPECTIVE</t>
        </is>
      </c>
      <c r="B2803" t="n">
        <v>1</v>
      </c>
    </row>
    <row r="2804">
      <c r="A2804" t="inlineStr">
        <is>
          <t>TRANSPORTATION NEEDS</t>
        </is>
      </c>
      <c r="B2804" t="n">
        <v>1</v>
      </c>
    </row>
    <row r="2805">
      <c r="A2805" t="inlineStr">
        <is>
          <t>CAREGIVERS</t>
        </is>
      </c>
      <c r="B2805" t="n">
        <v>4</v>
      </c>
    </row>
    <row r="2806">
      <c r="A2806" t="inlineStr">
        <is>
          <t>PLANS</t>
        </is>
      </c>
      <c r="B2806" t="n">
        <v>1</v>
      </c>
    </row>
    <row r="2807">
      <c r="A2807" t="inlineStr">
        <is>
          <t>HEART-FAILURE</t>
        </is>
      </c>
      <c r="B2807" t="n">
        <v>1</v>
      </c>
    </row>
    <row r="2808">
      <c r="A2808" t="inlineStr">
        <is>
          <t>HOSPITAL ADMISSIONS</t>
        </is>
      </c>
      <c r="B2808" t="n">
        <v>2</v>
      </c>
    </row>
    <row r="2809">
      <c r="A2809" t="inlineStr">
        <is>
          <t>THROMBOSIS</t>
        </is>
      </c>
      <c r="B2809" t="n">
        <v>1</v>
      </c>
    </row>
    <row r="2810">
      <c r="A2810" t="inlineStr">
        <is>
          <t>MOBILE</t>
        </is>
      </c>
      <c r="B2810" t="n">
        <v>1</v>
      </c>
    </row>
    <row r="2811">
      <c r="A2811" t="inlineStr">
        <is>
          <t>POINTS</t>
        </is>
      </c>
      <c r="B2811" t="n">
        <v>1</v>
      </c>
    </row>
    <row r="2812">
      <c r="A2812" t="inlineStr">
        <is>
          <t>TIME-ACTIVITY PATTERNS</t>
        </is>
      </c>
      <c r="B2812" t="n">
        <v>1</v>
      </c>
    </row>
    <row r="2813">
      <c r="A2813" t="inlineStr">
        <is>
          <t>INORGANIC POLLUTANTS</t>
        </is>
      </c>
      <c r="B2813" t="n">
        <v>1</v>
      </c>
    </row>
    <row r="2814">
      <c r="A2814" t="inlineStr">
        <is>
          <t>SOCIOECONOMIC POSITION</t>
        </is>
      </c>
      <c r="B2814" t="n">
        <v>1</v>
      </c>
    </row>
    <row r="2815">
      <c r="A2815" t="inlineStr">
        <is>
          <t>OUTCOME MEASURE</t>
        </is>
      </c>
      <c r="B2815" t="n">
        <v>1</v>
      </c>
    </row>
    <row r="2816">
      <c r="A2816" t="inlineStr">
        <is>
          <t>ACCEPTABILITY</t>
        </is>
      </c>
      <c r="B2816" t="n">
        <v>1</v>
      </c>
    </row>
    <row r="2817">
      <c r="A2817" t="inlineStr">
        <is>
          <t>TELECARE</t>
        </is>
      </c>
      <c r="B2817" t="n">
        <v>1</v>
      </c>
    </row>
    <row r="2818">
      <c r="A2818" t="inlineStr">
        <is>
          <t>SUBSYNDROMAL DEPRESSION</t>
        </is>
      </c>
      <c r="B2818" t="n">
        <v>1</v>
      </c>
    </row>
    <row r="2819">
      <c r="A2819" t="inlineStr">
        <is>
          <t>MINI-MENTAL STATE</t>
        </is>
      </c>
      <c r="B2819" t="n">
        <v>1</v>
      </c>
    </row>
    <row r="2820">
      <c r="A2820" t="inlineStr">
        <is>
          <t>CARBON-MONOXIDE LEVELS</t>
        </is>
      </c>
      <c r="B2820" t="n">
        <v>1</v>
      </c>
    </row>
    <row r="2821">
      <c r="A2821" t="inlineStr">
        <is>
          <t>FORMALDEHYDE LEVELS</t>
        </is>
      </c>
      <c r="B2821" t="n">
        <v>1</v>
      </c>
    </row>
    <row r="2822">
      <c r="A2822" t="inlineStr">
        <is>
          <t>METROPOLITAN-AREA</t>
        </is>
      </c>
      <c r="B2822" t="n">
        <v>1</v>
      </c>
    </row>
    <row r="2823">
      <c r="A2823" t="inlineStr">
        <is>
          <t>RACIAL-DIFFERENCES</t>
        </is>
      </c>
      <c r="B2823" t="n">
        <v>1</v>
      </c>
    </row>
    <row r="2824">
      <c r="A2824" t="inlineStr">
        <is>
          <t>MEDICATION ADHERENCE</t>
        </is>
      </c>
      <c r="B2824" t="n">
        <v>1</v>
      </c>
    </row>
    <row r="2825">
      <c r="A2825" t="inlineStr">
        <is>
          <t>BLOOD-GLUCOSE</t>
        </is>
      </c>
      <c r="B2825" t="n">
        <v>1</v>
      </c>
    </row>
    <row r="2826">
      <c r="A2826" t="inlineStr">
        <is>
          <t>END</t>
        </is>
      </c>
      <c r="B2826" t="n">
        <v>1</v>
      </c>
    </row>
    <row r="2827">
      <c r="A2827" t="inlineStr">
        <is>
          <t>ENVIRONMENT QUALITY</t>
        </is>
      </c>
      <c r="B2827" t="n">
        <v>2</v>
      </c>
    </row>
    <row r="2828">
      <c r="A2828" t="inlineStr">
        <is>
          <t>CONSTRUCTION SECTOR</t>
        </is>
      </c>
      <c r="B2828" t="n">
        <v>1</v>
      </c>
    </row>
    <row r="2829">
      <c r="A2829" t="inlineStr">
        <is>
          <t>STATISTICAL-ANALYSIS</t>
        </is>
      </c>
      <c r="B2829" t="n">
        <v>2</v>
      </c>
    </row>
    <row r="2830">
      <c r="A2830" t="inlineStr">
        <is>
          <t>INFORMANT INTERVIEW</t>
        </is>
      </c>
      <c r="B2830" t="n">
        <v>1</v>
      </c>
    </row>
    <row r="2831">
      <c r="A2831" t="inlineStr">
        <is>
          <t>AD8</t>
        </is>
      </c>
      <c r="B2831" t="n">
        <v>1</v>
      </c>
    </row>
    <row r="2832">
      <c r="A2832" t="inlineStr">
        <is>
          <t>BUILDING SYNDROME SBS</t>
        </is>
      </c>
      <c r="B2832" t="n">
        <v>1</v>
      </c>
    </row>
    <row r="2833">
      <c r="A2833" t="inlineStr">
        <is>
          <t>EXTENDED FOLLOW-UP</t>
        </is>
      </c>
      <c r="B2833" t="n">
        <v>1</v>
      </c>
    </row>
    <row r="2834">
      <c r="A2834" t="inlineStr">
        <is>
          <t>TIME-SERIES</t>
        </is>
      </c>
      <c r="B2834" t="n">
        <v>1</v>
      </c>
    </row>
    <row r="2835">
      <c r="A2835" t="inlineStr">
        <is>
          <t>CARDIOVASCULAR-DISEASES</t>
        </is>
      </c>
      <c r="B2835" t="n">
        <v>2</v>
      </c>
    </row>
    <row r="2836">
      <c r="A2836" t="inlineStr">
        <is>
          <t>RESPIRATORY MORTALITY</t>
        </is>
      </c>
      <c r="B2836" t="n">
        <v>1</v>
      </c>
    </row>
    <row r="2837">
      <c r="A2837" t="inlineStr">
        <is>
          <t>PHYSICAL-FITNESS</t>
        </is>
      </c>
      <c r="B2837" t="n">
        <v>1</v>
      </c>
    </row>
    <row r="2838">
      <c r="A2838" t="inlineStr">
        <is>
          <t>CARDIORESPIRATORY FITNESS</t>
        </is>
      </c>
      <c r="B2838" t="n">
        <v>2</v>
      </c>
    </row>
    <row r="2839">
      <c r="A2839" t="inlineStr">
        <is>
          <t>CHAIR RISE</t>
        </is>
      </c>
      <c r="B2839" t="n">
        <v>1</v>
      </c>
    </row>
    <row r="2840">
      <c r="A2840" t="inlineStr">
        <is>
          <t>REACH TEST</t>
        </is>
      </c>
      <c r="B2840" t="n">
        <v>1</v>
      </c>
    </row>
    <row r="2841">
      <c r="A2841" t="inlineStr">
        <is>
          <t>MITOCHONDRIAL BASIS</t>
        </is>
      </c>
      <c r="B2841" t="n">
        <v>1</v>
      </c>
    </row>
    <row r="2842">
      <c r="A2842" t="inlineStr">
        <is>
          <t>HYPOBARIC HYPOXIA</t>
        </is>
      </c>
      <c r="B2842" t="n">
        <v>1</v>
      </c>
    </row>
    <row r="2843">
      <c r="A2843" t="inlineStr">
        <is>
          <t>WEIGHT-LOSS</t>
        </is>
      </c>
      <c r="B2843" t="n">
        <v>3</v>
      </c>
    </row>
    <row r="2844">
      <c r="A2844" t="inlineStr">
        <is>
          <t>POPULATIONS</t>
        </is>
      </c>
      <c r="B2844" t="n">
        <v>2</v>
      </c>
    </row>
    <row r="2845">
      <c r="A2845" t="inlineStr">
        <is>
          <t>PM2.5 TRACE-ELEMENTS</t>
        </is>
      </c>
      <c r="B2845" t="n">
        <v>1</v>
      </c>
    </row>
    <row r="2846">
      <c r="A2846" t="inlineStr">
        <is>
          <t>TRAFFIC EMISSIONS</t>
        </is>
      </c>
      <c r="B2846" t="n">
        <v>1</v>
      </c>
    </row>
    <row r="2847">
      <c r="A2847" t="inlineStr">
        <is>
          <t>PRIVATE TRANSFERS</t>
        </is>
      </c>
      <c r="B2847" t="n">
        <v>1</v>
      </c>
    </row>
    <row r="2848">
      <c r="A2848" t="inlineStr">
        <is>
          <t>SOCIAL NETWORK</t>
        </is>
      </c>
      <c r="B2848" t="n">
        <v>2</v>
      </c>
    </row>
    <row r="2849">
      <c r="A2849" t="inlineStr">
        <is>
          <t>SOUTH-AFRICA</t>
        </is>
      </c>
      <c r="B2849" t="n">
        <v>1</v>
      </c>
    </row>
    <row r="2850">
      <c r="A2850" t="inlineStr">
        <is>
          <t>RURAL CHINA</t>
        </is>
      </c>
      <c r="B2850" t="n">
        <v>2</v>
      </c>
    </row>
    <row r="2851">
      <c r="A2851" t="inlineStr">
        <is>
          <t>RECIPROCITY</t>
        </is>
      </c>
      <c r="B2851" t="n">
        <v>1</v>
      </c>
    </row>
    <row r="2852">
      <c r="A2852" t="inlineStr">
        <is>
          <t>COPPER-SILVER IONIZATION</t>
        </is>
      </c>
      <c r="B2852" t="n">
        <v>1</v>
      </c>
    </row>
    <row r="2853">
      <c r="A2853" t="inlineStr">
        <is>
          <t>WATER DISTRIBUTION-SYSTEMS</t>
        </is>
      </c>
      <c r="B2853" t="n">
        <v>1</v>
      </c>
    </row>
    <row r="2854">
      <c r="A2854" t="inlineStr">
        <is>
          <t>LEGIONNAIRES-DISEASE</t>
        </is>
      </c>
      <c r="B2854" t="n">
        <v>1</v>
      </c>
    </row>
    <row r="2855">
      <c r="A2855" t="inlineStr">
        <is>
          <t>HIGH-PH</t>
        </is>
      </c>
      <c r="B2855" t="n">
        <v>1</v>
      </c>
    </row>
    <row r="2856">
      <c r="A2856" t="inlineStr">
        <is>
          <t>CHLORAMINE DECAY</t>
        </is>
      </c>
      <c r="B2856" t="n">
        <v>1</v>
      </c>
    </row>
    <row r="2857">
      <c r="A2857" t="inlineStr">
        <is>
          <t>GALVANIZED IRON</t>
        </is>
      </c>
      <c r="B2857" t="n">
        <v>1</v>
      </c>
    </row>
    <row r="2858">
      <c r="A2858" t="inlineStr">
        <is>
          <t>CORROSION</t>
        </is>
      </c>
      <c r="B2858" t="n">
        <v>3</v>
      </c>
    </row>
    <row r="2859">
      <c r="A2859" t="inlineStr">
        <is>
          <t>PREFRONTAL CORTEX</t>
        </is>
      </c>
      <c r="B2859" t="n">
        <v>2</v>
      </c>
    </row>
    <row r="2860">
      <c r="A2860" t="inlineStr">
        <is>
          <t>TRANSIENT HYPOFRONTALITY</t>
        </is>
      </c>
      <c r="B2860" t="n">
        <v>1</v>
      </c>
    </row>
    <row r="2861">
      <c r="A2861" t="inlineStr">
        <is>
          <t>AFFECTIVE RESPONSES</t>
        </is>
      </c>
      <c r="B2861" t="n">
        <v>1</v>
      </c>
    </row>
    <row r="2862">
      <c r="A2862" t="inlineStr">
        <is>
          <t>MENTAL FATIGUE</t>
        </is>
      </c>
      <c r="B2862" t="n">
        <v>1</v>
      </c>
    </row>
    <row r="2863">
      <c r="A2863" t="inlineStr">
        <is>
          <t>SHINRIN-YOKU</t>
        </is>
      </c>
      <c r="B2863" t="n">
        <v>1</v>
      </c>
    </row>
    <row r="2864">
      <c r="A2864" t="inlineStr">
        <is>
          <t>SELF-ESTEEM</t>
        </is>
      </c>
      <c r="B2864" t="n">
        <v>2</v>
      </c>
    </row>
    <row r="2865">
      <c r="A2865" t="inlineStr">
        <is>
          <t>ACUTE BOUTS</t>
        </is>
      </c>
      <c r="B2865" t="n">
        <v>1</v>
      </c>
    </row>
    <row r="2866">
      <c r="A2866" t="inlineStr">
        <is>
          <t>ASBESTOS</t>
        </is>
      </c>
      <c r="B2866" t="n">
        <v>1</v>
      </c>
    </row>
    <row r="2867">
      <c r="A2867" t="inlineStr">
        <is>
          <t>INSURANCE STATUS</t>
        </is>
      </c>
      <c r="B2867" t="n">
        <v>1</v>
      </c>
    </row>
    <row r="2868">
      <c r="A2868" t="inlineStr">
        <is>
          <t>NONMETROPOLITAN AREAS</t>
        </is>
      </c>
      <c r="B2868" t="n">
        <v>1</v>
      </c>
    </row>
    <row r="2869">
      <c r="A2869" t="inlineStr">
        <is>
          <t>MEDICAL NUTRITION THERAPY</t>
        </is>
      </c>
      <c r="B2869" t="n">
        <v>1</v>
      </c>
    </row>
    <row r="2870">
      <c r="A2870" t="inlineStr">
        <is>
          <t>GLYCEMIC CONTROL</t>
        </is>
      </c>
      <c r="B2870" t="n">
        <v>1</v>
      </c>
    </row>
    <row r="2871">
      <c r="A2871" t="inlineStr">
        <is>
          <t>SELF-CARE</t>
        </is>
      </c>
      <c r="B2871" t="n">
        <v>1</v>
      </c>
    </row>
    <row r="2872">
      <c r="A2872" t="inlineStr">
        <is>
          <t>COMPUTER SELF-EFFICACY</t>
        </is>
      </c>
      <c r="B2872" t="n">
        <v>1</v>
      </c>
    </row>
    <row r="2873">
      <c r="A2873" t="inlineStr">
        <is>
          <t>SOCIAL COGNITIVE THEORY</t>
        </is>
      </c>
      <c r="B2873" t="n">
        <v>1</v>
      </c>
    </row>
    <row r="2874">
      <c r="A2874" t="inlineStr">
        <is>
          <t>TECHNOLOGY ACCEPTANCE</t>
        </is>
      </c>
      <c r="B2874" t="n">
        <v>1</v>
      </c>
    </row>
    <row r="2875">
      <c r="A2875" t="inlineStr">
        <is>
          <t>GERONTECHNOLOGY ACCEPTANCE</t>
        </is>
      </c>
      <c r="B2875" t="n">
        <v>1</v>
      </c>
    </row>
    <row r="2876">
      <c r="A2876" t="inlineStr">
        <is>
          <t>INTERNET ADOPTION</t>
        </is>
      </c>
      <c r="B2876" t="n">
        <v>1</v>
      </c>
    </row>
    <row r="2877">
      <c r="A2877" t="inlineStr">
        <is>
          <t>REFORM</t>
        </is>
      </c>
      <c r="B2877" t="n">
        <v>2</v>
      </c>
    </row>
    <row r="2878">
      <c r="A2878" t="inlineStr">
        <is>
          <t>PERCEIVED HEALTH</t>
        </is>
      </c>
      <c r="B2878" t="n">
        <v>1</v>
      </c>
    </row>
    <row r="2879">
      <c r="A2879" t="inlineStr">
        <is>
          <t>STYLE</t>
        </is>
      </c>
      <c r="B2879" t="n">
        <v>4</v>
      </c>
    </row>
    <row r="2880">
      <c r="A2880" t="inlineStr">
        <is>
          <t>JAPANESE VERSION</t>
        </is>
      </c>
      <c r="B2880" t="n">
        <v>1</v>
      </c>
    </row>
    <row r="2881">
      <c r="A2881" t="inlineStr">
        <is>
          <t>WATER-RESOURCES</t>
        </is>
      </c>
      <c r="B2881" t="n">
        <v>1</v>
      </c>
    </row>
    <row r="2882">
      <c r="A2882" t="inlineStr">
        <is>
          <t>LIFE-SPAN THEORY</t>
        </is>
      </c>
      <c r="B2882" t="n">
        <v>1</v>
      </c>
    </row>
    <row r="2883">
      <c r="A2883" t="inlineStr">
        <is>
          <t>CLINICAL-PRACTICE</t>
        </is>
      </c>
      <c r="B2883" t="n">
        <v>3</v>
      </c>
    </row>
    <row r="2884">
      <c r="A2884" t="inlineStr">
        <is>
          <t>SELF-REPORTED SLEEP</t>
        </is>
      </c>
      <c r="B2884" t="n">
        <v>1</v>
      </c>
    </row>
    <row r="2885">
      <c r="A2885" t="inlineStr">
        <is>
          <t>POISSON</t>
        </is>
      </c>
      <c r="B2885" t="n">
        <v>1</v>
      </c>
    </row>
    <row r="2886">
      <c r="A2886" t="inlineStr">
        <is>
          <t>COMPREHENSION</t>
        </is>
      </c>
      <c r="B2886" t="n">
        <v>2</v>
      </c>
    </row>
    <row r="2887">
      <c r="A2887" t="inlineStr">
        <is>
          <t>INFOGRAPHICS</t>
        </is>
      </c>
      <c r="B2887" t="n">
        <v>1</v>
      </c>
    </row>
    <row r="2888">
      <c r="A2888" t="inlineStr">
        <is>
          <t>DESIGN STRATEGIES</t>
        </is>
      </c>
      <c r="B2888" t="n">
        <v>1</v>
      </c>
    </row>
    <row r="2889">
      <c r="A2889" t="inlineStr">
        <is>
          <t>POPULATION-BASED COHORT</t>
        </is>
      </c>
      <c r="B2889" t="n">
        <v>1</v>
      </c>
    </row>
    <row r="2890">
      <c r="A2890" t="inlineStr">
        <is>
          <t>LATER-LIFE</t>
        </is>
      </c>
      <c r="B2890" t="n">
        <v>2</v>
      </c>
    </row>
    <row r="2891">
      <c r="A2891" t="inlineStr">
        <is>
          <t>NETWORK CHARACTERISTICS</t>
        </is>
      </c>
      <c r="B2891" t="n">
        <v>1</v>
      </c>
    </row>
    <row r="2892">
      <c r="A2892" t="inlineStr">
        <is>
          <t>SAVINGS</t>
        </is>
      </c>
      <c r="B2892" t="n">
        <v>2</v>
      </c>
    </row>
    <row r="2893">
      <c r="A2893" t="inlineStr">
        <is>
          <t>VIEW FACTOR-ANALYSIS</t>
        </is>
      </c>
      <c r="B2893" t="n">
        <v>1</v>
      </c>
    </row>
    <row r="2894">
      <c r="A2894" t="inlineStr">
        <is>
          <t>HEAT-ISLAND INTENSITY</t>
        </is>
      </c>
      <c r="B2894" t="n">
        <v>1</v>
      </c>
    </row>
    <row r="2895">
      <c r="A2895" t="inlineStr">
        <is>
          <t>HIGHRISE</t>
        </is>
      </c>
      <c r="B2895" t="n">
        <v>1</v>
      </c>
    </row>
    <row r="2896">
      <c r="A2896" t="inlineStr">
        <is>
          <t>HURRICANE MARIA</t>
        </is>
      </c>
      <c r="B2896" t="n">
        <v>1</v>
      </c>
    </row>
    <row r="2897">
      <c r="A2897" t="inlineStr">
        <is>
          <t>FERTILITY</t>
        </is>
      </c>
      <c r="B2897" t="n">
        <v>1</v>
      </c>
    </row>
    <row r="2898">
      <c r="A2898" t="inlineStr">
        <is>
          <t>BEHAVIORAL-PROBLEMS</t>
        </is>
      </c>
      <c r="B2898" t="n">
        <v>1</v>
      </c>
    </row>
    <row r="2899">
      <c r="A2899" t="inlineStr">
        <is>
          <t>GINIPLUS</t>
        </is>
      </c>
      <c r="B2899" t="n">
        <v>1</v>
      </c>
    </row>
    <row r="2900">
      <c r="A2900" t="inlineStr">
        <is>
          <t>CALCIUM INTAKE</t>
        </is>
      </c>
      <c r="B2900" t="n">
        <v>1</v>
      </c>
    </row>
    <row r="2901">
      <c r="A2901" t="inlineStr">
        <is>
          <t>DIETARY</t>
        </is>
      </c>
      <c r="B2901" t="n">
        <v>2</v>
      </c>
    </row>
    <row r="2902">
      <c r="A2902" t="inlineStr">
        <is>
          <t>FRACTURE</t>
        </is>
      </c>
      <c r="B2902" t="n">
        <v>1</v>
      </c>
    </row>
    <row r="2903">
      <c r="A2903" t="inlineStr">
        <is>
          <t>PREVENT</t>
        </is>
      </c>
      <c r="B2903" t="n">
        <v>1</v>
      </c>
    </row>
    <row r="2904">
      <c r="A2904" t="inlineStr">
        <is>
          <t>ORNAMENTAL POTTED PLANTS</t>
        </is>
      </c>
      <c r="B2904" t="n">
        <v>1</v>
      </c>
    </row>
    <row r="2905">
      <c r="A2905" t="inlineStr">
        <is>
          <t>GREEN WALLS</t>
        </is>
      </c>
      <c r="B2905" t="n">
        <v>1</v>
      </c>
    </row>
    <row r="2906">
      <c r="A2906" t="inlineStr">
        <is>
          <t>TOBACCO-SMOKE</t>
        </is>
      </c>
      <c r="B2906" t="n">
        <v>2</v>
      </c>
    </row>
    <row r="2907">
      <c r="A2907" t="inlineStr">
        <is>
          <t>VOC POLLUTION</t>
        </is>
      </c>
      <c r="B2907" t="n">
        <v>1</v>
      </c>
    </row>
    <row r="2908">
      <c r="A2908" t="inlineStr">
        <is>
          <t>CO2 REMOVAL</t>
        </is>
      </c>
      <c r="B2908" t="n">
        <v>1</v>
      </c>
    </row>
    <row r="2909">
      <c r="A2909" t="inlineStr">
        <is>
          <t>EXHALED NITRIC-OXIDE</t>
        </is>
      </c>
      <c r="B2909" t="n">
        <v>1</v>
      </c>
    </row>
    <row r="2910">
      <c r="A2910" t="inlineStr">
        <is>
          <t>TAIYUAN</t>
        </is>
      </c>
      <c r="B2910" t="n">
        <v>1</v>
      </c>
    </row>
    <row r="2911">
      <c r="A2911" t="inlineStr">
        <is>
          <t>ALLERGIES</t>
        </is>
      </c>
      <c r="B2911" t="n">
        <v>1</v>
      </c>
    </row>
    <row r="2912">
      <c r="A2912" t="inlineStr">
        <is>
          <t>THERMAL PERCEPTION</t>
        </is>
      </c>
      <c r="B2912" t="n">
        <v>1</v>
      </c>
    </row>
    <row r="2913">
      <c r="A2913" t="inlineStr">
        <is>
          <t>JAPANESE</t>
        </is>
      </c>
      <c r="B2913" t="n">
        <v>2</v>
      </c>
    </row>
    <row r="2914">
      <c r="A2914" t="inlineStr">
        <is>
          <t>UPDATE</t>
        </is>
      </c>
      <c r="B2914" t="n">
        <v>1</v>
      </c>
    </row>
    <row r="2915">
      <c r="A2915" t="inlineStr">
        <is>
          <t>FORCE</t>
        </is>
      </c>
      <c r="B2915" t="n">
        <v>1</v>
      </c>
    </row>
    <row r="2916">
      <c r="A2916" t="inlineStr">
        <is>
          <t>PARTICLE-SIZE CHARACTERIZATION</t>
        </is>
      </c>
      <c r="B2916" t="n">
        <v>1</v>
      </c>
    </row>
    <row r="2917">
      <c r="A2917" t="inlineStr">
        <is>
          <t>AIR AEROSOL MODEL</t>
        </is>
      </c>
      <c r="B2917" t="n">
        <v>1</v>
      </c>
    </row>
    <row r="2918">
      <c r="A2918" t="inlineStr">
        <is>
          <t>GEOGRAPHICALLY WEIGHTED REGRESSION</t>
        </is>
      </c>
      <c r="B2918" t="n">
        <v>6</v>
      </c>
    </row>
    <row r="2919">
      <c r="A2919" t="inlineStr">
        <is>
          <t>SPATIAL VARIATION</t>
        </is>
      </c>
      <c r="B2919" t="n">
        <v>3</v>
      </c>
    </row>
    <row r="2920">
      <c r="A2920" t="inlineStr">
        <is>
          <t>INAPPROPRIATE DRUG-USE</t>
        </is>
      </c>
      <c r="B2920" t="n">
        <v>2</v>
      </c>
    </row>
    <row r="2921">
      <c r="A2921" t="inlineStr">
        <is>
          <t>MEDICATION REGIMEN COMPLEXITY</t>
        </is>
      </c>
      <c r="B2921" t="n">
        <v>2</v>
      </c>
    </row>
    <row r="2922">
      <c r="A2922" t="inlineStr">
        <is>
          <t>NON-HISPANIC BLACKS</t>
        </is>
      </c>
      <c r="B2922" t="n">
        <v>2</v>
      </c>
    </row>
    <row r="2923">
      <c r="A2923" t="inlineStr">
        <is>
          <t>CLINICAL CONSEQUENCES</t>
        </is>
      </c>
      <c r="B2923" t="n">
        <v>2</v>
      </c>
    </row>
    <row r="2924">
      <c r="A2924" t="inlineStr">
        <is>
          <t>PRESCRIPTION DRUGS</t>
        </is>
      </c>
      <c r="B2924" t="n">
        <v>2</v>
      </c>
    </row>
    <row r="2925">
      <c r="A2925" t="inlineStr">
        <is>
          <t>NEIGHBORHOOD GREEN SPACE</t>
        </is>
      </c>
      <c r="B2925" t="n">
        <v>1</v>
      </c>
    </row>
    <row r="2926">
      <c r="A2926" t="inlineStr">
        <is>
          <t>ACTIVITY INDOORS</t>
        </is>
      </c>
      <c r="B2926" t="n">
        <v>1</v>
      </c>
    </row>
    <row r="2927">
      <c r="A2927" t="inlineStr">
        <is>
          <t>SETTINGS</t>
        </is>
      </c>
      <c r="B2927" t="n">
        <v>1</v>
      </c>
    </row>
    <row r="2928">
      <c r="A2928" t="inlineStr">
        <is>
          <t>MEASURING LIFE-SPACE</t>
        </is>
      </c>
      <c r="B2928" t="n">
        <v>1</v>
      </c>
    </row>
    <row r="2929">
      <c r="A2929" t="inlineStr">
        <is>
          <t>OF-HOME MOBILITY</t>
        </is>
      </c>
      <c r="B2929" t="n">
        <v>1</v>
      </c>
    </row>
    <row r="2930">
      <c r="A2930" t="inlineStr">
        <is>
          <t>COGNITIVE DECLINE</t>
        </is>
      </c>
      <c r="B2930" t="n">
        <v>3</v>
      </c>
    </row>
    <row r="2931">
      <c r="A2931" t="inlineStr">
        <is>
          <t>TRAIL</t>
        </is>
      </c>
      <c r="B2931" t="n">
        <v>1</v>
      </c>
    </row>
    <row r="2932">
      <c r="A2932" t="inlineStr">
        <is>
          <t>YOGA</t>
        </is>
      </c>
      <c r="B2932" t="n">
        <v>1</v>
      </c>
    </row>
    <row r="2933">
      <c r="A2933" t="inlineStr">
        <is>
          <t>IMMOBILIZATION</t>
        </is>
      </c>
      <c r="B2933" t="n">
        <v>1</v>
      </c>
    </row>
    <row r="2934">
      <c r="A2934" t="inlineStr">
        <is>
          <t>PROGRAMS</t>
        </is>
      </c>
      <c r="B2934" t="n">
        <v>2</v>
      </c>
    </row>
    <row r="2935">
      <c r="A2935" t="inlineStr">
        <is>
          <t>SOCIAL NETWORKS</t>
        </is>
      </c>
      <c r="B2935" t="n">
        <v>1</v>
      </c>
    </row>
    <row r="2936">
      <c r="A2936" t="inlineStr">
        <is>
          <t>BUILDING HEIGHT</t>
        </is>
      </c>
      <c r="B2936" t="n">
        <v>1</v>
      </c>
    </row>
    <row r="2937">
      <c r="A2937" t="inlineStr">
        <is>
          <t>LAND USES</t>
        </is>
      </c>
      <c r="B2937" t="n">
        <v>1</v>
      </c>
    </row>
    <row r="2938">
      <c r="A2938" t="inlineStr">
        <is>
          <t>BIG DATA</t>
        </is>
      </c>
      <c r="B2938" t="n">
        <v>3</v>
      </c>
    </row>
    <row r="2939">
      <c r="A2939" t="inlineStr">
        <is>
          <t>BARCELONA</t>
        </is>
      </c>
      <c r="B2939" t="n">
        <v>3</v>
      </c>
    </row>
    <row r="2940">
      <c r="A2940" t="inlineStr">
        <is>
          <t>SHENZHEN</t>
        </is>
      </c>
      <c r="B2940" t="n">
        <v>2</v>
      </c>
    </row>
    <row r="2941">
      <c r="A2941" t="inlineStr">
        <is>
          <t>BALANCE-RELATED BEHAVIORS</t>
        </is>
      </c>
      <c r="B2941" t="n">
        <v>1</v>
      </c>
    </row>
    <row r="2942">
      <c r="A2942" t="inlineStr">
        <is>
          <t>GRANDMOTHERS RAISING GRANDCHILDREN</t>
        </is>
      </c>
      <c r="B2942" t="n">
        <v>1</v>
      </c>
    </row>
    <row r="2943">
      <c r="A2943" t="inlineStr">
        <is>
          <t>CONTEMPORARY CHINA</t>
        </is>
      </c>
      <c r="B2943" t="n">
        <v>1</v>
      </c>
    </row>
    <row r="2944">
      <c r="A2944" t="inlineStr">
        <is>
          <t>PARENTS</t>
        </is>
      </c>
      <c r="B2944" t="n">
        <v>3</v>
      </c>
    </row>
    <row r="2945">
      <c r="A2945" t="inlineStr">
        <is>
          <t>ECOLOGICAL MODEL</t>
        </is>
      </c>
      <c r="B2945" t="n">
        <v>1</v>
      </c>
    </row>
    <row r="2946">
      <c r="A2946" t="inlineStr">
        <is>
          <t>RESTAURANTS</t>
        </is>
      </c>
      <c r="B2946" t="n">
        <v>1</v>
      </c>
    </row>
    <row r="2947">
      <c r="A2947" t="inlineStr">
        <is>
          <t>HOUSE-DUST MITES</t>
        </is>
      </c>
      <c r="B2947" t="n">
        <v>1</v>
      </c>
    </row>
    <row r="2948">
      <c r="A2948" t="inlineStr">
        <is>
          <t>DERMATOPHAGOIDES</t>
        </is>
      </c>
      <c r="B2948" t="n">
        <v>1</v>
      </c>
    </row>
    <row r="2949">
      <c r="A2949" t="inlineStr">
        <is>
          <t>EDUCATIONAL BUILDINGS</t>
        </is>
      </c>
      <c r="B2949" t="n">
        <v>1</v>
      </c>
    </row>
    <row r="2950">
      <c r="A2950" t="inlineStr">
        <is>
          <t>AIR ENVIRONMENT</t>
        </is>
      </c>
      <c r="B2950" t="n">
        <v>1</v>
      </c>
    </row>
    <row r="2951">
      <c r="A2951" t="inlineStr">
        <is>
          <t>STRATEGY</t>
        </is>
      </c>
      <c r="B2951" t="n">
        <v>1</v>
      </c>
    </row>
    <row r="2952">
      <c r="A2952" t="inlineStr">
        <is>
          <t>CORONAVIRUS COVID-19</t>
        </is>
      </c>
      <c r="B2952" t="n">
        <v>1</v>
      </c>
    </row>
    <row r="2953">
      <c r="A2953" t="inlineStr">
        <is>
          <t>WEATHER</t>
        </is>
      </c>
      <c r="B2953" t="n">
        <v>4</v>
      </c>
    </row>
    <row r="2954">
      <c r="A2954" t="inlineStr">
        <is>
          <t>COULD</t>
        </is>
      </c>
      <c r="B2954" t="n">
        <v>1</v>
      </c>
    </row>
    <row r="2955">
      <c r="A2955" t="inlineStr">
        <is>
          <t>ENERGY ANALYTICS</t>
        </is>
      </c>
      <c r="B2955" t="n">
        <v>1</v>
      </c>
    </row>
    <row r="2956">
      <c r="A2956" t="inlineStr">
        <is>
          <t>GMS-AGECAT PREVALENCE</t>
        </is>
      </c>
      <c r="B2956" t="n">
        <v>1</v>
      </c>
    </row>
    <row r="2957">
      <c r="A2957" t="inlineStr">
        <is>
          <t>AIRBORNE PARTICLES</t>
        </is>
      </c>
      <c r="B2957" t="n">
        <v>1</v>
      </c>
    </row>
    <row r="2958">
      <c r="A2958" t="inlineStr">
        <is>
          <t>VISUAL ART</t>
        </is>
      </c>
      <c r="B2958" t="n">
        <v>1</v>
      </c>
    </row>
    <row r="2959">
      <c r="A2959" t="inlineStr">
        <is>
          <t>LUXURY</t>
        </is>
      </c>
      <c r="B2959" t="n">
        <v>1</v>
      </c>
    </row>
    <row r="2960">
      <c r="A2960" t="inlineStr">
        <is>
          <t>ARTIFICATION</t>
        </is>
      </c>
      <c r="B2960" t="n">
        <v>1</v>
      </c>
    </row>
    <row r="2961">
      <c r="A2961" t="inlineStr">
        <is>
          <t>INFUSION</t>
        </is>
      </c>
      <c r="B2961" t="n">
        <v>1</v>
      </c>
    </row>
    <row r="2962">
      <c r="A2962" t="inlineStr">
        <is>
          <t>MARKET</t>
        </is>
      </c>
      <c r="B2962" t="n">
        <v>1</v>
      </c>
    </row>
    <row r="2963">
      <c r="A2963" t="inlineStr">
        <is>
          <t>ADVANCE CARE</t>
        </is>
      </c>
      <c r="B2963" t="n">
        <v>1</v>
      </c>
    </row>
    <row r="2964">
      <c r="A2964" t="inlineStr">
        <is>
          <t>EXERCISE INTERVENTIONS</t>
        </is>
      </c>
      <c r="B2964" t="n">
        <v>2</v>
      </c>
    </row>
    <row r="2965">
      <c r="A2965" t="inlineStr">
        <is>
          <t>RANGE</t>
        </is>
      </c>
      <c r="B2965" t="n">
        <v>1</v>
      </c>
    </row>
    <row r="2966">
      <c r="A2966" t="inlineStr">
        <is>
          <t>LAND-SURFACE</t>
        </is>
      </c>
      <c r="B2966" t="n">
        <v>1</v>
      </c>
    </row>
    <row r="2967">
      <c r="A2967" t="inlineStr">
        <is>
          <t>FATNESS</t>
        </is>
      </c>
      <c r="B2967" t="n">
        <v>1</v>
      </c>
    </row>
    <row r="2968">
      <c r="A2968" t="inlineStr">
        <is>
          <t>RISK PERCEPTIONS</t>
        </is>
      </c>
      <c r="B2968" t="n">
        <v>1</v>
      </c>
    </row>
    <row r="2969">
      <c r="A2969" t="inlineStr">
        <is>
          <t>ACCURACY</t>
        </is>
      </c>
      <c r="B2969" t="n">
        <v>4</v>
      </c>
    </row>
    <row r="2970">
      <c r="A2970" t="inlineStr">
        <is>
          <t>CROSS-CULTURAL ADAPTATION</t>
        </is>
      </c>
      <c r="B2970" t="n">
        <v>1</v>
      </c>
    </row>
    <row r="2971">
      <c r="A2971" t="inlineStr">
        <is>
          <t>PROPRIOCEPTION</t>
        </is>
      </c>
      <c r="B2971" t="n">
        <v>2</v>
      </c>
    </row>
    <row r="2972">
      <c r="A2972" t="inlineStr">
        <is>
          <t>HAVANA</t>
        </is>
      </c>
      <c r="B2972" t="n">
        <v>1</v>
      </c>
    </row>
    <row r="2973">
      <c r="A2973" t="inlineStr">
        <is>
          <t>SOCIAL NETWORKING</t>
        </is>
      </c>
      <c r="B2973" t="n">
        <v>1</v>
      </c>
    </row>
    <row r="2974">
      <c r="A2974" t="inlineStr">
        <is>
          <t>RIVER</t>
        </is>
      </c>
      <c r="B2974" t="n">
        <v>1</v>
      </c>
    </row>
    <row r="2975">
      <c r="A2975" t="inlineStr">
        <is>
          <t>PLAYGROUNDS</t>
        </is>
      </c>
      <c r="B2975" t="n">
        <v>1</v>
      </c>
    </row>
    <row r="2976">
      <c r="A2976" t="inlineStr">
        <is>
          <t>POSITIVE EMOTIONS</t>
        </is>
      </c>
      <c r="B2976" t="n">
        <v>1</v>
      </c>
    </row>
    <row r="2977">
      <c r="A2977" t="inlineStr">
        <is>
          <t>LONGEVITY</t>
        </is>
      </c>
      <c r="B2977" t="n">
        <v>1</v>
      </c>
    </row>
    <row r="2978">
      <c r="A2978" t="inlineStr">
        <is>
          <t>VIEWING TIME</t>
        </is>
      </c>
      <c r="B2978" t="n">
        <v>1</v>
      </c>
    </row>
    <row r="2979">
      <c r="A2979" t="inlineStr">
        <is>
          <t>SPORTS</t>
        </is>
      </c>
      <c r="B2979" t="n">
        <v>1</v>
      </c>
    </row>
    <row r="2980">
      <c r="A2980" t="inlineStr">
        <is>
          <t>ACTIVITY-TRAVEL BEHAVIOR</t>
        </is>
      </c>
      <c r="B2980" t="n">
        <v>1</v>
      </c>
    </row>
    <row r="2981">
      <c r="A2981" t="inlineStr">
        <is>
          <t>SOCIAL EXCLUSION</t>
        </is>
      </c>
      <c r="B2981" t="n">
        <v>1</v>
      </c>
    </row>
    <row r="2982">
      <c r="A2982" t="inlineStr">
        <is>
          <t>DISSONANCE</t>
        </is>
      </c>
      <c r="B2982" t="n">
        <v>1</v>
      </c>
    </row>
    <row r="2983">
      <c r="A2983" t="inlineStr">
        <is>
          <t>NONTUBERCULOUS MYCOBACTERIA</t>
        </is>
      </c>
      <c r="B2983" t="n">
        <v>1</v>
      </c>
    </row>
    <row r="2984">
      <c r="A2984" t="inlineStr">
        <is>
          <t>CHLORINE</t>
        </is>
      </c>
      <c r="B2984" t="n">
        <v>1</v>
      </c>
    </row>
    <row r="2985">
      <c r="A2985" t="inlineStr">
        <is>
          <t>CHLORAMINE</t>
        </is>
      </c>
      <c r="B2985" t="n">
        <v>1</v>
      </c>
    </row>
    <row r="2986">
      <c r="A2986" t="inlineStr">
        <is>
          <t>REACTIVITY</t>
        </is>
      </c>
      <c r="B2986" t="n">
        <v>1</v>
      </c>
    </row>
    <row r="2987">
      <c r="A2987" t="inlineStr">
        <is>
          <t>METRO STATIONS</t>
        </is>
      </c>
      <c r="B2987" t="n">
        <v>1</v>
      </c>
    </row>
    <row r="2988">
      <c r="A2988" t="inlineStr">
        <is>
          <t>WALKING ENVIRONMENTS</t>
        </is>
      </c>
      <c r="B2988" t="n">
        <v>1</v>
      </c>
    </row>
    <row r="2989">
      <c r="A2989" t="inlineStr">
        <is>
          <t>FUNGAL SPORES</t>
        </is>
      </c>
      <c r="B2989" t="n">
        <v>1</v>
      </c>
    </row>
    <row r="2990">
      <c r="A2990" t="inlineStr">
        <is>
          <t>POLLEN CONCENTRATIONS</t>
        </is>
      </c>
      <c r="B2990" t="n">
        <v>1</v>
      </c>
    </row>
    <row r="2991">
      <c r="A2991" t="inlineStr">
        <is>
          <t>ALLERGENS</t>
        </is>
      </c>
      <c r="B2991" t="n">
        <v>1</v>
      </c>
    </row>
    <row r="2992">
      <c r="A2992" t="inlineStr">
        <is>
          <t>CORDOBA</t>
        </is>
      </c>
      <c r="B2992" t="n">
        <v>1</v>
      </c>
    </row>
    <row r="2993">
      <c r="A2993" t="inlineStr">
        <is>
          <t>CONIDIA</t>
        </is>
      </c>
      <c r="B2993" t="n">
        <v>1</v>
      </c>
    </row>
    <row r="2994">
      <c r="A2994" t="inlineStr">
        <is>
          <t>SPAIN</t>
        </is>
      </c>
      <c r="B2994" t="n">
        <v>2</v>
      </c>
    </row>
    <row r="2995">
      <c r="A2995" t="inlineStr">
        <is>
          <t>RADON CONCENTRATION</t>
        </is>
      </c>
      <c r="B2995" t="n">
        <v>1</v>
      </c>
    </row>
    <row r="2996">
      <c r="A2996" t="inlineStr">
        <is>
          <t>RESIDENTIAL AREAS</t>
        </is>
      </c>
      <c r="B2996" t="n">
        <v>2</v>
      </c>
    </row>
    <row r="2997">
      <c r="A2997" t="inlineStr">
        <is>
          <t>ALEXANDRIA CITY</t>
        </is>
      </c>
      <c r="B2997" t="n">
        <v>1</v>
      </c>
    </row>
    <row r="2998">
      <c r="A2998" t="inlineStr">
        <is>
          <t>EGYPT</t>
        </is>
      </c>
      <c r="B2998" t="n">
        <v>1</v>
      </c>
    </row>
    <row r="2999">
      <c r="A2999" t="inlineStr">
        <is>
          <t>MICROBIAL QUALITY</t>
        </is>
      </c>
      <c r="B2999" t="n">
        <v>1</v>
      </c>
    </row>
    <row r="3000">
      <c r="A3000" t="inlineStr">
        <is>
          <t>PSYCHOLOGICAL DISTANCE</t>
        </is>
      </c>
      <c r="B3000" t="n">
        <v>1</v>
      </c>
    </row>
    <row r="3001">
      <c r="A3001" t="inlineStr">
        <is>
          <t>VARIABLES</t>
        </is>
      </c>
      <c r="B3001" t="n">
        <v>1</v>
      </c>
    </row>
    <row r="3002">
      <c r="A3002" t="inlineStr">
        <is>
          <t>DOCTOR-DIAGNOSED ARTHRITIS</t>
        </is>
      </c>
      <c r="B3002" t="n">
        <v>1</v>
      </c>
    </row>
    <row r="3003">
      <c r="A3003" t="inlineStr">
        <is>
          <t>ATTRIBUTABLE ACTIVITY LIMITATION</t>
        </is>
      </c>
      <c r="B3003" t="n">
        <v>1</v>
      </c>
    </row>
    <row r="3004">
      <c r="A3004" t="inlineStr">
        <is>
          <t>ADVICE</t>
        </is>
      </c>
      <c r="B3004" t="n">
        <v>1</v>
      </c>
    </row>
    <row r="3005">
      <c r="A3005" t="inlineStr">
        <is>
          <t>THERMAL-STRESS</t>
        </is>
      </c>
      <c r="B3005" t="n">
        <v>1</v>
      </c>
    </row>
    <row r="3006">
      <c r="A3006" t="inlineStr">
        <is>
          <t>CRYSTALLIZATION</t>
        </is>
      </c>
      <c r="B3006" t="n">
        <v>1</v>
      </c>
    </row>
    <row r="3007">
      <c r="A3007" t="inlineStr">
        <is>
          <t>LIMESTONE</t>
        </is>
      </c>
      <c r="B3007" t="n">
        <v>2</v>
      </c>
    </row>
    <row r="3008">
      <c r="A3008" t="inlineStr">
        <is>
          <t>ROCK</t>
        </is>
      </c>
      <c r="B3008" t="n">
        <v>1</v>
      </c>
    </row>
    <row r="3009">
      <c r="A3009" t="inlineStr">
        <is>
          <t>RECESSION</t>
        </is>
      </c>
      <c r="B3009" t="n">
        <v>2</v>
      </c>
    </row>
    <row r="3010">
      <c r="A3010" t="inlineStr">
        <is>
          <t>DORSOLATERAL PREFRONTAL CORTEX</t>
        </is>
      </c>
      <c r="B3010" t="n">
        <v>1</v>
      </c>
    </row>
    <row r="3011">
      <c r="A3011" t="inlineStr">
        <is>
          <t>NONINVASIVE BRAIN-STIMULATION</t>
        </is>
      </c>
      <c r="B3011" t="n">
        <v>1</v>
      </c>
    </row>
    <row r="3012">
      <c r="A3012" t="inlineStr">
        <is>
          <t>TDCS</t>
        </is>
      </c>
      <c r="B3012" t="n">
        <v>1</v>
      </c>
    </row>
    <row r="3013">
      <c r="A3013" t="inlineStr">
        <is>
          <t>PLASTICITY</t>
        </is>
      </c>
      <c r="B3013" t="n">
        <v>2</v>
      </c>
    </row>
    <row r="3014">
      <c r="A3014" t="inlineStr">
        <is>
          <t>LIMITS</t>
        </is>
      </c>
      <c r="B3014" t="n">
        <v>1</v>
      </c>
    </row>
    <row r="3015">
      <c r="A3015" t="inlineStr">
        <is>
          <t>ARABIC VERSION</t>
        </is>
      </c>
      <c r="B3015" t="n">
        <v>1</v>
      </c>
    </row>
    <row r="3016">
      <c r="A3016" t="inlineStr">
        <is>
          <t>FISH LARVAE</t>
        </is>
      </c>
      <c r="B3016" t="n">
        <v>1</v>
      </c>
    </row>
    <row r="3017">
      <c r="A3017" t="inlineStr">
        <is>
          <t>MICROBIAL COMMUNITIES</t>
        </is>
      </c>
      <c r="B3017" t="n">
        <v>1</v>
      </c>
    </row>
    <row r="3018">
      <c r="A3018" t="inlineStr">
        <is>
          <t>GILLS</t>
        </is>
      </c>
      <c r="B3018" t="n">
        <v>1</v>
      </c>
    </row>
    <row r="3019">
      <c r="A3019" t="inlineStr">
        <is>
          <t>MICROFLORA</t>
        </is>
      </c>
      <c r="B3019" t="n">
        <v>1</v>
      </c>
    </row>
    <row r="3020">
      <c r="A3020" t="inlineStr">
        <is>
          <t>EXCRETION</t>
        </is>
      </c>
      <c r="B3020" t="n">
        <v>1</v>
      </c>
    </row>
    <row r="3021">
      <c r="A3021" t="inlineStr">
        <is>
          <t>GEOSMIN</t>
        </is>
      </c>
      <c r="B3021" t="n">
        <v>1</v>
      </c>
    </row>
    <row r="3022">
      <c r="A3022" t="inlineStr">
        <is>
          <t>OROPHARYNGEAL DYSPHAGIA</t>
        </is>
      </c>
      <c r="B3022" t="n">
        <v>1</v>
      </c>
    </row>
    <row r="3023">
      <c r="A3023" t="inlineStr">
        <is>
          <t>DEMENTING DISEASES</t>
        </is>
      </c>
      <c r="B3023" t="n">
        <v>1</v>
      </c>
    </row>
    <row r="3024">
      <c r="A3024" t="inlineStr">
        <is>
          <t>CO-WORKING SPACES</t>
        </is>
      </c>
      <c r="B3024" t="n">
        <v>1</v>
      </c>
    </row>
    <row r="3025">
      <c r="A3025" t="inlineStr">
        <is>
          <t>COWORKING</t>
        </is>
      </c>
      <c r="B3025" t="n">
        <v>1</v>
      </c>
    </row>
    <row r="3026">
      <c r="A3026" t="inlineStr">
        <is>
          <t>COLLABORATION</t>
        </is>
      </c>
      <c r="B3026" t="n">
        <v>1</v>
      </c>
    </row>
    <row r="3027">
      <c r="A3027" t="inlineStr">
        <is>
          <t>STEPS</t>
        </is>
      </c>
      <c r="B3027" t="n">
        <v>1</v>
      </c>
    </row>
    <row r="3028">
      <c r="A3028" t="inlineStr">
        <is>
          <t>HEALTH BELIEF MODEL</t>
        </is>
      </c>
      <c r="B3028" t="n">
        <v>1</v>
      </c>
    </row>
    <row r="3029">
      <c r="A3029" t="inlineStr">
        <is>
          <t>RISK PERCEPTION</t>
        </is>
      </c>
      <c r="B3029" t="n">
        <v>1</v>
      </c>
    </row>
    <row r="3030">
      <c r="A3030" t="inlineStr">
        <is>
          <t>WAVES</t>
        </is>
      </c>
      <c r="B3030" t="n">
        <v>2</v>
      </c>
    </row>
    <row r="3031">
      <c r="A3031" t="inlineStr">
        <is>
          <t>PRODUCT COMPATIBILITY</t>
        </is>
      </c>
      <c r="B3031" t="n">
        <v>1</v>
      </c>
    </row>
    <row r="3032">
      <c r="A3032" t="inlineStr">
        <is>
          <t>PERCEIVED HEALTHINESS</t>
        </is>
      </c>
      <c r="B3032" t="n">
        <v>1</v>
      </c>
    </row>
    <row r="3033">
      <c r="A3033" t="inlineStr">
        <is>
          <t>CONSUMER PREFERENCES</t>
        </is>
      </c>
      <c r="B3033" t="n">
        <v>2</v>
      </c>
    </row>
    <row r="3034">
      <c r="A3034" t="inlineStr">
        <is>
          <t>ELDERLY CONSUMERS</t>
        </is>
      </c>
      <c r="B3034" t="n">
        <v>1</v>
      </c>
    </row>
    <row r="3035">
      <c r="A3035" t="inlineStr">
        <is>
          <t>AGING POPULATION</t>
        </is>
      </c>
      <c r="B3035" t="n">
        <v>1</v>
      </c>
    </row>
    <row r="3036">
      <c r="A3036" t="inlineStr">
        <is>
          <t>CLAIMS</t>
        </is>
      </c>
      <c r="B3036" t="n">
        <v>1</v>
      </c>
    </row>
    <row r="3037">
      <c r="A3037" t="inlineStr">
        <is>
          <t>EXERCISE ADHERENCE</t>
        </is>
      </c>
      <c r="B3037" t="n">
        <v>1</v>
      </c>
    </row>
    <row r="3038">
      <c r="A3038" t="inlineStr">
        <is>
          <t>ATTRITION</t>
        </is>
      </c>
      <c r="B3038" t="n">
        <v>1</v>
      </c>
    </row>
    <row r="3039">
      <c r="A3039" t="inlineStr">
        <is>
          <t>CARBON MITIGATION</t>
        </is>
      </c>
      <c r="B3039" t="n">
        <v>1</v>
      </c>
    </row>
    <row r="3040">
      <c r="A3040" t="inlineStr">
        <is>
          <t>EMBODIED CARBON</t>
        </is>
      </c>
      <c r="B3040" t="n">
        <v>1</v>
      </c>
    </row>
    <row r="3041">
      <c r="A3041" t="inlineStr">
        <is>
          <t>BIOGENIC CARBON</t>
        </is>
      </c>
      <c r="B3041" t="n">
        <v>1</v>
      </c>
    </row>
    <row r="3042">
      <c r="A3042" t="inlineStr">
        <is>
          <t>COMPARATIVE LCA</t>
        </is>
      </c>
      <c r="B3042" t="n">
        <v>1</v>
      </c>
    </row>
    <row r="3043">
      <c r="A3043" t="inlineStr">
        <is>
          <t>WOOD PRODUCTS</t>
        </is>
      </c>
      <c r="B3043" t="n">
        <v>1</v>
      </c>
    </row>
    <row r="3044">
      <c r="A3044" t="inlineStr">
        <is>
          <t>DISPOSITIONAL OPTIMISM</t>
        </is>
      </c>
      <c r="B3044" t="n">
        <v>2</v>
      </c>
    </row>
    <row r="3045">
      <c r="A3045" t="inlineStr">
        <is>
          <t>TRAIT RESILIENCE</t>
        </is>
      </c>
      <c r="B3045" t="n">
        <v>1</v>
      </c>
    </row>
    <row r="3046">
      <c r="A3046" t="inlineStr">
        <is>
          <t>POSITIVE AFFECT</t>
        </is>
      </c>
      <c r="B3046" t="n">
        <v>1</v>
      </c>
    </row>
    <row r="3047">
      <c r="A3047" t="inlineStr">
        <is>
          <t>CONSTRUCTION METHODS</t>
        </is>
      </c>
      <c r="B3047" t="n">
        <v>1</v>
      </c>
    </row>
    <row r="3048">
      <c r="A3048" t="inlineStr">
        <is>
          <t>OPERATIONAL ENERGY</t>
        </is>
      </c>
      <c r="B3048" t="n">
        <v>1</v>
      </c>
    </row>
    <row r="3049">
      <c r="A3049" t="inlineStr">
        <is>
          <t>STRUCTURAL DESIGN</t>
        </is>
      </c>
      <c r="B3049" t="n">
        <v>1</v>
      </c>
    </row>
    <row r="3050">
      <c r="A3050" t="inlineStr">
        <is>
          <t>NITROGEN</t>
        </is>
      </c>
      <c r="B3050" t="n">
        <v>1</v>
      </c>
    </row>
    <row r="3051">
      <c r="A3051" t="inlineStr">
        <is>
          <t>WETLANDS</t>
        </is>
      </c>
      <c r="B3051" t="n">
        <v>1</v>
      </c>
    </row>
    <row r="3052">
      <c r="A3052" t="inlineStr">
        <is>
          <t>HISPANIC COMMUNITY</t>
        </is>
      </c>
      <c r="B3052" t="n">
        <v>1</v>
      </c>
    </row>
    <row r="3053">
      <c r="A3053" t="inlineStr">
        <is>
          <t>LATINOS HCHS/SOL</t>
        </is>
      </c>
      <c r="B3053" t="n">
        <v>1</v>
      </c>
    </row>
    <row r="3054">
      <c r="A3054" t="inlineStr">
        <is>
          <t>PREVENTIVE CONSERVATION</t>
        </is>
      </c>
      <c r="B3054" t="n">
        <v>1</v>
      </c>
    </row>
    <row r="3055">
      <c r="A3055" t="inlineStr">
        <is>
          <t>CHURCH</t>
        </is>
      </c>
      <c r="B3055" t="n">
        <v>1</v>
      </c>
    </row>
    <row r="3056">
      <c r="A3056" t="inlineStr">
        <is>
          <t>MUSEUMS</t>
        </is>
      </c>
      <c r="B3056" t="n">
        <v>1</v>
      </c>
    </row>
    <row r="3057">
      <c r="A3057" t="inlineStr">
        <is>
          <t>VARIANCE</t>
        </is>
      </c>
      <c r="B3057" t="n">
        <v>1</v>
      </c>
    </row>
    <row r="3058">
      <c r="A3058" t="inlineStr">
        <is>
          <t>HOME-CARE</t>
        </is>
      </c>
      <c r="B3058" t="n">
        <v>1</v>
      </c>
    </row>
    <row r="3059">
      <c r="A3059" t="inlineStr">
        <is>
          <t>STREET NETWORKS</t>
        </is>
      </c>
      <c r="B3059" t="n">
        <v>1</v>
      </c>
    </row>
    <row r="3060">
      <c r="A3060" t="inlineStr">
        <is>
          <t>SIGNALIZED INTERSECTIONS</t>
        </is>
      </c>
      <c r="B3060" t="n">
        <v>1</v>
      </c>
    </row>
    <row r="3061">
      <c r="A3061" t="inlineStr">
        <is>
          <t>AUTOMOBILE OWNERSHIP</t>
        </is>
      </c>
      <c r="B3061" t="n">
        <v>1</v>
      </c>
    </row>
    <row r="3062">
      <c r="A3062" t="inlineStr">
        <is>
          <t>SOCIO-DEMOGRAPHICS</t>
        </is>
      </c>
      <c r="B3062" t="n">
        <v>1</v>
      </c>
    </row>
    <row r="3063">
      <c r="A3063" t="inlineStr">
        <is>
          <t>FLOW-RATE</t>
        </is>
      </c>
      <c r="B3063" t="n">
        <v>1</v>
      </c>
    </row>
    <row r="3064">
      <c r="A3064" t="inlineStr">
        <is>
          <t>ENVIRONMENTAL-QUALITY IEQ</t>
        </is>
      </c>
      <c r="B3064" t="n">
        <v>1</v>
      </c>
    </row>
    <row r="3065">
      <c r="A3065" t="inlineStr">
        <is>
          <t>RESIDENTIAL EXPOSURE</t>
        </is>
      </c>
      <c r="B3065" t="n">
        <v>1</v>
      </c>
    </row>
    <row r="3066">
      <c r="A3066" t="inlineStr">
        <is>
          <t>URBAN SOUNDSCAPE</t>
        </is>
      </c>
      <c r="B3066" t="n">
        <v>1</v>
      </c>
    </row>
    <row r="3067">
      <c r="A3067" t="inlineStr">
        <is>
          <t>10 QUESTIONS</t>
        </is>
      </c>
      <c r="B3067" t="n">
        <v>1</v>
      </c>
    </row>
    <row r="3068">
      <c r="A3068" t="inlineStr">
        <is>
          <t>ELDERLY PASE</t>
        </is>
      </c>
      <c r="B3068" t="n">
        <v>3</v>
      </c>
    </row>
    <row r="3069">
      <c r="A3069" t="inlineStr">
        <is>
          <t>MUSCLE</t>
        </is>
      </c>
      <c r="B3069" t="n">
        <v>2</v>
      </c>
    </row>
    <row r="3070">
      <c r="A3070" t="inlineStr">
        <is>
          <t>FOAMED CONCRETE</t>
        </is>
      </c>
      <c r="B3070" t="n">
        <v>1</v>
      </c>
    </row>
    <row r="3071">
      <c r="A3071" t="inlineStr">
        <is>
          <t>LIGHTWEIGHT AGGREGATE</t>
        </is>
      </c>
      <c r="B3071" t="n">
        <v>1</v>
      </c>
    </row>
    <row r="3072">
      <c r="A3072" t="inlineStr">
        <is>
          <t>COMPRESSIVE STRENGTH</t>
        </is>
      </c>
      <c r="B3072" t="n">
        <v>2</v>
      </c>
    </row>
    <row r="3073">
      <c r="A3073" t="inlineStr">
        <is>
          <t>FIRE-RESISTANCE</t>
        </is>
      </c>
      <c r="B3073" t="n">
        <v>1</v>
      </c>
    </row>
    <row r="3074">
      <c r="A3074" t="inlineStr">
        <is>
          <t>MANUFACTURE</t>
        </is>
      </c>
      <c r="B3074" t="n">
        <v>1</v>
      </c>
    </row>
    <row r="3075">
      <c r="A3075" t="inlineStr">
        <is>
          <t>COMPOSITE</t>
        </is>
      </c>
      <c r="B3075" t="n">
        <v>1</v>
      </c>
    </row>
    <row r="3076">
      <c r="A3076" t="inlineStr">
        <is>
          <t>SPORT</t>
        </is>
      </c>
      <c r="B3076" t="n">
        <v>2</v>
      </c>
    </row>
    <row r="3077">
      <c r="A3077" t="inlineStr">
        <is>
          <t>OUTBREAK</t>
        </is>
      </c>
      <c r="B3077" t="n">
        <v>3</v>
      </c>
    </row>
    <row r="3078">
      <c r="A3078" t="inlineStr">
        <is>
          <t>ENDOTOXIN EXPOSURE</t>
        </is>
      </c>
      <c r="B3078" t="n">
        <v>1</v>
      </c>
    </row>
    <row r="3079">
      <c r="A3079" t="inlineStr">
        <is>
          <t>MOISTURE-DAMAGE</t>
        </is>
      </c>
      <c r="B3079" t="n">
        <v>2</v>
      </c>
    </row>
    <row r="3080">
      <c r="A3080" t="inlineStr">
        <is>
          <t>EYE</t>
        </is>
      </c>
      <c r="B3080" t="n">
        <v>2</v>
      </c>
    </row>
    <row r="3081">
      <c r="A3081" t="inlineStr">
        <is>
          <t>PRESCRIPTION</t>
        </is>
      </c>
      <c r="B3081" t="n">
        <v>1</v>
      </c>
    </row>
    <row r="3082">
      <c r="A3082" t="inlineStr">
        <is>
          <t>HISTORIC BUILDINGS</t>
        </is>
      </c>
      <c r="B3082" t="n">
        <v>2</v>
      </c>
    </row>
    <row r="3083">
      <c r="A3083" t="inlineStr">
        <is>
          <t>DAMAGE ESTIMATION</t>
        </is>
      </c>
      <c r="B3083" t="n">
        <v>1</v>
      </c>
    </row>
    <row r="3084">
      <c r="A3084" t="inlineStr">
        <is>
          <t>CURVES</t>
        </is>
      </c>
      <c r="B3084" t="n">
        <v>1</v>
      </c>
    </row>
    <row r="3085">
      <c r="A3085" t="inlineStr">
        <is>
          <t>SUSCEPTIBILITY</t>
        </is>
      </c>
      <c r="B3085" t="n">
        <v>1</v>
      </c>
    </row>
    <row r="3086">
      <c r="A3086" t="inlineStr">
        <is>
          <t>FM</t>
        </is>
      </c>
      <c r="B3086" t="n">
        <v>1</v>
      </c>
    </row>
    <row r="3087">
      <c r="A3087" t="inlineStr">
        <is>
          <t>CITATION</t>
        </is>
      </c>
      <c r="B3087" t="n">
        <v>1</v>
      </c>
    </row>
    <row r="3088">
      <c r="A3088" t="inlineStr">
        <is>
          <t>INDUSTRIAL ECOLOGY</t>
        </is>
      </c>
      <c r="B3088" t="n">
        <v>1</v>
      </c>
    </row>
    <row r="3089">
      <c r="A3089" t="inlineStr">
        <is>
          <t>SOCIOECONOMIC METABOLISM</t>
        </is>
      </c>
      <c r="B3089" t="n">
        <v>1</v>
      </c>
    </row>
    <row r="3090">
      <c r="A3090" t="inlineStr">
        <is>
          <t>INTERNATIONAL-TRADE</t>
        </is>
      </c>
      <c r="B3090" t="n">
        <v>1</v>
      </c>
    </row>
    <row r="3091">
      <c r="A3091" t="inlineStr">
        <is>
          <t>FOOTPRINT</t>
        </is>
      </c>
      <c r="B3091" t="n">
        <v>1</v>
      </c>
    </row>
    <row r="3092">
      <c r="A3092" t="inlineStr">
        <is>
          <t>BASE-LINE FINDINGS</t>
        </is>
      </c>
      <c r="B3092" t="n">
        <v>2</v>
      </c>
    </row>
    <row r="3093">
      <c r="A3093" t="inlineStr">
        <is>
          <t>MATTER DIFFERENTIAL MORTALITY</t>
        </is>
      </c>
      <c r="B3093" t="n">
        <v>1</v>
      </c>
    </row>
    <row r="3094">
      <c r="A3094" t="inlineStr">
        <is>
          <t>RACIAL COMPOSITION</t>
        </is>
      </c>
      <c r="B3094" t="n">
        <v>1</v>
      </c>
    </row>
    <row r="3095">
      <c r="A3095" t="inlineStr">
        <is>
          <t>COLORECTAL-CANCER</t>
        </is>
      </c>
      <c r="B3095" t="n">
        <v>1</v>
      </c>
    </row>
    <row r="3096">
      <c r="A3096" t="inlineStr">
        <is>
          <t>QUALITY MANAGEMENT</t>
        </is>
      </c>
      <c r="B3096" t="n">
        <v>1</v>
      </c>
    </row>
    <row r="3097">
      <c r="A3097" t="inlineStr">
        <is>
          <t>NEIGHBORHOOD PARKS</t>
        </is>
      </c>
      <c r="B3097" t="n">
        <v>1</v>
      </c>
    </row>
    <row r="3098">
      <c r="A3098" t="inlineStr">
        <is>
          <t>BEHAVIOR-CHANGE TECHNIQUES</t>
        </is>
      </c>
      <c r="B3098" t="n">
        <v>1</v>
      </c>
    </row>
    <row r="3099">
      <c r="A3099" t="inlineStr">
        <is>
          <t>WALKING FOOTBALL</t>
        </is>
      </c>
      <c r="B3099" t="n">
        <v>1</v>
      </c>
    </row>
    <row r="3100">
      <c r="A3100" t="inlineStr">
        <is>
          <t>ELDER ABUSE</t>
        </is>
      </c>
      <c r="B3100" t="n">
        <v>1</v>
      </c>
    </row>
    <row r="3101">
      <c r="A3101" t="inlineStr">
        <is>
          <t>NASAL LAVAGE</t>
        </is>
      </c>
      <c r="B3101" t="n">
        <v>1</v>
      </c>
    </row>
    <row r="3102">
      <c r="A3102" t="inlineStr">
        <is>
          <t>EMBODIED ENERGY MEASUREMENT</t>
        </is>
      </c>
      <c r="B3102" t="n">
        <v>2</v>
      </c>
    </row>
    <row r="3103">
      <c r="A3103" t="inlineStr">
        <is>
          <t>SUSTAINABLE DEVELOPMENT</t>
        </is>
      </c>
      <c r="B3103" t="n">
        <v>1</v>
      </c>
    </row>
    <row r="3104">
      <c r="A3104" t="inlineStr">
        <is>
          <t>URBAN PARK USERS</t>
        </is>
      </c>
      <c r="B3104" t="n">
        <v>1</v>
      </c>
    </row>
    <row r="3105">
      <c r="A3105" t="inlineStr">
        <is>
          <t>MOTOR-VEHICLE EMISSIONS</t>
        </is>
      </c>
      <c r="B3105" t="n">
        <v>1</v>
      </c>
    </row>
    <row r="3106">
      <c r="A3106" t="inlineStr">
        <is>
          <t>MICROENVIRONMENTS</t>
        </is>
      </c>
      <c r="B3106" t="n">
        <v>2</v>
      </c>
    </row>
    <row r="3107">
      <c r="A3107" t="inlineStr">
        <is>
          <t>FREEWAYS</t>
        </is>
      </c>
      <c r="B3107" t="n">
        <v>1</v>
      </c>
    </row>
    <row r="3108">
      <c r="A3108" t="inlineStr">
        <is>
          <t>CARBON EMISSIONS</t>
        </is>
      </c>
      <c r="B3108" t="n">
        <v>1</v>
      </c>
    </row>
    <row r="3109">
      <c r="A3109" t="inlineStr">
        <is>
          <t>GHOST CITIES</t>
        </is>
      </c>
      <c r="B3109" t="n">
        <v>1</v>
      </c>
    </row>
    <row r="3110">
      <c r="A3110" t="inlineStr">
        <is>
          <t>WASTE</t>
        </is>
      </c>
      <c r="B3110" t="n">
        <v>2</v>
      </c>
    </row>
    <row r="3111">
      <c r="A3111" t="inlineStr">
        <is>
          <t>NEXUS</t>
        </is>
      </c>
      <c r="B3111" t="n">
        <v>1</v>
      </c>
    </row>
    <row r="3112">
      <c r="A3112" t="inlineStr">
        <is>
          <t>HETEROGENEOUS OXIDATION</t>
        </is>
      </c>
      <c r="B3112" t="n">
        <v>1</v>
      </c>
    </row>
    <row r="3113">
      <c r="A3113" t="inlineStr">
        <is>
          <t>SKIN LIPIDS</t>
        </is>
      </c>
      <c r="B3113" t="n">
        <v>1</v>
      </c>
    </row>
    <row r="3114">
      <c r="A3114" t="inlineStr">
        <is>
          <t>SORPTION</t>
        </is>
      </c>
      <c r="B3114" t="n">
        <v>3</v>
      </c>
    </row>
    <row r="3115">
      <c r="A3115" t="inlineStr">
        <is>
          <t>GASES</t>
        </is>
      </c>
      <c r="B3115" t="n">
        <v>1</v>
      </c>
    </row>
    <row r="3116">
      <c r="A3116" t="inlineStr">
        <is>
          <t>EVERYDAY LIFE</t>
        </is>
      </c>
      <c r="B3116" t="n">
        <v>1</v>
      </c>
    </row>
    <row r="3117">
      <c r="A3117" t="inlineStr">
        <is>
          <t>TRIAL</t>
        </is>
      </c>
      <c r="B3117" t="n">
        <v>5</v>
      </c>
    </row>
    <row r="3118">
      <c r="A3118" t="inlineStr">
        <is>
          <t>CANADIAN CENSUS HEALTH</t>
        </is>
      </c>
      <c r="B3118" t="n">
        <v>1</v>
      </c>
    </row>
    <row r="3119">
      <c r="A3119" t="inlineStr">
        <is>
          <t>O-3</t>
        </is>
      </c>
      <c r="B3119" t="n">
        <v>1</v>
      </c>
    </row>
    <row r="3120">
      <c r="A3120" t="inlineStr">
        <is>
          <t>ABILITIES</t>
        </is>
      </c>
      <c r="B3120" t="n">
        <v>2</v>
      </c>
    </row>
    <row r="3121">
      <c r="A3121" t="inlineStr">
        <is>
          <t>INFILTRATION-RATE DISTRIBUTIONS</t>
        </is>
      </c>
      <c r="B3121" t="n">
        <v>1</v>
      </c>
    </row>
    <row r="3122">
      <c r="A3122" t="inlineStr">
        <is>
          <t>YANGTZE-RIVER DELTA</t>
        </is>
      </c>
      <c r="B3122" t="n">
        <v>1</v>
      </c>
    </row>
    <row r="3123">
      <c r="A3123" t="inlineStr">
        <is>
          <t>BUSINESS MODEL</t>
        </is>
      </c>
      <c r="B3123" t="n">
        <v>1</v>
      </c>
    </row>
    <row r="3124">
      <c r="A3124" t="inlineStr">
        <is>
          <t>RENOVATIONS</t>
        </is>
      </c>
      <c r="B3124" t="n">
        <v>1</v>
      </c>
    </row>
    <row r="3125">
      <c r="A3125" t="inlineStr">
        <is>
          <t>KUALA-LUMPUR</t>
        </is>
      </c>
      <c r="B3125" t="n">
        <v>1</v>
      </c>
    </row>
    <row r="3126">
      <c r="A3126" t="inlineStr">
        <is>
          <t>ROAD DUST</t>
        </is>
      </c>
      <c r="B3126" t="n">
        <v>2</v>
      </c>
    </row>
    <row r="3127">
      <c r="A3127" t="inlineStr">
        <is>
          <t>SURFACTANTS</t>
        </is>
      </c>
      <c r="B3127" t="n">
        <v>1</v>
      </c>
    </row>
    <row r="3128">
      <c r="A3128" t="inlineStr">
        <is>
          <t>PHENOTYPE</t>
        </is>
      </c>
      <c r="B3128" t="n">
        <v>1</v>
      </c>
    </row>
    <row r="3129">
      <c r="A3129" t="inlineStr">
        <is>
          <t>INSTRUMENTS</t>
        </is>
      </c>
      <c r="B3129" t="n">
        <v>2</v>
      </c>
    </row>
    <row r="3130">
      <c r="A3130" t="inlineStr">
        <is>
          <t>PREDICTOR</t>
        </is>
      </c>
      <c r="B3130" t="n">
        <v>1</v>
      </c>
    </row>
    <row r="3131">
      <c r="A3131" t="inlineStr">
        <is>
          <t>TERM-CARE FACILITIES</t>
        </is>
      </c>
      <c r="B3131" t="n">
        <v>1</v>
      </c>
    </row>
    <row r="3132">
      <c r="A3132" t="inlineStr">
        <is>
          <t>LOCALIZATION</t>
        </is>
      </c>
      <c r="B3132" t="n">
        <v>1</v>
      </c>
    </row>
    <row r="3133">
      <c r="A3133" t="inlineStr">
        <is>
          <t>HISTORY</t>
        </is>
      </c>
      <c r="B3133" t="n">
        <v>2</v>
      </c>
    </row>
    <row r="3134">
      <c r="A3134" t="inlineStr">
        <is>
          <t>REMAINING TEETH</t>
        </is>
      </c>
      <c r="B3134" t="n">
        <v>1</v>
      </c>
    </row>
    <row r="3135">
      <c r="A3135" t="inlineStr">
        <is>
          <t>GENERAL HEALTH</t>
        </is>
      </c>
      <c r="B3135" t="n">
        <v>1</v>
      </c>
    </row>
    <row r="3136">
      <c r="A3136" t="inlineStr">
        <is>
          <t>INDICATOR</t>
        </is>
      </c>
      <c r="B3136" t="n">
        <v>2</v>
      </c>
    </row>
    <row r="3137">
      <c r="A3137" t="inlineStr">
        <is>
          <t>TIME PHYSICAL-ACTIVITY</t>
        </is>
      </c>
      <c r="B3137" t="n">
        <v>4</v>
      </c>
    </row>
    <row r="3138">
      <c r="A3138" t="inlineStr">
        <is>
          <t>VISITATION</t>
        </is>
      </c>
      <c r="B3138" t="n">
        <v>1</v>
      </c>
    </row>
    <row r="3139">
      <c r="A3139" t="inlineStr">
        <is>
          <t>SIT-TO-STAND</t>
        </is>
      </c>
      <c r="B3139" t="n">
        <v>2</v>
      </c>
    </row>
    <row r="3140">
      <c r="A3140" t="inlineStr">
        <is>
          <t>GAIT INITIATION</t>
        </is>
      </c>
      <c r="B3140" t="n">
        <v>1</v>
      </c>
    </row>
    <row r="3141">
      <c r="A3141" t="inlineStr">
        <is>
          <t>BIOMECHANICAL CHARACTERISTICS</t>
        </is>
      </c>
      <c r="B3141" t="n">
        <v>1</v>
      </c>
    </row>
    <row r="3142">
      <c r="A3142" t="inlineStr">
        <is>
          <t>NEUROMUSCULAR ACTIVITY</t>
        </is>
      </c>
      <c r="B3142" t="n">
        <v>1</v>
      </c>
    </row>
    <row r="3143">
      <c r="A3143" t="inlineStr">
        <is>
          <t>FUNCTIONAL TEST</t>
        </is>
      </c>
      <c r="B3143" t="n">
        <v>1</v>
      </c>
    </row>
    <row r="3144">
      <c r="A3144" t="inlineStr">
        <is>
          <t>SHALLOW-WATER</t>
        </is>
      </c>
      <c r="B3144" t="n">
        <v>1</v>
      </c>
    </row>
    <row r="3145">
      <c r="A3145" t="inlineStr">
        <is>
          <t>IN-WATER</t>
        </is>
      </c>
      <c r="B3145" t="n">
        <v>1</v>
      </c>
    </row>
    <row r="3146">
      <c r="A3146" t="inlineStr">
        <is>
          <t>KINEMATICS</t>
        </is>
      </c>
      <c r="B3146" t="n">
        <v>1</v>
      </c>
    </row>
    <row r="3147">
      <c r="A3147" t="inlineStr">
        <is>
          <t>KNEE</t>
        </is>
      </c>
      <c r="B3147" t="n">
        <v>1</v>
      </c>
    </row>
    <row r="3148">
      <c r="A3148" t="inlineStr">
        <is>
          <t>SUPPLY CHAIN RESILIENCE</t>
        </is>
      </c>
      <c r="B3148" t="n">
        <v>1</v>
      </c>
    </row>
    <row r="3149">
      <c r="A3149" t="inlineStr">
        <is>
          <t>CARDIOVASCULAR RISK</t>
        </is>
      </c>
      <c r="B3149" t="n">
        <v>2</v>
      </c>
    </row>
    <row r="3150">
      <c r="A3150" t="inlineStr">
        <is>
          <t>RETROSPECTIVE MEMORY</t>
        </is>
      </c>
      <c r="B3150" t="n">
        <v>1</v>
      </c>
    </row>
    <row r="3151">
      <c r="A3151" t="inlineStr">
        <is>
          <t>EVERYDAY</t>
        </is>
      </c>
      <c r="B3151" t="n">
        <v>1</v>
      </c>
    </row>
    <row r="3152">
      <c r="A3152" t="inlineStr">
        <is>
          <t>HIGH-DENSITY CITIES</t>
        </is>
      </c>
      <c r="B3152" t="n">
        <v>1</v>
      </c>
    </row>
    <row r="3153">
      <c r="A3153" t="inlineStr">
        <is>
          <t>ACUTE MYOCARDIAL-INFARCTION</t>
        </is>
      </c>
      <c r="B3153" t="n">
        <v>1</v>
      </c>
    </row>
    <row r="3154">
      <c r="A3154" t="inlineStr">
        <is>
          <t>ISCHEMIC-STROKE</t>
        </is>
      </c>
      <c r="B3154" t="n">
        <v>1</v>
      </c>
    </row>
    <row r="3155">
      <c r="A3155" t="inlineStr">
        <is>
          <t>ENERGY SAVINGS</t>
        </is>
      </c>
      <c r="B3155" t="n">
        <v>1</v>
      </c>
    </row>
    <row r="3156">
      <c r="A3156" t="inlineStr">
        <is>
          <t>CHEMICAL CHARACTERISTICS</t>
        </is>
      </c>
      <c r="B3156" t="n">
        <v>1</v>
      </c>
    </row>
    <row r="3157">
      <c r="A3157" t="inlineStr">
        <is>
          <t>GAS COOKING</t>
        </is>
      </c>
      <c r="B3157" t="n">
        <v>2</v>
      </c>
    </row>
    <row r="3158">
      <c r="A3158" t="inlineStr">
        <is>
          <t>EXCESS MORTALITY</t>
        </is>
      </c>
      <c r="B3158" t="n">
        <v>1</v>
      </c>
    </row>
    <row r="3159">
      <c r="A3159" t="inlineStr">
        <is>
          <t>WINDOW</t>
        </is>
      </c>
      <c r="B3159" t="n">
        <v>1</v>
      </c>
    </row>
    <row r="3160">
      <c r="A3160" t="inlineStr">
        <is>
          <t>SQUARE-STEPPING EXERCISE</t>
        </is>
      </c>
      <c r="B3160" t="n">
        <v>1</v>
      </c>
    </row>
    <row r="3161">
      <c r="A3161" t="inlineStr">
        <is>
          <t>BISPHENOL-A</t>
        </is>
      </c>
      <c r="B3161" t="n">
        <v>1</v>
      </c>
    </row>
    <row r="3162">
      <c r="A3162" t="inlineStr">
        <is>
          <t>KUWAIT</t>
        </is>
      </c>
      <c r="B3162" t="n">
        <v>1</v>
      </c>
    </row>
    <row r="3163">
      <c r="A3163" t="inlineStr">
        <is>
          <t>HEALTH IMPACT ASSESSMENT</t>
        </is>
      </c>
      <c r="B3163" t="n">
        <v>1</v>
      </c>
    </row>
    <row r="3164">
      <c r="A3164" t="inlineStr">
        <is>
          <t>THALLIUM TOXICITY</t>
        </is>
      </c>
      <c r="B3164" t="n">
        <v>1</v>
      </c>
    </row>
    <row r="3165">
      <c r="A3165" t="inlineStr">
        <is>
          <t>CADMIUM</t>
        </is>
      </c>
      <c r="B3165" t="n">
        <v>2</v>
      </c>
    </row>
    <row r="3166">
      <c r="A3166" t="inlineStr">
        <is>
          <t>MORTALITY RISK</t>
        </is>
      </c>
      <c r="B3166" t="n">
        <v>1</v>
      </c>
    </row>
    <row r="3167">
      <c r="A3167" t="inlineStr">
        <is>
          <t>VAPOR INTRUSION</t>
        </is>
      </c>
      <c r="B3167" t="n">
        <v>1</v>
      </c>
    </row>
    <row r="3168">
      <c r="A3168" t="inlineStr">
        <is>
          <t>OBSTRUCTIVE PULMONARY-DISEASE</t>
        </is>
      </c>
      <c r="B3168" t="n">
        <v>1</v>
      </c>
    </row>
    <row r="3169">
      <c r="A3169" t="inlineStr">
        <is>
          <t>SULFUR-DIOXIDE</t>
        </is>
      </c>
      <c r="B3169" t="n">
        <v>1</v>
      </c>
    </row>
    <row r="3170">
      <c r="A3170" t="inlineStr">
        <is>
          <t>CONSTRAINTS</t>
        </is>
      </c>
      <c r="B3170" t="n">
        <v>1</v>
      </c>
    </row>
    <row r="3171">
      <c r="A3171" t="inlineStr">
        <is>
          <t>MOTIVATIONS</t>
        </is>
      </c>
      <c r="B3171" t="n">
        <v>1</v>
      </c>
    </row>
    <row r="3172">
      <c r="A3172" t="inlineStr">
        <is>
          <t>PAIN</t>
        </is>
      </c>
      <c r="B3172" t="n">
        <v>2</v>
      </c>
    </row>
    <row r="3173">
      <c r="A3173" t="inlineStr">
        <is>
          <t>AIR-POLLUTANTS</t>
        </is>
      </c>
      <c r="B3173" t="n">
        <v>3</v>
      </c>
    </row>
    <row r="3174">
      <c r="A3174" t="inlineStr">
        <is>
          <t>VACUUM CLEANERS</t>
        </is>
      </c>
      <c r="B3174" t="n">
        <v>1</v>
      </c>
    </row>
    <row r="3175">
      <c r="A3175" t="inlineStr">
        <is>
          <t>INDOOR SOURCES</t>
        </is>
      </c>
      <c r="B3175" t="n">
        <v>1</v>
      </c>
    </row>
    <row r="3176">
      <c r="A3176" t="inlineStr">
        <is>
          <t>GLARE</t>
        </is>
      </c>
      <c r="B3176" t="n">
        <v>1</v>
      </c>
    </row>
    <row r="3177">
      <c r="A3177" t="inlineStr">
        <is>
          <t>PRECAUTIONS</t>
        </is>
      </c>
      <c r="B3177" t="n">
        <v>1</v>
      </c>
    </row>
    <row r="3178">
      <c r="A3178" t="inlineStr">
        <is>
          <t>PLANTS</t>
        </is>
      </c>
      <c r="B3178" t="n">
        <v>4</v>
      </c>
    </row>
    <row r="3179">
      <c r="A3179" t="inlineStr">
        <is>
          <t>PLAYGROUND INJURIES</t>
        </is>
      </c>
      <c r="B3179" t="n">
        <v>1</v>
      </c>
    </row>
    <row r="3180">
      <c r="A3180" t="inlineStr">
        <is>
          <t>GYM</t>
        </is>
      </c>
      <c r="B3180" t="n">
        <v>1</v>
      </c>
    </row>
    <row r="3181">
      <c r="A3181" t="inlineStr">
        <is>
          <t>DC CORONA DISCHARGE</t>
        </is>
      </c>
      <c r="B3181" t="n">
        <v>1</v>
      </c>
    </row>
    <row r="3182">
      <c r="A3182" t="inlineStr">
        <is>
          <t>OZONE EMISSION</t>
        </is>
      </c>
      <c r="B3182" t="n">
        <v>1</v>
      </c>
    </row>
    <row r="3183">
      <c r="A3183" t="inlineStr">
        <is>
          <t>COARSE FILTER</t>
        </is>
      </c>
      <c r="B3183" t="n">
        <v>1</v>
      </c>
    </row>
    <row r="3184">
      <c r="A3184" t="inlineStr">
        <is>
          <t>DELIVERY RATE</t>
        </is>
      </c>
      <c r="B3184" t="n">
        <v>1</v>
      </c>
    </row>
    <row r="3185">
      <c r="A3185" t="inlineStr">
        <is>
          <t>SOCIAL MEDIA</t>
        </is>
      </c>
      <c r="B3185" t="n">
        <v>2</v>
      </c>
    </row>
    <row r="3186">
      <c r="A3186" t="inlineStr">
        <is>
          <t>ECOLOGICAL SUSTAINABILITY</t>
        </is>
      </c>
      <c r="B3186" t="n">
        <v>1</v>
      </c>
    </row>
    <row r="3187">
      <c r="A3187" t="inlineStr">
        <is>
          <t>PATHOPHYSIOLOGY</t>
        </is>
      </c>
      <c r="B3187" t="n">
        <v>2</v>
      </c>
    </row>
    <row r="3188">
      <c r="A3188" t="inlineStr">
        <is>
          <t>DAYLIGHTING PERFORMANCE</t>
        </is>
      </c>
      <c r="B3188" t="n">
        <v>1</v>
      </c>
    </row>
    <row r="3189">
      <c r="A3189" t="inlineStr">
        <is>
          <t>PARENTING PRACTICES</t>
        </is>
      </c>
      <c r="B3189" t="n">
        <v>1</v>
      </c>
    </row>
    <row r="3190">
      <c r="A3190" t="inlineStr">
        <is>
          <t>CANADIAN CHILDREN</t>
        </is>
      </c>
      <c r="B3190" t="n">
        <v>1</v>
      </c>
    </row>
    <row r="3191">
      <c r="A3191" t="inlineStr">
        <is>
          <t>CIRCUMPLEX MODEL</t>
        </is>
      </c>
      <c r="B3191" t="n">
        <v>1</v>
      </c>
    </row>
    <row r="3192">
      <c r="A3192" t="inlineStr">
        <is>
          <t>ECZEMA</t>
        </is>
      </c>
      <c r="B3192" t="n">
        <v>1</v>
      </c>
    </row>
    <row r="3193">
      <c r="A3193" t="inlineStr">
        <is>
          <t>LOW-COST</t>
        </is>
      </c>
      <c r="B3193" t="n">
        <v>1</v>
      </c>
    </row>
    <row r="3194">
      <c r="A3194" t="inlineStr">
        <is>
          <t>IOT</t>
        </is>
      </c>
      <c r="B3194" t="n">
        <v>1</v>
      </c>
    </row>
    <row r="3195">
      <c r="A3195" t="inlineStr">
        <is>
          <t>CHEMICAL MASS-BALANCE</t>
        </is>
      </c>
      <c r="B3195" t="n">
        <v>1</v>
      </c>
    </row>
    <row r="3196">
      <c r="A3196" t="inlineStr">
        <is>
          <t>TRANSITIONAL SPACES</t>
        </is>
      </c>
      <c r="B3196" t="n">
        <v>1</v>
      </c>
    </row>
    <row r="3197">
      <c r="A3197" t="inlineStr">
        <is>
          <t>MOBILE-HEALTH</t>
        </is>
      </c>
      <c r="B3197" t="n">
        <v>1</v>
      </c>
    </row>
    <row r="3198">
      <c r="A3198" t="inlineStr">
        <is>
          <t>ANTIBACTERIAL</t>
        </is>
      </c>
      <c r="B3198" t="n">
        <v>1</v>
      </c>
    </row>
    <row r="3199">
      <c r="A3199" t="inlineStr">
        <is>
          <t>PATHOGENS</t>
        </is>
      </c>
      <c r="B3199" t="n">
        <v>1</v>
      </c>
    </row>
    <row r="3200">
      <c r="A3200" t="inlineStr">
        <is>
          <t>BACTERIAL</t>
        </is>
      </c>
      <c r="B3200" t="n">
        <v>2</v>
      </c>
    </row>
    <row r="3201">
      <c r="A3201" t="inlineStr">
        <is>
          <t>VITAMIN-D</t>
        </is>
      </c>
      <c r="B3201" t="n">
        <v>1</v>
      </c>
    </row>
    <row r="3202">
      <c r="A3202" t="inlineStr">
        <is>
          <t>CONSENSUS</t>
        </is>
      </c>
      <c r="B3202" t="n">
        <v>4</v>
      </c>
    </row>
    <row r="3203">
      <c r="A3203" t="inlineStr">
        <is>
          <t>URBAN VIBRANCY</t>
        </is>
      </c>
      <c r="B3203" t="n">
        <v>1</v>
      </c>
    </row>
    <row r="3204">
      <c r="A3204" t="inlineStr">
        <is>
          <t>VITALITY</t>
        </is>
      </c>
      <c r="B3204" t="n">
        <v>2</v>
      </c>
    </row>
    <row r="3205">
      <c r="A3205" t="inlineStr">
        <is>
          <t>EXPLORATORY ANALYSIS</t>
        </is>
      </c>
      <c r="B3205" t="n">
        <v>1</v>
      </c>
    </row>
    <row r="3206">
      <c r="A3206" t="inlineStr">
        <is>
          <t>INDOOR THERMAL ENVIRONMENT</t>
        </is>
      </c>
      <c r="B3206" t="n">
        <v>1</v>
      </c>
    </row>
    <row r="3207">
      <c r="A3207" t="inlineStr">
        <is>
          <t>NEURAL-NETWORK</t>
        </is>
      </c>
      <c r="B3207" t="n">
        <v>1</v>
      </c>
    </row>
    <row r="3208">
      <c r="A3208" t="inlineStr">
        <is>
          <t>SLEEP DURATION</t>
        </is>
      </c>
      <c r="B3208" t="n">
        <v>1</v>
      </c>
    </row>
    <row r="3209">
      <c r="A3209" t="inlineStr">
        <is>
          <t>REPRESENTATION</t>
        </is>
      </c>
      <c r="B3209" t="n">
        <v>1</v>
      </c>
    </row>
    <row r="3210">
      <c r="A3210" t="inlineStr">
        <is>
          <t>AUTOMATION</t>
        </is>
      </c>
      <c r="B3210" t="n">
        <v>1</v>
      </c>
    </row>
    <row r="3211">
      <c r="A3211" t="inlineStr">
        <is>
          <t>SATELLITE-RETRIEVED PM2.5</t>
        </is>
      </c>
      <c r="B3211" t="n">
        <v>1</v>
      </c>
    </row>
    <row r="3212">
      <c r="A3212" t="inlineStr">
        <is>
          <t>KOREA NATIONAL-HEALTH</t>
        </is>
      </c>
      <c r="B3212" t="n">
        <v>1</v>
      </c>
    </row>
    <row r="3213">
      <c r="A3213" t="inlineStr">
        <is>
          <t>ETHYLBENZENE</t>
        </is>
      </c>
      <c r="B3213" t="n">
        <v>1</v>
      </c>
    </row>
    <row r="3214">
      <c r="A3214" t="inlineStr">
        <is>
          <t>GROUNDWATER</t>
        </is>
      </c>
      <c r="B3214" t="n">
        <v>2</v>
      </c>
    </row>
    <row r="3215">
      <c r="A3215" t="inlineStr">
        <is>
          <t>NORM</t>
        </is>
      </c>
      <c r="B3215" t="n">
        <v>1</v>
      </c>
    </row>
    <row r="3216">
      <c r="A3216" t="inlineStr">
        <is>
          <t>GEOGRAPHIC INFORMATION-SYSTEMS</t>
        </is>
      </c>
      <c r="B3216" t="n">
        <v>1</v>
      </c>
    </row>
    <row r="3217">
      <c r="A3217" t="inlineStr">
        <is>
          <t>PARTICIPATION GIS PPGIS</t>
        </is>
      </c>
      <c r="B3217" t="n">
        <v>1</v>
      </c>
    </row>
    <row r="3218">
      <c r="A3218" t="inlineStr">
        <is>
          <t>OF-LIFE CARE</t>
        </is>
      </c>
      <c r="B3218" t="n">
        <v>1</v>
      </c>
    </row>
    <row r="3219">
      <c r="A3219" t="inlineStr">
        <is>
          <t>COMPLETION</t>
        </is>
      </c>
      <c r="B3219" t="n">
        <v>1</v>
      </c>
    </row>
    <row r="3220">
      <c r="A3220" t="inlineStr">
        <is>
          <t>WILLINGNESS</t>
        </is>
      </c>
      <c r="B3220" t="n">
        <v>1</v>
      </c>
    </row>
    <row r="3221">
      <c r="A3221" t="inlineStr">
        <is>
          <t>ELDERLY PEOPLES PERSPECTIVES</t>
        </is>
      </c>
      <c r="B3221" t="n">
        <v>1</v>
      </c>
    </row>
    <row r="3222">
      <c r="A3222" t="inlineStr">
        <is>
          <t>MATTERS</t>
        </is>
      </c>
      <c r="B3222" t="n">
        <v>1</v>
      </c>
    </row>
    <row r="3223">
      <c r="A3223" t="inlineStr">
        <is>
          <t>NONUSE</t>
        </is>
      </c>
      <c r="B3223" t="n">
        <v>1</v>
      </c>
    </row>
    <row r="3224">
      <c r="A3224" t="inlineStr">
        <is>
          <t>OUTDOOR PLATFORMS</t>
        </is>
      </c>
      <c r="B3224" t="n">
        <v>1</v>
      </c>
    </row>
    <row r="3225">
      <c r="A3225" t="inlineStr">
        <is>
          <t>COMPACT CITY</t>
        </is>
      </c>
      <c r="B3225" t="n">
        <v>2</v>
      </c>
    </row>
    <row r="3226">
      <c r="A3226" t="inlineStr">
        <is>
          <t>SKY GARDENS</t>
        </is>
      </c>
      <c r="B3226" t="n">
        <v>1</v>
      </c>
    </row>
    <row r="3227">
      <c r="A3227" t="inlineStr">
        <is>
          <t>TREE</t>
        </is>
      </c>
      <c r="B3227" t="n">
        <v>2</v>
      </c>
    </row>
    <row r="3228">
      <c r="A3228" t="inlineStr">
        <is>
          <t>LAND-SURFACE TEMPERATURE</t>
        </is>
      </c>
      <c r="B3228" t="n">
        <v>2</v>
      </c>
    </row>
    <row r="3229">
      <c r="A3229" t="inlineStr">
        <is>
          <t>WAVE IMPACTS</t>
        </is>
      </c>
      <c r="B3229" t="n">
        <v>1</v>
      </c>
    </row>
    <row r="3230">
      <c r="A3230" t="inlineStr">
        <is>
          <t>SINGLE SESSION</t>
        </is>
      </c>
      <c r="B3230" t="n">
        <v>1</v>
      </c>
    </row>
    <row r="3231">
      <c r="A3231" t="inlineStr">
        <is>
          <t>IMPROVEMENTS</t>
        </is>
      </c>
      <c r="B3231" t="n">
        <v>1</v>
      </c>
    </row>
    <row r="3232">
      <c r="A3232" t="inlineStr">
        <is>
          <t>TRANSFORMING QIGONG EXERCISES</t>
        </is>
      </c>
      <c r="B3232" t="n">
        <v>1</v>
      </c>
    </row>
    <row r="3233">
      <c r="A3233" t="inlineStr">
        <is>
          <t>LEAN BODY-MASS</t>
        </is>
      </c>
      <c r="B3233" t="n">
        <v>1</v>
      </c>
    </row>
    <row r="3234">
      <c r="A3234" t="inlineStr">
        <is>
          <t>PROGNOSTIC VALUE</t>
        </is>
      </c>
      <c r="B3234" t="n">
        <v>1</v>
      </c>
    </row>
    <row r="3235">
      <c r="A3235" t="inlineStr">
        <is>
          <t>SOLID TUMORS</t>
        </is>
      </c>
      <c r="B3235" t="n">
        <v>1</v>
      </c>
    </row>
    <row r="3236">
      <c r="A3236" t="inlineStr">
        <is>
          <t>COLON-CANCER</t>
        </is>
      </c>
      <c r="B3236" t="n">
        <v>1</v>
      </c>
    </row>
    <row r="3237">
      <c r="A3237" t="inlineStr">
        <is>
          <t>MASS-BALANCE</t>
        </is>
      </c>
      <c r="B3237" t="n">
        <v>1</v>
      </c>
    </row>
    <row r="3238">
      <c r="A3238" t="inlineStr">
        <is>
          <t>EQUIPMENT</t>
        </is>
      </c>
      <c r="B3238" t="n">
        <v>1</v>
      </c>
    </row>
    <row r="3239">
      <c r="A3239" t="inlineStr">
        <is>
          <t>CARE EXPERIENCES</t>
        </is>
      </c>
      <c r="B3239" t="n">
        <v>1</v>
      </c>
    </row>
    <row r="3240">
      <c r="A3240" t="inlineStr">
        <is>
          <t>PHYSICIAN</t>
        </is>
      </c>
      <c r="B3240" t="n">
        <v>1</v>
      </c>
    </row>
    <row r="3241">
      <c r="A3241" t="inlineStr">
        <is>
          <t>DOCTORS</t>
        </is>
      </c>
      <c r="B3241" t="n">
        <v>1</v>
      </c>
    </row>
    <row r="3242">
      <c r="A3242" t="inlineStr">
        <is>
          <t>EPITHELIAL-CELLS</t>
        </is>
      </c>
      <c r="B3242" t="n">
        <v>1</v>
      </c>
    </row>
    <row r="3243">
      <c r="A3243" t="inlineStr">
        <is>
          <t>MALE-INFERTILITY</t>
        </is>
      </c>
      <c r="B3243" t="n">
        <v>1</v>
      </c>
    </row>
    <row r="3244">
      <c r="A3244" t="inlineStr">
        <is>
          <t>BIOMARKERS</t>
        </is>
      </c>
      <c r="B3244" t="n">
        <v>1</v>
      </c>
    </row>
    <row r="3245">
      <c r="A3245" t="inlineStr">
        <is>
          <t>PLASMA</t>
        </is>
      </c>
      <c r="B3245" t="n">
        <v>1</v>
      </c>
    </row>
    <row r="3246">
      <c r="A3246" t="inlineStr">
        <is>
          <t>WHITE-MATTER LESIONS</t>
        </is>
      </c>
      <c r="B3246" t="n">
        <v>1</v>
      </c>
    </row>
    <row r="3247">
      <c r="A3247" t="inlineStr">
        <is>
          <t>ADJUSTED LIFE-YEARS</t>
        </is>
      </c>
      <c r="B3247" t="n">
        <v>1</v>
      </c>
    </row>
    <row r="3248">
      <c r="A3248" t="inlineStr">
        <is>
          <t>ATTENTIONAL DEMANDS</t>
        </is>
      </c>
      <c r="B3248" t="n">
        <v>1</v>
      </c>
    </row>
    <row r="3249">
      <c r="A3249" t="inlineStr">
        <is>
          <t>SINGLE-TASK</t>
        </is>
      </c>
      <c r="B3249" t="n">
        <v>1</v>
      </c>
    </row>
    <row r="3250">
      <c r="A3250" t="inlineStr">
        <is>
          <t>POSTURAL STABILITY</t>
        </is>
      </c>
      <c r="B3250" t="n">
        <v>1</v>
      </c>
    </row>
    <row r="3251">
      <c r="A3251" t="inlineStr">
        <is>
          <t>OBSTACLE AVOIDANCE</t>
        </is>
      </c>
      <c r="B3251" t="n">
        <v>1</v>
      </c>
    </row>
    <row r="3252">
      <c r="A3252" t="inlineStr">
        <is>
          <t>IMPROVING BALANCE</t>
        </is>
      </c>
      <c r="B3252" t="n">
        <v>1</v>
      </c>
    </row>
    <row r="3253">
      <c r="A3253" t="inlineStr">
        <is>
          <t>REFLEX</t>
        </is>
      </c>
      <c r="B3253" t="n">
        <v>1</v>
      </c>
    </row>
    <row r="3254">
      <c r="A3254" t="inlineStr">
        <is>
          <t>PNEUMONIA</t>
        </is>
      </c>
      <c r="B3254" t="n">
        <v>1</v>
      </c>
    </row>
    <row r="3255">
      <c r="A3255" t="inlineStr">
        <is>
          <t>STRASBOURG FRANCE</t>
        </is>
      </c>
      <c r="B3255" t="n">
        <v>1</v>
      </c>
    </row>
    <row r="3256">
      <c r="A3256" t="inlineStr">
        <is>
          <t>RHINITIS</t>
        </is>
      </c>
      <c r="B3256" t="n">
        <v>1</v>
      </c>
    </row>
    <row r="3257">
      <c r="A3257" t="inlineStr">
        <is>
          <t>CONTROL STRATEGIES</t>
        </is>
      </c>
      <c r="B3257" t="n">
        <v>1</v>
      </c>
    </row>
    <row r="3258">
      <c r="A3258" t="inlineStr">
        <is>
          <t>SALT MARSHES</t>
        </is>
      </c>
      <c r="B3258" t="n">
        <v>1</v>
      </c>
    </row>
    <row r="3259">
      <c r="A3259" t="inlineStr">
        <is>
          <t>INTERFEROMETRY</t>
        </is>
      </c>
      <c r="B3259" t="n">
        <v>1</v>
      </c>
    </row>
    <row r="3260">
      <c r="A3260" t="inlineStr">
        <is>
          <t>LAGOON</t>
        </is>
      </c>
      <c r="B3260" t="n">
        <v>1</v>
      </c>
    </row>
    <row r="3261">
      <c r="A3261" t="inlineStr">
        <is>
          <t>PLASMA-MASS-SPECTROMETRY</t>
        </is>
      </c>
      <c r="B3261" t="n">
        <v>1</v>
      </c>
    </row>
    <row r="3262">
      <c r="A3262" t="inlineStr">
        <is>
          <t>RESIDENTIAL DUST LEAD</t>
        </is>
      </c>
      <c r="B3262" t="n">
        <v>1</v>
      </c>
    </row>
    <row r="3263">
      <c r="A3263" t="inlineStr">
        <is>
          <t>URINE</t>
        </is>
      </c>
      <c r="B3263" t="n">
        <v>2</v>
      </c>
    </row>
    <row r="3264">
      <c r="A3264" t="inlineStr">
        <is>
          <t>RESPIRATORY-DISEASES</t>
        </is>
      </c>
      <c r="B3264" t="n">
        <v>1</v>
      </c>
    </row>
    <row r="3265">
      <c r="A3265" t="inlineStr">
        <is>
          <t>SALIVARY CORTISOL</t>
        </is>
      </c>
      <c r="B3265" t="n">
        <v>1</v>
      </c>
    </row>
    <row r="3266">
      <c r="A3266" t="inlineStr">
        <is>
          <t>PERCEIVED RESTORATIVENESS</t>
        </is>
      </c>
      <c r="B3266" t="n">
        <v>1</v>
      </c>
    </row>
    <row r="3267">
      <c r="A3267" t="inlineStr">
        <is>
          <t>CONTACT</t>
        </is>
      </c>
      <c r="B3267" t="n">
        <v>1</v>
      </c>
    </row>
    <row r="3268">
      <c r="A3268" t="inlineStr">
        <is>
          <t>NIGHTTIME-LIGHT DATA</t>
        </is>
      </c>
      <c r="B3268" t="n">
        <v>1</v>
      </c>
    </row>
    <row r="3269">
      <c r="A3269" t="inlineStr">
        <is>
          <t>MONITORED PERFORMANCE</t>
        </is>
      </c>
      <c r="B3269" t="n">
        <v>1</v>
      </c>
    </row>
    <row r="3270">
      <c r="A3270" t="inlineStr">
        <is>
          <t>HEAT-RECOVERY</t>
        </is>
      </c>
      <c r="B3270" t="n">
        <v>1</v>
      </c>
    </row>
    <row r="3271">
      <c r="A3271" t="inlineStr">
        <is>
          <t>HOUSE CONCEPT</t>
        </is>
      </c>
      <c r="B3271" t="n">
        <v>1</v>
      </c>
    </row>
    <row r="3272">
      <c r="A3272" t="inlineStr">
        <is>
          <t>FACADE SOUND INSULATION</t>
        </is>
      </c>
      <c r="B3272" t="n">
        <v>1</v>
      </c>
    </row>
    <row r="3273">
      <c r="A3273" t="inlineStr">
        <is>
          <t>WORLDWIDE</t>
        </is>
      </c>
      <c r="B3273" t="n">
        <v>1</v>
      </c>
    </row>
    <row r="3274">
      <c r="A3274" t="inlineStr">
        <is>
          <t>SHARING SYSTEM</t>
        </is>
      </c>
      <c r="B3274" t="n">
        <v>1</v>
      </c>
    </row>
    <row r="3275">
      <c r="A3275" t="inlineStr">
        <is>
          <t>WORLD-HEALTH-ORGANIZATION</t>
        </is>
      </c>
      <c r="B3275" t="n">
        <v>3</v>
      </c>
    </row>
    <row r="3276">
      <c r="A3276" t="inlineStr">
        <is>
          <t>WHOQOL</t>
        </is>
      </c>
      <c r="B3276" t="n">
        <v>1</v>
      </c>
    </row>
    <row r="3277">
      <c r="A3277" t="inlineStr">
        <is>
          <t>DEPRIVED NEIGHBORHOODS</t>
        </is>
      </c>
      <c r="B3277" t="n">
        <v>1</v>
      </c>
    </row>
    <row r="3278">
      <c r="A3278" t="inlineStr">
        <is>
          <t>BLOOD LEAD LEVELS</t>
        </is>
      </c>
      <c r="B3278" t="n">
        <v>1</v>
      </c>
    </row>
    <row r="3279">
      <c r="A3279" t="inlineStr">
        <is>
          <t>TERT-BUTYL ETHER</t>
        </is>
      </c>
      <c r="B3279" t="n">
        <v>1</v>
      </c>
    </row>
    <row r="3280">
      <c r="A3280" t="inlineStr">
        <is>
          <t>ABATEMENT</t>
        </is>
      </c>
      <c r="B3280" t="n">
        <v>1</v>
      </c>
    </row>
    <row r="3281">
      <c r="A3281" t="inlineStr">
        <is>
          <t>5-FACTOR MODEL</t>
        </is>
      </c>
      <c r="B3281" t="n">
        <v>1</v>
      </c>
    </row>
    <row r="3282">
      <c r="A3282" t="inlineStr">
        <is>
          <t>TRAITS</t>
        </is>
      </c>
      <c r="B3282" t="n">
        <v>1</v>
      </c>
    </row>
    <row r="3283">
      <c r="A3283" t="inlineStr">
        <is>
          <t>EXTROVERSION</t>
        </is>
      </c>
      <c r="B3283" t="n">
        <v>1</v>
      </c>
    </row>
    <row r="3284">
      <c r="A3284" t="inlineStr">
        <is>
          <t>CREATIVE CLASS</t>
        </is>
      </c>
      <c r="B3284" t="n">
        <v>1</v>
      </c>
    </row>
    <row r="3285">
      <c r="A3285" t="inlineStr">
        <is>
          <t>HOME DAMPNESS</t>
        </is>
      </c>
      <c r="B3285" t="n">
        <v>1</v>
      </c>
    </row>
    <row r="3286">
      <c r="A3286" t="inlineStr">
        <is>
          <t>HOUSE DUST</t>
        </is>
      </c>
      <c r="B3286" t="n">
        <v>1</v>
      </c>
    </row>
    <row r="3287">
      <c r="A3287" t="inlineStr">
        <is>
          <t>COMMUNAL SPACE</t>
        </is>
      </c>
      <c r="B3287" t="n">
        <v>1</v>
      </c>
    </row>
    <row r="3288">
      <c r="A3288" t="inlineStr">
        <is>
          <t>COMPLAINTS</t>
        </is>
      </c>
      <c r="B3288" t="n">
        <v>1</v>
      </c>
    </row>
    <row r="3289">
      <c r="A3289" t="inlineStr">
        <is>
          <t>TOYOTA PRODUCTION SYSTEM</t>
        </is>
      </c>
      <c r="B3289" t="n">
        <v>1</v>
      </c>
    </row>
    <row r="3290">
      <c r="A3290" t="inlineStr">
        <is>
          <t>SMART CITY</t>
        </is>
      </c>
      <c r="B3290" t="n">
        <v>1</v>
      </c>
    </row>
    <row r="3291">
      <c r="A3291" t="inlineStr">
        <is>
          <t>URBAN-DEVELOPMENT</t>
        </is>
      </c>
      <c r="B3291" t="n">
        <v>1</v>
      </c>
    </row>
    <row r="3292">
      <c r="A3292" t="inlineStr">
        <is>
          <t>CAR</t>
        </is>
      </c>
      <c r="B3292" t="n">
        <v>1</v>
      </c>
    </row>
    <row r="3293">
      <c r="A3293" t="inlineStr">
        <is>
          <t>RATE-PRESSURE PRODUCT</t>
        </is>
      </c>
      <c r="B3293" t="n">
        <v>1</v>
      </c>
    </row>
    <row r="3294">
      <c r="A3294" t="inlineStr">
        <is>
          <t>MOOD PROFILE</t>
        </is>
      </c>
      <c r="B3294" t="n">
        <v>1</v>
      </c>
    </row>
    <row r="3295">
      <c r="A3295" t="inlineStr">
        <is>
          <t>COPING STRATEGIES</t>
        </is>
      </c>
      <c r="B3295" t="n">
        <v>1</v>
      </c>
    </row>
    <row r="3296">
      <c r="A3296" t="inlineStr">
        <is>
          <t>PSYCHOLOGICAL INTERVENTIONS</t>
        </is>
      </c>
      <c r="B3296" t="n">
        <v>1</v>
      </c>
    </row>
    <row r="3297">
      <c r="A3297" t="inlineStr">
        <is>
          <t>DEMENTIA CAREGIVERS</t>
        </is>
      </c>
      <c r="B3297" t="n">
        <v>1</v>
      </c>
    </row>
    <row r="3298">
      <c r="A3298" t="inlineStr">
        <is>
          <t>PREVENTION PROGRAM</t>
        </is>
      </c>
      <c r="B3298" t="n">
        <v>1</v>
      </c>
    </row>
    <row r="3299">
      <c r="A3299" t="inlineStr">
        <is>
          <t>TAI CHI</t>
        </is>
      </c>
      <c r="B3299" t="n">
        <v>1</v>
      </c>
    </row>
    <row r="3300">
      <c r="A3300" t="inlineStr">
        <is>
          <t>COGNITION</t>
        </is>
      </c>
      <c r="B3300" t="n">
        <v>1</v>
      </c>
    </row>
    <row r="3301">
      <c r="A3301" t="inlineStr">
        <is>
          <t>EXPECTANCY</t>
        </is>
      </c>
      <c r="B3301" t="n">
        <v>1</v>
      </c>
    </row>
    <row r="3302">
      <c r="A3302" t="inlineStr">
        <is>
          <t>SOCIAL GERONTOLOGY</t>
        </is>
      </c>
      <c r="B3302" t="n">
        <v>1</v>
      </c>
    </row>
    <row r="3303">
      <c r="A3303" t="inlineStr">
        <is>
          <t>PRECIPITATION</t>
        </is>
      </c>
      <c r="B3303" t="n">
        <v>1</v>
      </c>
    </row>
    <row r="3304">
      <c r="A3304" t="inlineStr">
        <is>
          <t>HEALTH-CARE COSTS</t>
        </is>
      </c>
      <c r="B3304" t="n">
        <v>1</v>
      </c>
    </row>
    <row r="3305">
      <c r="A3305" t="inlineStr">
        <is>
          <t>ENVIRONMENTAL DETERMINANTS</t>
        </is>
      </c>
      <c r="B3305" t="n">
        <v>1</v>
      </c>
    </row>
    <row r="3306">
      <c r="A3306" t="inlineStr">
        <is>
          <t>CHALLENGE</t>
        </is>
      </c>
      <c r="B3306" t="n">
        <v>1</v>
      </c>
    </row>
    <row r="3307">
      <c r="A3307" t="inlineStr">
        <is>
          <t>HEALTH-CARE NEEDS</t>
        </is>
      </c>
      <c r="B3307" t="n">
        <v>1</v>
      </c>
    </row>
    <row r="3308">
      <c r="A3308" t="inlineStr">
        <is>
          <t>MULTICRITERIA DECISION-ANALYSIS</t>
        </is>
      </c>
      <c r="B3308" t="n">
        <v>1</v>
      </c>
    </row>
    <row r="3309">
      <c r="A3309" t="inlineStr">
        <is>
          <t>PEOPLES</t>
        </is>
      </c>
      <c r="B3309" t="n">
        <v>1</v>
      </c>
    </row>
    <row r="3310">
      <c r="A3310" t="inlineStr">
        <is>
          <t>COUNTRY</t>
        </is>
      </c>
      <c r="B3310" t="n">
        <v>1</v>
      </c>
    </row>
    <row r="3311">
      <c r="A3311" t="inlineStr">
        <is>
          <t>MULTICOLLINEARITY</t>
        </is>
      </c>
      <c r="B3311" t="n">
        <v>1</v>
      </c>
    </row>
    <row r="3312">
      <c r="A3312" t="inlineStr">
        <is>
          <t>SERUM-ALBUMIN</t>
        </is>
      </c>
      <c r="B3312" t="n">
        <v>1</v>
      </c>
    </row>
    <row r="3313">
      <c r="A3313" t="inlineStr">
        <is>
          <t>INFLAMMATORY MARKERS</t>
        </is>
      </c>
      <c r="B3313" t="n">
        <v>2</v>
      </c>
    </row>
    <row r="3314">
      <c r="A3314" t="inlineStr">
        <is>
          <t>COUNT</t>
        </is>
      </c>
      <c r="B3314" t="n">
        <v>1</v>
      </c>
    </row>
    <row r="3315">
      <c r="A3315" t="inlineStr">
        <is>
          <t>CARDIAC AUTONOMIC FUNCTION</t>
        </is>
      </c>
      <c r="B3315" t="n">
        <v>1</v>
      </c>
    </row>
    <row r="3316">
      <c r="A3316" t="inlineStr">
        <is>
          <t>CORONARY-ARTERY-DISEASE</t>
        </is>
      </c>
      <c r="B3316" t="n">
        <v>1</v>
      </c>
    </row>
    <row r="3317">
      <c r="A3317" t="inlineStr">
        <is>
          <t>CARDIOVASCULAR HEALTH</t>
        </is>
      </c>
      <c r="B3317" t="n">
        <v>2</v>
      </c>
    </row>
    <row r="3318">
      <c r="A3318" t="inlineStr">
        <is>
          <t>AMBIENT ULTRAFINE</t>
        </is>
      </c>
      <c r="B3318" t="n">
        <v>1</v>
      </c>
    </row>
    <row r="3319">
      <c r="A3319" t="inlineStr">
        <is>
          <t>ACCUMULATION-MODE</t>
        </is>
      </c>
      <c r="B3319" t="n">
        <v>1</v>
      </c>
    </row>
    <row r="3320">
      <c r="A3320" t="inlineStr">
        <is>
          <t>INHALATION</t>
        </is>
      </c>
      <c r="B3320" t="n">
        <v>1</v>
      </c>
    </row>
    <row r="3321">
      <c r="A3321" t="inlineStr">
        <is>
          <t>GUANGZHOU</t>
        </is>
      </c>
      <c r="B3321" t="n">
        <v>2</v>
      </c>
    </row>
    <row r="3322">
      <c r="A3322" t="inlineStr">
        <is>
          <t>REGRESSION-MODELS</t>
        </is>
      </c>
      <c r="B3322" t="n">
        <v>1</v>
      </c>
    </row>
    <row r="3323">
      <c r="A3323" t="inlineStr">
        <is>
          <t>WIND ENERGY</t>
        </is>
      </c>
      <c r="B3323" t="n">
        <v>1</v>
      </c>
    </row>
    <row r="3324">
      <c r="A3324" t="inlineStr">
        <is>
          <t>CONVERSION</t>
        </is>
      </c>
      <c r="B3324" t="n">
        <v>1</v>
      </c>
    </row>
    <row r="3325">
      <c r="A3325" t="inlineStr">
        <is>
          <t>VICINITY</t>
        </is>
      </c>
      <c r="B3325" t="n">
        <v>1</v>
      </c>
    </row>
    <row r="3326">
      <c r="A3326" t="inlineStr">
        <is>
          <t>NICOTINE</t>
        </is>
      </c>
      <c r="B3326" t="n">
        <v>1</v>
      </c>
    </row>
    <row r="3327">
      <c r="A3327" t="inlineStr">
        <is>
          <t>SHISHA</t>
        </is>
      </c>
      <c r="B3327" t="n">
        <v>1</v>
      </c>
    </row>
    <row r="3328">
      <c r="A3328" t="inlineStr">
        <is>
          <t>BTEX</t>
        </is>
      </c>
      <c r="B3328" t="n">
        <v>1</v>
      </c>
    </row>
    <row r="3329">
      <c r="A3329" t="inlineStr">
        <is>
          <t>CO</t>
        </is>
      </c>
      <c r="B3329" t="n">
        <v>1</v>
      </c>
    </row>
    <row r="3330">
      <c r="A3330" t="inlineStr">
        <is>
          <t>SPREAD</t>
        </is>
      </c>
      <c r="B3330" t="n">
        <v>2</v>
      </c>
    </row>
    <row r="3331">
      <c r="A3331" t="inlineStr">
        <is>
          <t>NATIONAL SAMPLE</t>
        </is>
      </c>
      <c r="B3331" t="n">
        <v>1</v>
      </c>
    </row>
    <row r="3332">
      <c r="A3332" t="inlineStr">
        <is>
          <t>AGED 85 YEARS</t>
        </is>
      </c>
      <c r="B3332" t="n">
        <v>1</v>
      </c>
    </row>
    <row r="3333">
      <c r="A3333" t="inlineStr">
        <is>
          <t>SUICIDE IDEATION</t>
        </is>
      </c>
      <c r="B3333" t="n">
        <v>1</v>
      </c>
    </row>
    <row r="3334">
      <c r="A3334" t="inlineStr">
        <is>
          <t>ENGAGEMENT TEST</t>
        </is>
      </c>
      <c r="B3334" t="n">
        <v>1</v>
      </c>
    </row>
    <row r="3335">
      <c r="A3335" t="inlineStr">
        <is>
          <t>REDUCED RISK</t>
        </is>
      </c>
      <c r="B3335" t="n">
        <v>1</v>
      </c>
    </row>
    <row r="3336">
      <c r="A3336" t="inlineStr">
        <is>
          <t>PHOSPHORYLATION</t>
        </is>
      </c>
      <c r="B3336" t="n">
        <v>1</v>
      </c>
    </row>
    <row r="3337">
      <c r="A3337" t="inlineStr">
        <is>
          <t>GAS-EXCHANGE</t>
        </is>
      </c>
      <c r="B3337" t="n">
        <v>1</v>
      </c>
    </row>
    <row r="3338">
      <c r="A3338" t="inlineStr">
        <is>
          <t>COEFFICIENTS</t>
        </is>
      </c>
      <c r="B3338" t="n">
        <v>1</v>
      </c>
    </row>
    <row r="3339">
      <c r="A3339" t="inlineStr">
        <is>
          <t>HEADSPACE</t>
        </is>
      </c>
      <c r="B3339" t="n">
        <v>1</v>
      </c>
    </row>
    <row r="3340">
      <c r="A3340" t="inlineStr">
        <is>
          <t>1-OCTEN-3-OL</t>
        </is>
      </c>
      <c r="B3340" t="n">
        <v>1</v>
      </c>
    </row>
    <row r="3341">
      <c r="A3341" t="inlineStr">
        <is>
          <t>ADSORPTION</t>
        </is>
      </c>
      <c r="B3341" t="n">
        <v>2</v>
      </c>
    </row>
    <row r="3342">
      <c r="A3342" t="inlineStr">
        <is>
          <t>CONGENERS</t>
        </is>
      </c>
      <c r="B3342" t="n">
        <v>1</v>
      </c>
    </row>
    <row r="3343">
      <c r="A3343" t="inlineStr">
        <is>
          <t>MATERIAL STOCKS</t>
        </is>
      </c>
      <c r="B3343" t="n">
        <v>1</v>
      </c>
    </row>
    <row r="3344">
      <c r="A3344" t="inlineStr">
        <is>
          <t>SOCIAL-COMMUNICATION</t>
        </is>
      </c>
      <c r="B3344" t="n">
        <v>1</v>
      </c>
    </row>
    <row r="3345">
      <c r="A3345" t="inlineStr">
        <is>
          <t>YOUNG-CHILDREN</t>
        </is>
      </c>
      <c r="B3345" t="n">
        <v>1</v>
      </c>
    </row>
    <row r="3346">
      <c r="A3346" t="inlineStr">
        <is>
          <t>AUTISM</t>
        </is>
      </c>
      <c r="B3346" t="n">
        <v>1</v>
      </c>
    </row>
    <row r="3347">
      <c r="A3347" t="inlineStr">
        <is>
          <t>PEDRO SCALE</t>
        </is>
      </c>
      <c r="B3347" t="n">
        <v>1</v>
      </c>
    </row>
    <row r="3348">
      <c r="A3348" t="inlineStr">
        <is>
          <t>METHODOLOGICAL QUALITY</t>
        </is>
      </c>
      <c r="B3348" t="n">
        <v>1</v>
      </c>
    </row>
    <row r="3349">
      <c r="A3349" t="inlineStr">
        <is>
          <t>INTERFERENCE CONTROL</t>
        </is>
      </c>
      <c r="B3349" t="n">
        <v>1</v>
      </c>
    </row>
    <row r="3350">
      <c r="A3350" t="inlineStr">
        <is>
          <t>CHILDRENS COGNITION</t>
        </is>
      </c>
      <c r="B3350" t="n">
        <v>1</v>
      </c>
    </row>
    <row r="3351">
      <c r="A3351" t="inlineStr">
        <is>
          <t>BRAIN PLASTICITY</t>
        </is>
      </c>
      <c r="B3351" t="n">
        <v>1</v>
      </c>
    </row>
    <row r="3352">
      <c r="A3352" t="inlineStr">
        <is>
          <t>MOTOR CONTROL</t>
        </is>
      </c>
      <c r="B3352" t="n">
        <v>1</v>
      </c>
    </row>
    <row r="3353">
      <c r="A3353" t="inlineStr">
        <is>
          <t>RESISTANCE EXERCISE</t>
        </is>
      </c>
      <c r="B3353" t="n">
        <v>1</v>
      </c>
    </row>
    <row r="3354">
      <c r="A3354" t="inlineStr">
        <is>
          <t>VENOUS COMPLIANCE</t>
        </is>
      </c>
      <c r="B3354" t="n">
        <v>1</v>
      </c>
    </row>
    <row r="3355">
      <c r="A3355" t="inlineStr">
        <is>
          <t>MUSCLE METABOREFLEX</t>
        </is>
      </c>
      <c r="B3355" t="n">
        <v>1</v>
      </c>
    </row>
    <row r="3356">
      <c r="A3356" t="inlineStr">
        <is>
          <t>CARDIAC-OUTPUT</t>
        </is>
      </c>
      <c r="B3356" t="n">
        <v>1</v>
      </c>
    </row>
    <row r="3357">
      <c r="A3357" t="inlineStr">
        <is>
          <t>PRESSURE</t>
        </is>
      </c>
      <c r="B3357" t="n">
        <v>2</v>
      </c>
    </row>
    <row r="3358">
      <c r="A3358" t="inlineStr">
        <is>
          <t>ADAPTATIONS</t>
        </is>
      </c>
      <c r="B3358" t="n">
        <v>1</v>
      </c>
    </row>
    <row r="3359">
      <c r="A3359" t="inlineStr">
        <is>
          <t>SEASONAL CORRECTION FACTORS</t>
        </is>
      </c>
      <c r="B3359" t="n">
        <v>1</v>
      </c>
    </row>
    <row r="3360">
      <c r="A3360" t="inlineStr">
        <is>
          <t>DOMESTIC RADON</t>
        </is>
      </c>
      <c r="B3360" t="n">
        <v>1</v>
      </c>
    </row>
    <row r="3361">
      <c r="A3361" t="inlineStr">
        <is>
          <t>NORTHAMPTONSHIRE</t>
        </is>
      </c>
      <c r="B3361" t="n">
        <v>1</v>
      </c>
    </row>
    <row r="3362">
      <c r="A3362" t="inlineStr">
        <is>
          <t>DISPOSITIONAL MINDFULNESS</t>
        </is>
      </c>
      <c r="B3362" t="n">
        <v>1</v>
      </c>
    </row>
    <row r="3363">
      <c r="A3363" t="inlineStr">
        <is>
          <t>PSYCHOLOGICAL HEALTH</t>
        </is>
      </c>
      <c r="B3363" t="n">
        <v>1</v>
      </c>
    </row>
    <row r="3364">
      <c r="A3364" t="inlineStr">
        <is>
          <t>INTERNATIONAL CLASSIFICATION</t>
        </is>
      </c>
      <c r="B3364" t="n">
        <v>1</v>
      </c>
    </row>
    <row r="3365">
      <c r="A3365" t="inlineStr">
        <is>
          <t>INTUITIVE DESCRIPTIONS</t>
        </is>
      </c>
      <c r="B3365" t="n">
        <v>1</v>
      </c>
    </row>
    <row r="3366">
      <c r="A3366" t="inlineStr">
        <is>
          <t>HOSPITALIZATION</t>
        </is>
      </c>
      <c r="B3366" t="n">
        <v>1</v>
      </c>
    </row>
    <row r="3367">
      <c r="A3367" t="inlineStr">
        <is>
          <t>SPEECH RECOGNITION</t>
        </is>
      </c>
      <c r="B3367" t="n">
        <v>1</v>
      </c>
    </row>
    <row r="3368">
      <c r="A3368" t="inlineStr">
        <is>
          <t>SOUND-DEPRIVATION</t>
        </is>
      </c>
      <c r="B3368" t="n">
        <v>1</v>
      </c>
    </row>
    <row r="3369">
      <c r="A3369" t="inlineStr">
        <is>
          <t>NORMATIVE DATA</t>
        </is>
      </c>
      <c r="B3369" t="n">
        <v>1</v>
      </c>
    </row>
    <row r="3370">
      <c r="A3370" t="inlineStr">
        <is>
          <t>SKILLS</t>
        </is>
      </c>
      <c r="B3370" t="n">
        <v>1</v>
      </c>
    </row>
    <row r="3371">
      <c r="A3371" t="inlineStr">
        <is>
          <t>FRIENDSHIP</t>
        </is>
      </c>
      <c r="B3371" t="n">
        <v>1</v>
      </c>
    </row>
    <row r="3372">
      <c r="A3372" t="inlineStr">
        <is>
          <t>MEASURE BUILT ENVIRONMENTS</t>
        </is>
      </c>
      <c r="B3372" t="n">
        <v>1</v>
      </c>
    </row>
    <row r="3373">
      <c r="A3373" t="inlineStr">
        <is>
          <t>RECREATIONAL FACILITIES</t>
        </is>
      </c>
      <c r="B3373" t="n">
        <v>1</v>
      </c>
    </row>
    <row r="3374">
      <c r="A3374" t="inlineStr">
        <is>
          <t>YOUNG</t>
        </is>
      </c>
      <c r="B3374" t="n">
        <v>2</v>
      </c>
    </row>
    <row r="3375">
      <c r="A3375" t="inlineStr">
        <is>
          <t>COMPENDIUM</t>
        </is>
      </c>
      <c r="B3375" t="n">
        <v>1</v>
      </c>
    </row>
    <row r="3376">
      <c r="A3376" t="inlineStr">
        <is>
          <t>BLOCKCHAIN TECHNOLOGY</t>
        </is>
      </c>
      <c r="B3376" t="n">
        <v>1</v>
      </c>
    </row>
    <row r="3377">
      <c r="A3377" t="inlineStr">
        <is>
          <t>SMART CONTRACTS</t>
        </is>
      </c>
      <c r="B3377" t="n">
        <v>1</v>
      </c>
    </row>
    <row r="3378">
      <c r="A3378" t="inlineStr">
        <is>
          <t>SOFTWARE</t>
        </is>
      </c>
      <c r="B3378" t="n">
        <v>1</v>
      </c>
    </row>
    <row r="3379">
      <c r="A3379" t="inlineStr">
        <is>
          <t>BEHAVIORAL-DEVELOPMENT</t>
        </is>
      </c>
      <c r="B3379" t="n">
        <v>1</v>
      </c>
    </row>
    <row r="3380">
      <c r="A3380" t="inlineStr">
        <is>
          <t>EMOTIONAL SUPPRESSION</t>
        </is>
      </c>
      <c r="B3380" t="n">
        <v>1</v>
      </c>
    </row>
    <row r="3381">
      <c r="A3381" t="inlineStr">
        <is>
          <t>MASCULINITY</t>
        </is>
      </c>
      <c r="B3381" t="n">
        <v>1</v>
      </c>
    </row>
    <row r="3382">
      <c r="A3382" t="inlineStr">
        <is>
          <t>LOW-INCOME HOMES</t>
        </is>
      </c>
      <c r="B3382" t="n">
        <v>1</v>
      </c>
    </row>
    <row r="3383">
      <c r="A3383" t="inlineStr">
        <is>
          <t>BUILDING CHARACTERISTICS</t>
        </is>
      </c>
      <c r="B3383" t="n">
        <v>2</v>
      </c>
    </row>
    <row r="3384">
      <c r="A3384" t="inlineStr">
        <is>
          <t>ALLERGIC SYMPTOMS</t>
        </is>
      </c>
      <c r="B3384" t="n">
        <v>1</v>
      </c>
    </row>
    <row r="3385">
      <c r="A3385" t="inlineStr">
        <is>
          <t>E-CIGARETTE</t>
        </is>
      </c>
      <c r="B3385" t="n">
        <v>1</v>
      </c>
    </row>
    <row r="3386">
      <c r="A3386" t="inlineStr">
        <is>
          <t>QUASI-ULTRAFINE</t>
        </is>
      </c>
      <c r="B3386" t="n">
        <v>1</v>
      </c>
    </row>
    <row r="3387">
      <c r="A3387" t="inlineStr">
        <is>
          <t>PUMP INHIBITOR USE</t>
        </is>
      </c>
      <c r="B3387" t="n">
        <v>1</v>
      </c>
    </row>
    <row r="3388">
      <c r="A3388" t="inlineStr">
        <is>
          <t>DRUG UTILIZATION</t>
        </is>
      </c>
      <c r="B3388" t="n">
        <v>1</v>
      </c>
    </row>
    <row r="3389">
      <c r="A3389" t="inlineStr">
        <is>
          <t>FAILURES QUESTIONNAIRE</t>
        </is>
      </c>
      <c r="B3389" t="n">
        <v>1</v>
      </c>
    </row>
    <row r="3390">
      <c r="A3390" t="inlineStr">
        <is>
          <t>THERMAL CONDITIONS</t>
        </is>
      </c>
      <c r="B3390" t="n">
        <v>2</v>
      </c>
    </row>
    <row r="3391">
      <c r="A3391" t="inlineStr">
        <is>
          <t>EMERGENCY-DEPARTMENT VISITS</t>
        </is>
      </c>
      <c r="B3391" t="n">
        <v>1</v>
      </c>
    </row>
    <row r="3392">
      <c r="A3392" t="inlineStr">
        <is>
          <t>CORONARY-HEART-DISEASE</t>
        </is>
      </c>
      <c r="B3392" t="n">
        <v>1</v>
      </c>
    </row>
    <row r="3393">
      <c r="A3393" t="inlineStr">
        <is>
          <t>BRITISH-COLUMBIA</t>
        </is>
      </c>
      <c r="B3393" t="n">
        <v>1</v>
      </c>
    </row>
    <row r="3394">
      <c r="A3394" t="inlineStr">
        <is>
          <t>CASE-CROSSOVER</t>
        </is>
      </c>
      <c r="B3394" t="n">
        <v>1</v>
      </c>
    </row>
    <row r="3395">
      <c r="A3395" t="inlineStr">
        <is>
          <t>HIP FRACTURE</t>
        </is>
      </c>
      <c r="B3395" t="n">
        <v>4</v>
      </c>
    </row>
    <row r="3396">
      <c r="A3396" t="inlineStr">
        <is>
          <t>ILL WIND</t>
        </is>
      </c>
      <c r="B3396" t="n">
        <v>1</v>
      </c>
    </row>
    <row r="3397">
      <c r="A3397" t="inlineStr">
        <is>
          <t>EUROPEAN-UNION</t>
        </is>
      </c>
      <c r="B3397" t="n">
        <v>1</v>
      </c>
    </row>
    <row r="3398">
      <c r="A3398" t="inlineStr">
        <is>
          <t>SINGLE-BLIND</t>
        </is>
      </c>
      <c r="B3398" t="n">
        <v>1</v>
      </c>
    </row>
    <row r="3399">
      <c r="A3399" t="inlineStr">
        <is>
          <t>SUICIDAL-BEHAVIOR</t>
        </is>
      </c>
      <c r="B3399" t="n">
        <v>1</v>
      </c>
    </row>
    <row r="3400">
      <c r="A3400" t="inlineStr">
        <is>
          <t>SOCIAL-FACTORS</t>
        </is>
      </c>
      <c r="B3400" t="n">
        <v>1</v>
      </c>
    </row>
    <row r="3401">
      <c r="A3401" t="inlineStr">
        <is>
          <t>ECONOMIC COST</t>
        </is>
      </c>
      <c r="B3401" t="n">
        <v>1</v>
      </c>
    </row>
    <row r="3402">
      <c r="A3402" t="inlineStr">
        <is>
          <t>ATTEMPTERS</t>
        </is>
      </c>
      <c r="B3402" t="n">
        <v>1</v>
      </c>
    </row>
    <row r="3403">
      <c r="A3403" t="inlineStr">
        <is>
          <t>CES-D</t>
        </is>
      </c>
      <c r="B3403" t="n">
        <v>1</v>
      </c>
    </row>
    <row r="3404">
      <c r="A3404" t="inlineStr">
        <is>
          <t>SENSOR</t>
        </is>
      </c>
      <c r="B3404" t="n">
        <v>2</v>
      </c>
    </row>
    <row r="3405">
      <c r="A3405" t="inlineStr">
        <is>
          <t>HAZARDOUS AIRBORNE CARBONYLS</t>
        </is>
      </c>
      <c r="B3405" t="n">
        <v>1</v>
      </c>
    </row>
    <row r="3406">
      <c r="A3406" t="inlineStr">
        <is>
          <t>SOUTHERN CHINA</t>
        </is>
      </c>
      <c r="B3406" t="n">
        <v>1</v>
      </c>
    </row>
    <row r="3407">
      <c r="A3407" t="inlineStr">
        <is>
          <t>URBAN DIFFERENCES</t>
        </is>
      </c>
      <c r="B3407" t="n">
        <v>1</v>
      </c>
    </row>
    <row r="3408">
      <c r="A3408" t="inlineStr">
        <is>
          <t>CARE SERVICES</t>
        </is>
      </c>
      <c r="B3408" t="n">
        <v>1</v>
      </c>
    </row>
    <row r="3409">
      <c r="A3409" t="inlineStr">
        <is>
          <t>READABILITY</t>
        </is>
      </c>
      <c r="B3409" t="n">
        <v>1</v>
      </c>
    </row>
    <row r="3410">
      <c r="A3410" t="inlineStr">
        <is>
          <t>AFFORDABILITY</t>
        </is>
      </c>
      <c r="B3410" t="n">
        <v>1</v>
      </c>
    </row>
    <row r="3411">
      <c r="A3411" t="inlineStr">
        <is>
          <t>PERCEIVED BUILT ENVIRONMENT</t>
        </is>
      </c>
      <c r="B3411" t="n">
        <v>1</v>
      </c>
    </row>
    <row r="3412">
      <c r="A3412" t="inlineStr">
        <is>
          <t>PORTO-ALEGRE</t>
        </is>
      </c>
      <c r="B3412" t="n">
        <v>1</v>
      </c>
    </row>
    <row r="3413">
      <c r="A3413" t="inlineStr">
        <is>
          <t>SEXUAL ASSAULT</t>
        </is>
      </c>
      <c r="B3413" t="n">
        <v>1</v>
      </c>
    </row>
    <row r="3414">
      <c r="A3414" t="inlineStr">
        <is>
          <t>WOMENS FEAR</t>
        </is>
      </c>
      <c r="B3414" t="n">
        <v>1</v>
      </c>
    </row>
    <row r="3415">
      <c r="A3415" t="inlineStr">
        <is>
          <t>WASTE CLASSIFICATION</t>
        </is>
      </c>
      <c r="B3415" t="n">
        <v>1</v>
      </c>
    </row>
    <row r="3416">
      <c r="A3416" t="inlineStr">
        <is>
          <t>PARKING</t>
        </is>
      </c>
      <c r="B3416" t="n">
        <v>1</v>
      </c>
    </row>
    <row r="3417">
      <c r="A3417" t="inlineStr">
        <is>
          <t>INITIATED REACTIONS</t>
        </is>
      </c>
      <c r="B3417" t="n">
        <v>1</v>
      </c>
    </row>
    <row r="3418">
      <c r="A3418" t="inlineStr">
        <is>
          <t>BUILDING PRODUCTS</t>
        </is>
      </c>
      <c r="B3418" t="n">
        <v>1</v>
      </c>
    </row>
    <row r="3419">
      <c r="A3419" t="inlineStr">
        <is>
          <t>PARTICLE</t>
        </is>
      </c>
      <c r="B3419" t="n">
        <v>1</v>
      </c>
    </row>
    <row r="3420">
      <c r="A3420" t="inlineStr">
        <is>
          <t>FUNCTIONAL TOOTH UNITS</t>
        </is>
      </c>
      <c r="B3420" t="n">
        <v>1</v>
      </c>
    </row>
    <row r="3421">
      <c r="A3421" t="inlineStr">
        <is>
          <t>ABILITY</t>
        </is>
      </c>
      <c r="B3421" t="n">
        <v>2</v>
      </c>
    </row>
    <row r="3422">
      <c r="A3422" t="inlineStr">
        <is>
          <t>NATIONAL-SURVEY</t>
        </is>
      </c>
      <c r="B3422" t="n">
        <v>1</v>
      </c>
    </row>
    <row r="3423">
      <c r="A3423" t="inlineStr">
        <is>
          <t>BELGIAN ADULTS</t>
        </is>
      </c>
      <c r="B3423" t="n">
        <v>1</v>
      </c>
    </row>
    <row r="3424">
      <c r="A3424" t="inlineStr">
        <is>
          <t>SUCCESS</t>
        </is>
      </c>
      <c r="B3424" t="n">
        <v>1</v>
      </c>
    </row>
    <row r="3425">
      <c r="A3425" t="inlineStr">
        <is>
          <t>SPATIOTEMPORAL CLUSTERS</t>
        </is>
      </c>
      <c r="B3425" t="n">
        <v>1</v>
      </c>
    </row>
    <row r="3426">
      <c r="A3426" t="inlineStr">
        <is>
          <t>INFECTIOUS-DISEASES</t>
        </is>
      </c>
      <c r="B3426" t="n">
        <v>1</v>
      </c>
    </row>
    <row r="3427">
      <c r="A3427" t="inlineStr">
        <is>
          <t>FEVER</t>
        </is>
      </c>
      <c r="B3427" t="n">
        <v>1</v>
      </c>
    </row>
    <row r="3428">
      <c r="A3428" t="inlineStr">
        <is>
          <t>SUBJECTIVE MEMORY COMPLAINTS</t>
        </is>
      </c>
      <c r="B3428" t="n">
        <v>1</v>
      </c>
    </row>
    <row r="3429">
      <c r="A3429" t="inlineStr">
        <is>
          <t>TIES</t>
        </is>
      </c>
      <c r="B3429" t="n">
        <v>1</v>
      </c>
    </row>
    <row r="3430">
      <c r="A3430" t="inlineStr">
        <is>
          <t>FINE ORGANIC AEROSOL</t>
        </is>
      </c>
      <c r="B3430" t="n">
        <v>1</v>
      </c>
    </row>
    <row r="3431">
      <c r="A3431" t="inlineStr">
        <is>
          <t>URBAN ATMOSPHERE</t>
        </is>
      </c>
      <c r="B3431" t="n">
        <v>1</v>
      </c>
    </row>
    <row r="3432">
      <c r="A3432" t="inlineStr">
        <is>
          <t>SURFACE SOIL</t>
        </is>
      </c>
      <c r="B3432" t="n">
        <v>1</v>
      </c>
    </row>
    <row r="3433">
      <c r="A3433" t="inlineStr">
        <is>
          <t>FUNGAL AEROSOLS</t>
        </is>
      </c>
      <c r="B3433" t="n">
        <v>1</v>
      </c>
    </row>
    <row r="3434">
      <c r="A3434" t="inlineStr">
        <is>
          <t>POLAND</t>
        </is>
      </c>
      <c r="B3434" t="n">
        <v>1</v>
      </c>
    </row>
    <row r="3435">
      <c r="A3435" t="inlineStr">
        <is>
          <t>OGUN STATE</t>
        </is>
      </c>
      <c r="B3435" t="n">
        <v>2</v>
      </c>
    </row>
    <row r="3436">
      <c r="A3436" t="inlineStr">
        <is>
          <t>ASSESSMENT WHOQOL</t>
        </is>
      </c>
      <c r="B3436" t="n">
        <v>1</v>
      </c>
    </row>
    <row r="3437">
      <c r="A3437" t="inlineStr">
        <is>
          <t>INDIVIDUAL-DIFFERENCES</t>
        </is>
      </c>
      <c r="B3437" t="n">
        <v>1</v>
      </c>
    </row>
    <row r="3438">
      <c r="A3438" t="inlineStr">
        <is>
          <t>AROUSAL</t>
        </is>
      </c>
      <c r="B3438" t="n">
        <v>1</v>
      </c>
    </row>
    <row r="3439">
      <c r="A3439" t="inlineStr">
        <is>
          <t>PLEASURE</t>
        </is>
      </c>
      <c r="B3439" t="n">
        <v>1</v>
      </c>
    </row>
    <row r="3440">
      <c r="A3440" t="inlineStr">
        <is>
          <t>VALENCE</t>
        </is>
      </c>
      <c r="B3440" t="n">
        <v>1</v>
      </c>
    </row>
    <row r="3441">
      <c r="A3441" t="inlineStr">
        <is>
          <t>DOMINANCE</t>
        </is>
      </c>
      <c r="B3441" t="n">
        <v>1</v>
      </c>
    </row>
    <row r="3442">
      <c r="A3442" t="inlineStr">
        <is>
          <t>INDOOR RADON</t>
        </is>
      </c>
      <c r="B3442" t="n">
        <v>1</v>
      </c>
    </row>
    <row r="3443">
      <c r="A3443" t="inlineStr">
        <is>
          <t>WORLD-TRADE-CENTER</t>
        </is>
      </c>
      <c r="B3443" t="n">
        <v>1</v>
      </c>
    </row>
    <row r="3444">
      <c r="A3444" t="inlineStr">
        <is>
          <t>PTSD SYMPTOMS</t>
        </is>
      </c>
      <c r="B3444" t="n">
        <v>1</v>
      </c>
    </row>
    <row r="3445">
      <c r="A3445" t="inlineStr">
        <is>
          <t>NEW-YORK</t>
        </is>
      </c>
      <c r="B3445" t="n">
        <v>1</v>
      </c>
    </row>
    <row r="3446">
      <c r="A3446" t="inlineStr">
        <is>
          <t>VEHICLE EMISSIONS</t>
        </is>
      </c>
      <c r="B3446" t="n">
        <v>1</v>
      </c>
    </row>
    <row r="3447">
      <c r="A3447" t="inlineStr">
        <is>
          <t>ELEMENT</t>
        </is>
      </c>
      <c r="B3447" t="n">
        <v>1</v>
      </c>
    </row>
    <row r="3448">
      <c r="A3448" t="inlineStr">
        <is>
          <t>ENERGY-EFFICIENCY</t>
        </is>
      </c>
      <c r="B3448" t="n">
        <v>1</v>
      </c>
    </row>
    <row r="3449">
      <c r="A3449" t="inlineStr">
        <is>
          <t>ECONOMICS</t>
        </is>
      </c>
      <c r="B3449" t="n">
        <v>1</v>
      </c>
    </row>
    <row r="3450">
      <c r="A3450" t="inlineStr">
        <is>
          <t>COMPETITION</t>
        </is>
      </c>
      <c r="B3450" t="n">
        <v>1</v>
      </c>
    </row>
    <row r="3451">
      <c r="A3451" t="inlineStr">
        <is>
          <t>GREEN MARKETING-STRATEGY</t>
        </is>
      </c>
      <c r="B3451" t="n">
        <v>1</v>
      </c>
    </row>
    <row r="3452">
      <c r="A3452" t="inlineStr">
        <is>
          <t>FIRM PERFORMANCE</t>
        </is>
      </c>
      <c r="B3452" t="n">
        <v>1</v>
      </c>
    </row>
    <row r="3453">
      <c r="A3453" t="inlineStr">
        <is>
          <t>CAPABILITY</t>
        </is>
      </c>
      <c r="B3453" t="n">
        <v>2</v>
      </c>
    </row>
    <row r="3454">
      <c r="A3454" t="inlineStr">
        <is>
          <t>CFA</t>
        </is>
      </c>
      <c r="B3454" t="n">
        <v>1</v>
      </c>
    </row>
    <row r="3455">
      <c r="A3455" t="inlineStr">
        <is>
          <t>RESOURCE GENERATOR</t>
        </is>
      </c>
      <c r="B3455" t="n">
        <v>1</v>
      </c>
    </row>
    <row r="3456">
      <c r="A3456" t="inlineStr">
        <is>
          <t>CINNAMON OIL</t>
        </is>
      </c>
      <c r="B3456" t="n">
        <v>1</v>
      </c>
    </row>
    <row r="3457">
      <c r="A3457" t="inlineStr">
        <is>
          <t>CLOVE OIL</t>
        </is>
      </c>
      <c r="B3457" t="n">
        <v>1</v>
      </c>
    </row>
    <row r="3458">
      <c r="A3458" t="inlineStr">
        <is>
          <t>IN-VITRO</t>
        </is>
      </c>
      <c r="B3458" t="n">
        <v>1</v>
      </c>
    </row>
    <row r="3459">
      <c r="A3459" t="inlineStr">
        <is>
          <t>AGENTS</t>
        </is>
      </c>
      <c r="B3459" t="n">
        <v>2</v>
      </c>
    </row>
    <row r="3460">
      <c r="A3460" t="inlineStr">
        <is>
          <t>DISINFECTANTS</t>
        </is>
      </c>
      <c r="B3460" t="n">
        <v>1</v>
      </c>
    </row>
    <row r="3461">
      <c r="A3461" t="inlineStr">
        <is>
          <t>AROMATICUM</t>
        </is>
      </c>
      <c r="B3461" t="n">
        <v>1</v>
      </c>
    </row>
    <row r="3462">
      <c r="A3462" t="inlineStr">
        <is>
          <t>DAILY TRAVEL</t>
        </is>
      </c>
      <c r="B3462" t="n">
        <v>1</v>
      </c>
    </row>
    <row r="3463">
      <c r="A3463" t="inlineStr">
        <is>
          <t>HANGZHOU METROPOLITAN-AREA</t>
        </is>
      </c>
      <c r="B3463" t="n">
        <v>1</v>
      </c>
    </row>
    <row r="3464">
      <c r="A3464" t="inlineStr">
        <is>
          <t>STORE ENVIRONMENT</t>
        </is>
      </c>
      <c r="B3464" t="n">
        <v>1</v>
      </c>
    </row>
    <row r="3465">
      <c r="A3465" t="inlineStr">
        <is>
          <t>PERCEIVED VALUE</t>
        </is>
      </c>
      <c r="B3465" t="n">
        <v>2</v>
      </c>
    </row>
    <row r="3466">
      <c r="A3466" t="inlineStr">
        <is>
          <t>PREDICTING EMISSIONS</t>
        </is>
      </c>
      <c r="B3466" t="n">
        <v>1</v>
      </c>
    </row>
    <row r="3467">
      <c r="A3467" t="inlineStr">
        <is>
          <t>MOBILE PHONES</t>
        </is>
      </c>
      <c r="B3467" t="n">
        <v>1</v>
      </c>
    </row>
    <row r="3468">
      <c r="A3468" t="inlineStr">
        <is>
          <t>PHTHALATE</t>
        </is>
      </c>
      <c r="B3468" t="n">
        <v>1</v>
      </c>
    </row>
    <row r="3469">
      <c r="A3469" t="inlineStr">
        <is>
          <t>SUBSTANCES</t>
        </is>
      </c>
      <c r="B3469" t="n">
        <v>1</v>
      </c>
    </row>
    <row r="3470">
      <c r="A3470" t="inlineStr">
        <is>
          <t>GC-MS ANALYSIS</t>
        </is>
      </c>
      <c r="B3470" t="n">
        <v>1</v>
      </c>
    </row>
    <row r="3471">
      <c r="A3471" t="inlineStr">
        <is>
          <t>ACID ESTERS</t>
        </is>
      </c>
      <c r="B3471" t="n">
        <v>2</v>
      </c>
    </row>
    <row r="3472">
      <c r="A3472" t="inlineStr">
        <is>
          <t>SUBTROPICAL CITY</t>
        </is>
      </c>
      <c r="B3472" t="n">
        <v>1</v>
      </c>
    </row>
    <row r="3473">
      <c r="A3473" t="inlineStr">
        <is>
          <t>URBAN SOILS</t>
        </is>
      </c>
      <c r="B3473" t="n">
        <v>1</v>
      </c>
    </row>
    <row r="3474">
      <c r="A3474" t="inlineStr">
        <is>
          <t>DRIVING CESSATION</t>
        </is>
      </c>
      <c r="B3474" t="n">
        <v>1</v>
      </c>
    </row>
    <row r="3475">
      <c r="A3475" t="inlineStr">
        <is>
          <t>TRANSIT RIDERSHIP</t>
        </is>
      </c>
      <c r="B3475" t="n">
        <v>1</v>
      </c>
    </row>
    <row r="3476">
      <c r="A3476" t="inlineStr">
        <is>
          <t>TRIP</t>
        </is>
      </c>
      <c r="B3476" t="n">
        <v>1</v>
      </c>
    </row>
    <row r="3477">
      <c r="A3477" t="inlineStr">
        <is>
          <t>PRESCHOOLERS</t>
        </is>
      </c>
      <c r="B3477" t="n">
        <v>1</v>
      </c>
    </row>
    <row r="3478">
      <c r="A3478" t="inlineStr">
        <is>
          <t>NITROGEN-DIOXIDE EXPOSURE</t>
        </is>
      </c>
      <c r="B3478" t="n">
        <v>1</v>
      </c>
    </row>
    <row r="3479">
      <c r="A3479" t="inlineStr">
        <is>
          <t>MITIGATION MEASURES</t>
        </is>
      </c>
      <c r="B3479" t="n">
        <v>1</v>
      </c>
    </row>
    <row r="3480">
      <c r="A3480" t="inlineStr">
        <is>
          <t>PREPAREDNESS</t>
        </is>
      </c>
      <c r="B3480" t="n">
        <v>1</v>
      </c>
    </row>
    <row r="3481">
      <c r="A3481" t="inlineStr">
        <is>
          <t>METAPHOR</t>
        </is>
      </c>
      <c r="B3481" t="n">
        <v>1</v>
      </c>
    </row>
    <row r="3482">
      <c r="A3482" t="inlineStr">
        <is>
          <t>STRUCTURAL RACISM</t>
        </is>
      </c>
      <c r="B3482" t="n">
        <v>1</v>
      </c>
    </row>
    <row r="3483">
      <c r="A3483" t="inlineStr">
        <is>
          <t>INTERNET USE</t>
        </is>
      </c>
      <c r="B3483" t="n">
        <v>1</v>
      </c>
    </row>
    <row r="3484">
      <c r="A3484" t="inlineStr">
        <is>
          <t>E-GOVERNMENT</t>
        </is>
      </c>
      <c r="B3484" t="n">
        <v>1</v>
      </c>
    </row>
    <row r="3485">
      <c r="A3485" t="inlineStr">
        <is>
          <t>FACILITATING CONDITIONS</t>
        </is>
      </c>
      <c r="B3485" t="n">
        <v>1</v>
      </c>
    </row>
    <row r="3486">
      <c r="A3486" t="inlineStr">
        <is>
          <t>MODERATING ROLE</t>
        </is>
      </c>
      <c r="B3486" t="n">
        <v>1</v>
      </c>
    </row>
    <row r="3487">
      <c r="A3487" t="inlineStr">
        <is>
          <t>PHYSICAL PERFORMANCE BATTERY</t>
        </is>
      </c>
      <c r="B3487" t="n">
        <v>1</v>
      </c>
    </row>
    <row r="3488">
      <c r="A3488" t="inlineStr">
        <is>
          <t>EXAMINATION SURVEY NHANES</t>
        </is>
      </c>
      <c r="B3488" t="n">
        <v>1</v>
      </c>
    </row>
    <row r="3489">
      <c r="A3489" t="inlineStr">
        <is>
          <t>LATE-LIFE DISABILITY</t>
        </is>
      </c>
      <c r="B3489" t="n">
        <v>1</v>
      </c>
    </row>
    <row r="3490">
      <c r="A3490" t="inlineStr">
        <is>
          <t>PHYSICAL PERFORMANCE</t>
        </is>
      </c>
      <c r="B3490" t="n">
        <v>1</v>
      </c>
    </row>
    <row r="3491">
      <c r="A3491" t="inlineStr">
        <is>
          <t>WEIGHTED REGRESSION</t>
        </is>
      </c>
      <c r="B3491" t="n">
        <v>1</v>
      </c>
    </row>
    <row r="3492">
      <c r="A3492" t="inlineStr">
        <is>
          <t>PROGRESS</t>
        </is>
      </c>
      <c r="B3492" t="n">
        <v>1</v>
      </c>
    </row>
    <row r="3493">
      <c r="A3493" t="inlineStr">
        <is>
          <t>ROAD</t>
        </is>
      </c>
      <c r="B3493" t="n">
        <v>1</v>
      </c>
    </row>
    <row r="3494">
      <c r="A3494" t="inlineStr">
        <is>
          <t>FLOW-RATES</t>
        </is>
      </c>
      <c r="B3494" t="n">
        <v>1</v>
      </c>
    </row>
    <row r="3495">
      <c r="A3495" t="inlineStr">
        <is>
          <t>MODELING TOOLS</t>
        </is>
      </c>
      <c r="B3495" t="n">
        <v>1</v>
      </c>
    </row>
    <row r="3496">
      <c r="A3496" t="inlineStr">
        <is>
          <t>BREATHING ZONE</t>
        </is>
      </c>
      <c r="B3496" t="n">
        <v>1</v>
      </c>
    </row>
    <row r="3497">
      <c r="A3497" t="inlineStr">
        <is>
          <t>HARBOR SEALS</t>
        </is>
      </c>
      <c r="B3497" t="n">
        <v>1</v>
      </c>
    </row>
    <row r="3498">
      <c r="A3498" t="inlineStr">
        <is>
          <t>FISH</t>
        </is>
      </c>
      <c r="B3498" t="n">
        <v>1</v>
      </c>
    </row>
    <row r="3499">
      <c r="A3499" t="inlineStr">
        <is>
          <t>CHANNEL</t>
        </is>
      </c>
      <c r="B3499" t="n">
        <v>1</v>
      </c>
    </row>
    <row r="3500">
      <c r="A3500" t="inlineStr">
        <is>
          <t>ADCP</t>
        </is>
      </c>
      <c r="B3500" t="n">
        <v>1</v>
      </c>
    </row>
    <row r="3501">
      <c r="A3501" t="inlineStr">
        <is>
          <t>PROFILER</t>
        </is>
      </c>
      <c r="B3501" t="n">
        <v>1</v>
      </c>
    </row>
    <row r="3502">
      <c r="A3502" t="inlineStr">
        <is>
          <t>SEABIRDS</t>
        </is>
      </c>
      <c r="B3502" t="n">
        <v>1</v>
      </c>
    </row>
    <row r="3503">
      <c r="A3503" t="inlineStr">
        <is>
          <t>TURBINES</t>
        </is>
      </c>
      <c r="B3503" t="n">
        <v>1</v>
      </c>
    </row>
    <row r="3504">
      <c r="A3504" t="inlineStr">
        <is>
          <t>VELOCITY</t>
        </is>
      </c>
      <c r="B3504" t="n">
        <v>1</v>
      </c>
    </row>
    <row r="3505">
      <c r="A3505" t="inlineStr">
        <is>
          <t>APPARENT TEMPERATURE</t>
        </is>
      </c>
      <c r="B3505" t="n">
        <v>1</v>
      </c>
    </row>
    <row r="3506">
      <c r="A3506" t="inlineStr">
        <is>
          <t>HEAT-WAVE</t>
        </is>
      </c>
      <c r="B3506" t="n">
        <v>1</v>
      </c>
    </row>
    <row r="3507">
      <c r="A3507" t="inlineStr">
        <is>
          <t>MITES</t>
        </is>
      </c>
      <c r="B3507" t="n">
        <v>1</v>
      </c>
    </row>
    <row r="3508">
      <c r="A3508" t="inlineStr">
        <is>
          <t>LINE</t>
        </is>
      </c>
      <c r="B3508" t="n">
        <v>1</v>
      </c>
    </row>
    <row r="3509">
      <c r="A3509" t="inlineStr">
        <is>
          <t>CONDUCTIVITY</t>
        </is>
      </c>
      <c r="B3509" t="n">
        <v>1</v>
      </c>
    </row>
    <row r="3510">
      <c r="A3510" t="inlineStr">
        <is>
          <t>MATRIX</t>
        </is>
      </c>
      <c r="B3510" t="n">
        <v>1</v>
      </c>
    </row>
    <row r="3511">
      <c r="A3511" t="inlineStr">
        <is>
          <t>GARDEN</t>
        </is>
      </c>
      <c r="B3511" t="n">
        <v>1</v>
      </c>
    </row>
    <row r="3512">
      <c r="A3512" t="inlineStr">
        <is>
          <t>RAIL TRANSIT</t>
        </is>
      </c>
      <c r="B3512" t="n">
        <v>1</v>
      </c>
    </row>
    <row r="3513">
      <c r="A3513" t="inlineStr">
        <is>
          <t>SUBURBS</t>
        </is>
      </c>
      <c r="B3513" t="n">
        <v>1</v>
      </c>
    </row>
    <row r="3514">
      <c r="A3514" t="inlineStr">
        <is>
          <t>AIRWAY INFLAMMATION</t>
        </is>
      </c>
      <c r="B3514" t="n">
        <v>1</v>
      </c>
    </row>
    <row r="3515">
      <c r="A3515" t="inlineStr">
        <is>
          <t>ALLERGY SYMPTOMS</t>
        </is>
      </c>
      <c r="B3515" t="n">
        <v>1</v>
      </c>
    </row>
    <row r="3516">
      <c r="A3516" t="inlineStr">
        <is>
          <t>MITE ALLERGENS</t>
        </is>
      </c>
      <c r="B3516" t="n">
        <v>1</v>
      </c>
    </row>
    <row r="3517">
      <c r="A3517" t="inlineStr">
        <is>
          <t>FACTOR-ANALYTIC MODELS</t>
        </is>
      </c>
      <c r="B3517" t="n">
        <v>1</v>
      </c>
    </row>
    <row r="3518">
      <c r="A3518" t="inlineStr">
        <is>
          <t>METAL-IONS</t>
        </is>
      </c>
      <c r="B3518" t="n">
        <v>1</v>
      </c>
    </row>
    <row r="3519">
      <c r="A3519" t="inlineStr">
        <is>
          <t>INTERIOR WOOD</t>
        </is>
      </c>
      <c r="B3519" t="n">
        <v>1</v>
      </c>
    </row>
    <row r="3520">
      <c r="A3520" t="inlineStr">
        <is>
          <t>INSTRUMENTAL SUPPORT</t>
        </is>
      </c>
      <c r="B3520" t="n">
        <v>1</v>
      </c>
    </row>
    <row r="3521">
      <c r="A3521" t="inlineStr">
        <is>
          <t>ARRANGEMENTS</t>
        </is>
      </c>
      <c r="B3521" t="n">
        <v>1</v>
      </c>
    </row>
    <row r="3522">
      <c r="A3522" t="inlineStr">
        <is>
          <t>TRANSFERS</t>
        </is>
      </c>
      <c r="B3522" t="n">
        <v>1</v>
      </c>
    </row>
    <row r="3523">
      <c r="A3523" t="inlineStr">
        <is>
          <t>LIFE-CYCLE-ASSESSMENT</t>
        </is>
      </c>
      <c r="B3523" t="n">
        <v>1</v>
      </c>
    </row>
    <row r="3524">
      <c r="A3524" t="inlineStr">
        <is>
          <t>THERMAL INSULATION MATERIALS</t>
        </is>
      </c>
      <c r="B3524" t="n">
        <v>1</v>
      </c>
    </row>
    <row r="3525">
      <c r="A3525" t="inlineStr">
        <is>
          <t>ENVIRONMENTAL IMPACTS</t>
        </is>
      </c>
      <c r="B3525" t="n">
        <v>1</v>
      </c>
    </row>
    <row r="3526">
      <c r="A3526" t="inlineStr">
        <is>
          <t>HEAT-TREATMENT</t>
        </is>
      </c>
      <c r="B3526" t="n">
        <v>1</v>
      </c>
    </row>
    <row r="3527">
      <c r="A3527" t="inlineStr">
        <is>
          <t>DRY HEAT</t>
        </is>
      </c>
      <c r="B3527" t="n">
        <v>1</v>
      </c>
    </row>
    <row r="3528">
      <c r="A3528" t="inlineStr">
        <is>
          <t>SPECTROSCOPY</t>
        </is>
      </c>
      <c r="B3528" t="n">
        <v>1</v>
      </c>
    </row>
    <row r="3529">
      <c r="A3529" t="inlineStr">
        <is>
          <t>COMPOSITES</t>
        </is>
      </c>
      <c r="B3529" t="n">
        <v>1</v>
      </c>
    </row>
    <row r="3530">
      <c r="A3530" t="inlineStr">
        <is>
          <t>NEW-ZEALAND</t>
        </is>
      </c>
      <c r="B3530" t="n">
        <v>2</v>
      </c>
    </row>
    <row r="3531">
      <c r="A3531" t="inlineStr">
        <is>
          <t>LIMONENE OXIDATION-PRODUCTS</t>
        </is>
      </c>
      <c r="B3531" t="n">
        <v>1</v>
      </c>
    </row>
    <row r="3532">
      <c r="A3532" t="inlineStr">
        <is>
          <t>REACTION-MASS-SPECTROMETRY</t>
        </is>
      </c>
      <c r="B3532" t="n">
        <v>1</v>
      </c>
    </row>
    <row r="3533">
      <c r="A3533" t="inlineStr">
        <is>
          <t>GAS-PHASE ORGANICS</t>
        </is>
      </c>
      <c r="B3533" t="n">
        <v>1</v>
      </c>
    </row>
    <row r="3534">
      <c r="A3534" t="inlineStr">
        <is>
          <t>CARBOXYLIC-ACIDS</t>
        </is>
      </c>
      <c r="B3534" t="n">
        <v>1</v>
      </c>
    </row>
    <row r="3535">
      <c r="A3535" t="inlineStr">
        <is>
          <t>NITROUS-ACID</t>
        </is>
      </c>
      <c r="B3535" t="n">
        <v>1</v>
      </c>
    </row>
    <row r="3536">
      <c r="A3536" t="inlineStr">
        <is>
          <t>RESOLVED MEASUREMENTS</t>
        </is>
      </c>
      <c r="B3536" t="n">
        <v>1</v>
      </c>
    </row>
    <row r="3537">
      <c r="A3537" t="inlineStr">
        <is>
          <t>KETOCARBOXYLIC ACIDS</t>
        </is>
      </c>
      <c r="B3537" t="n">
        <v>1</v>
      </c>
    </row>
    <row r="3538">
      <c r="A3538" t="inlineStr">
        <is>
          <t>DICARBOXYLIC-ACIDS</t>
        </is>
      </c>
      <c r="B3538" t="n">
        <v>1</v>
      </c>
    </row>
    <row r="3539">
      <c r="A3539" t="inlineStr">
        <is>
          <t>INFORMAL CAREGIVERS</t>
        </is>
      </c>
      <c r="B3539" t="n">
        <v>2</v>
      </c>
    </row>
    <row r="3540">
      <c r="A3540" t="inlineStr">
        <is>
          <t>DEVELOPING-WORLD</t>
        </is>
      </c>
      <c r="B3540" t="n">
        <v>1</v>
      </c>
    </row>
    <row r="3541">
      <c r="A3541" t="inlineStr">
        <is>
          <t>REFLECTIONS</t>
        </is>
      </c>
      <c r="B3541" t="n">
        <v>1</v>
      </c>
    </row>
    <row r="3542">
      <c r="A3542" t="inlineStr">
        <is>
          <t>CHILDRENS RESIDENTIAL EXPOSURE</t>
        </is>
      </c>
      <c r="B3542" t="n">
        <v>1</v>
      </c>
    </row>
    <row r="3543">
      <c r="A3543" t="inlineStr">
        <is>
          <t>FREQUENCY DATA</t>
        </is>
      </c>
      <c r="B3543" t="n">
        <v>1</v>
      </c>
    </row>
    <row r="3544">
      <c r="A3544" t="inlineStr">
        <is>
          <t>HAND WIPES</t>
        </is>
      </c>
      <c r="B3544" t="n">
        <v>1</v>
      </c>
    </row>
    <row r="3545">
      <c r="A3545" t="inlineStr">
        <is>
          <t>HANDWIPES</t>
        </is>
      </c>
      <c r="B3545" t="n">
        <v>2</v>
      </c>
    </row>
    <row r="3546">
      <c r="A3546" t="inlineStr">
        <is>
          <t>CONTAMINANT SUBSLAB CONCENTRATION</t>
        </is>
      </c>
      <c r="B3546" t="n">
        <v>1</v>
      </c>
    </row>
    <row r="3547">
      <c r="A3547" t="inlineStr">
        <is>
          <t>2-DIMENSIONAL ANALYTICAL-MODEL</t>
        </is>
      </c>
      <c r="B3547" t="n">
        <v>1</v>
      </c>
    </row>
    <row r="3548">
      <c r="A3548" t="inlineStr">
        <is>
          <t>SOIL TEXTURE</t>
        </is>
      </c>
      <c r="B3548" t="n">
        <v>1</v>
      </c>
    </row>
    <row r="3549">
      <c r="A3549" t="inlineStr">
        <is>
          <t>BASEMENT</t>
        </is>
      </c>
      <c r="B3549" t="n">
        <v>1</v>
      </c>
    </row>
    <row r="3550">
      <c r="A3550" t="inlineStr">
        <is>
          <t>GLOBAL ORAL-HEALTH</t>
        </is>
      </c>
      <c r="B3550" t="n">
        <v>1</v>
      </c>
    </row>
    <row r="3551">
      <c r="A3551" t="inlineStr">
        <is>
          <t>CALL</t>
        </is>
      </c>
      <c r="B3551" t="n">
        <v>1</v>
      </c>
    </row>
    <row r="3552">
      <c r="A3552" t="inlineStr">
        <is>
          <t>RURAL HOUSEHOLDS</t>
        </is>
      </c>
      <c r="B3552" t="n">
        <v>1</v>
      </c>
    </row>
    <row r="3553">
      <c r="A3553" t="inlineStr">
        <is>
          <t>TOWN</t>
        </is>
      </c>
      <c r="B3553" t="n">
        <v>1</v>
      </c>
    </row>
    <row r="3554">
      <c r="A3554" t="inlineStr">
        <is>
          <t>AUTONOMOUS MOTIVATION</t>
        </is>
      </c>
      <c r="B3554" t="n">
        <v>1</v>
      </c>
    </row>
    <row r="3555">
      <c r="A3555" t="inlineStr">
        <is>
          <t>AFTER-SCHOOL</t>
        </is>
      </c>
      <c r="B3555" t="n">
        <v>1</v>
      </c>
    </row>
    <row r="3556">
      <c r="A3556" t="inlineStr">
        <is>
          <t>PEER SUPPORT</t>
        </is>
      </c>
      <c r="B3556" t="n">
        <v>1</v>
      </c>
    </row>
    <row r="3557">
      <c r="A3557" t="inlineStr">
        <is>
          <t>SPATIAL VARIABILITY</t>
        </is>
      </c>
      <c r="B3557" t="n">
        <v>1</v>
      </c>
    </row>
    <row r="3558">
      <c r="A3558" t="inlineStr">
        <is>
          <t>MONTREAL</t>
        </is>
      </c>
      <c r="B3558" t="n">
        <v>1</v>
      </c>
    </row>
    <row r="3559">
      <c r="A3559" t="inlineStr">
        <is>
          <t>INTEGRATED PEST-MANAGEMENT</t>
        </is>
      </c>
      <c r="B3559" t="n">
        <v>1</v>
      </c>
    </row>
    <row r="3560">
      <c r="A3560" t="inlineStr">
        <is>
          <t>TOBACCO-SMOKE EXPOSURE</t>
        </is>
      </c>
      <c r="B3560" t="n">
        <v>1</v>
      </c>
    </row>
    <row r="3561">
      <c r="A3561" t="inlineStr">
        <is>
          <t>PBDE FLAME RETARDANTS</t>
        </is>
      </c>
      <c r="B3561" t="n">
        <v>1</v>
      </c>
    </row>
    <row r="3562">
      <c r="A3562" t="inlineStr">
        <is>
          <t>DEVELOPMENTAL TOXICITY</t>
        </is>
      </c>
      <c r="B3562" t="n">
        <v>1</v>
      </c>
    </row>
    <row r="3563">
      <c r="A3563" t="inlineStr">
        <is>
          <t>CONSTRUCTION SYSTEM</t>
        </is>
      </c>
      <c r="B3563" t="n">
        <v>1</v>
      </c>
    </row>
    <row r="3564">
      <c r="A3564" t="inlineStr">
        <is>
          <t>TEMPERATE CLIMATE</t>
        </is>
      </c>
      <c r="B3564" t="n">
        <v>1</v>
      </c>
    </row>
    <row r="3565">
      <c r="A3565" t="inlineStr">
        <is>
          <t>ORGANIC-MATTER</t>
        </is>
      </c>
      <c r="B3565" t="n">
        <v>1</v>
      </c>
    </row>
    <row r="3566">
      <c r="A3566" t="inlineStr">
        <is>
          <t>PHYSICAL DISTURBANCES</t>
        </is>
      </c>
      <c r="B3566" t="n">
        <v>1</v>
      </c>
    </row>
    <row r="3567">
      <c r="A3567" t="inlineStr">
        <is>
          <t>MARINE MACROPHYTES</t>
        </is>
      </c>
      <c r="B3567" t="n">
        <v>1</v>
      </c>
    </row>
    <row r="3568">
      <c r="A3568" t="inlineStr">
        <is>
          <t>HOTSPOTS</t>
        </is>
      </c>
      <c r="B3568" t="n">
        <v>1</v>
      </c>
    </row>
    <row r="3569">
      <c r="A3569" t="inlineStr">
        <is>
          <t>DATA INCORPORATING TOPOGRAPHY</t>
        </is>
      </c>
      <c r="B3569" t="n">
        <v>1</v>
      </c>
    </row>
    <row r="3570">
      <c r="A3570" t="inlineStr">
        <is>
          <t>BRONZE-AGE SETTLEMENT</t>
        </is>
      </c>
      <c r="B3570" t="n">
        <v>1</v>
      </c>
    </row>
    <row r="3571">
      <c r="A3571" t="inlineStr">
        <is>
          <t>INVERSION</t>
        </is>
      </c>
      <c r="B3571" t="n">
        <v>1</v>
      </c>
    </row>
    <row r="3572">
      <c r="A3572" t="inlineStr">
        <is>
          <t>2D</t>
        </is>
      </c>
      <c r="B3572" t="n">
        <v>1</v>
      </c>
    </row>
    <row r="3573">
      <c r="A3573" t="inlineStr">
        <is>
          <t>FIDVAR</t>
        </is>
      </c>
      <c r="B3573" t="n">
        <v>1</v>
      </c>
    </row>
    <row r="3574">
      <c r="A3574" t="inlineStr">
        <is>
          <t>ALVEOLAR AIR</t>
        </is>
      </c>
      <c r="B3574" t="n">
        <v>1</v>
      </c>
    </row>
    <row r="3575">
      <c r="A3575" t="inlineStr">
        <is>
          <t>CHLOROFORM</t>
        </is>
      </c>
      <c r="B3575" t="n">
        <v>2</v>
      </c>
    </row>
    <row r="3576">
      <c r="A3576" t="inlineStr">
        <is>
          <t>GENOTOXICITY</t>
        </is>
      </c>
      <c r="B3576" t="n">
        <v>1</v>
      </c>
    </row>
    <row r="3577">
      <c r="A3577" t="inlineStr">
        <is>
          <t>COMMUNITY INITIATIVES</t>
        </is>
      </c>
      <c r="B3577" t="n">
        <v>1</v>
      </c>
    </row>
    <row r="3578">
      <c r="A3578" t="inlineStr">
        <is>
          <t>RURAL COMMUNITIES</t>
        </is>
      </c>
      <c r="B3578" t="n">
        <v>1</v>
      </c>
    </row>
    <row r="3579">
      <c r="A3579" t="inlineStr">
        <is>
          <t>HABIT</t>
        </is>
      </c>
      <c r="B3579" t="n">
        <v>2</v>
      </c>
    </row>
    <row r="3580">
      <c r="A3580" t="inlineStr">
        <is>
          <t>GREENERY</t>
        </is>
      </c>
      <c r="B3580" t="n">
        <v>1</v>
      </c>
    </row>
    <row r="3581">
      <c r="A3581" t="inlineStr">
        <is>
          <t>HAZARDS-MODEL</t>
        </is>
      </c>
      <c r="B3581" t="n">
        <v>1</v>
      </c>
    </row>
    <row r="3582">
      <c r="A3582" t="inlineStr">
        <is>
          <t>HEAVY-METAL IONS</t>
        </is>
      </c>
      <c r="B3582" t="n">
        <v>1</v>
      </c>
    </row>
    <row r="3583">
      <c r="A3583" t="inlineStr">
        <is>
          <t>AQUEOUS-SOLUTIONS</t>
        </is>
      </c>
      <c r="B3583" t="n">
        <v>1</v>
      </c>
    </row>
    <row r="3584">
      <c r="A3584" t="inlineStr">
        <is>
          <t>POLYTHIOPHENE/TIO2 COMPOSITE</t>
        </is>
      </c>
      <c r="B3584" t="n">
        <v>1</v>
      </c>
    </row>
    <row r="3585">
      <c r="A3585" t="inlineStr">
        <is>
          <t>OPTICAL-PROPERTIES</t>
        </is>
      </c>
      <c r="B3585" t="n">
        <v>2</v>
      </c>
    </row>
    <row r="3586">
      <c r="A3586" t="inlineStr">
        <is>
          <t>PB(II) ADSORPTION</t>
        </is>
      </c>
      <c r="B3586" t="n">
        <v>1</v>
      </c>
    </row>
    <row r="3587">
      <c r="A3587" t="inlineStr">
        <is>
          <t>ENHANCED PB(II)</t>
        </is>
      </c>
      <c r="B3587" t="n">
        <v>1</v>
      </c>
    </row>
    <row r="3588">
      <c r="A3588" t="inlineStr">
        <is>
          <t>LEAD(II) IONS</t>
        </is>
      </c>
      <c r="B3588" t="n">
        <v>1</v>
      </c>
    </row>
    <row r="3589">
      <c r="A3589" t="inlineStr">
        <is>
          <t>WASTE-WATER</t>
        </is>
      </c>
      <c r="B3589" t="n">
        <v>1</v>
      </c>
    </row>
    <row r="3590">
      <c r="A3590" t="inlineStr">
        <is>
          <t>ACOUSTIC COMFORT EVALUATION</t>
        </is>
      </c>
      <c r="B3590" t="n">
        <v>1</v>
      </c>
    </row>
    <row r="3591">
      <c r="A3591" t="inlineStr">
        <is>
          <t>WATER SOUNDS</t>
        </is>
      </c>
      <c r="B3591" t="n">
        <v>1</v>
      </c>
    </row>
    <row r="3592">
      <c r="A3592" t="inlineStr">
        <is>
          <t>SUBJECTIVE RESPONSES</t>
        </is>
      </c>
      <c r="B3592" t="n">
        <v>1</v>
      </c>
    </row>
    <row r="3593">
      <c r="A3593" t="inlineStr">
        <is>
          <t>INDUSTRIAL NOISE</t>
        </is>
      </c>
      <c r="B3593" t="n">
        <v>1</v>
      </c>
    </row>
    <row r="3594">
      <c r="A3594" t="inlineStr">
        <is>
          <t>CHRONIC WIDESPREAD PAIN</t>
        </is>
      </c>
      <c r="B3594" t="n">
        <v>1</v>
      </c>
    </row>
    <row r="3595">
      <c r="A3595" t="inlineStr">
        <is>
          <t>MUSCULOSKELETAL PAIN</t>
        </is>
      </c>
      <c r="B3595" t="n">
        <v>1</v>
      </c>
    </row>
    <row r="3596">
      <c r="A3596" t="inlineStr">
        <is>
          <t>PLATFORM</t>
        </is>
      </c>
      <c r="B3596" t="n">
        <v>1</v>
      </c>
    </row>
    <row r="3597">
      <c r="A3597" t="inlineStr">
        <is>
          <t>PURIFICATION</t>
        </is>
      </c>
      <c r="B3597" t="n">
        <v>1</v>
      </c>
    </row>
    <row r="3598">
      <c r="A3598" t="inlineStr">
        <is>
          <t>VISUAL COMFORT</t>
        </is>
      </c>
      <c r="B3598" t="n">
        <v>1</v>
      </c>
    </row>
    <row r="3599">
      <c r="A3599" t="inlineStr">
        <is>
          <t>LEED</t>
        </is>
      </c>
      <c r="B3599" t="n">
        <v>2</v>
      </c>
    </row>
    <row r="3600">
      <c r="A3600" t="inlineStr">
        <is>
          <t>TAXI</t>
        </is>
      </c>
      <c r="B3600" t="n">
        <v>1</v>
      </c>
    </row>
    <row r="3601">
      <c r="A3601" t="inlineStr">
        <is>
          <t>MEDICATIONS</t>
        </is>
      </c>
      <c r="B3601" t="n">
        <v>1</v>
      </c>
    </row>
    <row r="3602">
      <c r="A3602" t="inlineStr">
        <is>
          <t>PHOTOCATALYTIC DEGRADATION</t>
        </is>
      </c>
      <c r="B3602" t="n">
        <v>1</v>
      </c>
    </row>
    <row r="3603">
      <c r="A3603" t="inlineStr">
        <is>
          <t>NO REMOVAL</t>
        </is>
      </c>
      <c r="B3603" t="n">
        <v>1</v>
      </c>
    </row>
    <row r="3604">
      <c r="A3604" t="inlineStr">
        <is>
          <t>TIO2</t>
        </is>
      </c>
      <c r="B3604" t="n">
        <v>1</v>
      </c>
    </row>
    <row r="3605">
      <c r="A3605" t="inlineStr">
        <is>
          <t>DYE</t>
        </is>
      </c>
      <c r="B3605" t="n">
        <v>1</v>
      </c>
    </row>
    <row r="3606">
      <c r="A3606" t="inlineStr">
        <is>
          <t>RESPIRATORY-INFECTIONS</t>
        </is>
      </c>
      <c r="B3606" t="n">
        <v>1</v>
      </c>
    </row>
    <row r="3607">
      <c r="A3607" t="inlineStr">
        <is>
          <t>BIOMASS</t>
        </is>
      </c>
      <c r="B3607" t="n">
        <v>1</v>
      </c>
    </row>
    <row r="3608">
      <c r="A3608" t="inlineStr">
        <is>
          <t>FUEL</t>
        </is>
      </c>
      <c r="B3608" t="n">
        <v>1</v>
      </c>
    </row>
    <row r="3609">
      <c r="A3609" t="inlineStr">
        <is>
          <t>TIPPING POINTS</t>
        </is>
      </c>
      <c r="B3609" t="n">
        <v>1</v>
      </c>
    </row>
    <row r="3610">
      <c r="A3610" t="inlineStr">
        <is>
          <t>RIVER FLOODS</t>
        </is>
      </c>
      <c r="B3610" t="n">
        <v>1</v>
      </c>
    </row>
    <row r="3611">
      <c r="A3611" t="inlineStr">
        <is>
          <t>COASTAL</t>
        </is>
      </c>
      <c r="B3611" t="n">
        <v>1</v>
      </c>
    </row>
    <row r="3612">
      <c r="A3612" t="inlineStr">
        <is>
          <t>SOCIAL IDENTITY</t>
        </is>
      </c>
      <c r="B3612" t="n">
        <v>1</v>
      </c>
    </row>
    <row r="3613">
      <c r="A3613" t="inlineStr">
        <is>
          <t>PASSIVE SAMPLER</t>
        </is>
      </c>
      <c r="B3613" t="n">
        <v>2</v>
      </c>
    </row>
    <row r="3614">
      <c r="A3614" t="inlineStr">
        <is>
          <t>RECEPTOR MODEL</t>
        </is>
      </c>
      <c r="B3614" t="n">
        <v>1</v>
      </c>
    </row>
    <row r="3615">
      <c r="A3615" t="inlineStr">
        <is>
          <t>COMPOUNDS VOCS</t>
        </is>
      </c>
      <c r="B3615" t="n">
        <v>1</v>
      </c>
    </row>
    <row r="3616">
      <c r="A3616" t="inlineStr">
        <is>
          <t>CARE-CENTERS</t>
        </is>
      </c>
      <c r="B3616" t="n">
        <v>1</v>
      </c>
    </row>
    <row r="3617">
      <c r="A3617" t="inlineStr">
        <is>
          <t>ACTIVITY BEHAVIOR-CHANGE</t>
        </is>
      </c>
      <c r="B3617" t="n">
        <v>1</v>
      </c>
    </row>
    <row r="3618">
      <c r="A3618" t="inlineStr">
        <is>
          <t>TRANSTHEORETICAL MODEL</t>
        </is>
      </c>
      <c r="B3618" t="n">
        <v>1</v>
      </c>
    </row>
    <row r="3619">
      <c r="A3619" t="inlineStr">
        <is>
          <t>MOTIVATORS</t>
        </is>
      </c>
      <c r="B3619" t="n">
        <v>1</v>
      </c>
    </row>
    <row r="3620">
      <c r="A3620" t="inlineStr">
        <is>
          <t>NUTRITIONAL-STATUS</t>
        </is>
      </c>
      <c r="B3620" t="n">
        <v>2</v>
      </c>
    </row>
    <row r="3621">
      <c r="A3621" t="inlineStr">
        <is>
          <t>URINARY-INCONTINENCE</t>
        </is>
      </c>
      <c r="B3621" t="n">
        <v>1</v>
      </c>
    </row>
    <row r="3622">
      <c r="A3622" t="inlineStr">
        <is>
          <t>CARE UTILIZATION</t>
        </is>
      </c>
      <c r="B3622" t="n">
        <v>1</v>
      </c>
    </row>
    <row r="3623">
      <c r="A3623" t="inlineStr">
        <is>
          <t>FALLS PREVENTION</t>
        </is>
      </c>
      <c r="B3623" t="n">
        <v>2</v>
      </c>
    </row>
    <row r="3624">
      <c r="A3624" t="inlineStr">
        <is>
          <t>ATMOSPHERIC MERCURY</t>
        </is>
      </c>
      <c r="B3624" t="n">
        <v>1</v>
      </c>
    </row>
    <row r="3625">
      <c r="A3625" t="inlineStr">
        <is>
          <t>VAPOR</t>
        </is>
      </c>
      <c r="B3625" t="n">
        <v>1</v>
      </c>
    </row>
    <row r="3626">
      <c r="A3626" t="inlineStr">
        <is>
          <t>SINGLE-FAMILY RESIDENCES</t>
        </is>
      </c>
      <c r="B3626" t="n">
        <v>1</v>
      </c>
    </row>
    <row r="3627">
      <c r="A3627" t="inlineStr">
        <is>
          <t>SHORT-TERM MORTALITY</t>
        </is>
      </c>
      <c r="B3627" t="n">
        <v>1</v>
      </c>
    </row>
    <row r="3628">
      <c r="A3628" t="inlineStr">
        <is>
          <t>ENERGY IMPLICATIONS</t>
        </is>
      </c>
      <c r="B3628" t="n">
        <v>1</v>
      </c>
    </row>
    <row r="3629">
      <c r="A3629" t="inlineStr">
        <is>
          <t>DIETARY-PROTEIN INTAKE</t>
        </is>
      </c>
      <c r="B3629" t="n">
        <v>1</v>
      </c>
    </row>
    <row r="3630">
      <c r="A3630" t="inlineStr">
        <is>
          <t>LEAN MASS</t>
        </is>
      </c>
      <c r="B3630" t="n">
        <v>1</v>
      </c>
    </row>
    <row r="3631">
      <c r="A3631" t="inlineStr">
        <is>
          <t>ROAD-TRAFFIC NOISE</t>
        </is>
      </c>
      <c r="B3631" t="n">
        <v>1</v>
      </c>
    </row>
    <row r="3632">
      <c r="A3632" t="inlineStr">
        <is>
          <t>AIRCRAFT NOISE</t>
        </is>
      </c>
      <c r="B3632" t="n">
        <v>1</v>
      </c>
    </row>
    <row r="3633">
      <c r="A3633" t="inlineStr">
        <is>
          <t>VISUALIZATION</t>
        </is>
      </c>
      <c r="B3633" t="n">
        <v>1</v>
      </c>
    </row>
    <row r="3634">
      <c r="A3634" t="inlineStr">
        <is>
          <t>RECOGNITION</t>
        </is>
      </c>
      <c r="B3634" t="n">
        <v>2</v>
      </c>
    </row>
    <row r="3635">
      <c r="A3635" t="inlineStr">
        <is>
          <t>REDEVELOPMENT</t>
        </is>
      </c>
      <c r="B3635" t="n">
        <v>1</v>
      </c>
    </row>
    <row r="3636">
      <c r="A3636" t="inlineStr">
        <is>
          <t>DISPLACEMENT</t>
        </is>
      </c>
      <c r="B3636" t="n">
        <v>1</v>
      </c>
    </row>
    <row r="3637">
      <c r="A3637" t="inlineStr">
        <is>
          <t>GAMMA-EXPOSURES</t>
        </is>
      </c>
      <c r="B3637" t="n">
        <v>1</v>
      </c>
    </row>
    <row r="3638">
      <c r="A3638" t="inlineStr">
        <is>
          <t>NAVIGATION</t>
        </is>
      </c>
      <c r="B3638" t="n">
        <v>1</v>
      </c>
    </row>
    <row r="3639">
      <c r="A3639" t="inlineStr">
        <is>
          <t>MINIMUM</t>
        </is>
      </c>
      <c r="B3639" t="n">
        <v>1</v>
      </c>
    </row>
    <row r="3640">
      <c r="A3640" t="inlineStr">
        <is>
          <t>SPANISH VERSION</t>
        </is>
      </c>
      <c r="B3640" t="n">
        <v>1</v>
      </c>
    </row>
    <row r="3641">
      <c r="A3641" t="inlineStr">
        <is>
          <t>JUDGMENTS</t>
        </is>
      </c>
      <c r="B3641" t="n">
        <v>1</v>
      </c>
    </row>
    <row r="3642">
      <c r="A3642" t="inlineStr">
        <is>
          <t>EMERGENCY-DEPARTMENT</t>
        </is>
      </c>
      <c r="B3642" t="n">
        <v>1</v>
      </c>
    </row>
    <row r="3643">
      <c r="A3643" t="inlineStr">
        <is>
          <t>URBAN GREEN</t>
        </is>
      </c>
      <c r="B3643" t="n">
        <v>1</v>
      </c>
    </row>
    <row r="3644">
      <c r="A3644" t="inlineStr">
        <is>
          <t>REPRESENTATIVENESS</t>
        </is>
      </c>
      <c r="B3644" t="n">
        <v>1</v>
      </c>
    </row>
    <row r="3645">
      <c r="A3645" t="inlineStr">
        <is>
          <t>RESIDENTS PERCEPTIONS</t>
        </is>
      </c>
      <c r="B3645" t="n">
        <v>1</v>
      </c>
    </row>
    <row r="3646">
      <c r="A3646" t="inlineStr">
        <is>
          <t>REFURBISHMENT</t>
        </is>
      </c>
      <c r="B3646" t="n">
        <v>1</v>
      </c>
    </row>
    <row r="3647">
      <c r="A3647" t="inlineStr">
        <is>
          <t>RETROFITS</t>
        </is>
      </c>
      <c r="B3647" t="n">
        <v>1</v>
      </c>
    </row>
    <row r="3648">
      <c r="A3648" t="inlineStr">
        <is>
          <t>SOCIAL GRADIENTS</t>
        </is>
      </c>
      <c r="B3648" t="n">
        <v>1</v>
      </c>
    </row>
    <row r="3649">
      <c r="A3649" t="inlineStr">
        <is>
          <t>EUROPEAN COUNTRIES</t>
        </is>
      </c>
      <c r="B3649" t="n">
        <v>1</v>
      </c>
    </row>
    <row r="3650">
      <c r="A3650" t="inlineStr">
        <is>
          <t>PUBLIC-HEALTH CRISIS</t>
        </is>
      </c>
      <c r="B3650" t="n">
        <v>1</v>
      </c>
    </row>
    <row r="3651">
      <c r="A3651" t="inlineStr">
        <is>
          <t>LAND-USE MEASURES</t>
        </is>
      </c>
      <c r="B3651" t="n">
        <v>1</v>
      </c>
    </row>
    <row r="3652">
      <c r="A3652" t="inlineStr">
        <is>
          <t>HEALTH OUTCOMES</t>
        </is>
      </c>
      <c r="B3652" t="n">
        <v>1</v>
      </c>
    </row>
    <row r="3653">
      <c r="A3653" t="inlineStr">
        <is>
          <t>HIGH-DENSITY</t>
        </is>
      </c>
      <c r="B3653" t="n">
        <v>1</v>
      </c>
    </row>
    <row r="3654">
      <c r="A3654" t="inlineStr">
        <is>
          <t>OPEN SPACES</t>
        </is>
      </c>
      <c r="B3654" t="n">
        <v>1</v>
      </c>
    </row>
    <row r="3655">
      <c r="A3655" t="inlineStr">
        <is>
          <t>AGEISM</t>
        </is>
      </c>
      <c r="B3655" t="n">
        <v>1</v>
      </c>
    </row>
    <row r="3656">
      <c r="A3656" t="inlineStr">
        <is>
          <t>NURSES</t>
        </is>
      </c>
      <c r="B3656" t="n">
        <v>1</v>
      </c>
    </row>
    <row r="3657">
      <c r="A3657" t="inlineStr">
        <is>
          <t>PHYSICIANS</t>
        </is>
      </c>
      <c r="B3657" t="n">
        <v>2</v>
      </c>
    </row>
    <row r="3658">
      <c r="A3658" t="inlineStr">
        <is>
          <t>NEUROCOGNITIVE DISORDERS</t>
        </is>
      </c>
      <c r="B3658" t="n">
        <v>1</v>
      </c>
    </row>
    <row r="3659">
      <c r="A3659" t="inlineStr">
        <is>
          <t>CLINICAL-OUTCOMES</t>
        </is>
      </c>
      <c r="B3659" t="n">
        <v>1</v>
      </c>
    </row>
    <row r="3660">
      <c r="A3660" t="inlineStr">
        <is>
          <t>SCREENING TOOLS</t>
        </is>
      </c>
      <c r="B3660" t="n">
        <v>1</v>
      </c>
    </row>
    <row r="3661">
      <c r="A3661" t="inlineStr">
        <is>
          <t>FACIAL EXPRESSIONS</t>
        </is>
      </c>
      <c r="B3661" t="n">
        <v>1</v>
      </c>
    </row>
    <row r="3662">
      <c r="A3662" t="inlineStr">
        <is>
          <t>NEUROANATOMY</t>
        </is>
      </c>
      <c r="B3662" t="n">
        <v>1</v>
      </c>
    </row>
    <row r="3663">
      <c r="A3663" t="inlineStr">
        <is>
          <t>DEFICITS</t>
        </is>
      </c>
      <c r="B3663" t="n">
        <v>1</v>
      </c>
    </row>
    <row r="3664">
      <c r="A3664" t="inlineStr">
        <is>
          <t>DISGUST</t>
        </is>
      </c>
      <c r="B3664" t="n">
        <v>1</v>
      </c>
    </row>
    <row r="3665">
      <c r="A3665" t="inlineStr">
        <is>
          <t>HEALTH INSURANCE</t>
        </is>
      </c>
      <c r="B3665" t="n">
        <v>1</v>
      </c>
    </row>
    <row r="3666">
      <c r="A3666" t="inlineStr">
        <is>
          <t>COMMUNITY ENVIRONMENT</t>
        </is>
      </c>
      <c r="B3666" t="n">
        <v>1</v>
      </c>
    </row>
    <row r="3667">
      <c r="A3667" t="inlineStr">
        <is>
          <t>SCHIZOPHRENIA</t>
        </is>
      </c>
      <c r="B3667" t="n">
        <v>1</v>
      </c>
    </row>
    <row r="3668">
      <c r="A3668" t="inlineStr">
        <is>
          <t>2016 REPORT CARD</t>
        </is>
      </c>
      <c r="B3668" t="n">
        <v>1</v>
      </c>
    </row>
    <row r="3669">
      <c r="A3669" t="inlineStr">
        <is>
          <t>EUROPEAN ADOLESCENTS</t>
        </is>
      </c>
      <c r="B3669" t="n">
        <v>1</v>
      </c>
    </row>
    <row r="3670">
      <c r="A3670" t="inlineStr">
        <is>
          <t>IPAQ-A</t>
        </is>
      </c>
      <c r="B3670" t="n">
        <v>1</v>
      </c>
    </row>
    <row r="3671">
      <c r="A3671" t="inlineStr">
        <is>
          <t>CONTAMINANT SOURCE LOCATION</t>
        </is>
      </c>
      <c r="B3671" t="n">
        <v>1</v>
      </c>
    </row>
    <row r="3672">
      <c r="A3672" t="inlineStr">
        <is>
          <t>INVERSE IDENTIFICATION</t>
        </is>
      </c>
      <c r="B3672" t="n">
        <v>1</v>
      </c>
    </row>
    <row r="3673">
      <c r="A3673" t="inlineStr">
        <is>
          <t>TRACKING</t>
        </is>
      </c>
      <c r="B3673" t="n">
        <v>1</v>
      </c>
    </row>
    <row r="3674">
      <c r="A3674" t="inlineStr">
        <is>
          <t>LAND SUBSIDENCE</t>
        </is>
      </c>
      <c r="B3674" t="n">
        <v>1</v>
      </c>
    </row>
    <row r="3675">
      <c r="A3675" t="inlineStr">
        <is>
          <t>PLAIN</t>
        </is>
      </c>
      <c r="B3675" t="n">
        <v>1</v>
      </c>
    </row>
    <row r="3676">
      <c r="A3676" t="inlineStr">
        <is>
          <t>MATTER CHEMICAL-COMPONENTS</t>
        </is>
      </c>
      <c r="B3676" t="n">
        <v>1</v>
      </c>
    </row>
    <row r="3677">
      <c r="A3677" t="inlineStr">
        <is>
          <t>SUBCLINICAL ATHEROSCLEROSIS</t>
        </is>
      </c>
      <c r="B3677" t="n">
        <v>1</v>
      </c>
    </row>
    <row r="3678">
      <c r="A3678" t="inlineStr">
        <is>
          <t>SELF-PERCEPTIONS</t>
        </is>
      </c>
      <c r="B3678" t="n">
        <v>1</v>
      </c>
    </row>
    <row r="3679">
      <c r="A3679" t="inlineStr">
        <is>
          <t>NATURE RELATEDNESS</t>
        </is>
      </c>
      <c r="B3679" t="n">
        <v>1</v>
      </c>
    </row>
    <row r="3680">
      <c r="A3680" t="inlineStr">
        <is>
          <t>NATURE EXPOSURE</t>
        </is>
      </c>
      <c r="B3680" t="n">
        <v>1</v>
      </c>
    </row>
    <row r="3681">
      <c r="A3681" t="inlineStr">
        <is>
          <t>WINDOW VIEWS</t>
        </is>
      </c>
      <c r="B3681" t="n">
        <v>1</v>
      </c>
    </row>
    <row r="3682">
      <c r="A3682" t="inlineStr">
        <is>
          <t>DIURNAL TEMPERATURE-RANGE</t>
        </is>
      </c>
      <c r="B3682" t="n">
        <v>1</v>
      </c>
    </row>
    <row r="3683">
      <c r="A3683" t="inlineStr">
        <is>
          <t>REFUGEES</t>
        </is>
      </c>
      <c r="B3683" t="n">
        <v>1</v>
      </c>
    </row>
    <row r="3684">
      <c r="A3684" t="inlineStr">
        <is>
          <t>HOSPITALIZATIONS</t>
        </is>
      </c>
      <c r="B3684" t="n">
        <v>1</v>
      </c>
    </row>
    <row r="3685">
      <c r="A3685" t="inlineStr">
        <is>
          <t>PEOPLES EXPERIENCES</t>
        </is>
      </c>
      <c r="B3685" t="n">
        <v>1</v>
      </c>
    </row>
    <row r="3686">
      <c r="A3686" t="inlineStr">
        <is>
          <t>PSYCHOMETRIC PROPERTIES</t>
        </is>
      </c>
      <c r="B3686" t="n">
        <v>1</v>
      </c>
    </row>
    <row r="3687">
      <c r="A3687" t="inlineStr">
        <is>
          <t>BREATHABILITY</t>
        </is>
      </c>
      <c r="B3687" t="n">
        <v>1</v>
      </c>
    </row>
    <row r="3688">
      <c r="A3688" t="inlineStr">
        <is>
          <t>SCIENTIFIC EVIDENCE</t>
        </is>
      </c>
      <c r="B3688" t="n">
        <v>1</v>
      </c>
    </row>
    <row r="3689">
      <c r="A3689" t="inlineStr">
        <is>
          <t>SKIN TEMPERATURE</t>
        </is>
      </c>
      <c r="B3689" t="n">
        <v>1</v>
      </c>
    </row>
    <row r="3690">
      <c r="A3690" t="inlineStr">
        <is>
          <t>NON-MOTORIZED TRAVEL</t>
        </is>
      </c>
      <c r="B3690" t="n">
        <v>1</v>
      </c>
    </row>
    <row r="3691">
      <c r="A3691" t="inlineStr">
        <is>
          <t>RESIDENTIAL RELOCATION</t>
        </is>
      </c>
      <c r="B3691" t="n">
        <v>1</v>
      </c>
    </row>
    <row r="3692">
      <c r="A3692" t="inlineStr">
        <is>
          <t>EVENTS</t>
        </is>
      </c>
      <c r="B3692" t="n">
        <v>1</v>
      </c>
    </row>
    <row r="3693">
      <c r="A3693" t="inlineStr">
        <is>
          <t>DRUG-RELATED PROBLEMS</t>
        </is>
      </c>
      <c r="B3693" t="n">
        <v>1</v>
      </c>
    </row>
    <row r="3694">
      <c r="A3694" t="inlineStr">
        <is>
          <t>MEDICATION</t>
        </is>
      </c>
      <c r="B3694" t="n">
        <v>1</v>
      </c>
    </row>
    <row r="3695">
      <c r="A3695" t="inlineStr">
        <is>
          <t>GERIATRIC SYNDROMES</t>
        </is>
      </c>
      <c r="B3695" t="n">
        <v>1</v>
      </c>
    </row>
    <row r="3696">
      <c r="A3696" t="inlineStr">
        <is>
          <t>GAS-PHASE REACTIONS</t>
        </is>
      </c>
      <c r="B3696" t="n">
        <v>2</v>
      </c>
    </row>
    <row r="3697">
      <c r="A3697" t="inlineStr">
        <is>
          <t>GREEN BUILDING-MATERIALS</t>
        </is>
      </c>
      <c r="B3697" t="n">
        <v>1</v>
      </c>
    </row>
    <row r="3698">
      <c r="A3698" t="inlineStr">
        <is>
          <t>RATE COEFFICIENTS</t>
        </is>
      </c>
      <c r="B3698" t="n">
        <v>1</v>
      </c>
    </row>
    <row r="3699">
      <c r="A3699" t="inlineStr">
        <is>
          <t>REACTION PROBABILITIES</t>
        </is>
      </c>
      <c r="B3699" t="n">
        <v>1</v>
      </c>
    </row>
    <row r="3700">
      <c r="A3700" t="inlineStr">
        <is>
          <t>INITIATED CHEMISTRY</t>
        </is>
      </c>
      <c r="B3700" t="n">
        <v>1</v>
      </c>
    </row>
    <row r="3701">
      <c r="A3701" t="inlineStr">
        <is>
          <t>DIOXIDE</t>
        </is>
      </c>
      <c r="B3701" t="n">
        <v>1</v>
      </c>
    </row>
    <row r="3702">
      <c r="A3702" t="inlineStr">
        <is>
          <t>LOW-LEVEL CADMIUM</t>
        </is>
      </c>
      <c r="B3702" t="n">
        <v>1</v>
      </c>
    </row>
    <row r="3703">
      <c r="A3703" t="inlineStr">
        <is>
          <t>BIOCHEMICAL PARAMETERS</t>
        </is>
      </c>
      <c r="B3703" t="n">
        <v>1</v>
      </c>
    </row>
    <row r="3704">
      <c r="A3704" t="inlineStr">
        <is>
          <t>ENZYME-ACTIVITIES</t>
        </is>
      </c>
      <c r="B3704" t="n">
        <v>1</v>
      </c>
    </row>
    <row r="3705">
      <c r="A3705" t="inlineStr">
        <is>
          <t>CHRONIC EXPOSURE</t>
        </is>
      </c>
      <c r="B3705" t="n">
        <v>1</v>
      </c>
    </row>
    <row r="3706">
      <c r="A3706" t="inlineStr">
        <is>
          <t>CESIUM-CHLORIDE</t>
        </is>
      </c>
      <c r="B3706" t="n">
        <v>1</v>
      </c>
    </row>
    <row r="3707">
      <c r="A3707" t="inlineStr">
        <is>
          <t>THALLIUM</t>
        </is>
      </c>
      <c r="B3707" t="n">
        <v>1</v>
      </c>
    </row>
    <row r="3708">
      <c r="A3708" t="inlineStr">
        <is>
          <t>ALUMINUM</t>
        </is>
      </c>
      <c r="B3708" t="n">
        <v>1</v>
      </c>
    </row>
    <row r="3709">
      <c r="A3709" t="inlineStr">
        <is>
          <t>AFFECTIVE APPRAISALS</t>
        </is>
      </c>
      <c r="B3709" t="n">
        <v>1</v>
      </c>
    </row>
    <row r="3710">
      <c r="A3710" t="inlineStr">
        <is>
          <t>VISUAL PROPERTIES</t>
        </is>
      </c>
      <c r="B3710" t="n">
        <v>1</v>
      </c>
    </row>
    <row r="3711">
      <c r="A3711" t="inlineStr">
        <is>
          <t>CLIMATES</t>
        </is>
      </c>
      <c r="B3711" t="n">
        <v>1</v>
      </c>
    </row>
    <row r="3712">
      <c r="A3712" t="inlineStr">
        <is>
          <t>BACKGROUND-RADIATION AREA</t>
        </is>
      </c>
      <c r="B3712" t="n">
        <v>1</v>
      </c>
    </row>
    <row r="3713">
      <c r="A3713" t="inlineStr">
        <is>
          <t>PROGENY</t>
        </is>
      </c>
      <c r="B3713" t="n">
        <v>1</v>
      </c>
    </row>
    <row r="3714">
      <c r="A3714" t="inlineStr">
        <is>
          <t>MEMBERS</t>
        </is>
      </c>
      <c r="B3714" t="n">
        <v>1</v>
      </c>
    </row>
    <row r="3715">
      <c r="A3715" t="inlineStr">
        <is>
          <t>RN-220</t>
        </is>
      </c>
      <c r="B3715" t="n">
        <v>1</v>
      </c>
    </row>
    <row r="3716">
      <c r="A3716" t="inlineStr">
        <is>
          <t>ODISHA</t>
        </is>
      </c>
      <c r="B3716" t="n">
        <v>1</v>
      </c>
    </row>
    <row r="3717">
      <c r="A3717" t="inlineStr">
        <is>
          <t>GANSU</t>
        </is>
      </c>
      <c r="B3717" t="n">
        <v>1</v>
      </c>
    </row>
    <row r="3718">
      <c r="A3718" t="inlineStr">
        <is>
          <t>CRITICAL SUCCESS FACTORS</t>
        </is>
      </c>
      <c r="B3718" t="n">
        <v>1</v>
      </c>
    </row>
    <row r="3719">
      <c r="A3719" t="inlineStr">
        <is>
          <t>PROCUREMENT</t>
        </is>
      </c>
      <c r="B3719" t="n">
        <v>1</v>
      </c>
    </row>
    <row r="3720">
      <c r="A3720" t="inlineStr">
        <is>
          <t>CLIENTS</t>
        </is>
      </c>
      <c r="B3720" t="n">
        <v>1</v>
      </c>
    </row>
    <row r="3721">
      <c r="A3721" t="inlineStr">
        <is>
          <t>LIFE DEPRESSION</t>
        </is>
      </c>
      <c r="B3721" t="n">
        <v>1</v>
      </c>
    </row>
    <row r="3722">
      <c r="A3722" t="inlineStr">
        <is>
          <t>MIDDLE-INCOME COUNTRIES</t>
        </is>
      </c>
      <c r="B3722" t="n">
        <v>1</v>
      </c>
    </row>
    <row r="3723">
      <c r="A3723" t="inlineStr">
        <is>
          <t>EXAMPLE</t>
        </is>
      </c>
      <c r="B3723" t="n">
        <v>1</v>
      </c>
    </row>
    <row r="3724">
      <c r="A3724" t="inlineStr">
        <is>
          <t>EXCESS WINTER MORTALITY</t>
        </is>
      </c>
      <c r="B3724" t="n">
        <v>1</v>
      </c>
    </row>
    <row r="3725">
      <c r="A3725" t="inlineStr">
        <is>
          <t>BUILDING RENOVATION</t>
        </is>
      </c>
      <c r="B3725" t="n">
        <v>1</v>
      </c>
    </row>
    <row r="3726">
      <c r="A3726" t="inlineStr">
        <is>
          <t>PERFORMANCE SIMULATION</t>
        </is>
      </c>
      <c r="B3726" t="n">
        <v>1</v>
      </c>
    </row>
    <row r="3727">
      <c r="A3727" t="inlineStr">
        <is>
          <t>UNCERTAINTY ANALYSIS</t>
        </is>
      </c>
      <c r="B3727" t="n">
        <v>1</v>
      </c>
    </row>
    <row r="3728">
      <c r="A3728" t="inlineStr">
        <is>
          <t>OVERHEATING RISKS</t>
        </is>
      </c>
      <c r="B3728" t="n">
        <v>1</v>
      </c>
    </row>
    <row r="3729">
      <c r="A3729" t="inlineStr">
        <is>
          <t>COLD HOMES</t>
        </is>
      </c>
      <c r="B3729" t="n">
        <v>1</v>
      </c>
    </row>
    <row r="3730">
      <c r="A3730" t="inlineStr">
        <is>
          <t>SERUM 25-HYDROXYVITAMIN D</t>
        </is>
      </c>
      <c r="B3730" t="n">
        <v>1</v>
      </c>
    </row>
    <row r="3731">
      <c r="A3731" t="inlineStr">
        <is>
          <t>ALBUMIN CONCENTRATION</t>
        </is>
      </c>
      <c r="B3731" t="n">
        <v>1</v>
      </c>
    </row>
    <row r="3732">
      <c r="A3732" t="inlineStr">
        <is>
          <t>RETINOIC ACID</t>
        </is>
      </c>
      <c r="B3732" t="n">
        <v>1</v>
      </c>
    </row>
    <row r="3733">
      <c r="A3733" t="inlineStr">
        <is>
          <t>UNIVERSITY-STUDENTS</t>
        </is>
      </c>
      <c r="B3733" t="n">
        <v>1</v>
      </c>
    </row>
    <row r="3734">
      <c r="A3734" t="inlineStr">
        <is>
          <t>POSITIVE UTILITY</t>
        </is>
      </c>
      <c r="B3734" t="n">
        <v>1</v>
      </c>
    </row>
    <row r="3735">
      <c r="A3735" t="inlineStr">
        <is>
          <t>RANDOM FOREST</t>
        </is>
      </c>
      <c r="B3735" t="n">
        <v>1</v>
      </c>
    </row>
    <row r="3736">
      <c r="A3736" t="inlineStr">
        <is>
          <t>KEY EVENTS</t>
        </is>
      </c>
      <c r="B3736" t="n">
        <v>1</v>
      </c>
    </row>
    <row r="3737">
      <c r="A3737" t="inlineStr">
        <is>
          <t>ADVERSE DRUG-REACTIONS</t>
        </is>
      </c>
      <c r="B3737" t="n">
        <v>1</v>
      </c>
    </row>
    <row r="3738">
      <c r="A3738" t="inlineStr">
        <is>
          <t>SOCIETY BEERS CRITERIA</t>
        </is>
      </c>
      <c r="B3738" t="n">
        <v>1</v>
      </c>
    </row>
    <row r="3739">
      <c r="A3739" t="inlineStr">
        <is>
          <t>GERIATRICS</t>
        </is>
      </c>
      <c r="B3739" t="n">
        <v>1</v>
      </c>
    </row>
    <row r="3740">
      <c r="A3740" t="inlineStr">
        <is>
          <t>CAUSALITY</t>
        </is>
      </c>
      <c r="B3740" t="n">
        <v>1</v>
      </c>
    </row>
    <row r="3741">
      <c r="A3741" t="inlineStr">
        <is>
          <t>MIGRANTS</t>
        </is>
      </c>
      <c r="B3741" t="n">
        <v>1</v>
      </c>
    </row>
    <row r="3742">
      <c r="A3742" t="inlineStr">
        <is>
          <t>AIR PURIFICATION</t>
        </is>
      </c>
      <c r="B3742" t="n">
        <v>1</v>
      </c>
    </row>
    <row r="3743">
      <c r="A3743" t="inlineStr">
        <is>
          <t>TITANIUM-DIOXIDE</t>
        </is>
      </c>
      <c r="B3743" t="n">
        <v>1</v>
      </c>
    </row>
    <row r="3744">
      <c r="A3744" t="inlineStr">
        <is>
          <t>RADIANCE</t>
        </is>
      </c>
      <c r="B3744" t="n">
        <v>1</v>
      </c>
    </row>
    <row r="3745">
      <c r="A3745" t="inlineStr">
        <is>
          <t>NATURAL RADIATION</t>
        </is>
      </c>
      <c r="B3745" t="n">
        <v>1</v>
      </c>
    </row>
    <row r="3746">
      <c r="A3746" t="inlineStr">
        <is>
          <t>ATLAS</t>
        </is>
      </c>
      <c r="B3746" t="n">
        <v>1</v>
      </c>
    </row>
    <row r="3747">
      <c r="A3747" t="inlineStr">
        <is>
          <t>RESPIRATORY-TRACT DEPOSITION</t>
        </is>
      </c>
      <c r="B3747" t="n">
        <v>1</v>
      </c>
    </row>
    <row r="3748">
      <c r="A3748" t="inlineStr">
        <is>
          <t>OPTIMUM INSULATION THICKNESS</t>
        </is>
      </c>
      <c r="B3748" t="n">
        <v>1</v>
      </c>
    </row>
    <row r="3749">
      <c r="A3749" t="inlineStr">
        <is>
          <t>DEPENDENT THERMAL-CONDUCTIVITY</t>
        </is>
      </c>
      <c r="B3749" t="n">
        <v>1</v>
      </c>
    </row>
    <row r="3750">
      <c r="A3750" t="inlineStr">
        <is>
          <t>SURFACE SOLAR ABSORPTIVITY</t>
        </is>
      </c>
      <c r="B3750" t="n">
        <v>1</v>
      </c>
    </row>
    <row r="3751">
      <c r="A3751" t="inlineStr">
        <is>
          <t>ENERGY EFFICIENCY MEASURES</t>
        </is>
      </c>
      <c r="B3751" t="n">
        <v>1</v>
      </c>
    </row>
    <row r="3752">
      <c r="A3752" t="inlineStr">
        <is>
          <t>LIFE-CYCLE COST</t>
        </is>
      </c>
      <c r="B3752" t="n">
        <v>1</v>
      </c>
    </row>
    <row r="3753">
      <c r="A3753" t="inlineStr">
        <is>
          <t>MULTIOBJECTIVE OPTIMIZATION</t>
        </is>
      </c>
      <c r="B3753" t="n">
        <v>1</v>
      </c>
    </row>
    <row r="3754">
      <c r="A3754" t="inlineStr">
        <is>
          <t>EXTERNAL WALLS</t>
        </is>
      </c>
      <c r="B3754" t="n">
        <v>1</v>
      </c>
    </row>
    <row r="3755">
      <c r="A3755" t="inlineStr">
        <is>
          <t>ENVIRONMENTAL-IMPACT</t>
        </is>
      </c>
      <c r="B3755" t="n">
        <v>1</v>
      </c>
    </row>
    <row r="3756">
      <c r="A3756" t="inlineStr">
        <is>
          <t>VITAMIN-E</t>
        </is>
      </c>
      <c r="B3756" t="n">
        <v>1</v>
      </c>
    </row>
    <row r="3757">
      <c r="A3757" t="inlineStr">
        <is>
          <t>ANTIOXIDANT</t>
        </is>
      </c>
      <c r="B3757" t="n">
        <v>2</v>
      </c>
    </row>
    <row r="3758">
      <c r="A3758" t="inlineStr">
        <is>
          <t>HOMOCYSTEINE</t>
        </is>
      </c>
      <c r="B3758" t="n">
        <v>1</v>
      </c>
    </row>
    <row r="3759">
      <c r="A3759" t="inlineStr">
        <is>
          <t>REDUCE FALLS</t>
        </is>
      </c>
      <c r="B3759" t="n">
        <v>1</v>
      </c>
    </row>
    <row r="3760">
      <c r="A3760" t="inlineStr">
        <is>
          <t>ASSESSMENTS</t>
        </is>
      </c>
      <c r="B3760" t="n">
        <v>1</v>
      </c>
    </row>
    <row r="3761">
      <c r="A3761" t="inlineStr">
        <is>
          <t>REASONED ACTION</t>
        </is>
      </c>
      <c r="B3761" t="n">
        <v>1</v>
      </c>
    </row>
    <row r="3762">
      <c r="A3762" t="inlineStr">
        <is>
          <t>NEED SATISFACTION</t>
        </is>
      </c>
      <c r="B3762" t="n">
        <v>1</v>
      </c>
    </row>
    <row r="3763">
      <c r="A3763" t="inlineStr">
        <is>
          <t>AUTONOMY</t>
        </is>
      </c>
      <c r="B3763" t="n">
        <v>1</v>
      </c>
    </row>
    <row r="3764">
      <c r="A3764" t="inlineStr">
        <is>
          <t>URBAN NURSERIES</t>
        </is>
      </c>
      <c r="B3764" t="n">
        <v>1</v>
      </c>
    </row>
    <row r="3765">
      <c r="A3765" t="inlineStr">
        <is>
          <t>HEALTH SYMPTOMS</t>
        </is>
      </c>
      <c r="B3765" t="n">
        <v>1</v>
      </c>
    </row>
    <row r="3766">
      <c r="A3766" t="inlineStr">
        <is>
          <t>PART 1</t>
        </is>
      </c>
      <c r="B3766" t="n">
        <v>1</v>
      </c>
    </row>
    <row r="3767">
      <c r="A3767" t="inlineStr">
        <is>
          <t>INHABITANTS</t>
        </is>
      </c>
      <c r="B3767" t="n">
        <v>1</v>
      </c>
    </row>
    <row r="3768">
      <c r="A3768" t="inlineStr">
        <is>
          <t>MANGANESE</t>
        </is>
      </c>
      <c r="B3768" t="n">
        <v>1</v>
      </c>
    </row>
    <row r="3769">
      <c r="A3769" t="inlineStr">
        <is>
          <t>MIXTURES</t>
        </is>
      </c>
      <c r="B3769" t="n">
        <v>1</v>
      </c>
    </row>
    <row r="3770">
      <c r="A3770" t="inlineStr">
        <is>
          <t>CHROMIUM</t>
        </is>
      </c>
      <c r="B3770" t="n">
        <v>1</v>
      </c>
    </row>
    <row r="3771">
      <c r="A3771" t="inlineStr">
        <is>
          <t>TRAFFIC STRESS</t>
        </is>
      </c>
      <c r="B3771" t="n">
        <v>1</v>
      </c>
    </row>
    <row r="3772">
      <c r="A3772" t="inlineStr">
        <is>
          <t>LASER-INDUCED FLUORESCENCE</t>
        </is>
      </c>
      <c r="B3772" t="n">
        <v>1</v>
      </c>
    </row>
    <row r="3773">
      <c r="A3773" t="inlineStr">
        <is>
          <t>NO2 HETEROGENEOUS REACTIONS</t>
        </is>
      </c>
      <c r="B3773" t="n">
        <v>1</v>
      </c>
    </row>
    <row r="3774">
      <c r="A3774" t="inlineStr">
        <is>
          <t>HYDROXYL RADICALS</t>
        </is>
      </c>
      <c r="B3774" t="n">
        <v>2</v>
      </c>
    </row>
    <row r="3775">
      <c r="A3775" t="inlineStr">
        <is>
          <t>TECHNICAL NOTE</t>
        </is>
      </c>
      <c r="B3775" t="n">
        <v>1</v>
      </c>
    </row>
    <row r="3776">
      <c r="A3776" t="inlineStr">
        <is>
          <t>HO2</t>
        </is>
      </c>
      <c r="B3776" t="n">
        <v>1</v>
      </c>
    </row>
    <row r="3777">
      <c r="A3777" t="inlineStr">
        <is>
          <t>INSTRUMENT</t>
        </is>
      </c>
      <c r="B3777" t="n">
        <v>1</v>
      </c>
    </row>
    <row r="3778">
      <c r="A3778" t="inlineStr">
        <is>
          <t>CAMPAIGN</t>
        </is>
      </c>
      <c r="B3778" t="n">
        <v>1</v>
      </c>
    </row>
    <row r="3779">
      <c r="A3779" t="inlineStr">
        <is>
          <t>ASYNCHRONOUS MUSIC</t>
        </is>
      </c>
      <c r="B3779" t="n">
        <v>1</v>
      </c>
    </row>
    <row r="3780">
      <c r="A3780" t="inlineStr">
        <is>
          <t>SYNCHRONOUS MUSIC</t>
        </is>
      </c>
      <c r="B3780" t="n">
        <v>1</v>
      </c>
    </row>
    <row r="3781">
      <c r="A3781" t="inlineStr">
        <is>
          <t>GUIDE</t>
        </is>
      </c>
      <c r="B3781" t="n">
        <v>1</v>
      </c>
    </row>
    <row r="3782">
      <c r="A3782" t="inlineStr">
        <is>
          <t>MITOCHONDRIAL DYSFUNCTION</t>
        </is>
      </c>
      <c r="B3782" t="n">
        <v>1</v>
      </c>
    </row>
    <row r="3783">
      <c r="A3783" t="inlineStr">
        <is>
          <t>METALS</t>
        </is>
      </c>
      <c r="B3783" t="n">
        <v>1</v>
      </c>
    </row>
    <row r="3784">
      <c r="A3784" t="inlineStr">
        <is>
          <t>ZINC</t>
        </is>
      </c>
      <c r="B3784" t="n">
        <v>1</v>
      </c>
    </row>
    <row r="3785">
      <c r="A3785" t="inlineStr">
        <is>
          <t>MOLDOVAN PLATEAU</t>
        </is>
      </c>
      <c r="B3785" t="n">
        <v>1</v>
      </c>
    </row>
    <row r="3786">
      <c r="A3786" t="inlineStr">
        <is>
          <t>CLOUD CONDENSATION NUCLEI</t>
        </is>
      </c>
      <c r="B3786" t="n">
        <v>1</v>
      </c>
    </row>
    <row r="3787">
      <c r="A3787" t="inlineStr">
        <is>
          <t>SEA-SALT AEROSOL</t>
        </is>
      </c>
      <c r="B3787" t="n">
        <v>1</v>
      </c>
    </row>
    <row r="3788">
      <c r="A3788" t="inlineStr">
        <is>
          <t>RAMAN-SPECTROSCOPY</t>
        </is>
      </c>
      <c r="B3788" t="n">
        <v>1</v>
      </c>
    </row>
    <row r="3789">
      <c r="A3789" t="inlineStr">
        <is>
          <t>IN-SITU</t>
        </is>
      </c>
      <c r="B3789" t="n">
        <v>1</v>
      </c>
    </row>
    <row r="3790">
      <c r="A3790" t="inlineStr">
        <is>
          <t>LICHEN COLONIZATION</t>
        </is>
      </c>
      <c r="B3790" t="n">
        <v>1</v>
      </c>
    </row>
    <row r="3791">
      <c r="A3791" t="inlineStr">
        <is>
          <t>BASQUE COUNTRY</t>
        </is>
      </c>
      <c r="B3791" t="n">
        <v>1</v>
      </c>
    </row>
    <row r="3792">
      <c r="A3792" t="inlineStr">
        <is>
          <t>BLACK CRUSTS</t>
        </is>
      </c>
      <c r="B3792" t="n">
        <v>1</v>
      </c>
    </row>
    <row r="3793">
      <c r="A3793" t="inlineStr">
        <is>
          <t>STONE DECAY</t>
        </is>
      </c>
      <c r="B3793" t="n">
        <v>1</v>
      </c>
    </row>
    <row r="3794">
      <c r="A3794" t="inlineStr">
        <is>
          <t>SIMULATE ENVIRONMENTS</t>
        </is>
      </c>
      <c r="B3794" t="n">
        <v>1</v>
      </c>
    </row>
    <row r="3795">
      <c r="A3795" t="inlineStr">
        <is>
          <t>PLATFORMS</t>
        </is>
      </c>
      <c r="B3795" t="n">
        <v>1</v>
      </c>
    </row>
    <row r="3796">
      <c r="A3796" t="inlineStr">
        <is>
          <t>MAGNITUDE</t>
        </is>
      </c>
      <c r="B3796" t="n">
        <v>1</v>
      </c>
    </row>
    <row r="3797">
      <c r="A3797" t="inlineStr">
        <is>
          <t>ATMOSPHERIC BOUNDARY-LAYER</t>
        </is>
      </c>
      <c r="B3797" t="n">
        <v>1</v>
      </c>
    </row>
    <row r="3798">
      <c r="A3798" t="inlineStr">
        <is>
          <t>PERFORMANCE BATTERY</t>
        </is>
      </c>
      <c r="B3798" t="n">
        <v>2</v>
      </c>
    </row>
    <row r="3799">
      <c r="A3799" t="inlineStr">
        <is>
          <t>NEUROPSYCHIATRIC INVENTORY</t>
        </is>
      </c>
      <c r="B3799" t="n">
        <v>1</v>
      </c>
    </row>
    <row r="3800">
      <c r="A3800" t="inlineStr">
        <is>
          <t>PSYCHOLOGICAL SYMPTOMS</t>
        </is>
      </c>
      <c r="B3800" t="n">
        <v>1</v>
      </c>
    </row>
    <row r="3801">
      <c r="A3801" t="inlineStr">
        <is>
          <t>NEUROPSYCHOLOGY</t>
        </is>
      </c>
      <c r="B3801" t="n">
        <v>1</v>
      </c>
    </row>
    <row r="3802">
      <c r="A3802" t="inlineStr">
        <is>
          <t>DOG</t>
        </is>
      </c>
      <c r="B3802" t="n">
        <v>1</v>
      </c>
    </row>
    <row r="3803">
      <c r="A3803" t="inlineStr">
        <is>
          <t>DHEA SUPPLEMENTATION</t>
        </is>
      </c>
      <c r="B3803" t="n">
        <v>1</v>
      </c>
    </row>
    <row r="3804">
      <c r="A3804" t="inlineStr">
        <is>
          <t>DOSE-RESPONSE</t>
        </is>
      </c>
      <c r="B3804" t="n">
        <v>1</v>
      </c>
    </row>
    <row r="3805">
      <c r="A3805" t="inlineStr">
        <is>
          <t>CHLORINATION</t>
        </is>
      </c>
      <c r="B3805" t="n">
        <v>1</v>
      </c>
    </row>
    <row r="3806">
      <c r="A3806" t="inlineStr">
        <is>
          <t>SPECIES RICHNESS</t>
        </is>
      </c>
      <c r="B3806" t="n">
        <v>1</v>
      </c>
    </row>
    <row r="3807">
      <c r="A3807" t="inlineStr">
        <is>
          <t>INVASION</t>
        </is>
      </c>
      <c r="B3807" t="n">
        <v>1</v>
      </c>
    </row>
    <row r="3808">
      <c r="A3808" t="inlineStr">
        <is>
          <t>ACROLEIN</t>
        </is>
      </c>
      <c r="B3808" t="n">
        <v>1</v>
      </c>
    </row>
    <row r="3809">
      <c r="A3809" t="inlineStr">
        <is>
          <t>LOCKDOWN MEASURES</t>
        </is>
      </c>
      <c r="B3809" t="n">
        <v>1</v>
      </c>
    </row>
    <row r="3810">
      <c r="A3810" t="inlineStr">
        <is>
          <t>CORONARY</t>
        </is>
      </c>
      <c r="B3810" t="n">
        <v>1</v>
      </c>
    </row>
    <row r="3811">
      <c r="A3811" t="inlineStr">
        <is>
          <t>ALCOHOL</t>
        </is>
      </c>
      <c r="B3811" t="n">
        <v>1</v>
      </c>
    </row>
    <row r="3812">
      <c r="A3812" t="inlineStr">
        <is>
          <t>TOBACCO</t>
        </is>
      </c>
      <c r="B3812" t="n">
        <v>1</v>
      </c>
    </row>
    <row r="3813">
      <c r="A3813" t="inlineStr">
        <is>
          <t>WHOLE-BODY VIBRATION</t>
        </is>
      </c>
      <c r="B3813" t="n">
        <v>1</v>
      </c>
    </row>
    <row r="3814">
      <c r="A3814" t="inlineStr">
        <is>
          <t>LIFE-STYLE INTERVENTIONS</t>
        </is>
      </c>
      <c r="B3814" t="n">
        <v>1</v>
      </c>
    </row>
    <row r="3815">
      <c r="A3815" t="inlineStr">
        <is>
          <t>SERVICE USE</t>
        </is>
      </c>
      <c r="B3815" t="n">
        <v>1</v>
      </c>
    </row>
    <row r="3816">
      <c r="A3816" t="inlineStr">
        <is>
          <t>BROWNFIELDS</t>
        </is>
      </c>
      <c r="B3816" t="n">
        <v>1</v>
      </c>
    </row>
    <row r="3817">
      <c r="A3817" t="inlineStr">
        <is>
          <t>INTERVIEW SURVEY</t>
        </is>
      </c>
      <c r="B3817" t="n">
        <v>1</v>
      </c>
    </row>
    <row r="3818">
      <c r="A3818" t="inlineStr">
        <is>
          <t>EUROPEAN CITIES</t>
        </is>
      </c>
      <c r="B3818" t="n">
        <v>1</v>
      </c>
    </row>
    <row r="3819">
      <c r="A3819" t="inlineStr">
        <is>
          <t>HEALTH IMPACTS</t>
        </is>
      </c>
      <c r="B3819" t="n">
        <v>1</v>
      </c>
    </row>
    <row r="3820">
      <c r="A3820" t="inlineStr">
        <is>
          <t>OPTIMAL CUTOFF VALUES</t>
        </is>
      </c>
      <c r="B3820" t="n">
        <v>1</v>
      </c>
    </row>
    <row r="3821">
      <c r="A3821" t="inlineStr">
        <is>
          <t>NONTHERMAL PLASMA</t>
        </is>
      </c>
      <c r="B3821" t="n">
        <v>2</v>
      </c>
    </row>
    <row r="3822">
      <c r="A3822" t="inlineStr">
        <is>
          <t>WASTE-GAS</t>
        </is>
      </c>
      <c r="B3822" t="n">
        <v>1</v>
      </c>
    </row>
    <row r="3823">
      <c r="A3823" t="inlineStr">
        <is>
          <t>TOLUENE REMOVAL</t>
        </is>
      </c>
      <c r="B3823" t="n">
        <v>2</v>
      </c>
    </row>
    <row r="3824">
      <c r="A3824" t="inlineStr">
        <is>
          <t>PUNJAB PROVINCE</t>
        </is>
      </c>
      <c r="B3824" t="n">
        <v>1</v>
      </c>
    </row>
    <row r="3825">
      <c r="A3825" t="inlineStr">
        <is>
          <t>RADON EXPOSURE</t>
        </is>
      </c>
      <c r="B3825" t="n">
        <v>1</v>
      </c>
    </row>
    <row r="3826">
      <c r="A3826" t="inlineStr">
        <is>
          <t>4 DISTRICTS</t>
        </is>
      </c>
      <c r="B3826" t="n">
        <v>1</v>
      </c>
    </row>
    <row r="3827">
      <c r="A3827" t="inlineStr">
        <is>
          <t>PAKISTAN</t>
        </is>
      </c>
      <c r="B3827" t="n">
        <v>1</v>
      </c>
    </row>
    <row r="3828">
      <c r="A3828" t="inlineStr">
        <is>
          <t>MULTICRITERIA DECISION-MAKING</t>
        </is>
      </c>
      <c r="B3828" t="n">
        <v>1</v>
      </c>
    </row>
    <row r="3829">
      <c r="A3829" t="inlineStr">
        <is>
          <t>ASSESSMENT TOOLS</t>
        </is>
      </c>
      <c r="B3829" t="n">
        <v>1</v>
      </c>
    </row>
    <row r="3830">
      <c r="A3830" t="inlineStr">
        <is>
          <t>FUZZY-AHP</t>
        </is>
      </c>
      <c r="B3830" t="n">
        <v>1</v>
      </c>
    </row>
    <row r="3831">
      <c r="A3831" t="inlineStr">
        <is>
          <t>BREEAM</t>
        </is>
      </c>
      <c r="B3831" t="n">
        <v>1</v>
      </c>
    </row>
    <row r="3832">
      <c r="A3832" t="inlineStr">
        <is>
          <t>CERTIFICATION</t>
        </is>
      </c>
      <c r="B3832" t="n">
        <v>1</v>
      </c>
    </row>
    <row r="3833">
      <c r="A3833" t="inlineStr">
        <is>
          <t>FLOOD RISK</t>
        </is>
      </c>
      <c r="B3833" t="n">
        <v>1</v>
      </c>
    </row>
    <row r="3834">
      <c r="A3834" t="inlineStr">
        <is>
          <t>PCE</t>
        </is>
      </c>
      <c r="B3834" t="n">
        <v>1</v>
      </c>
    </row>
    <row r="3835">
      <c r="A3835" t="inlineStr">
        <is>
          <t>TRAFFIC CONDITIONS</t>
        </is>
      </c>
      <c r="B3835" t="n">
        <v>1</v>
      </c>
    </row>
    <row r="3836">
      <c r="A3836" t="inlineStr">
        <is>
          <t>SENSEWEAR PRO3</t>
        </is>
      </c>
      <c r="B3836" t="n">
        <v>1</v>
      </c>
    </row>
    <row r="3837">
      <c r="A3837" t="inlineStr">
        <is>
          <t>HUMAN DIMENSIONS</t>
        </is>
      </c>
      <c r="B3837" t="n">
        <v>1</v>
      </c>
    </row>
    <row r="3838">
      <c r="A3838" t="inlineStr">
        <is>
          <t>ADAPTIVE CAPACITY</t>
        </is>
      </c>
      <c r="B3838" t="n">
        <v>1</v>
      </c>
    </row>
    <row r="3839">
      <c r="A3839" t="inlineStr">
        <is>
          <t>COUPLED HUMAN</t>
        </is>
      </c>
      <c r="B3839" t="n">
        <v>1</v>
      </c>
    </row>
    <row r="3840">
      <c r="A3840" t="inlineStr">
        <is>
          <t>SAR</t>
        </is>
      </c>
      <c r="B3840" t="n">
        <v>1</v>
      </c>
    </row>
    <row r="3841">
      <c r="A3841" t="inlineStr">
        <is>
          <t>HAMMARBY SJOSTAD</t>
        </is>
      </c>
      <c r="B3841" t="n">
        <v>1</v>
      </c>
    </row>
    <row r="3842">
      <c r="A3842" t="inlineStr">
        <is>
          <t>BUILDING STOCK</t>
        </is>
      </c>
      <c r="B3842" t="n">
        <v>1</v>
      </c>
    </row>
    <row r="3843">
      <c r="A3843" t="inlineStr">
        <is>
          <t>PRODUCT</t>
        </is>
      </c>
      <c r="B3843" t="n">
        <v>1</v>
      </c>
    </row>
    <row r="3844">
      <c r="A3844" t="inlineStr">
        <is>
          <t>DNA</t>
        </is>
      </c>
      <c r="B3844" t="n">
        <v>1</v>
      </c>
    </row>
    <row r="3845">
      <c r="A3845" t="inlineStr">
        <is>
          <t>VIRUSES</t>
        </is>
      </c>
      <c r="B3845" t="n">
        <v>1</v>
      </c>
    </row>
    <row r="3846">
      <c r="A3846" t="inlineStr">
        <is>
          <t>OSTEOPOROTIC FRACTURES</t>
        </is>
      </c>
      <c r="B3846" t="n">
        <v>1</v>
      </c>
    </row>
    <row r="3847">
      <c r="A3847" t="inlineStr">
        <is>
          <t>PROSPECTIVE COHORT</t>
        </is>
      </c>
      <c r="B3847" t="n">
        <v>1</v>
      </c>
    </row>
    <row r="3848">
      <c r="A3848" t="inlineStr">
        <is>
          <t>VIETNAM</t>
        </is>
      </c>
      <c r="B3848" t="n">
        <v>1</v>
      </c>
    </row>
    <row r="3849">
      <c r="A3849" t="inlineStr">
        <is>
          <t>GENERALIZABILITY THEORY</t>
        </is>
      </c>
      <c r="B3849" t="n">
        <v>1</v>
      </c>
    </row>
    <row r="3850">
      <c r="A3850" t="inlineStr">
        <is>
          <t>ASSESSMENT FRAMEWORK</t>
        </is>
      </c>
      <c r="B3850" t="n">
        <v>1</v>
      </c>
    </row>
    <row r="3851">
      <c r="A3851" t="inlineStr">
        <is>
          <t>STORE ATMOSPHERE</t>
        </is>
      </c>
      <c r="B3851" t="n">
        <v>1</v>
      </c>
    </row>
    <row r="3852">
      <c r="A3852" t="inlineStr">
        <is>
          <t>SERVICE</t>
        </is>
      </c>
      <c r="B3852" t="n">
        <v>1</v>
      </c>
    </row>
    <row r="3853">
      <c r="A3853" t="inlineStr">
        <is>
          <t>TILBURG FRAILTY INDICATOR</t>
        </is>
      </c>
      <c r="B3853" t="n">
        <v>1</v>
      </c>
    </row>
    <row r="3854">
      <c r="A3854" t="inlineStr">
        <is>
          <t>STABILITY</t>
        </is>
      </c>
      <c r="B3854" t="n">
        <v>1</v>
      </c>
    </row>
    <row r="3855">
      <c r="A3855" t="inlineStr">
        <is>
          <t>SCHOOL RECESS</t>
        </is>
      </c>
      <c r="B3855" t="n">
        <v>1</v>
      </c>
    </row>
    <row r="3856">
      <c r="A3856" t="inlineStr">
        <is>
          <t>PRESCHOOL</t>
        </is>
      </c>
      <c r="B3856" t="n">
        <v>1</v>
      </c>
    </row>
    <row r="3857">
      <c r="A3857" t="inlineStr">
        <is>
          <t>TORONTO</t>
        </is>
      </c>
      <c r="B3857" t="n">
        <v>1</v>
      </c>
    </row>
    <row r="3858">
      <c r="A3858" t="inlineStr">
        <is>
          <t>TEMPORAL VARIATION</t>
        </is>
      </c>
      <c r="B3858" t="n">
        <v>1</v>
      </c>
    </row>
    <row r="3859">
      <c r="A3859" t="inlineStr">
        <is>
          <t>GENERATIONS</t>
        </is>
      </c>
      <c r="B3859" t="n">
        <v>1</v>
      </c>
    </row>
    <row r="3860">
      <c r="A3860" t="inlineStr">
        <is>
          <t>AREAL UNIT PROBLEM</t>
        </is>
      </c>
      <c r="B3860" t="n">
        <v>1</v>
      </c>
    </row>
    <row r="3861">
      <c r="A3861" t="inlineStr">
        <is>
          <t>TURBULENCE</t>
        </is>
      </c>
      <c r="B3861" t="n">
        <v>1</v>
      </c>
    </row>
    <row r="3862">
      <c r="A3862" t="inlineStr">
        <is>
          <t>WRF</t>
        </is>
      </c>
      <c r="B3862" t="n">
        <v>1</v>
      </c>
    </row>
    <row r="3863">
      <c r="A3863" t="inlineStr">
        <is>
          <t>ETHNIC-DIFFERENCES</t>
        </is>
      </c>
      <c r="B3863" t="n">
        <v>1</v>
      </c>
    </row>
    <row r="3864">
      <c r="A3864" t="inlineStr">
        <is>
          <t>WHITE AMERICANS</t>
        </is>
      </c>
      <c r="B3864" t="n">
        <v>1</v>
      </c>
    </row>
    <row r="3865">
      <c r="A3865" t="inlineStr">
        <is>
          <t>HEALTH SAGE</t>
        </is>
      </c>
      <c r="B3865" t="n">
        <v>1</v>
      </c>
    </row>
    <row r="3866">
      <c r="A3866" t="inlineStr">
        <is>
          <t>RACE/ETHNICITY</t>
        </is>
      </c>
      <c r="B3866" t="n">
        <v>1</v>
      </c>
    </row>
    <row r="3867">
      <c r="A3867" t="inlineStr">
        <is>
          <t>FUNCTIONAL UNIT</t>
        </is>
      </c>
      <c r="B3867" t="n">
        <v>1</v>
      </c>
    </row>
    <row r="3868">
      <c r="A3868" t="inlineStr">
        <is>
          <t>NORDIC DIET</t>
        </is>
      </c>
      <c r="B3868" t="n">
        <v>1</v>
      </c>
    </row>
    <row r="3869">
      <c r="A3869" t="inlineStr">
        <is>
          <t>VALUATION</t>
        </is>
      </c>
      <c r="B3869" t="n">
        <v>1</v>
      </c>
    </row>
    <row r="3870">
      <c r="A3870" t="inlineStr">
        <is>
          <t>ANXIETY STRESS SCALES</t>
        </is>
      </c>
      <c r="B3870" t="n">
        <v>1</v>
      </c>
    </row>
    <row r="3871">
      <c r="A3871" t="inlineStr">
        <is>
          <t>CANCER-PATIENTS</t>
        </is>
      </c>
      <c r="B3871" t="n">
        <v>1</v>
      </c>
    </row>
    <row r="3872">
      <c r="A3872" t="inlineStr">
        <is>
          <t>CHINESE VERSION</t>
        </is>
      </c>
      <c r="B3872" t="n">
        <v>1</v>
      </c>
    </row>
    <row r="3873">
      <c r="A3873" t="inlineStr">
        <is>
          <t>COPING SKILLS</t>
        </is>
      </c>
      <c r="B3873" t="n">
        <v>1</v>
      </c>
    </row>
    <row r="3874">
      <c r="A3874" t="inlineStr">
        <is>
          <t>DIARY COLLECTION</t>
        </is>
      </c>
      <c r="B3874" t="n">
        <v>1</v>
      </c>
    </row>
    <row r="3875">
      <c r="A3875" t="inlineStr">
        <is>
          <t>SMARTPHONES</t>
        </is>
      </c>
      <c r="B3875" t="n">
        <v>1</v>
      </c>
    </row>
    <row r="3876">
      <c r="A3876" t="inlineStr">
        <is>
          <t>TELEMONITORING GUIDANCE</t>
        </is>
      </c>
      <c r="B3876" t="n">
        <v>1</v>
      </c>
    </row>
    <row r="3877">
      <c r="A3877" t="inlineStr">
        <is>
          <t>TELEREHABILITATION</t>
        </is>
      </c>
      <c r="B3877" t="n">
        <v>1</v>
      </c>
    </row>
    <row r="3878">
      <c r="A3878" t="inlineStr">
        <is>
          <t>LOW-CONCENTRATION FORMALDEHYDE</t>
        </is>
      </c>
      <c r="B3878" t="n">
        <v>1</v>
      </c>
    </row>
    <row r="3879">
      <c r="A3879" t="inlineStr">
        <is>
          <t>ULTRAVIOLET PHOTOCATALYTIC OXIDATION</t>
        </is>
      </c>
      <c r="B3879" t="n">
        <v>1</v>
      </c>
    </row>
    <row r="3880">
      <c r="A3880" t="inlineStr">
        <is>
          <t>DIELECTRIC-BARRIER DISCHARGES</t>
        </is>
      </c>
      <c r="B3880" t="n">
        <v>1</v>
      </c>
    </row>
    <row r="3881">
      <c r="A3881" t="inlineStr">
        <is>
          <t>LOW-CONCENTRATION BTX</t>
        </is>
      </c>
      <c r="B3881" t="n">
        <v>1</v>
      </c>
    </row>
    <row r="3882">
      <c r="A3882" t="inlineStr">
        <is>
          <t>HETEROGENEOUS CATALYSIS</t>
        </is>
      </c>
      <c r="B3882" t="n">
        <v>1</v>
      </c>
    </row>
    <row r="3883">
      <c r="A3883" t="inlineStr">
        <is>
          <t>GAS STREAMS</t>
        </is>
      </c>
      <c r="B3883" t="n">
        <v>1</v>
      </c>
    </row>
    <row r="3884">
      <c r="A3884" t="inlineStr">
        <is>
          <t>EMISSION CHARACTERISTIC PARAMETERS</t>
        </is>
      </c>
      <c r="B3884" t="n">
        <v>1</v>
      </c>
    </row>
    <row r="3885">
      <c r="A3885" t="inlineStr">
        <is>
          <t>GAS-DIFFUSION</t>
        </is>
      </c>
      <c r="B3885" t="n">
        <v>1</v>
      </c>
    </row>
    <row r="3886">
      <c r="A3886" t="inlineStr">
        <is>
          <t>FORMALDEHYDE/VOCS</t>
        </is>
      </c>
      <c r="B3886" t="n">
        <v>1</v>
      </c>
    </row>
    <row r="3887">
      <c r="A3887" t="inlineStr">
        <is>
          <t>ULTRASOUND</t>
        </is>
      </c>
      <c r="B3887" t="n">
        <v>1</v>
      </c>
    </row>
    <row r="3888">
      <c r="A3888" t="inlineStr">
        <is>
          <t>WIRELESS COMMUNICATIONS</t>
        </is>
      </c>
      <c r="B3888" t="n">
        <v>1</v>
      </c>
    </row>
    <row r="3889">
      <c r="A3889" t="inlineStr">
        <is>
          <t>HORMONE</t>
        </is>
      </c>
      <c r="B3889" t="n">
        <v>1</v>
      </c>
    </row>
    <row r="3890">
      <c r="A3890" t="inlineStr">
        <is>
          <t>DARK SIDE</t>
        </is>
      </c>
      <c r="B3890" t="n">
        <v>1</v>
      </c>
    </row>
    <row r="3891">
      <c r="A3891" t="inlineStr">
        <is>
          <t>COPRODUCTION</t>
        </is>
      </c>
      <c r="B3891" t="n">
        <v>1</v>
      </c>
    </row>
    <row r="3892">
      <c r="A3892" t="inlineStr">
        <is>
          <t>VOLUNTEERS</t>
        </is>
      </c>
      <c r="B3892" t="n">
        <v>1</v>
      </c>
    </row>
    <row r="3893">
      <c r="A3893" t="inlineStr">
        <is>
          <t>TRADITIONAL BUILDINGS</t>
        </is>
      </c>
      <c r="B3893" t="n">
        <v>1</v>
      </c>
    </row>
    <row r="3894">
      <c r="A3894" t="inlineStr">
        <is>
          <t>OH RADICALS</t>
        </is>
      </c>
      <c r="B3894" t="n">
        <v>1</v>
      </c>
    </row>
    <row r="3895">
      <c r="A3895" t="inlineStr">
        <is>
          <t>COMPOUND EMISSIONS</t>
        </is>
      </c>
      <c r="B3895" t="n">
        <v>1</v>
      </c>
    </row>
    <row r="3896">
      <c r="A3896" t="inlineStr">
        <is>
          <t>FUNGAL DEVELOPMENT</t>
        </is>
      </c>
      <c r="B3896" t="n">
        <v>1</v>
      </c>
    </row>
    <row r="3897">
      <c r="A3897" t="inlineStr">
        <is>
          <t>ESCHERISCHIA-COLI</t>
        </is>
      </c>
      <c r="B3897" t="n">
        <v>1</v>
      </c>
    </row>
    <row r="3898">
      <c r="A3898" t="inlineStr">
        <is>
          <t>NO3 RADICALS</t>
        </is>
      </c>
      <c r="B3898" t="n">
        <v>1</v>
      </c>
    </row>
    <row r="3899">
      <c r="A3899" t="inlineStr">
        <is>
          <t>ASSIMILATION</t>
        </is>
      </c>
      <c r="B3899" t="n">
        <v>1</v>
      </c>
    </row>
    <row r="3900">
      <c r="A3900" t="inlineStr">
        <is>
          <t>RESPIRATION</t>
        </is>
      </c>
      <c r="B3900" t="n">
        <v>1</v>
      </c>
    </row>
    <row r="3901">
      <c r="A3901" t="inlineStr">
        <is>
          <t>PLANTAR PRESSURE</t>
        </is>
      </c>
      <c r="B3901" t="n">
        <v>1</v>
      </c>
    </row>
    <row r="3902">
      <c r="A3902" t="inlineStr">
        <is>
          <t>COGNITIVE STIMULATION</t>
        </is>
      </c>
      <c r="B3902" t="n">
        <v>1</v>
      </c>
    </row>
    <row r="3903">
      <c r="A3903" t="inlineStr">
        <is>
          <t>ATMOSPHERIC POLLUTANTS</t>
        </is>
      </c>
      <c r="B3903" t="n">
        <v>1</v>
      </c>
    </row>
    <row r="3904">
      <c r="A3904" t="inlineStr">
        <is>
          <t>LIFE EXPECTANCY</t>
        </is>
      </c>
      <c r="B3904" t="n">
        <v>1</v>
      </c>
    </row>
    <row r="3905">
      <c r="A3905" t="inlineStr">
        <is>
          <t>STORAGE</t>
        </is>
      </c>
      <c r="B3905" t="n">
        <v>1</v>
      </c>
    </row>
    <row r="3906">
      <c r="A3906" t="inlineStr">
        <is>
          <t>STREPTOMYCES-CALIFORNICUS</t>
        </is>
      </c>
      <c r="B3906" t="n">
        <v>1</v>
      </c>
    </row>
    <row r="3907">
      <c r="A3907" t="inlineStr">
        <is>
          <t>CHARACTERISTIC PARAMETERS</t>
        </is>
      </c>
      <c r="B3907" t="n">
        <v>1</v>
      </c>
    </row>
    <row r="3908">
      <c r="A3908" t="inlineStr">
        <is>
          <t>INFILTRATION-RATE</t>
        </is>
      </c>
      <c r="B3908" t="n">
        <v>1</v>
      </c>
    </row>
    <row r="3909">
      <c r="A3909" t="inlineStr">
        <is>
          <t>ARTS</t>
        </is>
      </c>
      <c r="B3909" t="n">
        <v>1</v>
      </c>
    </row>
    <row r="3910">
      <c r="A3910" t="inlineStr">
        <is>
          <t>CHEWING ABILITY</t>
        </is>
      </c>
      <c r="B3910" t="n">
        <v>1</v>
      </c>
    </row>
    <row r="3911">
      <c r="A3911" t="inlineStr">
        <is>
          <t>TOOTH LOSS</t>
        </is>
      </c>
      <c r="B3911" t="n">
        <v>1</v>
      </c>
    </row>
    <row r="3912">
      <c r="A3912" t="inlineStr">
        <is>
          <t>IMPLANT</t>
        </is>
      </c>
      <c r="B3912" t="n">
        <v>1</v>
      </c>
    </row>
    <row r="3913">
      <c r="A3913" t="inlineStr">
        <is>
          <t>SOLAR-RADIATION</t>
        </is>
      </c>
      <c r="B3913" t="n">
        <v>1</v>
      </c>
    </row>
    <row r="3914">
      <c r="A3914" t="inlineStr">
        <is>
          <t>FUNGAL BIODETERIORATION</t>
        </is>
      </c>
      <c r="B3914" t="n">
        <v>1</v>
      </c>
    </row>
    <row r="3915">
      <c r="A3915" t="inlineStr">
        <is>
          <t>ARCHIVE</t>
        </is>
      </c>
      <c r="B3915" t="n">
        <v>1</v>
      </c>
    </row>
    <row r="3916">
      <c r="A3916" t="inlineStr">
        <is>
          <t>PROPOSAL</t>
        </is>
      </c>
      <c r="B3916" t="n">
        <v>1</v>
      </c>
    </row>
    <row r="3917">
      <c r="A3917" t="inlineStr">
        <is>
          <t>PRACTICE GUIDELINES</t>
        </is>
      </c>
      <c r="B3917" t="n">
        <v>1</v>
      </c>
    </row>
    <row r="3918">
      <c r="A3918" t="inlineStr">
        <is>
          <t>CO-MORBIDITY</t>
        </is>
      </c>
      <c r="B3918" t="n">
        <v>1</v>
      </c>
    </row>
    <row r="3919">
      <c r="A3919" t="inlineStr">
        <is>
          <t>RANDOM PARAMETERS</t>
        </is>
      </c>
      <c r="B3919" t="n">
        <v>1</v>
      </c>
    </row>
    <row r="3920">
      <c r="A3920" t="inlineStr">
        <is>
          <t>INJURY SEVERITY</t>
        </is>
      </c>
      <c r="B3920" t="n">
        <v>1</v>
      </c>
    </row>
    <row r="3921">
      <c r="A3921" t="inlineStr">
        <is>
          <t>CRASHES</t>
        </is>
      </c>
      <c r="B3921" t="n">
        <v>1</v>
      </c>
    </row>
    <row r="3922">
      <c r="A3922" t="inlineStr">
        <is>
          <t>XGBOOST</t>
        </is>
      </c>
      <c r="B3922" t="n">
        <v>1</v>
      </c>
    </row>
    <row r="3923">
      <c r="A3923" t="inlineStr">
        <is>
          <t>COLLECTION</t>
        </is>
      </c>
      <c r="B3923" t="n">
        <v>1</v>
      </c>
    </row>
    <row r="3924">
      <c r="A3924" t="inlineStr">
        <is>
          <t>SOLID-WASTE</t>
        </is>
      </c>
      <c r="B3924" t="n">
        <v>1</v>
      </c>
    </row>
    <row r="3925">
      <c r="A3925" t="inlineStr">
        <is>
          <t>FOOD WASTE</t>
        </is>
      </c>
      <c r="B3925" t="n">
        <v>1</v>
      </c>
    </row>
    <row r="3926">
      <c r="A3926" t="inlineStr">
        <is>
          <t>MICROPLASTICS</t>
        </is>
      </c>
      <c r="B3926" t="n">
        <v>1</v>
      </c>
    </row>
    <row r="3927">
      <c r="A3927" t="inlineStr">
        <is>
          <t>DAILY LIVING ADL</t>
        </is>
      </c>
      <c r="B3927" t="n">
        <v>1</v>
      </c>
    </row>
    <row r="3928">
      <c r="A3928" t="inlineStr">
        <is>
          <t>ACTIVITY ENGAGEMENT</t>
        </is>
      </c>
      <c r="B3928" t="n">
        <v>1</v>
      </c>
    </row>
    <row r="3929">
      <c r="A3929" t="inlineStr">
        <is>
          <t>VASCULAR ENDOTHELIAL FUNCTION</t>
        </is>
      </c>
      <c r="B3929" t="n">
        <v>1</v>
      </c>
    </row>
    <row r="3930">
      <c r="A3930" t="inlineStr">
        <is>
          <t>INTIMA-MEDIA THICKNESS</t>
        </is>
      </c>
      <c r="B3930" t="n">
        <v>1</v>
      </c>
    </row>
    <row r="3931">
      <c r="A3931" t="inlineStr">
        <is>
          <t>CONTRIBUTES</t>
        </is>
      </c>
      <c r="B3931" t="n">
        <v>1</v>
      </c>
    </row>
    <row r="3932">
      <c r="A3932" t="inlineStr">
        <is>
          <t>DYSFUNCTION</t>
        </is>
      </c>
      <c r="B3932" t="n">
        <v>1</v>
      </c>
    </row>
    <row r="3933">
      <c r="A3933" t="inlineStr">
        <is>
          <t>REFLECTION</t>
        </is>
      </c>
      <c r="B3933" t="n">
        <v>1</v>
      </c>
    </row>
    <row r="3934">
      <c r="A3934" t="inlineStr">
        <is>
          <t>SCREEN TIME</t>
        </is>
      </c>
      <c r="B3934" t="n">
        <v>1</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wkroh</dc:creator>
  <dcterms:created xsi:type="dcterms:W3CDTF">2023-10-28T02:49:51Z</dcterms:created>
  <dcterms:modified xsi:type="dcterms:W3CDTF">2023-10-28T05:38:38Z</dcterms:modified>
  <cp:lastModifiedBy>Weiwei Yu</cp:lastModifiedBy>
</cp:coreProperties>
</file>